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2.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drawings/drawing3.xml" ContentType="application/vnd.openxmlformats-officedocument.drawing+xml"/>
  <Override PartName="/xl/ctrlProps/ctrlProp3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Nuclear Launch Codes\"/>
    </mc:Choice>
  </mc:AlternateContent>
  <bookViews>
    <workbookView xWindow="0" yWindow="0" windowWidth="11490" windowHeight="9120" firstSheet="1" activeTab="3"/>
  </bookViews>
  <sheets>
    <sheet name="Read Me" sheetId="5" r:id="rId1"/>
    <sheet name="Status Descriptions" sheetId="17" r:id="rId2"/>
    <sheet name="Blade Master" sheetId="3" r:id="rId3"/>
    <sheet name="Gunner" sheetId="4" r:id="rId4"/>
    <sheet name="Status Thresholds" sheetId="10" r:id="rId5"/>
    <sheet name="Shots and Status" sheetId="1" r:id="rId6"/>
    <sheet name="Mount Calc" sheetId="13" r:id="rId7"/>
    <sheet name="KO Calc" sheetId="11" r:id="rId8"/>
  </sheets>
  <definedNames>
    <definedName name="_xlnm._FilterDatabase" localSheetId="2" hidden="1">'Blade Master'!$B$9:$D$846</definedName>
    <definedName name="_xlnm._FilterDatabase" localSheetId="3" hidden="1">Gunner!$A$8:$S$854</definedName>
    <definedName name="_xlnm._FilterDatabase" localSheetId="4" hidden="1">'Status Thresholds'!$A$4:$AT$4</definedName>
    <definedName name="solver_adj" localSheetId="7" hidden="1">'KO Calc'!$BA$33:$BA$36</definedName>
    <definedName name="solver_cvg" localSheetId="7" hidden="1">0.0001</definedName>
    <definedName name="solver_drv" localSheetId="7" hidden="1">2</definedName>
    <definedName name="solver_eng" localSheetId="7" hidden="1">2</definedName>
    <definedName name="solver_est" localSheetId="7" hidden="1">1</definedName>
    <definedName name="solver_itr" localSheetId="7" hidden="1">2147483647</definedName>
    <definedName name="solver_lhs1" localSheetId="7" hidden="1">'KO Calc'!$BA$33</definedName>
    <definedName name="solver_lhs10" localSheetId="7" hidden="1">'KO Calc'!$BA$27</definedName>
    <definedName name="solver_lhs100" localSheetId="7" hidden="1">'KO Calc'!$BA$25</definedName>
    <definedName name="solver_lhs101" localSheetId="7" hidden="1">'KO Calc'!$BA$25</definedName>
    <definedName name="solver_lhs102" localSheetId="7" hidden="1">'KO Calc'!$BA$26</definedName>
    <definedName name="solver_lhs103" localSheetId="7" hidden="1">'KO Calc'!$BA$26</definedName>
    <definedName name="solver_lhs104" localSheetId="7" hidden="1">'KO Calc'!$BA$27</definedName>
    <definedName name="solver_lhs105" localSheetId="7" hidden="1">'KO Calc'!$BA$27</definedName>
    <definedName name="solver_lhs106" localSheetId="7" hidden="1">'KO Calc'!$BA$28</definedName>
    <definedName name="solver_lhs107" localSheetId="7" hidden="1">'KO Calc'!$BA$28</definedName>
    <definedName name="solver_lhs108" localSheetId="7" hidden="1">'KO Calc'!$BC$30</definedName>
    <definedName name="solver_lhs109" localSheetId="7" hidden="1">'KO Calc'!$BA$25</definedName>
    <definedName name="solver_lhs11" localSheetId="7" hidden="1">'KO Calc'!$BA$26</definedName>
    <definedName name="solver_lhs110" localSheetId="7" hidden="1">'KO Calc'!$BA$25</definedName>
    <definedName name="solver_lhs111" localSheetId="7" hidden="1">'KO Calc'!$BA$26</definedName>
    <definedName name="solver_lhs112" localSheetId="7" hidden="1">'KO Calc'!$BA$26</definedName>
    <definedName name="solver_lhs113" localSheetId="7" hidden="1">'KO Calc'!$BA$27</definedName>
    <definedName name="solver_lhs114" localSheetId="7" hidden="1">'KO Calc'!$BA$27</definedName>
    <definedName name="solver_lhs115" localSheetId="7" hidden="1">'KO Calc'!$BA$28</definedName>
    <definedName name="solver_lhs116" localSheetId="7" hidden="1">'KO Calc'!$BA$28</definedName>
    <definedName name="solver_lhs117" localSheetId="7" hidden="1">'KO Calc'!$BC$30</definedName>
    <definedName name="solver_lhs118" localSheetId="7" hidden="1">'KO Calc'!$BA$25</definedName>
    <definedName name="solver_lhs119" localSheetId="7" hidden="1">'KO Calc'!$BA$25</definedName>
    <definedName name="solver_lhs12" localSheetId="7" hidden="1">'KO Calc'!$BA$28</definedName>
    <definedName name="solver_lhs120" localSheetId="7" hidden="1">'KO Calc'!$BA$26</definedName>
    <definedName name="solver_lhs121" localSheetId="7" hidden="1">'KO Calc'!$BA$26</definedName>
    <definedName name="solver_lhs122" localSheetId="7" hidden="1">'KO Calc'!$BA$27</definedName>
    <definedName name="solver_lhs123" localSheetId="7" hidden="1">'KO Calc'!$BA$27</definedName>
    <definedName name="solver_lhs124" localSheetId="7" hidden="1">'KO Calc'!$BA$28</definedName>
    <definedName name="solver_lhs125" localSheetId="7" hidden="1">'KO Calc'!$BA$28</definedName>
    <definedName name="solver_lhs126" localSheetId="7" hidden="1">'KO Calc'!$BC$30</definedName>
    <definedName name="solver_lhs127" localSheetId="7" hidden="1">'KO Calc'!$BA$25</definedName>
    <definedName name="solver_lhs128" localSheetId="7" hidden="1">'KO Calc'!$BA$25</definedName>
    <definedName name="solver_lhs129" localSheetId="7" hidden="1">'KO Calc'!$BA$26</definedName>
    <definedName name="solver_lhs13" localSheetId="7" hidden="1">'KO Calc'!$BA$27</definedName>
    <definedName name="solver_lhs130" localSheetId="7" hidden="1">'KO Calc'!$BA$26</definedName>
    <definedName name="solver_lhs131" localSheetId="7" hidden="1">'KO Calc'!$BA$27</definedName>
    <definedName name="solver_lhs132" localSheetId="7" hidden="1">'KO Calc'!$BA$27</definedName>
    <definedName name="solver_lhs133" localSheetId="7" hidden="1">'KO Calc'!$BA$28</definedName>
    <definedName name="solver_lhs134" localSheetId="7" hidden="1">'KO Calc'!$BA$28</definedName>
    <definedName name="solver_lhs135" localSheetId="7" hidden="1">'KO Calc'!$BC$30</definedName>
    <definedName name="solver_lhs136" localSheetId="7" hidden="1">'KO Calc'!$BA$25</definedName>
    <definedName name="solver_lhs137" localSheetId="7" hidden="1">'KO Calc'!$BA$25</definedName>
    <definedName name="solver_lhs138" localSheetId="7" hidden="1">'KO Calc'!$BA$26</definedName>
    <definedName name="solver_lhs139" localSheetId="7" hidden="1">'KO Calc'!$BA$26</definedName>
    <definedName name="solver_lhs14" localSheetId="7" hidden="1">'KO Calc'!$BA$28</definedName>
    <definedName name="solver_lhs140" localSheetId="7" hidden="1">'KO Calc'!$BA$27</definedName>
    <definedName name="solver_lhs141" localSheetId="7" hidden="1">'KO Calc'!$BA$27</definedName>
    <definedName name="solver_lhs142" localSheetId="7" hidden="1">'KO Calc'!$BA$28</definedName>
    <definedName name="solver_lhs143" localSheetId="7" hidden="1">'KO Calc'!$BA$28</definedName>
    <definedName name="solver_lhs144" localSheetId="7" hidden="1">'KO Calc'!$BC$30</definedName>
    <definedName name="solver_lhs145" localSheetId="7" hidden="1">'KO Calc'!$BA$25</definedName>
    <definedName name="solver_lhs146" localSheetId="7" hidden="1">'KO Calc'!$BA$25</definedName>
    <definedName name="solver_lhs147" localSheetId="7" hidden="1">'KO Calc'!$BA$26</definedName>
    <definedName name="solver_lhs148" localSheetId="7" hidden="1">'KO Calc'!$BA$26</definedName>
    <definedName name="solver_lhs149" localSheetId="7" hidden="1">'KO Calc'!$BA$27</definedName>
    <definedName name="solver_lhs15" localSheetId="7" hidden="1">'KO Calc'!$BA$28</definedName>
    <definedName name="solver_lhs150" localSheetId="7" hidden="1">'KO Calc'!$BA$27</definedName>
    <definedName name="solver_lhs151" localSheetId="7" hidden="1">'KO Calc'!$BA$28</definedName>
    <definedName name="solver_lhs152" localSheetId="7" hidden="1">'KO Calc'!$BA$28</definedName>
    <definedName name="solver_lhs153" localSheetId="7" hidden="1">'KO Calc'!$BC$30</definedName>
    <definedName name="solver_lhs154" localSheetId="7" hidden="1">'KO Calc'!$BA$25</definedName>
    <definedName name="solver_lhs155" localSheetId="7" hidden="1">'KO Calc'!$BA$25</definedName>
    <definedName name="solver_lhs156" localSheetId="7" hidden="1">'KO Calc'!$BA$26</definedName>
    <definedName name="solver_lhs157" localSheetId="7" hidden="1">'KO Calc'!$BA$26</definedName>
    <definedName name="solver_lhs158" localSheetId="7" hidden="1">'KO Calc'!$BA$27</definedName>
    <definedName name="solver_lhs159" localSheetId="7" hidden="1">'KO Calc'!$BA$27</definedName>
    <definedName name="solver_lhs16" localSheetId="7" hidden="1">'KO Calc'!$BA$28</definedName>
    <definedName name="solver_lhs160" localSheetId="7" hidden="1">'KO Calc'!$BA$28</definedName>
    <definedName name="solver_lhs161" localSheetId="7" hidden="1">'KO Calc'!$BA$28</definedName>
    <definedName name="solver_lhs162" localSheetId="7" hidden="1">'KO Calc'!$BC$30</definedName>
    <definedName name="solver_lhs163" localSheetId="7" hidden="1">'KO Calc'!$BA$25</definedName>
    <definedName name="solver_lhs164" localSheetId="7" hidden="1">'KO Calc'!$BA$25</definedName>
    <definedName name="solver_lhs165" localSheetId="7" hidden="1">'KO Calc'!$BA$26</definedName>
    <definedName name="solver_lhs166" localSheetId="7" hidden="1">'KO Calc'!$BA$26</definedName>
    <definedName name="solver_lhs167" localSheetId="7" hidden="1">'KO Calc'!$BA$27</definedName>
    <definedName name="solver_lhs168" localSheetId="7" hidden="1">'KO Calc'!$BA$27</definedName>
    <definedName name="solver_lhs169" localSheetId="7" hidden="1">'KO Calc'!$BA$28</definedName>
    <definedName name="solver_lhs17" localSheetId="7" hidden="1">'KO Calc'!$BC$30</definedName>
    <definedName name="solver_lhs170" localSheetId="7" hidden="1">'KO Calc'!$BA$28</definedName>
    <definedName name="solver_lhs171" localSheetId="7" hidden="1">'KO Calc'!$BC$30</definedName>
    <definedName name="solver_lhs172" localSheetId="7" hidden="1">'KO Calc'!$BA$25</definedName>
    <definedName name="solver_lhs173" localSheetId="7" hidden="1">'KO Calc'!$BA$25</definedName>
    <definedName name="solver_lhs174" localSheetId="7" hidden="1">'KO Calc'!$BA$26</definedName>
    <definedName name="solver_lhs175" localSheetId="7" hidden="1">'KO Calc'!$BA$26</definedName>
    <definedName name="solver_lhs176" localSheetId="7" hidden="1">'KO Calc'!$BA$27</definedName>
    <definedName name="solver_lhs177" localSheetId="7" hidden="1">'KO Calc'!$BA$27</definedName>
    <definedName name="solver_lhs178" localSheetId="7" hidden="1">'KO Calc'!$BA$28</definedName>
    <definedName name="solver_lhs179" localSheetId="7" hidden="1">'KO Calc'!$BA$28</definedName>
    <definedName name="solver_lhs18" localSheetId="7" hidden="1">'KO Calc'!$BC$30</definedName>
    <definedName name="solver_lhs180" localSheetId="7" hidden="1">'KO Calc'!$BC$30</definedName>
    <definedName name="solver_lhs181" localSheetId="7" hidden="1">'KO Calc'!$BA$25</definedName>
    <definedName name="solver_lhs182" localSheetId="7" hidden="1">'KO Calc'!$BA$25</definedName>
    <definedName name="solver_lhs183" localSheetId="7" hidden="1">'KO Calc'!$BA$26</definedName>
    <definedName name="solver_lhs184" localSheetId="7" hidden="1">'KO Calc'!$BA$26</definedName>
    <definedName name="solver_lhs185" localSheetId="7" hidden="1">'KO Calc'!$BA$27</definedName>
    <definedName name="solver_lhs186" localSheetId="7" hidden="1">'KO Calc'!$BA$27</definedName>
    <definedName name="solver_lhs187" localSheetId="7" hidden="1">'KO Calc'!$BA$28</definedName>
    <definedName name="solver_lhs188" localSheetId="7" hidden="1">'KO Calc'!$BA$28</definedName>
    <definedName name="solver_lhs189" localSheetId="7" hidden="1">'KO Calc'!$BC$30</definedName>
    <definedName name="solver_lhs19" localSheetId="7" hidden="1">'KO Calc'!$BA$25</definedName>
    <definedName name="solver_lhs190" localSheetId="7" hidden="1">'KO Calc'!$BA$25</definedName>
    <definedName name="solver_lhs191" localSheetId="7" hidden="1">'KO Calc'!$BA$25</definedName>
    <definedName name="solver_lhs192" localSheetId="7" hidden="1">'KO Calc'!$BA$26</definedName>
    <definedName name="solver_lhs193" localSheetId="7" hidden="1">'KO Calc'!$BA$26</definedName>
    <definedName name="solver_lhs194" localSheetId="7" hidden="1">'KO Calc'!$BA$27</definedName>
    <definedName name="solver_lhs195" localSheetId="7" hidden="1">'KO Calc'!$BA$27</definedName>
    <definedName name="solver_lhs196" localSheetId="7" hidden="1">'KO Calc'!$BA$28</definedName>
    <definedName name="solver_lhs197" localSheetId="7" hidden="1">'KO Calc'!$BA$28</definedName>
    <definedName name="solver_lhs198" localSheetId="7" hidden="1">'KO Calc'!$BC$30</definedName>
    <definedName name="solver_lhs199" localSheetId="7" hidden="1">'KO Calc'!$BA$25</definedName>
    <definedName name="solver_lhs2" localSheetId="7" hidden="1">'KO Calc'!$BA$33</definedName>
    <definedName name="solver_lhs20" localSheetId="7" hidden="1">'KO Calc'!$BA$25</definedName>
    <definedName name="solver_lhs200" localSheetId="7" hidden="1">'KO Calc'!$BA$25</definedName>
    <definedName name="solver_lhs201" localSheetId="7" hidden="1">'KO Calc'!$BA$26</definedName>
    <definedName name="solver_lhs202" localSheetId="7" hidden="1">'KO Calc'!$BA$26</definedName>
    <definedName name="solver_lhs203" localSheetId="7" hidden="1">'KO Calc'!$BA$27</definedName>
    <definedName name="solver_lhs204" localSheetId="7" hidden="1">'KO Calc'!$BA$27</definedName>
    <definedName name="solver_lhs205" localSheetId="7" hidden="1">'KO Calc'!$BA$28</definedName>
    <definedName name="solver_lhs206" localSheetId="7" hidden="1">'KO Calc'!$BA$28</definedName>
    <definedName name="solver_lhs207" localSheetId="7" hidden="1">'KO Calc'!$BC$30</definedName>
    <definedName name="solver_lhs208" localSheetId="7" hidden="1">'KO Calc'!$BA$25</definedName>
    <definedName name="solver_lhs209" localSheetId="7" hidden="1">'KO Calc'!$BA$25</definedName>
    <definedName name="solver_lhs21" localSheetId="7" hidden="1">'KO Calc'!$BA$26</definedName>
    <definedName name="solver_lhs210" localSheetId="7" hidden="1">'KO Calc'!$BA$26</definedName>
    <definedName name="solver_lhs211" localSheetId="7" hidden="1">'KO Calc'!$BA$26</definedName>
    <definedName name="solver_lhs212" localSheetId="7" hidden="1">'KO Calc'!$BA$27</definedName>
    <definedName name="solver_lhs213" localSheetId="7" hidden="1">'KO Calc'!$BA$27</definedName>
    <definedName name="solver_lhs214" localSheetId="7" hidden="1">'KO Calc'!$BA$28</definedName>
    <definedName name="solver_lhs215" localSheetId="7" hidden="1">'KO Calc'!$BA$28</definedName>
    <definedName name="solver_lhs216" localSheetId="7" hidden="1">'KO Calc'!$BC$30</definedName>
    <definedName name="solver_lhs217" localSheetId="7" hidden="1">'KO Calc'!$BA$25</definedName>
    <definedName name="solver_lhs218" localSheetId="7" hidden="1">'KO Calc'!$BA$25</definedName>
    <definedName name="solver_lhs219" localSheetId="7" hidden="1">'KO Calc'!$BA$26</definedName>
    <definedName name="solver_lhs22" localSheetId="7" hidden="1">'KO Calc'!$BA$26</definedName>
    <definedName name="solver_lhs220" localSheetId="7" hidden="1">'KO Calc'!$BA$26</definedName>
    <definedName name="solver_lhs221" localSheetId="7" hidden="1">'KO Calc'!$BA$27</definedName>
    <definedName name="solver_lhs222" localSheetId="7" hidden="1">'KO Calc'!$BA$27</definedName>
    <definedName name="solver_lhs223" localSheetId="7" hidden="1">'KO Calc'!$BA$28</definedName>
    <definedName name="solver_lhs224" localSheetId="7" hidden="1">'KO Calc'!$BA$28</definedName>
    <definedName name="solver_lhs225" localSheetId="7" hidden="1">'KO Calc'!$BC$30</definedName>
    <definedName name="solver_lhs226" localSheetId="7" hidden="1">'KO Calc'!$BA$25</definedName>
    <definedName name="solver_lhs227" localSheetId="7" hidden="1">'KO Calc'!$BA$25</definedName>
    <definedName name="solver_lhs228" localSheetId="7" hidden="1">'KO Calc'!$BA$26</definedName>
    <definedName name="solver_lhs229" localSheetId="7" hidden="1">'KO Calc'!$BA$26</definedName>
    <definedName name="solver_lhs23" localSheetId="7" hidden="1">'KO Calc'!$BA$27</definedName>
    <definedName name="solver_lhs230" localSheetId="7" hidden="1">'KO Calc'!$BA$27</definedName>
    <definedName name="solver_lhs231" localSheetId="7" hidden="1">'KO Calc'!$BA$27</definedName>
    <definedName name="solver_lhs232" localSheetId="7" hidden="1">'KO Calc'!$BA$28</definedName>
    <definedName name="solver_lhs233" localSheetId="7" hidden="1">'KO Calc'!$BA$28</definedName>
    <definedName name="solver_lhs234" localSheetId="7" hidden="1">'KO Calc'!$BC$30</definedName>
    <definedName name="solver_lhs235" localSheetId="7" hidden="1">'KO Calc'!$BA$25</definedName>
    <definedName name="solver_lhs236" localSheetId="7" hidden="1">'KO Calc'!$BA$25</definedName>
    <definedName name="solver_lhs237" localSheetId="7" hidden="1">'KO Calc'!$BA$26</definedName>
    <definedName name="solver_lhs238" localSheetId="7" hidden="1">'KO Calc'!$BA$26</definedName>
    <definedName name="solver_lhs239" localSheetId="7" hidden="1">'KO Calc'!$BA$27</definedName>
    <definedName name="solver_lhs24" localSheetId="7" hidden="1">'KO Calc'!$BA$27</definedName>
    <definedName name="solver_lhs240" localSheetId="7" hidden="1">'KO Calc'!$BA$27</definedName>
    <definedName name="solver_lhs241" localSheetId="7" hidden="1">'KO Calc'!$BA$28</definedName>
    <definedName name="solver_lhs242" localSheetId="7" hidden="1">'KO Calc'!$BA$28</definedName>
    <definedName name="solver_lhs243" localSheetId="7" hidden="1">'KO Calc'!$BC$30</definedName>
    <definedName name="solver_lhs244" localSheetId="7" hidden="1">'KO Calc'!$BA$25</definedName>
    <definedName name="solver_lhs245" localSheetId="7" hidden="1">'KO Calc'!$BA$25</definedName>
    <definedName name="solver_lhs246" localSheetId="7" hidden="1">'KO Calc'!$BA$26</definedName>
    <definedName name="solver_lhs247" localSheetId="7" hidden="1">'KO Calc'!$BA$26</definedName>
    <definedName name="solver_lhs248" localSheetId="7" hidden="1">'KO Calc'!$BA$27</definedName>
    <definedName name="solver_lhs249" localSheetId="7" hidden="1">'KO Calc'!$BA$27</definedName>
    <definedName name="solver_lhs25" localSheetId="7" hidden="1">'KO Calc'!$BA$28</definedName>
    <definedName name="solver_lhs250" localSheetId="7" hidden="1">'KO Calc'!$BA$28</definedName>
    <definedName name="solver_lhs251" localSheetId="7" hidden="1">'KO Calc'!$BA$28</definedName>
    <definedName name="solver_lhs252" localSheetId="7" hidden="1">'KO Calc'!$BC$30</definedName>
    <definedName name="solver_lhs253" localSheetId="7" hidden="1">'KO Calc'!$BA$25</definedName>
    <definedName name="solver_lhs254" localSheetId="7" hidden="1">'KO Calc'!$BA$25</definedName>
    <definedName name="solver_lhs255" localSheetId="7" hidden="1">'KO Calc'!$BA$26</definedName>
    <definedName name="solver_lhs256" localSheetId="7" hidden="1">'KO Calc'!$BA$26</definedName>
    <definedName name="solver_lhs257" localSheetId="7" hidden="1">'KO Calc'!$BA$27</definedName>
    <definedName name="solver_lhs258" localSheetId="7" hidden="1">'KO Calc'!$BA$27</definedName>
    <definedName name="solver_lhs259" localSheetId="7" hidden="1">'KO Calc'!$BA$28</definedName>
    <definedName name="solver_lhs26" localSheetId="7" hidden="1">'KO Calc'!$BA$28</definedName>
    <definedName name="solver_lhs260" localSheetId="7" hidden="1">'KO Calc'!$BA$28</definedName>
    <definedName name="solver_lhs261" localSheetId="7" hidden="1">'KO Calc'!$BC$30</definedName>
    <definedName name="solver_lhs262" localSheetId="7" hidden="1">'KO Calc'!$BA$25</definedName>
    <definedName name="solver_lhs263" localSheetId="7" hidden="1">'KO Calc'!$BA$25</definedName>
    <definedName name="solver_lhs264" localSheetId="7" hidden="1">'KO Calc'!$BA$26</definedName>
    <definedName name="solver_lhs265" localSheetId="7" hidden="1">'KO Calc'!$BA$26</definedName>
    <definedName name="solver_lhs266" localSheetId="7" hidden="1">'KO Calc'!$BA$27</definedName>
    <definedName name="solver_lhs267" localSheetId="7" hidden="1">'KO Calc'!$BA$27</definedName>
    <definedName name="solver_lhs268" localSheetId="7" hidden="1">'KO Calc'!$BA$28</definedName>
    <definedName name="solver_lhs269" localSheetId="7" hidden="1">'KO Calc'!$BA$28</definedName>
    <definedName name="solver_lhs27" localSheetId="7" hidden="1">'KO Calc'!$BC$30</definedName>
    <definedName name="solver_lhs270" localSheetId="7" hidden="1">'KO Calc'!$BC$30</definedName>
    <definedName name="solver_lhs271" localSheetId="7" hidden="1">'KO Calc'!$BA$25</definedName>
    <definedName name="solver_lhs272" localSheetId="7" hidden="1">'KO Calc'!$BA$25</definedName>
    <definedName name="solver_lhs273" localSheetId="7" hidden="1">'KO Calc'!$BA$26</definedName>
    <definedName name="solver_lhs274" localSheetId="7" hidden="1">'KO Calc'!$BA$26</definedName>
    <definedName name="solver_lhs275" localSheetId="7" hidden="1">'KO Calc'!$BA$27</definedName>
    <definedName name="solver_lhs276" localSheetId="7" hidden="1">'KO Calc'!$BA$27</definedName>
    <definedName name="solver_lhs277" localSheetId="7" hidden="1">'KO Calc'!$BA$28</definedName>
    <definedName name="solver_lhs278" localSheetId="7" hidden="1">'KO Calc'!$BA$28</definedName>
    <definedName name="solver_lhs279" localSheetId="7" hidden="1">'KO Calc'!$BC$30</definedName>
    <definedName name="solver_lhs28" localSheetId="7" hidden="1">'KO Calc'!$BA$25</definedName>
    <definedName name="solver_lhs280" localSheetId="7" hidden="1">'KO Calc'!$BA$25</definedName>
    <definedName name="solver_lhs281" localSheetId="7" hidden="1">'KO Calc'!$BA$25</definedName>
    <definedName name="solver_lhs282" localSheetId="7" hidden="1">'KO Calc'!$BA$26</definedName>
    <definedName name="solver_lhs283" localSheetId="7" hidden="1">'KO Calc'!$BA$26</definedName>
    <definedName name="solver_lhs284" localSheetId="7" hidden="1">'KO Calc'!$BA$27</definedName>
    <definedName name="solver_lhs285" localSheetId="7" hidden="1">'KO Calc'!$BA$27</definedName>
    <definedName name="solver_lhs286" localSheetId="7" hidden="1">'KO Calc'!$BA$28</definedName>
    <definedName name="solver_lhs287" localSheetId="7" hidden="1">'KO Calc'!$BA$28</definedName>
    <definedName name="solver_lhs288" localSheetId="7" hidden="1">'KO Calc'!$BC$30</definedName>
    <definedName name="solver_lhs289" localSheetId="7" hidden="1">'KO Calc'!$BA$25</definedName>
    <definedName name="solver_lhs29" localSheetId="7" hidden="1">'KO Calc'!$BA$25</definedName>
    <definedName name="solver_lhs290" localSheetId="7" hidden="1">'KO Calc'!$BA$25</definedName>
    <definedName name="solver_lhs291" localSheetId="7" hidden="1">'KO Calc'!$BA$26</definedName>
    <definedName name="solver_lhs292" localSheetId="7" hidden="1">'KO Calc'!$BA$26</definedName>
    <definedName name="solver_lhs293" localSheetId="7" hidden="1">'KO Calc'!$BA$27</definedName>
    <definedName name="solver_lhs294" localSheetId="7" hidden="1">'KO Calc'!$BA$27</definedName>
    <definedName name="solver_lhs295" localSheetId="7" hidden="1">'KO Calc'!$BA$28</definedName>
    <definedName name="solver_lhs296" localSheetId="7" hidden="1">'KO Calc'!$BA$28</definedName>
    <definedName name="solver_lhs297" localSheetId="7" hidden="1">'KO Calc'!$BC$30</definedName>
    <definedName name="solver_lhs298" localSheetId="7" hidden="1">'KO Calc'!$BA$25</definedName>
    <definedName name="solver_lhs299" localSheetId="7" hidden="1">'KO Calc'!$BA$25</definedName>
    <definedName name="solver_lhs3" localSheetId="7" hidden="1">'KO Calc'!$BA$34</definedName>
    <definedName name="solver_lhs30" localSheetId="7" hidden="1">'KO Calc'!$BA$26</definedName>
    <definedName name="solver_lhs300" localSheetId="7" hidden="1">'KO Calc'!$BA$26</definedName>
    <definedName name="solver_lhs301" localSheetId="7" hidden="1">'KO Calc'!$BA$26</definedName>
    <definedName name="solver_lhs302" localSheetId="7" hidden="1">'KO Calc'!$BA$27</definedName>
    <definedName name="solver_lhs303" localSheetId="7" hidden="1">'KO Calc'!$BA$27</definedName>
    <definedName name="solver_lhs304" localSheetId="7" hidden="1">'KO Calc'!$BA$28</definedName>
    <definedName name="solver_lhs305" localSheetId="7" hidden="1">'KO Calc'!$BA$28</definedName>
    <definedName name="solver_lhs306" localSheetId="7" hidden="1">'KO Calc'!$BC$30</definedName>
    <definedName name="solver_lhs307" localSheetId="7" hidden="1">'KO Calc'!$BA$25</definedName>
    <definedName name="solver_lhs308" localSheetId="7" hidden="1">'KO Calc'!$BA$25</definedName>
    <definedName name="solver_lhs309" localSheetId="7" hidden="1">'KO Calc'!$BA$26</definedName>
    <definedName name="solver_lhs31" localSheetId="7" hidden="1">'KO Calc'!$BA$26</definedName>
    <definedName name="solver_lhs310" localSheetId="7" hidden="1">'KO Calc'!$BA$26</definedName>
    <definedName name="solver_lhs311" localSheetId="7" hidden="1">'KO Calc'!$BA$27</definedName>
    <definedName name="solver_lhs312" localSheetId="7" hidden="1">'KO Calc'!$BA$27</definedName>
    <definedName name="solver_lhs313" localSheetId="7" hidden="1">'KO Calc'!$BA$28</definedName>
    <definedName name="solver_lhs314" localSheetId="7" hidden="1">'KO Calc'!$BA$28</definedName>
    <definedName name="solver_lhs315" localSheetId="7" hidden="1">'KO Calc'!$BC$30</definedName>
    <definedName name="solver_lhs316" localSheetId="7" hidden="1">'KO Calc'!$BA$25</definedName>
    <definedName name="solver_lhs317" localSheetId="7" hidden="1">'KO Calc'!$BA$25</definedName>
    <definedName name="solver_lhs318" localSheetId="7" hidden="1">'KO Calc'!$BA$26</definedName>
    <definedName name="solver_lhs319" localSheetId="7" hidden="1">'KO Calc'!$BA$26</definedName>
    <definedName name="solver_lhs32" localSheetId="7" hidden="1">'KO Calc'!$BA$27</definedName>
    <definedName name="solver_lhs320" localSheetId="7" hidden="1">'KO Calc'!$BA$27</definedName>
    <definedName name="solver_lhs321" localSheetId="7" hidden="1">'KO Calc'!$BA$27</definedName>
    <definedName name="solver_lhs322" localSheetId="7" hidden="1">'KO Calc'!$BA$28</definedName>
    <definedName name="solver_lhs323" localSheetId="7" hidden="1">'KO Calc'!$BA$28</definedName>
    <definedName name="solver_lhs324" localSheetId="7" hidden="1">'KO Calc'!$BC$30</definedName>
    <definedName name="solver_lhs325" localSheetId="7" hidden="1">'KO Calc'!$BA$25</definedName>
    <definedName name="solver_lhs326" localSheetId="7" hidden="1">'KO Calc'!$BA$25</definedName>
    <definedName name="solver_lhs327" localSheetId="7" hidden="1">'KO Calc'!$BA$26</definedName>
    <definedName name="solver_lhs328" localSheetId="7" hidden="1">'KO Calc'!$BA$26</definedName>
    <definedName name="solver_lhs329" localSheetId="7" hidden="1">'KO Calc'!$BA$27</definedName>
    <definedName name="solver_lhs33" localSheetId="7" hidden="1">'KO Calc'!$BA$27</definedName>
    <definedName name="solver_lhs330" localSheetId="7" hidden="1">'KO Calc'!$BA$27</definedName>
    <definedName name="solver_lhs331" localSheetId="7" hidden="1">'KO Calc'!$BA$28</definedName>
    <definedName name="solver_lhs332" localSheetId="7" hidden="1">'KO Calc'!$BA$28</definedName>
    <definedName name="solver_lhs333" localSheetId="7" hidden="1">'KO Calc'!$BC$30</definedName>
    <definedName name="solver_lhs334" localSheetId="7" hidden="1">'KO Calc'!$BA$25</definedName>
    <definedName name="solver_lhs335" localSheetId="7" hidden="1">'KO Calc'!$BA$25</definedName>
    <definedName name="solver_lhs336" localSheetId="7" hidden="1">'KO Calc'!$BA$26</definedName>
    <definedName name="solver_lhs337" localSheetId="7" hidden="1">'KO Calc'!$BA$26</definedName>
    <definedName name="solver_lhs338" localSheetId="7" hidden="1">'KO Calc'!$BA$27</definedName>
    <definedName name="solver_lhs339" localSheetId="7" hidden="1">'KO Calc'!$BA$27</definedName>
    <definedName name="solver_lhs34" localSheetId="7" hidden="1">'KO Calc'!$BA$28</definedName>
    <definedName name="solver_lhs340" localSheetId="7" hidden="1">'KO Calc'!$BA$28</definedName>
    <definedName name="solver_lhs341" localSheetId="7" hidden="1">'KO Calc'!$BA$28</definedName>
    <definedName name="solver_lhs342" localSheetId="7" hidden="1">'KO Calc'!$BC$30</definedName>
    <definedName name="solver_lhs343" localSheetId="7" hidden="1">'KO Calc'!$BA$25</definedName>
    <definedName name="solver_lhs344" localSheetId="7" hidden="1">'KO Calc'!$BA$25</definedName>
    <definedName name="solver_lhs345" localSheetId="7" hidden="1">'KO Calc'!$BA$26</definedName>
    <definedName name="solver_lhs346" localSheetId="7" hidden="1">'KO Calc'!$BA$26</definedName>
    <definedName name="solver_lhs347" localSheetId="7" hidden="1">'KO Calc'!$BA$27</definedName>
    <definedName name="solver_lhs348" localSheetId="7" hidden="1">'KO Calc'!$BA$27</definedName>
    <definedName name="solver_lhs349" localSheetId="7" hidden="1">'KO Calc'!$BA$28</definedName>
    <definedName name="solver_lhs35" localSheetId="7" hidden="1">'KO Calc'!$BA$28</definedName>
    <definedName name="solver_lhs350" localSheetId="7" hidden="1">'KO Calc'!$BA$28</definedName>
    <definedName name="solver_lhs351" localSheetId="7" hidden="1">'KO Calc'!$BC$30</definedName>
    <definedName name="solver_lhs352" localSheetId="7" hidden="1">'KO Calc'!$BA$25</definedName>
    <definedName name="solver_lhs353" localSheetId="7" hidden="1">'KO Calc'!$BA$25</definedName>
    <definedName name="solver_lhs354" localSheetId="7" hidden="1">'KO Calc'!$BA$26</definedName>
    <definedName name="solver_lhs355" localSheetId="7" hidden="1">'KO Calc'!$BA$26</definedName>
    <definedName name="solver_lhs356" localSheetId="7" hidden="1">'KO Calc'!$BA$27</definedName>
    <definedName name="solver_lhs357" localSheetId="7" hidden="1">'KO Calc'!$BA$27</definedName>
    <definedName name="solver_lhs358" localSheetId="7" hidden="1">'KO Calc'!$BA$28</definedName>
    <definedName name="solver_lhs359" localSheetId="7" hidden="1">'KO Calc'!$BA$28</definedName>
    <definedName name="solver_lhs36" localSheetId="7" hidden="1">'KO Calc'!$BC$30</definedName>
    <definedName name="solver_lhs360" localSheetId="7" hidden="1">'KO Calc'!$BC$30</definedName>
    <definedName name="solver_lhs361" localSheetId="7" hidden="1">'KO Calc'!$BA$25</definedName>
    <definedName name="solver_lhs362" localSheetId="7" hidden="1">'KO Calc'!$BA$25</definedName>
    <definedName name="solver_lhs363" localSheetId="7" hidden="1">'KO Calc'!$BA$26</definedName>
    <definedName name="solver_lhs364" localSheetId="7" hidden="1">'KO Calc'!$BA$26</definedName>
    <definedName name="solver_lhs365" localSheetId="7" hidden="1">'KO Calc'!$BA$27</definedName>
    <definedName name="solver_lhs366" localSheetId="7" hidden="1">'KO Calc'!$BA$27</definedName>
    <definedName name="solver_lhs367" localSheetId="7" hidden="1">'KO Calc'!$BA$28</definedName>
    <definedName name="solver_lhs368" localSheetId="7" hidden="1">'KO Calc'!$BA$28</definedName>
    <definedName name="solver_lhs369" localSheetId="7" hidden="1">'KO Calc'!$BC$30</definedName>
    <definedName name="solver_lhs37" localSheetId="7" hidden="1">'KO Calc'!$BA$25</definedName>
    <definedName name="solver_lhs370" localSheetId="7" hidden="1">'KO Calc'!$BA$25</definedName>
    <definedName name="solver_lhs371" localSheetId="7" hidden="1">'KO Calc'!$BA$25</definedName>
    <definedName name="solver_lhs372" localSheetId="7" hidden="1">'KO Calc'!$BA$26</definedName>
    <definedName name="solver_lhs373" localSheetId="7" hidden="1">'KO Calc'!$BA$26</definedName>
    <definedName name="solver_lhs374" localSheetId="7" hidden="1">'KO Calc'!$BA$27</definedName>
    <definedName name="solver_lhs375" localSheetId="7" hidden="1">'KO Calc'!$BA$27</definedName>
    <definedName name="solver_lhs376" localSheetId="7" hidden="1">'KO Calc'!$BA$28</definedName>
    <definedName name="solver_lhs377" localSheetId="7" hidden="1">'KO Calc'!$BA$28</definedName>
    <definedName name="solver_lhs378" localSheetId="7" hidden="1">'KO Calc'!$BC$30</definedName>
    <definedName name="solver_lhs379" localSheetId="7" hidden="1">'KO Calc'!$BA$33</definedName>
    <definedName name="solver_lhs38" localSheetId="7" hidden="1">'KO Calc'!$BA$25</definedName>
    <definedName name="solver_lhs380" localSheetId="7" hidden="1">'KO Calc'!$BA$33</definedName>
    <definedName name="solver_lhs381" localSheetId="7" hidden="1">'KO Calc'!$BA$34</definedName>
    <definedName name="solver_lhs382" localSheetId="7" hidden="1">'KO Calc'!$BA$34</definedName>
    <definedName name="solver_lhs383" localSheetId="7" hidden="1">'KO Calc'!$BA$35</definedName>
    <definedName name="solver_lhs384" localSheetId="7" hidden="1">'KO Calc'!$BA$35</definedName>
    <definedName name="solver_lhs385" localSheetId="7" hidden="1">'KO Calc'!$BA$36</definedName>
    <definedName name="solver_lhs386" localSheetId="7" hidden="1">'KO Calc'!$BA$36</definedName>
    <definedName name="solver_lhs387" localSheetId="7" hidden="1">'KO Calc'!$BC$38</definedName>
    <definedName name="solver_lhs388" localSheetId="7" hidden="1">'KO Calc'!$BA$33</definedName>
    <definedName name="solver_lhs389" localSheetId="7" hidden="1">'KO Calc'!$BA$33</definedName>
    <definedName name="solver_lhs39" localSheetId="7" hidden="1">'KO Calc'!$BA$26</definedName>
    <definedName name="solver_lhs390" localSheetId="7" hidden="1">'KO Calc'!$BA$34</definedName>
    <definedName name="solver_lhs391" localSheetId="7" hidden="1">'KO Calc'!$BA$34</definedName>
    <definedName name="solver_lhs392" localSheetId="7" hidden="1">'KO Calc'!$BA$35</definedName>
    <definedName name="solver_lhs393" localSheetId="7" hidden="1">'KO Calc'!$BA$35</definedName>
    <definedName name="solver_lhs394" localSheetId="7" hidden="1">'KO Calc'!$BA$36</definedName>
    <definedName name="solver_lhs395" localSheetId="7" hidden="1">'KO Calc'!$BA$36</definedName>
    <definedName name="solver_lhs396" localSheetId="7" hidden="1">'KO Calc'!$BC$38</definedName>
    <definedName name="solver_lhs397" localSheetId="7" hidden="1">'KO Calc'!$BA$33</definedName>
    <definedName name="solver_lhs398" localSheetId="7" hidden="1">'KO Calc'!$BA$33</definedName>
    <definedName name="solver_lhs399" localSheetId="7" hidden="1">'KO Calc'!$BA$34</definedName>
    <definedName name="solver_lhs4" localSheetId="7" hidden="1">'KO Calc'!$BA$34</definedName>
    <definedName name="solver_lhs40" localSheetId="7" hidden="1">'KO Calc'!$BA$26</definedName>
    <definedName name="solver_lhs400" localSheetId="7" hidden="1">'KO Calc'!$BA$34</definedName>
    <definedName name="solver_lhs401" localSheetId="7" hidden="1">'KO Calc'!$BA$35</definedName>
    <definedName name="solver_lhs402" localSheetId="7" hidden="1">'KO Calc'!$BA$35</definedName>
    <definedName name="solver_lhs403" localSheetId="7" hidden="1">'KO Calc'!$BA$36</definedName>
    <definedName name="solver_lhs404" localSheetId="7" hidden="1">'KO Calc'!$BA$36</definedName>
    <definedName name="solver_lhs405" localSheetId="7" hidden="1">'KO Calc'!$BC$38</definedName>
    <definedName name="solver_lhs406" localSheetId="7" hidden="1">'KO Calc'!$BA$33</definedName>
    <definedName name="solver_lhs407" localSheetId="7" hidden="1">'KO Calc'!$BA$33</definedName>
    <definedName name="solver_lhs408" localSheetId="7" hidden="1">'KO Calc'!$BA$34</definedName>
    <definedName name="solver_lhs409" localSheetId="7" hidden="1">'KO Calc'!$BA$34</definedName>
    <definedName name="solver_lhs41" localSheetId="7" hidden="1">'KO Calc'!$BA$27</definedName>
    <definedName name="solver_lhs410" localSheetId="7" hidden="1">'KO Calc'!$BA$35</definedName>
    <definedName name="solver_lhs411" localSheetId="7" hidden="1">'KO Calc'!$BA$35</definedName>
    <definedName name="solver_lhs412" localSheetId="7" hidden="1">'KO Calc'!$BA$36</definedName>
    <definedName name="solver_lhs413" localSheetId="7" hidden="1">'KO Calc'!$BA$36</definedName>
    <definedName name="solver_lhs414" localSheetId="7" hidden="1">'KO Calc'!$BC$38</definedName>
    <definedName name="solver_lhs415" localSheetId="7" hidden="1">'KO Calc'!$BA$33</definedName>
    <definedName name="solver_lhs416" localSheetId="7" hidden="1">'KO Calc'!$BA$33</definedName>
    <definedName name="solver_lhs417" localSheetId="7" hidden="1">'KO Calc'!$BA$34</definedName>
    <definedName name="solver_lhs418" localSheetId="7" hidden="1">'KO Calc'!$BA$34</definedName>
    <definedName name="solver_lhs419" localSheetId="7" hidden="1">'KO Calc'!$BA$35</definedName>
    <definedName name="solver_lhs42" localSheetId="7" hidden="1">'KO Calc'!$BA$27</definedName>
    <definedName name="solver_lhs420" localSheetId="7" hidden="1">'KO Calc'!$BA$35</definedName>
    <definedName name="solver_lhs421" localSheetId="7" hidden="1">'KO Calc'!$BA$36</definedName>
    <definedName name="solver_lhs422" localSheetId="7" hidden="1">'KO Calc'!$BA$36</definedName>
    <definedName name="solver_lhs423" localSheetId="7" hidden="1">'KO Calc'!$BC$38</definedName>
    <definedName name="solver_lhs424" localSheetId="7" hidden="1">'KO Calc'!$BA$33</definedName>
    <definedName name="solver_lhs425" localSheetId="7" hidden="1">'KO Calc'!$BA$33</definedName>
    <definedName name="solver_lhs426" localSheetId="7" hidden="1">'KO Calc'!$BA$34</definedName>
    <definedName name="solver_lhs427" localSheetId="7" hidden="1">'KO Calc'!$BA$34</definedName>
    <definedName name="solver_lhs428" localSheetId="7" hidden="1">'KO Calc'!$BA$35</definedName>
    <definedName name="solver_lhs429" localSheetId="7" hidden="1">'KO Calc'!$BA$35</definedName>
    <definedName name="solver_lhs43" localSheetId="7" hidden="1">'KO Calc'!$BA$28</definedName>
    <definedName name="solver_lhs430" localSheetId="7" hidden="1">'KO Calc'!$BA$36</definedName>
    <definedName name="solver_lhs431" localSheetId="7" hidden="1">'KO Calc'!$BA$36</definedName>
    <definedName name="solver_lhs432" localSheetId="7" hidden="1">'KO Calc'!$BC$38</definedName>
    <definedName name="solver_lhs433" localSheetId="7" hidden="1">'KO Calc'!$BA$33</definedName>
    <definedName name="solver_lhs434" localSheetId="7" hidden="1">'KO Calc'!$BA$33</definedName>
    <definedName name="solver_lhs435" localSheetId="7" hidden="1">'KO Calc'!$BA$34</definedName>
    <definedName name="solver_lhs436" localSheetId="7" hidden="1">'KO Calc'!$BA$34</definedName>
    <definedName name="solver_lhs437" localSheetId="7" hidden="1">'KO Calc'!$BA$35</definedName>
    <definedName name="solver_lhs438" localSheetId="7" hidden="1">'KO Calc'!$BA$35</definedName>
    <definedName name="solver_lhs439" localSheetId="7" hidden="1">'KO Calc'!$BA$36</definedName>
    <definedName name="solver_lhs44" localSheetId="7" hidden="1">'KO Calc'!$BA$28</definedName>
    <definedName name="solver_lhs440" localSheetId="7" hidden="1">'KO Calc'!$BA$36</definedName>
    <definedName name="solver_lhs441" localSheetId="7" hidden="1">'KO Calc'!$BC$38</definedName>
    <definedName name="solver_lhs442" localSheetId="7" hidden="1">'KO Calc'!$BA$33</definedName>
    <definedName name="solver_lhs443" localSheetId="7" hidden="1">'KO Calc'!$BA$33</definedName>
    <definedName name="solver_lhs444" localSheetId="7" hidden="1">'KO Calc'!$BA$34</definedName>
    <definedName name="solver_lhs445" localSheetId="7" hidden="1">'KO Calc'!$BA$34</definedName>
    <definedName name="solver_lhs446" localSheetId="7" hidden="1">'KO Calc'!$BA$35</definedName>
    <definedName name="solver_lhs447" localSheetId="7" hidden="1">'KO Calc'!$BA$35</definedName>
    <definedName name="solver_lhs448" localSheetId="7" hidden="1">'KO Calc'!$BA$36</definedName>
    <definedName name="solver_lhs449" localSheetId="7" hidden="1">'KO Calc'!$BA$36</definedName>
    <definedName name="solver_lhs45" localSheetId="7" hidden="1">'KO Calc'!$BC$30</definedName>
    <definedName name="solver_lhs450" localSheetId="7" hidden="1">'KO Calc'!$BC$38</definedName>
    <definedName name="solver_lhs451" localSheetId="7" hidden="1">'KO Calc'!$BA$33</definedName>
    <definedName name="solver_lhs452" localSheetId="7" hidden="1">'KO Calc'!$BA$33</definedName>
    <definedName name="solver_lhs453" localSheetId="7" hidden="1">'KO Calc'!$BA$34</definedName>
    <definedName name="solver_lhs454" localSheetId="7" hidden="1">'KO Calc'!$BA$34</definedName>
    <definedName name="solver_lhs455" localSheetId="7" hidden="1">'KO Calc'!$BA$35</definedName>
    <definedName name="solver_lhs456" localSheetId="7" hidden="1">'KO Calc'!$BA$35</definedName>
    <definedName name="solver_lhs457" localSheetId="7" hidden="1">'KO Calc'!$BA$36</definedName>
    <definedName name="solver_lhs458" localSheetId="7" hidden="1">'KO Calc'!$BA$36</definedName>
    <definedName name="solver_lhs459" localSheetId="7" hidden="1">'KO Calc'!$BC$38</definedName>
    <definedName name="solver_lhs46" localSheetId="7" hidden="1">'KO Calc'!$BA$25</definedName>
    <definedName name="solver_lhs460" localSheetId="7" hidden="1">'KO Calc'!$BA$33</definedName>
    <definedName name="solver_lhs461" localSheetId="7" hidden="1">'KO Calc'!$BA$33</definedName>
    <definedName name="solver_lhs462" localSheetId="7" hidden="1">'KO Calc'!$BA$34</definedName>
    <definedName name="solver_lhs463" localSheetId="7" hidden="1">'KO Calc'!$BA$34</definedName>
    <definedName name="solver_lhs464" localSheetId="7" hidden="1">'KO Calc'!$BA$35</definedName>
    <definedName name="solver_lhs465" localSheetId="7" hidden="1">'KO Calc'!$BA$35</definedName>
    <definedName name="solver_lhs466" localSheetId="7" hidden="1">'KO Calc'!$BA$36</definedName>
    <definedName name="solver_lhs467" localSheetId="7" hidden="1">'KO Calc'!$BA$36</definedName>
    <definedName name="solver_lhs468" localSheetId="7" hidden="1">'KO Calc'!$BC$38</definedName>
    <definedName name="solver_lhs469" localSheetId="7" hidden="1">'KO Calc'!$BA$33</definedName>
    <definedName name="solver_lhs47" localSheetId="7" hidden="1">'KO Calc'!$BA$25</definedName>
    <definedName name="solver_lhs470" localSheetId="7" hidden="1">'KO Calc'!$BA$33</definedName>
    <definedName name="solver_lhs471" localSheetId="7" hidden="1">'KO Calc'!$BA$34</definedName>
    <definedName name="solver_lhs472" localSheetId="7" hidden="1">'KO Calc'!$BA$34</definedName>
    <definedName name="solver_lhs473" localSheetId="7" hidden="1">'KO Calc'!$BA$35</definedName>
    <definedName name="solver_lhs474" localSheetId="7" hidden="1">'KO Calc'!$BA$35</definedName>
    <definedName name="solver_lhs475" localSheetId="7" hidden="1">'KO Calc'!$BA$36</definedName>
    <definedName name="solver_lhs476" localSheetId="7" hidden="1">'KO Calc'!$BA$36</definedName>
    <definedName name="solver_lhs477" localSheetId="7" hidden="1">'KO Calc'!$BC$38</definedName>
    <definedName name="solver_lhs478" localSheetId="7" hidden="1">'KO Calc'!$BA$33</definedName>
    <definedName name="solver_lhs479" localSheetId="7" hidden="1">'KO Calc'!$BA$33</definedName>
    <definedName name="solver_lhs48" localSheetId="7" hidden="1">'KO Calc'!$BA$26</definedName>
    <definedName name="solver_lhs480" localSheetId="7" hidden="1">'KO Calc'!$BA$34</definedName>
    <definedName name="solver_lhs481" localSheetId="7" hidden="1">'KO Calc'!$BA$34</definedName>
    <definedName name="solver_lhs482" localSheetId="7" hidden="1">'KO Calc'!$BA$35</definedName>
    <definedName name="solver_lhs483" localSheetId="7" hidden="1">'KO Calc'!$BA$35</definedName>
    <definedName name="solver_lhs484" localSheetId="7" hidden="1">'KO Calc'!$BA$36</definedName>
    <definedName name="solver_lhs485" localSheetId="7" hidden="1">'KO Calc'!$BA$36</definedName>
    <definedName name="solver_lhs486" localSheetId="7" hidden="1">'KO Calc'!$BC$38</definedName>
    <definedName name="solver_lhs487" localSheetId="7" hidden="1">'KO Calc'!$BA$33</definedName>
    <definedName name="solver_lhs488" localSheetId="7" hidden="1">'KO Calc'!$BA$33</definedName>
    <definedName name="solver_lhs489" localSheetId="7" hidden="1">'KO Calc'!$BA$34</definedName>
    <definedName name="solver_lhs49" localSheetId="7" hidden="1">'KO Calc'!$BA$26</definedName>
    <definedName name="solver_lhs490" localSheetId="7" hidden="1">'KO Calc'!$BA$34</definedName>
    <definedName name="solver_lhs491" localSheetId="7" hidden="1">'KO Calc'!$BA$35</definedName>
    <definedName name="solver_lhs492" localSheetId="7" hidden="1">'KO Calc'!$BA$35</definedName>
    <definedName name="solver_lhs493" localSheetId="7" hidden="1">'KO Calc'!$BA$36</definedName>
    <definedName name="solver_lhs494" localSheetId="7" hidden="1">'KO Calc'!$BA$36</definedName>
    <definedName name="solver_lhs495" localSheetId="7" hidden="1">'KO Calc'!$BC$38</definedName>
    <definedName name="solver_lhs496" localSheetId="7" hidden="1">'KO Calc'!$BA$33</definedName>
    <definedName name="solver_lhs497" localSheetId="7" hidden="1">'KO Calc'!$BA$33</definedName>
    <definedName name="solver_lhs498" localSheetId="7" hidden="1">'KO Calc'!$BA$34</definedName>
    <definedName name="solver_lhs499" localSheetId="7" hidden="1">'KO Calc'!$BA$34</definedName>
    <definedName name="solver_lhs5" localSheetId="7" hidden="1">'KO Calc'!$BA$35</definedName>
    <definedName name="solver_lhs50" localSheetId="7" hidden="1">'KO Calc'!$BA$27</definedName>
    <definedName name="solver_lhs500" localSheetId="7" hidden="1">'KO Calc'!$BA$35</definedName>
    <definedName name="solver_lhs501" localSheetId="7" hidden="1">'KO Calc'!$BA$35</definedName>
    <definedName name="solver_lhs502" localSheetId="7" hidden="1">'KO Calc'!$BA$36</definedName>
    <definedName name="solver_lhs503" localSheetId="7" hidden="1">'KO Calc'!$BA$36</definedName>
    <definedName name="solver_lhs504" localSheetId="7" hidden="1">'KO Calc'!$BC$38</definedName>
    <definedName name="solver_lhs505" localSheetId="7" hidden="1">'KO Calc'!$BA$33</definedName>
    <definedName name="solver_lhs506" localSheetId="7" hidden="1">'KO Calc'!$BA$33</definedName>
    <definedName name="solver_lhs507" localSheetId="7" hidden="1">'KO Calc'!$BA$34</definedName>
    <definedName name="solver_lhs508" localSheetId="7" hidden="1">'KO Calc'!$BA$34</definedName>
    <definedName name="solver_lhs509" localSheetId="7" hidden="1">'KO Calc'!$BA$35</definedName>
    <definedName name="solver_lhs51" localSheetId="7" hidden="1">'KO Calc'!$BA$27</definedName>
    <definedName name="solver_lhs510" localSheetId="7" hidden="1">'KO Calc'!$BA$35</definedName>
    <definedName name="solver_lhs511" localSheetId="7" hidden="1">'KO Calc'!$BA$36</definedName>
    <definedName name="solver_lhs512" localSheetId="7" hidden="1">'KO Calc'!$BA$36</definedName>
    <definedName name="solver_lhs513" localSheetId="7" hidden="1">'KO Calc'!$BC$38</definedName>
    <definedName name="solver_lhs514" localSheetId="7" hidden="1">'KO Calc'!$BA$33</definedName>
    <definedName name="solver_lhs515" localSheetId="7" hidden="1">'KO Calc'!$BA$33</definedName>
    <definedName name="solver_lhs516" localSheetId="7" hidden="1">'KO Calc'!$BA$34</definedName>
    <definedName name="solver_lhs517" localSheetId="7" hidden="1">'KO Calc'!$BA$34</definedName>
    <definedName name="solver_lhs518" localSheetId="7" hidden="1">'KO Calc'!$BA$35</definedName>
    <definedName name="solver_lhs519" localSheetId="7" hidden="1">'KO Calc'!$BA$35</definedName>
    <definedName name="solver_lhs52" localSheetId="7" hidden="1">'KO Calc'!$BA$28</definedName>
    <definedName name="solver_lhs520" localSheetId="7" hidden="1">'KO Calc'!$BA$36</definedName>
    <definedName name="solver_lhs521" localSheetId="7" hidden="1">'KO Calc'!$BA$36</definedName>
    <definedName name="solver_lhs522" localSheetId="7" hidden="1">'KO Calc'!$BC$38</definedName>
    <definedName name="solver_lhs523" localSheetId="7" hidden="1">'KO Calc'!$BA$33</definedName>
    <definedName name="solver_lhs524" localSheetId="7" hidden="1">'KO Calc'!$BA$33</definedName>
    <definedName name="solver_lhs525" localSheetId="7" hidden="1">'KO Calc'!$BA$34</definedName>
    <definedName name="solver_lhs526" localSheetId="7" hidden="1">'KO Calc'!$BA$34</definedName>
    <definedName name="solver_lhs527" localSheetId="7" hidden="1">'KO Calc'!$BA$35</definedName>
    <definedName name="solver_lhs528" localSheetId="7" hidden="1">'KO Calc'!$BA$35</definedName>
    <definedName name="solver_lhs529" localSheetId="7" hidden="1">'KO Calc'!$BA$36</definedName>
    <definedName name="solver_lhs53" localSheetId="7" hidden="1">'KO Calc'!$BA$28</definedName>
    <definedName name="solver_lhs530" localSheetId="7" hidden="1">'KO Calc'!$BA$36</definedName>
    <definedName name="solver_lhs531" localSheetId="7" hidden="1">'KO Calc'!$BC$38</definedName>
    <definedName name="solver_lhs532" localSheetId="7" hidden="1">'KO Calc'!$BA$33</definedName>
    <definedName name="solver_lhs533" localSheetId="7" hidden="1">'KO Calc'!$BA$33</definedName>
    <definedName name="solver_lhs534" localSheetId="7" hidden="1">'KO Calc'!$BA$34</definedName>
    <definedName name="solver_lhs535" localSheetId="7" hidden="1">'KO Calc'!$BA$34</definedName>
    <definedName name="solver_lhs536" localSheetId="7" hidden="1">'KO Calc'!$BA$35</definedName>
    <definedName name="solver_lhs537" localSheetId="7" hidden="1">'KO Calc'!$BA$35</definedName>
    <definedName name="solver_lhs538" localSheetId="7" hidden="1">'KO Calc'!$BA$36</definedName>
    <definedName name="solver_lhs539" localSheetId="7" hidden="1">'KO Calc'!$BA$36</definedName>
    <definedName name="solver_lhs54" localSheetId="7" hidden="1">'KO Calc'!$BC$30</definedName>
    <definedName name="solver_lhs540" localSheetId="7" hidden="1">'KO Calc'!$BC$38</definedName>
    <definedName name="solver_lhs541" localSheetId="7" hidden="1">'KO Calc'!$BA$33</definedName>
    <definedName name="solver_lhs542" localSheetId="7" hidden="1">'KO Calc'!$BA$33</definedName>
    <definedName name="solver_lhs543" localSheetId="7" hidden="1">'KO Calc'!$BA$34</definedName>
    <definedName name="solver_lhs544" localSheetId="7" hidden="1">'KO Calc'!$BA$34</definedName>
    <definedName name="solver_lhs545" localSheetId="7" hidden="1">'KO Calc'!$BA$35</definedName>
    <definedName name="solver_lhs546" localSheetId="7" hidden="1">'KO Calc'!$BA$35</definedName>
    <definedName name="solver_lhs547" localSheetId="7" hidden="1">'KO Calc'!$BA$36</definedName>
    <definedName name="solver_lhs548" localSheetId="7" hidden="1">'KO Calc'!$BA$36</definedName>
    <definedName name="solver_lhs549" localSheetId="7" hidden="1">'KO Calc'!$BC$38</definedName>
    <definedName name="solver_lhs55" localSheetId="7" hidden="1">'KO Calc'!$BA$25</definedName>
    <definedName name="solver_lhs550" localSheetId="7" hidden="1">'KO Calc'!$BA$33</definedName>
    <definedName name="solver_lhs551" localSheetId="7" hidden="1">'KO Calc'!$BA$33</definedName>
    <definedName name="solver_lhs552" localSheetId="7" hidden="1">'KO Calc'!$BA$34</definedName>
    <definedName name="solver_lhs553" localSheetId="7" hidden="1">'KO Calc'!$BA$34</definedName>
    <definedName name="solver_lhs554" localSheetId="7" hidden="1">'KO Calc'!$BA$35</definedName>
    <definedName name="solver_lhs555" localSheetId="7" hidden="1">'KO Calc'!$BA$35</definedName>
    <definedName name="solver_lhs556" localSheetId="7" hidden="1">'KO Calc'!$BA$36</definedName>
    <definedName name="solver_lhs557" localSheetId="7" hidden="1">'KO Calc'!$BA$36</definedName>
    <definedName name="solver_lhs558" localSheetId="7" hidden="1">'KO Calc'!$BC$38</definedName>
    <definedName name="solver_lhs559" localSheetId="7" hidden="1">'KO Calc'!$BA$33</definedName>
    <definedName name="solver_lhs56" localSheetId="7" hidden="1">'KO Calc'!$BA$25</definedName>
    <definedName name="solver_lhs560" localSheetId="7" hidden="1">'KO Calc'!$BA$33</definedName>
    <definedName name="solver_lhs561" localSheetId="7" hidden="1">'KO Calc'!$BA$34</definedName>
    <definedName name="solver_lhs562" localSheetId="7" hidden="1">'KO Calc'!$BA$34</definedName>
    <definedName name="solver_lhs563" localSheetId="7" hidden="1">'KO Calc'!$BA$35</definedName>
    <definedName name="solver_lhs564" localSheetId="7" hidden="1">'KO Calc'!$BA$35</definedName>
    <definedName name="solver_lhs565" localSheetId="7" hidden="1">'KO Calc'!$BA$36</definedName>
    <definedName name="solver_lhs566" localSheetId="7" hidden="1">'KO Calc'!$BA$36</definedName>
    <definedName name="solver_lhs567" localSheetId="7" hidden="1">'KO Calc'!$BC$38</definedName>
    <definedName name="solver_lhs568" localSheetId="7" hidden="1">'KO Calc'!$BA$33</definedName>
    <definedName name="solver_lhs569" localSheetId="7" hidden="1">'KO Calc'!$BA$33</definedName>
    <definedName name="solver_lhs57" localSheetId="7" hidden="1">'KO Calc'!$BA$26</definedName>
    <definedName name="solver_lhs570" localSheetId="7" hidden="1">'KO Calc'!$BA$34</definedName>
    <definedName name="solver_lhs571" localSheetId="7" hidden="1">'KO Calc'!$BA$34</definedName>
    <definedName name="solver_lhs572" localSheetId="7" hidden="1">'KO Calc'!$BA$35</definedName>
    <definedName name="solver_lhs573" localSheetId="7" hidden="1">'KO Calc'!$BA$35</definedName>
    <definedName name="solver_lhs574" localSheetId="7" hidden="1">'KO Calc'!$BA$36</definedName>
    <definedName name="solver_lhs575" localSheetId="7" hidden="1">'KO Calc'!$BA$36</definedName>
    <definedName name="solver_lhs576" localSheetId="7" hidden="1">'KO Calc'!$BC$38</definedName>
    <definedName name="solver_lhs577" localSheetId="7" hidden="1">'KO Calc'!$BA$33</definedName>
    <definedName name="solver_lhs578" localSheetId="7" hidden="1">'KO Calc'!$BA$33</definedName>
    <definedName name="solver_lhs579" localSheetId="7" hidden="1">'KO Calc'!$BA$34</definedName>
    <definedName name="solver_lhs58" localSheetId="7" hidden="1">'KO Calc'!$BA$26</definedName>
    <definedName name="solver_lhs580" localSheetId="7" hidden="1">'KO Calc'!$BA$34</definedName>
    <definedName name="solver_lhs581" localSheetId="7" hidden="1">'KO Calc'!$BA$35</definedName>
    <definedName name="solver_lhs582" localSheetId="7" hidden="1">'KO Calc'!$BA$35</definedName>
    <definedName name="solver_lhs583" localSheetId="7" hidden="1">'KO Calc'!$BA$36</definedName>
    <definedName name="solver_lhs584" localSheetId="7" hidden="1">'KO Calc'!$BA$36</definedName>
    <definedName name="solver_lhs585" localSheetId="7" hidden="1">'KO Calc'!$BC$38</definedName>
    <definedName name="solver_lhs586" localSheetId="7" hidden="1">'KO Calc'!$BA$33</definedName>
    <definedName name="solver_lhs587" localSheetId="7" hidden="1">'KO Calc'!$BA$33</definedName>
    <definedName name="solver_lhs588" localSheetId="7" hidden="1">'KO Calc'!$BA$34</definedName>
    <definedName name="solver_lhs589" localSheetId="7" hidden="1">'KO Calc'!$BA$34</definedName>
    <definedName name="solver_lhs59" localSheetId="7" hidden="1">'KO Calc'!$BA$27</definedName>
    <definedName name="solver_lhs590" localSheetId="7" hidden="1">'KO Calc'!$BA$35</definedName>
    <definedName name="solver_lhs591" localSheetId="7" hidden="1">'KO Calc'!$BA$35</definedName>
    <definedName name="solver_lhs592" localSheetId="7" hidden="1">'KO Calc'!$BA$36</definedName>
    <definedName name="solver_lhs593" localSheetId="7" hidden="1">'KO Calc'!$BA$36</definedName>
    <definedName name="solver_lhs594" localSheetId="7" hidden="1">'KO Calc'!$BC$38</definedName>
    <definedName name="solver_lhs595" localSheetId="7" hidden="1">'KO Calc'!$BA$33</definedName>
    <definedName name="solver_lhs596" localSheetId="7" hidden="1">'KO Calc'!$BA$33</definedName>
    <definedName name="solver_lhs597" localSheetId="7" hidden="1">'KO Calc'!$BA$34</definedName>
    <definedName name="solver_lhs598" localSheetId="7" hidden="1">'KO Calc'!$BA$34</definedName>
    <definedName name="solver_lhs599" localSheetId="7" hidden="1">'KO Calc'!$BA$35</definedName>
    <definedName name="solver_lhs6" localSheetId="7" hidden="1">'KO Calc'!$BA$35</definedName>
    <definedName name="solver_lhs60" localSheetId="7" hidden="1">'KO Calc'!$BA$27</definedName>
    <definedName name="solver_lhs600" localSheetId="7" hidden="1">'KO Calc'!$BA$35</definedName>
    <definedName name="solver_lhs601" localSheetId="7" hidden="1">'KO Calc'!$BA$36</definedName>
    <definedName name="solver_lhs602" localSheetId="7" hidden="1">'KO Calc'!$BA$36</definedName>
    <definedName name="solver_lhs603" localSheetId="7" hidden="1">'KO Calc'!$BC$38</definedName>
    <definedName name="solver_lhs604" localSheetId="7" hidden="1">'KO Calc'!$BA$33</definedName>
    <definedName name="solver_lhs605" localSheetId="7" hidden="1">'KO Calc'!$BA$33</definedName>
    <definedName name="solver_lhs606" localSheetId="7" hidden="1">'KO Calc'!$BA$34</definedName>
    <definedName name="solver_lhs607" localSheetId="7" hidden="1">'KO Calc'!$BA$34</definedName>
    <definedName name="solver_lhs608" localSheetId="7" hidden="1">'KO Calc'!$BA$35</definedName>
    <definedName name="solver_lhs609" localSheetId="7" hidden="1">'KO Calc'!$BA$35</definedName>
    <definedName name="solver_lhs61" localSheetId="7" hidden="1">'KO Calc'!$BA$28</definedName>
    <definedName name="solver_lhs610" localSheetId="7" hidden="1">'KO Calc'!$BA$36</definedName>
    <definedName name="solver_lhs611" localSheetId="7" hidden="1">'KO Calc'!$BA$36</definedName>
    <definedName name="solver_lhs612" localSheetId="7" hidden="1">'KO Calc'!$BC$38</definedName>
    <definedName name="solver_lhs613" localSheetId="7" hidden="1">'KO Calc'!$BA$33</definedName>
    <definedName name="solver_lhs614" localSheetId="7" hidden="1">'KO Calc'!$BA$33</definedName>
    <definedName name="solver_lhs615" localSheetId="7" hidden="1">'KO Calc'!$BA$34</definedName>
    <definedName name="solver_lhs616" localSheetId="7" hidden="1">'KO Calc'!$BA$34</definedName>
    <definedName name="solver_lhs617" localSheetId="7" hidden="1">'KO Calc'!$BA$35</definedName>
    <definedName name="solver_lhs618" localSheetId="7" hidden="1">'KO Calc'!$BA$35</definedName>
    <definedName name="solver_lhs619" localSheetId="7" hidden="1">'KO Calc'!$BA$36</definedName>
    <definedName name="solver_lhs62" localSheetId="7" hidden="1">'KO Calc'!$BA$28</definedName>
    <definedName name="solver_lhs620" localSheetId="7" hidden="1">'KO Calc'!$BA$36</definedName>
    <definedName name="solver_lhs621" localSheetId="7" hidden="1">'KO Calc'!$BC$38</definedName>
    <definedName name="solver_lhs622" localSheetId="7" hidden="1">'KO Calc'!$BA$33</definedName>
    <definedName name="solver_lhs623" localSheetId="7" hidden="1">'KO Calc'!$BA$33</definedName>
    <definedName name="solver_lhs624" localSheetId="7" hidden="1">'KO Calc'!$BA$34</definedName>
    <definedName name="solver_lhs625" localSheetId="7" hidden="1">'KO Calc'!$BA$34</definedName>
    <definedName name="solver_lhs626" localSheetId="7" hidden="1">'KO Calc'!$BA$35</definedName>
    <definedName name="solver_lhs627" localSheetId="7" hidden="1">'KO Calc'!$BA$35</definedName>
    <definedName name="solver_lhs628" localSheetId="7" hidden="1">'KO Calc'!$BA$36</definedName>
    <definedName name="solver_lhs629" localSheetId="7" hidden="1">'KO Calc'!$BA$36</definedName>
    <definedName name="solver_lhs63" localSheetId="7" hidden="1">'KO Calc'!$BC$30</definedName>
    <definedName name="solver_lhs630" localSheetId="7" hidden="1">'KO Calc'!$BC$38</definedName>
    <definedName name="solver_lhs631" localSheetId="7" hidden="1">'KO Calc'!$BA$33</definedName>
    <definedName name="solver_lhs632" localSheetId="7" hidden="1">'KO Calc'!$BA$33</definedName>
    <definedName name="solver_lhs633" localSheetId="7" hidden="1">'KO Calc'!$BA$34</definedName>
    <definedName name="solver_lhs634" localSheetId="7" hidden="1">'KO Calc'!$BA$34</definedName>
    <definedName name="solver_lhs635" localSheetId="7" hidden="1">'KO Calc'!$BA$35</definedName>
    <definedName name="solver_lhs636" localSheetId="7" hidden="1">'KO Calc'!$BA$35</definedName>
    <definedName name="solver_lhs637" localSheetId="7" hidden="1">'KO Calc'!$BA$36</definedName>
    <definedName name="solver_lhs638" localSheetId="7" hidden="1">'KO Calc'!$BA$36</definedName>
    <definedName name="solver_lhs639" localSheetId="7" hidden="1">'KO Calc'!$BC$38</definedName>
    <definedName name="solver_lhs64" localSheetId="7" hidden="1">'KO Calc'!$BA$25</definedName>
    <definedName name="solver_lhs640" localSheetId="7" hidden="1">'KO Calc'!$BA$33</definedName>
    <definedName name="solver_lhs641" localSheetId="7" hidden="1">'KO Calc'!$BA$33</definedName>
    <definedName name="solver_lhs642" localSheetId="7" hidden="1">'KO Calc'!$BA$34</definedName>
    <definedName name="solver_lhs643" localSheetId="7" hidden="1">'KO Calc'!$BA$34</definedName>
    <definedName name="solver_lhs644" localSheetId="7" hidden="1">'KO Calc'!$BA$35</definedName>
    <definedName name="solver_lhs645" localSheetId="7" hidden="1">'KO Calc'!$BA$35</definedName>
    <definedName name="solver_lhs646" localSheetId="7" hidden="1">'KO Calc'!$BA$36</definedName>
    <definedName name="solver_lhs647" localSheetId="7" hidden="1">'KO Calc'!$BA$36</definedName>
    <definedName name="solver_lhs648" localSheetId="7" hidden="1">'KO Calc'!$BC$38</definedName>
    <definedName name="solver_lhs649" localSheetId="7" hidden="1">'KO Calc'!$BA$25</definedName>
    <definedName name="solver_lhs65" localSheetId="7" hidden="1">'KO Calc'!$BA$25</definedName>
    <definedName name="solver_lhs650" localSheetId="7" hidden="1">'KO Calc'!$BA$25</definedName>
    <definedName name="solver_lhs651" localSheetId="7" hidden="1">'KO Calc'!$BA$26</definedName>
    <definedName name="solver_lhs652" localSheetId="7" hidden="1">'KO Calc'!$BA$26</definedName>
    <definedName name="solver_lhs653" localSheetId="7" hidden="1">'KO Calc'!$BA$27</definedName>
    <definedName name="solver_lhs654" localSheetId="7" hidden="1">'KO Calc'!$BA$27</definedName>
    <definedName name="solver_lhs655" localSheetId="7" hidden="1">'KO Calc'!$BA$28</definedName>
    <definedName name="solver_lhs656" localSheetId="7" hidden="1">'KO Calc'!$BA$28</definedName>
    <definedName name="solver_lhs657" localSheetId="7" hidden="1">'KO Calc'!$BC$30</definedName>
    <definedName name="solver_lhs658" localSheetId="7" hidden="1">'KO Calc'!$BA$25</definedName>
    <definedName name="solver_lhs659" localSheetId="7" hidden="1">'KO Calc'!$BA$25</definedName>
    <definedName name="solver_lhs66" localSheetId="7" hidden="1">'KO Calc'!$BA$26</definedName>
    <definedName name="solver_lhs660" localSheetId="7" hidden="1">'KO Calc'!$BA$26</definedName>
    <definedName name="solver_lhs661" localSheetId="7" hidden="1">'KO Calc'!$BA$26</definedName>
    <definedName name="solver_lhs662" localSheetId="7" hidden="1">'KO Calc'!$BA$27</definedName>
    <definedName name="solver_lhs663" localSheetId="7" hidden="1">'KO Calc'!$BA$27</definedName>
    <definedName name="solver_lhs664" localSheetId="7" hidden="1">'KO Calc'!$BA$28</definedName>
    <definedName name="solver_lhs665" localSheetId="7" hidden="1">'KO Calc'!$BA$28</definedName>
    <definedName name="solver_lhs666" localSheetId="7" hidden="1">'KO Calc'!$BC$30</definedName>
    <definedName name="solver_lhs667" localSheetId="7" hidden="1">'KO Calc'!$BA$25</definedName>
    <definedName name="solver_lhs668" localSheetId="7" hidden="1">'KO Calc'!$BA$25</definedName>
    <definedName name="solver_lhs669" localSheetId="7" hidden="1">'KO Calc'!$BA$26</definedName>
    <definedName name="solver_lhs67" localSheetId="7" hidden="1">'KO Calc'!$BA$26</definedName>
    <definedName name="solver_lhs670" localSheetId="7" hidden="1">'KO Calc'!$BA$26</definedName>
    <definedName name="solver_lhs671" localSheetId="7" hidden="1">'KO Calc'!$BA$27</definedName>
    <definedName name="solver_lhs672" localSheetId="7" hidden="1">'KO Calc'!$BA$27</definedName>
    <definedName name="solver_lhs673" localSheetId="7" hidden="1">'KO Calc'!$BA$28</definedName>
    <definedName name="solver_lhs674" localSheetId="7" hidden="1">'KO Calc'!$BA$28</definedName>
    <definedName name="solver_lhs675" localSheetId="7" hidden="1">'KO Calc'!$BC$30</definedName>
    <definedName name="solver_lhs676" localSheetId="7" hidden="1">'KO Calc'!$BA$25</definedName>
    <definedName name="solver_lhs677" localSheetId="7" hidden="1">'KO Calc'!$BA$25</definedName>
    <definedName name="solver_lhs678" localSheetId="7" hidden="1">'KO Calc'!$BA$26</definedName>
    <definedName name="solver_lhs679" localSheetId="7" hidden="1">'KO Calc'!$BA$26</definedName>
    <definedName name="solver_lhs68" localSheetId="7" hidden="1">'KO Calc'!$BA$27</definedName>
    <definedName name="solver_lhs680" localSheetId="7" hidden="1">'KO Calc'!$BA$27</definedName>
    <definedName name="solver_lhs681" localSheetId="7" hidden="1">'KO Calc'!$BA$27</definedName>
    <definedName name="solver_lhs682" localSheetId="7" hidden="1">'KO Calc'!$BA$28</definedName>
    <definedName name="solver_lhs683" localSheetId="7" hidden="1">'KO Calc'!$BA$28</definedName>
    <definedName name="solver_lhs684" localSheetId="7" hidden="1">'KO Calc'!$BC$30</definedName>
    <definedName name="solver_lhs685" localSheetId="7" hidden="1">'KO Calc'!$BA$25</definedName>
    <definedName name="solver_lhs686" localSheetId="7" hidden="1">'KO Calc'!$BA$25</definedName>
    <definedName name="solver_lhs687" localSheetId="7" hidden="1">'KO Calc'!$BA$26</definedName>
    <definedName name="solver_lhs688" localSheetId="7" hidden="1">'KO Calc'!$BA$26</definedName>
    <definedName name="solver_lhs689" localSheetId="7" hidden="1">'KO Calc'!$BA$27</definedName>
    <definedName name="solver_lhs69" localSheetId="7" hidden="1">'KO Calc'!$BA$27</definedName>
    <definedName name="solver_lhs690" localSheetId="7" hidden="1">'KO Calc'!$BA$27</definedName>
    <definedName name="solver_lhs691" localSheetId="7" hidden="1">'KO Calc'!$BA$28</definedName>
    <definedName name="solver_lhs692" localSheetId="7" hidden="1">'KO Calc'!$BA$28</definedName>
    <definedName name="solver_lhs693" localSheetId="7" hidden="1">'KO Calc'!$BC$30</definedName>
    <definedName name="solver_lhs694" localSheetId="7" hidden="1">'KO Calc'!$BA$25</definedName>
    <definedName name="solver_lhs695" localSheetId="7" hidden="1">'KO Calc'!$BA$25</definedName>
    <definedName name="solver_lhs696" localSheetId="7" hidden="1">'KO Calc'!$BA$26</definedName>
    <definedName name="solver_lhs697" localSheetId="7" hidden="1">'KO Calc'!$BA$26</definedName>
    <definedName name="solver_lhs698" localSheetId="7" hidden="1">'KO Calc'!$BA$27</definedName>
    <definedName name="solver_lhs699" localSheetId="7" hidden="1">'KO Calc'!$BA$27</definedName>
    <definedName name="solver_lhs7" localSheetId="7" hidden="1">'KO Calc'!$BA$36</definedName>
    <definedName name="solver_lhs70" localSheetId="7" hidden="1">'KO Calc'!$BA$28</definedName>
    <definedName name="solver_lhs700" localSheetId="7" hidden="1">'KO Calc'!$BA$28</definedName>
    <definedName name="solver_lhs701" localSheetId="7" hidden="1">'KO Calc'!$BA$28</definedName>
    <definedName name="solver_lhs702" localSheetId="7" hidden="1">'KO Calc'!$BC$30</definedName>
    <definedName name="solver_lhs703" localSheetId="7" hidden="1">'KO Calc'!$BA$25</definedName>
    <definedName name="solver_lhs704" localSheetId="7" hidden="1">'KO Calc'!$BA$25</definedName>
    <definedName name="solver_lhs705" localSheetId="7" hidden="1">'KO Calc'!$BA$26</definedName>
    <definedName name="solver_lhs706" localSheetId="7" hidden="1">'KO Calc'!$BA$26</definedName>
    <definedName name="solver_lhs707" localSheetId="7" hidden="1">'KO Calc'!$BA$27</definedName>
    <definedName name="solver_lhs708" localSheetId="7" hidden="1">'KO Calc'!$BA$27</definedName>
    <definedName name="solver_lhs709" localSheetId="7" hidden="1">'KO Calc'!$BA$28</definedName>
    <definedName name="solver_lhs71" localSheetId="7" hidden="1">'KO Calc'!$BA$28</definedName>
    <definedName name="solver_lhs710" localSheetId="7" hidden="1">'KO Calc'!$BA$28</definedName>
    <definedName name="solver_lhs711" localSheetId="7" hidden="1">'KO Calc'!$BC$30</definedName>
    <definedName name="solver_lhs712" localSheetId="7" hidden="1">'KO Calc'!$BA$25</definedName>
    <definedName name="solver_lhs713" localSheetId="7" hidden="1">'KO Calc'!$BA$25</definedName>
    <definedName name="solver_lhs714" localSheetId="7" hidden="1">'KO Calc'!$BA$26</definedName>
    <definedName name="solver_lhs715" localSheetId="7" hidden="1">'KO Calc'!$BA$26</definedName>
    <definedName name="solver_lhs716" localSheetId="7" hidden="1">'KO Calc'!$BA$27</definedName>
    <definedName name="solver_lhs717" localSheetId="7" hidden="1">'KO Calc'!$BA$27</definedName>
    <definedName name="solver_lhs718" localSheetId="7" hidden="1">'KO Calc'!$BA$28</definedName>
    <definedName name="solver_lhs719" localSheetId="7" hidden="1">'KO Calc'!$BA$28</definedName>
    <definedName name="solver_lhs72" localSheetId="7" hidden="1">'KO Calc'!$BC$30</definedName>
    <definedName name="solver_lhs720" localSheetId="7" hidden="1">'KO Calc'!$BC$30</definedName>
    <definedName name="solver_lhs721" localSheetId="7" hidden="1">'KO Calc'!$BA$25</definedName>
    <definedName name="solver_lhs722" localSheetId="7" hidden="1">'KO Calc'!$BA$25</definedName>
    <definedName name="solver_lhs723" localSheetId="7" hidden="1">'KO Calc'!$BA$26</definedName>
    <definedName name="solver_lhs724" localSheetId="7" hidden="1">'KO Calc'!$BA$26</definedName>
    <definedName name="solver_lhs725" localSheetId="7" hidden="1">'KO Calc'!$BA$27</definedName>
    <definedName name="solver_lhs726" localSheetId="7" hidden="1">'KO Calc'!$BA$27</definedName>
    <definedName name="solver_lhs727" localSheetId="7" hidden="1">'KO Calc'!$BA$28</definedName>
    <definedName name="solver_lhs728" localSheetId="7" hidden="1">'KO Calc'!$BA$28</definedName>
    <definedName name="solver_lhs729" localSheetId="7" hidden="1">'KO Calc'!$BC$30</definedName>
    <definedName name="solver_lhs73" localSheetId="7" hidden="1">'KO Calc'!$BA$25</definedName>
    <definedName name="solver_lhs730" localSheetId="7" hidden="1">'KO Calc'!$BA$25</definedName>
    <definedName name="solver_lhs731" localSheetId="7" hidden="1">'KO Calc'!$BA$25</definedName>
    <definedName name="solver_lhs732" localSheetId="7" hidden="1">'KO Calc'!$BA$26</definedName>
    <definedName name="solver_lhs733" localSheetId="7" hidden="1">'KO Calc'!$BA$26</definedName>
    <definedName name="solver_lhs734" localSheetId="7" hidden="1">'KO Calc'!$BA$27</definedName>
    <definedName name="solver_lhs735" localSheetId="7" hidden="1">'KO Calc'!$BA$27</definedName>
    <definedName name="solver_lhs736" localSheetId="7" hidden="1">'KO Calc'!$BA$28</definedName>
    <definedName name="solver_lhs737" localSheetId="7" hidden="1">'KO Calc'!$BA$28</definedName>
    <definedName name="solver_lhs738" localSheetId="7" hidden="1">'KO Calc'!$BC$30</definedName>
    <definedName name="solver_lhs739" localSheetId="7" hidden="1">'KO Calc'!$BA$25</definedName>
    <definedName name="solver_lhs74" localSheetId="7" hidden="1">'KO Calc'!$BA$25</definedName>
    <definedName name="solver_lhs740" localSheetId="7" hidden="1">'KO Calc'!$BA$25</definedName>
    <definedName name="solver_lhs741" localSheetId="7" hidden="1">'KO Calc'!$BA$26</definedName>
    <definedName name="solver_lhs742" localSheetId="7" hidden="1">'KO Calc'!$BA$26</definedName>
    <definedName name="solver_lhs743" localSheetId="7" hidden="1">'KO Calc'!$BA$27</definedName>
    <definedName name="solver_lhs744" localSheetId="7" hidden="1">'KO Calc'!$BA$27</definedName>
    <definedName name="solver_lhs745" localSheetId="7" hidden="1">'KO Calc'!$BA$28</definedName>
    <definedName name="solver_lhs746" localSheetId="7" hidden="1">'KO Calc'!$BA$28</definedName>
    <definedName name="solver_lhs747" localSheetId="7" hidden="1">'KO Calc'!$BC$30</definedName>
    <definedName name="solver_lhs748" localSheetId="7" hidden="1">'KO Calc'!$BA$25</definedName>
    <definedName name="solver_lhs749" localSheetId="7" hidden="1">'KO Calc'!$BA$25</definedName>
    <definedName name="solver_lhs75" localSheetId="7" hidden="1">'KO Calc'!$BA$26</definedName>
    <definedName name="solver_lhs750" localSheetId="7" hidden="1">'KO Calc'!$BA$26</definedName>
    <definedName name="solver_lhs751" localSheetId="7" hidden="1">'KO Calc'!$BA$26</definedName>
    <definedName name="solver_lhs752" localSheetId="7" hidden="1">'KO Calc'!$BA$27</definedName>
    <definedName name="solver_lhs753" localSheetId="7" hidden="1">'KO Calc'!$BA$27</definedName>
    <definedName name="solver_lhs754" localSheetId="7" hidden="1">'KO Calc'!$BA$28</definedName>
    <definedName name="solver_lhs755" localSheetId="7" hidden="1">'KO Calc'!$BA$28</definedName>
    <definedName name="solver_lhs756" localSheetId="7" hidden="1">'KO Calc'!$BC$30</definedName>
    <definedName name="solver_lhs757" localSheetId="7" hidden="1">'KO Calc'!$BA$25</definedName>
    <definedName name="solver_lhs758" localSheetId="7" hidden="1">'KO Calc'!$BA$25</definedName>
    <definedName name="solver_lhs759" localSheetId="7" hidden="1">'KO Calc'!$BA$26</definedName>
    <definedName name="solver_lhs76" localSheetId="7" hidden="1">'KO Calc'!$BA$26</definedName>
    <definedName name="solver_lhs760" localSheetId="7" hidden="1">'KO Calc'!$BA$26</definedName>
    <definedName name="solver_lhs761" localSheetId="7" hidden="1">'KO Calc'!$BA$27</definedName>
    <definedName name="solver_lhs762" localSheetId="7" hidden="1">'KO Calc'!$BA$27</definedName>
    <definedName name="solver_lhs763" localSheetId="7" hidden="1">'KO Calc'!$BA$28</definedName>
    <definedName name="solver_lhs764" localSheetId="7" hidden="1">'KO Calc'!$BA$28</definedName>
    <definedName name="solver_lhs765" localSheetId="7" hidden="1">'KO Calc'!$BC$30</definedName>
    <definedName name="solver_lhs766" localSheetId="7" hidden="1">'KO Calc'!$BA$25</definedName>
    <definedName name="solver_lhs767" localSheetId="7" hidden="1">'KO Calc'!$BA$25</definedName>
    <definedName name="solver_lhs768" localSheetId="7" hidden="1">'KO Calc'!$BA$26</definedName>
    <definedName name="solver_lhs769" localSheetId="7" hidden="1">'KO Calc'!$BA$26</definedName>
    <definedName name="solver_lhs77" localSheetId="7" hidden="1">'KO Calc'!$BA$27</definedName>
    <definedName name="solver_lhs770" localSheetId="7" hidden="1">'KO Calc'!$BA$27</definedName>
    <definedName name="solver_lhs771" localSheetId="7" hidden="1">'KO Calc'!$BA$27</definedName>
    <definedName name="solver_lhs772" localSheetId="7" hidden="1">'KO Calc'!$BA$28</definedName>
    <definedName name="solver_lhs773" localSheetId="7" hidden="1">'KO Calc'!$BA$28</definedName>
    <definedName name="solver_lhs774" localSheetId="7" hidden="1">'KO Calc'!$BC$30</definedName>
    <definedName name="solver_lhs775" localSheetId="7" hidden="1">'KO Calc'!$BA$25</definedName>
    <definedName name="solver_lhs776" localSheetId="7" hidden="1">'KO Calc'!$BA$25</definedName>
    <definedName name="solver_lhs777" localSheetId="7" hidden="1">'KO Calc'!$BA$26</definedName>
    <definedName name="solver_lhs778" localSheetId="7" hidden="1">'KO Calc'!$BA$26</definedName>
    <definedName name="solver_lhs779" localSheetId="7" hidden="1">'KO Calc'!$BA$27</definedName>
    <definedName name="solver_lhs78" localSheetId="7" hidden="1">'KO Calc'!$BA$27</definedName>
    <definedName name="solver_lhs780" localSheetId="7" hidden="1">'KO Calc'!$BA$27</definedName>
    <definedName name="solver_lhs781" localSheetId="7" hidden="1">'KO Calc'!$BA$28</definedName>
    <definedName name="solver_lhs782" localSheetId="7" hidden="1">'KO Calc'!$BA$28</definedName>
    <definedName name="solver_lhs783" localSheetId="7" hidden="1">'KO Calc'!$BC$30</definedName>
    <definedName name="solver_lhs79" localSheetId="7" hidden="1">'KO Calc'!$BA$28</definedName>
    <definedName name="solver_lhs8" localSheetId="7" hidden="1">'KO Calc'!$BA$36</definedName>
    <definedName name="solver_lhs80" localSheetId="7" hidden="1">'KO Calc'!$BA$28</definedName>
    <definedName name="solver_lhs81" localSheetId="7" hidden="1">'KO Calc'!$BC$30</definedName>
    <definedName name="solver_lhs82" localSheetId="7" hidden="1">'KO Calc'!$BA$25</definedName>
    <definedName name="solver_lhs83" localSheetId="7" hidden="1">'KO Calc'!$BA$25</definedName>
    <definedName name="solver_lhs84" localSheetId="7" hidden="1">'KO Calc'!$BA$26</definedName>
    <definedName name="solver_lhs85" localSheetId="7" hidden="1">'KO Calc'!$BA$26</definedName>
    <definedName name="solver_lhs86" localSheetId="7" hidden="1">'KO Calc'!$BA$27</definedName>
    <definedName name="solver_lhs87" localSheetId="7" hidden="1">'KO Calc'!$BA$27</definedName>
    <definedName name="solver_lhs88" localSheetId="7" hidden="1">'KO Calc'!$BA$28</definedName>
    <definedName name="solver_lhs89" localSheetId="7" hidden="1">'KO Calc'!$BA$28</definedName>
    <definedName name="solver_lhs9" localSheetId="7" hidden="1">'KO Calc'!$BC$38</definedName>
    <definedName name="solver_lhs90" localSheetId="7" hidden="1">'KO Calc'!$BC$30</definedName>
    <definedName name="solver_lhs91" localSheetId="7" hidden="1">'KO Calc'!$BA$25</definedName>
    <definedName name="solver_lhs92" localSheetId="7" hidden="1">'KO Calc'!$BA$25</definedName>
    <definedName name="solver_lhs93" localSheetId="7" hidden="1">'KO Calc'!$BA$26</definedName>
    <definedName name="solver_lhs94" localSheetId="7" hidden="1">'KO Calc'!$BA$26</definedName>
    <definedName name="solver_lhs95" localSheetId="7" hidden="1">'KO Calc'!$BA$27</definedName>
    <definedName name="solver_lhs96" localSheetId="7" hidden="1">'KO Calc'!$BA$27</definedName>
    <definedName name="solver_lhs97" localSheetId="7" hidden="1">'KO Calc'!$BA$28</definedName>
    <definedName name="solver_lhs98" localSheetId="7" hidden="1">'KO Calc'!$BA$28</definedName>
    <definedName name="solver_lhs99" localSheetId="7" hidden="1">'KO Calc'!$BC$30</definedName>
    <definedName name="solver_mip" localSheetId="7" hidden="1">2147483647</definedName>
    <definedName name="solver_mni" localSheetId="7" hidden="1">30</definedName>
    <definedName name="solver_mrt" localSheetId="7" hidden="1">0.075</definedName>
    <definedName name="solver_msl" localSheetId="7" hidden="1">2</definedName>
    <definedName name="solver_neg" localSheetId="7" hidden="1">1</definedName>
    <definedName name="solver_nod" localSheetId="7" hidden="1">2147483647</definedName>
    <definedName name="solver_num" localSheetId="7" hidden="1">9</definedName>
    <definedName name="solver_nwt" localSheetId="7" hidden="1">1</definedName>
    <definedName name="solver_opt" localSheetId="7" hidden="1">'KO Calc'!$BC$38</definedName>
    <definedName name="solver_pre" localSheetId="7" hidden="1">0.000001</definedName>
    <definedName name="solver_rbv" localSheetId="7" hidden="1">2</definedName>
    <definedName name="solver_rel1" localSheetId="7" hidden="1">1</definedName>
    <definedName name="solver_rel10" localSheetId="7" hidden="1">1</definedName>
    <definedName name="solver_rel100" localSheetId="7" hidden="1">1</definedName>
    <definedName name="solver_rel101" localSheetId="7" hidden="1">4</definedName>
    <definedName name="solver_rel102" localSheetId="7" hidden="1">1</definedName>
    <definedName name="solver_rel103" localSheetId="7" hidden="1">4</definedName>
    <definedName name="solver_rel104" localSheetId="7" hidden="1">1</definedName>
    <definedName name="solver_rel105" localSheetId="7" hidden="1">4</definedName>
    <definedName name="solver_rel106" localSheetId="7" hidden="1">1</definedName>
    <definedName name="solver_rel107" localSheetId="7" hidden="1">4</definedName>
    <definedName name="solver_rel108" localSheetId="7" hidden="1">1</definedName>
    <definedName name="solver_rel109" localSheetId="7" hidden="1">1</definedName>
    <definedName name="solver_rel11" localSheetId="7" hidden="1">4</definedName>
    <definedName name="solver_rel110" localSheetId="7" hidden="1">4</definedName>
    <definedName name="solver_rel111" localSheetId="7" hidden="1">1</definedName>
    <definedName name="solver_rel112" localSheetId="7" hidden="1">4</definedName>
    <definedName name="solver_rel113" localSheetId="7" hidden="1">1</definedName>
    <definedName name="solver_rel114" localSheetId="7" hidden="1">4</definedName>
    <definedName name="solver_rel115" localSheetId="7" hidden="1">1</definedName>
    <definedName name="solver_rel116" localSheetId="7" hidden="1">4</definedName>
    <definedName name="solver_rel117" localSheetId="7" hidden="1">1</definedName>
    <definedName name="solver_rel118" localSheetId="7" hidden="1">1</definedName>
    <definedName name="solver_rel119" localSheetId="7" hidden="1">4</definedName>
    <definedName name="solver_rel12" localSheetId="7" hidden="1">1</definedName>
    <definedName name="solver_rel120" localSheetId="7" hidden="1">1</definedName>
    <definedName name="solver_rel121" localSheetId="7" hidden="1">4</definedName>
    <definedName name="solver_rel122" localSheetId="7" hidden="1">1</definedName>
    <definedName name="solver_rel123" localSheetId="7" hidden="1">4</definedName>
    <definedName name="solver_rel124" localSheetId="7" hidden="1">1</definedName>
    <definedName name="solver_rel125" localSheetId="7" hidden="1">4</definedName>
    <definedName name="solver_rel126" localSheetId="7" hidden="1">1</definedName>
    <definedName name="solver_rel127" localSheetId="7" hidden="1">1</definedName>
    <definedName name="solver_rel128" localSheetId="7" hidden="1">4</definedName>
    <definedName name="solver_rel129" localSheetId="7" hidden="1">1</definedName>
    <definedName name="solver_rel13" localSheetId="7" hidden="1">4</definedName>
    <definedName name="solver_rel130" localSheetId="7" hidden="1">4</definedName>
    <definedName name="solver_rel131" localSheetId="7" hidden="1">1</definedName>
    <definedName name="solver_rel132" localSheetId="7" hidden="1">4</definedName>
    <definedName name="solver_rel133" localSheetId="7" hidden="1">1</definedName>
    <definedName name="solver_rel134" localSheetId="7" hidden="1">4</definedName>
    <definedName name="solver_rel135" localSheetId="7" hidden="1">1</definedName>
    <definedName name="solver_rel136" localSheetId="7" hidden="1">1</definedName>
    <definedName name="solver_rel137" localSheetId="7" hidden="1">4</definedName>
    <definedName name="solver_rel138" localSheetId="7" hidden="1">1</definedName>
    <definedName name="solver_rel139" localSheetId="7" hidden="1">4</definedName>
    <definedName name="solver_rel14" localSheetId="7" hidden="1">4</definedName>
    <definedName name="solver_rel140" localSheetId="7" hidden="1">1</definedName>
    <definedName name="solver_rel141" localSheetId="7" hidden="1">4</definedName>
    <definedName name="solver_rel142" localSheetId="7" hidden="1">1</definedName>
    <definedName name="solver_rel143" localSheetId="7" hidden="1">4</definedName>
    <definedName name="solver_rel144" localSheetId="7" hidden="1">1</definedName>
    <definedName name="solver_rel145" localSheetId="7" hidden="1">1</definedName>
    <definedName name="solver_rel146" localSheetId="7" hidden="1">4</definedName>
    <definedName name="solver_rel147" localSheetId="7" hidden="1">1</definedName>
    <definedName name="solver_rel148" localSheetId="7" hidden="1">4</definedName>
    <definedName name="solver_rel149" localSheetId="7" hidden="1">1</definedName>
    <definedName name="solver_rel15" localSheetId="7" hidden="1">1</definedName>
    <definedName name="solver_rel150" localSheetId="7" hidden="1">4</definedName>
    <definedName name="solver_rel151" localSheetId="7" hidden="1">1</definedName>
    <definedName name="solver_rel152" localSheetId="7" hidden="1">4</definedName>
    <definedName name="solver_rel153" localSheetId="7" hidden="1">1</definedName>
    <definedName name="solver_rel154" localSheetId="7" hidden="1">1</definedName>
    <definedName name="solver_rel155" localSheetId="7" hidden="1">4</definedName>
    <definedName name="solver_rel156" localSheetId="7" hidden="1">1</definedName>
    <definedName name="solver_rel157" localSheetId="7" hidden="1">4</definedName>
    <definedName name="solver_rel158" localSheetId="7" hidden="1">1</definedName>
    <definedName name="solver_rel159" localSheetId="7" hidden="1">4</definedName>
    <definedName name="solver_rel16" localSheetId="7" hidden="1">4</definedName>
    <definedName name="solver_rel160" localSheetId="7" hidden="1">1</definedName>
    <definedName name="solver_rel161" localSheetId="7" hidden="1">4</definedName>
    <definedName name="solver_rel162" localSheetId="7" hidden="1">1</definedName>
    <definedName name="solver_rel163" localSheetId="7" hidden="1">1</definedName>
    <definedName name="solver_rel164" localSheetId="7" hidden="1">4</definedName>
    <definedName name="solver_rel165" localSheetId="7" hidden="1">1</definedName>
    <definedName name="solver_rel166" localSheetId="7" hidden="1">4</definedName>
    <definedName name="solver_rel167" localSheetId="7" hidden="1">1</definedName>
    <definedName name="solver_rel168" localSheetId="7" hidden="1">4</definedName>
    <definedName name="solver_rel169" localSheetId="7" hidden="1">1</definedName>
    <definedName name="solver_rel17" localSheetId="7" hidden="1">1</definedName>
    <definedName name="solver_rel170" localSheetId="7" hidden="1">4</definedName>
    <definedName name="solver_rel171" localSheetId="7" hidden="1">1</definedName>
    <definedName name="solver_rel172" localSheetId="7" hidden="1">1</definedName>
    <definedName name="solver_rel173" localSheetId="7" hidden="1">4</definedName>
    <definedName name="solver_rel174" localSheetId="7" hidden="1">1</definedName>
    <definedName name="solver_rel175" localSheetId="7" hidden="1">4</definedName>
    <definedName name="solver_rel176" localSheetId="7" hidden="1">1</definedName>
    <definedName name="solver_rel177" localSheetId="7" hidden="1">4</definedName>
    <definedName name="solver_rel178" localSheetId="7" hidden="1">1</definedName>
    <definedName name="solver_rel179" localSheetId="7" hidden="1">4</definedName>
    <definedName name="solver_rel18" localSheetId="7" hidden="1">1</definedName>
    <definedName name="solver_rel180" localSheetId="7" hidden="1">1</definedName>
    <definedName name="solver_rel181" localSheetId="7" hidden="1">1</definedName>
    <definedName name="solver_rel182" localSheetId="7" hidden="1">4</definedName>
    <definedName name="solver_rel183" localSheetId="7" hidden="1">1</definedName>
    <definedName name="solver_rel184" localSheetId="7" hidden="1">4</definedName>
    <definedName name="solver_rel185" localSheetId="7" hidden="1">1</definedName>
    <definedName name="solver_rel186" localSheetId="7" hidden="1">4</definedName>
    <definedName name="solver_rel187" localSheetId="7" hidden="1">1</definedName>
    <definedName name="solver_rel188" localSheetId="7" hidden="1">4</definedName>
    <definedName name="solver_rel189" localSheetId="7" hidden="1">1</definedName>
    <definedName name="solver_rel19" localSheetId="7" hidden="1">1</definedName>
    <definedName name="solver_rel190" localSheetId="7" hidden="1">1</definedName>
    <definedName name="solver_rel191" localSheetId="7" hidden="1">4</definedName>
    <definedName name="solver_rel192" localSheetId="7" hidden="1">1</definedName>
    <definedName name="solver_rel193" localSheetId="7" hidden="1">4</definedName>
    <definedName name="solver_rel194" localSheetId="7" hidden="1">1</definedName>
    <definedName name="solver_rel195" localSheetId="7" hidden="1">4</definedName>
    <definedName name="solver_rel196" localSheetId="7" hidden="1">1</definedName>
    <definedName name="solver_rel197" localSheetId="7" hidden="1">4</definedName>
    <definedName name="solver_rel198" localSheetId="7" hidden="1">1</definedName>
    <definedName name="solver_rel199" localSheetId="7" hidden="1">1</definedName>
    <definedName name="solver_rel2" localSheetId="7" hidden="1">4</definedName>
    <definedName name="solver_rel20" localSheetId="7" hidden="1">4</definedName>
    <definedName name="solver_rel200" localSheetId="7" hidden="1">4</definedName>
    <definedName name="solver_rel201" localSheetId="7" hidden="1">1</definedName>
    <definedName name="solver_rel202" localSheetId="7" hidden="1">4</definedName>
    <definedName name="solver_rel203" localSheetId="7" hidden="1">1</definedName>
    <definedName name="solver_rel204" localSheetId="7" hidden="1">4</definedName>
    <definedName name="solver_rel205" localSheetId="7" hidden="1">1</definedName>
    <definedName name="solver_rel206" localSheetId="7" hidden="1">4</definedName>
    <definedName name="solver_rel207" localSheetId="7" hidden="1">1</definedName>
    <definedName name="solver_rel208" localSheetId="7" hidden="1">1</definedName>
    <definedName name="solver_rel209" localSheetId="7" hidden="1">4</definedName>
    <definedName name="solver_rel21" localSheetId="7" hidden="1">1</definedName>
    <definedName name="solver_rel210" localSheetId="7" hidden="1">1</definedName>
    <definedName name="solver_rel211" localSheetId="7" hidden="1">4</definedName>
    <definedName name="solver_rel212" localSheetId="7" hidden="1">1</definedName>
    <definedName name="solver_rel213" localSheetId="7" hidden="1">4</definedName>
    <definedName name="solver_rel214" localSheetId="7" hidden="1">1</definedName>
    <definedName name="solver_rel215" localSheetId="7" hidden="1">4</definedName>
    <definedName name="solver_rel216" localSheetId="7" hidden="1">1</definedName>
    <definedName name="solver_rel217" localSheetId="7" hidden="1">1</definedName>
    <definedName name="solver_rel218" localSheetId="7" hidden="1">4</definedName>
    <definedName name="solver_rel219" localSheetId="7" hidden="1">1</definedName>
    <definedName name="solver_rel22" localSheetId="7" hidden="1">4</definedName>
    <definedName name="solver_rel220" localSheetId="7" hidden="1">4</definedName>
    <definedName name="solver_rel221" localSheetId="7" hidden="1">1</definedName>
    <definedName name="solver_rel222" localSheetId="7" hidden="1">4</definedName>
    <definedName name="solver_rel223" localSheetId="7" hidden="1">1</definedName>
    <definedName name="solver_rel224" localSheetId="7" hidden="1">4</definedName>
    <definedName name="solver_rel225" localSheetId="7" hidden="1">1</definedName>
    <definedName name="solver_rel226" localSheetId="7" hidden="1">1</definedName>
    <definedName name="solver_rel227" localSheetId="7" hidden="1">4</definedName>
    <definedName name="solver_rel228" localSheetId="7" hidden="1">1</definedName>
    <definedName name="solver_rel229" localSheetId="7" hidden="1">4</definedName>
    <definedName name="solver_rel23" localSheetId="7" hidden="1">1</definedName>
    <definedName name="solver_rel230" localSheetId="7" hidden="1">1</definedName>
    <definedName name="solver_rel231" localSheetId="7" hidden="1">4</definedName>
    <definedName name="solver_rel232" localSheetId="7" hidden="1">1</definedName>
    <definedName name="solver_rel233" localSheetId="7" hidden="1">4</definedName>
    <definedName name="solver_rel234" localSheetId="7" hidden="1">1</definedName>
    <definedName name="solver_rel235" localSheetId="7" hidden="1">1</definedName>
    <definedName name="solver_rel236" localSheetId="7" hidden="1">4</definedName>
    <definedName name="solver_rel237" localSheetId="7" hidden="1">1</definedName>
    <definedName name="solver_rel238" localSheetId="7" hidden="1">4</definedName>
    <definedName name="solver_rel239" localSheetId="7" hidden="1">1</definedName>
    <definedName name="solver_rel24" localSheetId="7" hidden="1">4</definedName>
    <definedName name="solver_rel240" localSheetId="7" hidden="1">4</definedName>
    <definedName name="solver_rel241" localSheetId="7" hidden="1">1</definedName>
    <definedName name="solver_rel242" localSheetId="7" hidden="1">4</definedName>
    <definedName name="solver_rel243" localSheetId="7" hidden="1">1</definedName>
    <definedName name="solver_rel244" localSheetId="7" hidden="1">1</definedName>
    <definedName name="solver_rel245" localSheetId="7" hidden="1">4</definedName>
    <definedName name="solver_rel246" localSheetId="7" hidden="1">1</definedName>
    <definedName name="solver_rel247" localSheetId="7" hidden="1">4</definedName>
    <definedName name="solver_rel248" localSheetId="7" hidden="1">1</definedName>
    <definedName name="solver_rel249" localSheetId="7" hidden="1">4</definedName>
    <definedName name="solver_rel25" localSheetId="7" hidden="1">1</definedName>
    <definedName name="solver_rel250" localSheetId="7" hidden="1">1</definedName>
    <definedName name="solver_rel251" localSheetId="7" hidden="1">4</definedName>
    <definedName name="solver_rel252" localSheetId="7" hidden="1">1</definedName>
    <definedName name="solver_rel253" localSheetId="7" hidden="1">1</definedName>
    <definedName name="solver_rel254" localSheetId="7" hidden="1">4</definedName>
    <definedName name="solver_rel255" localSheetId="7" hidden="1">1</definedName>
    <definedName name="solver_rel256" localSheetId="7" hidden="1">4</definedName>
    <definedName name="solver_rel257" localSheetId="7" hidden="1">1</definedName>
    <definedName name="solver_rel258" localSheetId="7" hidden="1">4</definedName>
    <definedName name="solver_rel259" localSheetId="7" hidden="1">1</definedName>
    <definedName name="solver_rel26" localSheetId="7" hidden="1">4</definedName>
    <definedName name="solver_rel260" localSheetId="7" hidden="1">4</definedName>
    <definedName name="solver_rel261" localSheetId="7" hidden="1">1</definedName>
    <definedName name="solver_rel262" localSheetId="7" hidden="1">1</definedName>
    <definedName name="solver_rel263" localSheetId="7" hidden="1">4</definedName>
    <definedName name="solver_rel264" localSheetId="7" hidden="1">1</definedName>
    <definedName name="solver_rel265" localSheetId="7" hidden="1">4</definedName>
    <definedName name="solver_rel266" localSheetId="7" hidden="1">1</definedName>
    <definedName name="solver_rel267" localSheetId="7" hidden="1">4</definedName>
    <definedName name="solver_rel268" localSheetId="7" hidden="1">1</definedName>
    <definedName name="solver_rel269" localSheetId="7" hidden="1">4</definedName>
    <definedName name="solver_rel27" localSheetId="7" hidden="1">1</definedName>
    <definedName name="solver_rel270" localSheetId="7" hidden="1">1</definedName>
    <definedName name="solver_rel271" localSheetId="7" hidden="1">1</definedName>
    <definedName name="solver_rel272" localSheetId="7" hidden="1">4</definedName>
    <definedName name="solver_rel273" localSheetId="7" hidden="1">1</definedName>
    <definedName name="solver_rel274" localSheetId="7" hidden="1">4</definedName>
    <definedName name="solver_rel275" localSheetId="7" hidden="1">1</definedName>
    <definedName name="solver_rel276" localSheetId="7" hidden="1">4</definedName>
    <definedName name="solver_rel277" localSheetId="7" hidden="1">1</definedName>
    <definedName name="solver_rel278" localSheetId="7" hidden="1">4</definedName>
    <definedName name="solver_rel279" localSheetId="7" hidden="1">1</definedName>
    <definedName name="solver_rel28" localSheetId="7" hidden="1">1</definedName>
    <definedName name="solver_rel280" localSheetId="7" hidden="1">1</definedName>
    <definedName name="solver_rel281" localSheetId="7" hidden="1">4</definedName>
    <definedName name="solver_rel282" localSheetId="7" hidden="1">1</definedName>
    <definedName name="solver_rel283" localSheetId="7" hidden="1">4</definedName>
    <definedName name="solver_rel284" localSheetId="7" hidden="1">1</definedName>
    <definedName name="solver_rel285" localSheetId="7" hidden="1">4</definedName>
    <definedName name="solver_rel286" localSheetId="7" hidden="1">1</definedName>
    <definedName name="solver_rel287" localSheetId="7" hidden="1">4</definedName>
    <definedName name="solver_rel288" localSheetId="7" hidden="1">1</definedName>
    <definedName name="solver_rel289" localSheetId="7" hidden="1">1</definedName>
    <definedName name="solver_rel29" localSheetId="7" hidden="1">4</definedName>
    <definedName name="solver_rel290" localSheetId="7" hidden="1">4</definedName>
    <definedName name="solver_rel291" localSheetId="7" hidden="1">1</definedName>
    <definedName name="solver_rel292" localSheetId="7" hidden="1">4</definedName>
    <definedName name="solver_rel293" localSheetId="7" hidden="1">1</definedName>
    <definedName name="solver_rel294" localSheetId="7" hidden="1">4</definedName>
    <definedName name="solver_rel295" localSheetId="7" hidden="1">1</definedName>
    <definedName name="solver_rel296" localSheetId="7" hidden="1">4</definedName>
    <definedName name="solver_rel297" localSheetId="7" hidden="1">1</definedName>
    <definedName name="solver_rel298" localSheetId="7" hidden="1">1</definedName>
    <definedName name="solver_rel299" localSheetId="7" hidden="1">4</definedName>
    <definedName name="solver_rel3" localSheetId="7" hidden="1">1</definedName>
    <definedName name="solver_rel30" localSheetId="7" hidden="1">1</definedName>
    <definedName name="solver_rel300" localSheetId="7" hidden="1">1</definedName>
    <definedName name="solver_rel301" localSheetId="7" hidden="1">4</definedName>
    <definedName name="solver_rel302" localSheetId="7" hidden="1">1</definedName>
    <definedName name="solver_rel303" localSheetId="7" hidden="1">4</definedName>
    <definedName name="solver_rel304" localSheetId="7" hidden="1">1</definedName>
    <definedName name="solver_rel305" localSheetId="7" hidden="1">4</definedName>
    <definedName name="solver_rel306" localSheetId="7" hidden="1">1</definedName>
    <definedName name="solver_rel307" localSheetId="7" hidden="1">1</definedName>
    <definedName name="solver_rel308" localSheetId="7" hidden="1">4</definedName>
    <definedName name="solver_rel309" localSheetId="7" hidden="1">1</definedName>
    <definedName name="solver_rel31" localSheetId="7" hidden="1">4</definedName>
    <definedName name="solver_rel310" localSheetId="7" hidden="1">4</definedName>
    <definedName name="solver_rel311" localSheetId="7" hidden="1">1</definedName>
    <definedName name="solver_rel312" localSheetId="7" hidden="1">4</definedName>
    <definedName name="solver_rel313" localSheetId="7" hidden="1">1</definedName>
    <definedName name="solver_rel314" localSheetId="7" hidden="1">4</definedName>
    <definedName name="solver_rel315" localSheetId="7" hidden="1">1</definedName>
    <definedName name="solver_rel316" localSheetId="7" hidden="1">1</definedName>
    <definedName name="solver_rel317" localSheetId="7" hidden="1">4</definedName>
    <definedName name="solver_rel318" localSheetId="7" hidden="1">1</definedName>
    <definedName name="solver_rel319" localSheetId="7" hidden="1">4</definedName>
    <definedName name="solver_rel32" localSheetId="7" hidden="1">1</definedName>
    <definedName name="solver_rel320" localSheetId="7" hidden="1">1</definedName>
    <definedName name="solver_rel321" localSheetId="7" hidden="1">4</definedName>
    <definedName name="solver_rel322" localSheetId="7" hidden="1">1</definedName>
    <definedName name="solver_rel323" localSheetId="7" hidden="1">4</definedName>
    <definedName name="solver_rel324" localSheetId="7" hidden="1">1</definedName>
    <definedName name="solver_rel325" localSheetId="7" hidden="1">1</definedName>
    <definedName name="solver_rel326" localSheetId="7" hidden="1">4</definedName>
    <definedName name="solver_rel327" localSheetId="7" hidden="1">1</definedName>
    <definedName name="solver_rel328" localSheetId="7" hidden="1">4</definedName>
    <definedName name="solver_rel329" localSheetId="7" hidden="1">1</definedName>
    <definedName name="solver_rel33" localSheetId="7" hidden="1">4</definedName>
    <definedName name="solver_rel330" localSheetId="7" hidden="1">4</definedName>
    <definedName name="solver_rel331" localSheetId="7" hidden="1">1</definedName>
    <definedName name="solver_rel332" localSheetId="7" hidden="1">4</definedName>
    <definedName name="solver_rel333" localSheetId="7" hidden="1">1</definedName>
    <definedName name="solver_rel334" localSheetId="7" hidden="1">1</definedName>
    <definedName name="solver_rel335" localSheetId="7" hidden="1">4</definedName>
    <definedName name="solver_rel336" localSheetId="7" hidden="1">1</definedName>
    <definedName name="solver_rel337" localSheetId="7" hidden="1">4</definedName>
    <definedName name="solver_rel338" localSheetId="7" hidden="1">1</definedName>
    <definedName name="solver_rel339" localSheetId="7" hidden="1">4</definedName>
    <definedName name="solver_rel34" localSheetId="7" hidden="1">1</definedName>
    <definedName name="solver_rel340" localSheetId="7" hidden="1">1</definedName>
    <definedName name="solver_rel341" localSheetId="7" hidden="1">4</definedName>
    <definedName name="solver_rel342" localSheetId="7" hidden="1">1</definedName>
    <definedName name="solver_rel343" localSheetId="7" hidden="1">1</definedName>
    <definedName name="solver_rel344" localSheetId="7" hidden="1">4</definedName>
    <definedName name="solver_rel345" localSheetId="7" hidden="1">1</definedName>
    <definedName name="solver_rel346" localSheetId="7" hidden="1">4</definedName>
    <definedName name="solver_rel347" localSheetId="7" hidden="1">1</definedName>
    <definedName name="solver_rel348" localSheetId="7" hidden="1">4</definedName>
    <definedName name="solver_rel349" localSheetId="7" hidden="1">1</definedName>
    <definedName name="solver_rel35" localSheetId="7" hidden="1">4</definedName>
    <definedName name="solver_rel350" localSheetId="7" hidden="1">4</definedName>
    <definedName name="solver_rel351" localSheetId="7" hidden="1">1</definedName>
    <definedName name="solver_rel352" localSheetId="7" hidden="1">1</definedName>
    <definedName name="solver_rel353" localSheetId="7" hidden="1">4</definedName>
    <definedName name="solver_rel354" localSheetId="7" hidden="1">1</definedName>
    <definedName name="solver_rel355" localSheetId="7" hidden="1">4</definedName>
    <definedName name="solver_rel356" localSheetId="7" hidden="1">1</definedName>
    <definedName name="solver_rel357" localSheetId="7" hidden="1">4</definedName>
    <definedName name="solver_rel358" localSheetId="7" hidden="1">1</definedName>
    <definedName name="solver_rel359" localSheetId="7" hidden="1">4</definedName>
    <definedName name="solver_rel36" localSheetId="7" hidden="1">1</definedName>
    <definedName name="solver_rel360" localSheetId="7" hidden="1">1</definedName>
    <definedName name="solver_rel361" localSheetId="7" hidden="1">1</definedName>
    <definedName name="solver_rel362" localSheetId="7" hidden="1">4</definedName>
    <definedName name="solver_rel363" localSheetId="7" hidden="1">1</definedName>
    <definedName name="solver_rel364" localSheetId="7" hidden="1">4</definedName>
    <definedName name="solver_rel365" localSheetId="7" hidden="1">1</definedName>
    <definedName name="solver_rel366" localSheetId="7" hidden="1">4</definedName>
    <definedName name="solver_rel367" localSheetId="7" hidden="1">1</definedName>
    <definedName name="solver_rel368" localSheetId="7" hidden="1">4</definedName>
    <definedName name="solver_rel369" localSheetId="7" hidden="1">1</definedName>
    <definedName name="solver_rel37" localSheetId="7" hidden="1">1</definedName>
    <definedName name="solver_rel370" localSheetId="7" hidden="1">1</definedName>
    <definedName name="solver_rel371" localSheetId="7" hidden="1">4</definedName>
    <definedName name="solver_rel372" localSheetId="7" hidden="1">1</definedName>
    <definedName name="solver_rel373" localSheetId="7" hidden="1">4</definedName>
    <definedName name="solver_rel374" localSheetId="7" hidden="1">1</definedName>
    <definedName name="solver_rel375" localSheetId="7" hidden="1">4</definedName>
    <definedName name="solver_rel376" localSheetId="7" hidden="1">1</definedName>
    <definedName name="solver_rel377" localSheetId="7" hidden="1">4</definedName>
    <definedName name="solver_rel378" localSheetId="7" hidden="1">1</definedName>
    <definedName name="solver_rel379" localSheetId="7" hidden="1">1</definedName>
    <definedName name="solver_rel38" localSheetId="7" hidden="1">4</definedName>
    <definedName name="solver_rel380" localSheetId="7" hidden="1">4</definedName>
    <definedName name="solver_rel381" localSheetId="7" hidden="1">1</definedName>
    <definedName name="solver_rel382" localSheetId="7" hidden="1">4</definedName>
    <definedName name="solver_rel383" localSheetId="7" hidden="1">1</definedName>
    <definedName name="solver_rel384" localSheetId="7" hidden="1">4</definedName>
    <definedName name="solver_rel385" localSheetId="7" hidden="1">1</definedName>
    <definedName name="solver_rel386" localSheetId="7" hidden="1">4</definedName>
    <definedName name="solver_rel387" localSheetId="7" hidden="1">1</definedName>
    <definedName name="solver_rel388" localSheetId="7" hidden="1">1</definedName>
    <definedName name="solver_rel389" localSheetId="7" hidden="1">4</definedName>
    <definedName name="solver_rel39" localSheetId="7" hidden="1">1</definedName>
    <definedName name="solver_rel390" localSheetId="7" hidden="1">1</definedName>
    <definedName name="solver_rel391" localSheetId="7" hidden="1">4</definedName>
    <definedName name="solver_rel392" localSheetId="7" hidden="1">1</definedName>
    <definedName name="solver_rel393" localSheetId="7" hidden="1">4</definedName>
    <definedName name="solver_rel394" localSheetId="7" hidden="1">1</definedName>
    <definedName name="solver_rel395" localSheetId="7" hidden="1">4</definedName>
    <definedName name="solver_rel396" localSheetId="7" hidden="1">1</definedName>
    <definedName name="solver_rel397" localSheetId="7" hidden="1">1</definedName>
    <definedName name="solver_rel398" localSheetId="7" hidden="1">4</definedName>
    <definedName name="solver_rel399" localSheetId="7" hidden="1">1</definedName>
    <definedName name="solver_rel4" localSheetId="7" hidden="1">4</definedName>
    <definedName name="solver_rel40" localSheetId="7" hidden="1">4</definedName>
    <definedName name="solver_rel400" localSheetId="7" hidden="1">4</definedName>
    <definedName name="solver_rel401" localSheetId="7" hidden="1">1</definedName>
    <definedName name="solver_rel402" localSheetId="7" hidden="1">4</definedName>
    <definedName name="solver_rel403" localSheetId="7" hidden="1">1</definedName>
    <definedName name="solver_rel404" localSheetId="7" hidden="1">4</definedName>
    <definedName name="solver_rel405" localSheetId="7" hidden="1">1</definedName>
    <definedName name="solver_rel406" localSheetId="7" hidden="1">1</definedName>
    <definedName name="solver_rel407" localSheetId="7" hidden="1">4</definedName>
    <definedName name="solver_rel408" localSheetId="7" hidden="1">1</definedName>
    <definedName name="solver_rel409" localSheetId="7" hidden="1">4</definedName>
    <definedName name="solver_rel41" localSheetId="7" hidden="1">1</definedName>
    <definedName name="solver_rel410" localSheetId="7" hidden="1">1</definedName>
    <definedName name="solver_rel411" localSheetId="7" hidden="1">4</definedName>
    <definedName name="solver_rel412" localSheetId="7" hidden="1">1</definedName>
    <definedName name="solver_rel413" localSheetId="7" hidden="1">4</definedName>
    <definedName name="solver_rel414" localSheetId="7" hidden="1">1</definedName>
    <definedName name="solver_rel415" localSheetId="7" hidden="1">1</definedName>
    <definedName name="solver_rel416" localSheetId="7" hidden="1">4</definedName>
    <definedName name="solver_rel417" localSheetId="7" hidden="1">1</definedName>
    <definedName name="solver_rel418" localSheetId="7" hidden="1">4</definedName>
    <definedName name="solver_rel419" localSheetId="7" hidden="1">1</definedName>
    <definedName name="solver_rel42" localSheetId="7" hidden="1">4</definedName>
    <definedName name="solver_rel420" localSheetId="7" hidden="1">4</definedName>
    <definedName name="solver_rel421" localSheetId="7" hidden="1">1</definedName>
    <definedName name="solver_rel422" localSheetId="7" hidden="1">4</definedName>
    <definedName name="solver_rel423" localSheetId="7" hidden="1">1</definedName>
    <definedName name="solver_rel424" localSheetId="7" hidden="1">1</definedName>
    <definedName name="solver_rel425" localSheetId="7" hidden="1">4</definedName>
    <definedName name="solver_rel426" localSheetId="7" hidden="1">1</definedName>
    <definedName name="solver_rel427" localSheetId="7" hidden="1">4</definedName>
    <definedName name="solver_rel428" localSheetId="7" hidden="1">1</definedName>
    <definedName name="solver_rel429" localSheetId="7" hidden="1">4</definedName>
    <definedName name="solver_rel43" localSheetId="7" hidden="1">1</definedName>
    <definedName name="solver_rel430" localSheetId="7" hidden="1">1</definedName>
    <definedName name="solver_rel431" localSheetId="7" hidden="1">4</definedName>
    <definedName name="solver_rel432" localSheetId="7" hidden="1">1</definedName>
    <definedName name="solver_rel433" localSheetId="7" hidden="1">1</definedName>
    <definedName name="solver_rel434" localSheetId="7" hidden="1">4</definedName>
    <definedName name="solver_rel435" localSheetId="7" hidden="1">1</definedName>
    <definedName name="solver_rel436" localSheetId="7" hidden="1">4</definedName>
    <definedName name="solver_rel437" localSheetId="7" hidden="1">1</definedName>
    <definedName name="solver_rel438" localSheetId="7" hidden="1">4</definedName>
    <definedName name="solver_rel439" localSheetId="7" hidden="1">1</definedName>
    <definedName name="solver_rel44" localSheetId="7" hidden="1">4</definedName>
    <definedName name="solver_rel440" localSheetId="7" hidden="1">4</definedName>
    <definedName name="solver_rel441" localSheetId="7" hidden="1">1</definedName>
    <definedName name="solver_rel442" localSheetId="7" hidden="1">1</definedName>
    <definedName name="solver_rel443" localSheetId="7" hidden="1">4</definedName>
    <definedName name="solver_rel444" localSheetId="7" hidden="1">1</definedName>
    <definedName name="solver_rel445" localSheetId="7" hidden="1">4</definedName>
    <definedName name="solver_rel446" localSheetId="7" hidden="1">1</definedName>
    <definedName name="solver_rel447" localSheetId="7" hidden="1">4</definedName>
    <definedName name="solver_rel448" localSheetId="7" hidden="1">1</definedName>
    <definedName name="solver_rel449" localSheetId="7" hidden="1">4</definedName>
    <definedName name="solver_rel45" localSheetId="7" hidden="1">1</definedName>
    <definedName name="solver_rel450" localSheetId="7" hidden="1">1</definedName>
    <definedName name="solver_rel451" localSheetId="7" hidden="1">1</definedName>
    <definedName name="solver_rel452" localSheetId="7" hidden="1">4</definedName>
    <definedName name="solver_rel453" localSheetId="7" hidden="1">1</definedName>
    <definedName name="solver_rel454" localSheetId="7" hidden="1">4</definedName>
    <definedName name="solver_rel455" localSheetId="7" hidden="1">1</definedName>
    <definedName name="solver_rel456" localSheetId="7" hidden="1">4</definedName>
    <definedName name="solver_rel457" localSheetId="7" hidden="1">1</definedName>
    <definedName name="solver_rel458" localSheetId="7" hidden="1">4</definedName>
    <definedName name="solver_rel459" localSheetId="7" hidden="1">1</definedName>
    <definedName name="solver_rel46" localSheetId="7" hidden="1">1</definedName>
    <definedName name="solver_rel460" localSheetId="7" hidden="1">1</definedName>
    <definedName name="solver_rel461" localSheetId="7" hidden="1">4</definedName>
    <definedName name="solver_rel462" localSheetId="7" hidden="1">1</definedName>
    <definedName name="solver_rel463" localSheetId="7" hidden="1">4</definedName>
    <definedName name="solver_rel464" localSheetId="7" hidden="1">1</definedName>
    <definedName name="solver_rel465" localSheetId="7" hidden="1">4</definedName>
    <definedName name="solver_rel466" localSheetId="7" hidden="1">1</definedName>
    <definedName name="solver_rel467" localSheetId="7" hidden="1">4</definedName>
    <definedName name="solver_rel468" localSheetId="7" hidden="1">1</definedName>
    <definedName name="solver_rel469" localSheetId="7" hidden="1">1</definedName>
    <definedName name="solver_rel47" localSheetId="7" hidden="1">4</definedName>
    <definedName name="solver_rel470" localSheetId="7" hidden="1">4</definedName>
    <definedName name="solver_rel471" localSheetId="7" hidden="1">1</definedName>
    <definedName name="solver_rel472" localSheetId="7" hidden="1">4</definedName>
    <definedName name="solver_rel473" localSheetId="7" hidden="1">1</definedName>
    <definedName name="solver_rel474" localSheetId="7" hidden="1">4</definedName>
    <definedName name="solver_rel475" localSheetId="7" hidden="1">1</definedName>
    <definedName name="solver_rel476" localSheetId="7" hidden="1">4</definedName>
    <definedName name="solver_rel477" localSheetId="7" hidden="1">1</definedName>
    <definedName name="solver_rel478" localSheetId="7" hidden="1">1</definedName>
    <definedName name="solver_rel479" localSheetId="7" hidden="1">4</definedName>
    <definedName name="solver_rel48" localSheetId="7" hidden="1">1</definedName>
    <definedName name="solver_rel480" localSheetId="7" hidden="1">1</definedName>
    <definedName name="solver_rel481" localSheetId="7" hidden="1">4</definedName>
    <definedName name="solver_rel482" localSheetId="7" hidden="1">1</definedName>
    <definedName name="solver_rel483" localSheetId="7" hidden="1">4</definedName>
    <definedName name="solver_rel484" localSheetId="7" hidden="1">1</definedName>
    <definedName name="solver_rel485" localSheetId="7" hidden="1">4</definedName>
    <definedName name="solver_rel486" localSheetId="7" hidden="1">1</definedName>
    <definedName name="solver_rel487" localSheetId="7" hidden="1">1</definedName>
    <definedName name="solver_rel488" localSheetId="7" hidden="1">4</definedName>
    <definedName name="solver_rel489" localSheetId="7" hidden="1">1</definedName>
    <definedName name="solver_rel49" localSheetId="7" hidden="1">4</definedName>
    <definedName name="solver_rel490" localSheetId="7" hidden="1">4</definedName>
    <definedName name="solver_rel491" localSheetId="7" hidden="1">1</definedName>
    <definedName name="solver_rel492" localSheetId="7" hidden="1">4</definedName>
    <definedName name="solver_rel493" localSheetId="7" hidden="1">1</definedName>
    <definedName name="solver_rel494" localSheetId="7" hidden="1">4</definedName>
    <definedName name="solver_rel495" localSheetId="7" hidden="1">1</definedName>
    <definedName name="solver_rel496" localSheetId="7" hidden="1">1</definedName>
    <definedName name="solver_rel497" localSheetId="7" hidden="1">4</definedName>
    <definedName name="solver_rel498" localSheetId="7" hidden="1">1</definedName>
    <definedName name="solver_rel499" localSheetId="7" hidden="1">4</definedName>
    <definedName name="solver_rel5" localSheetId="7" hidden="1">1</definedName>
    <definedName name="solver_rel50" localSheetId="7" hidden="1">1</definedName>
    <definedName name="solver_rel500" localSheetId="7" hidden="1">1</definedName>
    <definedName name="solver_rel501" localSheetId="7" hidden="1">4</definedName>
    <definedName name="solver_rel502" localSheetId="7" hidden="1">1</definedName>
    <definedName name="solver_rel503" localSheetId="7" hidden="1">4</definedName>
    <definedName name="solver_rel504" localSheetId="7" hidden="1">1</definedName>
    <definedName name="solver_rel505" localSheetId="7" hidden="1">1</definedName>
    <definedName name="solver_rel506" localSheetId="7" hidden="1">4</definedName>
    <definedName name="solver_rel507" localSheetId="7" hidden="1">1</definedName>
    <definedName name="solver_rel508" localSheetId="7" hidden="1">4</definedName>
    <definedName name="solver_rel509" localSheetId="7" hidden="1">1</definedName>
    <definedName name="solver_rel51" localSheetId="7" hidden="1">4</definedName>
    <definedName name="solver_rel510" localSheetId="7" hidden="1">4</definedName>
    <definedName name="solver_rel511" localSheetId="7" hidden="1">1</definedName>
    <definedName name="solver_rel512" localSheetId="7" hidden="1">4</definedName>
    <definedName name="solver_rel513" localSheetId="7" hidden="1">1</definedName>
    <definedName name="solver_rel514" localSheetId="7" hidden="1">1</definedName>
    <definedName name="solver_rel515" localSheetId="7" hidden="1">4</definedName>
    <definedName name="solver_rel516" localSheetId="7" hidden="1">1</definedName>
    <definedName name="solver_rel517" localSheetId="7" hidden="1">4</definedName>
    <definedName name="solver_rel518" localSheetId="7" hidden="1">1</definedName>
    <definedName name="solver_rel519" localSheetId="7" hidden="1">4</definedName>
    <definedName name="solver_rel52" localSheetId="7" hidden="1">1</definedName>
    <definedName name="solver_rel520" localSheetId="7" hidden="1">1</definedName>
    <definedName name="solver_rel521" localSheetId="7" hidden="1">4</definedName>
    <definedName name="solver_rel522" localSheetId="7" hidden="1">1</definedName>
    <definedName name="solver_rel523" localSheetId="7" hidden="1">1</definedName>
    <definedName name="solver_rel524" localSheetId="7" hidden="1">4</definedName>
    <definedName name="solver_rel525" localSheetId="7" hidden="1">1</definedName>
    <definedName name="solver_rel526" localSheetId="7" hidden="1">4</definedName>
    <definedName name="solver_rel527" localSheetId="7" hidden="1">1</definedName>
    <definedName name="solver_rel528" localSheetId="7" hidden="1">4</definedName>
    <definedName name="solver_rel529" localSheetId="7" hidden="1">1</definedName>
    <definedName name="solver_rel53" localSheetId="7" hidden="1">4</definedName>
    <definedName name="solver_rel530" localSheetId="7" hidden="1">4</definedName>
    <definedName name="solver_rel531" localSheetId="7" hidden="1">1</definedName>
    <definedName name="solver_rel532" localSheetId="7" hidden="1">1</definedName>
    <definedName name="solver_rel533" localSheetId="7" hidden="1">4</definedName>
    <definedName name="solver_rel534" localSheetId="7" hidden="1">1</definedName>
    <definedName name="solver_rel535" localSheetId="7" hidden="1">4</definedName>
    <definedName name="solver_rel536" localSheetId="7" hidden="1">1</definedName>
    <definedName name="solver_rel537" localSheetId="7" hidden="1">4</definedName>
    <definedName name="solver_rel538" localSheetId="7" hidden="1">1</definedName>
    <definedName name="solver_rel539" localSheetId="7" hidden="1">4</definedName>
    <definedName name="solver_rel54" localSheetId="7" hidden="1">1</definedName>
    <definedName name="solver_rel540" localSheetId="7" hidden="1">1</definedName>
    <definedName name="solver_rel541" localSheetId="7" hidden="1">1</definedName>
    <definedName name="solver_rel542" localSheetId="7" hidden="1">4</definedName>
    <definedName name="solver_rel543" localSheetId="7" hidden="1">1</definedName>
    <definedName name="solver_rel544" localSheetId="7" hidden="1">4</definedName>
    <definedName name="solver_rel545" localSheetId="7" hidden="1">1</definedName>
    <definedName name="solver_rel546" localSheetId="7" hidden="1">4</definedName>
    <definedName name="solver_rel547" localSheetId="7" hidden="1">1</definedName>
    <definedName name="solver_rel548" localSheetId="7" hidden="1">4</definedName>
    <definedName name="solver_rel549" localSheetId="7" hidden="1">1</definedName>
    <definedName name="solver_rel55" localSheetId="7" hidden="1">1</definedName>
    <definedName name="solver_rel550" localSheetId="7" hidden="1">1</definedName>
    <definedName name="solver_rel551" localSheetId="7" hidden="1">4</definedName>
    <definedName name="solver_rel552" localSheetId="7" hidden="1">1</definedName>
    <definedName name="solver_rel553" localSheetId="7" hidden="1">4</definedName>
    <definedName name="solver_rel554" localSheetId="7" hidden="1">1</definedName>
    <definedName name="solver_rel555" localSheetId="7" hidden="1">4</definedName>
    <definedName name="solver_rel556" localSheetId="7" hidden="1">1</definedName>
    <definedName name="solver_rel557" localSheetId="7" hidden="1">4</definedName>
    <definedName name="solver_rel558" localSheetId="7" hidden="1">1</definedName>
    <definedName name="solver_rel559" localSheetId="7" hidden="1">1</definedName>
    <definedName name="solver_rel56" localSheetId="7" hidden="1">4</definedName>
    <definedName name="solver_rel560" localSheetId="7" hidden="1">4</definedName>
    <definedName name="solver_rel561" localSheetId="7" hidden="1">1</definedName>
    <definedName name="solver_rel562" localSheetId="7" hidden="1">4</definedName>
    <definedName name="solver_rel563" localSheetId="7" hidden="1">1</definedName>
    <definedName name="solver_rel564" localSheetId="7" hidden="1">4</definedName>
    <definedName name="solver_rel565" localSheetId="7" hidden="1">1</definedName>
    <definedName name="solver_rel566" localSheetId="7" hidden="1">4</definedName>
    <definedName name="solver_rel567" localSheetId="7" hidden="1">1</definedName>
    <definedName name="solver_rel568" localSheetId="7" hidden="1">1</definedName>
    <definedName name="solver_rel569" localSheetId="7" hidden="1">4</definedName>
    <definedName name="solver_rel57" localSheetId="7" hidden="1">1</definedName>
    <definedName name="solver_rel570" localSheetId="7" hidden="1">1</definedName>
    <definedName name="solver_rel571" localSheetId="7" hidden="1">4</definedName>
    <definedName name="solver_rel572" localSheetId="7" hidden="1">1</definedName>
    <definedName name="solver_rel573" localSheetId="7" hidden="1">4</definedName>
    <definedName name="solver_rel574" localSheetId="7" hidden="1">1</definedName>
    <definedName name="solver_rel575" localSheetId="7" hidden="1">4</definedName>
    <definedName name="solver_rel576" localSheetId="7" hidden="1">1</definedName>
    <definedName name="solver_rel577" localSheetId="7" hidden="1">1</definedName>
    <definedName name="solver_rel578" localSheetId="7" hidden="1">4</definedName>
    <definedName name="solver_rel579" localSheetId="7" hidden="1">1</definedName>
    <definedName name="solver_rel58" localSheetId="7" hidden="1">4</definedName>
    <definedName name="solver_rel580" localSheetId="7" hidden="1">4</definedName>
    <definedName name="solver_rel581" localSheetId="7" hidden="1">1</definedName>
    <definedName name="solver_rel582" localSheetId="7" hidden="1">4</definedName>
    <definedName name="solver_rel583" localSheetId="7" hidden="1">1</definedName>
    <definedName name="solver_rel584" localSheetId="7" hidden="1">4</definedName>
    <definedName name="solver_rel585" localSheetId="7" hidden="1">1</definedName>
    <definedName name="solver_rel586" localSheetId="7" hidden="1">1</definedName>
    <definedName name="solver_rel587" localSheetId="7" hidden="1">4</definedName>
    <definedName name="solver_rel588" localSheetId="7" hidden="1">1</definedName>
    <definedName name="solver_rel589" localSheetId="7" hidden="1">4</definedName>
    <definedName name="solver_rel59" localSheetId="7" hidden="1">1</definedName>
    <definedName name="solver_rel590" localSheetId="7" hidden="1">1</definedName>
    <definedName name="solver_rel591" localSheetId="7" hidden="1">4</definedName>
    <definedName name="solver_rel592" localSheetId="7" hidden="1">1</definedName>
    <definedName name="solver_rel593" localSheetId="7" hidden="1">4</definedName>
    <definedName name="solver_rel594" localSheetId="7" hidden="1">1</definedName>
    <definedName name="solver_rel595" localSheetId="7" hidden="1">1</definedName>
    <definedName name="solver_rel596" localSheetId="7" hidden="1">4</definedName>
    <definedName name="solver_rel597" localSheetId="7" hidden="1">1</definedName>
    <definedName name="solver_rel598" localSheetId="7" hidden="1">4</definedName>
    <definedName name="solver_rel599" localSheetId="7" hidden="1">1</definedName>
    <definedName name="solver_rel6" localSheetId="7" hidden="1">4</definedName>
    <definedName name="solver_rel60" localSheetId="7" hidden="1">4</definedName>
    <definedName name="solver_rel600" localSheetId="7" hidden="1">4</definedName>
    <definedName name="solver_rel601" localSheetId="7" hidden="1">1</definedName>
    <definedName name="solver_rel602" localSheetId="7" hidden="1">4</definedName>
    <definedName name="solver_rel603" localSheetId="7" hidden="1">1</definedName>
    <definedName name="solver_rel604" localSheetId="7" hidden="1">1</definedName>
    <definedName name="solver_rel605" localSheetId="7" hidden="1">4</definedName>
    <definedName name="solver_rel606" localSheetId="7" hidden="1">1</definedName>
    <definedName name="solver_rel607" localSheetId="7" hidden="1">4</definedName>
    <definedName name="solver_rel608" localSheetId="7" hidden="1">1</definedName>
    <definedName name="solver_rel609" localSheetId="7" hidden="1">4</definedName>
    <definedName name="solver_rel61" localSheetId="7" hidden="1">1</definedName>
    <definedName name="solver_rel610" localSheetId="7" hidden="1">1</definedName>
    <definedName name="solver_rel611" localSheetId="7" hidden="1">4</definedName>
    <definedName name="solver_rel612" localSheetId="7" hidden="1">1</definedName>
    <definedName name="solver_rel613" localSheetId="7" hidden="1">1</definedName>
    <definedName name="solver_rel614" localSheetId="7" hidden="1">4</definedName>
    <definedName name="solver_rel615" localSheetId="7" hidden="1">1</definedName>
    <definedName name="solver_rel616" localSheetId="7" hidden="1">4</definedName>
    <definedName name="solver_rel617" localSheetId="7" hidden="1">1</definedName>
    <definedName name="solver_rel618" localSheetId="7" hidden="1">4</definedName>
    <definedName name="solver_rel619" localSheetId="7" hidden="1">1</definedName>
    <definedName name="solver_rel62" localSheetId="7" hidden="1">4</definedName>
    <definedName name="solver_rel620" localSheetId="7" hidden="1">4</definedName>
    <definedName name="solver_rel621" localSheetId="7" hidden="1">1</definedName>
    <definedName name="solver_rel622" localSheetId="7" hidden="1">1</definedName>
    <definedName name="solver_rel623" localSheetId="7" hidden="1">4</definedName>
    <definedName name="solver_rel624" localSheetId="7" hidden="1">1</definedName>
    <definedName name="solver_rel625" localSheetId="7" hidden="1">4</definedName>
    <definedName name="solver_rel626" localSheetId="7" hidden="1">1</definedName>
    <definedName name="solver_rel627" localSheetId="7" hidden="1">4</definedName>
    <definedName name="solver_rel628" localSheetId="7" hidden="1">1</definedName>
    <definedName name="solver_rel629" localSheetId="7" hidden="1">4</definedName>
    <definedName name="solver_rel63" localSheetId="7" hidden="1">1</definedName>
    <definedName name="solver_rel630" localSheetId="7" hidden="1">1</definedName>
    <definedName name="solver_rel631" localSheetId="7" hidden="1">1</definedName>
    <definedName name="solver_rel632" localSheetId="7" hidden="1">4</definedName>
    <definedName name="solver_rel633" localSheetId="7" hidden="1">1</definedName>
    <definedName name="solver_rel634" localSheetId="7" hidden="1">4</definedName>
    <definedName name="solver_rel635" localSheetId="7" hidden="1">1</definedName>
    <definedName name="solver_rel636" localSheetId="7" hidden="1">4</definedName>
    <definedName name="solver_rel637" localSheetId="7" hidden="1">1</definedName>
    <definedName name="solver_rel638" localSheetId="7" hidden="1">4</definedName>
    <definedName name="solver_rel639" localSheetId="7" hidden="1">1</definedName>
    <definedName name="solver_rel64" localSheetId="7" hidden="1">1</definedName>
    <definedName name="solver_rel640" localSheetId="7" hidden="1">1</definedName>
    <definedName name="solver_rel641" localSheetId="7" hidden="1">4</definedName>
    <definedName name="solver_rel642" localSheetId="7" hidden="1">1</definedName>
    <definedName name="solver_rel643" localSheetId="7" hidden="1">4</definedName>
    <definedName name="solver_rel644" localSheetId="7" hidden="1">1</definedName>
    <definedName name="solver_rel645" localSheetId="7" hidden="1">4</definedName>
    <definedName name="solver_rel646" localSheetId="7" hidden="1">1</definedName>
    <definedName name="solver_rel647" localSheetId="7" hidden="1">4</definedName>
    <definedName name="solver_rel648" localSheetId="7" hidden="1">1</definedName>
    <definedName name="solver_rel649" localSheetId="7" hidden="1">1</definedName>
    <definedName name="solver_rel65" localSheetId="7" hidden="1">4</definedName>
    <definedName name="solver_rel650" localSheetId="7" hidden="1">4</definedName>
    <definedName name="solver_rel651" localSheetId="7" hidden="1">1</definedName>
    <definedName name="solver_rel652" localSheetId="7" hidden="1">4</definedName>
    <definedName name="solver_rel653" localSheetId="7" hidden="1">1</definedName>
    <definedName name="solver_rel654" localSheetId="7" hidden="1">4</definedName>
    <definedName name="solver_rel655" localSheetId="7" hidden="1">1</definedName>
    <definedName name="solver_rel656" localSheetId="7" hidden="1">4</definedName>
    <definedName name="solver_rel657" localSheetId="7" hidden="1">1</definedName>
    <definedName name="solver_rel658" localSheetId="7" hidden="1">1</definedName>
    <definedName name="solver_rel659" localSheetId="7" hidden="1">4</definedName>
    <definedName name="solver_rel66" localSheetId="7" hidden="1">1</definedName>
    <definedName name="solver_rel660" localSheetId="7" hidden="1">1</definedName>
    <definedName name="solver_rel661" localSheetId="7" hidden="1">4</definedName>
    <definedName name="solver_rel662" localSheetId="7" hidden="1">1</definedName>
    <definedName name="solver_rel663" localSheetId="7" hidden="1">4</definedName>
    <definedName name="solver_rel664" localSheetId="7" hidden="1">1</definedName>
    <definedName name="solver_rel665" localSheetId="7" hidden="1">4</definedName>
    <definedName name="solver_rel666" localSheetId="7" hidden="1">1</definedName>
    <definedName name="solver_rel667" localSheetId="7" hidden="1">1</definedName>
    <definedName name="solver_rel668" localSheetId="7" hidden="1">4</definedName>
    <definedName name="solver_rel669" localSheetId="7" hidden="1">1</definedName>
    <definedName name="solver_rel67" localSheetId="7" hidden="1">4</definedName>
    <definedName name="solver_rel670" localSheetId="7" hidden="1">4</definedName>
    <definedName name="solver_rel671" localSheetId="7" hidden="1">1</definedName>
    <definedName name="solver_rel672" localSheetId="7" hidden="1">4</definedName>
    <definedName name="solver_rel673" localSheetId="7" hidden="1">1</definedName>
    <definedName name="solver_rel674" localSheetId="7" hidden="1">4</definedName>
    <definedName name="solver_rel675" localSheetId="7" hidden="1">1</definedName>
    <definedName name="solver_rel676" localSheetId="7" hidden="1">1</definedName>
    <definedName name="solver_rel677" localSheetId="7" hidden="1">4</definedName>
    <definedName name="solver_rel678" localSheetId="7" hidden="1">1</definedName>
    <definedName name="solver_rel679" localSheetId="7" hidden="1">4</definedName>
    <definedName name="solver_rel68" localSheetId="7" hidden="1">1</definedName>
    <definedName name="solver_rel680" localSheetId="7" hidden="1">1</definedName>
    <definedName name="solver_rel681" localSheetId="7" hidden="1">4</definedName>
    <definedName name="solver_rel682" localSheetId="7" hidden="1">1</definedName>
    <definedName name="solver_rel683" localSheetId="7" hidden="1">4</definedName>
    <definedName name="solver_rel684" localSheetId="7" hidden="1">1</definedName>
    <definedName name="solver_rel685" localSheetId="7" hidden="1">1</definedName>
    <definedName name="solver_rel686" localSheetId="7" hidden="1">4</definedName>
    <definedName name="solver_rel687" localSheetId="7" hidden="1">1</definedName>
    <definedName name="solver_rel688" localSheetId="7" hidden="1">4</definedName>
    <definedName name="solver_rel689" localSheetId="7" hidden="1">1</definedName>
    <definedName name="solver_rel69" localSheetId="7" hidden="1">4</definedName>
    <definedName name="solver_rel690" localSheetId="7" hidden="1">4</definedName>
    <definedName name="solver_rel691" localSheetId="7" hidden="1">1</definedName>
    <definedName name="solver_rel692" localSheetId="7" hidden="1">4</definedName>
    <definedName name="solver_rel693" localSheetId="7" hidden="1">1</definedName>
    <definedName name="solver_rel694" localSheetId="7" hidden="1">1</definedName>
    <definedName name="solver_rel695" localSheetId="7" hidden="1">4</definedName>
    <definedName name="solver_rel696" localSheetId="7" hidden="1">1</definedName>
    <definedName name="solver_rel697" localSheetId="7" hidden="1">4</definedName>
    <definedName name="solver_rel698" localSheetId="7" hidden="1">1</definedName>
    <definedName name="solver_rel699" localSheetId="7" hidden="1">4</definedName>
    <definedName name="solver_rel7" localSheetId="7" hidden="1">1</definedName>
    <definedName name="solver_rel70" localSheetId="7" hidden="1">1</definedName>
    <definedName name="solver_rel700" localSheetId="7" hidden="1">1</definedName>
    <definedName name="solver_rel701" localSheetId="7" hidden="1">4</definedName>
    <definedName name="solver_rel702" localSheetId="7" hidden="1">1</definedName>
    <definedName name="solver_rel703" localSheetId="7" hidden="1">1</definedName>
    <definedName name="solver_rel704" localSheetId="7" hidden="1">4</definedName>
    <definedName name="solver_rel705" localSheetId="7" hidden="1">1</definedName>
    <definedName name="solver_rel706" localSheetId="7" hidden="1">4</definedName>
    <definedName name="solver_rel707" localSheetId="7" hidden="1">1</definedName>
    <definedName name="solver_rel708" localSheetId="7" hidden="1">4</definedName>
    <definedName name="solver_rel709" localSheetId="7" hidden="1">1</definedName>
    <definedName name="solver_rel71" localSheetId="7" hidden="1">4</definedName>
    <definedName name="solver_rel710" localSheetId="7" hidden="1">4</definedName>
    <definedName name="solver_rel711" localSheetId="7" hidden="1">1</definedName>
    <definedName name="solver_rel712" localSheetId="7" hidden="1">1</definedName>
    <definedName name="solver_rel713" localSheetId="7" hidden="1">4</definedName>
    <definedName name="solver_rel714" localSheetId="7" hidden="1">1</definedName>
    <definedName name="solver_rel715" localSheetId="7" hidden="1">4</definedName>
    <definedName name="solver_rel716" localSheetId="7" hidden="1">1</definedName>
    <definedName name="solver_rel717" localSheetId="7" hidden="1">4</definedName>
    <definedName name="solver_rel718" localSheetId="7" hidden="1">1</definedName>
    <definedName name="solver_rel719" localSheetId="7" hidden="1">4</definedName>
    <definedName name="solver_rel72" localSheetId="7" hidden="1">1</definedName>
    <definedName name="solver_rel720" localSheetId="7" hidden="1">1</definedName>
    <definedName name="solver_rel721" localSheetId="7" hidden="1">1</definedName>
    <definedName name="solver_rel722" localSheetId="7" hidden="1">4</definedName>
    <definedName name="solver_rel723" localSheetId="7" hidden="1">1</definedName>
    <definedName name="solver_rel724" localSheetId="7" hidden="1">4</definedName>
    <definedName name="solver_rel725" localSheetId="7" hidden="1">1</definedName>
    <definedName name="solver_rel726" localSheetId="7" hidden="1">4</definedName>
    <definedName name="solver_rel727" localSheetId="7" hidden="1">1</definedName>
    <definedName name="solver_rel728" localSheetId="7" hidden="1">4</definedName>
    <definedName name="solver_rel729" localSheetId="7" hidden="1">1</definedName>
    <definedName name="solver_rel73" localSheetId="7" hidden="1">1</definedName>
    <definedName name="solver_rel730" localSheetId="7" hidden="1">1</definedName>
    <definedName name="solver_rel731" localSheetId="7" hidden="1">4</definedName>
    <definedName name="solver_rel732" localSheetId="7" hidden="1">1</definedName>
    <definedName name="solver_rel733" localSheetId="7" hidden="1">4</definedName>
    <definedName name="solver_rel734" localSheetId="7" hidden="1">1</definedName>
    <definedName name="solver_rel735" localSheetId="7" hidden="1">4</definedName>
    <definedName name="solver_rel736" localSheetId="7" hidden="1">1</definedName>
    <definedName name="solver_rel737" localSheetId="7" hidden="1">4</definedName>
    <definedName name="solver_rel738" localSheetId="7" hidden="1">1</definedName>
    <definedName name="solver_rel739" localSheetId="7" hidden="1">1</definedName>
    <definedName name="solver_rel74" localSheetId="7" hidden="1">4</definedName>
    <definedName name="solver_rel740" localSheetId="7" hidden="1">4</definedName>
    <definedName name="solver_rel741" localSheetId="7" hidden="1">1</definedName>
    <definedName name="solver_rel742" localSheetId="7" hidden="1">4</definedName>
    <definedName name="solver_rel743" localSheetId="7" hidden="1">1</definedName>
    <definedName name="solver_rel744" localSheetId="7" hidden="1">4</definedName>
    <definedName name="solver_rel745" localSheetId="7" hidden="1">1</definedName>
    <definedName name="solver_rel746" localSheetId="7" hidden="1">4</definedName>
    <definedName name="solver_rel747" localSheetId="7" hidden="1">1</definedName>
    <definedName name="solver_rel748" localSheetId="7" hidden="1">1</definedName>
    <definedName name="solver_rel749" localSheetId="7" hidden="1">4</definedName>
    <definedName name="solver_rel75" localSheetId="7" hidden="1">1</definedName>
    <definedName name="solver_rel750" localSheetId="7" hidden="1">1</definedName>
    <definedName name="solver_rel751" localSheetId="7" hidden="1">4</definedName>
    <definedName name="solver_rel752" localSheetId="7" hidden="1">1</definedName>
    <definedName name="solver_rel753" localSheetId="7" hidden="1">4</definedName>
    <definedName name="solver_rel754" localSheetId="7" hidden="1">1</definedName>
    <definedName name="solver_rel755" localSheetId="7" hidden="1">4</definedName>
    <definedName name="solver_rel756" localSheetId="7" hidden="1">1</definedName>
    <definedName name="solver_rel757" localSheetId="7" hidden="1">1</definedName>
    <definedName name="solver_rel758" localSheetId="7" hidden="1">4</definedName>
    <definedName name="solver_rel759" localSheetId="7" hidden="1">1</definedName>
    <definedName name="solver_rel76" localSheetId="7" hidden="1">4</definedName>
    <definedName name="solver_rel760" localSheetId="7" hidden="1">4</definedName>
    <definedName name="solver_rel761" localSheetId="7" hidden="1">1</definedName>
    <definedName name="solver_rel762" localSheetId="7" hidden="1">4</definedName>
    <definedName name="solver_rel763" localSheetId="7" hidden="1">1</definedName>
    <definedName name="solver_rel764" localSheetId="7" hidden="1">4</definedName>
    <definedName name="solver_rel765" localSheetId="7" hidden="1">1</definedName>
    <definedName name="solver_rel766" localSheetId="7" hidden="1">1</definedName>
    <definedName name="solver_rel767" localSheetId="7" hidden="1">4</definedName>
    <definedName name="solver_rel768" localSheetId="7" hidden="1">1</definedName>
    <definedName name="solver_rel769" localSheetId="7" hidden="1">4</definedName>
    <definedName name="solver_rel77" localSheetId="7" hidden="1">1</definedName>
    <definedName name="solver_rel770" localSheetId="7" hidden="1">1</definedName>
    <definedName name="solver_rel771" localSheetId="7" hidden="1">4</definedName>
    <definedName name="solver_rel772" localSheetId="7" hidden="1">1</definedName>
    <definedName name="solver_rel773" localSheetId="7" hidden="1">4</definedName>
    <definedName name="solver_rel774" localSheetId="7" hidden="1">1</definedName>
    <definedName name="solver_rel775" localSheetId="7" hidden="1">1</definedName>
    <definedName name="solver_rel776" localSheetId="7" hidden="1">4</definedName>
    <definedName name="solver_rel777" localSheetId="7" hidden="1">1</definedName>
    <definedName name="solver_rel778" localSheetId="7" hidden="1">4</definedName>
    <definedName name="solver_rel779" localSheetId="7" hidden="1">1</definedName>
    <definedName name="solver_rel78" localSheetId="7" hidden="1">4</definedName>
    <definedName name="solver_rel780" localSheetId="7" hidden="1">4</definedName>
    <definedName name="solver_rel781" localSheetId="7" hidden="1">1</definedName>
    <definedName name="solver_rel782" localSheetId="7" hidden="1">4</definedName>
    <definedName name="solver_rel783" localSheetId="7" hidden="1">1</definedName>
    <definedName name="solver_rel79" localSheetId="7" hidden="1">1</definedName>
    <definedName name="solver_rel8" localSheetId="7" hidden="1">4</definedName>
    <definedName name="solver_rel80" localSheetId="7" hidden="1">4</definedName>
    <definedName name="solver_rel81" localSheetId="7" hidden="1">1</definedName>
    <definedName name="solver_rel82" localSheetId="7" hidden="1">1</definedName>
    <definedName name="solver_rel83" localSheetId="7" hidden="1">4</definedName>
    <definedName name="solver_rel84" localSheetId="7" hidden="1">1</definedName>
    <definedName name="solver_rel85" localSheetId="7" hidden="1">4</definedName>
    <definedName name="solver_rel86" localSheetId="7" hidden="1">1</definedName>
    <definedName name="solver_rel87" localSheetId="7" hidden="1">4</definedName>
    <definedName name="solver_rel88" localSheetId="7" hidden="1">1</definedName>
    <definedName name="solver_rel89" localSheetId="7" hidden="1">4</definedName>
    <definedName name="solver_rel9" localSheetId="7" hidden="1">1</definedName>
    <definedName name="solver_rel90" localSheetId="7" hidden="1">1</definedName>
    <definedName name="solver_rel91" localSheetId="7" hidden="1">1</definedName>
    <definedName name="solver_rel92" localSheetId="7" hidden="1">4</definedName>
    <definedName name="solver_rel93" localSheetId="7" hidden="1">1</definedName>
    <definedName name="solver_rel94" localSheetId="7" hidden="1">4</definedName>
    <definedName name="solver_rel95" localSheetId="7" hidden="1">1</definedName>
    <definedName name="solver_rel96" localSheetId="7" hidden="1">4</definedName>
    <definedName name="solver_rel97" localSheetId="7" hidden="1">1</definedName>
    <definedName name="solver_rel98" localSheetId="7" hidden="1">4</definedName>
    <definedName name="solver_rel99" localSheetId="7" hidden="1">1</definedName>
    <definedName name="solver_rhs1" localSheetId="7" hidden="1">'KO Calc'!BD21</definedName>
    <definedName name="solver_rhs10" localSheetId="7" hidden="1">4</definedName>
    <definedName name="solver_rhs100" localSheetId="7" hidden="1">2</definedName>
    <definedName name="solver_rhs101" localSheetId="7" hidden="1">integer</definedName>
    <definedName name="solver_rhs102" localSheetId="7" hidden="1">4</definedName>
    <definedName name="solver_rhs103" localSheetId="7" hidden="1">integer</definedName>
    <definedName name="solver_rhs104" localSheetId="7" hidden="1">4</definedName>
    <definedName name="solver_rhs105" localSheetId="7" hidden="1">integer</definedName>
    <definedName name="solver_rhs106" localSheetId="7" hidden="1">8</definedName>
    <definedName name="solver_rhs107" localSheetId="7" hidden="1">integer</definedName>
    <definedName name="solver_rhs108" localSheetId="7" hidden="1">0</definedName>
    <definedName name="solver_rhs109" localSheetId="7" hidden="1">2</definedName>
    <definedName name="solver_rhs11" localSheetId="7" hidden="1">integer</definedName>
    <definedName name="solver_rhs110" localSheetId="7" hidden="1">integer</definedName>
    <definedName name="solver_rhs111" localSheetId="7" hidden="1">4</definedName>
    <definedName name="solver_rhs112" localSheetId="7" hidden="1">integer</definedName>
    <definedName name="solver_rhs113" localSheetId="7" hidden="1">4</definedName>
    <definedName name="solver_rhs114" localSheetId="7" hidden="1">integer</definedName>
    <definedName name="solver_rhs115" localSheetId="7" hidden="1">8</definedName>
    <definedName name="solver_rhs116" localSheetId="7" hidden="1">integer</definedName>
    <definedName name="solver_rhs117" localSheetId="7" hidden="1">0</definedName>
    <definedName name="solver_rhs118" localSheetId="7" hidden="1">2</definedName>
    <definedName name="solver_rhs119" localSheetId="7" hidden="1">integer</definedName>
    <definedName name="solver_rhs12" localSheetId="7" hidden="1">8</definedName>
    <definedName name="solver_rhs120" localSheetId="7" hidden="1">4</definedName>
    <definedName name="solver_rhs121" localSheetId="7" hidden="1">integer</definedName>
    <definedName name="solver_rhs122" localSheetId="7" hidden="1">4</definedName>
    <definedName name="solver_rhs123" localSheetId="7" hidden="1">integer</definedName>
    <definedName name="solver_rhs124" localSheetId="7" hidden="1">8</definedName>
    <definedName name="solver_rhs125" localSheetId="7" hidden="1">integer</definedName>
    <definedName name="solver_rhs126" localSheetId="7" hidden="1">0</definedName>
    <definedName name="solver_rhs127" localSheetId="7" hidden="1">2</definedName>
    <definedName name="solver_rhs128" localSheetId="7" hidden="1">integer</definedName>
    <definedName name="solver_rhs129" localSheetId="7" hidden="1">4</definedName>
    <definedName name="solver_rhs13" localSheetId="7" hidden="1">integer</definedName>
    <definedName name="solver_rhs130" localSheetId="7" hidden="1">integer</definedName>
    <definedName name="solver_rhs131" localSheetId="7" hidden="1">4</definedName>
    <definedName name="solver_rhs132" localSheetId="7" hidden="1">integer</definedName>
    <definedName name="solver_rhs133" localSheetId="7" hidden="1">8</definedName>
    <definedName name="solver_rhs134" localSheetId="7" hidden="1">integer</definedName>
    <definedName name="solver_rhs135" localSheetId="7" hidden="1">0</definedName>
    <definedName name="solver_rhs136" localSheetId="7" hidden="1">2</definedName>
    <definedName name="solver_rhs137" localSheetId="7" hidden="1">integer</definedName>
    <definedName name="solver_rhs138" localSheetId="7" hidden="1">4</definedName>
    <definedName name="solver_rhs139" localSheetId="7" hidden="1">integer</definedName>
    <definedName name="solver_rhs14" localSheetId="7" hidden="1">integer</definedName>
    <definedName name="solver_rhs140" localSheetId="7" hidden="1">4</definedName>
    <definedName name="solver_rhs141" localSheetId="7" hidden="1">integer</definedName>
    <definedName name="solver_rhs142" localSheetId="7" hidden="1">8</definedName>
    <definedName name="solver_rhs143" localSheetId="7" hidden="1">integer</definedName>
    <definedName name="solver_rhs144" localSheetId="7" hidden="1">0</definedName>
    <definedName name="solver_rhs145" localSheetId="7" hidden="1">2</definedName>
    <definedName name="solver_rhs146" localSheetId="7" hidden="1">integer</definedName>
    <definedName name="solver_rhs147" localSheetId="7" hidden="1">4</definedName>
    <definedName name="solver_rhs148" localSheetId="7" hidden="1">integer</definedName>
    <definedName name="solver_rhs149" localSheetId="7" hidden="1">4</definedName>
    <definedName name="solver_rhs15" localSheetId="7" hidden="1">8</definedName>
    <definedName name="solver_rhs150" localSheetId="7" hidden="1">integer</definedName>
    <definedName name="solver_rhs151" localSheetId="7" hidden="1">8</definedName>
    <definedName name="solver_rhs152" localSheetId="7" hidden="1">integer</definedName>
    <definedName name="solver_rhs153" localSheetId="7" hidden="1">0</definedName>
    <definedName name="solver_rhs154" localSheetId="7" hidden="1">2</definedName>
    <definedName name="solver_rhs155" localSheetId="7" hidden="1">integer</definedName>
    <definedName name="solver_rhs156" localSheetId="7" hidden="1">4</definedName>
    <definedName name="solver_rhs157" localSheetId="7" hidden="1">integer</definedName>
    <definedName name="solver_rhs158" localSheetId="7" hidden="1">4</definedName>
    <definedName name="solver_rhs159" localSheetId="7" hidden="1">integer</definedName>
    <definedName name="solver_rhs16" localSheetId="7" hidden="1">integer</definedName>
    <definedName name="solver_rhs160" localSheetId="7" hidden="1">8</definedName>
    <definedName name="solver_rhs161" localSheetId="7" hidden="1">integer</definedName>
    <definedName name="solver_rhs162" localSheetId="7" hidden="1">0</definedName>
    <definedName name="solver_rhs163" localSheetId="7" hidden="1">2</definedName>
    <definedName name="solver_rhs164" localSheetId="7" hidden="1">integer</definedName>
    <definedName name="solver_rhs165" localSheetId="7" hidden="1">4</definedName>
    <definedName name="solver_rhs166" localSheetId="7" hidden="1">integer</definedName>
    <definedName name="solver_rhs167" localSheetId="7" hidden="1">4</definedName>
    <definedName name="solver_rhs168" localSheetId="7" hidden="1">integer</definedName>
    <definedName name="solver_rhs169" localSheetId="7" hidden="1">8</definedName>
    <definedName name="solver_rhs17" localSheetId="7" hidden="1">0</definedName>
    <definedName name="solver_rhs170" localSheetId="7" hidden="1">integer</definedName>
    <definedName name="solver_rhs171" localSheetId="7" hidden="1">0</definedName>
    <definedName name="solver_rhs172" localSheetId="7" hidden="1">2</definedName>
    <definedName name="solver_rhs173" localSheetId="7" hidden="1">integer</definedName>
    <definedName name="solver_rhs174" localSheetId="7" hidden="1">4</definedName>
    <definedName name="solver_rhs175" localSheetId="7" hidden="1">integer</definedName>
    <definedName name="solver_rhs176" localSheetId="7" hidden="1">4</definedName>
    <definedName name="solver_rhs177" localSheetId="7" hidden="1">integer</definedName>
    <definedName name="solver_rhs178" localSheetId="7" hidden="1">8</definedName>
    <definedName name="solver_rhs179" localSheetId="7" hidden="1">integer</definedName>
    <definedName name="solver_rhs18" localSheetId="7" hidden="1">0</definedName>
    <definedName name="solver_rhs180" localSheetId="7" hidden="1">0</definedName>
    <definedName name="solver_rhs181" localSheetId="7" hidden="1">2</definedName>
    <definedName name="solver_rhs182" localSheetId="7" hidden="1">integer</definedName>
    <definedName name="solver_rhs183" localSheetId="7" hidden="1">4</definedName>
    <definedName name="solver_rhs184" localSheetId="7" hidden="1">integer</definedName>
    <definedName name="solver_rhs185" localSheetId="7" hidden="1">4</definedName>
    <definedName name="solver_rhs186" localSheetId="7" hidden="1">integer</definedName>
    <definedName name="solver_rhs187" localSheetId="7" hidden="1">8</definedName>
    <definedName name="solver_rhs188" localSheetId="7" hidden="1">integer</definedName>
    <definedName name="solver_rhs189" localSheetId="7" hidden="1">0</definedName>
    <definedName name="solver_rhs19" localSheetId="7" hidden="1">2</definedName>
    <definedName name="solver_rhs190" localSheetId="7" hidden="1">2</definedName>
    <definedName name="solver_rhs191" localSheetId="7" hidden="1">integer</definedName>
    <definedName name="solver_rhs192" localSheetId="7" hidden="1">4</definedName>
    <definedName name="solver_rhs193" localSheetId="7" hidden="1">integer</definedName>
    <definedName name="solver_rhs194" localSheetId="7" hidden="1">4</definedName>
    <definedName name="solver_rhs195" localSheetId="7" hidden="1">integer</definedName>
    <definedName name="solver_rhs196" localSheetId="7" hidden="1">8</definedName>
    <definedName name="solver_rhs197" localSheetId="7" hidden="1">integer</definedName>
    <definedName name="solver_rhs198" localSheetId="7" hidden="1">0</definedName>
    <definedName name="solver_rhs199" localSheetId="7" hidden="1">2</definedName>
    <definedName name="solver_rhs2" localSheetId="7" hidden="1">integer</definedName>
    <definedName name="solver_rhs20" localSheetId="7" hidden="1">integer</definedName>
    <definedName name="solver_rhs200" localSheetId="7" hidden="1">integer</definedName>
    <definedName name="solver_rhs201" localSheetId="7" hidden="1">4</definedName>
    <definedName name="solver_rhs202" localSheetId="7" hidden="1">integer</definedName>
    <definedName name="solver_rhs203" localSheetId="7" hidden="1">4</definedName>
    <definedName name="solver_rhs204" localSheetId="7" hidden="1">integer</definedName>
    <definedName name="solver_rhs205" localSheetId="7" hidden="1">8</definedName>
    <definedName name="solver_rhs206" localSheetId="7" hidden="1">integer</definedName>
    <definedName name="solver_rhs207" localSheetId="7" hidden="1">0</definedName>
    <definedName name="solver_rhs208" localSheetId="7" hidden="1">2</definedName>
    <definedName name="solver_rhs209" localSheetId="7" hidden="1">integer</definedName>
    <definedName name="solver_rhs21" localSheetId="7" hidden="1">4</definedName>
    <definedName name="solver_rhs210" localSheetId="7" hidden="1">4</definedName>
    <definedName name="solver_rhs211" localSheetId="7" hidden="1">integer</definedName>
    <definedName name="solver_rhs212" localSheetId="7" hidden="1">4</definedName>
    <definedName name="solver_rhs213" localSheetId="7" hidden="1">integer</definedName>
    <definedName name="solver_rhs214" localSheetId="7" hidden="1">8</definedName>
    <definedName name="solver_rhs215" localSheetId="7" hidden="1">integer</definedName>
    <definedName name="solver_rhs216" localSheetId="7" hidden="1">0</definedName>
    <definedName name="solver_rhs217" localSheetId="7" hidden="1">2</definedName>
    <definedName name="solver_rhs218" localSheetId="7" hidden="1">integer</definedName>
    <definedName name="solver_rhs219" localSheetId="7" hidden="1">4</definedName>
    <definedName name="solver_rhs22" localSheetId="7" hidden="1">integer</definedName>
    <definedName name="solver_rhs220" localSheetId="7" hidden="1">integer</definedName>
    <definedName name="solver_rhs221" localSheetId="7" hidden="1">4</definedName>
    <definedName name="solver_rhs222" localSheetId="7" hidden="1">integer</definedName>
    <definedName name="solver_rhs223" localSheetId="7" hidden="1">8</definedName>
    <definedName name="solver_rhs224" localSheetId="7" hidden="1">integer</definedName>
    <definedName name="solver_rhs225" localSheetId="7" hidden="1">0</definedName>
    <definedName name="solver_rhs226" localSheetId="7" hidden="1">2</definedName>
    <definedName name="solver_rhs227" localSheetId="7" hidden="1">integer</definedName>
    <definedName name="solver_rhs228" localSheetId="7" hidden="1">4</definedName>
    <definedName name="solver_rhs229" localSheetId="7" hidden="1">integer</definedName>
    <definedName name="solver_rhs23" localSheetId="7" hidden="1">4</definedName>
    <definedName name="solver_rhs230" localSheetId="7" hidden="1">4</definedName>
    <definedName name="solver_rhs231" localSheetId="7" hidden="1">integer</definedName>
    <definedName name="solver_rhs232" localSheetId="7" hidden="1">8</definedName>
    <definedName name="solver_rhs233" localSheetId="7" hidden="1">integer</definedName>
    <definedName name="solver_rhs234" localSheetId="7" hidden="1">0</definedName>
    <definedName name="solver_rhs235" localSheetId="7" hidden="1">2</definedName>
    <definedName name="solver_rhs236" localSheetId="7" hidden="1">integer</definedName>
    <definedName name="solver_rhs237" localSheetId="7" hidden="1">4</definedName>
    <definedName name="solver_rhs238" localSheetId="7" hidden="1">integer</definedName>
    <definedName name="solver_rhs239" localSheetId="7" hidden="1">4</definedName>
    <definedName name="solver_rhs24" localSheetId="7" hidden="1">integer</definedName>
    <definedName name="solver_rhs240" localSheetId="7" hidden="1">integer</definedName>
    <definedName name="solver_rhs241" localSheetId="7" hidden="1">8</definedName>
    <definedName name="solver_rhs242" localSheetId="7" hidden="1">integer</definedName>
    <definedName name="solver_rhs243" localSheetId="7" hidden="1">0</definedName>
    <definedName name="solver_rhs244" localSheetId="7" hidden="1">2</definedName>
    <definedName name="solver_rhs245" localSheetId="7" hidden="1">integer</definedName>
    <definedName name="solver_rhs246" localSheetId="7" hidden="1">4</definedName>
    <definedName name="solver_rhs247" localSheetId="7" hidden="1">integer</definedName>
    <definedName name="solver_rhs248" localSheetId="7" hidden="1">4</definedName>
    <definedName name="solver_rhs249" localSheetId="7" hidden="1">integer</definedName>
    <definedName name="solver_rhs25" localSheetId="7" hidden="1">8</definedName>
    <definedName name="solver_rhs250" localSheetId="7" hidden="1">8</definedName>
    <definedName name="solver_rhs251" localSheetId="7" hidden="1">integer</definedName>
    <definedName name="solver_rhs252" localSheetId="7" hidden="1">0</definedName>
    <definedName name="solver_rhs253" localSheetId="7" hidden="1">2</definedName>
    <definedName name="solver_rhs254" localSheetId="7" hidden="1">integer</definedName>
    <definedName name="solver_rhs255" localSheetId="7" hidden="1">4</definedName>
    <definedName name="solver_rhs256" localSheetId="7" hidden="1">integer</definedName>
    <definedName name="solver_rhs257" localSheetId="7" hidden="1">4</definedName>
    <definedName name="solver_rhs258" localSheetId="7" hidden="1">integer</definedName>
    <definedName name="solver_rhs259" localSheetId="7" hidden="1">8</definedName>
    <definedName name="solver_rhs26" localSheetId="7" hidden="1">integer</definedName>
    <definedName name="solver_rhs260" localSheetId="7" hidden="1">integer</definedName>
    <definedName name="solver_rhs261" localSheetId="7" hidden="1">0</definedName>
    <definedName name="solver_rhs262" localSheetId="7" hidden="1">2</definedName>
    <definedName name="solver_rhs263" localSheetId="7" hidden="1">integer</definedName>
    <definedName name="solver_rhs264" localSheetId="7" hidden="1">4</definedName>
    <definedName name="solver_rhs265" localSheetId="7" hidden="1">integer</definedName>
    <definedName name="solver_rhs266" localSheetId="7" hidden="1">4</definedName>
    <definedName name="solver_rhs267" localSheetId="7" hidden="1">integer</definedName>
    <definedName name="solver_rhs268" localSheetId="7" hidden="1">8</definedName>
    <definedName name="solver_rhs269" localSheetId="7" hidden="1">integer</definedName>
    <definedName name="solver_rhs27" localSheetId="7" hidden="1">0</definedName>
    <definedName name="solver_rhs270" localSheetId="7" hidden="1">0</definedName>
    <definedName name="solver_rhs271" localSheetId="7" hidden="1">2</definedName>
    <definedName name="solver_rhs272" localSheetId="7" hidden="1">integer</definedName>
    <definedName name="solver_rhs273" localSheetId="7" hidden="1">4</definedName>
    <definedName name="solver_rhs274" localSheetId="7" hidden="1">integer</definedName>
    <definedName name="solver_rhs275" localSheetId="7" hidden="1">4</definedName>
    <definedName name="solver_rhs276" localSheetId="7" hidden="1">integer</definedName>
    <definedName name="solver_rhs277" localSheetId="7" hidden="1">8</definedName>
    <definedName name="solver_rhs278" localSheetId="7" hidden="1">integer</definedName>
    <definedName name="solver_rhs279" localSheetId="7" hidden="1">0</definedName>
    <definedName name="solver_rhs28" localSheetId="7" hidden="1">2</definedName>
    <definedName name="solver_rhs280" localSheetId="7" hidden="1">2</definedName>
    <definedName name="solver_rhs281" localSheetId="7" hidden="1">integer</definedName>
    <definedName name="solver_rhs282" localSheetId="7" hidden="1">4</definedName>
    <definedName name="solver_rhs283" localSheetId="7" hidden="1">integer</definedName>
    <definedName name="solver_rhs284" localSheetId="7" hidden="1">4</definedName>
    <definedName name="solver_rhs285" localSheetId="7" hidden="1">integer</definedName>
    <definedName name="solver_rhs286" localSheetId="7" hidden="1">8</definedName>
    <definedName name="solver_rhs287" localSheetId="7" hidden="1">integer</definedName>
    <definedName name="solver_rhs288" localSheetId="7" hidden="1">0</definedName>
    <definedName name="solver_rhs289" localSheetId="7" hidden="1">2</definedName>
    <definedName name="solver_rhs29" localSheetId="7" hidden="1">integer</definedName>
    <definedName name="solver_rhs290" localSheetId="7" hidden="1">integer</definedName>
    <definedName name="solver_rhs291" localSheetId="7" hidden="1">4</definedName>
    <definedName name="solver_rhs292" localSheetId="7" hidden="1">integer</definedName>
    <definedName name="solver_rhs293" localSheetId="7" hidden="1">4</definedName>
    <definedName name="solver_rhs294" localSheetId="7" hidden="1">integer</definedName>
    <definedName name="solver_rhs295" localSheetId="7" hidden="1">8</definedName>
    <definedName name="solver_rhs296" localSheetId="7" hidden="1">integer</definedName>
    <definedName name="solver_rhs297" localSheetId="7" hidden="1">0</definedName>
    <definedName name="solver_rhs298" localSheetId="7" hidden="1">2</definedName>
    <definedName name="solver_rhs299" localSheetId="7" hidden="1">integer</definedName>
    <definedName name="solver_rhs3" localSheetId="7" hidden="1">'KO Calc'!BD18</definedName>
    <definedName name="solver_rhs30" localSheetId="7" hidden="1">4</definedName>
    <definedName name="solver_rhs300" localSheetId="7" hidden="1">4</definedName>
    <definedName name="solver_rhs301" localSheetId="7" hidden="1">integer</definedName>
    <definedName name="solver_rhs302" localSheetId="7" hidden="1">4</definedName>
    <definedName name="solver_rhs303" localSheetId="7" hidden="1">integer</definedName>
    <definedName name="solver_rhs304" localSheetId="7" hidden="1">8</definedName>
    <definedName name="solver_rhs305" localSheetId="7" hidden="1">integer</definedName>
    <definedName name="solver_rhs306" localSheetId="7" hidden="1">0</definedName>
    <definedName name="solver_rhs307" localSheetId="7" hidden="1">2</definedName>
    <definedName name="solver_rhs308" localSheetId="7" hidden="1">integer</definedName>
    <definedName name="solver_rhs309" localSheetId="7" hidden="1">4</definedName>
    <definedName name="solver_rhs31" localSheetId="7" hidden="1">integer</definedName>
    <definedName name="solver_rhs310" localSheetId="7" hidden="1">integer</definedName>
    <definedName name="solver_rhs311" localSheetId="7" hidden="1">4</definedName>
    <definedName name="solver_rhs312" localSheetId="7" hidden="1">integer</definedName>
    <definedName name="solver_rhs313" localSheetId="7" hidden="1">8</definedName>
    <definedName name="solver_rhs314" localSheetId="7" hidden="1">integer</definedName>
    <definedName name="solver_rhs315" localSheetId="7" hidden="1">0</definedName>
    <definedName name="solver_rhs316" localSheetId="7" hidden="1">2</definedName>
    <definedName name="solver_rhs317" localSheetId="7" hidden="1">integer</definedName>
    <definedName name="solver_rhs318" localSheetId="7" hidden="1">4</definedName>
    <definedName name="solver_rhs319" localSheetId="7" hidden="1">integer</definedName>
    <definedName name="solver_rhs32" localSheetId="7" hidden="1">4</definedName>
    <definedName name="solver_rhs320" localSheetId="7" hidden="1">4</definedName>
    <definedName name="solver_rhs321" localSheetId="7" hidden="1">integer</definedName>
    <definedName name="solver_rhs322" localSheetId="7" hidden="1">8</definedName>
    <definedName name="solver_rhs323" localSheetId="7" hidden="1">integer</definedName>
    <definedName name="solver_rhs324" localSheetId="7" hidden="1">0</definedName>
    <definedName name="solver_rhs325" localSheetId="7" hidden="1">2</definedName>
    <definedName name="solver_rhs326" localSheetId="7" hidden="1">integer</definedName>
    <definedName name="solver_rhs327" localSheetId="7" hidden="1">4</definedName>
    <definedName name="solver_rhs328" localSheetId="7" hidden="1">integer</definedName>
    <definedName name="solver_rhs329" localSheetId="7" hidden="1">4</definedName>
    <definedName name="solver_rhs33" localSheetId="7" hidden="1">integer</definedName>
    <definedName name="solver_rhs330" localSheetId="7" hidden="1">integer</definedName>
    <definedName name="solver_rhs331" localSheetId="7" hidden="1">8</definedName>
    <definedName name="solver_rhs332" localSheetId="7" hidden="1">integer</definedName>
    <definedName name="solver_rhs333" localSheetId="7" hidden="1">0</definedName>
    <definedName name="solver_rhs334" localSheetId="7" hidden="1">2</definedName>
    <definedName name="solver_rhs335" localSheetId="7" hidden="1">integer</definedName>
    <definedName name="solver_rhs336" localSheetId="7" hidden="1">4</definedName>
    <definedName name="solver_rhs337" localSheetId="7" hidden="1">integer</definedName>
    <definedName name="solver_rhs338" localSheetId="7" hidden="1">4</definedName>
    <definedName name="solver_rhs339" localSheetId="7" hidden="1">integer</definedName>
    <definedName name="solver_rhs34" localSheetId="7" hidden="1">8</definedName>
    <definedName name="solver_rhs340" localSheetId="7" hidden="1">8</definedName>
    <definedName name="solver_rhs341" localSheetId="7" hidden="1">integer</definedName>
    <definedName name="solver_rhs342" localSheetId="7" hidden="1">0</definedName>
    <definedName name="solver_rhs343" localSheetId="7" hidden="1">2</definedName>
    <definedName name="solver_rhs344" localSheetId="7" hidden="1">integer</definedName>
    <definedName name="solver_rhs345" localSheetId="7" hidden="1">4</definedName>
    <definedName name="solver_rhs346" localSheetId="7" hidden="1">integer</definedName>
    <definedName name="solver_rhs347" localSheetId="7" hidden="1">4</definedName>
    <definedName name="solver_rhs348" localSheetId="7" hidden="1">integer</definedName>
    <definedName name="solver_rhs349" localSheetId="7" hidden="1">8</definedName>
    <definedName name="solver_rhs35" localSheetId="7" hidden="1">integer</definedName>
    <definedName name="solver_rhs350" localSheetId="7" hidden="1">integer</definedName>
    <definedName name="solver_rhs351" localSheetId="7" hidden="1">0</definedName>
    <definedName name="solver_rhs352" localSheetId="7" hidden="1">2</definedName>
    <definedName name="solver_rhs353" localSheetId="7" hidden="1">integer</definedName>
    <definedName name="solver_rhs354" localSheetId="7" hidden="1">4</definedName>
    <definedName name="solver_rhs355" localSheetId="7" hidden="1">integer</definedName>
    <definedName name="solver_rhs356" localSheetId="7" hidden="1">4</definedName>
    <definedName name="solver_rhs357" localSheetId="7" hidden="1">integer</definedName>
    <definedName name="solver_rhs358" localSheetId="7" hidden="1">8</definedName>
    <definedName name="solver_rhs359" localSheetId="7" hidden="1">integer</definedName>
    <definedName name="solver_rhs36" localSheetId="7" hidden="1">0</definedName>
    <definedName name="solver_rhs360" localSheetId="7" hidden="1">0</definedName>
    <definedName name="solver_rhs361" localSheetId="7" hidden="1">2</definedName>
    <definedName name="solver_rhs362" localSheetId="7" hidden="1">integer</definedName>
    <definedName name="solver_rhs363" localSheetId="7" hidden="1">4</definedName>
    <definedName name="solver_rhs364" localSheetId="7" hidden="1">integer</definedName>
    <definedName name="solver_rhs365" localSheetId="7" hidden="1">4</definedName>
    <definedName name="solver_rhs366" localSheetId="7" hidden="1">integer</definedName>
    <definedName name="solver_rhs367" localSheetId="7" hidden="1">8</definedName>
    <definedName name="solver_rhs368" localSheetId="7" hidden="1">integer</definedName>
    <definedName name="solver_rhs369" localSheetId="7" hidden="1">0</definedName>
    <definedName name="solver_rhs37" localSheetId="7" hidden="1">2</definedName>
    <definedName name="solver_rhs370" localSheetId="7" hidden="1">2</definedName>
    <definedName name="solver_rhs371" localSheetId="7" hidden="1">integer</definedName>
    <definedName name="solver_rhs372" localSheetId="7" hidden="1">4</definedName>
    <definedName name="solver_rhs373" localSheetId="7" hidden="1">integer</definedName>
    <definedName name="solver_rhs374" localSheetId="7" hidden="1">4</definedName>
    <definedName name="solver_rhs375" localSheetId="7" hidden="1">integer</definedName>
    <definedName name="solver_rhs376" localSheetId="7" hidden="1">8</definedName>
    <definedName name="solver_rhs377" localSheetId="7" hidden="1">integer</definedName>
    <definedName name="solver_rhs378" localSheetId="7" hidden="1">0</definedName>
    <definedName name="solver_rhs379" localSheetId="7" hidden="1">2</definedName>
    <definedName name="solver_rhs38" localSheetId="7" hidden="1">integer</definedName>
    <definedName name="solver_rhs380" localSheetId="7" hidden="1">integer</definedName>
    <definedName name="solver_rhs381" localSheetId="7" hidden="1">4</definedName>
    <definedName name="solver_rhs382" localSheetId="7" hidden="1">integer</definedName>
    <definedName name="solver_rhs383" localSheetId="7" hidden="1">4</definedName>
    <definedName name="solver_rhs384" localSheetId="7" hidden="1">integer</definedName>
    <definedName name="solver_rhs385" localSheetId="7" hidden="1">8</definedName>
    <definedName name="solver_rhs386" localSheetId="7" hidden="1">integer</definedName>
    <definedName name="solver_rhs387" localSheetId="7" hidden="1">0</definedName>
    <definedName name="solver_rhs388" localSheetId="7" hidden="1">2</definedName>
    <definedName name="solver_rhs389" localSheetId="7" hidden="1">integer</definedName>
    <definedName name="solver_rhs39" localSheetId="7" hidden="1">4</definedName>
    <definedName name="solver_rhs390" localSheetId="7" hidden="1">4</definedName>
    <definedName name="solver_rhs391" localSheetId="7" hidden="1">integer</definedName>
    <definedName name="solver_rhs392" localSheetId="7" hidden="1">4</definedName>
    <definedName name="solver_rhs393" localSheetId="7" hidden="1">integer</definedName>
    <definedName name="solver_rhs394" localSheetId="7" hidden="1">8</definedName>
    <definedName name="solver_rhs395" localSheetId="7" hidden="1">integer</definedName>
    <definedName name="solver_rhs396" localSheetId="7" hidden="1">0</definedName>
    <definedName name="solver_rhs397" localSheetId="7" hidden="1">2</definedName>
    <definedName name="solver_rhs398" localSheetId="7" hidden="1">integer</definedName>
    <definedName name="solver_rhs399" localSheetId="7" hidden="1">4</definedName>
    <definedName name="solver_rhs4" localSheetId="7" hidden="1">integer</definedName>
    <definedName name="solver_rhs40" localSheetId="7" hidden="1">integer</definedName>
    <definedName name="solver_rhs400" localSheetId="7" hidden="1">integer</definedName>
    <definedName name="solver_rhs401" localSheetId="7" hidden="1">4</definedName>
    <definedName name="solver_rhs402" localSheetId="7" hidden="1">integer</definedName>
    <definedName name="solver_rhs403" localSheetId="7" hidden="1">8</definedName>
    <definedName name="solver_rhs404" localSheetId="7" hidden="1">integer</definedName>
    <definedName name="solver_rhs405" localSheetId="7" hidden="1">0</definedName>
    <definedName name="solver_rhs406" localSheetId="7" hidden="1">2</definedName>
    <definedName name="solver_rhs407" localSheetId="7" hidden="1">integer</definedName>
    <definedName name="solver_rhs408" localSheetId="7" hidden="1">4</definedName>
    <definedName name="solver_rhs409" localSheetId="7" hidden="1">integer</definedName>
    <definedName name="solver_rhs41" localSheetId="7" hidden="1">4</definedName>
    <definedName name="solver_rhs410" localSheetId="7" hidden="1">4</definedName>
    <definedName name="solver_rhs411" localSheetId="7" hidden="1">integer</definedName>
    <definedName name="solver_rhs412" localSheetId="7" hidden="1">8</definedName>
    <definedName name="solver_rhs413" localSheetId="7" hidden="1">integer</definedName>
    <definedName name="solver_rhs414" localSheetId="7" hidden="1">0</definedName>
    <definedName name="solver_rhs415" localSheetId="7" hidden="1">2</definedName>
    <definedName name="solver_rhs416" localSheetId="7" hidden="1">integer</definedName>
    <definedName name="solver_rhs417" localSheetId="7" hidden="1">4</definedName>
    <definedName name="solver_rhs418" localSheetId="7" hidden="1">integer</definedName>
    <definedName name="solver_rhs419" localSheetId="7" hidden="1">4</definedName>
    <definedName name="solver_rhs42" localSheetId="7" hidden="1">integer</definedName>
    <definedName name="solver_rhs420" localSheetId="7" hidden="1">integer</definedName>
    <definedName name="solver_rhs421" localSheetId="7" hidden="1">8</definedName>
    <definedName name="solver_rhs422" localSheetId="7" hidden="1">integer</definedName>
    <definedName name="solver_rhs423" localSheetId="7" hidden="1">0</definedName>
    <definedName name="solver_rhs424" localSheetId="7" hidden="1">2</definedName>
    <definedName name="solver_rhs425" localSheetId="7" hidden="1">integer</definedName>
    <definedName name="solver_rhs426" localSheetId="7" hidden="1">4</definedName>
    <definedName name="solver_rhs427" localSheetId="7" hidden="1">integer</definedName>
    <definedName name="solver_rhs428" localSheetId="7" hidden="1">4</definedName>
    <definedName name="solver_rhs429" localSheetId="7" hidden="1">integer</definedName>
    <definedName name="solver_rhs43" localSheetId="7" hidden="1">8</definedName>
    <definedName name="solver_rhs430" localSheetId="7" hidden="1">8</definedName>
    <definedName name="solver_rhs431" localSheetId="7" hidden="1">integer</definedName>
    <definedName name="solver_rhs432" localSheetId="7" hidden="1">0</definedName>
    <definedName name="solver_rhs433" localSheetId="7" hidden="1">2</definedName>
    <definedName name="solver_rhs434" localSheetId="7" hidden="1">integer</definedName>
    <definedName name="solver_rhs435" localSheetId="7" hidden="1">4</definedName>
    <definedName name="solver_rhs436" localSheetId="7" hidden="1">integer</definedName>
    <definedName name="solver_rhs437" localSheetId="7" hidden="1">4</definedName>
    <definedName name="solver_rhs438" localSheetId="7" hidden="1">integer</definedName>
    <definedName name="solver_rhs439" localSheetId="7" hidden="1">8</definedName>
    <definedName name="solver_rhs44" localSheetId="7" hidden="1">integer</definedName>
    <definedName name="solver_rhs440" localSheetId="7" hidden="1">integer</definedName>
    <definedName name="solver_rhs441" localSheetId="7" hidden="1">0</definedName>
    <definedName name="solver_rhs442" localSheetId="7" hidden="1">2</definedName>
    <definedName name="solver_rhs443" localSheetId="7" hidden="1">integer</definedName>
    <definedName name="solver_rhs444" localSheetId="7" hidden="1">4</definedName>
    <definedName name="solver_rhs445" localSheetId="7" hidden="1">integer</definedName>
    <definedName name="solver_rhs446" localSheetId="7" hidden="1">4</definedName>
    <definedName name="solver_rhs447" localSheetId="7" hidden="1">integer</definedName>
    <definedName name="solver_rhs448" localSheetId="7" hidden="1">8</definedName>
    <definedName name="solver_rhs449" localSheetId="7" hidden="1">integer</definedName>
    <definedName name="solver_rhs45" localSheetId="7" hidden="1">0</definedName>
    <definedName name="solver_rhs450" localSheetId="7" hidden="1">0</definedName>
    <definedName name="solver_rhs451" localSheetId="7" hidden="1">2</definedName>
    <definedName name="solver_rhs452" localSheetId="7" hidden="1">integer</definedName>
    <definedName name="solver_rhs453" localSheetId="7" hidden="1">4</definedName>
    <definedName name="solver_rhs454" localSheetId="7" hidden="1">integer</definedName>
    <definedName name="solver_rhs455" localSheetId="7" hidden="1">4</definedName>
    <definedName name="solver_rhs456" localSheetId="7" hidden="1">integer</definedName>
    <definedName name="solver_rhs457" localSheetId="7" hidden="1">8</definedName>
    <definedName name="solver_rhs458" localSheetId="7" hidden="1">integer</definedName>
    <definedName name="solver_rhs459" localSheetId="7" hidden="1">0</definedName>
    <definedName name="solver_rhs46" localSheetId="7" hidden="1">2</definedName>
    <definedName name="solver_rhs460" localSheetId="7" hidden="1">2</definedName>
    <definedName name="solver_rhs461" localSheetId="7" hidden="1">integer</definedName>
    <definedName name="solver_rhs462" localSheetId="7" hidden="1">4</definedName>
    <definedName name="solver_rhs463" localSheetId="7" hidden="1">integer</definedName>
    <definedName name="solver_rhs464" localSheetId="7" hidden="1">4</definedName>
    <definedName name="solver_rhs465" localSheetId="7" hidden="1">integer</definedName>
    <definedName name="solver_rhs466" localSheetId="7" hidden="1">8</definedName>
    <definedName name="solver_rhs467" localSheetId="7" hidden="1">integer</definedName>
    <definedName name="solver_rhs468" localSheetId="7" hidden="1">0</definedName>
    <definedName name="solver_rhs469" localSheetId="7" hidden="1">2</definedName>
    <definedName name="solver_rhs47" localSheetId="7" hidden="1">integer</definedName>
    <definedName name="solver_rhs470" localSheetId="7" hidden="1">integer</definedName>
    <definedName name="solver_rhs471" localSheetId="7" hidden="1">4</definedName>
    <definedName name="solver_rhs472" localSheetId="7" hidden="1">integer</definedName>
    <definedName name="solver_rhs473" localSheetId="7" hidden="1">4</definedName>
    <definedName name="solver_rhs474" localSheetId="7" hidden="1">integer</definedName>
    <definedName name="solver_rhs475" localSheetId="7" hidden="1">8</definedName>
    <definedName name="solver_rhs476" localSheetId="7" hidden="1">integer</definedName>
    <definedName name="solver_rhs477" localSheetId="7" hidden="1">0</definedName>
    <definedName name="solver_rhs478" localSheetId="7" hidden="1">2</definedName>
    <definedName name="solver_rhs479" localSheetId="7" hidden="1">integer</definedName>
    <definedName name="solver_rhs48" localSheetId="7" hidden="1">4</definedName>
    <definedName name="solver_rhs480" localSheetId="7" hidden="1">4</definedName>
    <definedName name="solver_rhs481" localSheetId="7" hidden="1">integer</definedName>
    <definedName name="solver_rhs482" localSheetId="7" hidden="1">4</definedName>
    <definedName name="solver_rhs483" localSheetId="7" hidden="1">integer</definedName>
    <definedName name="solver_rhs484" localSheetId="7" hidden="1">8</definedName>
    <definedName name="solver_rhs485" localSheetId="7" hidden="1">integer</definedName>
    <definedName name="solver_rhs486" localSheetId="7" hidden="1">0</definedName>
    <definedName name="solver_rhs487" localSheetId="7" hidden="1">2</definedName>
    <definedName name="solver_rhs488" localSheetId="7" hidden="1">integer</definedName>
    <definedName name="solver_rhs489" localSheetId="7" hidden="1">4</definedName>
    <definedName name="solver_rhs49" localSheetId="7" hidden="1">integer</definedName>
    <definedName name="solver_rhs490" localSheetId="7" hidden="1">integer</definedName>
    <definedName name="solver_rhs491" localSheetId="7" hidden="1">4</definedName>
    <definedName name="solver_rhs492" localSheetId="7" hidden="1">integer</definedName>
    <definedName name="solver_rhs493" localSheetId="7" hidden="1">8</definedName>
    <definedName name="solver_rhs494" localSheetId="7" hidden="1">integer</definedName>
    <definedName name="solver_rhs495" localSheetId="7" hidden="1">0</definedName>
    <definedName name="solver_rhs496" localSheetId="7" hidden="1">2</definedName>
    <definedName name="solver_rhs497" localSheetId="7" hidden="1">integer</definedName>
    <definedName name="solver_rhs498" localSheetId="7" hidden="1">4</definedName>
    <definedName name="solver_rhs499" localSheetId="7" hidden="1">integer</definedName>
    <definedName name="solver_rhs5" localSheetId="7" hidden="1">'KO Calc'!BD16</definedName>
    <definedName name="solver_rhs50" localSheetId="7" hidden="1">4</definedName>
    <definedName name="solver_rhs500" localSheetId="7" hidden="1">4</definedName>
    <definedName name="solver_rhs501" localSheetId="7" hidden="1">integer</definedName>
    <definedName name="solver_rhs502" localSheetId="7" hidden="1">8</definedName>
    <definedName name="solver_rhs503" localSheetId="7" hidden="1">integer</definedName>
    <definedName name="solver_rhs504" localSheetId="7" hidden="1">0</definedName>
    <definedName name="solver_rhs505" localSheetId="7" hidden="1">2</definedName>
    <definedName name="solver_rhs506" localSheetId="7" hidden="1">integer</definedName>
    <definedName name="solver_rhs507" localSheetId="7" hidden="1">4</definedName>
    <definedName name="solver_rhs508" localSheetId="7" hidden="1">integer</definedName>
    <definedName name="solver_rhs509" localSheetId="7" hidden="1">4</definedName>
    <definedName name="solver_rhs51" localSheetId="7" hidden="1">integer</definedName>
    <definedName name="solver_rhs510" localSheetId="7" hidden="1">integer</definedName>
    <definedName name="solver_rhs511" localSheetId="7" hidden="1">8</definedName>
    <definedName name="solver_rhs512" localSheetId="7" hidden="1">integer</definedName>
    <definedName name="solver_rhs513" localSheetId="7" hidden="1">0</definedName>
    <definedName name="solver_rhs514" localSheetId="7" hidden="1">2</definedName>
    <definedName name="solver_rhs515" localSheetId="7" hidden="1">integer</definedName>
    <definedName name="solver_rhs516" localSheetId="7" hidden="1">4</definedName>
    <definedName name="solver_rhs517" localSheetId="7" hidden="1">integer</definedName>
    <definedName name="solver_rhs518" localSheetId="7" hidden="1">4</definedName>
    <definedName name="solver_rhs519" localSheetId="7" hidden="1">integer</definedName>
    <definedName name="solver_rhs52" localSheetId="7" hidden="1">8</definedName>
    <definedName name="solver_rhs520" localSheetId="7" hidden="1">8</definedName>
    <definedName name="solver_rhs521" localSheetId="7" hidden="1">integer</definedName>
    <definedName name="solver_rhs522" localSheetId="7" hidden="1">0</definedName>
    <definedName name="solver_rhs523" localSheetId="7" hidden="1">2</definedName>
    <definedName name="solver_rhs524" localSheetId="7" hidden="1">integer</definedName>
    <definedName name="solver_rhs525" localSheetId="7" hidden="1">4</definedName>
    <definedName name="solver_rhs526" localSheetId="7" hidden="1">integer</definedName>
    <definedName name="solver_rhs527" localSheetId="7" hidden="1">4</definedName>
    <definedName name="solver_rhs528" localSheetId="7" hidden="1">integer</definedName>
    <definedName name="solver_rhs529" localSheetId="7" hidden="1">8</definedName>
    <definedName name="solver_rhs53" localSheetId="7" hidden="1">integer</definedName>
    <definedName name="solver_rhs530" localSheetId="7" hidden="1">integer</definedName>
    <definedName name="solver_rhs531" localSheetId="7" hidden="1">0</definedName>
    <definedName name="solver_rhs532" localSheetId="7" hidden="1">2</definedName>
    <definedName name="solver_rhs533" localSheetId="7" hidden="1">integer</definedName>
    <definedName name="solver_rhs534" localSheetId="7" hidden="1">4</definedName>
    <definedName name="solver_rhs535" localSheetId="7" hidden="1">integer</definedName>
    <definedName name="solver_rhs536" localSheetId="7" hidden="1">4</definedName>
    <definedName name="solver_rhs537" localSheetId="7" hidden="1">integer</definedName>
    <definedName name="solver_rhs538" localSheetId="7" hidden="1">8</definedName>
    <definedName name="solver_rhs539" localSheetId="7" hidden="1">integer</definedName>
    <definedName name="solver_rhs54" localSheetId="7" hidden="1">0</definedName>
    <definedName name="solver_rhs540" localSheetId="7" hidden="1">0</definedName>
    <definedName name="solver_rhs541" localSheetId="7" hidden="1">2</definedName>
    <definedName name="solver_rhs542" localSheetId="7" hidden="1">integer</definedName>
    <definedName name="solver_rhs543" localSheetId="7" hidden="1">4</definedName>
    <definedName name="solver_rhs544" localSheetId="7" hidden="1">integer</definedName>
    <definedName name="solver_rhs545" localSheetId="7" hidden="1">4</definedName>
    <definedName name="solver_rhs546" localSheetId="7" hidden="1">integer</definedName>
    <definedName name="solver_rhs547" localSheetId="7" hidden="1">8</definedName>
    <definedName name="solver_rhs548" localSheetId="7" hidden="1">integer</definedName>
    <definedName name="solver_rhs549" localSheetId="7" hidden="1">0</definedName>
    <definedName name="solver_rhs55" localSheetId="7" hidden="1">2</definedName>
    <definedName name="solver_rhs550" localSheetId="7" hidden="1">2</definedName>
    <definedName name="solver_rhs551" localSheetId="7" hidden="1">integer</definedName>
    <definedName name="solver_rhs552" localSheetId="7" hidden="1">4</definedName>
    <definedName name="solver_rhs553" localSheetId="7" hidden="1">integer</definedName>
    <definedName name="solver_rhs554" localSheetId="7" hidden="1">4</definedName>
    <definedName name="solver_rhs555" localSheetId="7" hidden="1">integer</definedName>
    <definedName name="solver_rhs556" localSheetId="7" hidden="1">8</definedName>
    <definedName name="solver_rhs557" localSheetId="7" hidden="1">integer</definedName>
    <definedName name="solver_rhs558" localSheetId="7" hidden="1">0</definedName>
    <definedName name="solver_rhs559" localSheetId="7" hidden="1">2</definedName>
    <definedName name="solver_rhs56" localSheetId="7" hidden="1">integer</definedName>
    <definedName name="solver_rhs560" localSheetId="7" hidden="1">integer</definedName>
    <definedName name="solver_rhs561" localSheetId="7" hidden="1">4</definedName>
    <definedName name="solver_rhs562" localSheetId="7" hidden="1">integer</definedName>
    <definedName name="solver_rhs563" localSheetId="7" hidden="1">4</definedName>
    <definedName name="solver_rhs564" localSheetId="7" hidden="1">integer</definedName>
    <definedName name="solver_rhs565" localSheetId="7" hidden="1">8</definedName>
    <definedName name="solver_rhs566" localSheetId="7" hidden="1">integer</definedName>
    <definedName name="solver_rhs567" localSheetId="7" hidden="1">0</definedName>
    <definedName name="solver_rhs568" localSheetId="7" hidden="1">2</definedName>
    <definedName name="solver_rhs569" localSheetId="7" hidden="1">integer</definedName>
    <definedName name="solver_rhs57" localSheetId="7" hidden="1">4</definedName>
    <definedName name="solver_rhs570" localSheetId="7" hidden="1">4</definedName>
    <definedName name="solver_rhs571" localSheetId="7" hidden="1">integer</definedName>
    <definedName name="solver_rhs572" localSheetId="7" hidden="1">4</definedName>
    <definedName name="solver_rhs573" localSheetId="7" hidden="1">integer</definedName>
    <definedName name="solver_rhs574" localSheetId="7" hidden="1">8</definedName>
    <definedName name="solver_rhs575" localSheetId="7" hidden="1">integer</definedName>
    <definedName name="solver_rhs576" localSheetId="7" hidden="1">0</definedName>
    <definedName name="solver_rhs577" localSheetId="7" hidden="1">2</definedName>
    <definedName name="solver_rhs578" localSheetId="7" hidden="1">integer</definedName>
    <definedName name="solver_rhs579" localSheetId="7" hidden="1">4</definedName>
    <definedName name="solver_rhs58" localSheetId="7" hidden="1">integer</definedName>
    <definedName name="solver_rhs580" localSheetId="7" hidden="1">integer</definedName>
    <definedName name="solver_rhs581" localSheetId="7" hidden="1">4</definedName>
    <definedName name="solver_rhs582" localSheetId="7" hidden="1">integer</definedName>
    <definedName name="solver_rhs583" localSheetId="7" hidden="1">8</definedName>
    <definedName name="solver_rhs584" localSheetId="7" hidden="1">integer</definedName>
    <definedName name="solver_rhs585" localSheetId="7" hidden="1">0</definedName>
    <definedName name="solver_rhs586" localSheetId="7" hidden="1">2</definedName>
    <definedName name="solver_rhs587" localSheetId="7" hidden="1">integer</definedName>
    <definedName name="solver_rhs588" localSheetId="7" hidden="1">4</definedName>
    <definedName name="solver_rhs589" localSheetId="7" hidden="1">integer</definedName>
    <definedName name="solver_rhs59" localSheetId="7" hidden="1">4</definedName>
    <definedName name="solver_rhs590" localSheetId="7" hidden="1">4</definedName>
    <definedName name="solver_rhs591" localSheetId="7" hidden="1">integer</definedName>
    <definedName name="solver_rhs592" localSheetId="7" hidden="1">8</definedName>
    <definedName name="solver_rhs593" localSheetId="7" hidden="1">integer</definedName>
    <definedName name="solver_rhs594" localSheetId="7" hidden="1">0</definedName>
    <definedName name="solver_rhs595" localSheetId="7" hidden="1">2</definedName>
    <definedName name="solver_rhs596" localSheetId="7" hidden="1">integer</definedName>
    <definedName name="solver_rhs597" localSheetId="7" hidden="1">4</definedName>
    <definedName name="solver_rhs598" localSheetId="7" hidden="1">integer</definedName>
    <definedName name="solver_rhs599" localSheetId="7" hidden="1">4</definedName>
    <definedName name="solver_rhs6" localSheetId="7" hidden="1">integer</definedName>
    <definedName name="solver_rhs60" localSheetId="7" hidden="1">integer</definedName>
    <definedName name="solver_rhs600" localSheetId="7" hidden="1">integer</definedName>
    <definedName name="solver_rhs601" localSheetId="7" hidden="1">8</definedName>
    <definedName name="solver_rhs602" localSheetId="7" hidden="1">integer</definedName>
    <definedName name="solver_rhs603" localSheetId="7" hidden="1">0</definedName>
    <definedName name="solver_rhs604" localSheetId="7" hidden="1">2</definedName>
    <definedName name="solver_rhs605" localSheetId="7" hidden="1">integer</definedName>
    <definedName name="solver_rhs606" localSheetId="7" hidden="1">4</definedName>
    <definedName name="solver_rhs607" localSheetId="7" hidden="1">integer</definedName>
    <definedName name="solver_rhs608" localSheetId="7" hidden="1">4</definedName>
    <definedName name="solver_rhs609" localSheetId="7" hidden="1">integer</definedName>
    <definedName name="solver_rhs61" localSheetId="7" hidden="1">8</definedName>
    <definedName name="solver_rhs610" localSheetId="7" hidden="1">8</definedName>
    <definedName name="solver_rhs611" localSheetId="7" hidden="1">integer</definedName>
    <definedName name="solver_rhs612" localSheetId="7" hidden="1">0</definedName>
    <definedName name="solver_rhs613" localSheetId="7" hidden="1">2</definedName>
    <definedName name="solver_rhs614" localSheetId="7" hidden="1">integer</definedName>
    <definedName name="solver_rhs615" localSheetId="7" hidden="1">4</definedName>
    <definedName name="solver_rhs616" localSheetId="7" hidden="1">integer</definedName>
    <definedName name="solver_rhs617" localSheetId="7" hidden="1">4</definedName>
    <definedName name="solver_rhs618" localSheetId="7" hidden="1">integer</definedName>
    <definedName name="solver_rhs619" localSheetId="7" hidden="1">8</definedName>
    <definedName name="solver_rhs62" localSheetId="7" hidden="1">integer</definedName>
    <definedName name="solver_rhs620" localSheetId="7" hidden="1">integer</definedName>
    <definedName name="solver_rhs621" localSheetId="7" hidden="1">0</definedName>
    <definedName name="solver_rhs622" localSheetId="7" hidden="1">2</definedName>
    <definedName name="solver_rhs623" localSheetId="7" hidden="1">integer</definedName>
    <definedName name="solver_rhs624" localSheetId="7" hidden="1">4</definedName>
    <definedName name="solver_rhs625" localSheetId="7" hidden="1">integer</definedName>
    <definedName name="solver_rhs626" localSheetId="7" hidden="1">4</definedName>
    <definedName name="solver_rhs627" localSheetId="7" hidden="1">integer</definedName>
    <definedName name="solver_rhs628" localSheetId="7" hidden="1">8</definedName>
    <definedName name="solver_rhs629" localSheetId="7" hidden="1">integer</definedName>
    <definedName name="solver_rhs63" localSheetId="7" hidden="1">0</definedName>
    <definedName name="solver_rhs630" localSheetId="7" hidden="1">0</definedName>
    <definedName name="solver_rhs631" localSheetId="7" hidden="1">2</definedName>
    <definedName name="solver_rhs632" localSheetId="7" hidden="1">integer</definedName>
    <definedName name="solver_rhs633" localSheetId="7" hidden="1">4</definedName>
    <definedName name="solver_rhs634" localSheetId="7" hidden="1">integer</definedName>
    <definedName name="solver_rhs635" localSheetId="7" hidden="1">4</definedName>
    <definedName name="solver_rhs636" localSheetId="7" hidden="1">integer</definedName>
    <definedName name="solver_rhs637" localSheetId="7" hidden="1">8</definedName>
    <definedName name="solver_rhs638" localSheetId="7" hidden="1">integer</definedName>
    <definedName name="solver_rhs639" localSheetId="7" hidden="1">0</definedName>
    <definedName name="solver_rhs64" localSheetId="7" hidden="1">2</definedName>
    <definedName name="solver_rhs640" localSheetId="7" hidden="1">2</definedName>
    <definedName name="solver_rhs641" localSheetId="7" hidden="1">integer</definedName>
    <definedName name="solver_rhs642" localSheetId="7" hidden="1">4</definedName>
    <definedName name="solver_rhs643" localSheetId="7" hidden="1">integer</definedName>
    <definedName name="solver_rhs644" localSheetId="7" hidden="1">4</definedName>
    <definedName name="solver_rhs645" localSheetId="7" hidden="1">integer</definedName>
    <definedName name="solver_rhs646" localSheetId="7" hidden="1">8</definedName>
    <definedName name="solver_rhs647" localSheetId="7" hidden="1">integer</definedName>
    <definedName name="solver_rhs648" localSheetId="7" hidden="1">0</definedName>
    <definedName name="solver_rhs649" localSheetId="7" hidden="1">2</definedName>
    <definedName name="solver_rhs65" localSheetId="7" hidden="1">integer</definedName>
    <definedName name="solver_rhs650" localSheetId="7" hidden="1">integer</definedName>
    <definedName name="solver_rhs651" localSheetId="7" hidden="1">4</definedName>
    <definedName name="solver_rhs652" localSheetId="7" hidden="1">integer</definedName>
    <definedName name="solver_rhs653" localSheetId="7" hidden="1">4</definedName>
    <definedName name="solver_rhs654" localSheetId="7" hidden="1">integer</definedName>
    <definedName name="solver_rhs655" localSheetId="7" hidden="1">8</definedName>
    <definedName name="solver_rhs656" localSheetId="7" hidden="1">integer</definedName>
    <definedName name="solver_rhs657" localSheetId="7" hidden="1">0</definedName>
    <definedName name="solver_rhs658" localSheetId="7" hidden="1">2</definedName>
    <definedName name="solver_rhs659" localSheetId="7" hidden="1">integer</definedName>
    <definedName name="solver_rhs66" localSheetId="7" hidden="1">4</definedName>
    <definedName name="solver_rhs660" localSheetId="7" hidden="1">4</definedName>
    <definedName name="solver_rhs661" localSheetId="7" hidden="1">integer</definedName>
    <definedName name="solver_rhs662" localSheetId="7" hidden="1">4</definedName>
    <definedName name="solver_rhs663" localSheetId="7" hidden="1">integer</definedName>
    <definedName name="solver_rhs664" localSheetId="7" hidden="1">8</definedName>
    <definedName name="solver_rhs665" localSheetId="7" hidden="1">integer</definedName>
    <definedName name="solver_rhs666" localSheetId="7" hidden="1">0</definedName>
    <definedName name="solver_rhs667" localSheetId="7" hidden="1">2</definedName>
    <definedName name="solver_rhs668" localSheetId="7" hidden="1">integer</definedName>
    <definedName name="solver_rhs669" localSheetId="7" hidden="1">4</definedName>
    <definedName name="solver_rhs67" localSheetId="7" hidden="1">integer</definedName>
    <definedName name="solver_rhs670" localSheetId="7" hidden="1">integer</definedName>
    <definedName name="solver_rhs671" localSheetId="7" hidden="1">4</definedName>
    <definedName name="solver_rhs672" localSheetId="7" hidden="1">integer</definedName>
    <definedName name="solver_rhs673" localSheetId="7" hidden="1">8</definedName>
    <definedName name="solver_rhs674" localSheetId="7" hidden="1">integer</definedName>
    <definedName name="solver_rhs675" localSheetId="7" hidden="1">0</definedName>
    <definedName name="solver_rhs676" localSheetId="7" hidden="1">2</definedName>
    <definedName name="solver_rhs677" localSheetId="7" hidden="1">integer</definedName>
    <definedName name="solver_rhs678" localSheetId="7" hidden="1">4</definedName>
    <definedName name="solver_rhs679" localSheetId="7" hidden="1">integer</definedName>
    <definedName name="solver_rhs68" localSheetId="7" hidden="1">4</definedName>
    <definedName name="solver_rhs680" localSheetId="7" hidden="1">4</definedName>
    <definedName name="solver_rhs681" localSheetId="7" hidden="1">integer</definedName>
    <definedName name="solver_rhs682" localSheetId="7" hidden="1">8</definedName>
    <definedName name="solver_rhs683" localSheetId="7" hidden="1">integer</definedName>
    <definedName name="solver_rhs684" localSheetId="7" hidden="1">0</definedName>
    <definedName name="solver_rhs685" localSheetId="7" hidden="1">2</definedName>
    <definedName name="solver_rhs686" localSheetId="7" hidden="1">integer</definedName>
    <definedName name="solver_rhs687" localSheetId="7" hidden="1">4</definedName>
    <definedName name="solver_rhs688" localSheetId="7" hidden="1">integer</definedName>
    <definedName name="solver_rhs689" localSheetId="7" hidden="1">4</definedName>
    <definedName name="solver_rhs69" localSheetId="7" hidden="1">integer</definedName>
    <definedName name="solver_rhs690" localSheetId="7" hidden="1">integer</definedName>
    <definedName name="solver_rhs691" localSheetId="7" hidden="1">8</definedName>
    <definedName name="solver_rhs692" localSheetId="7" hidden="1">integer</definedName>
    <definedName name="solver_rhs693" localSheetId="7" hidden="1">0</definedName>
    <definedName name="solver_rhs694" localSheetId="7" hidden="1">2</definedName>
    <definedName name="solver_rhs695" localSheetId="7" hidden="1">integer</definedName>
    <definedName name="solver_rhs696" localSheetId="7" hidden="1">4</definedName>
    <definedName name="solver_rhs697" localSheetId="7" hidden="1">integer</definedName>
    <definedName name="solver_rhs698" localSheetId="7" hidden="1">4</definedName>
    <definedName name="solver_rhs699" localSheetId="7" hidden="1">integer</definedName>
    <definedName name="solver_rhs7" localSheetId="7" hidden="1">'KO Calc'!BD15</definedName>
    <definedName name="solver_rhs70" localSheetId="7" hidden="1">8</definedName>
    <definedName name="solver_rhs700" localSheetId="7" hidden="1">8</definedName>
    <definedName name="solver_rhs701" localSheetId="7" hidden="1">integer</definedName>
    <definedName name="solver_rhs702" localSheetId="7" hidden="1">0</definedName>
    <definedName name="solver_rhs703" localSheetId="7" hidden="1">2</definedName>
    <definedName name="solver_rhs704" localSheetId="7" hidden="1">integer</definedName>
    <definedName name="solver_rhs705" localSheetId="7" hidden="1">4</definedName>
    <definedName name="solver_rhs706" localSheetId="7" hidden="1">integer</definedName>
    <definedName name="solver_rhs707" localSheetId="7" hidden="1">4</definedName>
    <definedName name="solver_rhs708" localSheetId="7" hidden="1">integer</definedName>
    <definedName name="solver_rhs709" localSheetId="7" hidden="1">8</definedName>
    <definedName name="solver_rhs71" localSheetId="7" hidden="1">integer</definedName>
    <definedName name="solver_rhs710" localSheetId="7" hidden="1">integer</definedName>
    <definedName name="solver_rhs711" localSheetId="7" hidden="1">0</definedName>
    <definedName name="solver_rhs712" localSheetId="7" hidden="1">2</definedName>
    <definedName name="solver_rhs713" localSheetId="7" hidden="1">integer</definedName>
    <definedName name="solver_rhs714" localSheetId="7" hidden="1">4</definedName>
    <definedName name="solver_rhs715" localSheetId="7" hidden="1">integer</definedName>
    <definedName name="solver_rhs716" localSheetId="7" hidden="1">4</definedName>
    <definedName name="solver_rhs717" localSheetId="7" hidden="1">integer</definedName>
    <definedName name="solver_rhs718" localSheetId="7" hidden="1">8</definedName>
    <definedName name="solver_rhs719" localSheetId="7" hidden="1">integer</definedName>
    <definedName name="solver_rhs72" localSheetId="7" hidden="1">0</definedName>
    <definedName name="solver_rhs720" localSheetId="7" hidden="1">0</definedName>
    <definedName name="solver_rhs721" localSheetId="7" hidden="1">2</definedName>
    <definedName name="solver_rhs722" localSheetId="7" hidden="1">integer</definedName>
    <definedName name="solver_rhs723" localSheetId="7" hidden="1">4</definedName>
    <definedName name="solver_rhs724" localSheetId="7" hidden="1">integer</definedName>
    <definedName name="solver_rhs725" localSheetId="7" hidden="1">4</definedName>
    <definedName name="solver_rhs726" localSheetId="7" hidden="1">integer</definedName>
    <definedName name="solver_rhs727" localSheetId="7" hidden="1">8</definedName>
    <definedName name="solver_rhs728" localSheetId="7" hidden="1">integer</definedName>
    <definedName name="solver_rhs729" localSheetId="7" hidden="1">0</definedName>
    <definedName name="solver_rhs73" localSheetId="7" hidden="1">2</definedName>
    <definedName name="solver_rhs730" localSheetId="7" hidden="1">2</definedName>
    <definedName name="solver_rhs731" localSheetId="7" hidden="1">integer</definedName>
    <definedName name="solver_rhs732" localSheetId="7" hidden="1">4</definedName>
    <definedName name="solver_rhs733" localSheetId="7" hidden="1">integer</definedName>
    <definedName name="solver_rhs734" localSheetId="7" hidden="1">4</definedName>
    <definedName name="solver_rhs735" localSheetId="7" hidden="1">integer</definedName>
    <definedName name="solver_rhs736" localSheetId="7" hidden="1">8</definedName>
    <definedName name="solver_rhs737" localSheetId="7" hidden="1">integer</definedName>
    <definedName name="solver_rhs738" localSheetId="7" hidden="1">0</definedName>
    <definedName name="solver_rhs739" localSheetId="7" hidden="1">2</definedName>
    <definedName name="solver_rhs74" localSheetId="7" hidden="1">integer</definedName>
    <definedName name="solver_rhs740" localSheetId="7" hidden="1">integer</definedName>
    <definedName name="solver_rhs741" localSheetId="7" hidden="1">4</definedName>
    <definedName name="solver_rhs742" localSheetId="7" hidden="1">integer</definedName>
    <definedName name="solver_rhs743" localSheetId="7" hidden="1">4</definedName>
    <definedName name="solver_rhs744" localSheetId="7" hidden="1">integer</definedName>
    <definedName name="solver_rhs745" localSheetId="7" hidden="1">8</definedName>
    <definedName name="solver_rhs746" localSheetId="7" hidden="1">integer</definedName>
    <definedName name="solver_rhs747" localSheetId="7" hidden="1">0</definedName>
    <definedName name="solver_rhs748" localSheetId="7" hidden="1">2</definedName>
    <definedName name="solver_rhs749" localSheetId="7" hidden="1">integer</definedName>
    <definedName name="solver_rhs75" localSheetId="7" hidden="1">4</definedName>
    <definedName name="solver_rhs750" localSheetId="7" hidden="1">4</definedName>
    <definedName name="solver_rhs751" localSheetId="7" hidden="1">integer</definedName>
    <definedName name="solver_rhs752" localSheetId="7" hidden="1">4</definedName>
    <definedName name="solver_rhs753" localSheetId="7" hidden="1">integer</definedName>
    <definedName name="solver_rhs754" localSheetId="7" hidden="1">8</definedName>
    <definedName name="solver_rhs755" localSheetId="7" hidden="1">integer</definedName>
    <definedName name="solver_rhs756" localSheetId="7" hidden="1">0</definedName>
    <definedName name="solver_rhs757" localSheetId="7" hidden="1">2</definedName>
    <definedName name="solver_rhs758" localSheetId="7" hidden="1">integer</definedName>
    <definedName name="solver_rhs759" localSheetId="7" hidden="1">4</definedName>
    <definedName name="solver_rhs76" localSheetId="7" hidden="1">integer</definedName>
    <definedName name="solver_rhs760" localSheetId="7" hidden="1">integer</definedName>
    <definedName name="solver_rhs761" localSheetId="7" hidden="1">4</definedName>
    <definedName name="solver_rhs762" localSheetId="7" hidden="1">integer</definedName>
    <definedName name="solver_rhs763" localSheetId="7" hidden="1">8</definedName>
    <definedName name="solver_rhs764" localSheetId="7" hidden="1">integer</definedName>
    <definedName name="solver_rhs765" localSheetId="7" hidden="1">0</definedName>
    <definedName name="solver_rhs766" localSheetId="7" hidden="1">2</definedName>
    <definedName name="solver_rhs767" localSheetId="7" hidden="1">integer</definedName>
    <definedName name="solver_rhs768" localSheetId="7" hidden="1">4</definedName>
    <definedName name="solver_rhs769" localSheetId="7" hidden="1">integer</definedName>
    <definedName name="solver_rhs77" localSheetId="7" hidden="1">4</definedName>
    <definedName name="solver_rhs770" localSheetId="7" hidden="1">4</definedName>
    <definedName name="solver_rhs771" localSheetId="7" hidden="1">integer</definedName>
    <definedName name="solver_rhs772" localSheetId="7" hidden="1">8</definedName>
    <definedName name="solver_rhs773" localSheetId="7" hidden="1">integer</definedName>
    <definedName name="solver_rhs774" localSheetId="7" hidden="1">0</definedName>
    <definedName name="solver_rhs775" localSheetId="7" hidden="1">2</definedName>
    <definedName name="solver_rhs776" localSheetId="7" hidden="1">integer</definedName>
    <definedName name="solver_rhs777" localSheetId="7" hidden="1">4</definedName>
    <definedName name="solver_rhs778" localSheetId="7" hidden="1">integer</definedName>
    <definedName name="solver_rhs779" localSheetId="7" hidden="1">4</definedName>
    <definedName name="solver_rhs78" localSheetId="7" hidden="1">integer</definedName>
    <definedName name="solver_rhs780" localSheetId="7" hidden="1">integer</definedName>
    <definedName name="solver_rhs781" localSheetId="7" hidden="1">8</definedName>
    <definedName name="solver_rhs782" localSheetId="7" hidden="1">integer</definedName>
    <definedName name="solver_rhs783" localSheetId="7" hidden="1">0</definedName>
    <definedName name="solver_rhs79" localSheetId="7" hidden="1">8</definedName>
    <definedName name="solver_rhs8" localSheetId="7" hidden="1">integer</definedName>
    <definedName name="solver_rhs80" localSheetId="7" hidden="1">integer</definedName>
    <definedName name="solver_rhs81" localSheetId="7" hidden="1">0</definedName>
    <definedName name="solver_rhs82" localSheetId="7" hidden="1">2</definedName>
    <definedName name="solver_rhs83" localSheetId="7" hidden="1">integer</definedName>
    <definedName name="solver_rhs84" localSheetId="7" hidden="1">4</definedName>
    <definedName name="solver_rhs85" localSheetId="7" hidden="1">integer</definedName>
    <definedName name="solver_rhs86" localSheetId="7" hidden="1">4</definedName>
    <definedName name="solver_rhs87" localSheetId="7" hidden="1">integer</definedName>
    <definedName name="solver_rhs88" localSheetId="7" hidden="1">8</definedName>
    <definedName name="solver_rhs89" localSheetId="7" hidden="1">integer</definedName>
    <definedName name="solver_rhs9" localSheetId="7" hidden="1">0</definedName>
    <definedName name="solver_rhs90" localSheetId="7" hidden="1">0</definedName>
    <definedName name="solver_rhs91" localSheetId="7" hidden="1">2</definedName>
    <definedName name="solver_rhs92" localSheetId="7" hidden="1">integer</definedName>
    <definedName name="solver_rhs93" localSheetId="7" hidden="1">4</definedName>
    <definedName name="solver_rhs94" localSheetId="7" hidden="1">integer</definedName>
    <definedName name="solver_rhs95" localSheetId="7" hidden="1">4</definedName>
    <definedName name="solver_rhs96" localSheetId="7" hidden="1">integer</definedName>
    <definedName name="solver_rhs97" localSheetId="7" hidden="1">8</definedName>
    <definedName name="solver_rhs98" localSheetId="7" hidden="1">integer</definedName>
    <definedName name="solver_rhs99" localSheetId="7" hidden="1">0</definedName>
    <definedName name="solver_rlx" localSheetId="7" hidden="1">2</definedName>
    <definedName name="solver_rsd" localSheetId="7" hidden="1">0</definedName>
    <definedName name="solver_scl" localSheetId="7" hidden="1">2</definedName>
    <definedName name="solver_sho" localSheetId="7" hidden="1">2</definedName>
    <definedName name="solver_ssz" localSheetId="7" hidden="1">100</definedName>
    <definedName name="solver_tim" localSheetId="7" hidden="1">2147483647</definedName>
    <definedName name="solver_tol" localSheetId="7" hidden="1">0.01</definedName>
    <definedName name="solver_typ" localSheetId="7" hidden="1">1</definedName>
    <definedName name="solver_val" localSheetId="7" hidden="1">0</definedName>
    <definedName name="solver_ver" localSheetId="7"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46" i="3" l="1"/>
  <c r="B845" i="3"/>
  <c r="B844" i="3"/>
  <c r="B843" i="3"/>
  <c r="B842" i="3"/>
  <c r="B841" i="3"/>
  <c r="B840" i="3"/>
  <c r="B839" i="3"/>
  <c r="B838" i="3"/>
  <c r="B837" i="3"/>
  <c r="B836" i="3"/>
  <c r="B835" i="3"/>
  <c r="B834" i="3"/>
  <c r="B833" i="3"/>
  <c r="B832" i="3"/>
  <c r="B831" i="3"/>
  <c r="B830" i="3"/>
  <c r="B829" i="3"/>
  <c r="B828" i="3"/>
  <c r="B827" i="3"/>
  <c r="B826" i="3"/>
  <c r="B825" i="3"/>
  <c r="B824" i="3"/>
  <c r="B823" i="3"/>
  <c r="B822" i="3"/>
  <c r="B821" i="3"/>
  <c r="B820" i="3"/>
  <c r="B819" i="3"/>
  <c r="B818" i="3"/>
  <c r="B817" i="3"/>
  <c r="B816" i="3"/>
  <c r="B815" i="3"/>
  <c r="B814" i="3"/>
  <c r="B813" i="3"/>
  <c r="B812" i="3"/>
  <c r="B811" i="3"/>
  <c r="B810" i="3"/>
  <c r="B809" i="3"/>
  <c r="B808" i="3"/>
  <c r="B807" i="3"/>
  <c r="B806" i="3"/>
  <c r="B805" i="3"/>
  <c r="B804" i="3"/>
  <c r="B803" i="3"/>
  <c r="B802" i="3"/>
  <c r="B792" i="3"/>
  <c r="B791" i="3"/>
  <c r="B790" i="3"/>
  <c r="B789" i="3"/>
  <c r="B788" i="3"/>
  <c r="B787" i="3"/>
  <c r="B786" i="3"/>
  <c r="B785" i="3"/>
  <c r="B784" i="3"/>
  <c r="B783" i="3"/>
  <c r="B782" i="3"/>
  <c r="B781" i="3"/>
  <c r="B780" i="3"/>
  <c r="B779" i="3"/>
  <c r="B778" i="3"/>
  <c r="B777" i="3"/>
  <c r="B776" i="3"/>
  <c r="B775" i="3"/>
  <c r="B774" i="3"/>
  <c r="B773" i="3"/>
  <c r="B772" i="3"/>
  <c r="B771" i="3"/>
  <c r="B770" i="3"/>
  <c r="B769" i="3"/>
  <c r="B768" i="3"/>
  <c r="B767" i="3"/>
  <c r="B766" i="3"/>
  <c r="B765" i="3"/>
  <c r="B764" i="3"/>
  <c r="B763" i="3"/>
  <c r="B762" i="3"/>
  <c r="B761" i="3"/>
  <c r="B760" i="3"/>
  <c r="B759" i="3"/>
  <c r="B758" i="3"/>
  <c r="B757" i="3"/>
  <c r="B747" i="3"/>
  <c r="B746" i="3"/>
  <c r="B745" i="3"/>
  <c r="B744" i="3"/>
  <c r="B743" i="3"/>
  <c r="B742" i="3"/>
  <c r="B741" i="3"/>
  <c r="B740" i="3"/>
  <c r="B739" i="3"/>
  <c r="B738" i="3"/>
  <c r="B737" i="3"/>
  <c r="B736" i="3"/>
  <c r="B735" i="3"/>
  <c r="B734" i="3"/>
  <c r="B733" i="3"/>
  <c r="B732" i="3"/>
  <c r="B731" i="3"/>
  <c r="B730" i="3"/>
  <c r="B693" i="3"/>
  <c r="B692" i="3"/>
  <c r="B691" i="3"/>
  <c r="B690" i="3"/>
  <c r="B689" i="3"/>
  <c r="B688" i="3"/>
  <c r="B687" i="3"/>
  <c r="B686" i="3"/>
  <c r="B685" i="3"/>
  <c r="B684" i="3"/>
  <c r="B683" i="3"/>
  <c r="B682" i="3"/>
  <c r="B681" i="3"/>
  <c r="B680" i="3"/>
  <c r="B679" i="3"/>
  <c r="B678" i="3"/>
  <c r="B677" i="3"/>
  <c r="B676" i="3"/>
  <c r="B675" i="3"/>
  <c r="B674" i="3"/>
  <c r="B673" i="3"/>
  <c r="B672" i="3"/>
  <c r="B671" i="3"/>
  <c r="B670" i="3"/>
  <c r="B669" i="3"/>
  <c r="B668" i="3"/>
  <c r="B667" i="3"/>
  <c r="B666" i="3"/>
  <c r="B665" i="3"/>
  <c r="B664" i="3"/>
  <c r="B663" i="3"/>
  <c r="B662" i="3"/>
  <c r="B661" i="3"/>
  <c r="B660" i="3"/>
  <c r="B659" i="3"/>
  <c r="B658" i="3"/>
  <c r="B648" i="3"/>
  <c r="B647" i="3"/>
  <c r="B646" i="3"/>
  <c r="B645" i="3"/>
  <c r="B644" i="3"/>
  <c r="B643" i="3"/>
  <c r="B642" i="3"/>
  <c r="B641" i="3"/>
  <c r="B640"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05" i="3"/>
  <c r="B404" i="3"/>
  <c r="B403" i="3"/>
  <c r="B402" i="3"/>
  <c r="B401" i="3"/>
  <c r="B400" i="3"/>
  <c r="B399" i="3"/>
  <c r="B398" i="3"/>
  <c r="B397"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79" i="3"/>
  <c r="B278" i="3"/>
  <c r="B277" i="3"/>
  <c r="B276" i="3"/>
  <c r="B275" i="3"/>
  <c r="B274" i="3"/>
  <c r="B273" i="3"/>
  <c r="B272" i="3"/>
  <c r="B271"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07" i="3"/>
  <c r="B206" i="3"/>
  <c r="B205" i="3"/>
  <c r="B204" i="3"/>
  <c r="B203" i="3"/>
  <c r="B202" i="3"/>
  <c r="B201" i="3"/>
  <c r="B200" i="3"/>
  <c r="B199"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53" i="3"/>
  <c r="B152" i="3"/>
  <c r="B151" i="3"/>
  <c r="B150" i="3"/>
  <c r="B149" i="3"/>
  <c r="B148" i="3"/>
  <c r="B147" i="3"/>
  <c r="B146" i="3"/>
  <c r="B145" i="3"/>
  <c r="B144" i="3"/>
  <c r="B143" i="3"/>
  <c r="B142" i="3"/>
  <c r="B141" i="3"/>
  <c r="B140" i="3"/>
  <c r="B139" i="3"/>
  <c r="B138" i="3"/>
  <c r="B137" i="3"/>
  <c r="B136"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9" i="4"/>
  <c r="C725" i="11"/>
  <c r="C113" i="11"/>
  <c r="C117" i="4" s="1"/>
  <c r="C114" i="11"/>
  <c r="C115" i="11"/>
  <c r="C119" i="4" s="1"/>
  <c r="C116" i="11"/>
  <c r="C117" i="11"/>
  <c r="C118" i="11"/>
  <c r="C119" i="11"/>
  <c r="C123" i="4" s="1"/>
  <c r="C120" i="11"/>
  <c r="C124" i="4" s="1"/>
  <c r="C121" i="11"/>
  <c r="C118" i="4"/>
  <c r="C120" i="4"/>
  <c r="C121" i="4"/>
  <c r="C122" i="4"/>
  <c r="C125" i="4"/>
  <c r="C729" i="4"/>
  <c r="BC33" i="11" l="1"/>
  <c r="B118" i="3"/>
  <c r="B119" i="3"/>
  <c r="B120" i="3"/>
  <c r="B121" i="3"/>
  <c r="B122" i="3"/>
  <c r="B123" i="3"/>
  <c r="B124" i="3"/>
  <c r="B125" i="3"/>
  <c r="B126" i="3"/>
  <c r="B127" i="3"/>
  <c r="B128" i="3"/>
  <c r="B129" i="3"/>
  <c r="B130" i="3"/>
  <c r="B131" i="3"/>
  <c r="B132" i="3"/>
  <c r="B133" i="3"/>
  <c r="B134" i="3"/>
  <c r="B135" i="3"/>
  <c r="B154" i="3"/>
  <c r="B155" i="3"/>
  <c r="B156" i="3"/>
  <c r="B157" i="3"/>
  <c r="B158" i="3"/>
  <c r="B159" i="3"/>
  <c r="B160" i="3"/>
  <c r="B161" i="3"/>
  <c r="B162" i="3"/>
  <c r="B190" i="3"/>
  <c r="B191" i="3"/>
  <c r="B192" i="3"/>
  <c r="B193" i="3"/>
  <c r="B194" i="3"/>
  <c r="B195" i="3"/>
  <c r="B196" i="3"/>
  <c r="B197" i="3"/>
  <c r="B198" i="3"/>
  <c r="B208" i="3"/>
  <c r="B209" i="3"/>
  <c r="B210" i="3"/>
  <c r="B211" i="3"/>
  <c r="B212" i="3"/>
  <c r="B213" i="3"/>
  <c r="B214" i="3"/>
  <c r="B215" i="3"/>
  <c r="B216"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80" i="3"/>
  <c r="B281" i="3"/>
  <c r="B282" i="3"/>
  <c r="B283" i="3"/>
  <c r="B284" i="3"/>
  <c r="B285" i="3"/>
  <c r="B286" i="3"/>
  <c r="B287" i="3"/>
  <c r="B288" i="3"/>
  <c r="B388" i="3"/>
  <c r="B389" i="3"/>
  <c r="B390" i="3"/>
  <c r="B391" i="3"/>
  <c r="B392" i="3"/>
  <c r="B393" i="3"/>
  <c r="B394" i="3"/>
  <c r="B395" i="3"/>
  <c r="B396" i="3"/>
  <c r="B406" i="3"/>
  <c r="B407" i="3"/>
  <c r="B408" i="3"/>
  <c r="B409" i="3"/>
  <c r="B410" i="3"/>
  <c r="B411" i="3"/>
  <c r="B412" i="3"/>
  <c r="B413" i="3"/>
  <c r="B414" i="3"/>
  <c r="B559" i="3"/>
  <c r="B560" i="3"/>
  <c r="B561" i="3"/>
  <c r="B562" i="3"/>
  <c r="B563" i="3"/>
  <c r="B564" i="3"/>
  <c r="B565" i="3"/>
  <c r="B566" i="3"/>
  <c r="B567" i="3"/>
  <c r="B631" i="3"/>
  <c r="B632" i="3"/>
  <c r="B633" i="3"/>
  <c r="B634" i="3"/>
  <c r="B635" i="3"/>
  <c r="B636" i="3"/>
  <c r="B637" i="3"/>
  <c r="B638" i="3"/>
  <c r="B639" i="3"/>
  <c r="B649" i="3"/>
  <c r="B650" i="3"/>
  <c r="B651" i="3"/>
  <c r="B652" i="3"/>
  <c r="B653" i="3"/>
  <c r="B654" i="3"/>
  <c r="B655" i="3"/>
  <c r="B656" i="3"/>
  <c r="B657"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48" i="3"/>
  <c r="B749" i="3"/>
  <c r="B750" i="3"/>
  <c r="B751" i="3"/>
  <c r="B752" i="3"/>
  <c r="B753" i="3"/>
  <c r="B754" i="3"/>
  <c r="B755" i="3"/>
  <c r="B756" i="3"/>
  <c r="B793" i="3"/>
  <c r="B794" i="3"/>
  <c r="B795" i="3"/>
  <c r="B796" i="3"/>
  <c r="B797" i="3"/>
  <c r="B798" i="3"/>
  <c r="B799" i="3"/>
  <c r="B800" i="3"/>
  <c r="B801" i="3"/>
  <c r="C845" i="3"/>
  <c r="E845" i="3" s="1"/>
  <c r="C846" i="3"/>
  <c r="E846" i="3" s="1"/>
  <c r="C843" i="3"/>
  <c r="E843" i="3" s="1"/>
  <c r="C844" i="3"/>
  <c r="E844" i="3" s="1"/>
  <c r="F844" i="3" s="1"/>
  <c r="C11" i="3"/>
  <c r="E11" i="3" s="1"/>
  <c r="C12" i="3"/>
  <c r="E12" i="3" s="1"/>
  <c r="C13" i="3"/>
  <c r="E13" i="3" s="1"/>
  <c r="C14" i="3"/>
  <c r="E14" i="3" s="1"/>
  <c r="C15" i="3"/>
  <c r="E15" i="3" s="1"/>
  <c r="C16" i="3"/>
  <c r="E16" i="3" s="1"/>
  <c r="F16" i="3" s="1"/>
  <c r="C17" i="3"/>
  <c r="E17" i="3" s="1"/>
  <c r="C18" i="3"/>
  <c r="E18" i="3" s="1"/>
  <c r="C19" i="3"/>
  <c r="E19" i="3" s="1"/>
  <c r="C20" i="3"/>
  <c r="E20" i="3" s="1"/>
  <c r="C21" i="3"/>
  <c r="E21" i="3" s="1"/>
  <c r="C22" i="3"/>
  <c r="E22" i="3" s="1"/>
  <c r="C23" i="3"/>
  <c r="E23" i="3" s="1"/>
  <c r="C24" i="3"/>
  <c r="E24" i="3" s="1"/>
  <c r="C25" i="3"/>
  <c r="E25" i="3" s="1"/>
  <c r="F25" i="3" s="1"/>
  <c r="C26" i="3"/>
  <c r="E26" i="3" s="1"/>
  <c r="C27" i="3"/>
  <c r="E27" i="3" s="1"/>
  <c r="C28" i="3"/>
  <c r="E28" i="3" s="1"/>
  <c r="C29" i="3"/>
  <c r="E29" i="3" s="1"/>
  <c r="C30" i="3"/>
  <c r="E30" i="3" s="1"/>
  <c r="C31" i="3"/>
  <c r="E31" i="3" s="1"/>
  <c r="C32" i="3"/>
  <c r="E32" i="3" s="1"/>
  <c r="C33" i="3"/>
  <c r="E33" i="3" s="1"/>
  <c r="C34" i="3"/>
  <c r="E34" i="3" s="1"/>
  <c r="F34" i="3" s="1"/>
  <c r="C35" i="3"/>
  <c r="E35" i="3" s="1"/>
  <c r="C36" i="3"/>
  <c r="E36" i="3" s="1"/>
  <c r="C37" i="3"/>
  <c r="E37" i="3" s="1"/>
  <c r="C38" i="3"/>
  <c r="E38" i="3" s="1"/>
  <c r="C39" i="3"/>
  <c r="E39" i="3" s="1"/>
  <c r="C40" i="3"/>
  <c r="E40" i="3" s="1"/>
  <c r="C41" i="3"/>
  <c r="E41" i="3" s="1"/>
  <c r="C42" i="3"/>
  <c r="E42" i="3" s="1"/>
  <c r="C43" i="3"/>
  <c r="E43" i="3" s="1"/>
  <c r="F43" i="3" s="1"/>
  <c r="C44" i="3"/>
  <c r="E44" i="3" s="1"/>
  <c r="C45" i="3"/>
  <c r="E45" i="3" s="1"/>
  <c r="C46" i="3"/>
  <c r="E46" i="3" s="1"/>
  <c r="C47" i="3"/>
  <c r="E47" i="3" s="1"/>
  <c r="C48" i="3"/>
  <c r="E48" i="3" s="1"/>
  <c r="C49" i="3"/>
  <c r="E49" i="3" s="1"/>
  <c r="C50" i="3"/>
  <c r="E50" i="3" s="1"/>
  <c r="C51" i="3"/>
  <c r="E51" i="3" s="1"/>
  <c r="C52" i="3"/>
  <c r="E52" i="3" s="1"/>
  <c r="F52" i="3" s="1"/>
  <c r="C53" i="3"/>
  <c r="E53" i="3" s="1"/>
  <c r="C54" i="3"/>
  <c r="E54" i="3" s="1"/>
  <c r="C55" i="3"/>
  <c r="E55" i="3" s="1"/>
  <c r="C56" i="3"/>
  <c r="E56" i="3" s="1"/>
  <c r="C57" i="3"/>
  <c r="E57" i="3" s="1"/>
  <c r="C58" i="3"/>
  <c r="E58" i="3" s="1"/>
  <c r="C59" i="3"/>
  <c r="E59" i="3" s="1"/>
  <c r="C60" i="3"/>
  <c r="E60" i="3" s="1"/>
  <c r="C61" i="3"/>
  <c r="E61" i="3" s="1"/>
  <c r="F61" i="3" s="1"/>
  <c r="C62" i="3"/>
  <c r="E62" i="3" s="1"/>
  <c r="C63" i="3"/>
  <c r="E63" i="3" s="1"/>
  <c r="C64" i="3"/>
  <c r="E64" i="3" s="1"/>
  <c r="C65" i="3"/>
  <c r="E65" i="3" s="1"/>
  <c r="C66" i="3"/>
  <c r="E66" i="3" s="1"/>
  <c r="C67" i="3"/>
  <c r="E67" i="3" s="1"/>
  <c r="C68" i="3"/>
  <c r="E68" i="3" s="1"/>
  <c r="C69" i="3"/>
  <c r="E69" i="3" s="1"/>
  <c r="C70" i="3"/>
  <c r="E70" i="3" s="1"/>
  <c r="F70" i="3" s="1"/>
  <c r="C71" i="3"/>
  <c r="E71" i="3" s="1"/>
  <c r="C72" i="3"/>
  <c r="E72" i="3" s="1"/>
  <c r="C73" i="3"/>
  <c r="E73" i="3" s="1"/>
  <c r="C74" i="3"/>
  <c r="E74" i="3" s="1"/>
  <c r="C75" i="3"/>
  <c r="E75" i="3" s="1"/>
  <c r="C76" i="3"/>
  <c r="E76" i="3" s="1"/>
  <c r="C77" i="3"/>
  <c r="E77" i="3" s="1"/>
  <c r="C78" i="3"/>
  <c r="E78" i="3" s="1"/>
  <c r="C79" i="3"/>
  <c r="E79" i="3" s="1"/>
  <c r="F79" i="3" s="1"/>
  <c r="C80" i="3"/>
  <c r="E80" i="3" s="1"/>
  <c r="C81" i="3"/>
  <c r="E81" i="3" s="1"/>
  <c r="C82" i="3"/>
  <c r="E82" i="3" s="1"/>
  <c r="C83" i="3"/>
  <c r="E83" i="3" s="1"/>
  <c r="C84" i="3"/>
  <c r="E84" i="3" s="1"/>
  <c r="C85" i="3"/>
  <c r="E85" i="3" s="1"/>
  <c r="C86" i="3"/>
  <c r="E86" i="3" s="1"/>
  <c r="C87" i="3"/>
  <c r="E87" i="3" s="1"/>
  <c r="C88" i="3"/>
  <c r="E88" i="3" s="1"/>
  <c r="F88" i="3" s="1"/>
  <c r="C89" i="3"/>
  <c r="E89" i="3" s="1"/>
  <c r="C90" i="3"/>
  <c r="E90" i="3" s="1"/>
  <c r="C91" i="3"/>
  <c r="E91" i="3" s="1"/>
  <c r="C92" i="3"/>
  <c r="E92" i="3" s="1"/>
  <c r="C93" i="3"/>
  <c r="E93" i="3" s="1"/>
  <c r="C94" i="3"/>
  <c r="E94" i="3" s="1"/>
  <c r="C95" i="3"/>
  <c r="E95" i="3" s="1"/>
  <c r="C96" i="3"/>
  <c r="E96" i="3" s="1"/>
  <c r="C97" i="3"/>
  <c r="E97" i="3" s="1"/>
  <c r="F97" i="3" s="1"/>
  <c r="C98" i="3"/>
  <c r="E98" i="3" s="1"/>
  <c r="C99" i="3"/>
  <c r="E99" i="3" s="1"/>
  <c r="C100" i="3"/>
  <c r="E100" i="3" s="1"/>
  <c r="C101" i="3"/>
  <c r="E101" i="3" s="1"/>
  <c r="C102" i="3"/>
  <c r="E102" i="3" s="1"/>
  <c r="C103" i="3"/>
  <c r="E103" i="3" s="1"/>
  <c r="C104" i="3"/>
  <c r="E104" i="3" s="1"/>
  <c r="C105" i="3"/>
  <c r="E105" i="3" s="1"/>
  <c r="C106" i="3"/>
  <c r="E106" i="3" s="1"/>
  <c r="F106" i="3" s="1"/>
  <c r="C107" i="3"/>
  <c r="E107" i="3" s="1"/>
  <c r="C108" i="3"/>
  <c r="E108" i="3" s="1"/>
  <c r="C109" i="3"/>
  <c r="E109" i="3" s="1"/>
  <c r="C110" i="3"/>
  <c r="E110" i="3" s="1"/>
  <c r="C111" i="3"/>
  <c r="E111" i="3" s="1"/>
  <c r="C112" i="3"/>
  <c r="E112" i="3" s="1"/>
  <c r="C113" i="3"/>
  <c r="E113" i="3" s="1"/>
  <c r="C114" i="3"/>
  <c r="E114" i="3" s="1"/>
  <c r="C115" i="3"/>
  <c r="E115" i="3" s="1"/>
  <c r="F115" i="3" s="1"/>
  <c r="C116" i="3"/>
  <c r="E116" i="3" s="1"/>
  <c r="C117" i="3"/>
  <c r="E117" i="3" s="1"/>
  <c r="C118" i="3"/>
  <c r="E118" i="3" s="1"/>
  <c r="C119" i="3"/>
  <c r="E119" i="3" s="1"/>
  <c r="C120" i="3"/>
  <c r="E120" i="3" s="1"/>
  <c r="C121" i="3"/>
  <c r="E121" i="3" s="1"/>
  <c r="C122" i="3"/>
  <c r="E122" i="3" s="1"/>
  <c r="C123" i="3"/>
  <c r="E123" i="3" s="1"/>
  <c r="C124" i="3"/>
  <c r="E124" i="3" s="1"/>
  <c r="F124" i="3" s="1"/>
  <c r="C125" i="3"/>
  <c r="E125" i="3" s="1"/>
  <c r="C126" i="3"/>
  <c r="E126" i="3" s="1"/>
  <c r="C127" i="3"/>
  <c r="E127" i="3" s="1"/>
  <c r="C128" i="3"/>
  <c r="E128" i="3" s="1"/>
  <c r="C129" i="3"/>
  <c r="E129" i="3" s="1"/>
  <c r="C130" i="3"/>
  <c r="E130" i="3" s="1"/>
  <c r="C131" i="3"/>
  <c r="E131" i="3" s="1"/>
  <c r="C132" i="3"/>
  <c r="E132" i="3" s="1"/>
  <c r="C133" i="3"/>
  <c r="E133" i="3" s="1"/>
  <c r="F133" i="3" s="1"/>
  <c r="C134" i="3"/>
  <c r="E134" i="3" s="1"/>
  <c r="C135" i="3"/>
  <c r="E135" i="3" s="1"/>
  <c r="C136" i="3"/>
  <c r="E136" i="3" s="1"/>
  <c r="C137" i="3"/>
  <c r="E137" i="3" s="1"/>
  <c r="C138" i="3"/>
  <c r="E138" i="3" s="1"/>
  <c r="C139" i="3"/>
  <c r="E139" i="3" s="1"/>
  <c r="C140" i="3"/>
  <c r="E140" i="3" s="1"/>
  <c r="C141" i="3"/>
  <c r="E141" i="3" s="1"/>
  <c r="C142" i="3"/>
  <c r="E142" i="3" s="1"/>
  <c r="F142" i="3" s="1"/>
  <c r="C143" i="3"/>
  <c r="E143" i="3" s="1"/>
  <c r="C144" i="3"/>
  <c r="E144" i="3" s="1"/>
  <c r="C145" i="3"/>
  <c r="E145" i="3" s="1"/>
  <c r="C146" i="3"/>
  <c r="E146" i="3" s="1"/>
  <c r="C147" i="3"/>
  <c r="E147" i="3" s="1"/>
  <c r="C148" i="3"/>
  <c r="E148" i="3" s="1"/>
  <c r="C149" i="3"/>
  <c r="E149" i="3" s="1"/>
  <c r="C150" i="3"/>
  <c r="E150" i="3" s="1"/>
  <c r="C151" i="3"/>
  <c r="E151" i="3" s="1"/>
  <c r="F151" i="3" s="1"/>
  <c r="C152" i="3"/>
  <c r="E152" i="3" s="1"/>
  <c r="C153" i="3"/>
  <c r="E153" i="3" s="1"/>
  <c r="C154" i="3"/>
  <c r="E154" i="3" s="1"/>
  <c r="C155" i="3"/>
  <c r="E155" i="3" s="1"/>
  <c r="C156" i="3"/>
  <c r="E156" i="3" s="1"/>
  <c r="C157" i="3"/>
  <c r="E157" i="3" s="1"/>
  <c r="C158" i="3"/>
  <c r="E158" i="3" s="1"/>
  <c r="C159" i="3"/>
  <c r="E159" i="3" s="1"/>
  <c r="C160" i="3"/>
  <c r="E160" i="3" s="1"/>
  <c r="F160" i="3" s="1"/>
  <c r="C161" i="3"/>
  <c r="E161" i="3" s="1"/>
  <c r="C162" i="3"/>
  <c r="E162" i="3" s="1"/>
  <c r="C163" i="3"/>
  <c r="E163" i="3" s="1"/>
  <c r="C164" i="3"/>
  <c r="E164" i="3" s="1"/>
  <c r="C165" i="3"/>
  <c r="E165" i="3" s="1"/>
  <c r="C166" i="3"/>
  <c r="E166" i="3" s="1"/>
  <c r="C167" i="3"/>
  <c r="E167" i="3" s="1"/>
  <c r="C168" i="3"/>
  <c r="E168" i="3" s="1"/>
  <c r="C169" i="3"/>
  <c r="E169" i="3" s="1"/>
  <c r="F169" i="3" s="1"/>
  <c r="C170" i="3"/>
  <c r="E170" i="3" s="1"/>
  <c r="C171" i="3"/>
  <c r="E171" i="3" s="1"/>
  <c r="C172" i="3"/>
  <c r="E172" i="3" s="1"/>
  <c r="C173" i="3"/>
  <c r="E173" i="3" s="1"/>
  <c r="C174" i="3"/>
  <c r="E174" i="3" s="1"/>
  <c r="C175" i="3"/>
  <c r="E175" i="3" s="1"/>
  <c r="C176" i="3"/>
  <c r="E176" i="3" s="1"/>
  <c r="C177" i="3"/>
  <c r="E177" i="3" s="1"/>
  <c r="C178" i="3"/>
  <c r="E178" i="3" s="1"/>
  <c r="F178" i="3" s="1"/>
  <c r="C179" i="3"/>
  <c r="E179" i="3" s="1"/>
  <c r="C180" i="3"/>
  <c r="E180" i="3" s="1"/>
  <c r="C181" i="3"/>
  <c r="E181" i="3" s="1"/>
  <c r="C182" i="3"/>
  <c r="E182" i="3" s="1"/>
  <c r="C183" i="3"/>
  <c r="E183" i="3" s="1"/>
  <c r="C184" i="3"/>
  <c r="E184" i="3" s="1"/>
  <c r="C185" i="3"/>
  <c r="E185" i="3" s="1"/>
  <c r="C186" i="3"/>
  <c r="E186" i="3" s="1"/>
  <c r="C187" i="3"/>
  <c r="E187" i="3" s="1"/>
  <c r="F187" i="3" s="1"/>
  <c r="C188" i="3"/>
  <c r="E188" i="3" s="1"/>
  <c r="C189" i="3"/>
  <c r="E189" i="3" s="1"/>
  <c r="C190" i="3"/>
  <c r="E190" i="3" s="1"/>
  <c r="C191" i="3"/>
  <c r="E191" i="3" s="1"/>
  <c r="C192" i="3"/>
  <c r="E192" i="3" s="1"/>
  <c r="C193" i="3"/>
  <c r="E193" i="3" s="1"/>
  <c r="C194" i="3"/>
  <c r="E194" i="3" s="1"/>
  <c r="C195" i="3"/>
  <c r="E195" i="3" s="1"/>
  <c r="C196" i="3"/>
  <c r="E196" i="3" s="1"/>
  <c r="F196" i="3" s="1"/>
  <c r="C197" i="3"/>
  <c r="E197" i="3" s="1"/>
  <c r="C198" i="3"/>
  <c r="E198" i="3" s="1"/>
  <c r="C199" i="3"/>
  <c r="E199" i="3" s="1"/>
  <c r="C200" i="3"/>
  <c r="E200" i="3" s="1"/>
  <c r="C201" i="3"/>
  <c r="E201" i="3" s="1"/>
  <c r="C202" i="3"/>
  <c r="E202" i="3" s="1"/>
  <c r="C203" i="3"/>
  <c r="E203" i="3" s="1"/>
  <c r="C204" i="3"/>
  <c r="E204" i="3" s="1"/>
  <c r="C205" i="3"/>
  <c r="E205" i="3" s="1"/>
  <c r="F205" i="3" s="1"/>
  <c r="C206" i="3"/>
  <c r="E206" i="3" s="1"/>
  <c r="C207" i="3"/>
  <c r="E207" i="3" s="1"/>
  <c r="C208" i="3"/>
  <c r="E208" i="3" s="1"/>
  <c r="C209" i="3"/>
  <c r="E209" i="3" s="1"/>
  <c r="C210" i="3"/>
  <c r="E210" i="3" s="1"/>
  <c r="C211" i="3"/>
  <c r="E211" i="3" s="1"/>
  <c r="C212" i="3"/>
  <c r="E212" i="3" s="1"/>
  <c r="C213" i="3"/>
  <c r="E213" i="3" s="1"/>
  <c r="C214" i="3"/>
  <c r="E214" i="3" s="1"/>
  <c r="C215" i="3"/>
  <c r="E215" i="3" s="1"/>
  <c r="C216" i="3"/>
  <c r="E216" i="3" s="1"/>
  <c r="C217" i="3"/>
  <c r="E217" i="3" s="1"/>
  <c r="C218" i="3"/>
  <c r="E218" i="3" s="1"/>
  <c r="C219" i="3"/>
  <c r="E219" i="3" s="1"/>
  <c r="C220" i="3"/>
  <c r="E220" i="3" s="1"/>
  <c r="C221" i="3"/>
  <c r="E221" i="3" s="1"/>
  <c r="C222" i="3"/>
  <c r="E222" i="3" s="1"/>
  <c r="C223" i="3"/>
  <c r="E223" i="3" s="1"/>
  <c r="F223" i="3" s="1"/>
  <c r="C224" i="3"/>
  <c r="E224" i="3" s="1"/>
  <c r="C225" i="3"/>
  <c r="E225" i="3" s="1"/>
  <c r="C226" i="3"/>
  <c r="E226" i="3" s="1"/>
  <c r="C227" i="3"/>
  <c r="E227" i="3" s="1"/>
  <c r="C228" i="3"/>
  <c r="E228" i="3" s="1"/>
  <c r="C229" i="3"/>
  <c r="E229" i="3" s="1"/>
  <c r="C230" i="3"/>
  <c r="E230" i="3" s="1"/>
  <c r="C231" i="3"/>
  <c r="E231" i="3" s="1"/>
  <c r="C232" i="3"/>
  <c r="E232" i="3" s="1"/>
  <c r="F232" i="3" s="1"/>
  <c r="C233" i="3"/>
  <c r="E233" i="3" s="1"/>
  <c r="C234" i="3"/>
  <c r="E234" i="3" s="1"/>
  <c r="C235" i="3"/>
  <c r="E235" i="3" s="1"/>
  <c r="C236" i="3"/>
  <c r="E236" i="3" s="1"/>
  <c r="C237" i="3"/>
  <c r="E237" i="3" s="1"/>
  <c r="C238" i="3"/>
  <c r="E238" i="3" s="1"/>
  <c r="C239" i="3"/>
  <c r="E239" i="3" s="1"/>
  <c r="C240" i="3"/>
  <c r="E240" i="3" s="1"/>
  <c r="C241" i="3"/>
  <c r="E241" i="3" s="1"/>
  <c r="F241" i="3" s="1"/>
  <c r="C242" i="3"/>
  <c r="E242" i="3" s="1"/>
  <c r="C243" i="3"/>
  <c r="E243" i="3" s="1"/>
  <c r="C244" i="3"/>
  <c r="E244" i="3" s="1"/>
  <c r="C245" i="3"/>
  <c r="E245" i="3" s="1"/>
  <c r="C246" i="3"/>
  <c r="E246" i="3" s="1"/>
  <c r="C247" i="3"/>
  <c r="E247" i="3" s="1"/>
  <c r="C248" i="3"/>
  <c r="E248" i="3" s="1"/>
  <c r="C249" i="3"/>
  <c r="E249" i="3" s="1"/>
  <c r="C250" i="3"/>
  <c r="E250" i="3" s="1"/>
  <c r="F250" i="3" s="1"/>
  <c r="C251" i="3"/>
  <c r="E251" i="3" s="1"/>
  <c r="C252" i="3"/>
  <c r="E252" i="3" s="1"/>
  <c r="C253" i="3"/>
  <c r="E253" i="3" s="1"/>
  <c r="C254" i="3"/>
  <c r="E254" i="3" s="1"/>
  <c r="C255" i="3"/>
  <c r="E255" i="3" s="1"/>
  <c r="C256" i="3"/>
  <c r="E256" i="3" s="1"/>
  <c r="C257" i="3"/>
  <c r="E257" i="3" s="1"/>
  <c r="C258" i="3"/>
  <c r="E258" i="3" s="1"/>
  <c r="C259" i="3"/>
  <c r="E259" i="3" s="1"/>
  <c r="F259" i="3" s="1"/>
  <c r="C260" i="3"/>
  <c r="E260" i="3" s="1"/>
  <c r="C261" i="3"/>
  <c r="E261" i="3" s="1"/>
  <c r="C262" i="3"/>
  <c r="E262" i="3" s="1"/>
  <c r="C263" i="3"/>
  <c r="E263" i="3" s="1"/>
  <c r="C264" i="3"/>
  <c r="E264" i="3" s="1"/>
  <c r="C265" i="3"/>
  <c r="E265" i="3" s="1"/>
  <c r="C266" i="3"/>
  <c r="E266" i="3" s="1"/>
  <c r="C267" i="3"/>
  <c r="E267" i="3" s="1"/>
  <c r="C268" i="3"/>
  <c r="E268" i="3" s="1"/>
  <c r="F268" i="3" s="1"/>
  <c r="C269" i="3"/>
  <c r="E269" i="3" s="1"/>
  <c r="C270" i="3"/>
  <c r="E270" i="3" s="1"/>
  <c r="C271" i="3"/>
  <c r="E271" i="3" s="1"/>
  <c r="C272" i="3"/>
  <c r="E272" i="3" s="1"/>
  <c r="C273" i="3"/>
  <c r="E273" i="3" s="1"/>
  <c r="C274" i="3"/>
  <c r="E274" i="3" s="1"/>
  <c r="C275" i="3"/>
  <c r="E275" i="3" s="1"/>
  <c r="C276" i="3"/>
  <c r="E276" i="3" s="1"/>
  <c r="C277" i="3"/>
  <c r="E277" i="3" s="1"/>
  <c r="F277" i="3" s="1"/>
  <c r="C278" i="3"/>
  <c r="E278" i="3" s="1"/>
  <c r="C279" i="3"/>
  <c r="E279" i="3" s="1"/>
  <c r="C280" i="3"/>
  <c r="E280" i="3" s="1"/>
  <c r="C281" i="3"/>
  <c r="E281" i="3" s="1"/>
  <c r="C282" i="3"/>
  <c r="E282" i="3" s="1"/>
  <c r="C283" i="3"/>
  <c r="E283" i="3" s="1"/>
  <c r="C284" i="3"/>
  <c r="E284" i="3" s="1"/>
  <c r="C285" i="3"/>
  <c r="E285" i="3" s="1"/>
  <c r="C286" i="3"/>
  <c r="E286" i="3" s="1"/>
  <c r="F286" i="3" s="1"/>
  <c r="C287" i="3"/>
  <c r="E287" i="3" s="1"/>
  <c r="C288" i="3"/>
  <c r="E288" i="3" s="1"/>
  <c r="C289" i="3"/>
  <c r="E289" i="3" s="1"/>
  <c r="C290" i="3"/>
  <c r="E290" i="3" s="1"/>
  <c r="C291" i="3"/>
  <c r="E291" i="3" s="1"/>
  <c r="C292" i="3"/>
  <c r="E292" i="3" s="1"/>
  <c r="C293" i="3"/>
  <c r="E293" i="3" s="1"/>
  <c r="C294" i="3"/>
  <c r="E294" i="3" s="1"/>
  <c r="C295" i="3"/>
  <c r="E295" i="3" s="1"/>
  <c r="F295" i="3" s="1"/>
  <c r="C296" i="3"/>
  <c r="E296" i="3" s="1"/>
  <c r="C297" i="3"/>
  <c r="E297" i="3" s="1"/>
  <c r="C298" i="3"/>
  <c r="E298" i="3" s="1"/>
  <c r="C299" i="3"/>
  <c r="E299" i="3" s="1"/>
  <c r="C300" i="3"/>
  <c r="E300" i="3" s="1"/>
  <c r="C301" i="3"/>
  <c r="E301" i="3" s="1"/>
  <c r="C302" i="3"/>
  <c r="E302" i="3" s="1"/>
  <c r="C303" i="3"/>
  <c r="E303" i="3" s="1"/>
  <c r="C304" i="3"/>
  <c r="E304" i="3" s="1"/>
  <c r="F304" i="3" s="1"/>
  <c r="C305" i="3"/>
  <c r="E305" i="3" s="1"/>
  <c r="C306" i="3"/>
  <c r="E306" i="3" s="1"/>
  <c r="C307" i="3"/>
  <c r="E307" i="3" s="1"/>
  <c r="C308" i="3"/>
  <c r="E308" i="3" s="1"/>
  <c r="C309" i="3"/>
  <c r="E309" i="3" s="1"/>
  <c r="C310" i="3"/>
  <c r="E310" i="3" s="1"/>
  <c r="C311" i="3"/>
  <c r="E311" i="3" s="1"/>
  <c r="C312" i="3"/>
  <c r="E312" i="3" s="1"/>
  <c r="C313" i="3"/>
  <c r="E313" i="3" s="1"/>
  <c r="F313" i="3" s="1"/>
  <c r="C314" i="3"/>
  <c r="E314" i="3" s="1"/>
  <c r="C315" i="3"/>
  <c r="E315" i="3" s="1"/>
  <c r="C316" i="3"/>
  <c r="E316" i="3" s="1"/>
  <c r="C317" i="3"/>
  <c r="E317" i="3" s="1"/>
  <c r="C318" i="3"/>
  <c r="E318" i="3" s="1"/>
  <c r="C319" i="3"/>
  <c r="E319" i="3" s="1"/>
  <c r="C320" i="3"/>
  <c r="E320" i="3" s="1"/>
  <c r="C321" i="3"/>
  <c r="E321" i="3" s="1"/>
  <c r="C322" i="3"/>
  <c r="E322" i="3" s="1"/>
  <c r="F322" i="3" s="1"/>
  <c r="C323" i="3"/>
  <c r="E323" i="3" s="1"/>
  <c r="C324" i="3"/>
  <c r="E324" i="3" s="1"/>
  <c r="C325" i="3"/>
  <c r="E325" i="3" s="1"/>
  <c r="C326" i="3"/>
  <c r="E326" i="3" s="1"/>
  <c r="C327" i="3"/>
  <c r="E327" i="3" s="1"/>
  <c r="C328" i="3"/>
  <c r="E328" i="3" s="1"/>
  <c r="C329" i="3"/>
  <c r="E329" i="3" s="1"/>
  <c r="C330" i="3"/>
  <c r="E330" i="3" s="1"/>
  <c r="C331" i="3"/>
  <c r="E331" i="3" s="1"/>
  <c r="F331" i="3" s="1"/>
  <c r="C332" i="3"/>
  <c r="E332" i="3" s="1"/>
  <c r="C333" i="3"/>
  <c r="E333" i="3" s="1"/>
  <c r="C334" i="3"/>
  <c r="E334" i="3" s="1"/>
  <c r="C335" i="3"/>
  <c r="E335" i="3" s="1"/>
  <c r="C336" i="3"/>
  <c r="E336" i="3" s="1"/>
  <c r="C337" i="3"/>
  <c r="E337" i="3" s="1"/>
  <c r="C338" i="3"/>
  <c r="E338" i="3" s="1"/>
  <c r="C339" i="3"/>
  <c r="E339" i="3" s="1"/>
  <c r="C340" i="3"/>
  <c r="E340" i="3" s="1"/>
  <c r="F340" i="3" s="1"/>
  <c r="C341" i="3"/>
  <c r="E341" i="3" s="1"/>
  <c r="C342" i="3"/>
  <c r="E342" i="3" s="1"/>
  <c r="C343" i="3"/>
  <c r="E343" i="3" s="1"/>
  <c r="C344" i="3"/>
  <c r="E344" i="3" s="1"/>
  <c r="C345" i="3"/>
  <c r="E345" i="3" s="1"/>
  <c r="C346" i="3"/>
  <c r="E346" i="3" s="1"/>
  <c r="C347" i="3"/>
  <c r="E347" i="3" s="1"/>
  <c r="C348" i="3"/>
  <c r="E348" i="3" s="1"/>
  <c r="C349" i="3"/>
  <c r="E349" i="3" s="1"/>
  <c r="F349" i="3" s="1"/>
  <c r="C350" i="3"/>
  <c r="E350" i="3" s="1"/>
  <c r="C351" i="3"/>
  <c r="E351" i="3" s="1"/>
  <c r="C352" i="3"/>
  <c r="E352" i="3" s="1"/>
  <c r="C353" i="3"/>
  <c r="E353" i="3" s="1"/>
  <c r="C354" i="3"/>
  <c r="E354" i="3" s="1"/>
  <c r="C355" i="3"/>
  <c r="E355" i="3" s="1"/>
  <c r="C356" i="3"/>
  <c r="E356" i="3" s="1"/>
  <c r="C357" i="3"/>
  <c r="E357" i="3" s="1"/>
  <c r="C358" i="3"/>
  <c r="E358" i="3" s="1"/>
  <c r="F358" i="3" s="1"/>
  <c r="C359" i="3"/>
  <c r="E359" i="3" s="1"/>
  <c r="C360" i="3"/>
  <c r="E360" i="3" s="1"/>
  <c r="C361" i="3"/>
  <c r="E361" i="3" s="1"/>
  <c r="C362" i="3"/>
  <c r="E362" i="3" s="1"/>
  <c r="C363" i="3"/>
  <c r="E363" i="3" s="1"/>
  <c r="C364" i="3"/>
  <c r="E364" i="3" s="1"/>
  <c r="C365" i="3"/>
  <c r="E365" i="3" s="1"/>
  <c r="C366" i="3"/>
  <c r="E366" i="3" s="1"/>
  <c r="C367" i="3"/>
  <c r="E367" i="3" s="1"/>
  <c r="F367" i="3" s="1"/>
  <c r="C368" i="3"/>
  <c r="E368" i="3" s="1"/>
  <c r="C369" i="3"/>
  <c r="E369" i="3" s="1"/>
  <c r="C370" i="3"/>
  <c r="E370" i="3" s="1"/>
  <c r="C371" i="3"/>
  <c r="E371" i="3" s="1"/>
  <c r="C372" i="3"/>
  <c r="E372" i="3" s="1"/>
  <c r="C373" i="3"/>
  <c r="E373" i="3" s="1"/>
  <c r="C374" i="3"/>
  <c r="E374" i="3" s="1"/>
  <c r="C375" i="3"/>
  <c r="E375" i="3" s="1"/>
  <c r="C376" i="3"/>
  <c r="E376" i="3" s="1"/>
  <c r="F376" i="3" s="1"/>
  <c r="C377" i="3"/>
  <c r="E377" i="3" s="1"/>
  <c r="C378" i="3"/>
  <c r="E378" i="3" s="1"/>
  <c r="C379" i="3"/>
  <c r="E379" i="3" s="1"/>
  <c r="C380" i="3"/>
  <c r="E380" i="3" s="1"/>
  <c r="C381" i="3"/>
  <c r="E381" i="3" s="1"/>
  <c r="C382" i="3"/>
  <c r="E382" i="3" s="1"/>
  <c r="C383" i="3"/>
  <c r="E383" i="3" s="1"/>
  <c r="C384" i="3"/>
  <c r="E384" i="3" s="1"/>
  <c r="C385" i="3"/>
  <c r="E385" i="3" s="1"/>
  <c r="F385" i="3" s="1"/>
  <c r="C386" i="3"/>
  <c r="E386" i="3" s="1"/>
  <c r="C387" i="3"/>
  <c r="E387" i="3" s="1"/>
  <c r="C388" i="3"/>
  <c r="E388" i="3" s="1"/>
  <c r="C389" i="3"/>
  <c r="E389" i="3" s="1"/>
  <c r="C390" i="3"/>
  <c r="E390" i="3" s="1"/>
  <c r="C391" i="3"/>
  <c r="E391" i="3" s="1"/>
  <c r="C392" i="3"/>
  <c r="E392" i="3" s="1"/>
  <c r="C393" i="3"/>
  <c r="E393" i="3" s="1"/>
  <c r="C394" i="3"/>
  <c r="E394" i="3" s="1"/>
  <c r="F394" i="3" s="1"/>
  <c r="C395" i="3"/>
  <c r="E395" i="3" s="1"/>
  <c r="C396" i="3"/>
  <c r="E396" i="3" s="1"/>
  <c r="C397" i="3"/>
  <c r="E397" i="3" s="1"/>
  <c r="C398" i="3"/>
  <c r="E398" i="3" s="1"/>
  <c r="C399" i="3"/>
  <c r="E399" i="3" s="1"/>
  <c r="C400" i="3"/>
  <c r="E400" i="3" s="1"/>
  <c r="C401" i="3"/>
  <c r="E401" i="3" s="1"/>
  <c r="C402" i="3"/>
  <c r="E402" i="3" s="1"/>
  <c r="C403" i="3"/>
  <c r="E403" i="3" s="1"/>
  <c r="F403" i="3" s="1"/>
  <c r="C404" i="3"/>
  <c r="E404" i="3" s="1"/>
  <c r="C405" i="3"/>
  <c r="E405" i="3" s="1"/>
  <c r="C406" i="3"/>
  <c r="E406" i="3" s="1"/>
  <c r="C407" i="3"/>
  <c r="E407" i="3" s="1"/>
  <c r="C408" i="3"/>
  <c r="E408" i="3" s="1"/>
  <c r="C409" i="3"/>
  <c r="E409" i="3" s="1"/>
  <c r="C410" i="3"/>
  <c r="E410" i="3" s="1"/>
  <c r="C411" i="3"/>
  <c r="E411" i="3" s="1"/>
  <c r="C412" i="3"/>
  <c r="E412" i="3" s="1"/>
  <c r="F412" i="3" s="1"/>
  <c r="C413" i="3"/>
  <c r="E413" i="3" s="1"/>
  <c r="C414" i="3"/>
  <c r="E414" i="3" s="1"/>
  <c r="C415" i="3"/>
  <c r="E415" i="3" s="1"/>
  <c r="C416" i="3"/>
  <c r="E416" i="3" s="1"/>
  <c r="C417" i="3"/>
  <c r="E417" i="3" s="1"/>
  <c r="C418" i="3"/>
  <c r="E418" i="3" s="1"/>
  <c r="C419" i="3"/>
  <c r="E419" i="3" s="1"/>
  <c r="C420" i="3"/>
  <c r="E420" i="3" s="1"/>
  <c r="C421" i="3"/>
  <c r="E421" i="3" s="1"/>
  <c r="F421" i="3" s="1"/>
  <c r="C422" i="3"/>
  <c r="E422" i="3" s="1"/>
  <c r="C423" i="3"/>
  <c r="E423" i="3" s="1"/>
  <c r="C424" i="3"/>
  <c r="E424" i="3" s="1"/>
  <c r="C425" i="3"/>
  <c r="E425" i="3" s="1"/>
  <c r="C426" i="3"/>
  <c r="E426" i="3" s="1"/>
  <c r="C427" i="3"/>
  <c r="E427" i="3" s="1"/>
  <c r="C428" i="3"/>
  <c r="E428" i="3" s="1"/>
  <c r="C429" i="3"/>
  <c r="E429" i="3" s="1"/>
  <c r="C430" i="3"/>
  <c r="E430" i="3" s="1"/>
  <c r="F430" i="3" s="1"/>
  <c r="C431" i="3"/>
  <c r="E431" i="3" s="1"/>
  <c r="C432" i="3"/>
  <c r="E432" i="3" s="1"/>
  <c r="C433" i="3"/>
  <c r="E433" i="3" s="1"/>
  <c r="C434" i="3"/>
  <c r="E434" i="3" s="1"/>
  <c r="C435" i="3"/>
  <c r="E435" i="3" s="1"/>
  <c r="C436" i="3"/>
  <c r="E436" i="3" s="1"/>
  <c r="C437" i="3"/>
  <c r="E437" i="3" s="1"/>
  <c r="C438" i="3"/>
  <c r="E438" i="3" s="1"/>
  <c r="C439" i="3"/>
  <c r="E439" i="3" s="1"/>
  <c r="F439" i="3" s="1"/>
  <c r="C440" i="3"/>
  <c r="E440" i="3" s="1"/>
  <c r="C441" i="3"/>
  <c r="E441" i="3" s="1"/>
  <c r="C442" i="3"/>
  <c r="E442" i="3" s="1"/>
  <c r="C443" i="3"/>
  <c r="E443" i="3" s="1"/>
  <c r="C444" i="3"/>
  <c r="E444" i="3" s="1"/>
  <c r="C445" i="3"/>
  <c r="E445" i="3" s="1"/>
  <c r="C446" i="3"/>
  <c r="E446" i="3" s="1"/>
  <c r="C447" i="3"/>
  <c r="E447" i="3" s="1"/>
  <c r="C448" i="3"/>
  <c r="E448" i="3" s="1"/>
  <c r="F448" i="3" s="1"/>
  <c r="C449" i="3"/>
  <c r="E449" i="3" s="1"/>
  <c r="C450" i="3"/>
  <c r="E450" i="3" s="1"/>
  <c r="C451" i="3"/>
  <c r="E451" i="3" s="1"/>
  <c r="C452" i="3"/>
  <c r="E452" i="3" s="1"/>
  <c r="C453" i="3"/>
  <c r="E453" i="3" s="1"/>
  <c r="C454" i="3"/>
  <c r="E454" i="3" s="1"/>
  <c r="C455" i="3"/>
  <c r="E455" i="3" s="1"/>
  <c r="C456" i="3"/>
  <c r="E456" i="3" s="1"/>
  <c r="C457" i="3"/>
  <c r="E457" i="3" s="1"/>
  <c r="F457" i="3" s="1"/>
  <c r="C458" i="3"/>
  <c r="E458" i="3" s="1"/>
  <c r="C459" i="3"/>
  <c r="E459" i="3" s="1"/>
  <c r="C460" i="3"/>
  <c r="E460" i="3" s="1"/>
  <c r="C461" i="3"/>
  <c r="E461" i="3" s="1"/>
  <c r="C462" i="3"/>
  <c r="E462" i="3" s="1"/>
  <c r="C463" i="3"/>
  <c r="E463" i="3" s="1"/>
  <c r="C464" i="3"/>
  <c r="E464" i="3" s="1"/>
  <c r="C465" i="3"/>
  <c r="E465" i="3" s="1"/>
  <c r="C466" i="3"/>
  <c r="E466" i="3" s="1"/>
  <c r="F466" i="3" s="1"/>
  <c r="C467" i="3"/>
  <c r="E467" i="3" s="1"/>
  <c r="C468" i="3"/>
  <c r="E468" i="3" s="1"/>
  <c r="C469" i="3"/>
  <c r="E469" i="3" s="1"/>
  <c r="C470" i="3"/>
  <c r="E470" i="3" s="1"/>
  <c r="C471" i="3"/>
  <c r="E471" i="3" s="1"/>
  <c r="C472" i="3"/>
  <c r="E472" i="3" s="1"/>
  <c r="C473" i="3"/>
  <c r="E473" i="3" s="1"/>
  <c r="C474" i="3"/>
  <c r="E474" i="3" s="1"/>
  <c r="C475" i="3"/>
  <c r="E475" i="3" s="1"/>
  <c r="F475" i="3" s="1"/>
  <c r="C476" i="3"/>
  <c r="E476" i="3" s="1"/>
  <c r="C477" i="3"/>
  <c r="E477" i="3" s="1"/>
  <c r="C478" i="3"/>
  <c r="E478" i="3" s="1"/>
  <c r="C479" i="3"/>
  <c r="E479" i="3" s="1"/>
  <c r="C480" i="3"/>
  <c r="E480" i="3" s="1"/>
  <c r="C481" i="3"/>
  <c r="E481" i="3" s="1"/>
  <c r="C482" i="3"/>
  <c r="E482" i="3" s="1"/>
  <c r="C483" i="3"/>
  <c r="E483" i="3" s="1"/>
  <c r="C484" i="3"/>
  <c r="E484" i="3" s="1"/>
  <c r="F484" i="3" s="1"/>
  <c r="C485" i="3"/>
  <c r="E485" i="3" s="1"/>
  <c r="C486" i="3"/>
  <c r="E486" i="3" s="1"/>
  <c r="C487" i="3"/>
  <c r="E487" i="3" s="1"/>
  <c r="C488" i="3"/>
  <c r="E488" i="3" s="1"/>
  <c r="C489" i="3"/>
  <c r="E489" i="3" s="1"/>
  <c r="C490" i="3"/>
  <c r="E490" i="3" s="1"/>
  <c r="C491" i="3"/>
  <c r="E491" i="3" s="1"/>
  <c r="C492" i="3"/>
  <c r="E492" i="3" s="1"/>
  <c r="C493" i="3"/>
  <c r="E493" i="3" s="1"/>
  <c r="F493" i="3" s="1"/>
  <c r="C494" i="3"/>
  <c r="E494" i="3" s="1"/>
  <c r="C495" i="3"/>
  <c r="E495" i="3" s="1"/>
  <c r="C496" i="3"/>
  <c r="E496" i="3" s="1"/>
  <c r="C497" i="3"/>
  <c r="E497" i="3" s="1"/>
  <c r="C498" i="3"/>
  <c r="E498" i="3" s="1"/>
  <c r="C499" i="3"/>
  <c r="E499" i="3" s="1"/>
  <c r="C500" i="3"/>
  <c r="E500" i="3" s="1"/>
  <c r="C501" i="3"/>
  <c r="E501" i="3" s="1"/>
  <c r="C502" i="3"/>
  <c r="E502" i="3" s="1"/>
  <c r="F502" i="3" s="1"/>
  <c r="C503" i="3"/>
  <c r="E503" i="3" s="1"/>
  <c r="C504" i="3"/>
  <c r="E504" i="3" s="1"/>
  <c r="C505" i="3"/>
  <c r="E505" i="3" s="1"/>
  <c r="C506" i="3"/>
  <c r="E506" i="3" s="1"/>
  <c r="C507" i="3"/>
  <c r="E507" i="3" s="1"/>
  <c r="C508" i="3"/>
  <c r="E508" i="3" s="1"/>
  <c r="C509" i="3"/>
  <c r="E509" i="3" s="1"/>
  <c r="C510" i="3"/>
  <c r="E510" i="3" s="1"/>
  <c r="C511" i="3"/>
  <c r="E511" i="3" s="1"/>
  <c r="F511" i="3" s="1"/>
  <c r="C512" i="3"/>
  <c r="E512" i="3" s="1"/>
  <c r="C513" i="3"/>
  <c r="E513" i="3" s="1"/>
  <c r="C514" i="3"/>
  <c r="E514" i="3" s="1"/>
  <c r="C515" i="3"/>
  <c r="E515" i="3" s="1"/>
  <c r="C516" i="3"/>
  <c r="E516" i="3" s="1"/>
  <c r="C517" i="3"/>
  <c r="E517" i="3" s="1"/>
  <c r="C518" i="3"/>
  <c r="E518" i="3" s="1"/>
  <c r="C519" i="3"/>
  <c r="E519" i="3" s="1"/>
  <c r="C520" i="3"/>
  <c r="E520" i="3" s="1"/>
  <c r="F520" i="3" s="1"/>
  <c r="C521" i="3"/>
  <c r="E521" i="3" s="1"/>
  <c r="C522" i="3"/>
  <c r="E522" i="3" s="1"/>
  <c r="C523" i="3"/>
  <c r="E523" i="3" s="1"/>
  <c r="C524" i="3"/>
  <c r="E524" i="3" s="1"/>
  <c r="C525" i="3"/>
  <c r="E525" i="3" s="1"/>
  <c r="C526" i="3"/>
  <c r="E526" i="3" s="1"/>
  <c r="C527" i="3"/>
  <c r="E527" i="3" s="1"/>
  <c r="C528" i="3"/>
  <c r="E528" i="3" s="1"/>
  <c r="C529" i="3"/>
  <c r="E529" i="3" s="1"/>
  <c r="F529" i="3" s="1"/>
  <c r="C530" i="3"/>
  <c r="E530" i="3" s="1"/>
  <c r="C531" i="3"/>
  <c r="E531" i="3" s="1"/>
  <c r="C532" i="3"/>
  <c r="E532" i="3" s="1"/>
  <c r="C533" i="3"/>
  <c r="E533" i="3" s="1"/>
  <c r="C534" i="3"/>
  <c r="E534" i="3" s="1"/>
  <c r="C535" i="3"/>
  <c r="E535" i="3" s="1"/>
  <c r="C536" i="3"/>
  <c r="E536" i="3" s="1"/>
  <c r="C537" i="3"/>
  <c r="E537" i="3" s="1"/>
  <c r="C538" i="3"/>
  <c r="E538" i="3" s="1"/>
  <c r="F538" i="3" s="1"/>
  <c r="C539" i="3"/>
  <c r="E539" i="3" s="1"/>
  <c r="C540" i="3"/>
  <c r="E540" i="3" s="1"/>
  <c r="C541" i="3"/>
  <c r="E541" i="3" s="1"/>
  <c r="C542" i="3"/>
  <c r="E542" i="3" s="1"/>
  <c r="C543" i="3"/>
  <c r="E543" i="3" s="1"/>
  <c r="C544" i="3"/>
  <c r="E544" i="3" s="1"/>
  <c r="C545" i="3"/>
  <c r="E545" i="3" s="1"/>
  <c r="C546" i="3"/>
  <c r="E546" i="3" s="1"/>
  <c r="C547" i="3"/>
  <c r="E547" i="3" s="1"/>
  <c r="F547" i="3" s="1"/>
  <c r="C548" i="3"/>
  <c r="E548" i="3" s="1"/>
  <c r="C549" i="3"/>
  <c r="E549" i="3" s="1"/>
  <c r="C550" i="3"/>
  <c r="E550" i="3" s="1"/>
  <c r="C551" i="3"/>
  <c r="E551" i="3" s="1"/>
  <c r="C552" i="3"/>
  <c r="E552" i="3" s="1"/>
  <c r="C553" i="3"/>
  <c r="E553" i="3" s="1"/>
  <c r="C554" i="3"/>
  <c r="E554" i="3" s="1"/>
  <c r="C555" i="3"/>
  <c r="E555" i="3" s="1"/>
  <c r="C556" i="3"/>
  <c r="E556" i="3" s="1"/>
  <c r="F556" i="3" s="1"/>
  <c r="C557" i="3"/>
  <c r="E557" i="3" s="1"/>
  <c r="C558" i="3"/>
  <c r="E558" i="3" s="1"/>
  <c r="C559" i="3"/>
  <c r="E559" i="3" s="1"/>
  <c r="C560" i="3"/>
  <c r="E560" i="3" s="1"/>
  <c r="C561" i="3"/>
  <c r="E561" i="3" s="1"/>
  <c r="C562" i="3"/>
  <c r="E562" i="3" s="1"/>
  <c r="C563" i="3"/>
  <c r="E563" i="3" s="1"/>
  <c r="C564" i="3"/>
  <c r="E564" i="3" s="1"/>
  <c r="C565" i="3"/>
  <c r="E565" i="3" s="1"/>
  <c r="F565" i="3" s="1"/>
  <c r="C566" i="3"/>
  <c r="E566" i="3" s="1"/>
  <c r="C567" i="3"/>
  <c r="E567" i="3" s="1"/>
  <c r="C568" i="3"/>
  <c r="E568" i="3" s="1"/>
  <c r="C569" i="3"/>
  <c r="E569" i="3" s="1"/>
  <c r="C570" i="3"/>
  <c r="E570" i="3" s="1"/>
  <c r="C571" i="3"/>
  <c r="E571" i="3" s="1"/>
  <c r="C572" i="3"/>
  <c r="E572" i="3" s="1"/>
  <c r="C573" i="3"/>
  <c r="E573" i="3" s="1"/>
  <c r="C574" i="3"/>
  <c r="E574" i="3" s="1"/>
  <c r="F574" i="3" s="1"/>
  <c r="C575" i="3"/>
  <c r="E575" i="3" s="1"/>
  <c r="C576" i="3"/>
  <c r="E576" i="3" s="1"/>
  <c r="C577" i="3"/>
  <c r="E577" i="3" s="1"/>
  <c r="C578" i="3"/>
  <c r="E578" i="3" s="1"/>
  <c r="C579" i="3"/>
  <c r="E579" i="3" s="1"/>
  <c r="C580" i="3"/>
  <c r="E580" i="3" s="1"/>
  <c r="C581" i="3"/>
  <c r="E581" i="3" s="1"/>
  <c r="C582" i="3"/>
  <c r="E582" i="3" s="1"/>
  <c r="C583" i="3"/>
  <c r="E583" i="3" s="1"/>
  <c r="F583" i="3" s="1"/>
  <c r="C584" i="3"/>
  <c r="E584" i="3" s="1"/>
  <c r="C585" i="3"/>
  <c r="E585" i="3" s="1"/>
  <c r="C586" i="3"/>
  <c r="E586" i="3" s="1"/>
  <c r="C587" i="3"/>
  <c r="E587" i="3" s="1"/>
  <c r="C588" i="3"/>
  <c r="E588" i="3" s="1"/>
  <c r="C589" i="3"/>
  <c r="E589" i="3" s="1"/>
  <c r="C590" i="3"/>
  <c r="E590" i="3" s="1"/>
  <c r="C591" i="3"/>
  <c r="E591" i="3" s="1"/>
  <c r="C592" i="3"/>
  <c r="E592" i="3" s="1"/>
  <c r="F592" i="3" s="1"/>
  <c r="C593" i="3"/>
  <c r="E593" i="3" s="1"/>
  <c r="C594" i="3"/>
  <c r="E594" i="3" s="1"/>
  <c r="C595" i="3"/>
  <c r="E595" i="3" s="1"/>
  <c r="C596" i="3"/>
  <c r="E596" i="3" s="1"/>
  <c r="C597" i="3"/>
  <c r="E597" i="3" s="1"/>
  <c r="C598" i="3"/>
  <c r="E598" i="3" s="1"/>
  <c r="C599" i="3"/>
  <c r="E599" i="3" s="1"/>
  <c r="C600" i="3"/>
  <c r="E600" i="3" s="1"/>
  <c r="C601" i="3"/>
  <c r="E601" i="3" s="1"/>
  <c r="F601" i="3" s="1"/>
  <c r="C602" i="3"/>
  <c r="E602" i="3" s="1"/>
  <c r="C603" i="3"/>
  <c r="E603" i="3" s="1"/>
  <c r="C604" i="3"/>
  <c r="E604" i="3" s="1"/>
  <c r="C605" i="3"/>
  <c r="E605" i="3" s="1"/>
  <c r="C606" i="3"/>
  <c r="E606" i="3" s="1"/>
  <c r="C607" i="3"/>
  <c r="E607" i="3" s="1"/>
  <c r="C608" i="3"/>
  <c r="E608" i="3" s="1"/>
  <c r="C609" i="3"/>
  <c r="E609" i="3" s="1"/>
  <c r="C610" i="3"/>
  <c r="E610" i="3" s="1"/>
  <c r="F610" i="3" s="1"/>
  <c r="C611" i="3"/>
  <c r="E611" i="3" s="1"/>
  <c r="C612" i="3"/>
  <c r="E612" i="3" s="1"/>
  <c r="C613" i="3"/>
  <c r="E613" i="3" s="1"/>
  <c r="C614" i="3"/>
  <c r="E614" i="3" s="1"/>
  <c r="C615" i="3"/>
  <c r="E615" i="3" s="1"/>
  <c r="C616" i="3"/>
  <c r="E616" i="3" s="1"/>
  <c r="C617" i="3"/>
  <c r="E617" i="3" s="1"/>
  <c r="C618" i="3"/>
  <c r="E618" i="3" s="1"/>
  <c r="C619" i="3"/>
  <c r="E619" i="3" s="1"/>
  <c r="F619" i="3" s="1"/>
  <c r="C620" i="3"/>
  <c r="E620" i="3" s="1"/>
  <c r="C621" i="3"/>
  <c r="E621" i="3" s="1"/>
  <c r="C622" i="3"/>
  <c r="E622" i="3" s="1"/>
  <c r="C623" i="3"/>
  <c r="E623" i="3" s="1"/>
  <c r="C624" i="3"/>
  <c r="E624" i="3" s="1"/>
  <c r="C625" i="3"/>
  <c r="E625" i="3" s="1"/>
  <c r="C626" i="3"/>
  <c r="E626" i="3" s="1"/>
  <c r="C627" i="3"/>
  <c r="E627" i="3" s="1"/>
  <c r="C628" i="3"/>
  <c r="E628" i="3" s="1"/>
  <c r="F628" i="3" s="1"/>
  <c r="C629" i="3"/>
  <c r="E629" i="3" s="1"/>
  <c r="C630" i="3"/>
  <c r="E630" i="3" s="1"/>
  <c r="C631" i="3"/>
  <c r="E631" i="3" s="1"/>
  <c r="C632" i="3"/>
  <c r="E632" i="3" s="1"/>
  <c r="C633" i="3"/>
  <c r="E633" i="3" s="1"/>
  <c r="C634" i="3"/>
  <c r="E634" i="3" s="1"/>
  <c r="C635" i="3"/>
  <c r="E635" i="3" s="1"/>
  <c r="C636" i="3"/>
  <c r="E636" i="3" s="1"/>
  <c r="C637" i="3"/>
  <c r="E637" i="3" s="1"/>
  <c r="F637" i="3" s="1"/>
  <c r="C638" i="3"/>
  <c r="E638" i="3" s="1"/>
  <c r="C639" i="3"/>
  <c r="E639" i="3" s="1"/>
  <c r="C640" i="3"/>
  <c r="E640" i="3" s="1"/>
  <c r="C641" i="3"/>
  <c r="E641" i="3" s="1"/>
  <c r="C642" i="3"/>
  <c r="E642" i="3" s="1"/>
  <c r="C643" i="3"/>
  <c r="E643" i="3" s="1"/>
  <c r="C644" i="3"/>
  <c r="E644" i="3" s="1"/>
  <c r="C645" i="3"/>
  <c r="E645" i="3" s="1"/>
  <c r="C646" i="3"/>
  <c r="E646" i="3" s="1"/>
  <c r="C647" i="3"/>
  <c r="E647" i="3" s="1"/>
  <c r="C648" i="3"/>
  <c r="E648" i="3" s="1"/>
  <c r="C649" i="3"/>
  <c r="E649" i="3" s="1"/>
  <c r="C650" i="3"/>
  <c r="E650" i="3" s="1"/>
  <c r="C651" i="3"/>
  <c r="E651" i="3" s="1"/>
  <c r="C652" i="3"/>
  <c r="E652" i="3" s="1"/>
  <c r="C653" i="3"/>
  <c r="E653" i="3" s="1"/>
  <c r="C654" i="3"/>
  <c r="E654" i="3" s="1"/>
  <c r="C655" i="3"/>
  <c r="E655" i="3" s="1"/>
  <c r="C656" i="3"/>
  <c r="E656" i="3" s="1"/>
  <c r="C657" i="3"/>
  <c r="E657" i="3" s="1"/>
  <c r="C658" i="3"/>
  <c r="E658" i="3" s="1"/>
  <c r="C659" i="3"/>
  <c r="E659" i="3" s="1"/>
  <c r="C660" i="3"/>
  <c r="E660" i="3" s="1"/>
  <c r="C661" i="3"/>
  <c r="E661" i="3" s="1"/>
  <c r="C662" i="3"/>
  <c r="E662" i="3" s="1"/>
  <c r="C663" i="3"/>
  <c r="E663" i="3" s="1"/>
  <c r="C664" i="3"/>
  <c r="E664" i="3" s="1"/>
  <c r="F664" i="3" s="1"/>
  <c r="C665" i="3"/>
  <c r="E665" i="3" s="1"/>
  <c r="C666" i="3"/>
  <c r="E666" i="3" s="1"/>
  <c r="C667" i="3"/>
  <c r="E667" i="3" s="1"/>
  <c r="C668" i="3"/>
  <c r="E668" i="3" s="1"/>
  <c r="C669" i="3"/>
  <c r="E669" i="3" s="1"/>
  <c r="C670" i="3"/>
  <c r="E670" i="3" s="1"/>
  <c r="C671" i="3"/>
  <c r="E671" i="3" s="1"/>
  <c r="C672" i="3"/>
  <c r="E672" i="3" s="1"/>
  <c r="C673" i="3"/>
  <c r="E673" i="3" s="1"/>
  <c r="F673" i="3" s="1"/>
  <c r="C674" i="3"/>
  <c r="E674" i="3" s="1"/>
  <c r="C675" i="3"/>
  <c r="E675" i="3" s="1"/>
  <c r="C676" i="3"/>
  <c r="E676" i="3" s="1"/>
  <c r="C677" i="3"/>
  <c r="E677" i="3" s="1"/>
  <c r="C678" i="3"/>
  <c r="E678" i="3" s="1"/>
  <c r="C679" i="3"/>
  <c r="E679" i="3" s="1"/>
  <c r="C680" i="3"/>
  <c r="E680" i="3" s="1"/>
  <c r="C681" i="3"/>
  <c r="E681" i="3" s="1"/>
  <c r="C682" i="3"/>
  <c r="E682" i="3" s="1"/>
  <c r="F682" i="3" s="1"/>
  <c r="C683" i="3"/>
  <c r="E683" i="3" s="1"/>
  <c r="C684" i="3"/>
  <c r="E684" i="3" s="1"/>
  <c r="C685" i="3"/>
  <c r="E685" i="3" s="1"/>
  <c r="C686" i="3"/>
  <c r="E686" i="3" s="1"/>
  <c r="C687" i="3"/>
  <c r="E687" i="3" s="1"/>
  <c r="C688" i="3"/>
  <c r="E688" i="3" s="1"/>
  <c r="C689" i="3"/>
  <c r="E689" i="3" s="1"/>
  <c r="C690" i="3"/>
  <c r="E690" i="3" s="1"/>
  <c r="C691" i="3"/>
  <c r="E691" i="3" s="1"/>
  <c r="F691" i="3" s="1"/>
  <c r="C692" i="3"/>
  <c r="E692" i="3" s="1"/>
  <c r="C693" i="3"/>
  <c r="E693" i="3" s="1"/>
  <c r="C694" i="3"/>
  <c r="E694" i="3" s="1"/>
  <c r="C695" i="3"/>
  <c r="E695" i="3" s="1"/>
  <c r="C696" i="3"/>
  <c r="E696" i="3" s="1"/>
  <c r="C697" i="3"/>
  <c r="E697" i="3" s="1"/>
  <c r="C698" i="3"/>
  <c r="E698" i="3" s="1"/>
  <c r="C699" i="3"/>
  <c r="E699" i="3" s="1"/>
  <c r="C700" i="3"/>
  <c r="E700" i="3" s="1"/>
  <c r="F700" i="3" s="1"/>
  <c r="C701" i="3"/>
  <c r="E701" i="3" s="1"/>
  <c r="C702" i="3"/>
  <c r="E702" i="3" s="1"/>
  <c r="C703" i="3"/>
  <c r="E703" i="3" s="1"/>
  <c r="C704" i="3"/>
  <c r="E704" i="3" s="1"/>
  <c r="C705" i="3"/>
  <c r="E705" i="3" s="1"/>
  <c r="C706" i="3"/>
  <c r="E706" i="3" s="1"/>
  <c r="C707" i="3"/>
  <c r="E707" i="3" s="1"/>
  <c r="C708" i="3"/>
  <c r="E708" i="3" s="1"/>
  <c r="C709" i="3"/>
  <c r="E709" i="3" s="1"/>
  <c r="C710" i="3"/>
  <c r="E710" i="3" s="1"/>
  <c r="C711" i="3"/>
  <c r="E711" i="3" s="1"/>
  <c r="C712" i="3"/>
  <c r="E712" i="3" s="1"/>
  <c r="C713" i="3"/>
  <c r="E713" i="3" s="1"/>
  <c r="C714" i="3"/>
  <c r="E714" i="3" s="1"/>
  <c r="C715" i="3"/>
  <c r="E715" i="3" s="1"/>
  <c r="C716" i="3"/>
  <c r="E716" i="3" s="1"/>
  <c r="C717" i="3"/>
  <c r="E717" i="3" s="1"/>
  <c r="C718" i="3"/>
  <c r="E718" i="3" s="1"/>
  <c r="C719" i="3"/>
  <c r="E719" i="3" s="1"/>
  <c r="C720" i="3"/>
  <c r="E720" i="3" s="1"/>
  <c r="C721" i="3"/>
  <c r="E721" i="3" s="1"/>
  <c r="C722" i="3"/>
  <c r="E722" i="3" s="1"/>
  <c r="C723" i="3"/>
  <c r="E723" i="3" s="1"/>
  <c r="C724" i="3"/>
  <c r="E724" i="3" s="1"/>
  <c r="C725" i="3"/>
  <c r="E725" i="3" s="1"/>
  <c r="C726" i="3"/>
  <c r="E726" i="3" s="1"/>
  <c r="C727" i="3"/>
  <c r="E727" i="3" s="1"/>
  <c r="C728" i="3"/>
  <c r="E728" i="3" s="1"/>
  <c r="C729" i="3"/>
  <c r="E729" i="3" s="1"/>
  <c r="C730" i="3"/>
  <c r="E730" i="3" s="1"/>
  <c r="C731" i="3"/>
  <c r="E731" i="3" s="1"/>
  <c r="C732" i="3"/>
  <c r="E732" i="3" s="1"/>
  <c r="C733" i="3"/>
  <c r="E733" i="3" s="1"/>
  <c r="C734" i="3"/>
  <c r="E734" i="3" s="1"/>
  <c r="C735" i="3"/>
  <c r="E735" i="3" s="1"/>
  <c r="C736" i="3"/>
  <c r="E736" i="3" s="1"/>
  <c r="F736" i="3" s="1"/>
  <c r="C737" i="3"/>
  <c r="E737" i="3" s="1"/>
  <c r="C738" i="3"/>
  <c r="E738" i="3" s="1"/>
  <c r="C739" i="3"/>
  <c r="E739" i="3" s="1"/>
  <c r="C740" i="3"/>
  <c r="E740" i="3" s="1"/>
  <c r="C741" i="3"/>
  <c r="E741" i="3" s="1"/>
  <c r="C742" i="3"/>
  <c r="E742" i="3" s="1"/>
  <c r="C743" i="3"/>
  <c r="E743" i="3" s="1"/>
  <c r="C744" i="3"/>
  <c r="E744" i="3" s="1"/>
  <c r="C745" i="3"/>
  <c r="E745" i="3" s="1"/>
  <c r="F745" i="3" s="1"/>
  <c r="C746" i="3"/>
  <c r="E746" i="3" s="1"/>
  <c r="C747" i="3"/>
  <c r="E747" i="3" s="1"/>
  <c r="C748" i="3"/>
  <c r="E748" i="3" s="1"/>
  <c r="C749" i="3"/>
  <c r="E749" i="3" s="1"/>
  <c r="C750" i="3"/>
  <c r="E750" i="3" s="1"/>
  <c r="C751" i="3"/>
  <c r="E751" i="3" s="1"/>
  <c r="C752" i="3"/>
  <c r="E752" i="3" s="1"/>
  <c r="C753" i="3"/>
  <c r="E753" i="3" s="1"/>
  <c r="C754" i="3"/>
  <c r="E754" i="3" s="1"/>
  <c r="C755" i="3"/>
  <c r="E755" i="3" s="1"/>
  <c r="C756" i="3"/>
  <c r="E756" i="3" s="1"/>
  <c r="C757" i="3"/>
  <c r="E757" i="3" s="1"/>
  <c r="C758" i="3"/>
  <c r="E758" i="3" s="1"/>
  <c r="C759" i="3"/>
  <c r="E759" i="3" s="1"/>
  <c r="C760" i="3"/>
  <c r="E760" i="3" s="1"/>
  <c r="C761" i="3"/>
  <c r="E761" i="3" s="1"/>
  <c r="C762" i="3"/>
  <c r="E762" i="3" s="1"/>
  <c r="C763" i="3"/>
  <c r="E763" i="3" s="1"/>
  <c r="F763" i="3" s="1"/>
  <c r="C764" i="3"/>
  <c r="E764" i="3" s="1"/>
  <c r="C765" i="3"/>
  <c r="E765" i="3" s="1"/>
  <c r="C766" i="3"/>
  <c r="E766" i="3" s="1"/>
  <c r="C767" i="3"/>
  <c r="E767" i="3" s="1"/>
  <c r="C768" i="3"/>
  <c r="E768" i="3" s="1"/>
  <c r="C769" i="3"/>
  <c r="E769" i="3" s="1"/>
  <c r="C770" i="3"/>
  <c r="E770" i="3" s="1"/>
  <c r="C771" i="3"/>
  <c r="E771" i="3" s="1"/>
  <c r="C772" i="3"/>
  <c r="E772" i="3" s="1"/>
  <c r="F772" i="3" s="1"/>
  <c r="C773" i="3"/>
  <c r="E773" i="3" s="1"/>
  <c r="C774" i="3"/>
  <c r="E774" i="3" s="1"/>
  <c r="C775" i="3"/>
  <c r="E775" i="3" s="1"/>
  <c r="C776" i="3"/>
  <c r="E776" i="3" s="1"/>
  <c r="C777" i="3"/>
  <c r="E777" i="3" s="1"/>
  <c r="C778" i="3"/>
  <c r="E778" i="3" s="1"/>
  <c r="C779" i="3"/>
  <c r="E779" i="3" s="1"/>
  <c r="C780" i="3"/>
  <c r="E780" i="3" s="1"/>
  <c r="C781" i="3"/>
  <c r="E781" i="3" s="1"/>
  <c r="F781" i="3" s="1"/>
  <c r="C782" i="3"/>
  <c r="E782" i="3" s="1"/>
  <c r="C783" i="3"/>
  <c r="E783" i="3" s="1"/>
  <c r="C784" i="3"/>
  <c r="E784" i="3" s="1"/>
  <c r="C785" i="3"/>
  <c r="E785" i="3" s="1"/>
  <c r="C786" i="3"/>
  <c r="E786" i="3" s="1"/>
  <c r="C787" i="3"/>
  <c r="E787" i="3" s="1"/>
  <c r="C788" i="3"/>
  <c r="E788" i="3" s="1"/>
  <c r="C789" i="3"/>
  <c r="E789" i="3" s="1"/>
  <c r="C790" i="3"/>
  <c r="E790" i="3" s="1"/>
  <c r="F790" i="3" s="1"/>
  <c r="C791" i="3"/>
  <c r="E791" i="3" s="1"/>
  <c r="C792" i="3"/>
  <c r="E792" i="3" s="1"/>
  <c r="C793" i="3"/>
  <c r="E793" i="3" s="1"/>
  <c r="C794" i="3"/>
  <c r="E794" i="3" s="1"/>
  <c r="C795" i="3"/>
  <c r="E795" i="3" s="1"/>
  <c r="C796" i="3"/>
  <c r="E796" i="3" s="1"/>
  <c r="C797" i="3"/>
  <c r="E797" i="3" s="1"/>
  <c r="C798" i="3"/>
  <c r="E798" i="3" s="1"/>
  <c r="C799" i="3"/>
  <c r="E799" i="3" s="1"/>
  <c r="C800" i="3"/>
  <c r="E800" i="3" s="1"/>
  <c r="C801" i="3"/>
  <c r="E801" i="3" s="1"/>
  <c r="C802" i="3"/>
  <c r="E802" i="3" s="1"/>
  <c r="C803" i="3"/>
  <c r="E803" i="3" s="1"/>
  <c r="C804" i="3"/>
  <c r="E804" i="3" s="1"/>
  <c r="C805" i="3"/>
  <c r="E805" i="3" s="1"/>
  <c r="C806" i="3"/>
  <c r="E806" i="3" s="1"/>
  <c r="C807" i="3"/>
  <c r="E807" i="3" s="1"/>
  <c r="C808" i="3"/>
  <c r="E808" i="3" s="1"/>
  <c r="F808" i="3" s="1"/>
  <c r="C809" i="3"/>
  <c r="E809" i="3" s="1"/>
  <c r="C810" i="3"/>
  <c r="E810" i="3" s="1"/>
  <c r="C811" i="3"/>
  <c r="E811" i="3" s="1"/>
  <c r="C812" i="3"/>
  <c r="E812" i="3" s="1"/>
  <c r="C813" i="3"/>
  <c r="E813" i="3" s="1"/>
  <c r="C814" i="3"/>
  <c r="E814" i="3" s="1"/>
  <c r="C815" i="3"/>
  <c r="E815" i="3" s="1"/>
  <c r="C816" i="3"/>
  <c r="E816" i="3" s="1"/>
  <c r="C817" i="3"/>
  <c r="E817" i="3" s="1"/>
  <c r="F817" i="3" s="1"/>
  <c r="C818" i="3"/>
  <c r="E818" i="3" s="1"/>
  <c r="C819" i="3"/>
  <c r="E819" i="3" s="1"/>
  <c r="C820" i="3"/>
  <c r="E820" i="3" s="1"/>
  <c r="C821" i="3"/>
  <c r="E821" i="3" s="1"/>
  <c r="C822" i="3"/>
  <c r="E822" i="3" s="1"/>
  <c r="C823" i="3"/>
  <c r="E823" i="3" s="1"/>
  <c r="C824" i="3"/>
  <c r="E824" i="3" s="1"/>
  <c r="C825" i="3"/>
  <c r="E825" i="3" s="1"/>
  <c r="C826" i="3"/>
  <c r="E826" i="3" s="1"/>
  <c r="F826" i="3" s="1"/>
  <c r="C827" i="3"/>
  <c r="E827" i="3" s="1"/>
  <c r="C828" i="3"/>
  <c r="E828" i="3" s="1"/>
  <c r="C829" i="3"/>
  <c r="E829" i="3" s="1"/>
  <c r="C830" i="3"/>
  <c r="E830" i="3" s="1"/>
  <c r="C831" i="3"/>
  <c r="E831" i="3" s="1"/>
  <c r="C832" i="3"/>
  <c r="E832" i="3" s="1"/>
  <c r="C833" i="3"/>
  <c r="E833" i="3" s="1"/>
  <c r="C834" i="3"/>
  <c r="E834" i="3" s="1"/>
  <c r="C835" i="3"/>
  <c r="E835" i="3" s="1"/>
  <c r="F835" i="3" s="1"/>
  <c r="C836" i="3"/>
  <c r="E836" i="3" s="1"/>
  <c r="C837" i="3"/>
  <c r="E837" i="3" s="1"/>
  <c r="C838" i="3"/>
  <c r="E838" i="3" s="1"/>
  <c r="C839" i="3"/>
  <c r="E839" i="3" s="1"/>
  <c r="C840" i="3"/>
  <c r="E840" i="3" s="1"/>
  <c r="C841" i="3"/>
  <c r="E841" i="3" s="1"/>
  <c r="C842" i="3"/>
  <c r="E842" i="3" s="1"/>
  <c r="H785" i="3" l="1"/>
  <c r="G785" i="3"/>
  <c r="F785" i="3"/>
  <c r="I785" i="3"/>
  <c r="I777" i="3"/>
  <c r="H777" i="3"/>
  <c r="G777" i="3"/>
  <c r="F777" i="3"/>
  <c r="H769" i="3"/>
  <c r="G769" i="3"/>
  <c r="F769" i="3"/>
  <c r="I769" i="3"/>
  <c r="I761" i="3"/>
  <c r="H761" i="3"/>
  <c r="G761" i="3"/>
  <c r="F761" i="3"/>
  <c r="I840" i="3"/>
  <c r="H840" i="3"/>
  <c r="G840" i="3"/>
  <c r="F840" i="3"/>
  <c r="H832" i="3"/>
  <c r="G832" i="3"/>
  <c r="F832" i="3"/>
  <c r="I832" i="3"/>
  <c r="I824" i="3"/>
  <c r="H824" i="3"/>
  <c r="G824" i="3"/>
  <c r="F824" i="3"/>
  <c r="H817" i="3"/>
  <c r="G817" i="3"/>
  <c r="I817" i="3"/>
  <c r="H568" i="3"/>
  <c r="G568" i="3"/>
  <c r="F568" i="3"/>
  <c r="I568" i="3"/>
  <c r="G560" i="3"/>
  <c r="F560" i="3"/>
  <c r="I560" i="3"/>
  <c r="H560" i="3"/>
  <c r="H552" i="3"/>
  <c r="G552" i="3"/>
  <c r="F552" i="3"/>
  <c r="I552" i="3"/>
  <c r="G544" i="3"/>
  <c r="F544" i="3"/>
  <c r="I544" i="3"/>
  <c r="H544" i="3"/>
  <c r="G536" i="3"/>
  <c r="F536" i="3"/>
  <c r="I536" i="3"/>
  <c r="H536" i="3"/>
  <c r="G529" i="3"/>
  <c r="I529" i="3"/>
  <c r="H529" i="3"/>
  <c r="F424" i="3"/>
  <c r="I424" i="3"/>
  <c r="H424" i="3"/>
  <c r="G424" i="3"/>
  <c r="I416" i="3"/>
  <c r="H416" i="3"/>
  <c r="G416" i="3"/>
  <c r="F416" i="3"/>
  <c r="F408" i="3"/>
  <c r="I408" i="3"/>
  <c r="H408" i="3"/>
  <c r="G408" i="3"/>
  <c r="I400" i="3"/>
  <c r="H400" i="3"/>
  <c r="G400" i="3"/>
  <c r="F400" i="3"/>
  <c r="F392" i="3"/>
  <c r="I392" i="3"/>
  <c r="H392" i="3"/>
  <c r="G392" i="3"/>
  <c r="I385" i="3"/>
  <c r="H385" i="3"/>
  <c r="G385" i="3"/>
  <c r="F352" i="3"/>
  <c r="I352" i="3"/>
  <c r="H352" i="3"/>
  <c r="G352" i="3"/>
  <c r="I344" i="3"/>
  <c r="H344" i="3"/>
  <c r="G344" i="3"/>
  <c r="F344" i="3"/>
  <c r="H839" i="3"/>
  <c r="G839" i="3"/>
  <c r="F839" i="3"/>
  <c r="I839" i="3"/>
  <c r="I831" i="3"/>
  <c r="H831" i="3"/>
  <c r="G831" i="3"/>
  <c r="F831" i="3"/>
  <c r="H823" i="3"/>
  <c r="G823" i="3"/>
  <c r="F823" i="3"/>
  <c r="I823" i="3"/>
  <c r="I815" i="3"/>
  <c r="H815" i="3"/>
  <c r="G815" i="3"/>
  <c r="F815" i="3"/>
  <c r="H808" i="3"/>
  <c r="G808" i="3"/>
  <c r="I808" i="3"/>
  <c r="I775" i="3"/>
  <c r="H775" i="3"/>
  <c r="G775" i="3"/>
  <c r="F775" i="3"/>
  <c r="H767" i="3"/>
  <c r="G767" i="3"/>
  <c r="F767" i="3"/>
  <c r="I767" i="3"/>
  <c r="I759" i="3"/>
  <c r="H759" i="3"/>
  <c r="G759" i="3"/>
  <c r="F759" i="3"/>
  <c r="I743" i="3"/>
  <c r="H743" i="3"/>
  <c r="G743" i="3"/>
  <c r="F743" i="3"/>
  <c r="H736" i="3"/>
  <c r="G736" i="3"/>
  <c r="I736" i="3"/>
  <c r="H695" i="3"/>
  <c r="G695" i="3"/>
  <c r="F695" i="3"/>
  <c r="I695" i="3"/>
  <c r="I687" i="3"/>
  <c r="H687" i="3"/>
  <c r="G687" i="3"/>
  <c r="F687" i="3"/>
  <c r="H679" i="3"/>
  <c r="G679" i="3"/>
  <c r="F679" i="3"/>
  <c r="I679" i="3"/>
  <c r="I671" i="3"/>
  <c r="H671" i="3"/>
  <c r="G671" i="3"/>
  <c r="F671" i="3"/>
  <c r="H664" i="3"/>
  <c r="G664" i="3"/>
  <c r="I664" i="3"/>
  <c r="I631" i="3"/>
  <c r="H631" i="3"/>
  <c r="G631" i="3"/>
  <c r="F631" i="3"/>
  <c r="H623" i="3"/>
  <c r="G623" i="3"/>
  <c r="F623" i="3"/>
  <c r="I623" i="3"/>
  <c r="I615" i="3"/>
  <c r="H615" i="3"/>
  <c r="G615" i="3"/>
  <c r="F615" i="3"/>
  <c r="H607" i="3"/>
  <c r="G607" i="3"/>
  <c r="F607" i="3"/>
  <c r="I607" i="3"/>
  <c r="I599" i="3"/>
  <c r="H599" i="3"/>
  <c r="G599" i="3"/>
  <c r="F599" i="3"/>
  <c r="H592" i="3"/>
  <c r="G592" i="3"/>
  <c r="I592" i="3"/>
  <c r="H559" i="3"/>
  <c r="G559" i="3"/>
  <c r="F559" i="3"/>
  <c r="I559" i="3"/>
  <c r="G551" i="3"/>
  <c r="F551" i="3"/>
  <c r="I551" i="3"/>
  <c r="H551" i="3"/>
  <c r="H543" i="3"/>
  <c r="G543" i="3"/>
  <c r="F543" i="3"/>
  <c r="I543" i="3"/>
  <c r="G535" i="3"/>
  <c r="F535" i="3"/>
  <c r="I535" i="3"/>
  <c r="H535" i="3"/>
  <c r="F527" i="3"/>
  <c r="G527" i="3"/>
  <c r="I527" i="3"/>
  <c r="H527" i="3"/>
  <c r="I520" i="3"/>
  <c r="H520" i="3"/>
  <c r="G520" i="3"/>
  <c r="F487" i="3"/>
  <c r="I487" i="3"/>
  <c r="H487" i="3"/>
  <c r="G487" i="3"/>
  <c r="I479" i="3"/>
  <c r="H479" i="3"/>
  <c r="G479" i="3"/>
  <c r="F479" i="3"/>
  <c r="F471" i="3"/>
  <c r="I471" i="3"/>
  <c r="H471" i="3"/>
  <c r="G471" i="3"/>
  <c r="I463" i="3"/>
  <c r="H463" i="3"/>
  <c r="G463" i="3"/>
  <c r="F463" i="3"/>
  <c r="F455" i="3"/>
  <c r="I455" i="3"/>
  <c r="H455" i="3"/>
  <c r="G455" i="3"/>
  <c r="I448" i="3"/>
  <c r="H448" i="3"/>
  <c r="G448" i="3"/>
  <c r="F415" i="3"/>
  <c r="I415" i="3"/>
  <c r="H415" i="3"/>
  <c r="G415" i="3"/>
  <c r="I407" i="3"/>
  <c r="H407" i="3"/>
  <c r="G407" i="3"/>
  <c r="F407" i="3"/>
  <c r="F399" i="3"/>
  <c r="I399" i="3"/>
  <c r="H399" i="3"/>
  <c r="G399" i="3"/>
  <c r="I391" i="3"/>
  <c r="H391" i="3"/>
  <c r="G391" i="3"/>
  <c r="F391" i="3"/>
  <c r="F383" i="3"/>
  <c r="I383" i="3"/>
  <c r="H383" i="3"/>
  <c r="G383" i="3"/>
  <c r="I376" i="3"/>
  <c r="H376" i="3"/>
  <c r="G376" i="3"/>
  <c r="F343" i="3"/>
  <c r="I343" i="3"/>
  <c r="H343" i="3"/>
  <c r="G343" i="3"/>
  <c r="I335" i="3"/>
  <c r="H335" i="3"/>
  <c r="G335" i="3"/>
  <c r="F335" i="3"/>
  <c r="I327" i="3"/>
  <c r="H327" i="3"/>
  <c r="G327" i="3"/>
  <c r="F327" i="3"/>
  <c r="I319" i="3"/>
  <c r="H319" i="3"/>
  <c r="G319" i="3"/>
  <c r="F319" i="3"/>
  <c r="F311" i="3"/>
  <c r="I311" i="3"/>
  <c r="H311" i="3"/>
  <c r="G311" i="3"/>
  <c r="I304" i="3"/>
  <c r="H304" i="3"/>
  <c r="G304" i="3"/>
  <c r="F271" i="3"/>
  <c r="I271" i="3"/>
  <c r="H271" i="3"/>
  <c r="G271" i="3"/>
  <c r="I263" i="3"/>
  <c r="H263" i="3"/>
  <c r="G263" i="3"/>
  <c r="F263" i="3"/>
  <c r="F255" i="3"/>
  <c r="I255" i="3"/>
  <c r="H255" i="3"/>
  <c r="G255" i="3"/>
  <c r="I247" i="3"/>
  <c r="H247" i="3"/>
  <c r="G247" i="3"/>
  <c r="F247" i="3"/>
  <c r="F239" i="3"/>
  <c r="I239" i="3"/>
  <c r="H239" i="3"/>
  <c r="G239" i="3"/>
  <c r="I232" i="3"/>
  <c r="H232" i="3"/>
  <c r="G232" i="3"/>
  <c r="F199" i="3"/>
  <c r="I199" i="3"/>
  <c r="H199" i="3"/>
  <c r="G199" i="3"/>
  <c r="I191" i="3"/>
  <c r="H191" i="3"/>
  <c r="G191" i="3"/>
  <c r="F191" i="3"/>
  <c r="F183" i="3"/>
  <c r="I183" i="3"/>
  <c r="H183" i="3"/>
  <c r="G183" i="3"/>
  <c r="I175" i="3"/>
  <c r="H175" i="3"/>
  <c r="G175" i="3"/>
  <c r="F175" i="3"/>
  <c r="F167" i="3"/>
  <c r="I167" i="3"/>
  <c r="H167" i="3"/>
  <c r="G167" i="3"/>
  <c r="I160" i="3"/>
  <c r="H160" i="3"/>
  <c r="G160" i="3"/>
  <c r="F127" i="3"/>
  <c r="I127" i="3"/>
  <c r="H127" i="3"/>
  <c r="G127" i="3"/>
  <c r="I119" i="3"/>
  <c r="H119" i="3"/>
  <c r="G119" i="3"/>
  <c r="F119" i="3"/>
  <c r="F111" i="3"/>
  <c r="I111" i="3"/>
  <c r="H111" i="3"/>
  <c r="G111" i="3"/>
  <c r="I103" i="3"/>
  <c r="H103" i="3"/>
  <c r="G103" i="3"/>
  <c r="F103" i="3"/>
  <c r="I95" i="3"/>
  <c r="H95" i="3"/>
  <c r="G95" i="3"/>
  <c r="F95" i="3"/>
  <c r="I88" i="3"/>
  <c r="H88" i="3"/>
  <c r="G88" i="3"/>
  <c r="I55" i="3"/>
  <c r="H55" i="3"/>
  <c r="G55" i="3"/>
  <c r="F55" i="3"/>
  <c r="I47" i="3"/>
  <c r="H47" i="3"/>
  <c r="G47" i="3"/>
  <c r="F47" i="3"/>
  <c r="I39" i="3"/>
  <c r="H39" i="3"/>
  <c r="G39" i="3"/>
  <c r="F39" i="3"/>
  <c r="I31" i="3"/>
  <c r="H31" i="3"/>
  <c r="G31" i="3"/>
  <c r="F31" i="3"/>
  <c r="I23" i="3"/>
  <c r="H23" i="3"/>
  <c r="G23" i="3"/>
  <c r="F23" i="3"/>
  <c r="I16" i="3"/>
  <c r="H16" i="3"/>
  <c r="G16" i="3"/>
  <c r="I842" i="3"/>
  <c r="H842" i="3"/>
  <c r="G842" i="3"/>
  <c r="F842" i="3"/>
  <c r="H835" i="3"/>
  <c r="G835" i="3"/>
  <c r="I835" i="3"/>
  <c r="H841" i="3"/>
  <c r="G841" i="3"/>
  <c r="F841" i="3"/>
  <c r="I841" i="3"/>
  <c r="I833" i="3"/>
  <c r="H833" i="3"/>
  <c r="G833" i="3"/>
  <c r="F833" i="3"/>
  <c r="H826" i="3"/>
  <c r="G826" i="3"/>
  <c r="I826" i="3"/>
  <c r="H632" i="3"/>
  <c r="G632" i="3"/>
  <c r="F632" i="3"/>
  <c r="I632" i="3"/>
  <c r="I624" i="3"/>
  <c r="H624" i="3"/>
  <c r="G624" i="3"/>
  <c r="F624" i="3"/>
  <c r="I608" i="3"/>
  <c r="H608" i="3"/>
  <c r="G608" i="3"/>
  <c r="F608" i="3"/>
  <c r="H601" i="3"/>
  <c r="G601" i="3"/>
  <c r="I601" i="3"/>
  <c r="F496" i="3"/>
  <c r="I496" i="3"/>
  <c r="H496" i="3"/>
  <c r="G496" i="3"/>
  <c r="I488" i="3"/>
  <c r="H488" i="3"/>
  <c r="G488" i="3"/>
  <c r="F488" i="3"/>
  <c r="F480" i="3"/>
  <c r="I480" i="3"/>
  <c r="H480" i="3"/>
  <c r="G480" i="3"/>
  <c r="I472" i="3"/>
  <c r="H472" i="3"/>
  <c r="G472" i="3"/>
  <c r="F472" i="3"/>
  <c r="F464" i="3"/>
  <c r="I464" i="3"/>
  <c r="H464" i="3"/>
  <c r="G464" i="3"/>
  <c r="I457" i="3"/>
  <c r="H457" i="3"/>
  <c r="G457" i="3"/>
  <c r="I838" i="3"/>
  <c r="H838" i="3"/>
  <c r="G838" i="3"/>
  <c r="F838" i="3"/>
  <c r="H830" i="3"/>
  <c r="G830" i="3"/>
  <c r="F830" i="3"/>
  <c r="I830" i="3"/>
  <c r="I822" i="3"/>
  <c r="H822" i="3"/>
  <c r="G822" i="3"/>
  <c r="F822" i="3"/>
  <c r="H814" i="3"/>
  <c r="G814" i="3"/>
  <c r="F814" i="3"/>
  <c r="I814" i="3"/>
  <c r="I806" i="3"/>
  <c r="H806" i="3"/>
  <c r="G806" i="3"/>
  <c r="F806" i="3"/>
  <c r="I766" i="3"/>
  <c r="H766" i="3"/>
  <c r="G766" i="3"/>
  <c r="F766" i="3"/>
  <c r="H758" i="3"/>
  <c r="G758" i="3"/>
  <c r="F758" i="3"/>
  <c r="I758" i="3"/>
  <c r="H742" i="3"/>
  <c r="G742" i="3"/>
  <c r="F742" i="3"/>
  <c r="I742" i="3"/>
  <c r="I734" i="3"/>
  <c r="H734" i="3"/>
  <c r="G734" i="3"/>
  <c r="F734" i="3"/>
  <c r="I694" i="3"/>
  <c r="H694" i="3"/>
  <c r="G694" i="3"/>
  <c r="F694" i="3"/>
  <c r="H686" i="3"/>
  <c r="G686" i="3"/>
  <c r="F686" i="3"/>
  <c r="I686" i="3"/>
  <c r="I678" i="3"/>
  <c r="H678" i="3"/>
  <c r="G678" i="3"/>
  <c r="F678" i="3"/>
  <c r="H670" i="3"/>
  <c r="G670" i="3"/>
  <c r="F670" i="3"/>
  <c r="I670" i="3"/>
  <c r="I662" i="3"/>
  <c r="H662" i="3"/>
  <c r="G662" i="3"/>
  <c r="F662" i="3"/>
  <c r="I622" i="3"/>
  <c r="H622" i="3"/>
  <c r="G622" i="3"/>
  <c r="F622" i="3"/>
  <c r="H614" i="3"/>
  <c r="G614" i="3"/>
  <c r="F614" i="3"/>
  <c r="I614" i="3"/>
  <c r="I606" i="3"/>
  <c r="H606" i="3"/>
  <c r="G606" i="3"/>
  <c r="F606" i="3"/>
  <c r="H598" i="3"/>
  <c r="G598" i="3"/>
  <c r="F598" i="3"/>
  <c r="I598" i="3"/>
  <c r="I590" i="3"/>
  <c r="H590" i="3"/>
  <c r="G590" i="3"/>
  <c r="F590" i="3"/>
  <c r="G583" i="3"/>
  <c r="I583" i="3"/>
  <c r="H583" i="3"/>
  <c r="H550" i="3"/>
  <c r="G550" i="3"/>
  <c r="F550" i="3"/>
  <c r="I550" i="3"/>
  <c r="G542" i="3"/>
  <c r="F542" i="3"/>
  <c r="I542" i="3"/>
  <c r="H542" i="3"/>
  <c r="G534" i="3"/>
  <c r="F534" i="3"/>
  <c r="I534" i="3"/>
  <c r="H534" i="3"/>
  <c r="I526" i="3"/>
  <c r="H526" i="3"/>
  <c r="G526" i="3"/>
  <c r="F526" i="3"/>
  <c r="F518" i="3"/>
  <c r="I518" i="3"/>
  <c r="H518" i="3"/>
  <c r="G518" i="3"/>
  <c r="I511" i="3"/>
  <c r="H511" i="3"/>
  <c r="G511" i="3"/>
  <c r="F478" i="3"/>
  <c r="I478" i="3"/>
  <c r="H478" i="3"/>
  <c r="G478" i="3"/>
  <c r="I470" i="3"/>
  <c r="H470" i="3"/>
  <c r="G470" i="3"/>
  <c r="F470" i="3"/>
  <c r="F462" i="3"/>
  <c r="I462" i="3"/>
  <c r="H462" i="3"/>
  <c r="G462" i="3"/>
  <c r="I454" i="3"/>
  <c r="H454" i="3"/>
  <c r="G454" i="3"/>
  <c r="F454" i="3"/>
  <c r="F446" i="3"/>
  <c r="I446" i="3"/>
  <c r="H446" i="3"/>
  <c r="G446" i="3"/>
  <c r="I439" i="3"/>
  <c r="H439" i="3"/>
  <c r="G439" i="3"/>
  <c r="F406" i="3"/>
  <c r="I406" i="3"/>
  <c r="H406" i="3"/>
  <c r="G406" i="3"/>
  <c r="I398" i="3"/>
  <c r="H398" i="3"/>
  <c r="G398" i="3"/>
  <c r="F398" i="3"/>
  <c r="F390" i="3"/>
  <c r="I390" i="3"/>
  <c r="H390" i="3"/>
  <c r="G390" i="3"/>
  <c r="I382" i="3"/>
  <c r="H382" i="3"/>
  <c r="G382" i="3"/>
  <c r="F382" i="3"/>
  <c r="F374" i="3"/>
  <c r="I374" i="3"/>
  <c r="H374" i="3"/>
  <c r="G374" i="3"/>
  <c r="I367" i="3"/>
  <c r="H367" i="3"/>
  <c r="G367" i="3"/>
  <c r="F334" i="3"/>
  <c r="I334" i="3"/>
  <c r="H334" i="3"/>
  <c r="G334" i="3"/>
  <c r="F326" i="3"/>
  <c r="H326" i="3"/>
  <c r="G326" i="3"/>
  <c r="I326" i="3"/>
  <c r="F318" i="3"/>
  <c r="I318" i="3"/>
  <c r="H318" i="3"/>
  <c r="G318" i="3"/>
  <c r="I310" i="3"/>
  <c r="H310" i="3"/>
  <c r="G310" i="3"/>
  <c r="F310" i="3"/>
  <c r="F302" i="3"/>
  <c r="I302" i="3"/>
  <c r="H302" i="3"/>
  <c r="G302" i="3"/>
  <c r="I295" i="3"/>
  <c r="H295" i="3"/>
  <c r="G295" i="3"/>
  <c r="F262" i="3"/>
  <c r="I262" i="3"/>
  <c r="H262" i="3"/>
  <c r="G262" i="3"/>
  <c r="I254" i="3"/>
  <c r="H254" i="3"/>
  <c r="G254" i="3"/>
  <c r="F254" i="3"/>
  <c r="F246" i="3"/>
  <c r="I246" i="3"/>
  <c r="H246" i="3"/>
  <c r="G246" i="3"/>
  <c r="I238" i="3"/>
  <c r="H238" i="3"/>
  <c r="G238" i="3"/>
  <c r="F238" i="3"/>
  <c r="F230" i="3"/>
  <c r="I230" i="3"/>
  <c r="H230" i="3"/>
  <c r="G230" i="3"/>
  <c r="I223" i="3"/>
  <c r="H223" i="3"/>
  <c r="G223" i="3"/>
  <c r="F190" i="3"/>
  <c r="I190" i="3"/>
  <c r="H190" i="3"/>
  <c r="G190" i="3"/>
  <c r="I182" i="3"/>
  <c r="H182" i="3"/>
  <c r="G182" i="3"/>
  <c r="F182" i="3"/>
  <c r="F174" i="3"/>
  <c r="I174" i="3"/>
  <c r="H174" i="3"/>
  <c r="G174" i="3"/>
  <c r="I166" i="3"/>
  <c r="H166" i="3"/>
  <c r="G166" i="3"/>
  <c r="F166" i="3"/>
  <c r="F158" i="3"/>
  <c r="I158" i="3"/>
  <c r="H158" i="3"/>
  <c r="G158" i="3"/>
  <c r="I151" i="3"/>
  <c r="H151" i="3"/>
  <c r="G151" i="3"/>
  <c r="F118" i="3"/>
  <c r="I118" i="3"/>
  <c r="H118" i="3"/>
  <c r="G118" i="3"/>
  <c r="H110" i="3"/>
  <c r="G110" i="3"/>
  <c r="I110" i="3"/>
  <c r="F110" i="3"/>
  <c r="I102" i="3"/>
  <c r="H102" i="3"/>
  <c r="G102" i="3"/>
  <c r="F102" i="3"/>
  <c r="I94" i="3"/>
  <c r="F94" i="3"/>
  <c r="H94" i="3"/>
  <c r="G94" i="3"/>
  <c r="I86" i="3"/>
  <c r="H86" i="3"/>
  <c r="G86" i="3"/>
  <c r="F86" i="3"/>
  <c r="H79" i="3"/>
  <c r="G79" i="3"/>
  <c r="I79" i="3"/>
  <c r="I46" i="3"/>
  <c r="H46" i="3"/>
  <c r="G46" i="3"/>
  <c r="F46" i="3"/>
  <c r="I38" i="3"/>
  <c r="H38" i="3"/>
  <c r="F38" i="3"/>
  <c r="G38" i="3"/>
  <c r="I30" i="3"/>
  <c r="H30" i="3"/>
  <c r="G30" i="3"/>
  <c r="F30" i="3"/>
  <c r="I22" i="3"/>
  <c r="F22" i="3"/>
  <c r="H22" i="3"/>
  <c r="G22" i="3"/>
  <c r="F14" i="3"/>
  <c r="H14" i="3"/>
  <c r="I14" i="3"/>
  <c r="G14" i="3"/>
  <c r="I696" i="3"/>
  <c r="H696" i="3"/>
  <c r="G696" i="3"/>
  <c r="F696" i="3"/>
  <c r="H688" i="3"/>
  <c r="G688" i="3"/>
  <c r="F688" i="3"/>
  <c r="I688" i="3"/>
  <c r="I680" i="3"/>
  <c r="H680" i="3"/>
  <c r="G680" i="3"/>
  <c r="F680" i="3"/>
  <c r="H673" i="3"/>
  <c r="G673" i="3"/>
  <c r="I673" i="3"/>
  <c r="H616" i="3"/>
  <c r="G616" i="3"/>
  <c r="F616" i="3"/>
  <c r="I616" i="3"/>
  <c r="I829" i="3"/>
  <c r="H829" i="3"/>
  <c r="G829" i="3"/>
  <c r="F829" i="3"/>
  <c r="H821" i="3"/>
  <c r="G821" i="3"/>
  <c r="F821" i="3"/>
  <c r="I821" i="3"/>
  <c r="I813" i="3"/>
  <c r="H813" i="3"/>
  <c r="G813" i="3"/>
  <c r="F813" i="3"/>
  <c r="H805" i="3"/>
  <c r="G805" i="3"/>
  <c r="F805" i="3"/>
  <c r="I805" i="3"/>
  <c r="H790" i="3"/>
  <c r="G790" i="3"/>
  <c r="I790" i="3"/>
  <c r="I757" i="3"/>
  <c r="H757" i="3"/>
  <c r="G757" i="3"/>
  <c r="F757" i="3"/>
  <c r="I741" i="3"/>
  <c r="H741" i="3"/>
  <c r="G741" i="3"/>
  <c r="F741" i="3"/>
  <c r="H733" i="3"/>
  <c r="G733" i="3"/>
  <c r="F733" i="3"/>
  <c r="I733" i="3"/>
  <c r="I685" i="3"/>
  <c r="H685" i="3"/>
  <c r="G685" i="3"/>
  <c r="F685" i="3"/>
  <c r="H677" i="3"/>
  <c r="G677" i="3"/>
  <c r="F677" i="3"/>
  <c r="I677" i="3"/>
  <c r="I669" i="3"/>
  <c r="H669" i="3"/>
  <c r="G669" i="3"/>
  <c r="F669" i="3"/>
  <c r="H661" i="3"/>
  <c r="G661" i="3"/>
  <c r="F661" i="3"/>
  <c r="I661" i="3"/>
  <c r="I613" i="3"/>
  <c r="H613" i="3"/>
  <c r="G613" i="3"/>
  <c r="F613" i="3"/>
  <c r="H605" i="3"/>
  <c r="G605" i="3"/>
  <c r="F605" i="3"/>
  <c r="I605" i="3"/>
  <c r="I597" i="3"/>
  <c r="H597" i="3"/>
  <c r="G597" i="3"/>
  <c r="F597" i="3"/>
  <c r="H589" i="3"/>
  <c r="G589" i="3"/>
  <c r="F589" i="3"/>
  <c r="I589" i="3"/>
  <c r="H581" i="3"/>
  <c r="G581" i="3"/>
  <c r="F581" i="3"/>
  <c r="I581" i="3"/>
  <c r="G574" i="3"/>
  <c r="I574" i="3"/>
  <c r="H574" i="3"/>
  <c r="H541" i="3"/>
  <c r="G541" i="3"/>
  <c r="F541" i="3"/>
  <c r="I541" i="3"/>
  <c r="G533" i="3"/>
  <c r="F533" i="3"/>
  <c r="H533" i="3"/>
  <c r="I533" i="3"/>
  <c r="F525" i="3"/>
  <c r="I525" i="3"/>
  <c r="H525" i="3"/>
  <c r="G525" i="3"/>
  <c r="I517" i="3"/>
  <c r="H517" i="3"/>
  <c r="G517" i="3"/>
  <c r="F517" i="3"/>
  <c r="F509" i="3"/>
  <c r="I509" i="3"/>
  <c r="H509" i="3"/>
  <c r="G509" i="3"/>
  <c r="I502" i="3"/>
  <c r="H502" i="3"/>
  <c r="G502" i="3"/>
  <c r="F469" i="3"/>
  <c r="I469" i="3"/>
  <c r="H469" i="3"/>
  <c r="G469" i="3"/>
  <c r="I461" i="3"/>
  <c r="H461" i="3"/>
  <c r="G461" i="3"/>
  <c r="F461" i="3"/>
  <c r="F453" i="3"/>
  <c r="I453" i="3"/>
  <c r="H453" i="3"/>
  <c r="G453" i="3"/>
  <c r="I445" i="3"/>
  <c r="H445" i="3"/>
  <c r="G445" i="3"/>
  <c r="F445" i="3"/>
  <c r="F437" i="3"/>
  <c r="I437" i="3"/>
  <c r="H437" i="3"/>
  <c r="G437" i="3"/>
  <c r="I430" i="3"/>
  <c r="H430" i="3"/>
  <c r="G430" i="3"/>
  <c r="F397" i="3"/>
  <c r="I397" i="3"/>
  <c r="H397" i="3"/>
  <c r="G397" i="3"/>
  <c r="I389" i="3"/>
  <c r="H389" i="3"/>
  <c r="G389" i="3"/>
  <c r="F389" i="3"/>
  <c r="F381" i="3"/>
  <c r="I381" i="3"/>
  <c r="H381" i="3"/>
  <c r="G381" i="3"/>
  <c r="I373" i="3"/>
  <c r="H373" i="3"/>
  <c r="G373" i="3"/>
  <c r="F373" i="3"/>
  <c r="F365" i="3"/>
  <c r="I365" i="3"/>
  <c r="H365" i="3"/>
  <c r="G365" i="3"/>
  <c r="I358" i="3"/>
  <c r="H358" i="3"/>
  <c r="G358" i="3"/>
  <c r="I325" i="3"/>
  <c r="H325" i="3"/>
  <c r="G325" i="3"/>
  <c r="F325" i="3"/>
  <c r="I317" i="3"/>
  <c r="H317" i="3"/>
  <c r="G317" i="3"/>
  <c r="F317" i="3"/>
  <c r="F309" i="3"/>
  <c r="I309" i="3"/>
  <c r="H309" i="3"/>
  <c r="G309" i="3"/>
  <c r="I301" i="3"/>
  <c r="H301" i="3"/>
  <c r="G301" i="3"/>
  <c r="F301" i="3"/>
  <c r="F293" i="3"/>
  <c r="I293" i="3"/>
  <c r="H293" i="3"/>
  <c r="G293" i="3"/>
  <c r="I286" i="3"/>
  <c r="H286" i="3"/>
  <c r="G286" i="3"/>
  <c r="F253" i="3"/>
  <c r="I253" i="3"/>
  <c r="H253" i="3"/>
  <c r="G253" i="3"/>
  <c r="I245" i="3"/>
  <c r="H245" i="3"/>
  <c r="G245" i="3"/>
  <c r="F245" i="3"/>
  <c r="F237" i="3"/>
  <c r="I237" i="3"/>
  <c r="H237" i="3"/>
  <c r="G237" i="3"/>
  <c r="I229" i="3"/>
  <c r="H229" i="3"/>
  <c r="G229" i="3"/>
  <c r="F229" i="3"/>
  <c r="F221" i="3"/>
  <c r="I221" i="3"/>
  <c r="H221" i="3"/>
  <c r="G221" i="3"/>
  <c r="F181" i="3"/>
  <c r="I181" i="3"/>
  <c r="H181" i="3"/>
  <c r="G181" i="3"/>
  <c r="I173" i="3"/>
  <c r="H173" i="3"/>
  <c r="G173" i="3"/>
  <c r="F173" i="3"/>
  <c r="F165" i="3"/>
  <c r="I165" i="3"/>
  <c r="H165" i="3"/>
  <c r="G165" i="3"/>
  <c r="I157" i="3"/>
  <c r="H157" i="3"/>
  <c r="G157" i="3"/>
  <c r="F157" i="3"/>
  <c r="F149" i="3"/>
  <c r="I149" i="3"/>
  <c r="H149" i="3"/>
  <c r="G149" i="3"/>
  <c r="I142" i="3"/>
  <c r="H142" i="3"/>
  <c r="G142" i="3"/>
  <c r="F109" i="3"/>
  <c r="I109" i="3"/>
  <c r="H109" i="3"/>
  <c r="G109" i="3"/>
  <c r="I101" i="3"/>
  <c r="H101" i="3"/>
  <c r="G101" i="3"/>
  <c r="F101" i="3"/>
  <c r="I93" i="3"/>
  <c r="H93" i="3"/>
  <c r="G93" i="3"/>
  <c r="F93" i="3"/>
  <c r="I85" i="3"/>
  <c r="F85" i="3"/>
  <c r="H85" i="3"/>
  <c r="G85" i="3"/>
  <c r="F77" i="3"/>
  <c r="I77" i="3"/>
  <c r="H77" i="3"/>
  <c r="G77" i="3"/>
  <c r="H70" i="3"/>
  <c r="I70" i="3"/>
  <c r="G70" i="3"/>
  <c r="I37" i="3"/>
  <c r="H37" i="3"/>
  <c r="G37" i="3"/>
  <c r="F37" i="3"/>
  <c r="I29" i="3"/>
  <c r="H29" i="3"/>
  <c r="F29" i="3"/>
  <c r="G29" i="3"/>
  <c r="I21" i="3"/>
  <c r="H21" i="3"/>
  <c r="G21" i="3"/>
  <c r="F21" i="3"/>
  <c r="I13" i="3"/>
  <c r="F13" i="3"/>
  <c r="H13" i="3"/>
  <c r="G13" i="3"/>
  <c r="I811" i="3"/>
  <c r="H811" i="3"/>
  <c r="G811" i="3"/>
  <c r="F811" i="3"/>
  <c r="H803" i="3"/>
  <c r="G803" i="3"/>
  <c r="F803" i="3"/>
  <c r="I803" i="3"/>
  <c r="I779" i="3"/>
  <c r="H779" i="3"/>
  <c r="G779" i="3"/>
  <c r="F779" i="3"/>
  <c r="H772" i="3"/>
  <c r="G772" i="3"/>
  <c r="I772" i="3"/>
  <c r="I784" i="3"/>
  <c r="H784" i="3"/>
  <c r="G784" i="3"/>
  <c r="F784" i="3"/>
  <c r="H776" i="3"/>
  <c r="G776" i="3"/>
  <c r="F776" i="3"/>
  <c r="I776" i="3"/>
  <c r="I768" i="3"/>
  <c r="H768" i="3"/>
  <c r="G768" i="3"/>
  <c r="F768" i="3"/>
  <c r="H760" i="3"/>
  <c r="G760" i="3"/>
  <c r="F760" i="3"/>
  <c r="I760" i="3"/>
  <c r="H745" i="3"/>
  <c r="G745" i="3"/>
  <c r="I745" i="3"/>
  <c r="I820" i="3"/>
  <c r="H820" i="3"/>
  <c r="G820" i="3"/>
  <c r="F820" i="3"/>
  <c r="H812" i="3"/>
  <c r="G812" i="3"/>
  <c r="F812" i="3"/>
  <c r="I812" i="3"/>
  <c r="I804" i="3"/>
  <c r="H804" i="3"/>
  <c r="G804" i="3"/>
  <c r="F804" i="3"/>
  <c r="I788" i="3"/>
  <c r="H788" i="3"/>
  <c r="G788" i="3"/>
  <c r="F788" i="3"/>
  <c r="H781" i="3"/>
  <c r="G781" i="3"/>
  <c r="I781" i="3"/>
  <c r="H740" i="3"/>
  <c r="G740" i="3"/>
  <c r="F740" i="3"/>
  <c r="I740" i="3"/>
  <c r="I732" i="3"/>
  <c r="H732" i="3"/>
  <c r="G732" i="3"/>
  <c r="F732" i="3"/>
  <c r="I676" i="3"/>
  <c r="H676" i="3"/>
  <c r="G676" i="3"/>
  <c r="F676" i="3"/>
  <c r="H668" i="3"/>
  <c r="G668" i="3"/>
  <c r="F668" i="3"/>
  <c r="I668" i="3"/>
  <c r="I660" i="3"/>
  <c r="H660" i="3"/>
  <c r="G660" i="3"/>
  <c r="F660" i="3"/>
  <c r="H637" i="3"/>
  <c r="G637" i="3"/>
  <c r="I637" i="3"/>
  <c r="I604" i="3"/>
  <c r="H604" i="3"/>
  <c r="G604" i="3"/>
  <c r="F604" i="3"/>
  <c r="H596" i="3"/>
  <c r="G596" i="3"/>
  <c r="F596" i="3"/>
  <c r="I596" i="3"/>
  <c r="I588" i="3"/>
  <c r="H588" i="3"/>
  <c r="G588" i="3"/>
  <c r="F588" i="3"/>
  <c r="G580" i="3"/>
  <c r="F580" i="3"/>
  <c r="I580" i="3"/>
  <c r="H580" i="3"/>
  <c r="H572" i="3"/>
  <c r="G572" i="3"/>
  <c r="F572" i="3"/>
  <c r="I572" i="3"/>
  <c r="G565" i="3"/>
  <c r="I565" i="3"/>
  <c r="H565" i="3"/>
  <c r="F532" i="3"/>
  <c r="I532" i="3"/>
  <c r="H532" i="3"/>
  <c r="G532" i="3"/>
  <c r="I524" i="3"/>
  <c r="H524" i="3"/>
  <c r="G524" i="3"/>
  <c r="F524" i="3"/>
  <c r="F516" i="3"/>
  <c r="I516" i="3"/>
  <c r="H516" i="3"/>
  <c r="G516" i="3"/>
  <c r="I508" i="3"/>
  <c r="H508" i="3"/>
  <c r="G508" i="3"/>
  <c r="F508" i="3"/>
  <c r="F500" i="3"/>
  <c r="I500" i="3"/>
  <c r="H500" i="3"/>
  <c r="G500" i="3"/>
  <c r="I493" i="3"/>
  <c r="H493" i="3"/>
  <c r="G493" i="3"/>
  <c r="F460" i="3"/>
  <c r="I460" i="3"/>
  <c r="H460" i="3"/>
  <c r="G460" i="3"/>
  <c r="I452" i="3"/>
  <c r="H452" i="3"/>
  <c r="G452" i="3"/>
  <c r="F452" i="3"/>
  <c r="F444" i="3"/>
  <c r="I444" i="3"/>
  <c r="H444" i="3"/>
  <c r="G444" i="3"/>
  <c r="I436" i="3"/>
  <c r="H436" i="3"/>
  <c r="G436" i="3"/>
  <c r="F436" i="3"/>
  <c r="F428" i="3"/>
  <c r="I428" i="3"/>
  <c r="H428" i="3"/>
  <c r="G428" i="3"/>
  <c r="I421" i="3"/>
  <c r="H421" i="3"/>
  <c r="G421" i="3"/>
  <c r="F388" i="3"/>
  <c r="I388" i="3"/>
  <c r="H388" i="3"/>
  <c r="G388" i="3"/>
  <c r="I380" i="3"/>
  <c r="H380" i="3"/>
  <c r="G380" i="3"/>
  <c r="F380" i="3"/>
  <c r="F372" i="3"/>
  <c r="I372" i="3"/>
  <c r="H372" i="3"/>
  <c r="G372" i="3"/>
  <c r="I364" i="3"/>
  <c r="H364" i="3"/>
  <c r="G364" i="3"/>
  <c r="F364" i="3"/>
  <c r="F356" i="3"/>
  <c r="I356" i="3"/>
  <c r="H356" i="3"/>
  <c r="G356" i="3"/>
  <c r="I349" i="3"/>
  <c r="H349" i="3"/>
  <c r="G349" i="3"/>
  <c r="F316" i="3"/>
  <c r="I316" i="3"/>
  <c r="H316" i="3"/>
  <c r="G316" i="3"/>
  <c r="I308" i="3"/>
  <c r="H308" i="3"/>
  <c r="G308" i="3"/>
  <c r="F308" i="3"/>
  <c r="F300" i="3"/>
  <c r="I300" i="3"/>
  <c r="H300" i="3"/>
  <c r="G300" i="3"/>
  <c r="I292" i="3"/>
  <c r="H292" i="3"/>
  <c r="G292" i="3"/>
  <c r="F292" i="3"/>
  <c r="F284" i="3"/>
  <c r="I284" i="3"/>
  <c r="H284" i="3"/>
  <c r="G284" i="3"/>
  <c r="I277" i="3"/>
  <c r="H277" i="3"/>
  <c r="G277" i="3"/>
  <c r="F244" i="3"/>
  <c r="I244" i="3"/>
  <c r="H244" i="3"/>
  <c r="G244" i="3"/>
  <c r="I236" i="3"/>
  <c r="H236" i="3"/>
  <c r="G236" i="3"/>
  <c r="F236" i="3"/>
  <c r="F228" i="3"/>
  <c r="I228" i="3"/>
  <c r="H228" i="3"/>
  <c r="G228" i="3"/>
  <c r="I220" i="3"/>
  <c r="H220" i="3"/>
  <c r="G220" i="3"/>
  <c r="F220" i="3"/>
  <c r="I205" i="3"/>
  <c r="H205" i="3"/>
  <c r="G205" i="3"/>
  <c r="F172" i="3"/>
  <c r="I172" i="3"/>
  <c r="H172" i="3"/>
  <c r="G172" i="3"/>
  <c r="I164" i="3"/>
  <c r="H164" i="3"/>
  <c r="G164" i="3"/>
  <c r="F164" i="3"/>
  <c r="F156" i="3"/>
  <c r="I156" i="3"/>
  <c r="H156" i="3"/>
  <c r="G156" i="3"/>
  <c r="I148" i="3"/>
  <c r="H148" i="3"/>
  <c r="G148" i="3"/>
  <c r="F148" i="3"/>
  <c r="F140" i="3"/>
  <c r="I140" i="3"/>
  <c r="H140" i="3"/>
  <c r="G140" i="3"/>
  <c r="I133" i="3"/>
  <c r="H133" i="3"/>
  <c r="G133" i="3"/>
  <c r="I100" i="3"/>
  <c r="H100" i="3"/>
  <c r="G100" i="3"/>
  <c r="F100" i="3"/>
  <c r="I92" i="3"/>
  <c r="H92" i="3"/>
  <c r="F92" i="3"/>
  <c r="G92" i="3"/>
  <c r="I84" i="3"/>
  <c r="H84" i="3"/>
  <c r="G84" i="3"/>
  <c r="F84" i="3"/>
  <c r="H76" i="3"/>
  <c r="G76" i="3"/>
  <c r="I76" i="3"/>
  <c r="F76" i="3"/>
  <c r="I68" i="3"/>
  <c r="H68" i="3"/>
  <c r="G68" i="3"/>
  <c r="F68" i="3"/>
  <c r="I61" i="3"/>
  <c r="H61" i="3"/>
  <c r="G61" i="3"/>
  <c r="I28" i="3"/>
  <c r="H28" i="3"/>
  <c r="G28" i="3"/>
  <c r="F28" i="3"/>
  <c r="I20" i="3"/>
  <c r="H20" i="3"/>
  <c r="G20" i="3"/>
  <c r="F20" i="3"/>
  <c r="F12" i="3"/>
  <c r="I12" i="3"/>
  <c r="G12" i="3"/>
  <c r="H12" i="3"/>
  <c r="H787" i="3"/>
  <c r="G787" i="3"/>
  <c r="F787" i="3"/>
  <c r="I787" i="3"/>
  <c r="I739" i="3"/>
  <c r="H739" i="3"/>
  <c r="G739" i="3"/>
  <c r="F739" i="3"/>
  <c r="H731" i="3"/>
  <c r="G731" i="3"/>
  <c r="F731" i="3"/>
  <c r="I731" i="3"/>
  <c r="H700" i="3"/>
  <c r="G700" i="3"/>
  <c r="I700" i="3"/>
  <c r="I667" i="3"/>
  <c r="H667" i="3"/>
  <c r="G667" i="3"/>
  <c r="F667" i="3"/>
  <c r="H659" i="3"/>
  <c r="G659" i="3"/>
  <c r="F659" i="3"/>
  <c r="I659" i="3"/>
  <c r="I635" i="3"/>
  <c r="H635" i="3"/>
  <c r="G635" i="3"/>
  <c r="F635" i="3"/>
  <c r="H628" i="3"/>
  <c r="G628" i="3"/>
  <c r="I628" i="3"/>
  <c r="I595" i="3"/>
  <c r="H595" i="3"/>
  <c r="G595" i="3"/>
  <c r="F595" i="3"/>
  <c r="H587" i="3"/>
  <c r="G587" i="3"/>
  <c r="F587" i="3"/>
  <c r="I587" i="3"/>
  <c r="H579" i="3"/>
  <c r="G579" i="3"/>
  <c r="F579" i="3"/>
  <c r="I579" i="3"/>
  <c r="G571" i="3"/>
  <c r="F571" i="3"/>
  <c r="I571" i="3"/>
  <c r="H571" i="3"/>
  <c r="H563" i="3"/>
  <c r="G563" i="3"/>
  <c r="F563" i="3"/>
  <c r="I563" i="3"/>
  <c r="G556" i="3"/>
  <c r="I556" i="3"/>
  <c r="H556" i="3"/>
  <c r="F523" i="3"/>
  <c r="I523" i="3"/>
  <c r="H523" i="3"/>
  <c r="G523" i="3"/>
  <c r="I515" i="3"/>
  <c r="H515" i="3"/>
  <c r="G515" i="3"/>
  <c r="F515" i="3"/>
  <c r="F507" i="3"/>
  <c r="I507" i="3"/>
  <c r="H507" i="3"/>
  <c r="G507" i="3"/>
  <c r="I499" i="3"/>
  <c r="H499" i="3"/>
  <c r="G499" i="3"/>
  <c r="F499" i="3"/>
  <c r="F491" i="3"/>
  <c r="I491" i="3"/>
  <c r="H491" i="3"/>
  <c r="G491" i="3"/>
  <c r="I484" i="3"/>
  <c r="H484" i="3"/>
  <c r="G484" i="3"/>
  <c r="F451" i="3"/>
  <c r="I451" i="3"/>
  <c r="H451" i="3"/>
  <c r="G451" i="3"/>
  <c r="I443" i="3"/>
  <c r="H443" i="3"/>
  <c r="G443" i="3"/>
  <c r="F443" i="3"/>
  <c r="F435" i="3"/>
  <c r="I435" i="3"/>
  <c r="H435" i="3"/>
  <c r="G435" i="3"/>
  <c r="I427" i="3"/>
  <c r="H427" i="3"/>
  <c r="G427" i="3"/>
  <c r="F427" i="3"/>
  <c r="F419" i="3"/>
  <c r="I419" i="3"/>
  <c r="H419" i="3"/>
  <c r="G419" i="3"/>
  <c r="I412" i="3"/>
  <c r="H412" i="3"/>
  <c r="G412" i="3"/>
  <c r="F379" i="3"/>
  <c r="I379" i="3"/>
  <c r="H379" i="3"/>
  <c r="G379" i="3"/>
  <c r="I371" i="3"/>
  <c r="H371" i="3"/>
  <c r="G371" i="3"/>
  <c r="F371" i="3"/>
  <c r="F363" i="3"/>
  <c r="I363" i="3"/>
  <c r="H363" i="3"/>
  <c r="G363" i="3"/>
  <c r="I355" i="3"/>
  <c r="H355" i="3"/>
  <c r="G355" i="3"/>
  <c r="F355" i="3"/>
  <c r="F347" i="3"/>
  <c r="I347" i="3"/>
  <c r="H347" i="3"/>
  <c r="G347" i="3"/>
  <c r="I340" i="3"/>
  <c r="H340" i="3"/>
  <c r="G340" i="3"/>
  <c r="F307" i="3"/>
  <c r="I307" i="3"/>
  <c r="H307" i="3"/>
  <c r="G307" i="3"/>
  <c r="I299" i="3"/>
  <c r="H299" i="3"/>
  <c r="G299" i="3"/>
  <c r="F299" i="3"/>
  <c r="F291" i="3"/>
  <c r="I291" i="3"/>
  <c r="H291" i="3"/>
  <c r="G291" i="3"/>
  <c r="I283" i="3"/>
  <c r="H283" i="3"/>
  <c r="G283" i="3"/>
  <c r="F283" i="3"/>
  <c r="F275" i="3"/>
  <c r="I275" i="3"/>
  <c r="H275" i="3"/>
  <c r="G275" i="3"/>
  <c r="I268" i="3"/>
  <c r="H268" i="3"/>
  <c r="G268" i="3"/>
  <c r="F235" i="3"/>
  <c r="I235" i="3"/>
  <c r="H235" i="3"/>
  <c r="G235" i="3"/>
  <c r="I227" i="3"/>
  <c r="H227" i="3"/>
  <c r="G227" i="3"/>
  <c r="F227" i="3"/>
  <c r="F219" i="3"/>
  <c r="I219" i="3"/>
  <c r="H219" i="3"/>
  <c r="G219" i="3"/>
  <c r="F203" i="3"/>
  <c r="I203" i="3"/>
  <c r="H203" i="3"/>
  <c r="G203" i="3"/>
  <c r="I196" i="3"/>
  <c r="H196" i="3"/>
  <c r="G196" i="3"/>
  <c r="F163" i="3"/>
  <c r="I163" i="3"/>
  <c r="H163" i="3"/>
  <c r="G163" i="3"/>
  <c r="I155" i="3"/>
  <c r="H155" i="3"/>
  <c r="G155" i="3"/>
  <c r="F155" i="3"/>
  <c r="F147" i="3"/>
  <c r="I147" i="3"/>
  <c r="H147" i="3"/>
  <c r="G147" i="3"/>
  <c r="I139" i="3"/>
  <c r="H139" i="3"/>
  <c r="G139" i="3"/>
  <c r="F139" i="3"/>
  <c r="F131" i="3"/>
  <c r="I131" i="3"/>
  <c r="H131" i="3"/>
  <c r="G131" i="3"/>
  <c r="I124" i="3"/>
  <c r="H124" i="3"/>
  <c r="G124" i="3"/>
  <c r="I91" i="3"/>
  <c r="H91" i="3"/>
  <c r="G91" i="3"/>
  <c r="F91" i="3"/>
  <c r="I83" i="3"/>
  <c r="H83" i="3"/>
  <c r="F83" i="3"/>
  <c r="G83" i="3"/>
  <c r="F75" i="3"/>
  <c r="I75" i="3"/>
  <c r="H75" i="3"/>
  <c r="G75" i="3"/>
  <c r="G67" i="3"/>
  <c r="F67" i="3"/>
  <c r="I67" i="3"/>
  <c r="H67" i="3"/>
  <c r="I59" i="3"/>
  <c r="H59" i="3"/>
  <c r="G59" i="3"/>
  <c r="F59" i="3"/>
  <c r="I52" i="3"/>
  <c r="H52" i="3"/>
  <c r="G52" i="3"/>
  <c r="H19" i="3"/>
  <c r="G19" i="3"/>
  <c r="F19" i="3"/>
  <c r="I19" i="3"/>
  <c r="I11" i="3"/>
  <c r="H11" i="3"/>
  <c r="G11" i="3"/>
  <c r="F11" i="3"/>
  <c r="I802" i="3"/>
  <c r="H802" i="3"/>
  <c r="G802" i="3"/>
  <c r="F802" i="3"/>
  <c r="I786" i="3"/>
  <c r="H786" i="3"/>
  <c r="G786" i="3"/>
  <c r="F786" i="3"/>
  <c r="H778" i="3"/>
  <c r="G778" i="3"/>
  <c r="F778" i="3"/>
  <c r="I778" i="3"/>
  <c r="I770" i="3"/>
  <c r="H770" i="3"/>
  <c r="G770" i="3"/>
  <c r="F770" i="3"/>
  <c r="H763" i="3"/>
  <c r="G763" i="3"/>
  <c r="I763" i="3"/>
  <c r="I730" i="3"/>
  <c r="H730" i="3"/>
  <c r="G730" i="3"/>
  <c r="F730" i="3"/>
  <c r="I698" i="3"/>
  <c r="H698" i="3"/>
  <c r="G698" i="3"/>
  <c r="F698" i="3"/>
  <c r="H691" i="3"/>
  <c r="G691" i="3"/>
  <c r="I691" i="3"/>
  <c r="I658" i="3"/>
  <c r="H658" i="3"/>
  <c r="G658" i="3"/>
  <c r="F658" i="3"/>
  <c r="H634" i="3"/>
  <c r="G634" i="3"/>
  <c r="F634" i="3"/>
  <c r="I634" i="3"/>
  <c r="I626" i="3"/>
  <c r="H626" i="3"/>
  <c r="G626" i="3"/>
  <c r="F626" i="3"/>
  <c r="H619" i="3"/>
  <c r="G619" i="3"/>
  <c r="I619" i="3"/>
  <c r="H586" i="3"/>
  <c r="G586" i="3"/>
  <c r="F586" i="3"/>
  <c r="I586" i="3"/>
  <c r="G578" i="3"/>
  <c r="F578" i="3"/>
  <c r="I578" i="3"/>
  <c r="H578" i="3"/>
  <c r="H570" i="3"/>
  <c r="G570" i="3"/>
  <c r="F570" i="3"/>
  <c r="I570" i="3"/>
  <c r="G562" i="3"/>
  <c r="F562" i="3"/>
  <c r="H562" i="3"/>
  <c r="I562" i="3"/>
  <c r="H554" i="3"/>
  <c r="G554" i="3"/>
  <c r="F554" i="3"/>
  <c r="I554" i="3"/>
  <c r="G547" i="3"/>
  <c r="I547" i="3"/>
  <c r="H547" i="3"/>
  <c r="F514" i="3"/>
  <c r="I514" i="3"/>
  <c r="H514" i="3"/>
  <c r="G514" i="3"/>
  <c r="I506" i="3"/>
  <c r="H506" i="3"/>
  <c r="G506" i="3"/>
  <c r="F506" i="3"/>
  <c r="F498" i="3"/>
  <c r="I498" i="3"/>
  <c r="H498" i="3"/>
  <c r="G498" i="3"/>
  <c r="I490" i="3"/>
  <c r="H490" i="3"/>
  <c r="G490" i="3"/>
  <c r="F490" i="3"/>
  <c r="F482" i="3"/>
  <c r="I482" i="3"/>
  <c r="H482" i="3"/>
  <c r="G482" i="3"/>
  <c r="I475" i="3"/>
  <c r="H475" i="3"/>
  <c r="G475" i="3"/>
  <c r="F442" i="3"/>
  <c r="I442" i="3"/>
  <c r="H442" i="3"/>
  <c r="G442" i="3"/>
  <c r="I434" i="3"/>
  <c r="H434" i="3"/>
  <c r="G434" i="3"/>
  <c r="F434" i="3"/>
  <c r="F426" i="3"/>
  <c r="I426" i="3"/>
  <c r="H426" i="3"/>
  <c r="G426" i="3"/>
  <c r="I418" i="3"/>
  <c r="H418" i="3"/>
  <c r="G418" i="3"/>
  <c r="F418" i="3"/>
  <c r="F410" i="3"/>
  <c r="I410" i="3"/>
  <c r="H410" i="3"/>
  <c r="G410" i="3"/>
  <c r="I403" i="3"/>
  <c r="H403" i="3"/>
  <c r="G403" i="3"/>
  <c r="F370" i="3"/>
  <c r="I370" i="3"/>
  <c r="H370" i="3"/>
  <c r="G370" i="3"/>
  <c r="I362" i="3"/>
  <c r="H362" i="3"/>
  <c r="G362" i="3"/>
  <c r="F362" i="3"/>
  <c r="F354" i="3"/>
  <c r="I354" i="3"/>
  <c r="H354" i="3"/>
  <c r="G354" i="3"/>
  <c r="I346" i="3"/>
  <c r="H346" i="3"/>
  <c r="G346" i="3"/>
  <c r="F346" i="3"/>
  <c r="F338" i="3"/>
  <c r="I338" i="3"/>
  <c r="H338" i="3"/>
  <c r="G338" i="3"/>
  <c r="I331" i="3"/>
  <c r="H331" i="3"/>
  <c r="G331" i="3"/>
  <c r="F298" i="3"/>
  <c r="I298" i="3"/>
  <c r="H298" i="3"/>
  <c r="G298" i="3"/>
  <c r="I290" i="3"/>
  <c r="H290" i="3"/>
  <c r="G290" i="3"/>
  <c r="F290" i="3"/>
  <c r="F282" i="3"/>
  <c r="I282" i="3"/>
  <c r="H282" i="3"/>
  <c r="G282" i="3"/>
  <c r="I274" i="3"/>
  <c r="H274" i="3"/>
  <c r="G274" i="3"/>
  <c r="F274" i="3"/>
  <c r="F266" i="3"/>
  <c r="I266" i="3"/>
  <c r="H266" i="3"/>
  <c r="G266" i="3"/>
  <c r="I259" i="3"/>
  <c r="H259" i="3"/>
  <c r="G259" i="3"/>
  <c r="F226" i="3"/>
  <c r="I226" i="3"/>
  <c r="H226" i="3"/>
  <c r="G226" i="3"/>
  <c r="I218" i="3"/>
  <c r="H218" i="3"/>
  <c r="G218" i="3"/>
  <c r="F218" i="3"/>
  <c r="I202" i="3"/>
  <c r="H202" i="3"/>
  <c r="G202" i="3"/>
  <c r="F202" i="3"/>
  <c r="F194" i="3"/>
  <c r="I194" i="3"/>
  <c r="H194" i="3"/>
  <c r="G194" i="3"/>
  <c r="I187" i="3"/>
  <c r="H187" i="3"/>
  <c r="G187" i="3"/>
  <c r="F154" i="3"/>
  <c r="I154" i="3"/>
  <c r="H154" i="3"/>
  <c r="G154" i="3"/>
  <c r="I146" i="3"/>
  <c r="H146" i="3"/>
  <c r="G146" i="3"/>
  <c r="F146" i="3"/>
  <c r="F138" i="3"/>
  <c r="I138" i="3"/>
  <c r="H138" i="3"/>
  <c r="G138" i="3"/>
  <c r="I130" i="3"/>
  <c r="H130" i="3"/>
  <c r="G130" i="3"/>
  <c r="F130" i="3"/>
  <c r="F122" i="3"/>
  <c r="I122" i="3"/>
  <c r="H122" i="3"/>
  <c r="G122" i="3"/>
  <c r="H115" i="3"/>
  <c r="G115" i="3"/>
  <c r="I115" i="3"/>
  <c r="I82" i="3"/>
  <c r="H82" i="3"/>
  <c r="G82" i="3"/>
  <c r="F82" i="3"/>
  <c r="H74" i="3"/>
  <c r="I74" i="3"/>
  <c r="G74" i="3"/>
  <c r="F74" i="3"/>
  <c r="I66" i="3"/>
  <c r="H66" i="3"/>
  <c r="G66" i="3"/>
  <c r="F66" i="3"/>
  <c r="I58" i="3"/>
  <c r="H58" i="3"/>
  <c r="G58" i="3"/>
  <c r="F58" i="3"/>
  <c r="I50" i="3"/>
  <c r="H50" i="3"/>
  <c r="G50" i="3"/>
  <c r="F50" i="3"/>
  <c r="I43" i="3"/>
  <c r="H43" i="3"/>
  <c r="G43" i="3"/>
  <c r="H697" i="3"/>
  <c r="G697" i="3"/>
  <c r="F697" i="3"/>
  <c r="I697" i="3"/>
  <c r="I689" i="3"/>
  <c r="H689" i="3"/>
  <c r="G689" i="3"/>
  <c r="F689" i="3"/>
  <c r="H682" i="3"/>
  <c r="G682" i="3"/>
  <c r="I682" i="3"/>
  <c r="I633" i="3"/>
  <c r="H633" i="3"/>
  <c r="G633" i="3"/>
  <c r="F633" i="3"/>
  <c r="H625" i="3"/>
  <c r="G625" i="3"/>
  <c r="F625" i="3"/>
  <c r="I625" i="3"/>
  <c r="I617" i="3"/>
  <c r="H617" i="3"/>
  <c r="G617" i="3"/>
  <c r="F617" i="3"/>
  <c r="H610" i="3"/>
  <c r="G610" i="3"/>
  <c r="I610" i="3"/>
  <c r="H577" i="3"/>
  <c r="G577" i="3"/>
  <c r="F577" i="3"/>
  <c r="I577" i="3"/>
  <c r="G569" i="3"/>
  <c r="F569" i="3"/>
  <c r="I569" i="3"/>
  <c r="H569" i="3"/>
  <c r="H561" i="3"/>
  <c r="G561" i="3"/>
  <c r="F561" i="3"/>
  <c r="I561" i="3"/>
  <c r="G553" i="3"/>
  <c r="F553" i="3"/>
  <c r="I553" i="3"/>
  <c r="H553" i="3"/>
  <c r="H545" i="3"/>
  <c r="G545" i="3"/>
  <c r="F545" i="3"/>
  <c r="I545" i="3"/>
  <c r="G538" i="3"/>
  <c r="H538" i="3"/>
  <c r="I538" i="3"/>
  <c r="F505" i="3"/>
  <c r="I505" i="3"/>
  <c r="H505" i="3"/>
  <c r="G505" i="3"/>
  <c r="I497" i="3"/>
  <c r="H497" i="3"/>
  <c r="G497" i="3"/>
  <c r="F497" i="3"/>
  <c r="F489" i="3"/>
  <c r="I489" i="3"/>
  <c r="H489" i="3"/>
  <c r="G489" i="3"/>
  <c r="I481" i="3"/>
  <c r="H481" i="3"/>
  <c r="G481" i="3"/>
  <c r="F481" i="3"/>
  <c r="F473" i="3"/>
  <c r="I473" i="3"/>
  <c r="H473" i="3"/>
  <c r="G473" i="3"/>
  <c r="I466" i="3"/>
  <c r="H466" i="3"/>
  <c r="G466" i="3"/>
  <c r="F433" i="3"/>
  <c r="I433" i="3"/>
  <c r="H433" i="3"/>
  <c r="G433" i="3"/>
  <c r="I425" i="3"/>
  <c r="H425" i="3"/>
  <c r="G425" i="3"/>
  <c r="F425" i="3"/>
  <c r="F417" i="3"/>
  <c r="I417" i="3"/>
  <c r="H417" i="3"/>
  <c r="G417" i="3"/>
  <c r="I409" i="3"/>
  <c r="H409" i="3"/>
  <c r="G409" i="3"/>
  <c r="F409" i="3"/>
  <c r="F401" i="3"/>
  <c r="I401" i="3"/>
  <c r="H401" i="3"/>
  <c r="G401" i="3"/>
  <c r="I394" i="3"/>
  <c r="H394" i="3"/>
  <c r="G394" i="3"/>
  <c r="F361" i="3"/>
  <c r="I361" i="3"/>
  <c r="H361" i="3"/>
  <c r="G361" i="3"/>
  <c r="I353" i="3"/>
  <c r="H353" i="3"/>
  <c r="G353" i="3"/>
  <c r="F353" i="3"/>
  <c r="F345" i="3"/>
  <c r="I345" i="3"/>
  <c r="H345" i="3"/>
  <c r="G345" i="3"/>
  <c r="I337" i="3"/>
  <c r="H337" i="3"/>
  <c r="G337" i="3"/>
  <c r="F337" i="3"/>
  <c r="F329" i="3"/>
  <c r="I329" i="3"/>
  <c r="H329" i="3"/>
  <c r="G329" i="3"/>
  <c r="I322" i="3"/>
  <c r="H322" i="3"/>
  <c r="G322" i="3"/>
  <c r="F289" i="3"/>
  <c r="I289" i="3"/>
  <c r="H289" i="3"/>
  <c r="G289" i="3"/>
  <c r="I281" i="3"/>
  <c r="H281" i="3"/>
  <c r="G281" i="3"/>
  <c r="F281" i="3"/>
  <c r="F273" i="3"/>
  <c r="I273" i="3"/>
  <c r="H273" i="3"/>
  <c r="G273" i="3"/>
  <c r="I265" i="3"/>
  <c r="H265" i="3"/>
  <c r="G265" i="3"/>
  <c r="F265" i="3"/>
  <c r="F257" i="3"/>
  <c r="I257" i="3"/>
  <c r="H257" i="3"/>
  <c r="G257" i="3"/>
  <c r="I250" i="3"/>
  <c r="H250" i="3"/>
  <c r="G250" i="3"/>
  <c r="F217" i="3"/>
  <c r="I217" i="3"/>
  <c r="H217" i="3"/>
  <c r="G217" i="3"/>
  <c r="F201" i="3"/>
  <c r="I201" i="3"/>
  <c r="H201" i="3"/>
  <c r="G201" i="3"/>
  <c r="I193" i="3"/>
  <c r="H193" i="3"/>
  <c r="G193" i="3"/>
  <c r="F193" i="3"/>
  <c r="F185" i="3"/>
  <c r="I185" i="3"/>
  <c r="H185" i="3"/>
  <c r="G185" i="3"/>
  <c r="I178" i="3"/>
  <c r="H178" i="3"/>
  <c r="G178" i="3"/>
  <c r="F145" i="3"/>
  <c r="I145" i="3"/>
  <c r="H145" i="3"/>
  <c r="G145" i="3"/>
  <c r="I137" i="3"/>
  <c r="H137" i="3"/>
  <c r="G137" i="3"/>
  <c r="F137" i="3"/>
  <c r="F129" i="3"/>
  <c r="I129" i="3"/>
  <c r="H129" i="3"/>
  <c r="G129" i="3"/>
  <c r="I121" i="3"/>
  <c r="H121" i="3"/>
  <c r="G121" i="3"/>
  <c r="F121" i="3"/>
  <c r="F113" i="3"/>
  <c r="I113" i="3"/>
  <c r="H113" i="3"/>
  <c r="G113" i="3"/>
  <c r="I106" i="3"/>
  <c r="H106" i="3"/>
  <c r="G106" i="3"/>
  <c r="I73" i="3"/>
  <c r="H73" i="3"/>
  <c r="F73" i="3"/>
  <c r="G73" i="3"/>
  <c r="I65" i="3"/>
  <c r="H65" i="3"/>
  <c r="G65" i="3"/>
  <c r="F65" i="3"/>
  <c r="I57" i="3"/>
  <c r="H57" i="3"/>
  <c r="G57" i="3"/>
  <c r="F57" i="3"/>
  <c r="I49" i="3"/>
  <c r="H49" i="3"/>
  <c r="G49" i="3"/>
  <c r="F49" i="3"/>
  <c r="I41" i="3"/>
  <c r="H41" i="3"/>
  <c r="G41" i="3"/>
  <c r="F41" i="3"/>
  <c r="I34" i="3"/>
  <c r="H34" i="3"/>
  <c r="G34" i="3"/>
  <c r="I844" i="3"/>
  <c r="H844" i="3"/>
  <c r="G844" i="3"/>
  <c r="F336" i="3"/>
  <c r="I336" i="3"/>
  <c r="H336" i="3"/>
  <c r="G336" i="3"/>
  <c r="F328" i="3"/>
  <c r="I328" i="3"/>
  <c r="H328" i="3"/>
  <c r="G328" i="3"/>
  <c r="I320" i="3"/>
  <c r="H320" i="3"/>
  <c r="F320" i="3"/>
  <c r="G320" i="3"/>
  <c r="I313" i="3"/>
  <c r="H313" i="3"/>
  <c r="G313" i="3"/>
  <c r="F280" i="3"/>
  <c r="I280" i="3"/>
  <c r="H280" i="3"/>
  <c r="G280" i="3"/>
  <c r="I272" i="3"/>
  <c r="H272" i="3"/>
  <c r="G272" i="3"/>
  <c r="F272" i="3"/>
  <c r="F264" i="3"/>
  <c r="I264" i="3"/>
  <c r="H264" i="3"/>
  <c r="G264" i="3"/>
  <c r="I256" i="3"/>
  <c r="H256" i="3"/>
  <c r="G256" i="3"/>
  <c r="F256" i="3"/>
  <c r="F248" i="3"/>
  <c r="I248" i="3"/>
  <c r="H248" i="3"/>
  <c r="G248" i="3"/>
  <c r="I241" i="3"/>
  <c r="H241" i="3"/>
  <c r="G241" i="3"/>
  <c r="I200" i="3"/>
  <c r="H200" i="3"/>
  <c r="G200" i="3"/>
  <c r="F200" i="3"/>
  <c r="F192" i="3"/>
  <c r="I192" i="3"/>
  <c r="H192" i="3"/>
  <c r="G192" i="3"/>
  <c r="I184" i="3"/>
  <c r="H184" i="3"/>
  <c r="G184" i="3"/>
  <c r="F184" i="3"/>
  <c r="F176" i="3"/>
  <c r="I176" i="3"/>
  <c r="H176" i="3"/>
  <c r="G176" i="3"/>
  <c r="I169" i="3"/>
  <c r="H169" i="3"/>
  <c r="G169" i="3"/>
  <c r="F136" i="3"/>
  <c r="I136" i="3"/>
  <c r="H136" i="3"/>
  <c r="G136" i="3"/>
  <c r="I128" i="3"/>
  <c r="H128" i="3"/>
  <c r="G128" i="3"/>
  <c r="F128" i="3"/>
  <c r="F120" i="3"/>
  <c r="I120" i="3"/>
  <c r="H120" i="3"/>
  <c r="G120" i="3"/>
  <c r="H112" i="3"/>
  <c r="G112" i="3"/>
  <c r="I112" i="3"/>
  <c r="F112" i="3"/>
  <c r="I104" i="3"/>
  <c r="H104" i="3"/>
  <c r="G104" i="3"/>
  <c r="F104" i="3"/>
  <c r="I97" i="3"/>
  <c r="H97" i="3"/>
  <c r="G97" i="3"/>
  <c r="I64" i="3"/>
  <c r="H64" i="3"/>
  <c r="G64" i="3"/>
  <c r="F64" i="3"/>
  <c r="I56" i="3"/>
  <c r="H56" i="3"/>
  <c r="G56" i="3"/>
  <c r="F56" i="3"/>
  <c r="I48" i="3"/>
  <c r="H48" i="3"/>
  <c r="G48" i="3"/>
  <c r="F48" i="3"/>
  <c r="I40" i="3"/>
  <c r="H40" i="3"/>
  <c r="G40" i="3"/>
  <c r="F40" i="3"/>
  <c r="I32" i="3"/>
  <c r="H32" i="3"/>
  <c r="G32" i="3"/>
  <c r="F32" i="3"/>
  <c r="I25" i="3"/>
  <c r="H25" i="3"/>
  <c r="G25" i="3"/>
  <c r="E716" i="10"/>
  <c r="E717" i="10"/>
  <c r="E718" i="10"/>
  <c r="E719" i="10"/>
  <c r="E720" i="10"/>
  <c r="E721" i="10"/>
  <c r="E722" i="10"/>
  <c r="E723" i="10"/>
  <c r="E724"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6" i="10"/>
  <c r="E7" i="10"/>
  <c r="E8" i="10"/>
  <c r="E9" i="10"/>
  <c r="E10" i="10"/>
  <c r="E11" i="10"/>
  <c r="E12" i="10"/>
  <c r="E13" i="10"/>
  <c r="E14" i="10"/>
  <c r="E15" i="10"/>
  <c r="E16" i="10"/>
  <c r="E17" i="10"/>
  <c r="E18" i="10"/>
  <c r="E19" i="10"/>
  <c r="E20" i="10"/>
  <c r="E21" i="10"/>
  <c r="E22" i="10"/>
  <c r="C6" i="11" l="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E113" i="11"/>
  <c r="H113" i="11" s="1"/>
  <c r="E114" i="11"/>
  <c r="H114" i="11" s="1"/>
  <c r="E115" i="11"/>
  <c r="H115" i="11" s="1"/>
  <c r="E116" i="11"/>
  <c r="H116" i="11" s="1"/>
  <c r="E117" i="11"/>
  <c r="H117" i="11" s="1"/>
  <c r="E118" i="11"/>
  <c r="H118" i="11" s="1"/>
  <c r="E119" i="11"/>
  <c r="H119" i="11" s="1"/>
  <c r="E120" i="11"/>
  <c r="H120" i="11" s="1"/>
  <c r="E121" i="11"/>
  <c r="H121" i="11" s="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C586" i="11"/>
  <c r="C587" i="11"/>
  <c r="C588" i="11"/>
  <c r="C589" i="11"/>
  <c r="C590" i="11"/>
  <c r="C591" i="11"/>
  <c r="C592" i="11"/>
  <c r="C593" i="11"/>
  <c r="C594" i="11"/>
  <c r="C595" i="11"/>
  <c r="C596" i="11"/>
  <c r="C597" i="11"/>
  <c r="C598" i="11"/>
  <c r="C599" i="11"/>
  <c r="C600" i="11"/>
  <c r="C601" i="11"/>
  <c r="C602" i="11"/>
  <c r="C603" i="11"/>
  <c r="C604" i="11"/>
  <c r="C605" i="11"/>
  <c r="C606" i="11"/>
  <c r="C607" i="11"/>
  <c r="C608" i="11"/>
  <c r="C609" i="11"/>
  <c r="C610" i="11"/>
  <c r="C611" i="11"/>
  <c r="C612" i="11"/>
  <c r="C613" i="11"/>
  <c r="C614" i="11"/>
  <c r="C615" i="11"/>
  <c r="C616" i="11"/>
  <c r="C617"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42" i="11"/>
  <c r="C643"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C701" i="11"/>
  <c r="C702" i="11"/>
  <c r="C703" i="11"/>
  <c r="C704" i="11"/>
  <c r="C705" i="11"/>
  <c r="C706" i="11"/>
  <c r="C707" i="11"/>
  <c r="C708" i="11"/>
  <c r="C709" i="11"/>
  <c r="C710" i="11"/>
  <c r="C711" i="11"/>
  <c r="C712" i="11"/>
  <c r="C713" i="11"/>
  <c r="C714" i="11"/>
  <c r="C715" i="11"/>
  <c r="C716" i="11"/>
  <c r="C717" i="11"/>
  <c r="C718" i="11"/>
  <c r="C719" i="11"/>
  <c r="C720" i="11"/>
  <c r="C721" i="11"/>
  <c r="C722" i="11"/>
  <c r="C723" i="11"/>
  <c r="C724" i="11"/>
  <c r="E725" i="11"/>
  <c r="H725" i="11" s="1"/>
  <c r="C726" i="11"/>
  <c r="C727" i="11"/>
  <c r="C728" i="11"/>
  <c r="C729" i="11"/>
  <c r="C730" i="11"/>
  <c r="C731" i="11"/>
  <c r="C732" i="11"/>
  <c r="C733" i="11"/>
  <c r="C734" i="11"/>
  <c r="C735" i="11"/>
  <c r="C736" i="11"/>
  <c r="C737" i="11"/>
  <c r="C738" i="11"/>
  <c r="C739" i="11"/>
  <c r="C740" i="11"/>
  <c r="C741" i="11"/>
  <c r="C742" i="11"/>
  <c r="C743" i="11"/>
  <c r="C744" i="11"/>
  <c r="C745" i="11"/>
  <c r="C746" i="11"/>
  <c r="C747" i="11"/>
  <c r="C748" i="11"/>
  <c r="C749" i="11"/>
  <c r="C750" i="11"/>
  <c r="C751" i="11"/>
  <c r="C752" i="11"/>
  <c r="C753" i="11"/>
  <c r="C754" i="11"/>
  <c r="C755" i="11"/>
  <c r="C756" i="11"/>
  <c r="C757" i="11"/>
  <c r="C758" i="11"/>
  <c r="C759" i="11"/>
  <c r="C760" i="11"/>
  <c r="C761" i="11"/>
  <c r="C762" i="11"/>
  <c r="C763" i="11"/>
  <c r="C764" i="11"/>
  <c r="C765" i="11"/>
  <c r="C766" i="11"/>
  <c r="C767" i="11"/>
  <c r="C768" i="11"/>
  <c r="C769" i="11"/>
  <c r="C770" i="11"/>
  <c r="C771" i="11"/>
  <c r="C772" i="11"/>
  <c r="C773" i="11"/>
  <c r="C774" i="11"/>
  <c r="C775" i="11"/>
  <c r="C776" i="11"/>
  <c r="C777" i="11"/>
  <c r="C778" i="11"/>
  <c r="C779" i="11"/>
  <c r="C780" i="11"/>
  <c r="C781" i="11"/>
  <c r="C782" i="11"/>
  <c r="C783" i="11"/>
  <c r="C784" i="11"/>
  <c r="C785" i="11"/>
  <c r="C786" i="11"/>
  <c r="C787" i="11"/>
  <c r="C788" i="11"/>
  <c r="C789" i="11"/>
  <c r="C790" i="11"/>
  <c r="C791" i="11"/>
  <c r="C792" i="11"/>
  <c r="C793" i="11"/>
  <c r="C794" i="11"/>
  <c r="C795" i="11"/>
  <c r="C796" i="11"/>
  <c r="C797" i="11"/>
  <c r="C798" i="11"/>
  <c r="C799" i="11"/>
  <c r="C800" i="11"/>
  <c r="C801" i="11"/>
  <c r="C802" i="11"/>
  <c r="C803" i="11"/>
  <c r="C804" i="11"/>
  <c r="C805" i="11"/>
  <c r="C806" i="11"/>
  <c r="C807" i="11"/>
  <c r="C808" i="11"/>
  <c r="C809" i="11"/>
  <c r="C810" i="11"/>
  <c r="C811" i="11"/>
  <c r="C812" i="11"/>
  <c r="C813" i="11"/>
  <c r="C814" i="11"/>
  <c r="C815" i="11"/>
  <c r="C816" i="11"/>
  <c r="C817" i="11"/>
  <c r="C818" i="11"/>
  <c r="C819" i="11"/>
  <c r="C820" i="11"/>
  <c r="C821" i="11"/>
  <c r="C822" i="11"/>
  <c r="C823" i="11"/>
  <c r="C824" i="11"/>
  <c r="C825" i="11"/>
  <c r="C826" i="11"/>
  <c r="C827" i="11"/>
  <c r="C828" i="11"/>
  <c r="C829" i="11"/>
  <c r="C830" i="11"/>
  <c r="C831" i="11"/>
  <c r="C832" i="11"/>
  <c r="C833" i="11"/>
  <c r="C834" i="11"/>
  <c r="C835" i="11"/>
  <c r="C836" i="11"/>
  <c r="C837" i="11"/>
  <c r="C838" i="11"/>
  <c r="C839" i="11"/>
  <c r="C840" i="11"/>
  <c r="C841" i="11"/>
  <c r="C842" i="11"/>
  <c r="C843" i="11"/>
  <c r="C844" i="11"/>
  <c r="C845" i="11"/>
  <c r="C846" i="11"/>
  <c r="C847" i="11"/>
  <c r="C848" i="11"/>
  <c r="C849" i="11"/>
  <c r="C850" i="11"/>
  <c r="E98" i="11" l="1"/>
  <c r="H98" i="11" s="1"/>
  <c r="C102" i="4"/>
  <c r="E817" i="11"/>
  <c r="H817" i="11" s="1"/>
  <c r="C821" i="4"/>
  <c r="E785" i="11"/>
  <c r="H785" i="11" s="1"/>
  <c r="C789" i="4"/>
  <c r="E753" i="11"/>
  <c r="H753" i="11" s="1"/>
  <c r="C757" i="4"/>
  <c r="E713" i="11"/>
  <c r="C717" i="4"/>
  <c r="E681" i="11"/>
  <c r="C685" i="4"/>
  <c r="E649" i="11"/>
  <c r="C653" i="4"/>
  <c r="E617" i="11"/>
  <c r="C621" i="4"/>
  <c r="E577" i="11"/>
  <c r="C581" i="4"/>
  <c r="E537" i="11"/>
  <c r="C541" i="4"/>
  <c r="E489" i="11"/>
  <c r="C493" i="4"/>
  <c r="E832" i="11"/>
  <c r="H832" i="11" s="1"/>
  <c r="C836" i="4"/>
  <c r="E836" i="4" s="1"/>
  <c r="E845" i="11"/>
  <c r="C849" i="4"/>
  <c r="E837" i="11"/>
  <c r="C841" i="4"/>
  <c r="E829" i="11"/>
  <c r="H829" i="11" s="1"/>
  <c r="C833" i="4"/>
  <c r="E821" i="11"/>
  <c r="C825" i="4"/>
  <c r="E813" i="11"/>
  <c r="C817" i="4"/>
  <c r="E805" i="11"/>
  <c r="C809" i="4"/>
  <c r="E797" i="11"/>
  <c r="C801" i="4"/>
  <c r="E789" i="11"/>
  <c r="C793" i="4"/>
  <c r="E781" i="11"/>
  <c r="C785" i="4"/>
  <c r="E773" i="11"/>
  <c r="H773" i="11" s="1"/>
  <c r="C777" i="4"/>
  <c r="E765" i="11"/>
  <c r="C769" i="4"/>
  <c r="E757" i="11"/>
  <c r="C761" i="4"/>
  <c r="E749" i="11"/>
  <c r="C753" i="4"/>
  <c r="E741" i="11"/>
  <c r="H741" i="11" s="1"/>
  <c r="C745" i="4"/>
  <c r="E733" i="11"/>
  <c r="C737" i="4"/>
  <c r="E717" i="11"/>
  <c r="C721" i="4"/>
  <c r="E709" i="11"/>
  <c r="C713" i="4"/>
  <c r="E701" i="11"/>
  <c r="C705" i="4"/>
  <c r="E693" i="11"/>
  <c r="C697" i="4"/>
  <c r="E685" i="11"/>
  <c r="C689" i="4"/>
  <c r="E677" i="11"/>
  <c r="C681" i="4"/>
  <c r="E669" i="11"/>
  <c r="C673" i="4"/>
  <c r="E661" i="11"/>
  <c r="C665" i="4"/>
  <c r="E653" i="11"/>
  <c r="C657" i="4"/>
  <c r="E645" i="11"/>
  <c r="C649" i="4"/>
  <c r="E637" i="11"/>
  <c r="C641" i="4"/>
  <c r="E629" i="11"/>
  <c r="C633" i="4"/>
  <c r="E621" i="11"/>
  <c r="C625" i="4"/>
  <c r="E613" i="11"/>
  <c r="C617" i="4"/>
  <c r="E605" i="11"/>
  <c r="C609" i="4"/>
  <c r="E597" i="11"/>
  <c r="C601" i="4"/>
  <c r="E589" i="11"/>
  <c r="C593" i="4"/>
  <c r="E581" i="11"/>
  <c r="C585" i="4"/>
  <c r="E573" i="11"/>
  <c r="C577" i="4"/>
  <c r="E565" i="11"/>
  <c r="C569" i="4"/>
  <c r="E557" i="11"/>
  <c r="C561" i="4"/>
  <c r="E549" i="11"/>
  <c r="C553" i="4"/>
  <c r="E541" i="11"/>
  <c r="C545" i="4"/>
  <c r="E533" i="11"/>
  <c r="C537" i="4"/>
  <c r="E525" i="11"/>
  <c r="C529" i="4"/>
  <c r="E517" i="11"/>
  <c r="C521" i="4"/>
  <c r="E509" i="11"/>
  <c r="C513" i="4"/>
  <c r="E501" i="11"/>
  <c r="C505" i="4"/>
  <c r="E493" i="11"/>
  <c r="C497" i="4"/>
  <c r="E485" i="11"/>
  <c r="C489" i="4"/>
  <c r="E477" i="11"/>
  <c r="C481" i="4"/>
  <c r="E469" i="11"/>
  <c r="C473" i="4"/>
  <c r="E461" i="11"/>
  <c r="C465" i="4"/>
  <c r="E453" i="11"/>
  <c r="C457" i="4"/>
  <c r="E445" i="11"/>
  <c r="H445" i="11" s="1"/>
  <c r="C449" i="4"/>
  <c r="E437" i="11"/>
  <c r="H437" i="11" s="1"/>
  <c r="C441" i="4"/>
  <c r="E429" i="11"/>
  <c r="H429" i="11" s="1"/>
  <c r="C433" i="4"/>
  <c r="E421" i="11"/>
  <c r="H421" i="11" s="1"/>
  <c r="C425" i="4"/>
  <c r="E413" i="11"/>
  <c r="H413" i="11" s="1"/>
  <c r="C417" i="4"/>
  <c r="E405" i="11"/>
  <c r="H405" i="11" s="1"/>
  <c r="C409" i="4"/>
  <c r="E397" i="11"/>
  <c r="H397" i="11" s="1"/>
  <c r="C401" i="4"/>
  <c r="E389" i="11"/>
  <c r="H389" i="11" s="1"/>
  <c r="C393" i="4"/>
  <c r="E381" i="11"/>
  <c r="H381" i="11" s="1"/>
  <c r="C385" i="4"/>
  <c r="E373" i="11"/>
  <c r="H373" i="11" s="1"/>
  <c r="C377" i="4"/>
  <c r="E365" i="11"/>
  <c r="H365" i="11" s="1"/>
  <c r="C369" i="4"/>
  <c r="E357" i="11"/>
  <c r="H357" i="11" s="1"/>
  <c r="C361" i="4"/>
  <c r="E349" i="11"/>
  <c r="H349" i="11" s="1"/>
  <c r="C353" i="4"/>
  <c r="E341" i="11"/>
  <c r="H341" i="11" s="1"/>
  <c r="C345" i="4"/>
  <c r="E333" i="11"/>
  <c r="H333" i="11" s="1"/>
  <c r="C337" i="4"/>
  <c r="E325" i="11"/>
  <c r="H325" i="11" s="1"/>
  <c r="C329" i="4"/>
  <c r="E317" i="11"/>
  <c r="H317" i="11" s="1"/>
  <c r="C321" i="4"/>
  <c r="E309" i="11"/>
  <c r="H309" i="11" s="1"/>
  <c r="C313" i="4"/>
  <c r="E301" i="11"/>
  <c r="H301" i="11" s="1"/>
  <c r="C305" i="4"/>
  <c r="E293" i="11"/>
  <c r="H293" i="11" s="1"/>
  <c r="C297" i="4"/>
  <c r="E285" i="11"/>
  <c r="H285" i="11" s="1"/>
  <c r="C289" i="4"/>
  <c r="E277" i="11"/>
  <c r="H277" i="11" s="1"/>
  <c r="C281" i="4"/>
  <c r="E269" i="11"/>
  <c r="H269" i="11" s="1"/>
  <c r="C273" i="4"/>
  <c r="E261" i="11"/>
  <c r="H261" i="11" s="1"/>
  <c r="C265" i="4"/>
  <c r="E253" i="11"/>
  <c r="H253" i="11" s="1"/>
  <c r="C257" i="4"/>
  <c r="E245" i="11"/>
  <c r="H245" i="11" s="1"/>
  <c r="C249" i="4"/>
  <c r="E237" i="11"/>
  <c r="H237" i="11" s="1"/>
  <c r="C241" i="4"/>
  <c r="E229" i="11"/>
  <c r="H229" i="11" s="1"/>
  <c r="C233" i="4"/>
  <c r="E221" i="11"/>
  <c r="H221" i="11" s="1"/>
  <c r="C225" i="4"/>
  <c r="E213" i="11"/>
  <c r="H213" i="11" s="1"/>
  <c r="C217" i="4"/>
  <c r="E205" i="11"/>
  <c r="H205" i="11" s="1"/>
  <c r="C209" i="4"/>
  <c r="E197" i="11"/>
  <c r="H197" i="11" s="1"/>
  <c r="C201" i="4"/>
  <c r="E189" i="11"/>
  <c r="H189" i="11" s="1"/>
  <c r="C193" i="4"/>
  <c r="E181" i="11"/>
  <c r="H181" i="11" s="1"/>
  <c r="C185" i="4"/>
  <c r="E173" i="11"/>
  <c r="H173" i="11" s="1"/>
  <c r="C177" i="4"/>
  <c r="E165" i="11"/>
  <c r="H165" i="11" s="1"/>
  <c r="C169" i="4"/>
  <c r="E157" i="11"/>
  <c r="H157" i="11" s="1"/>
  <c r="C161" i="4"/>
  <c r="E149" i="11"/>
  <c r="H149" i="11" s="1"/>
  <c r="C153" i="4"/>
  <c r="E141" i="11"/>
  <c r="H141" i="11" s="1"/>
  <c r="C145" i="4"/>
  <c r="E133" i="11"/>
  <c r="H133" i="11" s="1"/>
  <c r="C137" i="4"/>
  <c r="E125" i="11"/>
  <c r="H125" i="11" s="1"/>
  <c r="C129" i="4"/>
  <c r="E109" i="11"/>
  <c r="H109" i="11" s="1"/>
  <c r="C113" i="4"/>
  <c r="E101" i="11"/>
  <c r="H101" i="11" s="1"/>
  <c r="C105" i="4"/>
  <c r="E93" i="11"/>
  <c r="H93" i="11" s="1"/>
  <c r="C97" i="4"/>
  <c r="E85" i="11"/>
  <c r="H85" i="11" s="1"/>
  <c r="C89" i="4"/>
  <c r="E77" i="11"/>
  <c r="H77" i="11" s="1"/>
  <c r="C81" i="4"/>
  <c r="E69" i="11"/>
  <c r="H69" i="11" s="1"/>
  <c r="C73" i="4"/>
  <c r="E61" i="11"/>
  <c r="H61" i="11" s="1"/>
  <c r="C65" i="4"/>
  <c r="E53" i="11"/>
  <c r="H53" i="11" s="1"/>
  <c r="C57" i="4"/>
  <c r="E45" i="11"/>
  <c r="H45" i="11" s="1"/>
  <c r="C49" i="4"/>
  <c r="E37" i="11"/>
  <c r="H37" i="11" s="1"/>
  <c r="C41" i="4"/>
  <c r="E29" i="11"/>
  <c r="H29" i="11" s="1"/>
  <c r="C33" i="4"/>
  <c r="E21" i="11"/>
  <c r="H21" i="11" s="1"/>
  <c r="C25" i="4"/>
  <c r="E13" i="11"/>
  <c r="H13" i="11" s="1"/>
  <c r="C17" i="4"/>
  <c r="E811" i="11"/>
  <c r="H811" i="11" s="1"/>
  <c r="C815" i="4"/>
  <c r="E771" i="11"/>
  <c r="H771" i="11" s="1"/>
  <c r="C775" i="4"/>
  <c r="E739" i="11"/>
  <c r="C743" i="4"/>
  <c r="E707" i="11"/>
  <c r="C711" i="4"/>
  <c r="E667" i="11"/>
  <c r="C671" i="4"/>
  <c r="E635" i="11"/>
  <c r="C639" i="4"/>
  <c r="E603" i="11"/>
  <c r="C607" i="4"/>
  <c r="E579" i="11"/>
  <c r="C583" i="4"/>
  <c r="E539" i="11"/>
  <c r="C543" i="4"/>
  <c r="E515" i="11"/>
  <c r="C519" i="4"/>
  <c r="E475" i="11"/>
  <c r="C479" i="4"/>
  <c r="E451" i="11"/>
  <c r="C455" i="4"/>
  <c r="E411" i="11"/>
  <c r="H411" i="11" s="1"/>
  <c r="C415" i="4"/>
  <c r="E379" i="11"/>
  <c r="H379" i="11" s="1"/>
  <c r="C383" i="4"/>
  <c r="E347" i="11"/>
  <c r="H347" i="11" s="1"/>
  <c r="C351" i="4"/>
  <c r="E315" i="11"/>
  <c r="H315" i="11" s="1"/>
  <c r="C319" i="4"/>
  <c r="E283" i="11"/>
  <c r="H283" i="11" s="1"/>
  <c r="C287" i="4"/>
  <c r="E243" i="11"/>
  <c r="H243" i="11" s="1"/>
  <c r="C247" i="4"/>
  <c r="E203" i="11"/>
  <c r="H203" i="11" s="1"/>
  <c r="C207" i="4"/>
  <c r="E139" i="11"/>
  <c r="H139" i="11" s="1"/>
  <c r="C143" i="4"/>
  <c r="E27" i="11"/>
  <c r="H27" i="11" s="1"/>
  <c r="C31" i="4"/>
  <c r="E850" i="11"/>
  <c r="C854" i="4"/>
  <c r="E794" i="11"/>
  <c r="H794" i="11" s="1"/>
  <c r="C798" i="4"/>
  <c r="E706" i="11"/>
  <c r="H706" i="11" s="1"/>
  <c r="C710" i="4"/>
  <c r="E674" i="11"/>
  <c r="H674" i="11" s="1"/>
  <c r="C678" i="4"/>
  <c r="E634" i="11"/>
  <c r="H634" i="11" s="1"/>
  <c r="C638" i="4"/>
  <c r="E586" i="11"/>
  <c r="H586" i="11" s="1"/>
  <c r="C590" i="4"/>
  <c r="E530" i="11"/>
  <c r="H530" i="11" s="1"/>
  <c r="C534" i="4"/>
  <c r="E442" i="11"/>
  <c r="H442" i="11" s="1"/>
  <c r="C446" i="4"/>
  <c r="E402" i="11"/>
  <c r="H402" i="11" s="1"/>
  <c r="C406" i="4"/>
  <c r="E378" i="11"/>
  <c r="H378" i="11" s="1"/>
  <c r="C382" i="4"/>
  <c r="E354" i="11"/>
  <c r="H354" i="11" s="1"/>
  <c r="C358" i="4"/>
  <c r="E314" i="11"/>
  <c r="H314" i="11" s="1"/>
  <c r="C318" i="4"/>
  <c r="E274" i="11"/>
  <c r="H274" i="11" s="1"/>
  <c r="C278" i="4"/>
  <c r="E234" i="11"/>
  <c r="H234" i="11" s="1"/>
  <c r="C238" i="4"/>
  <c r="E202" i="11"/>
  <c r="H202" i="11" s="1"/>
  <c r="C206" i="4"/>
  <c r="E178" i="11"/>
  <c r="H178" i="11" s="1"/>
  <c r="C182" i="4"/>
  <c r="E154" i="11"/>
  <c r="H154" i="11" s="1"/>
  <c r="C158" i="4"/>
  <c r="E130" i="11"/>
  <c r="H130" i="11" s="1"/>
  <c r="C134" i="4"/>
  <c r="E106" i="11"/>
  <c r="H106" i="11" s="1"/>
  <c r="C110" i="4"/>
  <c r="E833" i="11"/>
  <c r="C837" i="4"/>
  <c r="G837" i="4" s="1"/>
  <c r="E801" i="11"/>
  <c r="H801" i="11" s="1"/>
  <c r="C805" i="4"/>
  <c r="E745" i="11"/>
  <c r="C749" i="4"/>
  <c r="E705" i="11"/>
  <c r="C709" i="4"/>
  <c r="E673" i="11"/>
  <c r="C677" i="4"/>
  <c r="E641" i="11"/>
  <c r="C645" i="4"/>
  <c r="E609" i="11"/>
  <c r="C613" i="4"/>
  <c r="E569" i="11"/>
  <c r="C573" i="4"/>
  <c r="E529" i="11"/>
  <c r="C533" i="4"/>
  <c r="E505" i="11"/>
  <c r="C509" i="4"/>
  <c r="E848" i="11"/>
  <c r="H848" i="11" s="1"/>
  <c r="C852" i="4"/>
  <c r="E816" i="11"/>
  <c r="H816" i="11" s="1"/>
  <c r="C820" i="4"/>
  <c r="E844" i="11"/>
  <c r="C848" i="4"/>
  <c r="E836" i="11"/>
  <c r="C840" i="4"/>
  <c r="E828" i="11"/>
  <c r="C832" i="4"/>
  <c r="E820" i="11"/>
  <c r="H820" i="11" s="1"/>
  <c r="C824" i="4"/>
  <c r="E812" i="11"/>
  <c r="H812" i="11" s="1"/>
  <c r="C816" i="4"/>
  <c r="E804" i="11"/>
  <c r="H804" i="11" s="1"/>
  <c r="C808" i="4"/>
  <c r="E796" i="11"/>
  <c r="H796" i="11" s="1"/>
  <c r="C800" i="4"/>
  <c r="E788" i="11"/>
  <c r="H788" i="11" s="1"/>
  <c r="C792" i="4"/>
  <c r="E780" i="11"/>
  <c r="H780" i="11" s="1"/>
  <c r="C784" i="4"/>
  <c r="E772" i="11"/>
  <c r="H772" i="11" s="1"/>
  <c r="C776" i="4"/>
  <c r="E764" i="11"/>
  <c r="H764" i="11" s="1"/>
  <c r="C768" i="4"/>
  <c r="E756" i="11"/>
  <c r="H756" i="11" s="1"/>
  <c r="C760" i="4"/>
  <c r="E748" i="11"/>
  <c r="H748" i="11" s="1"/>
  <c r="C752" i="4"/>
  <c r="E740" i="11"/>
  <c r="H740" i="11" s="1"/>
  <c r="C744" i="4"/>
  <c r="E732" i="11"/>
  <c r="H732" i="11" s="1"/>
  <c r="C736" i="4"/>
  <c r="E724" i="11"/>
  <c r="H724" i="11" s="1"/>
  <c r="C728" i="4"/>
  <c r="E716" i="11"/>
  <c r="H716" i="11" s="1"/>
  <c r="C720" i="4"/>
  <c r="E708" i="11"/>
  <c r="H708" i="11" s="1"/>
  <c r="C712" i="4"/>
  <c r="E700" i="11"/>
  <c r="H700" i="11" s="1"/>
  <c r="C704" i="4"/>
  <c r="E692" i="11"/>
  <c r="H692" i="11" s="1"/>
  <c r="C696" i="4"/>
  <c r="E684" i="11"/>
  <c r="H684" i="11" s="1"/>
  <c r="C688" i="4"/>
  <c r="E676" i="11"/>
  <c r="H676" i="11" s="1"/>
  <c r="C680" i="4"/>
  <c r="E668" i="11"/>
  <c r="H668" i="11" s="1"/>
  <c r="C672" i="4"/>
  <c r="E660" i="11"/>
  <c r="H660" i="11" s="1"/>
  <c r="C664" i="4"/>
  <c r="E652" i="11"/>
  <c r="H652" i="11" s="1"/>
  <c r="C656" i="4"/>
  <c r="E644" i="11"/>
  <c r="H644" i="11" s="1"/>
  <c r="C648" i="4"/>
  <c r="E636" i="11"/>
  <c r="H636" i="11" s="1"/>
  <c r="C640" i="4"/>
  <c r="E628" i="11"/>
  <c r="H628" i="11" s="1"/>
  <c r="C632" i="4"/>
  <c r="E620" i="11"/>
  <c r="H620" i="11" s="1"/>
  <c r="C624" i="4"/>
  <c r="E612" i="11"/>
  <c r="H612" i="11" s="1"/>
  <c r="C616" i="4"/>
  <c r="E604" i="11"/>
  <c r="H604" i="11" s="1"/>
  <c r="C608" i="4"/>
  <c r="E596" i="11"/>
  <c r="H596" i="11" s="1"/>
  <c r="C600" i="4"/>
  <c r="E588" i="11"/>
  <c r="H588" i="11" s="1"/>
  <c r="C592" i="4"/>
  <c r="E580" i="11"/>
  <c r="H580" i="11" s="1"/>
  <c r="C584" i="4"/>
  <c r="E572" i="11"/>
  <c r="H572" i="11" s="1"/>
  <c r="C576" i="4"/>
  <c r="E564" i="11"/>
  <c r="H564" i="11" s="1"/>
  <c r="C568" i="4"/>
  <c r="E556" i="11"/>
  <c r="H556" i="11" s="1"/>
  <c r="C560" i="4"/>
  <c r="E548" i="11"/>
  <c r="H548" i="11" s="1"/>
  <c r="C552" i="4"/>
  <c r="E540" i="11"/>
  <c r="H540" i="11" s="1"/>
  <c r="C544" i="4"/>
  <c r="E532" i="11"/>
  <c r="H532" i="11" s="1"/>
  <c r="C536" i="4"/>
  <c r="E524" i="11"/>
  <c r="H524" i="11" s="1"/>
  <c r="C528" i="4"/>
  <c r="E516" i="11"/>
  <c r="H516" i="11" s="1"/>
  <c r="C520" i="4"/>
  <c r="E508" i="11"/>
  <c r="H508" i="11" s="1"/>
  <c r="C512" i="4"/>
  <c r="E500" i="11"/>
  <c r="H500" i="11" s="1"/>
  <c r="C504" i="4"/>
  <c r="E492" i="11"/>
  <c r="H492" i="11" s="1"/>
  <c r="C496" i="4"/>
  <c r="E484" i="11"/>
  <c r="H484" i="11" s="1"/>
  <c r="C488" i="4"/>
  <c r="E476" i="11"/>
  <c r="H476" i="11" s="1"/>
  <c r="C480" i="4"/>
  <c r="E468" i="11"/>
  <c r="H468" i="11" s="1"/>
  <c r="C472" i="4"/>
  <c r="E460" i="11"/>
  <c r="H460" i="11" s="1"/>
  <c r="C464" i="4"/>
  <c r="E452" i="11"/>
  <c r="H452" i="11" s="1"/>
  <c r="C456" i="4"/>
  <c r="E444" i="11"/>
  <c r="H444" i="11" s="1"/>
  <c r="C448" i="4"/>
  <c r="E436" i="11"/>
  <c r="H436" i="11" s="1"/>
  <c r="C440" i="4"/>
  <c r="E428" i="11"/>
  <c r="H428" i="11" s="1"/>
  <c r="C432" i="4"/>
  <c r="E420" i="11"/>
  <c r="H420" i="11" s="1"/>
  <c r="C424" i="4"/>
  <c r="E412" i="11"/>
  <c r="H412" i="11" s="1"/>
  <c r="C416" i="4"/>
  <c r="E404" i="11"/>
  <c r="H404" i="11" s="1"/>
  <c r="C408" i="4"/>
  <c r="E396" i="11"/>
  <c r="H396" i="11" s="1"/>
  <c r="C400" i="4"/>
  <c r="E388" i="11"/>
  <c r="H388" i="11" s="1"/>
  <c r="C392" i="4"/>
  <c r="E380" i="11"/>
  <c r="H380" i="11" s="1"/>
  <c r="C384" i="4"/>
  <c r="E372" i="11"/>
  <c r="H372" i="11" s="1"/>
  <c r="C376" i="4"/>
  <c r="E364" i="11"/>
  <c r="H364" i="11" s="1"/>
  <c r="C368" i="4"/>
  <c r="E356" i="11"/>
  <c r="H356" i="11" s="1"/>
  <c r="C360" i="4"/>
  <c r="E348" i="11"/>
  <c r="H348" i="11" s="1"/>
  <c r="C352" i="4"/>
  <c r="E340" i="11"/>
  <c r="H340" i="11" s="1"/>
  <c r="C344" i="4"/>
  <c r="E332" i="11"/>
  <c r="H332" i="11" s="1"/>
  <c r="C336" i="4"/>
  <c r="E324" i="11"/>
  <c r="H324" i="11" s="1"/>
  <c r="C328" i="4"/>
  <c r="E316" i="11"/>
  <c r="H316" i="11" s="1"/>
  <c r="C320" i="4"/>
  <c r="E308" i="11"/>
  <c r="H308" i="11" s="1"/>
  <c r="C312" i="4"/>
  <c r="E300" i="11"/>
  <c r="H300" i="11" s="1"/>
  <c r="C304" i="4"/>
  <c r="E292" i="11"/>
  <c r="H292" i="11" s="1"/>
  <c r="C296" i="4"/>
  <c r="E284" i="11"/>
  <c r="H284" i="11" s="1"/>
  <c r="C288" i="4"/>
  <c r="E276" i="11"/>
  <c r="H276" i="11" s="1"/>
  <c r="C280" i="4"/>
  <c r="E268" i="11"/>
  <c r="H268" i="11" s="1"/>
  <c r="C272" i="4"/>
  <c r="E260" i="11"/>
  <c r="H260" i="11" s="1"/>
  <c r="C264" i="4"/>
  <c r="E252" i="11"/>
  <c r="H252" i="11" s="1"/>
  <c r="C256" i="4"/>
  <c r="E244" i="11"/>
  <c r="H244" i="11" s="1"/>
  <c r="C248" i="4"/>
  <c r="E236" i="11"/>
  <c r="H236" i="11" s="1"/>
  <c r="C240" i="4"/>
  <c r="E228" i="11"/>
  <c r="H228" i="11" s="1"/>
  <c r="C232" i="4"/>
  <c r="E220" i="11"/>
  <c r="H220" i="11" s="1"/>
  <c r="C224" i="4"/>
  <c r="E212" i="11"/>
  <c r="H212" i="11" s="1"/>
  <c r="C216" i="4"/>
  <c r="E204" i="11"/>
  <c r="H204" i="11" s="1"/>
  <c r="C208" i="4"/>
  <c r="E196" i="11"/>
  <c r="H196" i="11" s="1"/>
  <c r="C200" i="4"/>
  <c r="E188" i="11"/>
  <c r="H188" i="11" s="1"/>
  <c r="C192" i="4"/>
  <c r="E180" i="11"/>
  <c r="H180" i="11" s="1"/>
  <c r="C184" i="4"/>
  <c r="E172" i="11"/>
  <c r="H172" i="11" s="1"/>
  <c r="C176" i="4"/>
  <c r="E164" i="11"/>
  <c r="H164" i="11" s="1"/>
  <c r="C168" i="4"/>
  <c r="E156" i="11"/>
  <c r="H156" i="11" s="1"/>
  <c r="C160" i="4"/>
  <c r="E148" i="11"/>
  <c r="H148" i="11" s="1"/>
  <c r="C152" i="4"/>
  <c r="E140" i="11"/>
  <c r="H140" i="11" s="1"/>
  <c r="C144" i="4"/>
  <c r="E132" i="11"/>
  <c r="H132" i="11" s="1"/>
  <c r="C136" i="4"/>
  <c r="E124" i="11"/>
  <c r="H124" i="11" s="1"/>
  <c r="C128" i="4"/>
  <c r="E108" i="11"/>
  <c r="H108" i="11" s="1"/>
  <c r="C112" i="4"/>
  <c r="E100" i="11"/>
  <c r="H100" i="11" s="1"/>
  <c r="C104" i="4"/>
  <c r="E92" i="11"/>
  <c r="H92" i="11" s="1"/>
  <c r="C96" i="4"/>
  <c r="E84" i="11"/>
  <c r="H84" i="11" s="1"/>
  <c r="C88" i="4"/>
  <c r="E76" i="11"/>
  <c r="H76" i="11" s="1"/>
  <c r="C80" i="4"/>
  <c r="E68" i="11"/>
  <c r="C72" i="4"/>
  <c r="E60" i="11"/>
  <c r="H60" i="11" s="1"/>
  <c r="C64" i="4"/>
  <c r="E52" i="11"/>
  <c r="H52" i="11" s="1"/>
  <c r="C56" i="4"/>
  <c r="E44" i="11"/>
  <c r="H44" i="11" s="1"/>
  <c r="C48" i="4"/>
  <c r="E36" i="11"/>
  <c r="H36" i="11" s="1"/>
  <c r="C40" i="4"/>
  <c r="E28" i="11"/>
  <c r="H28" i="11" s="1"/>
  <c r="C32" i="4"/>
  <c r="E20" i="11"/>
  <c r="H20" i="11" s="1"/>
  <c r="C24" i="4"/>
  <c r="E12" i="11"/>
  <c r="H12" i="11" s="1"/>
  <c r="C16" i="4"/>
  <c r="E226" i="11"/>
  <c r="H226" i="11" s="1"/>
  <c r="C230" i="4"/>
  <c r="E90" i="11"/>
  <c r="H90" i="11" s="1"/>
  <c r="C94" i="4"/>
  <c r="E82" i="11"/>
  <c r="H82" i="11" s="1"/>
  <c r="C86" i="4"/>
  <c r="E74" i="11"/>
  <c r="H74" i="11" s="1"/>
  <c r="C78" i="4"/>
  <c r="E66" i="11"/>
  <c r="H66" i="11" s="1"/>
  <c r="C70" i="4"/>
  <c r="E58" i="11"/>
  <c r="H58" i="11" s="1"/>
  <c r="C62" i="4"/>
  <c r="E50" i="11"/>
  <c r="C54" i="4"/>
  <c r="E42" i="11"/>
  <c r="H42" i="11" s="1"/>
  <c r="C46" i="4"/>
  <c r="E34" i="11"/>
  <c r="H34" i="11" s="1"/>
  <c r="C38" i="4"/>
  <c r="E26" i="11"/>
  <c r="H26" i="11" s="1"/>
  <c r="C30" i="4"/>
  <c r="E18" i="11"/>
  <c r="H18" i="11" s="1"/>
  <c r="C22" i="4"/>
  <c r="E10" i="11"/>
  <c r="H10" i="11" s="1"/>
  <c r="C14" i="4"/>
  <c r="E521" i="11"/>
  <c r="C525" i="4"/>
  <c r="E497" i="11"/>
  <c r="C501" i="4"/>
  <c r="E465" i="11"/>
  <c r="C469" i="4"/>
  <c r="E457" i="11"/>
  <c r="C461" i="4"/>
  <c r="E449" i="11"/>
  <c r="C453" i="4"/>
  <c r="E441" i="11"/>
  <c r="H441" i="11" s="1"/>
  <c r="C445" i="4"/>
  <c r="E433" i="11"/>
  <c r="H433" i="11" s="1"/>
  <c r="C437" i="4"/>
  <c r="E425" i="11"/>
  <c r="H425" i="11" s="1"/>
  <c r="C429" i="4"/>
  <c r="E417" i="11"/>
  <c r="H417" i="11" s="1"/>
  <c r="C421" i="4"/>
  <c r="E409" i="11"/>
  <c r="H409" i="11" s="1"/>
  <c r="C413" i="4"/>
  <c r="E401" i="11"/>
  <c r="H401" i="11" s="1"/>
  <c r="C405" i="4"/>
  <c r="E393" i="11"/>
  <c r="H393" i="11" s="1"/>
  <c r="C397" i="4"/>
  <c r="E385" i="11"/>
  <c r="H385" i="11" s="1"/>
  <c r="C389" i="4"/>
  <c r="E377" i="11"/>
  <c r="H377" i="11" s="1"/>
  <c r="C381" i="4"/>
  <c r="E369" i="11"/>
  <c r="H369" i="11" s="1"/>
  <c r="C373" i="4"/>
  <c r="E361" i="11"/>
  <c r="H361" i="11" s="1"/>
  <c r="C365" i="4"/>
  <c r="E353" i="11"/>
  <c r="H353" i="11" s="1"/>
  <c r="C357" i="4"/>
  <c r="E345" i="11"/>
  <c r="H345" i="11" s="1"/>
  <c r="C349" i="4"/>
  <c r="E337" i="11"/>
  <c r="H337" i="11" s="1"/>
  <c r="C341" i="4"/>
  <c r="E329" i="11"/>
  <c r="H329" i="11" s="1"/>
  <c r="C333" i="4"/>
  <c r="E321" i="11"/>
  <c r="H321" i="11" s="1"/>
  <c r="C325" i="4"/>
  <c r="E313" i="11"/>
  <c r="H313" i="11" s="1"/>
  <c r="C317" i="4"/>
  <c r="E305" i="11"/>
  <c r="H305" i="11" s="1"/>
  <c r="C309" i="4"/>
  <c r="E297" i="11"/>
  <c r="H297" i="11" s="1"/>
  <c r="C301" i="4"/>
  <c r="E289" i="11"/>
  <c r="H289" i="11" s="1"/>
  <c r="C293" i="4"/>
  <c r="E281" i="11"/>
  <c r="H281" i="11" s="1"/>
  <c r="C285" i="4"/>
  <c r="E273" i="11"/>
  <c r="H273" i="11" s="1"/>
  <c r="C277" i="4"/>
  <c r="E265" i="11"/>
  <c r="H265" i="11" s="1"/>
  <c r="C269" i="4"/>
  <c r="E257" i="11"/>
  <c r="H257" i="11" s="1"/>
  <c r="C261" i="4"/>
  <c r="E249" i="11"/>
  <c r="H249" i="11" s="1"/>
  <c r="C253" i="4"/>
  <c r="E241" i="11"/>
  <c r="H241" i="11" s="1"/>
  <c r="C245" i="4"/>
  <c r="E233" i="11"/>
  <c r="H233" i="11" s="1"/>
  <c r="C237" i="4"/>
  <c r="E225" i="11"/>
  <c r="H225" i="11" s="1"/>
  <c r="C229" i="4"/>
  <c r="E217" i="11"/>
  <c r="H217" i="11" s="1"/>
  <c r="C221" i="4"/>
  <c r="E209" i="11"/>
  <c r="H209" i="11" s="1"/>
  <c r="C213" i="4"/>
  <c r="E201" i="11"/>
  <c r="H201" i="11" s="1"/>
  <c r="C205" i="4"/>
  <c r="E193" i="11"/>
  <c r="H193" i="11" s="1"/>
  <c r="C197" i="4"/>
  <c r="E185" i="11"/>
  <c r="H185" i="11" s="1"/>
  <c r="C189" i="4"/>
  <c r="E177" i="11"/>
  <c r="H177" i="11" s="1"/>
  <c r="C181" i="4"/>
  <c r="E169" i="11"/>
  <c r="H169" i="11" s="1"/>
  <c r="C173" i="4"/>
  <c r="E161" i="11"/>
  <c r="H161" i="11" s="1"/>
  <c r="C165" i="4"/>
  <c r="E153" i="11"/>
  <c r="H153" i="11" s="1"/>
  <c r="C157" i="4"/>
  <c r="E145" i="11"/>
  <c r="H145" i="11" s="1"/>
  <c r="C149" i="4"/>
  <c r="E137" i="11"/>
  <c r="H137" i="11" s="1"/>
  <c r="C141" i="4"/>
  <c r="E129" i="11"/>
  <c r="H129" i="11" s="1"/>
  <c r="C133" i="4"/>
  <c r="E105" i="11"/>
  <c r="H105" i="11" s="1"/>
  <c r="C109" i="4"/>
  <c r="E97" i="11"/>
  <c r="H97" i="11" s="1"/>
  <c r="C101" i="4"/>
  <c r="E89" i="11"/>
  <c r="H89" i="11" s="1"/>
  <c r="C93" i="4"/>
  <c r="E81" i="11"/>
  <c r="H81" i="11" s="1"/>
  <c r="C85" i="4"/>
  <c r="E73" i="11"/>
  <c r="H73" i="11" s="1"/>
  <c r="C77" i="4"/>
  <c r="E65" i="11"/>
  <c r="H65" i="11" s="1"/>
  <c r="C69" i="4"/>
  <c r="E57" i="11"/>
  <c r="H57" i="11" s="1"/>
  <c r="C61" i="4"/>
  <c r="E49" i="11"/>
  <c r="H49" i="11" s="1"/>
  <c r="C53" i="4"/>
  <c r="E41" i="11"/>
  <c r="C45" i="4"/>
  <c r="E33" i="11"/>
  <c r="H33" i="11" s="1"/>
  <c r="C37" i="4"/>
  <c r="E25" i="11"/>
  <c r="H25" i="11" s="1"/>
  <c r="C29" i="4"/>
  <c r="E17" i="11"/>
  <c r="H17" i="11" s="1"/>
  <c r="C21" i="4"/>
  <c r="E9" i="11"/>
  <c r="H9" i="11" s="1"/>
  <c r="C13" i="4"/>
  <c r="E729" i="11"/>
  <c r="C733" i="4"/>
  <c r="E601" i="11"/>
  <c r="C605" i="4"/>
  <c r="E561" i="11"/>
  <c r="C565" i="4"/>
  <c r="E513" i="11"/>
  <c r="C517" i="4"/>
  <c r="E840" i="11"/>
  <c r="H840" i="11" s="1"/>
  <c r="C844" i="4"/>
  <c r="E808" i="11"/>
  <c r="H808" i="11" s="1"/>
  <c r="C812" i="4"/>
  <c r="E792" i="11"/>
  <c r="H792" i="11" s="1"/>
  <c r="C796" i="4"/>
  <c r="E784" i="11"/>
  <c r="H784" i="11" s="1"/>
  <c r="C788" i="4"/>
  <c r="E776" i="11"/>
  <c r="H776" i="11" s="1"/>
  <c r="C780" i="4"/>
  <c r="E768" i="11"/>
  <c r="H768" i="11" s="1"/>
  <c r="C772" i="4"/>
  <c r="E760" i="11"/>
  <c r="H760" i="11" s="1"/>
  <c r="C764" i="4"/>
  <c r="E752" i="11"/>
  <c r="H752" i="11" s="1"/>
  <c r="C756" i="4"/>
  <c r="E744" i="11"/>
  <c r="C748" i="4"/>
  <c r="E736" i="11"/>
  <c r="C740" i="4"/>
  <c r="E728" i="11"/>
  <c r="C732" i="4"/>
  <c r="E720" i="11"/>
  <c r="C724" i="4"/>
  <c r="E712" i="11"/>
  <c r="C716" i="4"/>
  <c r="E704" i="11"/>
  <c r="C708" i="4"/>
  <c r="E696" i="11"/>
  <c r="C700" i="4"/>
  <c r="E688" i="11"/>
  <c r="C692" i="4"/>
  <c r="E680" i="11"/>
  <c r="C684" i="4"/>
  <c r="E672" i="11"/>
  <c r="C676" i="4"/>
  <c r="E664" i="11"/>
  <c r="C668" i="4"/>
  <c r="E656" i="11"/>
  <c r="C660" i="4"/>
  <c r="E648" i="11"/>
  <c r="C652" i="4"/>
  <c r="E640" i="11"/>
  <c r="C644" i="4"/>
  <c r="E632" i="11"/>
  <c r="C636" i="4"/>
  <c r="E624" i="11"/>
  <c r="C628" i="4"/>
  <c r="E616" i="11"/>
  <c r="C620" i="4"/>
  <c r="E608" i="11"/>
  <c r="C612" i="4"/>
  <c r="E600" i="11"/>
  <c r="C604" i="4"/>
  <c r="E592" i="11"/>
  <c r="C596" i="4"/>
  <c r="E584" i="11"/>
  <c r="C588" i="4"/>
  <c r="E576" i="11"/>
  <c r="C580" i="4"/>
  <c r="E568" i="11"/>
  <c r="C572" i="4"/>
  <c r="E560" i="11"/>
  <c r="C564" i="4"/>
  <c r="E552" i="11"/>
  <c r="C556" i="4"/>
  <c r="E544" i="11"/>
  <c r="C548" i="4"/>
  <c r="E536" i="11"/>
  <c r="C540" i="4"/>
  <c r="E528" i="11"/>
  <c r="C532" i="4"/>
  <c r="E520" i="11"/>
  <c r="C524" i="4"/>
  <c r="E512" i="11"/>
  <c r="C516" i="4"/>
  <c r="E504" i="11"/>
  <c r="C508" i="4"/>
  <c r="E496" i="11"/>
  <c r="C500" i="4"/>
  <c r="E488" i="11"/>
  <c r="C492" i="4"/>
  <c r="E480" i="11"/>
  <c r="C484" i="4"/>
  <c r="E472" i="11"/>
  <c r="C476" i="4"/>
  <c r="E464" i="11"/>
  <c r="C468" i="4"/>
  <c r="E456" i="11"/>
  <c r="C460" i="4"/>
  <c r="E448" i="11"/>
  <c r="C452" i="4"/>
  <c r="E440" i="11"/>
  <c r="H440" i="11" s="1"/>
  <c r="C444" i="4"/>
  <c r="E432" i="11"/>
  <c r="H432" i="11" s="1"/>
  <c r="C436" i="4"/>
  <c r="E424" i="11"/>
  <c r="H424" i="11" s="1"/>
  <c r="C428" i="4"/>
  <c r="E416" i="11"/>
  <c r="H416" i="11" s="1"/>
  <c r="C420" i="4"/>
  <c r="E408" i="11"/>
  <c r="H408" i="11" s="1"/>
  <c r="C412" i="4"/>
  <c r="E400" i="11"/>
  <c r="H400" i="11" s="1"/>
  <c r="C404" i="4"/>
  <c r="E392" i="11"/>
  <c r="H392" i="11" s="1"/>
  <c r="C396" i="4"/>
  <c r="E384" i="11"/>
  <c r="H384" i="11" s="1"/>
  <c r="C388" i="4"/>
  <c r="E376" i="11"/>
  <c r="H376" i="11" s="1"/>
  <c r="C380" i="4"/>
  <c r="E368" i="11"/>
  <c r="H368" i="11" s="1"/>
  <c r="C372" i="4"/>
  <c r="E360" i="11"/>
  <c r="H360" i="11" s="1"/>
  <c r="C364" i="4"/>
  <c r="E352" i="11"/>
  <c r="H352" i="11" s="1"/>
  <c r="C356" i="4"/>
  <c r="E344" i="11"/>
  <c r="H344" i="11" s="1"/>
  <c r="C348" i="4"/>
  <c r="E336" i="11"/>
  <c r="H336" i="11" s="1"/>
  <c r="C340" i="4"/>
  <c r="E328" i="11"/>
  <c r="H328" i="11" s="1"/>
  <c r="C332" i="4"/>
  <c r="E320" i="11"/>
  <c r="H320" i="11" s="1"/>
  <c r="C324" i="4"/>
  <c r="E312" i="11"/>
  <c r="H312" i="11" s="1"/>
  <c r="C316" i="4"/>
  <c r="E304" i="11"/>
  <c r="H304" i="11" s="1"/>
  <c r="C308" i="4"/>
  <c r="E296" i="11"/>
  <c r="H296" i="11" s="1"/>
  <c r="C300" i="4"/>
  <c r="E288" i="11"/>
  <c r="H288" i="11" s="1"/>
  <c r="C292" i="4"/>
  <c r="E280" i="11"/>
  <c r="H280" i="11" s="1"/>
  <c r="C284" i="4"/>
  <c r="E272" i="11"/>
  <c r="H272" i="11" s="1"/>
  <c r="C276" i="4"/>
  <c r="E264" i="11"/>
  <c r="H264" i="11" s="1"/>
  <c r="C268" i="4"/>
  <c r="E256" i="11"/>
  <c r="H256" i="11" s="1"/>
  <c r="C260" i="4"/>
  <c r="E248" i="11"/>
  <c r="H248" i="11" s="1"/>
  <c r="C252" i="4"/>
  <c r="E240" i="11"/>
  <c r="H240" i="11" s="1"/>
  <c r="C244" i="4"/>
  <c r="E232" i="11"/>
  <c r="H232" i="11" s="1"/>
  <c r="C236" i="4"/>
  <c r="E224" i="11"/>
  <c r="H224" i="11" s="1"/>
  <c r="C228" i="4"/>
  <c r="E216" i="11"/>
  <c r="H216" i="11" s="1"/>
  <c r="C220" i="4"/>
  <c r="E208" i="11"/>
  <c r="H208" i="11" s="1"/>
  <c r="C212" i="4"/>
  <c r="E200" i="11"/>
  <c r="H200" i="11" s="1"/>
  <c r="C204" i="4"/>
  <c r="E192" i="11"/>
  <c r="H192" i="11" s="1"/>
  <c r="C196" i="4"/>
  <c r="E184" i="11"/>
  <c r="H184" i="11" s="1"/>
  <c r="C188" i="4"/>
  <c r="E176" i="11"/>
  <c r="H176" i="11" s="1"/>
  <c r="C180" i="4"/>
  <c r="E168" i="11"/>
  <c r="H168" i="11" s="1"/>
  <c r="C172" i="4"/>
  <c r="E160" i="11"/>
  <c r="H160" i="11" s="1"/>
  <c r="C164" i="4"/>
  <c r="E152" i="11"/>
  <c r="H152" i="11" s="1"/>
  <c r="C156" i="4"/>
  <c r="E144" i="11"/>
  <c r="H144" i="11" s="1"/>
  <c r="C148" i="4"/>
  <c r="E136" i="11"/>
  <c r="H136" i="11" s="1"/>
  <c r="C140" i="4"/>
  <c r="E128" i="11"/>
  <c r="H128" i="11" s="1"/>
  <c r="C132" i="4"/>
  <c r="E112" i="11"/>
  <c r="H112" i="11" s="1"/>
  <c r="C116" i="4"/>
  <c r="E104" i="11"/>
  <c r="H104" i="11" s="1"/>
  <c r="C108" i="4"/>
  <c r="E96" i="11"/>
  <c r="H96" i="11" s="1"/>
  <c r="C100" i="4"/>
  <c r="E88" i="11"/>
  <c r="H88" i="11" s="1"/>
  <c r="C92" i="4"/>
  <c r="E80" i="11"/>
  <c r="H80" i="11" s="1"/>
  <c r="C84" i="4"/>
  <c r="E72" i="11"/>
  <c r="H72" i="11" s="1"/>
  <c r="C76" i="4"/>
  <c r="E64" i="11"/>
  <c r="H64" i="11" s="1"/>
  <c r="C68" i="4"/>
  <c r="E56" i="11"/>
  <c r="H56" i="11" s="1"/>
  <c r="C60" i="4"/>
  <c r="E48" i="11"/>
  <c r="H48" i="11" s="1"/>
  <c r="C52" i="4"/>
  <c r="E40" i="11"/>
  <c r="H40" i="11" s="1"/>
  <c r="C44" i="4"/>
  <c r="E32" i="11"/>
  <c r="C36" i="4"/>
  <c r="E24" i="11"/>
  <c r="H24" i="11" s="1"/>
  <c r="C28" i="4"/>
  <c r="E16" i="11"/>
  <c r="H16" i="11" s="1"/>
  <c r="C20" i="4"/>
  <c r="E8" i="11"/>
  <c r="H8" i="11" s="1"/>
  <c r="C12" i="4"/>
  <c r="E843" i="11"/>
  <c r="C847" i="4"/>
  <c r="E827" i="11"/>
  <c r="C831" i="4"/>
  <c r="E803" i="11"/>
  <c r="H803" i="11" s="1"/>
  <c r="C807" i="4"/>
  <c r="E787" i="11"/>
  <c r="H787" i="11" s="1"/>
  <c r="C791" i="4"/>
  <c r="E763" i="11"/>
  <c r="H763" i="11" s="1"/>
  <c r="C767" i="4"/>
  <c r="E747" i="11"/>
  <c r="C751" i="4"/>
  <c r="E723" i="11"/>
  <c r="C727" i="4"/>
  <c r="E699" i="11"/>
  <c r="C703" i="4"/>
  <c r="E683" i="11"/>
  <c r="C687" i="4"/>
  <c r="E659" i="11"/>
  <c r="C663" i="4"/>
  <c r="E643" i="11"/>
  <c r="H643" i="11" s="1"/>
  <c r="C647" i="4"/>
  <c r="E619" i="11"/>
  <c r="C623" i="4"/>
  <c r="E595" i="11"/>
  <c r="C599" i="4"/>
  <c r="E571" i="11"/>
  <c r="C575" i="4"/>
  <c r="E547" i="11"/>
  <c r="H547" i="11" s="1"/>
  <c r="C551" i="4"/>
  <c r="E523" i="11"/>
  <c r="C527" i="4"/>
  <c r="E499" i="11"/>
  <c r="C503" i="4"/>
  <c r="E483" i="11"/>
  <c r="C487" i="4"/>
  <c r="E459" i="11"/>
  <c r="C463" i="4"/>
  <c r="E435" i="11"/>
  <c r="H435" i="11" s="1"/>
  <c r="C439" i="4"/>
  <c r="E427" i="11"/>
  <c r="H427" i="11" s="1"/>
  <c r="C431" i="4"/>
  <c r="E403" i="11"/>
  <c r="H403" i="11" s="1"/>
  <c r="C407" i="4"/>
  <c r="E387" i="11"/>
  <c r="H387" i="11" s="1"/>
  <c r="C391" i="4"/>
  <c r="E363" i="11"/>
  <c r="H363" i="11" s="1"/>
  <c r="C367" i="4"/>
  <c r="E339" i="11"/>
  <c r="H339" i="11" s="1"/>
  <c r="C343" i="4"/>
  <c r="E323" i="11"/>
  <c r="H323" i="11" s="1"/>
  <c r="C327" i="4"/>
  <c r="E299" i="11"/>
  <c r="H299" i="11" s="1"/>
  <c r="C303" i="4"/>
  <c r="E275" i="11"/>
  <c r="H275" i="11" s="1"/>
  <c r="C279" i="4"/>
  <c r="E259" i="11"/>
  <c r="H259" i="11" s="1"/>
  <c r="C263" i="4"/>
  <c r="E235" i="11"/>
  <c r="H235" i="11" s="1"/>
  <c r="C239" i="4"/>
  <c r="E219" i="11"/>
  <c r="H219" i="11" s="1"/>
  <c r="C223" i="4"/>
  <c r="E195" i="11"/>
  <c r="H195" i="11" s="1"/>
  <c r="C199" i="4"/>
  <c r="E171" i="11"/>
  <c r="H171" i="11" s="1"/>
  <c r="C175" i="4"/>
  <c r="E155" i="11"/>
  <c r="H155" i="11" s="1"/>
  <c r="C159" i="4"/>
  <c r="E99" i="11"/>
  <c r="H99" i="11" s="1"/>
  <c r="C103" i="4"/>
  <c r="E83" i="11"/>
  <c r="H83" i="11" s="1"/>
  <c r="C87" i="4"/>
  <c r="E67" i="11"/>
  <c r="H67" i="11" s="1"/>
  <c r="C71" i="4"/>
  <c r="E51" i="11"/>
  <c r="H51" i="11" s="1"/>
  <c r="C55" i="4"/>
  <c r="E35" i="11"/>
  <c r="H35" i="11" s="1"/>
  <c r="C39" i="4"/>
  <c r="E11" i="11"/>
  <c r="H11" i="11" s="1"/>
  <c r="C15" i="4"/>
  <c r="E834" i="11"/>
  <c r="C838" i="4"/>
  <c r="E818" i="11"/>
  <c r="H818" i="11" s="1"/>
  <c r="C822" i="4"/>
  <c r="E802" i="11"/>
  <c r="H802" i="11" s="1"/>
  <c r="C806" i="4"/>
  <c r="E778" i="11"/>
  <c r="H778" i="11" s="1"/>
  <c r="C782" i="4"/>
  <c r="E762" i="11"/>
  <c r="H762" i="11" s="1"/>
  <c r="C766" i="4"/>
  <c r="E746" i="11"/>
  <c r="H746" i="11" s="1"/>
  <c r="C750" i="4"/>
  <c r="E730" i="11"/>
  <c r="H730" i="11" s="1"/>
  <c r="C734" i="4"/>
  <c r="E714" i="11"/>
  <c r="H714" i="11" s="1"/>
  <c r="C718" i="4"/>
  <c r="E698" i="11"/>
  <c r="H698" i="11" s="1"/>
  <c r="C702" i="4"/>
  <c r="E682" i="11"/>
  <c r="H682" i="11" s="1"/>
  <c r="C686" i="4"/>
  <c r="E658" i="11"/>
  <c r="H658" i="11" s="1"/>
  <c r="C662" i="4"/>
  <c r="E642" i="11"/>
  <c r="H642" i="11" s="1"/>
  <c r="C646" i="4"/>
  <c r="E618" i="11"/>
  <c r="H618" i="11" s="1"/>
  <c r="C622" i="4"/>
  <c r="E594" i="11"/>
  <c r="H594" i="11" s="1"/>
  <c r="C598" i="4"/>
  <c r="E570" i="11"/>
  <c r="H570" i="11" s="1"/>
  <c r="C574" i="4"/>
  <c r="E554" i="11"/>
  <c r="H554" i="11" s="1"/>
  <c r="C558" i="4"/>
  <c r="E538" i="11"/>
  <c r="H538" i="11" s="1"/>
  <c r="C542" i="4"/>
  <c r="E514" i="11"/>
  <c r="H514" i="11" s="1"/>
  <c r="C518" i="4"/>
  <c r="E498" i="11"/>
  <c r="H498" i="11" s="1"/>
  <c r="C502" i="4"/>
  <c r="E482" i="11"/>
  <c r="H482" i="11" s="1"/>
  <c r="C486" i="4"/>
  <c r="E466" i="11"/>
  <c r="H466" i="11" s="1"/>
  <c r="C470" i="4"/>
  <c r="E450" i="11"/>
  <c r="C454" i="4"/>
  <c r="E434" i="11"/>
  <c r="H434" i="11" s="1"/>
  <c r="C438" i="4"/>
  <c r="E418" i="11"/>
  <c r="H418" i="11" s="1"/>
  <c r="C422" i="4"/>
  <c r="E386" i="11"/>
  <c r="H386" i="11" s="1"/>
  <c r="C390" i="4"/>
  <c r="E362" i="11"/>
  <c r="H362" i="11" s="1"/>
  <c r="C366" i="4"/>
  <c r="E338" i="11"/>
  <c r="H338" i="11" s="1"/>
  <c r="C342" i="4"/>
  <c r="E322" i="11"/>
  <c r="H322" i="11" s="1"/>
  <c r="C326" i="4"/>
  <c r="E298" i="11"/>
  <c r="H298" i="11" s="1"/>
  <c r="C302" i="4"/>
  <c r="E282" i="11"/>
  <c r="H282" i="11" s="1"/>
  <c r="C286" i="4"/>
  <c r="E258" i="11"/>
  <c r="H258" i="11" s="1"/>
  <c r="C262" i="4"/>
  <c r="E242" i="11"/>
  <c r="H242" i="11" s="1"/>
  <c r="C246" i="4"/>
  <c r="E210" i="11"/>
  <c r="H210" i="11" s="1"/>
  <c r="C214" i="4"/>
  <c r="E186" i="11"/>
  <c r="H186" i="11" s="1"/>
  <c r="C190" i="4"/>
  <c r="E162" i="11"/>
  <c r="H162" i="11" s="1"/>
  <c r="C166" i="4"/>
  <c r="E849" i="11"/>
  <c r="C853" i="4"/>
  <c r="E825" i="11"/>
  <c r="C829" i="4"/>
  <c r="E793" i="11"/>
  <c r="H793" i="11" s="1"/>
  <c r="C797" i="4"/>
  <c r="E769" i="11"/>
  <c r="H769" i="11" s="1"/>
  <c r="C773" i="4"/>
  <c r="E737" i="11"/>
  <c r="C741" i="4"/>
  <c r="E697" i="11"/>
  <c r="H697" i="11" s="1"/>
  <c r="C701" i="4"/>
  <c r="E657" i="11"/>
  <c r="C661" i="4"/>
  <c r="E625" i="11"/>
  <c r="C629" i="4"/>
  <c r="G629" i="4" s="1"/>
  <c r="E585" i="11"/>
  <c r="C589" i="4"/>
  <c r="E553" i="11"/>
  <c r="C557" i="4"/>
  <c r="E473" i="11"/>
  <c r="C477" i="4"/>
  <c r="E824" i="11"/>
  <c r="H824" i="11" s="1"/>
  <c r="C828" i="4"/>
  <c r="E847" i="11"/>
  <c r="C851" i="4"/>
  <c r="E839" i="11"/>
  <c r="C843" i="4"/>
  <c r="E831" i="11"/>
  <c r="C835" i="4"/>
  <c r="E823" i="11"/>
  <c r="H823" i="11" s="1"/>
  <c r="C827" i="4"/>
  <c r="E815" i="11"/>
  <c r="H815" i="11" s="1"/>
  <c r="C819" i="4"/>
  <c r="E807" i="11"/>
  <c r="H807" i="11" s="1"/>
  <c r="C811" i="4"/>
  <c r="E799" i="11"/>
  <c r="H799" i="11" s="1"/>
  <c r="C803" i="4"/>
  <c r="E791" i="11"/>
  <c r="H791" i="11" s="1"/>
  <c r="C795" i="4"/>
  <c r="E783" i="11"/>
  <c r="H783" i="11" s="1"/>
  <c r="C787" i="4"/>
  <c r="E775" i="11"/>
  <c r="H775" i="11" s="1"/>
  <c r="C779" i="4"/>
  <c r="E767" i="11"/>
  <c r="H767" i="11" s="1"/>
  <c r="C771" i="4"/>
  <c r="E759" i="11"/>
  <c r="H759" i="11" s="1"/>
  <c r="C763" i="4"/>
  <c r="E751" i="11"/>
  <c r="H751" i="11" s="1"/>
  <c r="C755" i="4"/>
  <c r="E743" i="11"/>
  <c r="C747" i="4"/>
  <c r="E735" i="11"/>
  <c r="C739" i="4"/>
  <c r="E727" i="11"/>
  <c r="C731" i="4"/>
  <c r="E719" i="11"/>
  <c r="C723" i="4"/>
  <c r="E711" i="11"/>
  <c r="C715" i="4"/>
  <c r="E703" i="11"/>
  <c r="C707" i="4"/>
  <c r="E695" i="11"/>
  <c r="C699" i="4"/>
  <c r="E687" i="11"/>
  <c r="C691" i="4"/>
  <c r="E679" i="11"/>
  <c r="C683" i="4"/>
  <c r="E671" i="11"/>
  <c r="C675" i="4"/>
  <c r="E663" i="11"/>
  <c r="C667" i="4"/>
  <c r="E655" i="11"/>
  <c r="C659" i="4"/>
  <c r="E647" i="11"/>
  <c r="C651" i="4"/>
  <c r="E639" i="11"/>
  <c r="C643" i="4"/>
  <c r="E631" i="11"/>
  <c r="C635" i="4"/>
  <c r="E623" i="11"/>
  <c r="C627" i="4"/>
  <c r="E615" i="11"/>
  <c r="C619" i="4"/>
  <c r="E607" i="11"/>
  <c r="C611" i="4"/>
  <c r="E599" i="11"/>
  <c r="C603" i="4"/>
  <c r="E591" i="11"/>
  <c r="C595" i="4"/>
  <c r="E583" i="11"/>
  <c r="C587" i="4"/>
  <c r="E575" i="11"/>
  <c r="C579" i="4"/>
  <c r="E567" i="11"/>
  <c r="C571" i="4"/>
  <c r="E559" i="11"/>
  <c r="C563" i="4"/>
  <c r="E551" i="11"/>
  <c r="C555" i="4"/>
  <c r="E543" i="11"/>
  <c r="C547" i="4"/>
  <c r="E535" i="11"/>
  <c r="C539" i="4"/>
  <c r="E527" i="11"/>
  <c r="C531" i="4"/>
  <c r="E519" i="11"/>
  <c r="C523" i="4"/>
  <c r="E511" i="11"/>
  <c r="C515" i="4"/>
  <c r="E503" i="11"/>
  <c r="C507" i="4"/>
  <c r="E495" i="11"/>
  <c r="C499" i="4"/>
  <c r="E487" i="11"/>
  <c r="C491" i="4"/>
  <c r="E479" i="11"/>
  <c r="C483" i="4"/>
  <c r="E471" i="11"/>
  <c r="C475" i="4"/>
  <c r="E463" i="11"/>
  <c r="C467" i="4"/>
  <c r="E455" i="11"/>
  <c r="C459" i="4"/>
  <c r="E447" i="11"/>
  <c r="C451" i="4"/>
  <c r="E439" i="11"/>
  <c r="H439" i="11" s="1"/>
  <c r="C443" i="4"/>
  <c r="E431" i="11"/>
  <c r="H431" i="11" s="1"/>
  <c r="C435" i="4"/>
  <c r="E423" i="11"/>
  <c r="H423" i="11" s="1"/>
  <c r="C427" i="4"/>
  <c r="E415" i="11"/>
  <c r="H415" i="11" s="1"/>
  <c r="C419" i="4"/>
  <c r="E407" i="11"/>
  <c r="H407" i="11" s="1"/>
  <c r="C411" i="4"/>
  <c r="E399" i="11"/>
  <c r="H399" i="11" s="1"/>
  <c r="C403" i="4"/>
  <c r="E391" i="11"/>
  <c r="H391" i="11" s="1"/>
  <c r="C395" i="4"/>
  <c r="E383" i="11"/>
  <c r="H383" i="11" s="1"/>
  <c r="C387" i="4"/>
  <c r="E375" i="11"/>
  <c r="H375" i="11" s="1"/>
  <c r="C379" i="4"/>
  <c r="E367" i="11"/>
  <c r="H367" i="11" s="1"/>
  <c r="C371" i="4"/>
  <c r="E359" i="11"/>
  <c r="H359" i="11" s="1"/>
  <c r="C363" i="4"/>
  <c r="E351" i="11"/>
  <c r="H351" i="11" s="1"/>
  <c r="C355" i="4"/>
  <c r="E343" i="11"/>
  <c r="H343" i="11" s="1"/>
  <c r="C347" i="4"/>
  <c r="E335" i="11"/>
  <c r="H335" i="11" s="1"/>
  <c r="C339" i="4"/>
  <c r="E327" i="11"/>
  <c r="H327" i="11" s="1"/>
  <c r="C331" i="4"/>
  <c r="E319" i="11"/>
  <c r="H319" i="11" s="1"/>
  <c r="C323" i="4"/>
  <c r="E311" i="11"/>
  <c r="H311" i="11" s="1"/>
  <c r="C315" i="4"/>
  <c r="E303" i="11"/>
  <c r="H303" i="11" s="1"/>
  <c r="C307" i="4"/>
  <c r="E295" i="11"/>
  <c r="H295" i="11" s="1"/>
  <c r="C299" i="4"/>
  <c r="E287" i="11"/>
  <c r="H287" i="11" s="1"/>
  <c r="C291" i="4"/>
  <c r="E279" i="11"/>
  <c r="H279" i="11" s="1"/>
  <c r="C283" i="4"/>
  <c r="E271" i="11"/>
  <c r="H271" i="11" s="1"/>
  <c r="C275" i="4"/>
  <c r="E263" i="11"/>
  <c r="H263" i="11" s="1"/>
  <c r="C267" i="4"/>
  <c r="E255" i="11"/>
  <c r="H255" i="11" s="1"/>
  <c r="C259" i="4"/>
  <c r="E247" i="11"/>
  <c r="H247" i="11" s="1"/>
  <c r="C251" i="4"/>
  <c r="E239" i="11"/>
  <c r="H239" i="11" s="1"/>
  <c r="C243" i="4"/>
  <c r="E231" i="11"/>
  <c r="H231" i="11" s="1"/>
  <c r="C235" i="4"/>
  <c r="E223" i="11"/>
  <c r="H223" i="11" s="1"/>
  <c r="C227" i="4"/>
  <c r="E215" i="11"/>
  <c r="H215" i="11" s="1"/>
  <c r="C219" i="4"/>
  <c r="E207" i="11"/>
  <c r="H207" i="11" s="1"/>
  <c r="C211" i="4"/>
  <c r="E199" i="11"/>
  <c r="H199" i="11" s="1"/>
  <c r="C203" i="4"/>
  <c r="E191" i="11"/>
  <c r="H191" i="11" s="1"/>
  <c r="C195" i="4"/>
  <c r="E183" i="11"/>
  <c r="H183" i="11" s="1"/>
  <c r="C187" i="4"/>
  <c r="E175" i="11"/>
  <c r="H175" i="11" s="1"/>
  <c r="C179" i="4"/>
  <c r="E167" i="11"/>
  <c r="H167" i="11" s="1"/>
  <c r="C171" i="4"/>
  <c r="E159" i="11"/>
  <c r="H159" i="11" s="1"/>
  <c r="C163" i="4"/>
  <c r="E151" i="11"/>
  <c r="H151" i="11" s="1"/>
  <c r="C155" i="4"/>
  <c r="E143" i="11"/>
  <c r="H143" i="11" s="1"/>
  <c r="C147" i="4"/>
  <c r="E135" i="11"/>
  <c r="H135" i="11" s="1"/>
  <c r="C139" i="4"/>
  <c r="E127" i="11"/>
  <c r="H127" i="11" s="1"/>
  <c r="C131" i="4"/>
  <c r="E111" i="11"/>
  <c r="H111" i="11" s="1"/>
  <c r="C115" i="4"/>
  <c r="E103" i="11"/>
  <c r="H103" i="11" s="1"/>
  <c r="C107" i="4"/>
  <c r="E95" i="11"/>
  <c r="H95" i="11" s="1"/>
  <c r="C99" i="4"/>
  <c r="E87" i="11"/>
  <c r="H87" i="11" s="1"/>
  <c r="C91" i="4"/>
  <c r="E79" i="11"/>
  <c r="H79" i="11" s="1"/>
  <c r="C83" i="4"/>
  <c r="E71" i="11"/>
  <c r="H71" i="11" s="1"/>
  <c r="C75" i="4"/>
  <c r="E63" i="11"/>
  <c r="H63" i="11" s="1"/>
  <c r="C67" i="4"/>
  <c r="E55" i="11"/>
  <c r="H55" i="11" s="1"/>
  <c r="C59" i="4"/>
  <c r="E47" i="11"/>
  <c r="H47" i="11" s="1"/>
  <c r="C51" i="4"/>
  <c r="E39" i="11"/>
  <c r="H39" i="11" s="1"/>
  <c r="C43" i="4"/>
  <c r="E31" i="11"/>
  <c r="H31" i="11" s="1"/>
  <c r="C35" i="4"/>
  <c r="E23" i="11"/>
  <c r="C27" i="4"/>
  <c r="E15" i="11"/>
  <c r="H15" i="11" s="1"/>
  <c r="C19" i="4"/>
  <c r="E7" i="11"/>
  <c r="H7" i="11" s="1"/>
  <c r="C11" i="4"/>
  <c r="E835" i="11"/>
  <c r="C839" i="4"/>
  <c r="E819" i="11"/>
  <c r="H819" i="11" s="1"/>
  <c r="C823" i="4"/>
  <c r="E795" i="11"/>
  <c r="H795" i="11" s="1"/>
  <c r="C799" i="4"/>
  <c r="E779" i="11"/>
  <c r="H779" i="11" s="1"/>
  <c r="C783" i="4"/>
  <c r="E755" i="11"/>
  <c r="H755" i="11" s="1"/>
  <c r="C759" i="4"/>
  <c r="E731" i="11"/>
  <c r="H731" i="11" s="1"/>
  <c r="C735" i="4"/>
  <c r="E715" i="11"/>
  <c r="C719" i="4"/>
  <c r="E691" i="11"/>
  <c r="C695" i="4"/>
  <c r="E675" i="11"/>
  <c r="C679" i="4"/>
  <c r="E651" i="11"/>
  <c r="C655" i="4"/>
  <c r="E627" i="11"/>
  <c r="H627" i="11" s="1"/>
  <c r="C631" i="4"/>
  <c r="E611" i="11"/>
  <c r="C615" i="4"/>
  <c r="E587" i="11"/>
  <c r="C591" i="4"/>
  <c r="E563" i="11"/>
  <c r="C567" i="4"/>
  <c r="E555" i="11"/>
  <c r="C559" i="4"/>
  <c r="E531" i="11"/>
  <c r="C535" i="4"/>
  <c r="E507" i="11"/>
  <c r="C511" i="4"/>
  <c r="E491" i="11"/>
  <c r="C495" i="4"/>
  <c r="E467" i="11"/>
  <c r="C471" i="4"/>
  <c r="E443" i="11"/>
  <c r="H443" i="11" s="1"/>
  <c r="C447" i="4"/>
  <c r="E419" i="11"/>
  <c r="H419" i="11" s="1"/>
  <c r="C423" i="4"/>
  <c r="E395" i="11"/>
  <c r="H395" i="11" s="1"/>
  <c r="C399" i="4"/>
  <c r="E371" i="11"/>
  <c r="H371" i="11" s="1"/>
  <c r="C375" i="4"/>
  <c r="E355" i="11"/>
  <c r="H355" i="11" s="1"/>
  <c r="C359" i="4"/>
  <c r="E331" i="11"/>
  <c r="H331" i="11" s="1"/>
  <c r="C335" i="4"/>
  <c r="E307" i="11"/>
  <c r="H307" i="11" s="1"/>
  <c r="C311" i="4"/>
  <c r="E291" i="11"/>
  <c r="H291" i="11" s="1"/>
  <c r="C295" i="4"/>
  <c r="E267" i="11"/>
  <c r="H267" i="11" s="1"/>
  <c r="C271" i="4"/>
  <c r="E251" i="11"/>
  <c r="H251" i="11" s="1"/>
  <c r="C255" i="4"/>
  <c r="E227" i="11"/>
  <c r="H227" i="11" s="1"/>
  <c r="C231" i="4"/>
  <c r="E211" i="11"/>
  <c r="H211" i="11" s="1"/>
  <c r="C215" i="4"/>
  <c r="E187" i="11"/>
  <c r="H187" i="11" s="1"/>
  <c r="C191" i="4"/>
  <c r="E179" i="11"/>
  <c r="H179" i="11" s="1"/>
  <c r="C183" i="4"/>
  <c r="E163" i="11"/>
  <c r="H163" i="11" s="1"/>
  <c r="C167" i="4"/>
  <c r="E147" i="11"/>
  <c r="H147" i="11" s="1"/>
  <c r="C151" i="4"/>
  <c r="E131" i="11"/>
  <c r="H131" i="11" s="1"/>
  <c r="C135" i="4"/>
  <c r="E123" i="11"/>
  <c r="H123" i="11" s="1"/>
  <c r="C127" i="4"/>
  <c r="E107" i="11"/>
  <c r="H107" i="11" s="1"/>
  <c r="C111" i="4"/>
  <c r="E91" i="11"/>
  <c r="H91" i="11" s="1"/>
  <c r="C95" i="4"/>
  <c r="E75" i="11"/>
  <c r="H75" i="11" s="1"/>
  <c r="C79" i="4"/>
  <c r="E59" i="11"/>
  <c r="C63" i="4"/>
  <c r="E43" i="11"/>
  <c r="H43" i="11" s="1"/>
  <c r="C47" i="4"/>
  <c r="E19" i="11"/>
  <c r="H19" i="11" s="1"/>
  <c r="C23" i="4"/>
  <c r="E842" i="11"/>
  <c r="H842" i="11" s="1"/>
  <c r="C846" i="4"/>
  <c r="E826" i="11"/>
  <c r="H826" i="11" s="1"/>
  <c r="C830" i="4"/>
  <c r="E810" i="11"/>
  <c r="H810" i="11" s="1"/>
  <c r="C814" i="4"/>
  <c r="E786" i="11"/>
  <c r="H786" i="11" s="1"/>
  <c r="C790" i="4"/>
  <c r="E770" i="11"/>
  <c r="H770" i="11" s="1"/>
  <c r="C774" i="4"/>
  <c r="E754" i="11"/>
  <c r="H754" i="11" s="1"/>
  <c r="C758" i="4"/>
  <c r="E738" i="11"/>
  <c r="H738" i="11" s="1"/>
  <c r="C742" i="4"/>
  <c r="E722" i="11"/>
  <c r="H722" i="11" s="1"/>
  <c r="C726" i="4"/>
  <c r="E690" i="11"/>
  <c r="H690" i="11" s="1"/>
  <c r="C694" i="4"/>
  <c r="E666" i="11"/>
  <c r="H666" i="11" s="1"/>
  <c r="C670" i="4"/>
  <c r="E650" i="11"/>
  <c r="H650" i="11" s="1"/>
  <c r="C654" i="4"/>
  <c r="E626" i="11"/>
  <c r="H626" i="11" s="1"/>
  <c r="C630" i="4"/>
  <c r="E610" i="11"/>
  <c r="H610" i="11" s="1"/>
  <c r="C614" i="4"/>
  <c r="E602" i="11"/>
  <c r="H602" i="11" s="1"/>
  <c r="C606" i="4"/>
  <c r="E578" i="11"/>
  <c r="H578" i="11" s="1"/>
  <c r="C582" i="4"/>
  <c r="E562" i="11"/>
  <c r="H562" i="11" s="1"/>
  <c r="C566" i="4"/>
  <c r="E546" i="11"/>
  <c r="H546" i="11" s="1"/>
  <c r="C550" i="4"/>
  <c r="E522" i="11"/>
  <c r="H522" i="11" s="1"/>
  <c r="C526" i="4"/>
  <c r="E506" i="11"/>
  <c r="H506" i="11" s="1"/>
  <c r="C510" i="4"/>
  <c r="E490" i="11"/>
  <c r="H490" i="11" s="1"/>
  <c r="C494" i="4"/>
  <c r="E474" i="11"/>
  <c r="H474" i="11" s="1"/>
  <c r="C478" i="4"/>
  <c r="E458" i="11"/>
  <c r="C462" i="4"/>
  <c r="E426" i="11"/>
  <c r="H426" i="11" s="1"/>
  <c r="C430" i="4"/>
  <c r="E410" i="11"/>
  <c r="H410" i="11" s="1"/>
  <c r="C414" i="4"/>
  <c r="E394" i="11"/>
  <c r="H394" i="11" s="1"/>
  <c r="C398" i="4"/>
  <c r="E370" i="11"/>
  <c r="H370" i="11" s="1"/>
  <c r="C374" i="4"/>
  <c r="E346" i="11"/>
  <c r="H346" i="11" s="1"/>
  <c r="C350" i="4"/>
  <c r="E330" i="11"/>
  <c r="H330" i="11" s="1"/>
  <c r="C334" i="4"/>
  <c r="E306" i="11"/>
  <c r="H306" i="11" s="1"/>
  <c r="C310" i="4"/>
  <c r="E290" i="11"/>
  <c r="H290" i="11" s="1"/>
  <c r="C294" i="4"/>
  <c r="E266" i="11"/>
  <c r="H266" i="11" s="1"/>
  <c r="C270" i="4"/>
  <c r="E250" i="11"/>
  <c r="H250" i="11" s="1"/>
  <c r="C254" i="4"/>
  <c r="E218" i="11"/>
  <c r="H218" i="11" s="1"/>
  <c r="C222" i="4"/>
  <c r="E194" i="11"/>
  <c r="H194" i="11" s="1"/>
  <c r="C198" i="4"/>
  <c r="E170" i="11"/>
  <c r="H170" i="11" s="1"/>
  <c r="C174" i="4"/>
  <c r="E146" i="11"/>
  <c r="H146" i="11" s="1"/>
  <c r="C150" i="4"/>
  <c r="E138" i="11"/>
  <c r="H138" i="11" s="1"/>
  <c r="C142" i="4"/>
  <c r="E122" i="11"/>
  <c r="H122" i="11" s="1"/>
  <c r="C126" i="4"/>
  <c r="E841" i="11"/>
  <c r="H841" i="11" s="1"/>
  <c r="C845" i="4"/>
  <c r="E809" i="11"/>
  <c r="H809" i="11" s="1"/>
  <c r="C813" i="4"/>
  <c r="E777" i="11"/>
  <c r="H777" i="11" s="1"/>
  <c r="C781" i="4"/>
  <c r="E761" i="11"/>
  <c r="H761" i="11" s="1"/>
  <c r="C765" i="4"/>
  <c r="E721" i="11"/>
  <c r="C725" i="4"/>
  <c r="E689" i="11"/>
  <c r="C693" i="4"/>
  <c r="E665" i="11"/>
  <c r="H665" i="11" s="1"/>
  <c r="C669" i="4"/>
  <c r="E633" i="11"/>
  <c r="H633" i="11" s="1"/>
  <c r="C637" i="4"/>
  <c r="E593" i="11"/>
  <c r="C597" i="4"/>
  <c r="E545" i="11"/>
  <c r="H545" i="11" s="1"/>
  <c r="C549" i="4"/>
  <c r="E481" i="11"/>
  <c r="C485" i="4"/>
  <c r="E800" i="11"/>
  <c r="H800" i="11" s="1"/>
  <c r="C804" i="4"/>
  <c r="E846" i="11"/>
  <c r="H846" i="11" s="1"/>
  <c r="C850" i="4"/>
  <c r="E838" i="11"/>
  <c r="H838" i="11" s="1"/>
  <c r="C842" i="4"/>
  <c r="G842" i="4" s="1"/>
  <c r="E830" i="11"/>
  <c r="H830" i="11" s="1"/>
  <c r="C834" i="4"/>
  <c r="E822" i="11"/>
  <c r="H822" i="11" s="1"/>
  <c r="C826" i="4"/>
  <c r="E814" i="11"/>
  <c r="H814" i="11" s="1"/>
  <c r="C818" i="4"/>
  <c r="E806" i="11"/>
  <c r="H806" i="11" s="1"/>
  <c r="C810" i="4"/>
  <c r="E798" i="11"/>
  <c r="H798" i="11" s="1"/>
  <c r="C802" i="4"/>
  <c r="E790" i="11"/>
  <c r="H790" i="11" s="1"/>
  <c r="C794" i="4"/>
  <c r="E782" i="11"/>
  <c r="H782" i="11" s="1"/>
  <c r="C786" i="4"/>
  <c r="E774" i="11"/>
  <c r="H774" i="11" s="1"/>
  <c r="C778" i="4"/>
  <c r="E766" i="11"/>
  <c r="H766" i="11" s="1"/>
  <c r="C770" i="4"/>
  <c r="E758" i="11"/>
  <c r="H758" i="11" s="1"/>
  <c r="C762" i="4"/>
  <c r="E750" i="11"/>
  <c r="H750" i="11" s="1"/>
  <c r="C754" i="4"/>
  <c r="E742" i="11"/>
  <c r="H742" i="11" s="1"/>
  <c r="C746" i="4"/>
  <c r="E734" i="11"/>
  <c r="H734" i="11" s="1"/>
  <c r="C738" i="4"/>
  <c r="E726" i="11"/>
  <c r="H726" i="11" s="1"/>
  <c r="C730" i="4"/>
  <c r="E718" i="11"/>
  <c r="H718" i="11" s="1"/>
  <c r="C722" i="4"/>
  <c r="E710" i="11"/>
  <c r="H710" i="11" s="1"/>
  <c r="C714" i="4"/>
  <c r="E702" i="11"/>
  <c r="H702" i="11" s="1"/>
  <c r="C706" i="4"/>
  <c r="E694" i="11"/>
  <c r="H694" i="11" s="1"/>
  <c r="C698" i="4"/>
  <c r="E686" i="11"/>
  <c r="H686" i="11" s="1"/>
  <c r="C690" i="4"/>
  <c r="E678" i="11"/>
  <c r="H678" i="11" s="1"/>
  <c r="C682" i="4"/>
  <c r="E670" i="11"/>
  <c r="H670" i="11" s="1"/>
  <c r="C674" i="4"/>
  <c r="E662" i="11"/>
  <c r="H662" i="11" s="1"/>
  <c r="C666" i="4"/>
  <c r="E654" i="11"/>
  <c r="H654" i="11" s="1"/>
  <c r="C658" i="4"/>
  <c r="E646" i="11"/>
  <c r="H646" i="11" s="1"/>
  <c r="C650" i="4"/>
  <c r="E638" i="11"/>
  <c r="H638" i="11" s="1"/>
  <c r="C642" i="4"/>
  <c r="E630" i="11"/>
  <c r="H630" i="11" s="1"/>
  <c r="C634" i="4"/>
  <c r="E622" i="11"/>
  <c r="H622" i="11" s="1"/>
  <c r="C626" i="4"/>
  <c r="E614" i="11"/>
  <c r="H614" i="11" s="1"/>
  <c r="C618" i="4"/>
  <c r="E606" i="11"/>
  <c r="H606" i="11" s="1"/>
  <c r="C610" i="4"/>
  <c r="E598" i="11"/>
  <c r="H598" i="11" s="1"/>
  <c r="C602" i="4"/>
  <c r="E590" i="11"/>
  <c r="H590" i="11" s="1"/>
  <c r="C594" i="4"/>
  <c r="E582" i="11"/>
  <c r="H582" i="11" s="1"/>
  <c r="C586" i="4"/>
  <c r="E574" i="11"/>
  <c r="H574" i="11" s="1"/>
  <c r="C578" i="4"/>
  <c r="E566" i="11"/>
  <c r="H566" i="11" s="1"/>
  <c r="C570" i="4"/>
  <c r="E558" i="11"/>
  <c r="H558" i="11" s="1"/>
  <c r="C562" i="4"/>
  <c r="E550" i="11"/>
  <c r="H550" i="11" s="1"/>
  <c r="C554" i="4"/>
  <c r="E542" i="11"/>
  <c r="H542" i="11" s="1"/>
  <c r="C546" i="4"/>
  <c r="E534" i="11"/>
  <c r="H534" i="11" s="1"/>
  <c r="C538" i="4"/>
  <c r="E526" i="11"/>
  <c r="H526" i="11" s="1"/>
  <c r="C530" i="4"/>
  <c r="E518" i="11"/>
  <c r="H518" i="11" s="1"/>
  <c r="C522" i="4"/>
  <c r="E510" i="11"/>
  <c r="H510" i="11" s="1"/>
  <c r="C514" i="4"/>
  <c r="E502" i="11"/>
  <c r="H502" i="11" s="1"/>
  <c r="C506" i="4"/>
  <c r="E494" i="11"/>
  <c r="H494" i="11" s="1"/>
  <c r="C498" i="4"/>
  <c r="E486" i="11"/>
  <c r="H486" i="11" s="1"/>
  <c r="C490" i="4"/>
  <c r="E478" i="11"/>
  <c r="H478" i="11" s="1"/>
  <c r="C482" i="4"/>
  <c r="E470" i="11"/>
  <c r="H470" i="11" s="1"/>
  <c r="C474" i="4"/>
  <c r="E462" i="11"/>
  <c r="H462" i="11" s="1"/>
  <c r="C466" i="4"/>
  <c r="E454" i="11"/>
  <c r="C458" i="4"/>
  <c r="E446" i="11"/>
  <c r="C450" i="4"/>
  <c r="E438" i="11"/>
  <c r="H438" i="11" s="1"/>
  <c r="C442" i="4"/>
  <c r="E430" i="11"/>
  <c r="H430" i="11" s="1"/>
  <c r="C434" i="4"/>
  <c r="E422" i="11"/>
  <c r="H422" i="11" s="1"/>
  <c r="C426" i="4"/>
  <c r="E414" i="11"/>
  <c r="H414" i="11" s="1"/>
  <c r="C418" i="4"/>
  <c r="E406" i="11"/>
  <c r="H406" i="11" s="1"/>
  <c r="C410" i="4"/>
  <c r="E398" i="11"/>
  <c r="H398" i="11" s="1"/>
  <c r="C402" i="4"/>
  <c r="E390" i="11"/>
  <c r="H390" i="11" s="1"/>
  <c r="C394" i="4"/>
  <c r="E382" i="11"/>
  <c r="H382" i="11" s="1"/>
  <c r="C386" i="4"/>
  <c r="E374" i="11"/>
  <c r="H374" i="11" s="1"/>
  <c r="C378" i="4"/>
  <c r="E366" i="11"/>
  <c r="H366" i="11" s="1"/>
  <c r="C370" i="4"/>
  <c r="E358" i="11"/>
  <c r="H358" i="11" s="1"/>
  <c r="C362" i="4"/>
  <c r="E350" i="11"/>
  <c r="H350" i="11" s="1"/>
  <c r="C354" i="4"/>
  <c r="E342" i="11"/>
  <c r="H342" i="11" s="1"/>
  <c r="C346" i="4"/>
  <c r="E334" i="11"/>
  <c r="H334" i="11" s="1"/>
  <c r="C338" i="4"/>
  <c r="E326" i="11"/>
  <c r="H326" i="11" s="1"/>
  <c r="C330" i="4"/>
  <c r="E318" i="11"/>
  <c r="H318" i="11" s="1"/>
  <c r="C322" i="4"/>
  <c r="E310" i="11"/>
  <c r="H310" i="11" s="1"/>
  <c r="C314" i="4"/>
  <c r="E302" i="11"/>
  <c r="H302" i="11" s="1"/>
  <c r="C306" i="4"/>
  <c r="E294" i="11"/>
  <c r="H294" i="11" s="1"/>
  <c r="C298" i="4"/>
  <c r="E286" i="11"/>
  <c r="H286" i="11" s="1"/>
  <c r="C290" i="4"/>
  <c r="E278" i="11"/>
  <c r="H278" i="11" s="1"/>
  <c r="C282" i="4"/>
  <c r="E270" i="11"/>
  <c r="H270" i="11" s="1"/>
  <c r="C274" i="4"/>
  <c r="E262" i="11"/>
  <c r="H262" i="11" s="1"/>
  <c r="C266" i="4"/>
  <c r="E254" i="11"/>
  <c r="H254" i="11" s="1"/>
  <c r="C258" i="4"/>
  <c r="E246" i="11"/>
  <c r="H246" i="11" s="1"/>
  <c r="C250" i="4"/>
  <c r="E238" i="11"/>
  <c r="H238" i="11" s="1"/>
  <c r="C242" i="4"/>
  <c r="E230" i="11"/>
  <c r="H230" i="11" s="1"/>
  <c r="C234" i="4"/>
  <c r="E222" i="11"/>
  <c r="H222" i="11" s="1"/>
  <c r="C226" i="4"/>
  <c r="E214" i="11"/>
  <c r="H214" i="11" s="1"/>
  <c r="C218" i="4"/>
  <c r="E206" i="11"/>
  <c r="H206" i="11" s="1"/>
  <c r="C210" i="4"/>
  <c r="E198" i="11"/>
  <c r="H198" i="11" s="1"/>
  <c r="C202" i="4"/>
  <c r="E190" i="11"/>
  <c r="H190" i="11" s="1"/>
  <c r="C194" i="4"/>
  <c r="E182" i="11"/>
  <c r="H182" i="11" s="1"/>
  <c r="C186" i="4"/>
  <c r="E174" i="11"/>
  <c r="H174" i="11" s="1"/>
  <c r="C178" i="4"/>
  <c r="E166" i="11"/>
  <c r="H166" i="11" s="1"/>
  <c r="C170" i="4"/>
  <c r="E158" i="11"/>
  <c r="H158" i="11" s="1"/>
  <c r="C162" i="4"/>
  <c r="E150" i="11"/>
  <c r="H150" i="11" s="1"/>
  <c r="C154" i="4"/>
  <c r="E142" i="11"/>
  <c r="H142" i="11" s="1"/>
  <c r="C146" i="4"/>
  <c r="E134" i="11"/>
  <c r="H134" i="11" s="1"/>
  <c r="C138" i="4"/>
  <c r="E126" i="11"/>
  <c r="H126" i="11" s="1"/>
  <c r="C130" i="4"/>
  <c r="E110" i="11"/>
  <c r="H110" i="11" s="1"/>
  <c r="C114" i="4"/>
  <c r="E102" i="11"/>
  <c r="H102" i="11" s="1"/>
  <c r="C106" i="4"/>
  <c r="E94" i="11"/>
  <c r="H94" i="11" s="1"/>
  <c r="C98" i="4"/>
  <c r="E86" i="11"/>
  <c r="H86" i="11" s="1"/>
  <c r="C90" i="4"/>
  <c r="E78" i="11"/>
  <c r="H78" i="11" s="1"/>
  <c r="C82" i="4"/>
  <c r="E70" i="11"/>
  <c r="H70" i="11" s="1"/>
  <c r="C74" i="4"/>
  <c r="E62" i="11"/>
  <c r="H62" i="11" s="1"/>
  <c r="C66" i="4"/>
  <c r="E54" i="11"/>
  <c r="H54" i="11" s="1"/>
  <c r="C58" i="4"/>
  <c r="E46" i="11"/>
  <c r="H46" i="11" s="1"/>
  <c r="C50" i="4"/>
  <c r="E38" i="11"/>
  <c r="H38" i="11" s="1"/>
  <c r="C42" i="4"/>
  <c r="E30" i="11"/>
  <c r="H30" i="11" s="1"/>
  <c r="C34" i="4"/>
  <c r="E22" i="11"/>
  <c r="H22" i="11" s="1"/>
  <c r="C26" i="4"/>
  <c r="E14" i="11"/>
  <c r="C18" i="4"/>
  <c r="E6" i="11"/>
  <c r="H6" i="11" s="1"/>
  <c r="C10" i="4"/>
  <c r="H14" i="11"/>
  <c r="H59" i="11"/>
  <c r="H50" i="11"/>
  <c r="H41" i="11"/>
  <c r="H32" i="11"/>
  <c r="H23" i="11"/>
  <c r="H68" i="11"/>
  <c r="H847" i="11"/>
  <c r="H839" i="11"/>
  <c r="H831" i="11"/>
  <c r="H845" i="11"/>
  <c r="H837" i="11"/>
  <c r="H844" i="11"/>
  <c r="H836" i="11"/>
  <c r="H828" i="11"/>
  <c r="H843" i="11"/>
  <c r="H835" i="11"/>
  <c r="H827" i="11"/>
  <c r="H850" i="11"/>
  <c r="H834" i="11"/>
  <c r="H849" i="11"/>
  <c r="H833" i="11"/>
  <c r="H825" i="11"/>
  <c r="H747" i="11"/>
  <c r="H715" i="11"/>
  <c r="H707" i="11"/>
  <c r="H699" i="11"/>
  <c r="H691" i="11"/>
  <c r="H683" i="11"/>
  <c r="H675" i="11"/>
  <c r="H667" i="11"/>
  <c r="H635" i="11"/>
  <c r="H619" i="11"/>
  <c r="H611" i="11"/>
  <c r="H603" i="11"/>
  <c r="H595" i="11"/>
  <c r="H587" i="11"/>
  <c r="H579" i="11"/>
  <c r="H571" i="11"/>
  <c r="H563" i="11"/>
  <c r="H555" i="11"/>
  <c r="H539" i="11"/>
  <c r="H531" i="11"/>
  <c r="H523" i="11"/>
  <c r="H515" i="11"/>
  <c r="H507" i="11"/>
  <c r="H499" i="11"/>
  <c r="H491" i="11"/>
  <c r="H483" i="11"/>
  <c r="H475" i="11"/>
  <c r="H467" i="11"/>
  <c r="H459" i="11"/>
  <c r="H451" i="11"/>
  <c r="H701" i="11"/>
  <c r="H509" i="11"/>
  <c r="H458" i="11"/>
  <c r="H450" i="11"/>
  <c r="H821" i="11"/>
  <c r="H757" i="11"/>
  <c r="H693" i="11"/>
  <c r="H629" i="11"/>
  <c r="H565" i="11"/>
  <c r="H501" i="11"/>
  <c r="H723" i="11"/>
  <c r="H659" i="11"/>
  <c r="H573" i="11"/>
  <c r="H745" i="11"/>
  <c r="H737" i="11"/>
  <c r="H729" i="11"/>
  <c r="H721" i="11"/>
  <c r="H713" i="11"/>
  <c r="H705" i="11"/>
  <c r="H689" i="11"/>
  <c r="H681" i="11"/>
  <c r="H673" i="11"/>
  <c r="H657" i="11"/>
  <c r="H649" i="11"/>
  <c r="H641" i="11"/>
  <c r="H625" i="11"/>
  <c r="H617" i="11"/>
  <c r="H609" i="11"/>
  <c r="H601" i="11"/>
  <c r="H593" i="11"/>
  <c r="H585" i="11"/>
  <c r="H577" i="11"/>
  <c r="H569" i="11"/>
  <c r="H561" i="11"/>
  <c r="H553" i="11"/>
  <c r="H537" i="11"/>
  <c r="H529" i="11"/>
  <c r="H521" i="11"/>
  <c r="H513" i="11"/>
  <c r="H505" i="11"/>
  <c r="H497" i="11"/>
  <c r="H489" i="11"/>
  <c r="H481" i="11"/>
  <c r="H473" i="11"/>
  <c r="H465" i="11"/>
  <c r="H457" i="11"/>
  <c r="H449" i="11"/>
  <c r="H813" i="11"/>
  <c r="H749" i="11"/>
  <c r="H685" i="11"/>
  <c r="H621" i="11"/>
  <c r="H557" i="11"/>
  <c r="H493" i="11"/>
  <c r="H637" i="11"/>
  <c r="H744" i="11"/>
  <c r="H736" i="11"/>
  <c r="H728" i="11"/>
  <c r="H720" i="11"/>
  <c r="H712" i="11"/>
  <c r="H704" i="11"/>
  <c r="H696" i="11"/>
  <c r="H688" i="11"/>
  <c r="H680" i="11"/>
  <c r="H672" i="11"/>
  <c r="H664" i="11"/>
  <c r="H656" i="11"/>
  <c r="H648" i="11"/>
  <c r="H640" i="11"/>
  <c r="H632" i="11"/>
  <c r="H624" i="11"/>
  <c r="H616" i="11"/>
  <c r="H608" i="11"/>
  <c r="H600" i="11"/>
  <c r="H592" i="11"/>
  <c r="H584" i="11"/>
  <c r="H576" i="11"/>
  <c r="H568" i="11"/>
  <c r="H560" i="11"/>
  <c r="H552" i="11"/>
  <c r="H544" i="11"/>
  <c r="H536" i="11"/>
  <c r="H528" i="11"/>
  <c r="H520" i="11"/>
  <c r="H512" i="11"/>
  <c r="H504" i="11"/>
  <c r="H496" i="11"/>
  <c r="H488" i="11"/>
  <c r="H480" i="11"/>
  <c r="H472" i="11"/>
  <c r="H464" i="11"/>
  <c r="H456" i="11"/>
  <c r="H448" i="11"/>
  <c r="H805" i="11"/>
  <c r="H677" i="11"/>
  <c r="H613" i="11"/>
  <c r="H549" i="11"/>
  <c r="H485" i="11"/>
  <c r="H739" i="11"/>
  <c r="H651" i="11"/>
  <c r="H765" i="11"/>
  <c r="H743" i="11"/>
  <c r="H735" i="11"/>
  <c r="H727" i="11"/>
  <c r="H719" i="11"/>
  <c r="H711" i="11"/>
  <c r="H703" i="11"/>
  <c r="H695" i="11"/>
  <c r="H687" i="11"/>
  <c r="H679" i="11"/>
  <c r="H671" i="11"/>
  <c r="H663" i="11"/>
  <c r="H655" i="11"/>
  <c r="H647" i="11"/>
  <c r="H639" i="11"/>
  <c r="H631" i="11"/>
  <c r="H623" i="11"/>
  <c r="H615" i="11"/>
  <c r="H607" i="11"/>
  <c r="H599" i="11"/>
  <c r="H591" i="11"/>
  <c r="H583" i="11"/>
  <c r="H575" i="11"/>
  <c r="H567" i="11"/>
  <c r="H559" i="11"/>
  <c r="H551" i="11"/>
  <c r="H543" i="11"/>
  <c r="H535" i="11"/>
  <c r="H527" i="11"/>
  <c r="H519" i="11"/>
  <c r="H511" i="11"/>
  <c r="H503" i="11"/>
  <c r="H495" i="11"/>
  <c r="H487" i="11"/>
  <c r="H479" i="11"/>
  <c r="H471" i="11"/>
  <c r="H463" i="11"/>
  <c r="H455" i="11"/>
  <c r="H447" i="11"/>
  <c r="H797" i="11"/>
  <c r="H733" i="11"/>
  <c r="H669" i="11"/>
  <c r="H605" i="11"/>
  <c r="H541" i="11"/>
  <c r="H477" i="11"/>
  <c r="H454" i="11"/>
  <c r="H446" i="11"/>
  <c r="H789" i="11"/>
  <c r="H661" i="11"/>
  <c r="H597" i="11"/>
  <c r="H533" i="11"/>
  <c r="H469" i="11"/>
  <c r="H781" i="11"/>
  <c r="H717" i="11"/>
  <c r="H653" i="11"/>
  <c r="H589" i="11"/>
  <c r="H525" i="11"/>
  <c r="H461" i="11"/>
  <c r="H709" i="11"/>
  <c r="H645" i="11"/>
  <c r="H581" i="11"/>
  <c r="H517" i="11"/>
  <c r="H453" i="11"/>
  <c r="G843" i="4"/>
  <c r="E841" i="4"/>
  <c r="G840" i="4"/>
  <c r="G839" i="4"/>
  <c r="G846" i="4"/>
  <c r="G847" i="4"/>
  <c r="E848" i="4"/>
  <c r="G849" i="4"/>
  <c r="G850" i="4"/>
  <c r="G851" i="4"/>
  <c r="E852" i="4"/>
  <c r="G853" i="4"/>
  <c r="G841" i="4"/>
  <c r="E629" i="4"/>
  <c r="G838" i="4"/>
  <c r="G844" i="4"/>
  <c r="G845" i="4"/>
  <c r="AK368" i="10"/>
  <c r="AC231" i="10"/>
  <c r="AA231" i="10"/>
  <c r="F20" i="13"/>
  <c r="F19" i="13"/>
  <c r="F18" i="13"/>
  <c r="F17" i="13"/>
  <c r="F16" i="13"/>
  <c r="F15" i="13"/>
  <c r="F14" i="13"/>
  <c r="F13" i="13"/>
  <c r="F12" i="13"/>
  <c r="F11" i="13"/>
  <c r="F10" i="13"/>
  <c r="F9" i="13"/>
  <c r="F8" i="13"/>
  <c r="F7" i="13"/>
  <c r="F6" i="13"/>
  <c r="F5" i="13"/>
  <c r="F4" i="13"/>
  <c r="F3" i="13"/>
  <c r="F2" i="13"/>
  <c r="E9" i="13"/>
  <c r="E10" i="13"/>
  <c r="E6" i="13"/>
  <c r="E3" i="13"/>
  <c r="E4" i="13"/>
  <c r="E5" i="13"/>
  <c r="E7" i="13"/>
  <c r="E8" i="13"/>
  <c r="E11" i="13"/>
  <c r="E12" i="13"/>
  <c r="E16" i="13"/>
  <c r="E17" i="13"/>
  <c r="E18" i="13"/>
  <c r="E19" i="13"/>
  <c r="E20" i="13"/>
  <c r="E2" i="13"/>
  <c r="G38" i="13"/>
  <c r="G39" i="13"/>
  <c r="G37" i="13"/>
  <c r="E851" i="4" l="1"/>
  <c r="E849" i="4"/>
  <c r="E853" i="4"/>
  <c r="E845" i="4"/>
  <c r="E837" i="4"/>
  <c r="G852" i="4"/>
  <c r="G836" i="4"/>
  <c r="E844" i="4"/>
  <c r="E843" i="4"/>
  <c r="E850" i="4"/>
  <c r="E842" i="4"/>
  <c r="G848" i="4"/>
  <c r="E840" i="4"/>
  <c r="E847" i="4"/>
  <c r="E839" i="4"/>
  <c r="E854" i="4"/>
  <c r="E846" i="4"/>
  <c r="E838" i="4"/>
  <c r="G13" i="4"/>
  <c r="E622" i="4"/>
  <c r="E623" i="4"/>
  <c r="E624" i="4"/>
  <c r="E625" i="4"/>
  <c r="E626" i="4"/>
  <c r="E627" i="4"/>
  <c r="E628" i="4"/>
  <c r="E817" i="4" l="1"/>
  <c r="G817" i="4"/>
  <c r="E745" i="4"/>
  <c r="G745" i="4"/>
  <c r="E689" i="4"/>
  <c r="G689" i="4"/>
  <c r="E832" i="4"/>
  <c r="G832" i="4"/>
  <c r="E816" i="4"/>
  <c r="G816" i="4"/>
  <c r="E800" i="4"/>
  <c r="G800" i="4"/>
  <c r="E784" i="4"/>
  <c r="G784" i="4"/>
  <c r="G768" i="4"/>
  <c r="E768" i="4"/>
  <c r="G752" i="4"/>
  <c r="E752" i="4"/>
  <c r="E736" i="4"/>
  <c r="G736" i="4"/>
  <c r="E720" i="4"/>
  <c r="G720" i="4"/>
  <c r="G696" i="4"/>
  <c r="E696" i="4"/>
  <c r="G831" i="4"/>
  <c r="E831" i="4"/>
  <c r="G823" i="4"/>
  <c r="E823" i="4"/>
  <c r="G815" i="4"/>
  <c r="E815" i="4"/>
  <c r="G807" i="4"/>
  <c r="E807" i="4"/>
  <c r="G799" i="4"/>
  <c r="E799" i="4"/>
  <c r="G791" i="4"/>
  <c r="E791" i="4"/>
  <c r="G783" i="4"/>
  <c r="E783" i="4"/>
  <c r="G775" i="4"/>
  <c r="E775" i="4"/>
  <c r="G767" i="4"/>
  <c r="E767" i="4"/>
  <c r="G759" i="4"/>
  <c r="E759" i="4"/>
  <c r="G751" i="4"/>
  <c r="E751" i="4"/>
  <c r="G743" i="4"/>
  <c r="E743" i="4"/>
  <c r="G735" i="4"/>
  <c r="E735" i="4"/>
  <c r="G727" i="4"/>
  <c r="E727" i="4"/>
  <c r="G719" i="4"/>
  <c r="E719" i="4"/>
  <c r="G711" i="4"/>
  <c r="E711" i="4"/>
  <c r="G703" i="4"/>
  <c r="E703" i="4"/>
  <c r="G695" i="4"/>
  <c r="E695" i="4"/>
  <c r="G687" i="4"/>
  <c r="E687" i="4"/>
  <c r="G679" i="4"/>
  <c r="E679" i="4"/>
  <c r="G671" i="4"/>
  <c r="E671" i="4"/>
  <c r="G663" i="4"/>
  <c r="E663" i="4"/>
  <c r="G655" i="4"/>
  <c r="E655" i="4"/>
  <c r="G647" i="4"/>
  <c r="E647" i="4"/>
  <c r="G639" i="4"/>
  <c r="E639" i="4"/>
  <c r="G631" i="4"/>
  <c r="E631" i="4"/>
  <c r="G825" i="4"/>
  <c r="E825" i="4"/>
  <c r="E761" i="4"/>
  <c r="G761" i="4"/>
  <c r="E697" i="4"/>
  <c r="G697" i="4"/>
  <c r="E641" i="4"/>
  <c r="G641" i="4"/>
  <c r="G830" i="4"/>
  <c r="E830" i="4"/>
  <c r="G822" i="4"/>
  <c r="E822" i="4"/>
  <c r="G814" i="4"/>
  <c r="E814" i="4"/>
  <c r="G806" i="4"/>
  <c r="E806" i="4"/>
  <c r="G798" i="4"/>
  <c r="E798" i="4"/>
  <c r="G790" i="4"/>
  <c r="E790" i="4"/>
  <c r="G782" i="4"/>
  <c r="E782" i="4"/>
  <c r="G774" i="4"/>
  <c r="E774" i="4"/>
  <c r="E766" i="4"/>
  <c r="G766" i="4"/>
  <c r="E758" i="4"/>
  <c r="G758" i="4"/>
  <c r="E750" i="4"/>
  <c r="G750" i="4"/>
  <c r="E742" i="4"/>
  <c r="G742" i="4"/>
  <c r="E734" i="4"/>
  <c r="G734" i="4"/>
  <c r="E726" i="4"/>
  <c r="G726" i="4"/>
  <c r="E718" i="4"/>
  <c r="G718" i="4"/>
  <c r="E710" i="4"/>
  <c r="G710" i="4"/>
  <c r="E702" i="4"/>
  <c r="G702" i="4"/>
  <c r="E694" i="4"/>
  <c r="G694" i="4"/>
  <c r="E686" i="4"/>
  <c r="G686" i="4"/>
  <c r="E678" i="4"/>
  <c r="G678" i="4"/>
  <c r="E670" i="4"/>
  <c r="G670" i="4"/>
  <c r="E662" i="4"/>
  <c r="G662" i="4"/>
  <c r="E654" i="4"/>
  <c r="G654" i="4"/>
  <c r="E646" i="4"/>
  <c r="G646" i="4"/>
  <c r="E638" i="4"/>
  <c r="G638" i="4"/>
  <c r="E630" i="4"/>
  <c r="G630" i="4"/>
  <c r="G769" i="4"/>
  <c r="E769" i="4"/>
  <c r="G813" i="4"/>
  <c r="E813" i="4"/>
  <c r="G781" i="4"/>
  <c r="E781" i="4"/>
  <c r="G741" i="4"/>
  <c r="E741" i="4"/>
  <c r="G701" i="4"/>
  <c r="E701" i="4"/>
  <c r="G653" i="4"/>
  <c r="E653" i="4"/>
  <c r="G809" i="4"/>
  <c r="E809" i="4"/>
  <c r="E753" i="4"/>
  <c r="G753" i="4"/>
  <c r="E705" i="4"/>
  <c r="G705" i="4"/>
  <c r="E665" i="4"/>
  <c r="G665" i="4"/>
  <c r="G829" i="4"/>
  <c r="E829" i="4"/>
  <c r="G797" i="4"/>
  <c r="E797" i="4"/>
  <c r="G757" i="4"/>
  <c r="E757" i="4"/>
  <c r="G725" i="4"/>
  <c r="E725" i="4"/>
  <c r="G693" i="4"/>
  <c r="E693" i="4"/>
  <c r="G828" i="4"/>
  <c r="E828" i="4"/>
  <c r="G812" i="4"/>
  <c r="E812" i="4"/>
  <c r="G788" i="4"/>
  <c r="E788" i="4"/>
  <c r="G780" i="4"/>
  <c r="E780" i="4"/>
  <c r="G772" i="4"/>
  <c r="E772" i="4"/>
  <c r="G764" i="4"/>
  <c r="E764" i="4"/>
  <c r="E756" i="4"/>
  <c r="G756" i="4"/>
  <c r="E748" i="4"/>
  <c r="G748" i="4"/>
  <c r="E740" i="4"/>
  <c r="G740" i="4"/>
  <c r="E732" i="4"/>
  <c r="G732" i="4"/>
  <c r="G724" i="4"/>
  <c r="E724" i="4"/>
  <c r="E716" i="4"/>
  <c r="G716" i="4"/>
  <c r="G708" i="4"/>
  <c r="E708" i="4"/>
  <c r="G700" i="4"/>
  <c r="E700" i="4"/>
  <c r="G692" i="4"/>
  <c r="E692" i="4"/>
  <c r="G684" i="4"/>
  <c r="E684" i="4"/>
  <c r="G676" i="4"/>
  <c r="E676" i="4"/>
  <c r="G668" i="4"/>
  <c r="E668" i="4"/>
  <c r="G660" i="4"/>
  <c r="E660" i="4"/>
  <c r="G652" i="4"/>
  <c r="E652" i="4"/>
  <c r="G644" i="4"/>
  <c r="E644" i="4"/>
  <c r="G636" i="4"/>
  <c r="E636" i="4"/>
  <c r="E801" i="4"/>
  <c r="G801" i="4"/>
  <c r="E737" i="4"/>
  <c r="G737" i="4"/>
  <c r="E673" i="4"/>
  <c r="G673" i="4"/>
  <c r="G805" i="4"/>
  <c r="E805" i="4"/>
  <c r="G773" i="4"/>
  <c r="E773" i="4"/>
  <c r="G749" i="4"/>
  <c r="E749" i="4"/>
  <c r="G717" i="4"/>
  <c r="E717" i="4"/>
  <c r="G685" i="4"/>
  <c r="E685" i="4"/>
  <c r="G669" i="4"/>
  <c r="E669" i="4"/>
  <c r="G645" i="4"/>
  <c r="E645" i="4"/>
  <c r="E820" i="4"/>
  <c r="G820" i="4"/>
  <c r="E804" i="4"/>
  <c r="G804" i="4"/>
  <c r="G796" i="4"/>
  <c r="E796" i="4"/>
  <c r="E835" i="4"/>
  <c r="G835" i="4"/>
  <c r="G827" i="4"/>
  <c r="E827" i="4"/>
  <c r="E819" i="4"/>
  <c r="G819" i="4"/>
  <c r="G811" i="4"/>
  <c r="E811" i="4"/>
  <c r="G803" i="4"/>
  <c r="E803" i="4"/>
  <c r="G795" i="4"/>
  <c r="E795" i="4"/>
  <c r="G787" i="4"/>
  <c r="E787" i="4"/>
  <c r="G779" i="4"/>
  <c r="E779" i="4"/>
  <c r="G771" i="4"/>
  <c r="E771" i="4"/>
  <c r="G763" i="4"/>
  <c r="E763" i="4"/>
  <c r="G755" i="4"/>
  <c r="E755" i="4"/>
  <c r="G747" i="4"/>
  <c r="E747" i="4"/>
  <c r="G739" i="4"/>
  <c r="E739" i="4"/>
  <c r="G731" i="4"/>
  <c r="E731" i="4"/>
  <c r="G723" i="4"/>
  <c r="E723" i="4"/>
  <c r="G715" i="4"/>
  <c r="E715" i="4"/>
  <c r="G707" i="4"/>
  <c r="E707" i="4"/>
  <c r="G699" i="4"/>
  <c r="E699" i="4"/>
  <c r="G691" i="4"/>
  <c r="E691" i="4"/>
  <c r="G683" i="4"/>
  <c r="E683" i="4"/>
  <c r="G675" i="4"/>
  <c r="E675" i="4"/>
  <c r="G667" i="4"/>
  <c r="E667" i="4"/>
  <c r="G659" i="4"/>
  <c r="E659" i="4"/>
  <c r="G651" i="4"/>
  <c r="E651" i="4"/>
  <c r="G643" i="4"/>
  <c r="E643" i="4"/>
  <c r="G635" i="4"/>
  <c r="E635" i="4"/>
  <c r="G785" i="4"/>
  <c r="E785" i="4"/>
  <c r="E729" i="4"/>
  <c r="G729" i="4"/>
  <c r="E681" i="4"/>
  <c r="G681" i="4"/>
  <c r="E633" i="4"/>
  <c r="G633" i="4"/>
  <c r="G821" i="4"/>
  <c r="E821" i="4"/>
  <c r="G789" i="4"/>
  <c r="E789" i="4"/>
  <c r="G765" i="4"/>
  <c r="E765" i="4"/>
  <c r="G733" i="4"/>
  <c r="E733" i="4"/>
  <c r="G709" i="4"/>
  <c r="E709" i="4"/>
  <c r="G677" i="4"/>
  <c r="E677" i="4"/>
  <c r="G661" i="4"/>
  <c r="E661" i="4"/>
  <c r="G637" i="4"/>
  <c r="E637" i="4"/>
  <c r="G834" i="4"/>
  <c r="E834" i="4"/>
  <c r="G826" i="4"/>
  <c r="E826" i="4"/>
  <c r="G818" i="4"/>
  <c r="E818" i="4"/>
  <c r="G810" i="4"/>
  <c r="E810" i="4"/>
  <c r="G802" i="4"/>
  <c r="E802" i="4"/>
  <c r="G794" i="4"/>
  <c r="E794" i="4"/>
  <c r="G786" i="4"/>
  <c r="E786" i="4"/>
  <c r="G778" i="4"/>
  <c r="E778" i="4"/>
  <c r="G770" i="4"/>
  <c r="E770" i="4"/>
  <c r="G762" i="4"/>
  <c r="E762" i="4"/>
  <c r="G754" i="4"/>
  <c r="E754" i="4"/>
  <c r="G746" i="4"/>
  <c r="E746" i="4"/>
  <c r="G738" i="4"/>
  <c r="E738" i="4"/>
  <c r="G730" i="4"/>
  <c r="E730" i="4"/>
  <c r="G722" i="4"/>
  <c r="E722" i="4"/>
  <c r="G714" i="4"/>
  <c r="E714" i="4"/>
  <c r="G706" i="4"/>
  <c r="E706" i="4"/>
  <c r="G698" i="4"/>
  <c r="E698" i="4"/>
  <c r="G690" i="4"/>
  <c r="E690" i="4"/>
  <c r="G682" i="4"/>
  <c r="E682" i="4"/>
  <c r="G674" i="4"/>
  <c r="E674" i="4"/>
  <c r="G666" i="4"/>
  <c r="E666" i="4"/>
  <c r="G658" i="4"/>
  <c r="E658" i="4"/>
  <c r="G650" i="4"/>
  <c r="E650" i="4"/>
  <c r="G642" i="4"/>
  <c r="E642" i="4"/>
  <c r="G634" i="4"/>
  <c r="E634" i="4"/>
  <c r="G793" i="4"/>
  <c r="E793" i="4"/>
  <c r="E721" i="4"/>
  <c r="G721" i="4"/>
  <c r="E657" i="4"/>
  <c r="G657" i="4"/>
  <c r="E833" i="4"/>
  <c r="G833" i="4"/>
  <c r="E777" i="4"/>
  <c r="G777" i="4"/>
  <c r="E713" i="4"/>
  <c r="G713" i="4"/>
  <c r="E649" i="4"/>
  <c r="G649" i="4"/>
  <c r="G824" i="4"/>
  <c r="E824" i="4"/>
  <c r="G808" i="4"/>
  <c r="E808" i="4"/>
  <c r="G792" i="4"/>
  <c r="E792" i="4"/>
  <c r="E776" i="4"/>
  <c r="G776" i="4"/>
  <c r="G760" i="4"/>
  <c r="E760" i="4"/>
  <c r="G744" i="4"/>
  <c r="E744" i="4"/>
  <c r="G728" i="4"/>
  <c r="E728" i="4"/>
  <c r="G712" i="4"/>
  <c r="E712" i="4"/>
  <c r="G704" i="4"/>
  <c r="E704" i="4"/>
  <c r="E688" i="4"/>
  <c r="G688" i="4"/>
  <c r="G680" i="4"/>
  <c r="E680" i="4"/>
  <c r="G672" i="4"/>
  <c r="E672" i="4"/>
  <c r="G664" i="4"/>
  <c r="E664" i="4"/>
  <c r="E656" i="4"/>
  <c r="G656" i="4"/>
  <c r="G648" i="4"/>
  <c r="E648" i="4"/>
  <c r="G640" i="4"/>
  <c r="E640" i="4"/>
  <c r="G632" i="4"/>
  <c r="E632" i="4"/>
  <c r="G11" i="4"/>
  <c r="G12" i="4"/>
  <c r="G18" i="4"/>
  <c r="G19" i="4"/>
  <c r="G20" i="4"/>
  <c r="G21" i="4"/>
  <c r="G22" i="4"/>
  <c r="G23" i="4"/>
  <c r="G24" i="4"/>
  <c r="G25" i="4"/>
  <c r="G27" i="4"/>
  <c r="G28" i="4"/>
  <c r="G29" i="4"/>
  <c r="G30" i="4"/>
  <c r="G31" i="4"/>
  <c r="G32" i="4"/>
  <c r="G33" i="4"/>
  <c r="G34" i="4"/>
  <c r="G36" i="4"/>
  <c r="G37" i="4"/>
  <c r="G38" i="4"/>
  <c r="G39" i="4"/>
  <c r="G40" i="4"/>
  <c r="G41" i="4"/>
  <c r="G42" i="4"/>
  <c r="G43" i="4"/>
  <c r="G45" i="4"/>
  <c r="G46" i="4"/>
  <c r="G47" i="4"/>
  <c r="G48" i="4"/>
  <c r="G49" i="4"/>
  <c r="G50" i="4"/>
  <c r="G51" i="4"/>
  <c r="G52" i="4"/>
  <c r="G54" i="4"/>
  <c r="G55" i="4"/>
  <c r="G56" i="4"/>
  <c r="G57" i="4"/>
  <c r="G58" i="4"/>
  <c r="G59" i="4"/>
  <c r="G60" i="4"/>
  <c r="G61" i="4"/>
  <c r="G63" i="4"/>
  <c r="G64" i="4"/>
  <c r="G65" i="4"/>
  <c r="G66" i="4"/>
  <c r="G67" i="4"/>
  <c r="G68" i="4"/>
  <c r="G69" i="4"/>
  <c r="G70" i="4"/>
  <c r="G72" i="4"/>
  <c r="G73" i="4"/>
  <c r="G74" i="4"/>
  <c r="G75" i="4"/>
  <c r="G76" i="4"/>
  <c r="G77" i="4"/>
  <c r="G78" i="4"/>
  <c r="G79" i="4"/>
  <c r="G81" i="4"/>
  <c r="G82" i="4"/>
  <c r="G83" i="4"/>
  <c r="G84" i="4"/>
  <c r="G85" i="4"/>
  <c r="G86" i="4"/>
  <c r="G87" i="4"/>
  <c r="G88" i="4"/>
  <c r="G90" i="4"/>
  <c r="G91" i="4"/>
  <c r="G92" i="4"/>
  <c r="G93" i="4"/>
  <c r="G94" i="4"/>
  <c r="G95" i="4"/>
  <c r="G96" i="4"/>
  <c r="G97" i="4"/>
  <c r="G99" i="4"/>
  <c r="G100" i="4"/>
  <c r="G101" i="4"/>
  <c r="G102" i="4"/>
  <c r="G103" i="4"/>
  <c r="G104" i="4"/>
  <c r="G105" i="4"/>
  <c r="G106" i="4"/>
  <c r="G108" i="4"/>
  <c r="G109" i="4"/>
  <c r="G110" i="4"/>
  <c r="G111" i="4"/>
  <c r="G112" i="4"/>
  <c r="G113" i="4"/>
  <c r="G114" i="4"/>
  <c r="G115" i="4"/>
  <c r="G117" i="4"/>
  <c r="G118" i="4"/>
  <c r="G119" i="4"/>
  <c r="G120" i="4"/>
  <c r="G121" i="4"/>
  <c r="G122" i="4"/>
  <c r="G123" i="4"/>
  <c r="G124" i="4"/>
  <c r="G126" i="4"/>
  <c r="G127" i="4"/>
  <c r="G128" i="4"/>
  <c r="G129" i="4"/>
  <c r="G130" i="4"/>
  <c r="G131" i="4"/>
  <c r="G132" i="4"/>
  <c r="G133" i="4"/>
  <c r="G135" i="4"/>
  <c r="G136" i="4"/>
  <c r="G137" i="4"/>
  <c r="G138" i="4"/>
  <c r="G139" i="4"/>
  <c r="G140" i="4"/>
  <c r="G141" i="4"/>
  <c r="G142" i="4"/>
  <c r="G144" i="4"/>
  <c r="G145" i="4"/>
  <c r="G146" i="4"/>
  <c r="G147" i="4"/>
  <c r="G148" i="4"/>
  <c r="G149" i="4"/>
  <c r="G150" i="4"/>
  <c r="G151" i="4"/>
  <c r="G153" i="4"/>
  <c r="G154" i="4"/>
  <c r="G155" i="4"/>
  <c r="G156" i="4"/>
  <c r="G157" i="4"/>
  <c r="G158" i="4"/>
  <c r="G159" i="4"/>
  <c r="G160" i="4"/>
  <c r="G162" i="4"/>
  <c r="G163" i="4"/>
  <c r="G164" i="4"/>
  <c r="G165" i="4"/>
  <c r="G166" i="4"/>
  <c r="G167" i="4"/>
  <c r="G168" i="4"/>
  <c r="G169" i="4"/>
  <c r="G171" i="4"/>
  <c r="G172" i="4"/>
  <c r="G173" i="4"/>
  <c r="G174" i="4"/>
  <c r="G175" i="4"/>
  <c r="G176" i="4"/>
  <c r="G177" i="4"/>
  <c r="G178" i="4"/>
  <c r="G180" i="4"/>
  <c r="G181" i="4"/>
  <c r="G182" i="4"/>
  <c r="G183" i="4"/>
  <c r="G184" i="4"/>
  <c r="G185" i="4"/>
  <c r="G186" i="4"/>
  <c r="G187" i="4"/>
  <c r="G189" i="4"/>
  <c r="G190" i="4"/>
  <c r="G191" i="4"/>
  <c r="G192" i="4"/>
  <c r="G193" i="4"/>
  <c r="G194" i="4"/>
  <c r="G195" i="4"/>
  <c r="G196" i="4"/>
  <c r="G198" i="4"/>
  <c r="G199" i="4"/>
  <c r="G200" i="4"/>
  <c r="G201" i="4"/>
  <c r="G202" i="4"/>
  <c r="G203" i="4"/>
  <c r="G204" i="4"/>
  <c r="G205" i="4"/>
  <c r="G207" i="4"/>
  <c r="G208" i="4"/>
  <c r="G209" i="4"/>
  <c r="G210" i="4"/>
  <c r="G211" i="4"/>
  <c r="G212" i="4"/>
  <c r="G213" i="4"/>
  <c r="G214" i="4"/>
  <c r="G216" i="4"/>
  <c r="G217" i="4"/>
  <c r="G218" i="4"/>
  <c r="G219" i="4"/>
  <c r="G220" i="4"/>
  <c r="G221" i="4"/>
  <c r="G222" i="4"/>
  <c r="G223" i="4"/>
  <c r="G225" i="4"/>
  <c r="G226" i="4"/>
  <c r="G227" i="4"/>
  <c r="G228" i="4"/>
  <c r="G229" i="4"/>
  <c r="G230" i="4"/>
  <c r="G231" i="4"/>
  <c r="G232" i="4"/>
  <c r="G234" i="4"/>
  <c r="G235" i="4"/>
  <c r="G236" i="4"/>
  <c r="G237" i="4"/>
  <c r="G238" i="4"/>
  <c r="G239" i="4"/>
  <c r="G240" i="4"/>
  <c r="G241" i="4"/>
  <c r="G243" i="4"/>
  <c r="G244" i="4"/>
  <c r="G245" i="4"/>
  <c r="G246" i="4"/>
  <c r="G247" i="4"/>
  <c r="G248" i="4"/>
  <c r="G249" i="4"/>
  <c r="G250" i="4"/>
  <c r="G252" i="4"/>
  <c r="G253" i="4"/>
  <c r="G254" i="4"/>
  <c r="G255" i="4"/>
  <c r="G256" i="4"/>
  <c r="G257" i="4"/>
  <c r="G258" i="4"/>
  <c r="G259" i="4"/>
  <c r="G261" i="4"/>
  <c r="G262" i="4"/>
  <c r="G263" i="4"/>
  <c r="G264" i="4"/>
  <c r="G265" i="4"/>
  <c r="G266" i="4"/>
  <c r="G267" i="4"/>
  <c r="G268" i="4"/>
  <c r="G270" i="4"/>
  <c r="G271" i="4"/>
  <c r="G272" i="4"/>
  <c r="G273" i="4"/>
  <c r="G274" i="4"/>
  <c r="G275" i="4"/>
  <c r="G276" i="4"/>
  <c r="G277" i="4"/>
  <c r="G279" i="4"/>
  <c r="G280" i="4"/>
  <c r="G281" i="4"/>
  <c r="G282" i="4"/>
  <c r="G283" i="4"/>
  <c r="G284" i="4"/>
  <c r="G285" i="4"/>
  <c r="G286" i="4"/>
  <c r="G288" i="4"/>
  <c r="G289" i="4"/>
  <c r="G290" i="4"/>
  <c r="G291" i="4"/>
  <c r="G292" i="4"/>
  <c r="G293" i="4"/>
  <c r="G294" i="4"/>
  <c r="G295" i="4"/>
  <c r="G297" i="4"/>
  <c r="G298" i="4"/>
  <c r="G299" i="4"/>
  <c r="G300" i="4"/>
  <c r="G301" i="4"/>
  <c r="G302" i="4"/>
  <c r="G303" i="4"/>
  <c r="G304" i="4"/>
  <c r="G306" i="4"/>
  <c r="G307" i="4"/>
  <c r="G308" i="4"/>
  <c r="G309" i="4"/>
  <c r="G310" i="4"/>
  <c r="G311" i="4"/>
  <c r="G312" i="4"/>
  <c r="G313" i="4"/>
  <c r="G315" i="4"/>
  <c r="G316" i="4"/>
  <c r="G317" i="4"/>
  <c r="G318" i="4"/>
  <c r="G319" i="4"/>
  <c r="G320" i="4"/>
  <c r="G321" i="4"/>
  <c r="G322" i="4"/>
  <c r="G324" i="4"/>
  <c r="G325" i="4"/>
  <c r="G326" i="4"/>
  <c r="G327" i="4"/>
  <c r="G328" i="4"/>
  <c r="G329" i="4"/>
  <c r="G330" i="4"/>
  <c r="G331" i="4"/>
  <c r="G333" i="4"/>
  <c r="G334" i="4"/>
  <c r="G335" i="4"/>
  <c r="G336" i="4"/>
  <c r="G337" i="4"/>
  <c r="G338" i="4"/>
  <c r="G339" i="4"/>
  <c r="G340" i="4"/>
  <c r="G342" i="4"/>
  <c r="G343" i="4"/>
  <c r="G344" i="4"/>
  <c r="G345" i="4"/>
  <c r="G346" i="4"/>
  <c r="G347" i="4"/>
  <c r="G348" i="4"/>
  <c r="G349" i="4"/>
  <c r="G351" i="4"/>
  <c r="G352" i="4"/>
  <c r="G353" i="4"/>
  <c r="G354" i="4"/>
  <c r="G355" i="4"/>
  <c r="G356" i="4"/>
  <c r="G357" i="4"/>
  <c r="G358" i="4"/>
  <c r="G360" i="4"/>
  <c r="G361" i="4"/>
  <c r="G362" i="4"/>
  <c r="G363" i="4"/>
  <c r="G364" i="4"/>
  <c r="G365" i="4"/>
  <c r="G366" i="4"/>
  <c r="G367" i="4"/>
  <c r="G369" i="4"/>
  <c r="G370" i="4"/>
  <c r="G371" i="4"/>
  <c r="G372" i="4"/>
  <c r="G373" i="4"/>
  <c r="G374" i="4"/>
  <c r="G375" i="4"/>
  <c r="G376" i="4"/>
  <c r="G378" i="4"/>
  <c r="G379" i="4"/>
  <c r="G380" i="4"/>
  <c r="G381" i="4"/>
  <c r="G382" i="4"/>
  <c r="G383" i="4"/>
  <c r="G384" i="4"/>
  <c r="G385" i="4"/>
  <c r="G387" i="4"/>
  <c r="G388" i="4"/>
  <c r="G389" i="4"/>
  <c r="G390" i="4"/>
  <c r="G391" i="4"/>
  <c r="G392" i="4"/>
  <c r="G393" i="4"/>
  <c r="G394" i="4"/>
  <c r="G396" i="4"/>
  <c r="G397" i="4"/>
  <c r="G398" i="4"/>
  <c r="G399" i="4"/>
  <c r="G400" i="4"/>
  <c r="G401" i="4"/>
  <c r="G402" i="4"/>
  <c r="G403" i="4"/>
  <c r="G405" i="4"/>
  <c r="G406" i="4"/>
  <c r="G407" i="4"/>
  <c r="G408" i="4"/>
  <c r="G409" i="4"/>
  <c r="G410" i="4"/>
  <c r="G411" i="4"/>
  <c r="G412" i="4"/>
  <c r="G414" i="4"/>
  <c r="G415" i="4"/>
  <c r="G416" i="4"/>
  <c r="G417" i="4"/>
  <c r="G418" i="4"/>
  <c r="G419" i="4"/>
  <c r="G420" i="4"/>
  <c r="G421" i="4"/>
  <c r="G423" i="4"/>
  <c r="G424" i="4"/>
  <c r="G425" i="4"/>
  <c r="G426" i="4"/>
  <c r="G427" i="4"/>
  <c r="G428" i="4"/>
  <c r="G429" i="4"/>
  <c r="G430" i="4"/>
  <c r="G432" i="4"/>
  <c r="G433" i="4"/>
  <c r="G434" i="4"/>
  <c r="G435" i="4"/>
  <c r="G436" i="4"/>
  <c r="G437" i="4"/>
  <c r="G438" i="4"/>
  <c r="G439" i="4"/>
  <c r="G441" i="4"/>
  <c r="G442" i="4"/>
  <c r="G443" i="4"/>
  <c r="G444" i="4"/>
  <c r="G445" i="4"/>
  <c r="G446" i="4"/>
  <c r="G447" i="4"/>
  <c r="G448" i="4"/>
  <c r="G450" i="4"/>
  <c r="G451" i="4"/>
  <c r="G452" i="4"/>
  <c r="G453" i="4"/>
  <c r="G454" i="4"/>
  <c r="G455" i="4"/>
  <c r="G456" i="4"/>
  <c r="G457" i="4"/>
  <c r="G459" i="4"/>
  <c r="G460" i="4"/>
  <c r="G461" i="4"/>
  <c r="G462" i="4"/>
  <c r="G463" i="4"/>
  <c r="G464" i="4"/>
  <c r="G465" i="4"/>
  <c r="G466" i="4"/>
  <c r="G468" i="4"/>
  <c r="G469" i="4"/>
  <c r="G470" i="4"/>
  <c r="G471" i="4"/>
  <c r="G472" i="4"/>
  <c r="G473" i="4"/>
  <c r="G474" i="4"/>
  <c r="G475" i="4"/>
  <c r="G477" i="4"/>
  <c r="G478" i="4"/>
  <c r="G479" i="4"/>
  <c r="G480" i="4"/>
  <c r="G481" i="4"/>
  <c r="G482" i="4"/>
  <c r="G483" i="4"/>
  <c r="G484" i="4"/>
  <c r="G486" i="4"/>
  <c r="G487" i="4"/>
  <c r="G488" i="4"/>
  <c r="G489" i="4"/>
  <c r="G490" i="4"/>
  <c r="G491" i="4"/>
  <c r="G492" i="4"/>
  <c r="G493" i="4"/>
  <c r="G495" i="4"/>
  <c r="G496" i="4"/>
  <c r="G497" i="4"/>
  <c r="G498" i="4"/>
  <c r="G499" i="4"/>
  <c r="G500" i="4"/>
  <c r="G501" i="4"/>
  <c r="G502" i="4"/>
  <c r="G504" i="4"/>
  <c r="G505" i="4"/>
  <c r="G506" i="4"/>
  <c r="G507" i="4"/>
  <c r="G508" i="4"/>
  <c r="G509" i="4"/>
  <c r="G510" i="4"/>
  <c r="G511" i="4"/>
  <c r="G513" i="4"/>
  <c r="G514" i="4"/>
  <c r="G515" i="4"/>
  <c r="G516" i="4"/>
  <c r="G517" i="4"/>
  <c r="G518" i="4"/>
  <c r="G519" i="4"/>
  <c r="G520" i="4"/>
  <c r="G522" i="4"/>
  <c r="G523" i="4"/>
  <c r="G524" i="4"/>
  <c r="G525" i="4"/>
  <c r="G526" i="4"/>
  <c r="G527" i="4"/>
  <c r="G528" i="4"/>
  <c r="G529" i="4"/>
  <c r="G531" i="4"/>
  <c r="G532" i="4"/>
  <c r="G533" i="4"/>
  <c r="G534" i="4"/>
  <c r="G535" i="4"/>
  <c r="G536" i="4"/>
  <c r="G537" i="4"/>
  <c r="G538" i="4"/>
  <c r="G540" i="4"/>
  <c r="G541" i="4"/>
  <c r="G542" i="4"/>
  <c r="G543" i="4"/>
  <c r="G544" i="4"/>
  <c r="G545" i="4"/>
  <c r="G546" i="4"/>
  <c r="G547" i="4"/>
  <c r="G549" i="4"/>
  <c r="G550" i="4"/>
  <c r="G551" i="4"/>
  <c r="G552" i="4"/>
  <c r="G553" i="4"/>
  <c r="G554" i="4"/>
  <c r="G555" i="4"/>
  <c r="G556" i="4"/>
  <c r="G558" i="4"/>
  <c r="G559" i="4"/>
  <c r="G560" i="4"/>
  <c r="G561" i="4"/>
  <c r="G562" i="4"/>
  <c r="G563" i="4"/>
  <c r="G564" i="4"/>
  <c r="G565" i="4"/>
  <c r="G567" i="4"/>
  <c r="G568" i="4"/>
  <c r="G569" i="4"/>
  <c r="G570" i="4"/>
  <c r="G571" i="4"/>
  <c r="G572" i="4"/>
  <c r="G573" i="4"/>
  <c r="G574" i="4"/>
  <c r="G576" i="4"/>
  <c r="G577" i="4"/>
  <c r="G578" i="4"/>
  <c r="G579" i="4"/>
  <c r="G580" i="4"/>
  <c r="G581" i="4"/>
  <c r="G582" i="4"/>
  <c r="G583" i="4"/>
  <c r="G585" i="4"/>
  <c r="G586" i="4"/>
  <c r="G587" i="4"/>
  <c r="G588" i="4"/>
  <c r="G589" i="4"/>
  <c r="G590" i="4"/>
  <c r="G591" i="4"/>
  <c r="G592" i="4"/>
  <c r="G594" i="4"/>
  <c r="G595" i="4"/>
  <c r="G596" i="4"/>
  <c r="G597" i="4"/>
  <c r="G598" i="4"/>
  <c r="G599" i="4"/>
  <c r="G600" i="4"/>
  <c r="G601" i="4"/>
  <c r="G603" i="4"/>
  <c r="G604" i="4"/>
  <c r="G605" i="4"/>
  <c r="G606" i="4"/>
  <c r="G607" i="4"/>
  <c r="G608" i="4"/>
  <c r="G609" i="4"/>
  <c r="G610" i="4"/>
  <c r="G612" i="4"/>
  <c r="G613" i="4"/>
  <c r="G614" i="4"/>
  <c r="G615" i="4"/>
  <c r="G616" i="4"/>
  <c r="G617" i="4"/>
  <c r="G618" i="4"/>
  <c r="G619" i="4"/>
  <c r="G621" i="4"/>
  <c r="G622" i="4"/>
  <c r="G623" i="4"/>
  <c r="G624" i="4"/>
  <c r="G625" i="4"/>
  <c r="G626" i="4"/>
  <c r="G627" i="4"/>
  <c r="G628" i="4"/>
  <c r="G14" i="4"/>
  <c r="G15" i="4"/>
  <c r="G16" i="4"/>
  <c r="M729" i="4" l="1"/>
  <c r="L729" i="4"/>
  <c r="N729" i="4"/>
  <c r="BC36" i="11"/>
  <c r="BC35" i="11"/>
  <c r="BC34" i="11"/>
  <c r="BC25" i="11"/>
  <c r="BC28" i="11"/>
  <c r="BC27" i="11"/>
  <c r="BC26" i="11"/>
  <c r="BB20" i="11"/>
  <c r="BB19" i="11"/>
  <c r="BB18" i="11"/>
  <c r="BB16" i="11"/>
  <c r="BB15" i="11"/>
  <c r="BB14" i="11"/>
  <c r="C5" i="11"/>
  <c r="BC38" i="11" l="1"/>
  <c r="BC30" i="11"/>
  <c r="E5" i="11"/>
  <c r="H5" i="11" s="1"/>
  <c r="C9" i="4"/>
  <c r="G9" i="4" s="1"/>
  <c r="G10" i="4"/>
  <c r="E11" i="4"/>
  <c r="E12" i="4"/>
  <c r="E13" i="4"/>
  <c r="E14" i="4"/>
  <c r="E15" i="4"/>
  <c r="E16" i="4"/>
  <c r="E18" i="4"/>
  <c r="E19" i="4"/>
  <c r="E20" i="4"/>
  <c r="E21" i="4"/>
  <c r="E22" i="4"/>
  <c r="E23" i="4"/>
  <c r="E24" i="4"/>
  <c r="E25" i="4"/>
  <c r="E27" i="4"/>
  <c r="E28" i="4"/>
  <c r="E29" i="4"/>
  <c r="E30" i="4"/>
  <c r="E31" i="4"/>
  <c r="E32" i="4"/>
  <c r="E33" i="4"/>
  <c r="E34" i="4"/>
  <c r="E36" i="4"/>
  <c r="E37" i="4"/>
  <c r="E38" i="4"/>
  <c r="E39" i="4"/>
  <c r="E40" i="4"/>
  <c r="E41" i="4"/>
  <c r="E42" i="4"/>
  <c r="E43" i="4"/>
  <c r="E45" i="4"/>
  <c r="E46" i="4"/>
  <c r="E47" i="4"/>
  <c r="E48" i="4"/>
  <c r="E49" i="4"/>
  <c r="E50" i="4"/>
  <c r="E51" i="4"/>
  <c r="E52" i="4"/>
  <c r="E54" i="4"/>
  <c r="E55" i="4"/>
  <c r="E56" i="4"/>
  <c r="E57" i="4"/>
  <c r="E58" i="4"/>
  <c r="E59" i="4"/>
  <c r="E60" i="4"/>
  <c r="E61" i="4"/>
  <c r="E63" i="4"/>
  <c r="E64" i="4"/>
  <c r="E65" i="4"/>
  <c r="E66" i="4"/>
  <c r="E67" i="4"/>
  <c r="E68" i="4"/>
  <c r="E69" i="4"/>
  <c r="E70" i="4"/>
  <c r="E72" i="4"/>
  <c r="E73" i="4"/>
  <c r="E74" i="4"/>
  <c r="E75" i="4"/>
  <c r="E76" i="4"/>
  <c r="E77" i="4"/>
  <c r="E78" i="4"/>
  <c r="E79" i="4"/>
  <c r="E81" i="4"/>
  <c r="E82" i="4"/>
  <c r="E83" i="4"/>
  <c r="E84" i="4"/>
  <c r="E85" i="4"/>
  <c r="E86" i="4"/>
  <c r="E87" i="4"/>
  <c r="E88" i="4"/>
  <c r="E90" i="4"/>
  <c r="E91" i="4"/>
  <c r="E92" i="4"/>
  <c r="E93" i="4"/>
  <c r="E94" i="4"/>
  <c r="E95" i="4"/>
  <c r="E96" i="4"/>
  <c r="E97" i="4"/>
  <c r="E99" i="4"/>
  <c r="E100" i="4"/>
  <c r="E101" i="4"/>
  <c r="E102" i="4"/>
  <c r="E103" i="4"/>
  <c r="E104" i="4"/>
  <c r="E105" i="4"/>
  <c r="E106" i="4"/>
  <c r="E108" i="4"/>
  <c r="E109" i="4"/>
  <c r="E110" i="4"/>
  <c r="E111" i="4"/>
  <c r="E112" i="4"/>
  <c r="E113" i="4"/>
  <c r="E114" i="4"/>
  <c r="E115" i="4"/>
  <c r="E117" i="4"/>
  <c r="E118" i="4"/>
  <c r="E119" i="4"/>
  <c r="E120" i="4"/>
  <c r="E121" i="4"/>
  <c r="E122" i="4"/>
  <c r="E123" i="4"/>
  <c r="E124" i="4"/>
  <c r="E126" i="4"/>
  <c r="E127" i="4"/>
  <c r="E128" i="4"/>
  <c r="E129" i="4"/>
  <c r="E130" i="4"/>
  <c r="E131" i="4"/>
  <c r="E132" i="4"/>
  <c r="E133" i="4"/>
  <c r="E135" i="4"/>
  <c r="E136" i="4"/>
  <c r="E137" i="4"/>
  <c r="E138" i="4"/>
  <c r="E139" i="4"/>
  <c r="E140" i="4"/>
  <c r="E141" i="4"/>
  <c r="E142" i="4"/>
  <c r="E144" i="4"/>
  <c r="E145" i="4"/>
  <c r="E146" i="4"/>
  <c r="E147" i="4"/>
  <c r="E148" i="4"/>
  <c r="E149" i="4"/>
  <c r="E150" i="4"/>
  <c r="E151" i="4"/>
  <c r="E153" i="4"/>
  <c r="E154" i="4"/>
  <c r="E155" i="4"/>
  <c r="E156" i="4"/>
  <c r="E157" i="4"/>
  <c r="E158" i="4"/>
  <c r="E159" i="4"/>
  <c r="E160" i="4"/>
  <c r="E162" i="4"/>
  <c r="E163" i="4"/>
  <c r="E164" i="4"/>
  <c r="E165" i="4"/>
  <c r="E166" i="4"/>
  <c r="E167" i="4"/>
  <c r="E168" i="4"/>
  <c r="E169" i="4"/>
  <c r="E171" i="4"/>
  <c r="E172" i="4"/>
  <c r="E173" i="4"/>
  <c r="E174" i="4"/>
  <c r="E175" i="4"/>
  <c r="E176" i="4"/>
  <c r="E177" i="4"/>
  <c r="E178" i="4"/>
  <c r="E180" i="4"/>
  <c r="E181" i="4"/>
  <c r="E182" i="4"/>
  <c r="E183" i="4"/>
  <c r="E184" i="4"/>
  <c r="E185" i="4"/>
  <c r="E186" i="4"/>
  <c r="E187" i="4"/>
  <c r="E189" i="4"/>
  <c r="E190" i="4"/>
  <c r="E191" i="4"/>
  <c r="E192" i="4"/>
  <c r="E193" i="4"/>
  <c r="E194" i="4"/>
  <c r="E195" i="4"/>
  <c r="E196" i="4"/>
  <c r="E198" i="4"/>
  <c r="E199" i="4"/>
  <c r="E200" i="4"/>
  <c r="E201" i="4"/>
  <c r="E202" i="4"/>
  <c r="E203" i="4"/>
  <c r="E204" i="4"/>
  <c r="E205" i="4"/>
  <c r="E207" i="4"/>
  <c r="E208" i="4"/>
  <c r="E209" i="4"/>
  <c r="E210" i="4"/>
  <c r="E211" i="4"/>
  <c r="E212" i="4"/>
  <c r="E213" i="4"/>
  <c r="E214" i="4"/>
  <c r="E216" i="4"/>
  <c r="E217" i="4"/>
  <c r="E218" i="4"/>
  <c r="E219" i="4"/>
  <c r="E220" i="4"/>
  <c r="E221" i="4"/>
  <c r="E222" i="4"/>
  <c r="E223" i="4"/>
  <c r="E225" i="4"/>
  <c r="E226" i="4"/>
  <c r="E227" i="4"/>
  <c r="E228" i="4"/>
  <c r="E229" i="4"/>
  <c r="E230" i="4"/>
  <c r="E231" i="4"/>
  <c r="E232" i="4"/>
  <c r="E234" i="4"/>
  <c r="E235" i="4"/>
  <c r="E236" i="4"/>
  <c r="E237" i="4"/>
  <c r="E238" i="4"/>
  <c r="E239" i="4"/>
  <c r="E240" i="4"/>
  <c r="E241" i="4"/>
  <c r="E243" i="4"/>
  <c r="E244" i="4"/>
  <c r="E245" i="4"/>
  <c r="E246" i="4"/>
  <c r="E247" i="4"/>
  <c r="E248" i="4"/>
  <c r="E249" i="4"/>
  <c r="E250" i="4"/>
  <c r="E252" i="4"/>
  <c r="E253" i="4"/>
  <c r="E254" i="4"/>
  <c r="E255" i="4"/>
  <c r="E256" i="4"/>
  <c r="E257" i="4"/>
  <c r="E258" i="4"/>
  <c r="E259" i="4"/>
  <c r="E261" i="4"/>
  <c r="E262" i="4"/>
  <c r="E263" i="4"/>
  <c r="E264" i="4"/>
  <c r="E265" i="4"/>
  <c r="E266" i="4"/>
  <c r="E267" i="4"/>
  <c r="E268" i="4"/>
  <c r="E270" i="4"/>
  <c r="E271" i="4"/>
  <c r="E272" i="4"/>
  <c r="E273" i="4"/>
  <c r="E274" i="4"/>
  <c r="E275" i="4"/>
  <c r="E276" i="4"/>
  <c r="E277" i="4"/>
  <c r="E279" i="4"/>
  <c r="E280" i="4"/>
  <c r="E281" i="4"/>
  <c r="E282" i="4"/>
  <c r="E283" i="4"/>
  <c r="E284" i="4"/>
  <c r="E285" i="4"/>
  <c r="E286" i="4"/>
  <c r="E288" i="4"/>
  <c r="E289" i="4"/>
  <c r="E290" i="4"/>
  <c r="E291" i="4"/>
  <c r="E292" i="4"/>
  <c r="E293" i="4"/>
  <c r="E294" i="4"/>
  <c r="E295" i="4"/>
  <c r="E297" i="4"/>
  <c r="E298" i="4"/>
  <c r="E299" i="4"/>
  <c r="E300" i="4"/>
  <c r="E301" i="4"/>
  <c r="E302" i="4"/>
  <c r="E303" i="4"/>
  <c r="E304" i="4"/>
  <c r="E306" i="4"/>
  <c r="E307" i="4"/>
  <c r="E308" i="4"/>
  <c r="E309" i="4"/>
  <c r="E310" i="4"/>
  <c r="E311" i="4"/>
  <c r="E312" i="4"/>
  <c r="E313" i="4"/>
  <c r="E315" i="4"/>
  <c r="E316" i="4"/>
  <c r="E317" i="4"/>
  <c r="E318" i="4"/>
  <c r="E319" i="4"/>
  <c r="E320" i="4"/>
  <c r="E321" i="4"/>
  <c r="E322" i="4"/>
  <c r="E324" i="4"/>
  <c r="E325" i="4"/>
  <c r="E326" i="4"/>
  <c r="E327" i="4"/>
  <c r="E328" i="4"/>
  <c r="E329" i="4"/>
  <c r="E330" i="4"/>
  <c r="E331" i="4"/>
  <c r="E333" i="4"/>
  <c r="E334" i="4"/>
  <c r="E335" i="4"/>
  <c r="E336" i="4"/>
  <c r="E337" i="4"/>
  <c r="E338" i="4"/>
  <c r="E339" i="4"/>
  <c r="E340" i="4"/>
  <c r="E342" i="4"/>
  <c r="E343" i="4"/>
  <c r="E344" i="4"/>
  <c r="E345" i="4"/>
  <c r="E346" i="4"/>
  <c r="E347" i="4"/>
  <c r="E348" i="4"/>
  <c r="E349" i="4"/>
  <c r="E351" i="4"/>
  <c r="E352" i="4"/>
  <c r="E353" i="4"/>
  <c r="E354" i="4"/>
  <c r="E355" i="4"/>
  <c r="E356" i="4"/>
  <c r="E357" i="4"/>
  <c r="E358" i="4"/>
  <c r="E360" i="4"/>
  <c r="E361" i="4"/>
  <c r="E362" i="4"/>
  <c r="E363" i="4"/>
  <c r="E364" i="4"/>
  <c r="E365" i="4"/>
  <c r="E366" i="4"/>
  <c r="E367" i="4"/>
  <c r="E369" i="4"/>
  <c r="E370" i="4"/>
  <c r="E371" i="4"/>
  <c r="E372" i="4"/>
  <c r="E373" i="4"/>
  <c r="E374" i="4"/>
  <c r="E375" i="4"/>
  <c r="E376" i="4"/>
  <c r="E378" i="4"/>
  <c r="E379" i="4"/>
  <c r="E380" i="4"/>
  <c r="E381" i="4"/>
  <c r="E382" i="4"/>
  <c r="E383" i="4"/>
  <c r="E384" i="4"/>
  <c r="E385" i="4"/>
  <c r="E387" i="4"/>
  <c r="E388" i="4"/>
  <c r="E389" i="4"/>
  <c r="E390" i="4"/>
  <c r="E391" i="4"/>
  <c r="E392" i="4"/>
  <c r="E393" i="4"/>
  <c r="E394" i="4"/>
  <c r="E396" i="4"/>
  <c r="E397" i="4"/>
  <c r="E398" i="4"/>
  <c r="E399" i="4"/>
  <c r="E400" i="4"/>
  <c r="E401" i="4"/>
  <c r="E402" i="4"/>
  <c r="E403" i="4"/>
  <c r="E405" i="4"/>
  <c r="E406" i="4"/>
  <c r="E407" i="4"/>
  <c r="E408" i="4"/>
  <c r="E409" i="4"/>
  <c r="E410" i="4"/>
  <c r="E411" i="4"/>
  <c r="E412" i="4"/>
  <c r="E414" i="4"/>
  <c r="E415" i="4"/>
  <c r="E416" i="4"/>
  <c r="E417" i="4"/>
  <c r="E418" i="4"/>
  <c r="E419" i="4"/>
  <c r="E420" i="4"/>
  <c r="E421" i="4"/>
  <c r="E423" i="4"/>
  <c r="E424" i="4"/>
  <c r="E425" i="4"/>
  <c r="E426" i="4"/>
  <c r="E427" i="4"/>
  <c r="E428" i="4"/>
  <c r="E429" i="4"/>
  <c r="E430" i="4"/>
  <c r="E432" i="4"/>
  <c r="E433" i="4"/>
  <c r="E434" i="4"/>
  <c r="E435" i="4"/>
  <c r="E436" i="4"/>
  <c r="E437" i="4"/>
  <c r="E438" i="4"/>
  <c r="E439" i="4"/>
  <c r="E441" i="4"/>
  <c r="E442" i="4"/>
  <c r="E443" i="4"/>
  <c r="E444" i="4"/>
  <c r="E445" i="4"/>
  <c r="E446" i="4"/>
  <c r="E447" i="4"/>
  <c r="E448" i="4"/>
  <c r="E450" i="4"/>
  <c r="E451" i="4"/>
  <c r="E452" i="4"/>
  <c r="E453" i="4"/>
  <c r="E454" i="4"/>
  <c r="E455" i="4"/>
  <c r="E456" i="4"/>
  <c r="E457" i="4"/>
  <c r="E459" i="4"/>
  <c r="E460" i="4"/>
  <c r="E461" i="4"/>
  <c r="E462" i="4"/>
  <c r="E463" i="4"/>
  <c r="E464" i="4"/>
  <c r="E465" i="4"/>
  <c r="E466" i="4"/>
  <c r="E468" i="4"/>
  <c r="E469" i="4"/>
  <c r="E470" i="4"/>
  <c r="E471" i="4"/>
  <c r="E472" i="4"/>
  <c r="E473" i="4"/>
  <c r="E474" i="4"/>
  <c r="E475" i="4"/>
  <c r="E477" i="4"/>
  <c r="E478" i="4"/>
  <c r="E479" i="4"/>
  <c r="E480" i="4"/>
  <c r="E481" i="4"/>
  <c r="E482" i="4"/>
  <c r="E483" i="4"/>
  <c r="E484" i="4"/>
  <c r="E486" i="4"/>
  <c r="E487" i="4"/>
  <c r="E488" i="4"/>
  <c r="E489" i="4"/>
  <c r="E490" i="4"/>
  <c r="E491" i="4"/>
  <c r="E492" i="4"/>
  <c r="E493" i="4"/>
  <c r="E495" i="4"/>
  <c r="E496" i="4"/>
  <c r="E497" i="4"/>
  <c r="E498" i="4"/>
  <c r="E499" i="4"/>
  <c r="E500" i="4"/>
  <c r="E501" i="4"/>
  <c r="E502" i="4"/>
  <c r="E504" i="4"/>
  <c r="E505" i="4"/>
  <c r="E506" i="4"/>
  <c r="E507" i="4"/>
  <c r="E508" i="4"/>
  <c r="E509" i="4"/>
  <c r="E510" i="4"/>
  <c r="E511" i="4"/>
  <c r="E513" i="4"/>
  <c r="E514" i="4"/>
  <c r="E515" i="4"/>
  <c r="E516" i="4"/>
  <c r="E517" i="4"/>
  <c r="E518" i="4"/>
  <c r="E519" i="4"/>
  <c r="E520" i="4"/>
  <c r="E522" i="4"/>
  <c r="E523" i="4"/>
  <c r="E524" i="4"/>
  <c r="E525" i="4"/>
  <c r="E526" i="4"/>
  <c r="E527" i="4"/>
  <c r="E528" i="4"/>
  <c r="E529" i="4"/>
  <c r="E531" i="4"/>
  <c r="E532" i="4"/>
  <c r="E533" i="4"/>
  <c r="E534" i="4"/>
  <c r="E535" i="4"/>
  <c r="E536" i="4"/>
  <c r="E537" i="4"/>
  <c r="E538" i="4"/>
  <c r="E540" i="4"/>
  <c r="E541" i="4"/>
  <c r="E542" i="4"/>
  <c r="E543" i="4"/>
  <c r="E544" i="4"/>
  <c r="E545" i="4"/>
  <c r="E546" i="4"/>
  <c r="E547" i="4"/>
  <c r="E549" i="4"/>
  <c r="E550" i="4"/>
  <c r="E551" i="4"/>
  <c r="E552" i="4"/>
  <c r="E553" i="4"/>
  <c r="E554" i="4"/>
  <c r="E555" i="4"/>
  <c r="E556" i="4"/>
  <c r="E558" i="4"/>
  <c r="E559" i="4"/>
  <c r="E560" i="4"/>
  <c r="E561" i="4"/>
  <c r="E562" i="4"/>
  <c r="E563" i="4"/>
  <c r="E564" i="4"/>
  <c r="E565" i="4"/>
  <c r="E567" i="4"/>
  <c r="E568" i="4"/>
  <c r="E569" i="4"/>
  <c r="E570" i="4"/>
  <c r="E571" i="4"/>
  <c r="E572" i="4"/>
  <c r="E573" i="4"/>
  <c r="E574" i="4"/>
  <c r="E576" i="4"/>
  <c r="E577" i="4"/>
  <c r="E578" i="4"/>
  <c r="E579" i="4"/>
  <c r="E580" i="4"/>
  <c r="E581" i="4"/>
  <c r="E582" i="4"/>
  <c r="E583" i="4"/>
  <c r="E585" i="4"/>
  <c r="E586" i="4"/>
  <c r="E587" i="4"/>
  <c r="E588" i="4"/>
  <c r="E589" i="4"/>
  <c r="E590" i="4"/>
  <c r="E591" i="4"/>
  <c r="E592" i="4"/>
  <c r="E594" i="4"/>
  <c r="E595" i="4"/>
  <c r="E596" i="4"/>
  <c r="E597" i="4"/>
  <c r="E598" i="4"/>
  <c r="E599" i="4"/>
  <c r="E600" i="4"/>
  <c r="E601" i="4"/>
  <c r="E603" i="4"/>
  <c r="E604" i="4"/>
  <c r="E605" i="4"/>
  <c r="E606" i="4"/>
  <c r="E607" i="4"/>
  <c r="E608" i="4"/>
  <c r="E609" i="4"/>
  <c r="E610" i="4"/>
  <c r="E612" i="4"/>
  <c r="E613" i="4"/>
  <c r="E614" i="4"/>
  <c r="E615" i="4"/>
  <c r="E616" i="4"/>
  <c r="E617" i="4"/>
  <c r="E618" i="4"/>
  <c r="E619" i="4"/>
  <c r="E621" i="4"/>
  <c r="E5" i="10"/>
  <c r="C10" i="3"/>
  <c r="E10" i="3" s="1"/>
  <c r="G10" i="3" l="1"/>
  <c r="H10" i="3"/>
  <c r="F10" i="3"/>
  <c r="I10" i="3"/>
  <c r="J18" i="3"/>
  <c r="K254" i="3"/>
  <c r="L671" i="3"/>
  <c r="L583" i="3"/>
  <c r="K399" i="3"/>
  <c r="K311" i="3"/>
  <c r="K223" i="3"/>
  <c r="L127" i="3"/>
  <c r="L767" i="3"/>
  <c r="J679" i="3"/>
  <c r="K591" i="3"/>
  <c r="L495" i="3"/>
  <c r="K407" i="3"/>
  <c r="J231" i="3"/>
  <c r="K135" i="3"/>
  <c r="L47" i="3"/>
  <c r="L743" i="3"/>
  <c r="J647" i="3"/>
  <c r="K551" i="3"/>
  <c r="J375" i="3"/>
  <c r="L279" i="3"/>
  <c r="L191" i="3"/>
  <c r="K846" i="3"/>
  <c r="I751" i="3"/>
  <c r="J663" i="3"/>
  <c r="J383" i="3"/>
  <c r="K295" i="3"/>
  <c r="K23" i="3"/>
  <c r="K589" i="3"/>
  <c r="K703" i="3"/>
  <c r="J527" i="3"/>
  <c r="J343" i="3"/>
  <c r="K214" i="3"/>
  <c r="L607" i="3"/>
  <c r="L375" i="3"/>
  <c r="J500" i="3"/>
  <c r="K140" i="3"/>
  <c r="K669" i="3"/>
  <c r="K455" i="3"/>
  <c r="L207" i="3"/>
  <c r="F212" i="3"/>
  <c r="F749" i="3"/>
  <c r="L751" i="3"/>
  <c r="J511" i="3"/>
  <c r="L31" i="3"/>
  <c r="J813" i="3"/>
  <c r="J597" i="3"/>
  <c r="K655" i="3"/>
  <c r="K751" i="3"/>
  <c r="K663" i="3"/>
  <c r="J567" i="3"/>
  <c r="L391" i="3"/>
  <c r="K199" i="3"/>
  <c r="K153" i="3"/>
  <c r="K671" i="3"/>
  <c r="K583" i="3"/>
  <c r="L487" i="3"/>
  <c r="J223" i="3"/>
  <c r="J653" i="3"/>
  <c r="K815" i="3"/>
  <c r="K727" i="3"/>
  <c r="K735" i="3"/>
  <c r="L639" i="3"/>
  <c r="J551" i="3"/>
  <c r="L463" i="3"/>
  <c r="K375" i="3"/>
  <c r="K279" i="3"/>
  <c r="K191" i="3"/>
  <c r="L103" i="3"/>
  <c r="J846" i="3"/>
  <c r="K783" i="3"/>
  <c r="K607" i="3"/>
  <c r="J423" i="3"/>
  <c r="K247" i="3"/>
  <c r="L55" i="3"/>
  <c r="L765" i="3"/>
  <c r="K839" i="3"/>
  <c r="K575" i="3"/>
  <c r="K95" i="3"/>
  <c r="K517" i="3"/>
  <c r="L301" i="3"/>
  <c r="K69" i="3"/>
  <c r="J452" i="3"/>
  <c r="L84" i="3"/>
  <c r="L437" i="3"/>
  <c r="L415" i="3"/>
  <c r="L741" i="3"/>
  <c r="J373" i="3"/>
  <c r="K725" i="3"/>
  <c r="K719" i="3"/>
  <c r="J209" i="3"/>
  <c r="L647" i="3"/>
  <c r="J471" i="3"/>
  <c r="L287" i="3"/>
  <c r="F751" i="3"/>
  <c r="K559" i="3"/>
  <c r="K391" i="3"/>
  <c r="J199" i="3"/>
  <c r="K111" i="3"/>
  <c r="J31" i="3"/>
  <c r="J621" i="3"/>
  <c r="J807" i="3"/>
  <c r="L711" i="3"/>
  <c r="J535" i="3"/>
  <c r="K447" i="3"/>
  <c r="J175" i="3"/>
  <c r="J87" i="3"/>
  <c r="J815" i="3"/>
  <c r="J727" i="3"/>
  <c r="L455" i="3"/>
  <c r="L367" i="3"/>
  <c r="L271" i="3"/>
  <c r="L183" i="3"/>
  <c r="L95" i="3"/>
  <c r="L629" i="3"/>
  <c r="J541" i="3"/>
  <c r="L503" i="3"/>
  <c r="L239" i="3"/>
  <c r="K143" i="3"/>
  <c r="L701" i="3"/>
  <c r="L783" i="3"/>
  <c r="K543" i="3"/>
  <c r="J63" i="3"/>
  <c r="L501" i="3"/>
  <c r="K237" i="3"/>
  <c r="J37" i="3"/>
  <c r="K412" i="3"/>
  <c r="L36" i="3"/>
  <c r="J405" i="3"/>
  <c r="L631" i="3"/>
  <c r="K341" i="3"/>
  <c r="K156" i="3"/>
  <c r="J717" i="3"/>
  <c r="K687" i="3"/>
  <c r="J455" i="3"/>
  <c r="J207" i="3"/>
  <c r="L805" i="3"/>
  <c r="L212" i="3"/>
  <c r="K749" i="3"/>
  <c r="L20" i="3"/>
  <c r="K351" i="3"/>
  <c r="J839" i="3"/>
  <c r="J735" i="3"/>
  <c r="J543" i="3"/>
  <c r="K367" i="3"/>
  <c r="J95" i="3"/>
  <c r="K20" i="3"/>
  <c r="K647" i="3"/>
  <c r="L551" i="3"/>
  <c r="K463" i="3"/>
  <c r="J287" i="3"/>
  <c r="L846" i="3"/>
  <c r="K565" i="3"/>
  <c r="L791" i="3"/>
  <c r="K695" i="3"/>
  <c r="L615" i="3"/>
  <c r="L431" i="3"/>
  <c r="J335" i="3"/>
  <c r="J71" i="3"/>
  <c r="J447" i="3"/>
  <c r="K255" i="3"/>
  <c r="L759" i="3"/>
  <c r="L679" i="3"/>
  <c r="L591" i="3"/>
  <c r="J487" i="3"/>
  <c r="J39" i="3"/>
  <c r="K677" i="3"/>
  <c r="J519" i="3"/>
  <c r="J271" i="3"/>
  <c r="J461" i="3"/>
  <c r="K828" i="3"/>
  <c r="L597" i="3"/>
  <c r="K198" i="3"/>
  <c r="J607" i="3"/>
  <c r="K359" i="3"/>
  <c r="L119" i="3"/>
  <c r="J565" i="3"/>
  <c r="J140" i="3"/>
  <c r="J669" i="3"/>
  <c r="L663" i="3"/>
  <c r="K701" i="3"/>
  <c r="L357" i="3"/>
  <c r="L628" i="3"/>
  <c r="L196" i="3"/>
  <c r="J725" i="3"/>
  <c r="K485" i="3"/>
  <c r="L559" i="3"/>
  <c r="L807" i="3"/>
  <c r="K711" i="3"/>
  <c r="K623" i="3"/>
  <c r="L535" i="3"/>
  <c r="J351" i="3"/>
  <c r="K263" i="3"/>
  <c r="L175" i="3"/>
  <c r="L815" i="3"/>
  <c r="L727" i="3"/>
  <c r="J367" i="3"/>
  <c r="J30" i="3"/>
  <c r="L541" i="3"/>
  <c r="J775" i="3"/>
  <c r="K599" i="3"/>
  <c r="L511" i="3"/>
  <c r="K415" i="3"/>
  <c r="L327" i="3"/>
  <c r="J239" i="3"/>
  <c r="L151" i="3"/>
  <c r="J741" i="3"/>
  <c r="K791" i="3"/>
  <c r="J695" i="3"/>
  <c r="L527" i="3"/>
  <c r="J431" i="3"/>
  <c r="K159" i="3"/>
  <c r="L63" i="3"/>
  <c r="G751" i="3"/>
  <c r="L567" i="3"/>
  <c r="J479" i="3"/>
  <c r="L303" i="3"/>
  <c r="K207" i="3"/>
  <c r="K119" i="3"/>
  <c r="L735" i="3"/>
  <c r="L247" i="3"/>
  <c r="L429" i="3"/>
  <c r="J197" i="3"/>
  <c r="L756" i="3"/>
  <c r="L284" i="3"/>
  <c r="K789" i="3"/>
  <c r="J573" i="3"/>
  <c r="J575" i="3"/>
  <c r="L335" i="3"/>
  <c r="K277" i="3"/>
  <c r="J69" i="3"/>
  <c r="J151" i="3"/>
  <c r="L621" i="3"/>
  <c r="J341" i="3"/>
  <c r="J156" i="3"/>
  <c r="L469" i="3"/>
  <c r="K799" i="3"/>
  <c r="L439" i="3"/>
  <c r="L255" i="3"/>
  <c r="L71" i="3"/>
  <c r="K807" i="3"/>
  <c r="J711" i="3"/>
  <c r="J623" i="3"/>
  <c r="K535" i="3"/>
  <c r="L447" i="3"/>
  <c r="L351" i="3"/>
  <c r="J263" i="3"/>
  <c r="K175" i="3"/>
  <c r="L87" i="3"/>
  <c r="K767" i="3"/>
  <c r="J591" i="3"/>
  <c r="K495" i="3"/>
  <c r="J407" i="3"/>
  <c r="J135" i="3"/>
  <c r="K47" i="3"/>
  <c r="L687" i="3"/>
  <c r="J599" i="3"/>
  <c r="K511" i="3"/>
  <c r="K327" i="3"/>
  <c r="K151" i="3"/>
  <c r="J97" i="3"/>
  <c r="J655" i="3"/>
  <c r="L471" i="3"/>
  <c r="K383" i="3"/>
  <c r="J295" i="3"/>
  <c r="L111" i="3"/>
  <c r="J215" i="3"/>
  <c r="L829" i="3"/>
  <c r="J397" i="3"/>
  <c r="K165" i="3"/>
  <c r="J716" i="3"/>
  <c r="K252" i="3"/>
  <c r="J773" i="3"/>
  <c r="J783" i="3"/>
  <c r="K55" i="3"/>
  <c r="K477" i="3"/>
  <c r="K372" i="3"/>
  <c r="K36" i="3"/>
  <c r="L613" i="3"/>
  <c r="J359" i="3"/>
  <c r="L775" i="3"/>
  <c r="L695" i="3"/>
  <c r="J415" i="3"/>
  <c r="L159" i="3"/>
  <c r="J55" i="3"/>
  <c r="J799" i="3"/>
  <c r="K431" i="3"/>
  <c r="K335" i="3"/>
  <c r="L167" i="3"/>
  <c r="K71" i="3"/>
  <c r="J805" i="3"/>
  <c r="K24" i="3"/>
  <c r="J583" i="3"/>
  <c r="K487" i="3"/>
  <c r="J311" i="3"/>
  <c r="L215" i="3"/>
  <c r="J767" i="3"/>
  <c r="J495" i="3"/>
  <c r="K127" i="3"/>
  <c r="J47" i="3"/>
  <c r="L839" i="3"/>
  <c r="K631" i="3"/>
  <c r="K183" i="3"/>
  <c r="L423" i="3"/>
  <c r="J183" i="3"/>
  <c r="J196" i="3"/>
  <c r="L725" i="3"/>
  <c r="J509" i="3"/>
  <c r="H751" i="3"/>
  <c r="J796" i="3"/>
  <c r="K813" i="3"/>
  <c r="K597" i="3"/>
  <c r="K567" i="3"/>
  <c r="J327" i="3"/>
  <c r="J277" i="3"/>
  <c r="L719" i="3"/>
  <c r="J391" i="3"/>
  <c r="L575" i="3"/>
  <c r="K87" i="3"/>
  <c r="K109" i="3"/>
  <c r="L543" i="3"/>
  <c r="K284" i="3"/>
  <c r="L389" i="3"/>
  <c r="L263" i="3"/>
  <c r="K30" i="3"/>
  <c r="J413" i="3"/>
  <c r="L557" i="3"/>
  <c r="J109" i="3"/>
  <c r="J540" i="3"/>
  <c r="K693" i="3"/>
  <c r="J453" i="3"/>
  <c r="J765" i="3"/>
  <c r="L828" i="3"/>
  <c r="K285" i="3"/>
  <c r="L133" i="3"/>
  <c r="I748" i="3"/>
  <c r="K404" i="3"/>
  <c r="J255" i="3"/>
  <c r="K301" i="3"/>
  <c r="G212" i="3"/>
  <c r="J389" i="3"/>
  <c r="G214" i="3"/>
  <c r="K45" i="3"/>
  <c r="K68" i="3"/>
  <c r="J180" i="3"/>
  <c r="K381" i="3"/>
  <c r="L213" i="3"/>
  <c r="J45" i="3"/>
  <c r="L79" i="3"/>
  <c r="L125" i="3"/>
  <c r="L813" i="3"/>
  <c r="L157" i="3"/>
  <c r="J172" i="3"/>
  <c r="K679" i="3"/>
  <c r="K775" i="3"/>
  <c r="J303" i="3"/>
  <c r="K479" i="3"/>
  <c r="J719" i="3"/>
  <c r="K829" i="3"/>
  <c r="L413" i="3"/>
  <c r="K303" i="3"/>
  <c r="K805" i="3"/>
  <c r="L373" i="3"/>
  <c r="K212" i="3"/>
  <c r="J749" i="3"/>
  <c r="K103" i="3"/>
  <c r="K541" i="3"/>
  <c r="J301" i="3"/>
  <c r="L452" i="3"/>
  <c r="L108" i="3"/>
  <c r="K519" i="3"/>
  <c r="L676" i="3"/>
  <c r="L269" i="3"/>
  <c r="L101" i="3"/>
  <c r="L340" i="3"/>
  <c r="L209" i="3"/>
  <c r="L221" i="3"/>
  <c r="J108" i="3"/>
  <c r="K189" i="3"/>
  <c r="K204" i="3"/>
  <c r="J60" i="3"/>
  <c r="J685" i="3"/>
  <c r="K167" i="3"/>
  <c r="J221" i="3"/>
  <c r="K108" i="3"/>
  <c r="J189" i="3"/>
  <c r="K21" i="3"/>
  <c r="L53" i="3"/>
  <c r="J780" i="3"/>
  <c r="L164" i="3"/>
  <c r="J19" i="3"/>
  <c r="L599" i="3"/>
  <c r="K741" i="3"/>
  <c r="J517" i="3"/>
  <c r="L156" i="3"/>
  <c r="K181" i="3"/>
  <c r="J119" i="3"/>
  <c r="L831" i="3"/>
  <c r="K743" i="3"/>
  <c r="J701" i="3"/>
  <c r="K357" i="3"/>
  <c r="L141" i="3"/>
  <c r="K628" i="3"/>
  <c r="K196" i="3"/>
  <c r="L485" i="3"/>
  <c r="L799" i="3"/>
  <c r="L319" i="3"/>
  <c r="J79" i="3"/>
  <c r="J501" i="3"/>
  <c r="L261" i="3"/>
  <c r="J53" i="3"/>
  <c r="L405" i="3"/>
  <c r="K439" i="3"/>
  <c r="L461" i="3"/>
  <c r="K500" i="3"/>
  <c r="K85" i="3"/>
  <c r="K141" i="3"/>
  <c r="J333" i="3"/>
  <c r="J812" i="3"/>
  <c r="L172" i="3"/>
  <c r="K44" i="3"/>
  <c r="K661" i="3"/>
  <c r="J743" i="3"/>
  <c r="J103" i="3"/>
  <c r="J141" i="3"/>
  <c r="J559" i="3"/>
  <c r="L677" i="3"/>
  <c r="K796" i="3"/>
  <c r="J645" i="3"/>
  <c r="K748" i="3"/>
  <c r="J364" i="3"/>
  <c r="K148" i="3"/>
  <c r="J421" i="3"/>
  <c r="L604" i="3"/>
  <c r="J244" i="3"/>
  <c r="J733" i="3"/>
  <c r="J615" i="3"/>
  <c r="L693" i="3"/>
  <c r="L149" i="3"/>
  <c r="L748" i="3"/>
  <c r="J503" i="3"/>
  <c r="J111" i="3"/>
  <c r="J631" i="3"/>
  <c r="K717" i="3"/>
  <c r="K756" i="3"/>
  <c r="J687" i="3"/>
  <c r="L143" i="3"/>
  <c r="K621" i="3"/>
  <c r="L325" i="3"/>
  <c r="J469" i="3"/>
  <c r="J279" i="3"/>
  <c r="K39" i="3"/>
  <c r="J237" i="3"/>
  <c r="J828" i="3"/>
  <c r="L343" i="3"/>
  <c r="J437" i="3"/>
  <c r="L229" i="3"/>
  <c r="K77" i="3"/>
  <c r="J636" i="3"/>
  <c r="K276" i="3"/>
  <c r="J23" i="3"/>
  <c r="L93" i="3"/>
  <c r="G749" i="3"/>
  <c r="K309" i="3"/>
  <c r="K149" i="3"/>
  <c r="L780" i="3"/>
  <c r="L19" i="3"/>
  <c r="L605" i="3"/>
  <c r="L655" i="3"/>
  <c r="L69" i="3"/>
  <c r="J309" i="3"/>
  <c r="K780" i="3"/>
  <c r="L588" i="3"/>
  <c r="K573" i="3"/>
  <c r="K100" i="3"/>
  <c r="J797" i="3"/>
  <c r="K261" i="3"/>
  <c r="J381" i="3"/>
  <c r="L205" i="3"/>
  <c r="K572" i="3"/>
  <c r="L220" i="3"/>
  <c r="L519" i="3"/>
  <c r="J751" i="3"/>
  <c r="L23" i="3"/>
  <c r="K215" i="3"/>
  <c r="J284" i="3"/>
  <c r="L30" i="3"/>
  <c r="L623" i="3"/>
  <c r="J93" i="3"/>
  <c r="K437" i="3"/>
  <c r="L197" i="3"/>
  <c r="L796" i="3"/>
  <c r="L573" i="3"/>
  <c r="K271" i="3"/>
  <c r="I212" i="3"/>
  <c r="H214" i="3"/>
  <c r="L45" i="3"/>
  <c r="J220" i="3"/>
  <c r="L669" i="3"/>
  <c r="K133" i="3"/>
  <c r="H748" i="3"/>
  <c r="L364" i="3"/>
  <c r="K823" i="3"/>
  <c r="K645" i="3"/>
  <c r="J133" i="3"/>
  <c r="F748" i="3"/>
  <c r="L407" i="3"/>
  <c r="J245" i="3"/>
  <c r="K660" i="3"/>
  <c r="J319" i="3"/>
  <c r="K32" i="3"/>
  <c r="L359" i="3"/>
  <c r="J789" i="3"/>
  <c r="L565" i="3"/>
  <c r="J756" i="3"/>
  <c r="K613" i="3"/>
  <c r="K84" i="3"/>
  <c r="L645" i="3"/>
  <c r="L421" i="3"/>
  <c r="J703" i="3"/>
  <c r="J463" i="3"/>
  <c r="L231" i="3"/>
  <c r="J829" i="3"/>
  <c r="L181" i="3"/>
  <c r="L716" i="3"/>
  <c r="J252" i="3"/>
  <c r="L773" i="3"/>
  <c r="J533" i="3"/>
  <c r="L97" i="3"/>
  <c r="K221" i="3"/>
  <c r="J365" i="3"/>
  <c r="L189" i="3"/>
  <c r="L204" i="3"/>
  <c r="K503" i="3"/>
  <c r="K676" i="3"/>
  <c r="K253" i="3"/>
  <c r="K101" i="3"/>
  <c r="K340" i="3"/>
  <c r="K549" i="3"/>
  <c r="L517" i="3"/>
  <c r="J628" i="3"/>
  <c r="J101" i="3"/>
  <c r="K319" i="3"/>
  <c r="K421" i="3"/>
  <c r="K244" i="3"/>
  <c r="K231" i="3"/>
  <c r="J759" i="3"/>
  <c r="L653" i="3"/>
  <c r="L479" i="3"/>
  <c r="K557" i="3"/>
  <c r="L477" i="3"/>
  <c r="J557" i="3"/>
  <c r="J477" i="3"/>
  <c r="K831" i="3"/>
  <c r="J613" i="3"/>
  <c r="K389" i="3"/>
  <c r="J439" i="3"/>
  <c r="J191" i="3"/>
  <c r="J165" i="3"/>
  <c r="J676" i="3"/>
  <c r="H212" i="3"/>
  <c r="H749" i="3"/>
  <c r="K509" i="3"/>
  <c r="K759" i="3"/>
  <c r="L165" i="3"/>
  <c r="K333" i="3"/>
  <c r="L21" i="3"/>
  <c r="K423" i="3"/>
  <c r="J429" i="3"/>
  <c r="L509" i="3"/>
  <c r="L245" i="3"/>
  <c r="L660" i="3"/>
  <c r="K308" i="3"/>
  <c r="K493" i="3"/>
  <c r="K452" i="3"/>
  <c r="J485" i="3"/>
  <c r="K245" i="3"/>
  <c r="J660" i="3"/>
  <c r="L277" i="3"/>
  <c r="L180" i="3"/>
  <c r="J213" i="3"/>
  <c r="L572" i="3"/>
  <c r="J639" i="3"/>
  <c r="K629" i="3"/>
  <c r="K53" i="3"/>
  <c r="L717" i="3"/>
  <c r="K164" i="3"/>
  <c r="L295" i="3"/>
  <c r="J325" i="3"/>
  <c r="L252" i="3"/>
  <c r="K213" i="3"/>
  <c r="K61" i="3"/>
  <c r="L135" i="3"/>
  <c r="J677" i="3"/>
  <c r="K343" i="3"/>
  <c r="J76" i="3"/>
  <c r="L548" i="3"/>
  <c r="L661" i="3"/>
  <c r="K79" i="3"/>
  <c r="J412" i="3"/>
  <c r="L285" i="3"/>
  <c r="L308" i="3"/>
  <c r="J27" i="3"/>
  <c r="J589" i="3"/>
  <c r="L372" i="3"/>
  <c r="J349" i="3"/>
  <c r="J117" i="3"/>
  <c r="L636" i="3"/>
  <c r="L540" i="3"/>
  <c r="K692" i="3"/>
  <c r="L52" i="3"/>
  <c r="K445" i="3"/>
  <c r="L524" i="3"/>
  <c r="K834" i="3"/>
  <c r="J450" i="3"/>
  <c r="K258" i="3"/>
  <c r="J98" i="3"/>
  <c r="L333" i="3"/>
  <c r="K733" i="3"/>
  <c r="K732" i="3"/>
  <c r="L420" i="3"/>
  <c r="J570" i="3"/>
  <c r="J92" i="3"/>
  <c r="L549" i="3"/>
  <c r="K260" i="3"/>
  <c r="K364" i="3"/>
  <c r="L781" i="3"/>
  <c r="K778" i="3"/>
  <c r="J394" i="3"/>
  <c r="J194" i="3"/>
  <c r="K37" i="3"/>
  <c r="J556" i="3"/>
  <c r="J116" i="3"/>
  <c r="K239" i="3"/>
  <c r="K413" i="3"/>
  <c r="L316" i="3"/>
  <c r="L757" i="3"/>
  <c r="J605" i="3"/>
  <c r="K653" i="3"/>
  <c r="L276" i="3"/>
  <c r="K461" i="3"/>
  <c r="K317" i="3"/>
  <c r="J85" i="3"/>
  <c r="J604" i="3"/>
  <c r="L68" i="3"/>
  <c r="L733" i="3"/>
  <c r="J36" i="3"/>
  <c r="J572" i="3"/>
  <c r="J836" i="3"/>
  <c r="L492" i="3"/>
  <c r="L802" i="3"/>
  <c r="J218" i="3"/>
  <c r="L82" i="3"/>
  <c r="J253" i="3"/>
  <c r="L668" i="3"/>
  <c r="L730" i="3"/>
  <c r="L42" i="3"/>
  <c r="L493" i="3"/>
  <c r="L556" i="3"/>
  <c r="K666" i="3"/>
  <c r="K114" i="3"/>
  <c r="L317" i="3"/>
  <c r="K388" i="3"/>
  <c r="L762" i="3"/>
  <c r="J372" i="3"/>
  <c r="K125" i="3"/>
  <c r="L749" i="3"/>
  <c r="J316" i="3"/>
  <c r="L445" i="3"/>
  <c r="J167" i="3"/>
  <c r="K92" i="3"/>
  <c r="K501" i="3"/>
  <c r="G748" i="3"/>
  <c r="L397" i="3"/>
  <c r="J831" i="3"/>
  <c r="K269" i="3"/>
  <c r="J709" i="3"/>
  <c r="K533" i="3"/>
  <c r="L444" i="3"/>
  <c r="K602" i="3"/>
  <c r="K605" i="3"/>
  <c r="L644" i="3"/>
  <c r="K324" i="3"/>
  <c r="J714" i="3"/>
  <c r="K538" i="3"/>
  <c r="K322" i="3"/>
  <c r="L130" i="3"/>
  <c r="K34" i="3"/>
  <c r="L412" i="3"/>
  <c r="L44" i="3"/>
  <c r="K293" i="3"/>
  <c r="J524" i="3"/>
  <c r="K450" i="3"/>
  <c r="K234" i="3"/>
  <c r="K90" i="3"/>
  <c r="J188" i="3"/>
  <c r="J730" i="3"/>
  <c r="K554" i="3"/>
  <c r="K146" i="3"/>
  <c r="J516" i="3"/>
  <c r="L821" i="3"/>
  <c r="L804" i="3"/>
  <c r="K468" i="3"/>
  <c r="J476" i="3"/>
  <c r="J804" i="3"/>
  <c r="K618" i="3"/>
  <c r="K202" i="3"/>
  <c r="K746" i="3"/>
  <c r="J178" i="3"/>
  <c r="K642" i="3"/>
  <c r="J474" i="3"/>
  <c r="J671" i="3"/>
  <c r="K588" i="3"/>
  <c r="J317" i="3"/>
  <c r="K197" i="3"/>
  <c r="J52" i="3"/>
  <c r="K397" i="3"/>
  <c r="L173" i="3"/>
  <c r="L692" i="3"/>
  <c r="J781" i="3"/>
  <c r="K773" i="3"/>
  <c r="L253" i="3"/>
  <c r="K29" i="3"/>
  <c r="K516" i="3"/>
  <c r="L188" i="3"/>
  <c r="K52" i="3"/>
  <c r="J791" i="3"/>
  <c r="K349" i="3"/>
  <c r="K586" i="3"/>
  <c r="J362" i="3"/>
  <c r="K194" i="3"/>
  <c r="J58" i="3"/>
  <c r="J549" i="3"/>
  <c r="J612" i="3"/>
  <c r="J506" i="3"/>
  <c r="K844" i="3"/>
  <c r="L789" i="3"/>
  <c r="J548" i="3"/>
  <c r="L823" i="3"/>
  <c r="K836" i="3"/>
  <c r="L468" i="3"/>
  <c r="J802" i="3"/>
  <c r="L410" i="3"/>
  <c r="L39" i="3"/>
  <c r="L148" i="3"/>
  <c r="J292" i="3"/>
  <c r="L522" i="3"/>
  <c r="L314" i="3"/>
  <c r="J130" i="3"/>
  <c r="K405" i="3"/>
  <c r="J757" i="3"/>
  <c r="L772" i="3"/>
  <c r="J778" i="3"/>
  <c r="J340" i="3"/>
  <c r="L732" i="3"/>
  <c r="K420" i="3"/>
  <c r="K762" i="3"/>
  <c r="J378" i="3"/>
  <c r="L60" i="3"/>
  <c r="L650" i="3"/>
  <c r="L122" i="3"/>
  <c r="L381" i="3"/>
  <c r="K180" i="3"/>
  <c r="K229" i="3"/>
  <c r="J357" i="3"/>
  <c r="J84" i="3"/>
  <c r="K27" i="3"/>
  <c r="L533" i="3"/>
  <c r="K157" i="3"/>
  <c r="L709" i="3"/>
  <c r="J181" i="3"/>
  <c r="K476" i="3"/>
  <c r="K471" i="3"/>
  <c r="K220" i="3"/>
  <c r="J554" i="3"/>
  <c r="J493" i="3"/>
  <c r="L666" i="3"/>
  <c r="L453" i="3"/>
  <c r="L404" i="3"/>
  <c r="L797" i="3"/>
  <c r="J772" i="3"/>
  <c r="J444" i="3"/>
  <c r="L778" i="3"/>
  <c r="J586" i="3"/>
  <c r="K394" i="3"/>
  <c r="L194" i="3"/>
  <c r="K373" i="3"/>
  <c r="L77" i="3"/>
  <c r="L92" i="3"/>
  <c r="L260" i="3"/>
  <c r="K615" i="3"/>
  <c r="L244" i="3"/>
  <c r="K709" i="3"/>
  <c r="J388" i="3"/>
  <c r="L746" i="3"/>
  <c r="K31" i="3"/>
  <c r="K639" i="3"/>
  <c r="J77" i="3"/>
  <c r="K316" i="3"/>
  <c r="K781" i="3"/>
  <c r="J125" i="3"/>
  <c r="L117" i="3"/>
  <c r="K548" i="3"/>
  <c r="L223" i="3"/>
  <c r="L109" i="3"/>
  <c r="J205" i="3"/>
  <c r="L812" i="3"/>
  <c r="J404" i="3"/>
  <c r="J148" i="3"/>
  <c r="J143" i="3"/>
  <c r="K173" i="3"/>
  <c r="L324" i="3"/>
  <c r="K714" i="3"/>
  <c r="L538" i="3"/>
  <c r="L322" i="3"/>
  <c r="L34" i="3"/>
  <c r="L500" i="3"/>
  <c r="J44" i="3"/>
  <c r="J445" i="3"/>
  <c r="K524" i="3"/>
  <c r="J834" i="3"/>
  <c r="L450" i="3"/>
  <c r="L234" i="3"/>
  <c r="L98" i="3"/>
  <c r="L703" i="3"/>
  <c r="J276" i="3"/>
  <c r="J732" i="3"/>
  <c r="L178" i="3"/>
  <c r="L50" i="3"/>
  <c r="K93" i="3"/>
  <c r="K812" i="3"/>
  <c r="J68" i="3"/>
  <c r="K556" i="3"/>
  <c r="L311" i="3"/>
  <c r="L341" i="3"/>
  <c r="K429" i="3"/>
  <c r="J399" i="3"/>
  <c r="K469" i="3"/>
  <c r="J436" i="3"/>
  <c r="L399" i="3"/>
  <c r="L349" i="3"/>
  <c r="L476" i="3"/>
  <c r="J661" i="3"/>
  <c r="J127" i="3"/>
  <c r="K716" i="3"/>
  <c r="K453" i="3"/>
  <c r="J173" i="3"/>
  <c r="K724" i="3"/>
  <c r="K821" i="3"/>
  <c r="J581" i="3"/>
  <c r="K612" i="3"/>
  <c r="K292" i="3"/>
  <c r="J698" i="3"/>
  <c r="K506" i="3"/>
  <c r="J298" i="3"/>
  <c r="L844" i="3"/>
  <c r="L836" i="3"/>
  <c r="K492" i="3"/>
  <c r="K802" i="3"/>
  <c r="J618" i="3"/>
  <c r="K82" i="3"/>
  <c r="L383" i="3"/>
  <c r="J204" i="3"/>
  <c r="J668" i="3"/>
  <c r="K730" i="3"/>
  <c r="L554" i="3"/>
  <c r="L146" i="3"/>
  <c r="K42" i="3"/>
  <c r="K636" i="3"/>
  <c r="L27" i="3"/>
  <c r="J293" i="3"/>
  <c r="L634" i="3"/>
  <c r="J434" i="3"/>
  <c r="J234" i="3"/>
  <c r="J629" i="3"/>
  <c r="J124" i="3"/>
  <c r="L589" i="3"/>
  <c r="K117" i="3"/>
  <c r="K124" i="3"/>
  <c r="L698" i="3"/>
  <c r="L298" i="3"/>
  <c r="L700" i="3"/>
  <c r="K386" i="3"/>
  <c r="J247" i="3"/>
  <c r="J274" i="3"/>
  <c r="I749" i="3"/>
  <c r="L356" i="3"/>
  <c r="L293" i="3"/>
  <c r="L228" i="3"/>
  <c r="L570" i="3"/>
  <c r="K620" i="3"/>
  <c r="J724" i="3"/>
  <c r="L834" i="3"/>
  <c r="K218" i="3"/>
  <c r="J788" i="3"/>
  <c r="J460" i="3"/>
  <c r="J482" i="3"/>
  <c r="K330" i="3"/>
  <c r="K154" i="3"/>
  <c r="K776" i="3"/>
  <c r="K172" i="3"/>
  <c r="J162" i="3"/>
  <c r="K428" i="3"/>
  <c r="J458" i="3"/>
  <c r="L290" i="3"/>
  <c r="J637" i="3"/>
  <c r="K98" i="3"/>
  <c r="L770" i="3"/>
  <c r="L832" i="3"/>
  <c r="K765" i="3"/>
  <c r="K644" i="3"/>
  <c r="J410" i="3"/>
  <c r="J50" i="3"/>
  <c r="L268" i="3"/>
  <c r="K530" i="3"/>
  <c r="J370" i="3"/>
  <c r="J210" i="3"/>
  <c r="L816" i="3"/>
  <c r="K522" i="3"/>
  <c r="J82" i="3"/>
  <c r="J348" i="3"/>
  <c r="L754" i="3"/>
  <c r="K418" i="3"/>
  <c r="L250" i="3"/>
  <c r="K365" i="3"/>
  <c r="J420" i="3"/>
  <c r="J26" i="3"/>
  <c r="J132" i="3"/>
  <c r="J159" i="3"/>
  <c r="K540" i="3"/>
  <c r="J602" i="3"/>
  <c r="J644" i="3"/>
  <c r="L516" i="3"/>
  <c r="K178" i="3"/>
  <c r="J260" i="3"/>
  <c r="L76" i="3"/>
  <c r="K700" i="3"/>
  <c r="K116" i="3"/>
  <c r="L218" i="3"/>
  <c r="L106" i="3"/>
  <c r="K532" i="3"/>
  <c r="L578" i="3"/>
  <c r="K370" i="3"/>
  <c r="L162" i="3"/>
  <c r="L740" i="3"/>
  <c r="J626" i="3"/>
  <c r="L458" i="3"/>
  <c r="J66" i="3"/>
  <c r="L768" i="3"/>
  <c r="J634" i="3"/>
  <c r="L708" i="3"/>
  <c r="J380" i="3"/>
  <c r="K610" i="3"/>
  <c r="J837" i="3"/>
  <c r="K74" i="3"/>
  <c r="L738" i="3"/>
  <c r="K402" i="3"/>
  <c r="J242" i="3"/>
  <c r="J693" i="3"/>
  <c r="K346" i="3"/>
  <c r="K690" i="3"/>
  <c r="K514" i="3"/>
  <c r="J354" i="3"/>
  <c r="J800" i="3"/>
  <c r="K772" i="3"/>
  <c r="K466" i="3"/>
  <c r="K596" i="3"/>
  <c r="K300" i="3"/>
  <c r="J546" i="3"/>
  <c r="L824" i="3"/>
  <c r="J29" i="3"/>
  <c r="K228" i="3"/>
  <c r="J588" i="3"/>
  <c r="L365" i="3"/>
  <c r="K76" i="3"/>
  <c r="L394" i="3"/>
  <c r="J324" i="3"/>
  <c r="J823" i="3"/>
  <c r="K325" i="3"/>
  <c r="J285" i="3"/>
  <c r="K60" i="3"/>
  <c r="K668" i="3"/>
  <c r="K818" i="3"/>
  <c r="J490" i="3"/>
  <c r="K162" i="3"/>
  <c r="L388" i="3"/>
  <c r="L508" i="3"/>
  <c r="K786" i="3"/>
  <c r="K562" i="3"/>
  <c r="J650" i="3"/>
  <c r="J122" i="3"/>
  <c r="L396" i="3"/>
  <c r="J786" i="3"/>
  <c r="L610" i="3"/>
  <c r="K837" i="3"/>
  <c r="K760" i="3"/>
  <c r="K637" i="3"/>
  <c r="K570" i="3"/>
  <c r="J106" i="3"/>
  <c r="J578" i="3"/>
  <c r="J418" i="3"/>
  <c r="L199" i="3"/>
  <c r="K50" i="3"/>
  <c r="K564" i="3"/>
  <c r="K268" i="3"/>
  <c r="J706" i="3"/>
  <c r="L530" i="3"/>
  <c r="L210" i="3"/>
  <c r="J149" i="3"/>
  <c r="L258" i="3"/>
  <c r="J820" i="3"/>
  <c r="J842" i="3"/>
  <c r="L658" i="3"/>
  <c r="J154" i="3"/>
  <c r="L580" i="3"/>
  <c r="L378" i="3"/>
  <c r="J514" i="3"/>
  <c r="H210" i="3"/>
  <c r="J308" i="3"/>
  <c r="J762" i="3"/>
  <c r="J764" i="3"/>
  <c r="K460" i="3"/>
  <c r="J810" i="3"/>
  <c r="K474" i="3"/>
  <c r="K306" i="3"/>
  <c r="J720" i="3"/>
  <c r="L352" i="3"/>
  <c r="K824" i="3"/>
  <c r="J696" i="3"/>
  <c r="K520" i="3"/>
  <c r="J525" i="3"/>
  <c r="K205" i="3"/>
  <c r="K580" i="3"/>
  <c r="J746" i="3"/>
  <c r="L116" i="3"/>
  <c r="J42" i="3"/>
  <c r="K484" i="3"/>
  <c r="L330" i="3"/>
  <c r="K106" i="3"/>
  <c r="K578" i="3"/>
  <c r="K266" i="3"/>
  <c r="K840" i="3"/>
  <c r="J752" i="3"/>
  <c r="L490" i="3"/>
  <c r="J738" i="3"/>
  <c r="K242" i="3"/>
  <c r="L140" i="3"/>
  <c r="L346" i="3"/>
  <c r="L690" i="3"/>
  <c r="L514" i="3"/>
  <c r="K354" i="3"/>
  <c r="J186" i="3"/>
  <c r="K800" i="3"/>
  <c r="J202" i="3"/>
  <c r="J826" i="3"/>
  <c r="K314" i="3"/>
  <c r="K26" i="3"/>
  <c r="K132" i="3"/>
  <c r="K792" i="3"/>
  <c r="K682" i="3"/>
  <c r="J396" i="3"/>
  <c r="L786" i="3"/>
  <c r="K626" i="3"/>
  <c r="J442" i="3"/>
  <c r="L282" i="3"/>
  <c r="L85" i="3"/>
  <c r="J692" i="3"/>
  <c r="K436" i="3"/>
  <c r="J538" i="3"/>
  <c r="J468" i="3"/>
  <c r="J682" i="3"/>
  <c r="L29" i="3"/>
  <c r="K685" i="3"/>
  <c r="L434" i="3"/>
  <c r="L37" i="3"/>
  <c r="J844" i="3"/>
  <c r="K396" i="3"/>
  <c r="J754" i="3"/>
  <c r="J282" i="3"/>
  <c r="J620" i="3"/>
  <c r="J332" i="3"/>
  <c r="K738" i="3"/>
  <c r="L402" i="3"/>
  <c r="L242" i="3"/>
  <c r="J824" i="3"/>
  <c r="K287" i="3"/>
  <c r="K58" i="3"/>
  <c r="J564" i="3"/>
  <c r="K722" i="3"/>
  <c r="K546" i="3"/>
  <c r="K226" i="3"/>
  <c r="K274" i="3"/>
  <c r="K820" i="3"/>
  <c r="K842" i="3"/>
  <c r="J338" i="3"/>
  <c r="L154" i="3"/>
  <c r="L124" i="3"/>
  <c r="J740" i="3"/>
  <c r="L428" i="3"/>
  <c r="K794" i="3"/>
  <c r="K290" i="3"/>
  <c r="L66" i="3"/>
  <c r="J61" i="3"/>
  <c r="L484" i="3"/>
  <c r="J658" i="3"/>
  <c r="L482" i="3"/>
  <c r="K784" i="3"/>
  <c r="K757" i="3"/>
  <c r="L586" i="3"/>
  <c r="J684" i="3"/>
  <c r="L380" i="3"/>
  <c r="J770" i="3"/>
  <c r="J266" i="3"/>
  <c r="J228" i="3"/>
  <c r="K63" i="3"/>
  <c r="J314" i="3"/>
  <c r="L61" i="3"/>
  <c r="K634" i="3"/>
  <c r="L724" i="3"/>
  <c r="L637" i="3"/>
  <c r="L682" i="3"/>
  <c r="K362" i="3"/>
  <c r="L309" i="3"/>
  <c r="L506" i="3"/>
  <c r="K788" i="3"/>
  <c r="K380" i="3"/>
  <c r="L706" i="3"/>
  <c r="K482" i="3"/>
  <c r="J700" i="3"/>
  <c r="K434" i="3"/>
  <c r="L58" i="3"/>
  <c r="L564" i="3"/>
  <c r="J268" i="3"/>
  <c r="L722" i="3"/>
  <c r="L546" i="3"/>
  <c r="J386" i="3"/>
  <c r="J212" i="3"/>
  <c r="J346" i="3"/>
  <c r="K236" i="3"/>
  <c r="L354" i="3"/>
  <c r="L186" i="3"/>
  <c r="J818" i="3"/>
  <c r="L202" i="3"/>
  <c r="K826" i="3"/>
  <c r="J642" i="3"/>
  <c r="J138" i="3"/>
  <c r="J821" i="3"/>
  <c r="L618" i="3"/>
  <c r="L114" i="3"/>
  <c r="J708" i="3"/>
  <c r="L594" i="3"/>
  <c r="L426" i="3"/>
  <c r="K764" i="3"/>
  <c r="L460" i="3"/>
  <c r="K810" i="3"/>
  <c r="L306" i="3"/>
  <c r="K525" i="3"/>
  <c r="J522" i="3"/>
  <c r="J229" i="3"/>
  <c r="J100" i="3"/>
  <c r="J666" i="3"/>
  <c r="J157" i="3"/>
  <c r="K130" i="3"/>
  <c r="L525" i="3"/>
  <c r="K650" i="3"/>
  <c r="J322" i="3"/>
  <c r="J748" i="3"/>
  <c r="K332" i="3"/>
  <c r="J674" i="3"/>
  <c r="K527" i="3"/>
  <c r="L362" i="3"/>
  <c r="J532" i="3"/>
  <c r="L236" i="3"/>
  <c r="K706" i="3"/>
  <c r="K210" i="3"/>
  <c r="J808" i="3"/>
  <c r="I214" i="3"/>
  <c r="K356" i="3"/>
  <c r="L820" i="3"/>
  <c r="K508" i="3"/>
  <c r="L842" i="3"/>
  <c r="K674" i="3"/>
  <c r="K498" i="3"/>
  <c r="K338" i="3"/>
  <c r="J170" i="3"/>
  <c r="J164" i="3"/>
  <c r="L714" i="3"/>
  <c r="J146" i="3"/>
  <c r="K740" i="3"/>
  <c r="J428" i="3"/>
  <c r="L794" i="3"/>
  <c r="K458" i="3"/>
  <c r="J768" i="3"/>
  <c r="J90" i="3"/>
  <c r="L652" i="3"/>
  <c r="L348" i="3"/>
  <c r="K832" i="3"/>
  <c r="L626" i="3"/>
  <c r="K442" i="3"/>
  <c r="J760" i="3"/>
  <c r="J596" i="3"/>
  <c r="L386" i="3"/>
  <c r="J776" i="3"/>
  <c r="K408" i="3"/>
  <c r="L224" i="3"/>
  <c r="L648" i="3"/>
  <c r="K560" i="3"/>
  <c r="J288" i="3"/>
  <c r="J21" i="3"/>
  <c r="K188" i="3"/>
  <c r="L685" i="3"/>
  <c r="J74" i="3"/>
  <c r="L266" i="3"/>
  <c r="L620" i="3"/>
  <c r="G210" i="3"/>
  <c r="J504" i="3"/>
  <c r="J384" i="3"/>
  <c r="J144" i="3"/>
  <c r="J792" i="3"/>
  <c r="L416" i="3"/>
  <c r="J816" i="3"/>
  <c r="J520" i="3"/>
  <c r="K424" i="3"/>
  <c r="J160" i="3"/>
  <c r="J451" i="3"/>
  <c r="J712" i="3"/>
  <c r="J794" i="3"/>
  <c r="J600" i="3"/>
  <c r="L496" i="3"/>
  <c r="L320" i="3"/>
  <c r="K797" i="3"/>
  <c r="K282" i="3"/>
  <c r="K744" i="3"/>
  <c r="L384" i="3"/>
  <c r="J104" i="3"/>
  <c r="K581" i="3"/>
  <c r="J744" i="3"/>
  <c r="L640" i="3"/>
  <c r="K280" i="3"/>
  <c r="L691" i="3"/>
  <c r="K227" i="3"/>
  <c r="K376" i="3"/>
  <c r="K195" i="3"/>
  <c r="L35" i="3"/>
  <c r="K387" i="3"/>
  <c r="J553" i="3"/>
  <c r="L457" i="3"/>
  <c r="L581" i="3"/>
  <c r="J492" i="3"/>
  <c r="K298" i="3"/>
  <c r="K604" i="3"/>
  <c r="J330" i="3"/>
  <c r="J610" i="3"/>
  <c r="L532" i="3"/>
  <c r="L562" i="3"/>
  <c r="L612" i="3"/>
  <c r="G752" i="3"/>
  <c r="J376" i="3"/>
  <c r="L26" i="3"/>
  <c r="L280" i="3"/>
  <c r="J168" i="3"/>
  <c r="J784" i="3"/>
  <c r="K688" i="3"/>
  <c r="L600" i="3"/>
  <c r="J328" i="3"/>
  <c r="L240" i="3"/>
  <c r="J48" i="3"/>
  <c r="K395" i="3"/>
  <c r="L764" i="3"/>
  <c r="L704" i="3"/>
  <c r="J616" i="3"/>
  <c r="J432" i="3"/>
  <c r="K344" i="3"/>
  <c r="J256" i="3"/>
  <c r="L672" i="3"/>
  <c r="L576" i="3"/>
  <c r="L488" i="3"/>
  <c r="J400" i="3"/>
  <c r="K312" i="3"/>
  <c r="K216" i="3"/>
  <c r="J40" i="3"/>
  <c r="L602" i="3"/>
  <c r="K186" i="3"/>
  <c r="J728" i="3"/>
  <c r="J632" i="3"/>
  <c r="K544" i="3"/>
  <c r="L360" i="3"/>
  <c r="K184" i="3"/>
  <c r="L170" i="3"/>
  <c r="L720" i="3"/>
  <c r="J544" i="3"/>
  <c r="L456" i="3"/>
  <c r="K360" i="3"/>
  <c r="K272" i="3"/>
  <c r="J184" i="3"/>
  <c r="L179" i="3"/>
  <c r="J261" i="3"/>
  <c r="J652" i="3"/>
  <c r="J508" i="3"/>
  <c r="L818" i="3"/>
  <c r="L138" i="3"/>
  <c r="L300" i="3"/>
  <c r="L237" i="3"/>
  <c r="J484" i="3"/>
  <c r="J236" i="3"/>
  <c r="K736" i="3"/>
  <c r="K112" i="3"/>
  <c r="L132" i="3"/>
  <c r="K504" i="3"/>
  <c r="J392" i="3"/>
  <c r="J264" i="3"/>
  <c r="K160" i="3"/>
  <c r="K658" i="3"/>
  <c r="K584" i="3"/>
  <c r="J224" i="3"/>
  <c r="K128" i="3"/>
  <c r="L40" i="3"/>
  <c r="L323" i="3"/>
  <c r="L608" i="3"/>
  <c r="L248" i="3"/>
  <c r="L152" i="3"/>
  <c r="L442" i="3"/>
  <c r="H752" i="3"/>
  <c r="J664" i="3"/>
  <c r="J568" i="3"/>
  <c r="L392" i="3"/>
  <c r="K304" i="3"/>
  <c r="I208" i="3"/>
  <c r="K120" i="3"/>
  <c r="J114" i="3"/>
  <c r="K66" i="3"/>
  <c r="L624" i="3"/>
  <c r="K448" i="3"/>
  <c r="J88" i="3"/>
  <c r="L90" i="3"/>
  <c r="K624" i="3"/>
  <c r="L536" i="3"/>
  <c r="J448" i="3"/>
  <c r="L176" i="3"/>
  <c r="L80" i="3"/>
  <c r="L587" i="3"/>
  <c r="J395" i="3"/>
  <c r="K163" i="3"/>
  <c r="K843" i="3"/>
  <c r="L313" i="3"/>
  <c r="J456" i="3"/>
  <c r="K747" i="3"/>
  <c r="L345" i="3"/>
  <c r="J257" i="3"/>
  <c r="J49" i="3"/>
  <c r="J624" i="3"/>
  <c r="L227" i="3"/>
  <c r="J123" i="3"/>
  <c r="K490" i="3"/>
  <c r="K19" i="3"/>
  <c r="J722" i="3"/>
  <c r="K684" i="3"/>
  <c r="J580" i="3"/>
  <c r="L332" i="3"/>
  <c r="J530" i="3"/>
  <c r="K696" i="3"/>
  <c r="J464" i="3"/>
  <c r="J336" i="3"/>
  <c r="G208" i="3"/>
  <c r="J690" i="3"/>
  <c r="J736" i="3"/>
  <c r="L616" i="3"/>
  <c r="J488" i="3"/>
  <c r="L376" i="3"/>
  <c r="L256" i="3"/>
  <c r="J136" i="3"/>
  <c r="K568" i="3"/>
  <c r="J480" i="3"/>
  <c r="L304" i="3"/>
  <c r="L208" i="3"/>
  <c r="J819" i="3"/>
  <c r="K251" i="3"/>
  <c r="L810" i="3"/>
  <c r="J688" i="3"/>
  <c r="K600" i="3"/>
  <c r="J408" i="3"/>
  <c r="K240" i="3"/>
  <c r="L100" i="3"/>
  <c r="J290" i="3"/>
  <c r="J192" i="3"/>
  <c r="J747" i="3"/>
  <c r="L684" i="3"/>
  <c r="J704" i="3"/>
  <c r="L528" i="3"/>
  <c r="L424" i="3"/>
  <c r="L168" i="3"/>
  <c r="L64" i="3"/>
  <c r="K652" i="3"/>
  <c r="K528" i="3"/>
  <c r="J424" i="3"/>
  <c r="L336" i="3"/>
  <c r="K168" i="3"/>
  <c r="L491" i="3"/>
  <c r="J250" i="3"/>
  <c r="J128" i="3"/>
  <c r="K323" i="3"/>
  <c r="L155" i="3"/>
  <c r="K713" i="3"/>
  <c r="K513" i="3"/>
  <c r="L393" i="3"/>
  <c r="J297" i="3"/>
  <c r="J360" i="3"/>
  <c r="K587" i="3"/>
  <c r="K35" i="3"/>
  <c r="L387" i="3"/>
  <c r="J457" i="3"/>
  <c r="K41" i="3"/>
  <c r="K444" i="3"/>
  <c r="L674" i="3"/>
  <c r="J840" i="3"/>
  <c r="J562" i="3"/>
  <c r="K378" i="3"/>
  <c r="K440" i="3"/>
  <c r="L328" i="3"/>
  <c r="J200" i="3"/>
  <c r="J80" i="3"/>
  <c r="J498" i="3"/>
  <c r="L712" i="3"/>
  <c r="L480" i="3"/>
  <c r="K352" i="3"/>
  <c r="J648" i="3"/>
  <c r="L472" i="3"/>
  <c r="K288" i="3"/>
  <c r="L747" i="3"/>
  <c r="L235" i="3"/>
  <c r="J584" i="3"/>
  <c r="K400" i="3"/>
  <c r="L312" i="3"/>
  <c r="L216" i="3"/>
  <c r="K698" i="3"/>
  <c r="K728" i="3"/>
  <c r="K632" i="3"/>
  <c r="L544" i="3"/>
  <c r="L368" i="3"/>
  <c r="J272" i="3"/>
  <c r="L184" i="3"/>
  <c r="J96" i="3"/>
  <c r="J643" i="3"/>
  <c r="L808" i="3"/>
  <c r="J608" i="3"/>
  <c r="J512" i="3"/>
  <c r="K416" i="3"/>
  <c r="J152" i="3"/>
  <c r="K56" i="3"/>
  <c r="K348" i="3"/>
  <c r="K808" i="3"/>
  <c r="K512" i="3"/>
  <c r="J416" i="3"/>
  <c r="J240" i="3"/>
  <c r="L144" i="3"/>
  <c r="J56" i="3"/>
  <c r="L736" i="3"/>
  <c r="L104" i="3"/>
  <c r="K243" i="3"/>
  <c r="J139" i="3"/>
  <c r="K667" i="3"/>
  <c r="L289" i="3"/>
  <c r="J356" i="3"/>
  <c r="J426" i="3"/>
  <c r="L498" i="3"/>
  <c r="K122" i="3"/>
  <c r="J402" i="3"/>
  <c r="K770" i="3"/>
  <c r="L370" i="3"/>
  <c r="J226" i="3"/>
  <c r="K672" i="3"/>
  <c r="L552" i="3"/>
  <c r="L192" i="3"/>
  <c r="J64" i="3"/>
  <c r="L584" i="3"/>
  <c r="K224" i="3"/>
  <c r="L292" i="3"/>
  <c r="I210" i="3"/>
  <c r="J552" i="3"/>
  <c r="K464" i="3"/>
  <c r="K368" i="3"/>
  <c r="K104" i="3"/>
  <c r="L474" i="3"/>
  <c r="I752" i="3"/>
  <c r="L664" i="3"/>
  <c r="J304" i="3"/>
  <c r="K208" i="3"/>
  <c r="K138" i="3"/>
  <c r="L448" i="3"/>
  <c r="L264" i="3"/>
  <c r="K88" i="3"/>
  <c r="L784" i="3"/>
  <c r="L680" i="3"/>
  <c r="L592" i="3"/>
  <c r="J496" i="3"/>
  <c r="K320" i="3"/>
  <c r="L232" i="3"/>
  <c r="L136" i="3"/>
  <c r="F754" i="3"/>
  <c r="K680" i="3"/>
  <c r="K592" i="3"/>
  <c r="K496" i="3"/>
  <c r="J320" i="3"/>
  <c r="K232" i="3"/>
  <c r="K136" i="3"/>
  <c r="K640" i="3"/>
  <c r="K64" i="3"/>
  <c r="J34" i="3"/>
  <c r="J269" i="3"/>
  <c r="L338" i="3"/>
  <c r="L826" i="3"/>
  <c r="K708" i="3"/>
  <c r="K804" i="3"/>
  <c r="L226" i="3"/>
  <c r="J594" i="3"/>
  <c r="K754" i="3"/>
  <c r="K656" i="3"/>
  <c r="J536" i="3"/>
  <c r="L288" i="3"/>
  <c r="L688" i="3"/>
  <c r="L568" i="3"/>
  <c r="K328" i="3"/>
  <c r="F208" i="3"/>
  <c r="J258" i="3"/>
  <c r="K712" i="3"/>
  <c r="K456" i="3"/>
  <c r="J352" i="3"/>
  <c r="J176" i="3"/>
  <c r="L88" i="3"/>
  <c r="L436" i="3"/>
  <c r="J306" i="3"/>
  <c r="L744" i="3"/>
  <c r="K648" i="3"/>
  <c r="K472" i="3"/>
  <c r="K384" i="3"/>
  <c r="J280" i="3"/>
  <c r="J832" i="3"/>
  <c r="K704" i="3"/>
  <c r="L432" i="3"/>
  <c r="J344" i="3"/>
  <c r="K594" i="3"/>
  <c r="K768" i="3"/>
  <c r="J672" i="3"/>
  <c r="K576" i="3"/>
  <c r="K488" i="3"/>
  <c r="J312" i="3"/>
  <c r="J216" i="3"/>
  <c r="J576" i="3"/>
  <c r="J208" i="3"/>
  <c r="L299" i="3"/>
  <c r="J353" i="3"/>
  <c r="J120" i="3"/>
  <c r="J323" i="3"/>
  <c r="J713" i="3"/>
  <c r="J513" i="3"/>
  <c r="K393" i="3"/>
  <c r="L297" i="3"/>
  <c r="K264" i="3"/>
  <c r="J491" i="3"/>
  <c r="J171" i="3"/>
  <c r="K59" i="3"/>
  <c r="J267" i="3"/>
  <c r="K410" i="3"/>
  <c r="K192" i="3"/>
  <c r="K256" i="3"/>
  <c r="K608" i="3"/>
  <c r="K426" i="3"/>
  <c r="J296" i="3"/>
  <c r="L123" i="3"/>
  <c r="J466" i="3"/>
  <c r="K123" i="3"/>
  <c r="K761" i="3"/>
  <c r="K481" i="3"/>
  <c r="K281" i="3"/>
  <c r="K129" i="3"/>
  <c r="L837" i="3"/>
  <c r="J195" i="3"/>
  <c r="L739" i="3"/>
  <c r="L273" i="3"/>
  <c r="J185" i="3"/>
  <c r="L619" i="3"/>
  <c r="L120" i="3"/>
  <c r="K299" i="3"/>
  <c r="K739" i="3"/>
  <c r="K505" i="3"/>
  <c r="K289" i="3"/>
  <c r="K201" i="3"/>
  <c r="L105" i="3"/>
  <c r="J300" i="3"/>
  <c r="K144" i="3"/>
  <c r="J155" i="3"/>
  <c r="J803" i="3"/>
  <c r="L761" i="3"/>
  <c r="J529" i="3"/>
  <c r="K305" i="3"/>
  <c r="K209" i="3"/>
  <c r="J121" i="3"/>
  <c r="J169" i="3"/>
  <c r="K539" i="3"/>
  <c r="L187" i="3"/>
  <c r="K545" i="3"/>
  <c r="L417" i="3"/>
  <c r="L241" i="3"/>
  <c r="L137" i="3"/>
  <c r="L760" i="3"/>
  <c r="J251" i="3"/>
  <c r="K147" i="3"/>
  <c r="L385" i="3"/>
  <c r="L347" i="3"/>
  <c r="J649" i="3"/>
  <c r="L558" i="3"/>
  <c r="J470" i="3"/>
  <c r="L190" i="3"/>
  <c r="K102" i="3"/>
  <c r="J651" i="3"/>
  <c r="J715" i="3"/>
  <c r="L737" i="3"/>
  <c r="K139" i="3"/>
  <c r="K137" i="3"/>
  <c r="L465" i="3"/>
  <c r="K379" i="3"/>
  <c r="J822" i="3"/>
  <c r="J638" i="3"/>
  <c r="J542" i="3"/>
  <c r="J278" i="3"/>
  <c r="L274" i="3"/>
  <c r="L788" i="3"/>
  <c r="L160" i="3"/>
  <c r="L512" i="3"/>
  <c r="F752" i="3"/>
  <c r="L200" i="3"/>
  <c r="L59" i="3"/>
  <c r="K720" i="3"/>
  <c r="L395" i="3"/>
  <c r="J67" i="3"/>
  <c r="L681" i="3"/>
  <c r="K409" i="3"/>
  <c r="K273" i="3"/>
  <c r="L569" i="3"/>
  <c r="L481" i="3"/>
  <c r="L265" i="3"/>
  <c r="L696" i="3"/>
  <c r="K96" i="3"/>
  <c r="J681" i="3"/>
  <c r="J377" i="3"/>
  <c r="K89" i="3"/>
  <c r="L800" i="3"/>
  <c r="L112" i="3"/>
  <c r="J739" i="3"/>
  <c r="J505" i="3"/>
  <c r="J289" i="3"/>
  <c r="J201" i="3"/>
  <c r="K105" i="3"/>
  <c r="J795" i="3"/>
  <c r="J232" i="3"/>
  <c r="K801" i="3"/>
  <c r="J537" i="3"/>
  <c r="L409" i="3"/>
  <c r="L321" i="3"/>
  <c r="L72" i="3"/>
  <c r="J633" i="3"/>
  <c r="L497" i="3"/>
  <c r="J369" i="3"/>
  <c r="J281" i="3"/>
  <c r="J193" i="3"/>
  <c r="K81" i="3"/>
  <c r="J283" i="3"/>
  <c r="J571" i="3"/>
  <c r="L379" i="3"/>
  <c r="K822" i="3"/>
  <c r="L550" i="3"/>
  <c r="L840" i="3"/>
  <c r="K72" i="3"/>
  <c r="J368" i="3"/>
  <c r="K664" i="3"/>
  <c r="L418" i="3"/>
  <c r="J59" i="3"/>
  <c r="L67" i="3"/>
  <c r="L401" i="3"/>
  <c r="K536" i="3"/>
  <c r="J587" i="3"/>
  <c r="K345" i="3"/>
  <c r="L145" i="3"/>
  <c r="L411" i="3"/>
  <c r="K99" i="3"/>
  <c r="L563" i="3"/>
  <c r="L361" i="3"/>
  <c r="L73" i="3"/>
  <c r="K235" i="3"/>
  <c r="L139" i="3"/>
  <c r="L667" i="3"/>
  <c r="L633" i="3"/>
  <c r="L369" i="3"/>
  <c r="J89" i="3"/>
  <c r="L675" i="3"/>
  <c r="L521" i="3"/>
  <c r="J305" i="3"/>
  <c r="I209" i="3"/>
  <c r="L48" i="3"/>
  <c r="K219" i="3"/>
  <c r="K67" i="3"/>
  <c r="J601" i="3"/>
  <c r="L489" i="3"/>
  <c r="L353" i="3"/>
  <c r="J273" i="3"/>
  <c r="L107" i="3"/>
  <c r="J331" i="3"/>
  <c r="L622" i="3"/>
  <c r="K366" i="3"/>
  <c r="L262" i="3"/>
  <c r="J174" i="3"/>
  <c r="J78" i="3"/>
  <c r="J475" i="3"/>
  <c r="L625" i="3"/>
  <c r="J777" i="3"/>
  <c r="J443" i="3"/>
  <c r="J811" i="3"/>
  <c r="L75" i="3"/>
  <c r="L702" i="3"/>
  <c r="K342" i="3"/>
  <c r="K170" i="3"/>
  <c r="K250" i="3"/>
  <c r="K491" i="3"/>
  <c r="L272" i="3"/>
  <c r="L752" i="3"/>
  <c r="J611" i="3"/>
  <c r="J843" i="3"/>
  <c r="K377" i="3"/>
  <c r="J233" i="3"/>
  <c r="L440" i="3"/>
  <c r="K347" i="3"/>
  <c r="J41" i="3"/>
  <c r="J528" i="3"/>
  <c r="L819" i="3"/>
  <c r="I211" i="3"/>
  <c r="K569" i="3"/>
  <c r="J481" i="3"/>
  <c r="J265" i="3"/>
  <c r="J99" i="3"/>
  <c r="K563" i="3"/>
  <c r="L601" i="3"/>
  <c r="K361" i="3"/>
  <c r="K73" i="3"/>
  <c r="L555" i="3"/>
  <c r="L776" i="3"/>
  <c r="J112" i="3"/>
  <c r="L147" i="3"/>
  <c r="K385" i="3"/>
  <c r="J105" i="3"/>
  <c r="L779" i="3"/>
  <c r="L211" i="3"/>
  <c r="J499" i="3"/>
  <c r="K561" i="3"/>
  <c r="K161" i="3"/>
  <c r="K57" i="3"/>
  <c r="L713" i="3"/>
  <c r="K777" i="3"/>
  <c r="K443" i="3"/>
  <c r="K811" i="3"/>
  <c r="J710" i="3"/>
  <c r="J438" i="3"/>
  <c r="L342" i="3"/>
  <c r="K62" i="3"/>
  <c r="K459" i="3"/>
  <c r="L593" i="3"/>
  <c r="L505" i="3"/>
  <c r="L657" i="3"/>
  <c r="L339" i="3"/>
  <c r="L731" i="3"/>
  <c r="K753" i="3"/>
  <c r="L642" i="3"/>
  <c r="L792" i="3"/>
  <c r="K616" i="3"/>
  <c r="K248" i="3"/>
  <c r="K480" i="3"/>
  <c r="L656" i="3"/>
  <c r="J243" i="3"/>
  <c r="K435" i="3"/>
  <c r="K211" i="3"/>
  <c r="L315" i="3"/>
  <c r="J409" i="3"/>
  <c r="K225" i="3"/>
  <c r="J129" i="3"/>
  <c r="J22" i="3"/>
  <c r="K691" i="3"/>
  <c r="L203" i="3"/>
  <c r="L473" i="3"/>
  <c r="J345" i="3"/>
  <c r="K145" i="3"/>
  <c r="L504" i="3"/>
  <c r="K819" i="3"/>
  <c r="H211" i="3"/>
  <c r="J569" i="3"/>
  <c r="K169" i="3"/>
  <c r="J680" i="3"/>
  <c r="K80" i="3"/>
  <c r="J235" i="3"/>
  <c r="J667" i="3"/>
  <c r="K633" i="3"/>
  <c r="K497" i="3"/>
  <c r="K369" i="3"/>
  <c r="L281" i="3"/>
  <c r="L193" i="3"/>
  <c r="L81" i="3"/>
  <c r="L400" i="3"/>
  <c r="L643" i="3"/>
  <c r="K43" i="3"/>
  <c r="K457" i="3"/>
  <c r="J337" i="3"/>
  <c r="L249" i="3"/>
  <c r="J521" i="3"/>
  <c r="L49" i="3"/>
  <c r="J657" i="3"/>
  <c r="G754" i="3"/>
  <c r="K790" i="3"/>
  <c r="J606" i="3"/>
  <c r="K518" i="3"/>
  <c r="K430" i="3"/>
  <c r="L334" i="3"/>
  <c r="K46" i="3"/>
  <c r="J433" i="3"/>
  <c r="J385" i="3"/>
  <c r="L585" i="3"/>
  <c r="K841" i="3"/>
  <c r="L598" i="3"/>
  <c r="L406" i="3"/>
  <c r="J318" i="3"/>
  <c r="J640" i="3"/>
  <c r="K552" i="3"/>
  <c r="F210" i="3"/>
  <c r="K152" i="3"/>
  <c r="K392" i="3"/>
  <c r="L560" i="3"/>
  <c r="L464" i="3"/>
  <c r="L267" i="3"/>
  <c r="K171" i="3"/>
  <c r="L611" i="3"/>
  <c r="K22" i="3"/>
  <c r="K176" i="3"/>
  <c r="J761" i="3"/>
  <c r="L529" i="3"/>
  <c r="K401" i="3"/>
  <c r="J313" i="3"/>
  <c r="K336" i="3"/>
  <c r="K187" i="3"/>
  <c r="K25" i="3"/>
  <c r="K315" i="3"/>
  <c r="L553" i="3"/>
  <c r="K241" i="3"/>
  <c r="J691" i="3"/>
  <c r="K203" i="3"/>
  <c r="L51" i="3"/>
  <c r="L435" i="3"/>
  <c r="J473" i="3"/>
  <c r="L337" i="3"/>
  <c r="J145" i="3"/>
  <c r="J411" i="3"/>
  <c r="J592" i="3"/>
  <c r="L219" i="3"/>
  <c r="L99" i="3"/>
  <c r="J563" i="3"/>
  <c r="K601" i="3"/>
  <c r="J361" i="3"/>
  <c r="J539" i="3"/>
  <c r="K179" i="3"/>
  <c r="L25" i="3"/>
  <c r="J545" i="3"/>
  <c r="K417" i="3"/>
  <c r="J241" i="3"/>
  <c r="J137" i="3"/>
  <c r="K33" i="3"/>
  <c r="J723" i="3"/>
  <c r="L466" i="3"/>
  <c r="L520" i="3"/>
  <c r="J440" i="3"/>
  <c r="K432" i="3"/>
  <c r="L728" i="3"/>
  <c r="K816" i="3"/>
  <c r="L56" i="3"/>
  <c r="L296" i="3"/>
  <c r="J779" i="3"/>
  <c r="J163" i="3"/>
  <c r="K499" i="3"/>
  <c r="J329" i="3"/>
  <c r="K185" i="3"/>
  <c r="J211" i="3"/>
  <c r="J35" i="3"/>
  <c r="L513" i="3"/>
  <c r="J393" i="3"/>
  <c r="L201" i="3"/>
  <c r="L795" i="3"/>
  <c r="J248" i="3"/>
  <c r="L171" i="3"/>
  <c r="K107" i="3"/>
  <c r="L537" i="3"/>
  <c r="L225" i="3"/>
  <c r="J187" i="3"/>
  <c r="J25" i="3"/>
  <c r="J315" i="3"/>
  <c r="L545" i="3"/>
  <c r="K283" i="3"/>
  <c r="G211" i="3"/>
  <c r="L499" i="3"/>
  <c r="L57" i="3"/>
  <c r="H208" i="3"/>
  <c r="J801" i="3"/>
  <c r="K321" i="3"/>
  <c r="L217" i="3"/>
  <c r="K121" i="3"/>
  <c r="K297" i="3"/>
  <c r="J619" i="3"/>
  <c r="L32" i="3"/>
  <c r="J769" i="3"/>
  <c r="L579" i="3"/>
  <c r="K758" i="3"/>
  <c r="K678" i="3"/>
  <c r="L494" i="3"/>
  <c r="K115" i="3"/>
  <c r="L65" i="3"/>
  <c r="J24" i="3"/>
  <c r="J249" i="3"/>
  <c r="L483" i="3"/>
  <c r="J755" i="3"/>
  <c r="J523" i="3"/>
  <c r="L838" i="3"/>
  <c r="L750" i="3"/>
  <c r="J390" i="3"/>
  <c r="K313" i="3"/>
  <c r="L377" i="3"/>
  <c r="K155" i="3"/>
  <c r="L43" i="3"/>
  <c r="H209" i="3"/>
  <c r="K523" i="3"/>
  <c r="J574" i="3"/>
  <c r="K51" i="3"/>
  <c r="K193" i="3"/>
  <c r="K622" i="3"/>
  <c r="J446" i="3"/>
  <c r="K166" i="3"/>
  <c r="L54" i="3"/>
  <c r="J459" i="3"/>
  <c r="K593" i="3"/>
  <c r="K427" i="3"/>
  <c r="L699" i="3"/>
  <c r="L41" i="3"/>
  <c r="L763" i="3"/>
  <c r="K75" i="3"/>
  <c r="K702" i="3"/>
  <c r="J342" i="3"/>
  <c r="K54" i="3"/>
  <c r="J403" i="3"/>
  <c r="J593" i="3"/>
  <c r="K425" i="3"/>
  <c r="L665" i="3"/>
  <c r="L129" i="3"/>
  <c r="L91" i="3"/>
  <c r="L814" i="3"/>
  <c r="L734" i="3"/>
  <c r="K638" i="3"/>
  <c r="L454" i="3"/>
  <c r="J366" i="3"/>
  <c r="L270" i="3"/>
  <c r="K182" i="3"/>
  <c r="L86" i="3"/>
  <c r="K705" i="3"/>
  <c r="J603" i="3"/>
  <c r="K779" i="3"/>
  <c r="K217" i="3"/>
  <c r="K721" i="3"/>
  <c r="L467" i="3"/>
  <c r="I750" i="3"/>
  <c r="L662" i="3"/>
  <c r="J566" i="3"/>
  <c r="L198" i="3"/>
  <c r="K110" i="3"/>
  <c r="AB851" i="11"/>
  <c r="J217" i="3"/>
  <c r="J177" i="3"/>
  <c r="K803" i="3"/>
  <c r="J225" i="3"/>
  <c r="J435" i="3"/>
  <c r="L113" i="3"/>
  <c r="J510" i="3"/>
  <c r="L278" i="3"/>
  <c r="J707" i="3"/>
  <c r="K291" i="3"/>
  <c r="K97" i="3"/>
  <c r="J790" i="3"/>
  <c r="J430" i="3"/>
  <c r="J262" i="3"/>
  <c r="L150" i="3"/>
  <c r="L38" i="3"/>
  <c r="L24" i="3"/>
  <c r="J131" i="3"/>
  <c r="J497" i="3"/>
  <c r="L617" i="3"/>
  <c r="J731" i="3"/>
  <c r="J753" i="3"/>
  <c r="K694" i="3"/>
  <c r="L422" i="3"/>
  <c r="L238" i="3"/>
  <c r="K150" i="3"/>
  <c r="K38" i="3"/>
  <c r="J425" i="3"/>
  <c r="L283" i="3"/>
  <c r="J73" i="3"/>
  <c r="L825" i="3"/>
  <c r="L515" i="3"/>
  <c r="K275" i="3"/>
  <c r="L718" i="3"/>
  <c r="J534" i="3"/>
  <c r="K358" i="3"/>
  <c r="L166" i="3"/>
  <c r="L641" i="3"/>
  <c r="K475" i="3"/>
  <c r="AA851" i="11"/>
  <c r="F211" i="3"/>
  <c r="L177" i="3"/>
  <c r="J635" i="3"/>
  <c r="L649" i="3"/>
  <c r="L419" i="3"/>
  <c r="J654" i="3"/>
  <c r="J550" i="3"/>
  <c r="J462" i="3"/>
  <c r="L374" i="3"/>
  <c r="L286" i="3"/>
  <c r="K651" i="3"/>
  <c r="L745" i="3"/>
  <c r="L659" i="3"/>
  <c r="J697" i="3"/>
  <c r="L561" i="3"/>
  <c r="L74" i="3"/>
  <c r="K451" i="3"/>
  <c r="L128" i="3"/>
  <c r="K238" i="3"/>
  <c r="K595" i="3"/>
  <c r="K785" i="3"/>
  <c r="J153" i="3"/>
  <c r="J758" i="3"/>
  <c r="L134" i="3"/>
  <c r="K83" i="3"/>
  <c r="I851" i="11"/>
  <c r="K585" i="3"/>
  <c r="J841" i="3"/>
  <c r="L627" i="3"/>
  <c r="L689" i="3"/>
  <c r="J678" i="3"/>
  <c r="K598" i="3"/>
  <c r="K406" i="3"/>
  <c r="J134" i="3"/>
  <c r="L307" i="3"/>
  <c r="J851" i="11"/>
  <c r="K851" i="11"/>
  <c r="K657" i="3"/>
  <c r="L33" i="3"/>
  <c r="K763" i="3"/>
  <c r="J75" i="3"/>
  <c r="J702" i="3"/>
  <c r="L614" i="3"/>
  <c r="J334" i="3"/>
  <c r="J54" i="3"/>
  <c r="L403" i="3"/>
  <c r="L163" i="3"/>
  <c r="K91" i="3"/>
  <c r="J51" i="3"/>
  <c r="K814" i="3"/>
  <c r="K726" i="3"/>
  <c r="J630" i="3"/>
  <c r="K454" i="3"/>
  <c r="J270" i="3"/>
  <c r="K547" i="3"/>
  <c r="J705" i="3"/>
  <c r="L603" i="3"/>
  <c r="L801" i="3"/>
  <c r="J43" i="3"/>
  <c r="L571" i="3"/>
  <c r="J814" i="3"/>
  <c r="J726" i="3"/>
  <c r="L630" i="3"/>
  <c r="J454" i="3"/>
  <c r="K270" i="3"/>
  <c r="L547" i="3"/>
  <c r="K673" i="3"/>
  <c r="K531" i="3"/>
  <c r="L344" i="3"/>
  <c r="K329" i="3"/>
  <c r="L96" i="3"/>
  <c r="L89" i="3"/>
  <c r="K529" i="3"/>
  <c r="K249" i="3"/>
  <c r="J774" i="3"/>
  <c r="K462" i="3"/>
  <c r="F214" i="3"/>
  <c r="L371" i="3"/>
  <c r="K579" i="3"/>
  <c r="L742" i="3"/>
  <c r="K558" i="3"/>
  <c r="L118" i="3"/>
  <c r="J115" i="3"/>
  <c r="Q851" i="11"/>
  <c r="J656" i="3"/>
  <c r="L169" i="3"/>
  <c r="J579" i="3"/>
  <c r="L670" i="3"/>
  <c r="L486" i="3"/>
  <c r="J398" i="3"/>
  <c r="K310" i="3"/>
  <c r="L222" i="3"/>
  <c r="K118" i="3"/>
  <c r="L115" i="3"/>
  <c r="R851" i="11"/>
  <c r="S851" i="11"/>
  <c r="J515" i="3"/>
  <c r="J489" i="3"/>
  <c r="K617" i="3"/>
  <c r="I754" i="3"/>
  <c r="L782" i="3"/>
  <c r="K422" i="3"/>
  <c r="L326" i="3"/>
  <c r="J238" i="3"/>
  <c r="J150" i="3"/>
  <c r="J38" i="3"/>
  <c r="L28" i="3"/>
  <c r="K483" i="3"/>
  <c r="K65" i="3"/>
  <c r="K825" i="3"/>
  <c r="K718" i="3"/>
  <c r="J358" i="3"/>
  <c r="K262" i="3"/>
  <c r="J166" i="3"/>
  <c r="L70" i="3"/>
  <c r="J507" i="3"/>
  <c r="K641" i="3"/>
  <c r="K577" i="3"/>
  <c r="J371" i="3"/>
  <c r="J387" i="3"/>
  <c r="J65" i="3"/>
  <c r="J825" i="3"/>
  <c r="L806" i="3"/>
  <c r="J718" i="3"/>
  <c r="L632" i="3"/>
  <c r="K40" i="3"/>
  <c r="J401" i="3"/>
  <c r="K337" i="3"/>
  <c r="F750" i="3"/>
  <c r="J833" i="3"/>
  <c r="K752" i="3"/>
  <c r="L534" i="3"/>
  <c r="J785" i="3"/>
  <c r="Y851" i="11"/>
  <c r="J72" i="3"/>
  <c r="K233" i="3"/>
  <c r="J483" i="3"/>
  <c r="K699" i="3"/>
  <c r="K838" i="3"/>
  <c r="K750" i="3"/>
  <c r="L574" i="3"/>
  <c r="J206" i="3"/>
  <c r="Z851" i="11"/>
  <c r="AI851" i="11"/>
  <c r="K649" i="3"/>
  <c r="K353" i="3"/>
  <c r="J585" i="3"/>
  <c r="K627" i="3"/>
  <c r="K689" i="3"/>
  <c r="L766" i="3"/>
  <c r="J502" i="3"/>
  <c r="J406" i="3"/>
  <c r="L230" i="3"/>
  <c r="K134" i="3"/>
  <c r="J91" i="3"/>
  <c r="J307" i="3"/>
  <c r="L755" i="3"/>
  <c r="J561" i="3"/>
  <c r="J33" i="3"/>
  <c r="L729" i="3"/>
  <c r="K339" i="3"/>
  <c r="J763" i="3"/>
  <c r="L798" i="3"/>
  <c r="J694" i="3"/>
  <c r="K614" i="3"/>
  <c r="L526" i="3"/>
  <c r="L438" i="3"/>
  <c r="L158" i="3"/>
  <c r="K403" i="3"/>
  <c r="K553" i="3"/>
  <c r="L22" i="3"/>
  <c r="K729" i="3"/>
  <c r="J339" i="3"/>
  <c r="L803" i="3"/>
  <c r="L596" i="3"/>
  <c r="J107" i="3"/>
  <c r="L408" i="3"/>
  <c r="K521" i="3"/>
  <c r="K755" i="3"/>
  <c r="K390" i="3"/>
  <c r="K142" i="3"/>
  <c r="L251" i="3"/>
  <c r="J147" i="3"/>
  <c r="L694" i="3"/>
  <c r="J518" i="3"/>
  <c r="K334" i="3"/>
  <c r="L206" i="3"/>
  <c r="J102" i="3"/>
  <c r="K737" i="3"/>
  <c r="AG851" i="11"/>
  <c r="J227" i="3"/>
  <c r="K371" i="3"/>
  <c r="L635" i="3"/>
  <c r="K742" i="3"/>
  <c r="L654" i="3"/>
  <c r="K382" i="3"/>
  <c r="L294" i="3"/>
  <c r="J190" i="3"/>
  <c r="L94" i="3"/>
  <c r="J745" i="3"/>
  <c r="L697" i="3"/>
  <c r="AH851" i="11"/>
  <c r="AQ851" i="11"/>
  <c r="J560" i="3"/>
  <c r="K555" i="3"/>
  <c r="J299" i="3"/>
  <c r="K441" i="3"/>
  <c r="K670" i="3"/>
  <c r="L582" i="3"/>
  <c r="K486" i="3"/>
  <c r="J310" i="3"/>
  <c r="K222" i="3"/>
  <c r="J118" i="3"/>
  <c r="L443" i="3"/>
  <c r="K473" i="3"/>
  <c r="J617" i="3"/>
  <c r="H754" i="3"/>
  <c r="K782" i="3"/>
  <c r="L686" i="3"/>
  <c r="J598" i="3"/>
  <c r="J422" i="3"/>
  <c r="K326" i="3"/>
  <c r="L363" i="3"/>
  <c r="K28" i="3"/>
  <c r="K267" i="3"/>
  <c r="K681" i="3"/>
  <c r="K537" i="3"/>
  <c r="K643" i="3"/>
  <c r="J662" i="3"/>
  <c r="K494" i="3"/>
  <c r="L310" i="3"/>
  <c r="K190" i="3"/>
  <c r="K86" i="3"/>
  <c r="J595" i="3"/>
  <c r="K665" i="3"/>
  <c r="AO851" i="11"/>
  <c r="J465" i="3"/>
  <c r="J379" i="3"/>
  <c r="L638" i="3"/>
  <c r="K278" i="3"/>
  <c r="J86" i="3"/>
  <c r="L705" i="3"/>
  <c r="K603" i="3"/>
  <c r="J665" i="3"/>
  <c r="AP851" i="11"/>
  <c r="AR851" i="11"/>
  <c r="K48" i="3"/>
  <c r="L233" i="3"/>
  <c r="J699" i="3"/>
  <c r="L721" i="3"/>
  <c r="J838" i="3"/>
  <c r="J750" i="3"/>
  <c r="K574" i="3"/>
  <c r="K478" i="3"/>
  <c r="L302" i="3"/>
  <c r="K206" i="3"/>
  <c r="K697" i="3"/>
  <c r="L723" i="3"/>
  <c r="L449" i="3"/>
  <c r="J627" i="3"/>
  <c r="J689" i="3"/>
  <c r="K766" i="3"/>
  <c r="L590" i="3"/>
  <c r="K230" i="3"/>
  <c r="L126" i="3"/>
  <c r="L153" i="3"/>
  <c r="L259" i="3"/>
  <c r="L845" i="3"/>
  <c r="L83" i="3"/>
  <c r="L851" i="11"/>
  <c r="L811" i="3"/>
  <c r="K675" i="3"/>
  <c r="K449" i="3"/>
  <c r="L609" i="3"/>
  <c r="J766" i="3"/>
  <c r="K590" i="3"/>
  <c r="L502" i="3"/>
  <c r="J230" i="3"/>
  <c r="J126" i="3"/>
  <c r="L835" i="3"/>
  <c r="K259" i="3"/>
  <c r="K845" i="3"/>
  <c r="J83" i="3"/>
  <c r="L305" i="3"/>
  <c r="J219" i="3"/>
  <c r="K654" i="3"/>
  <c r="J222" i="3"/>
  <c r="T851" i="11"/>
  <c r="K809" i="3"/>
  <c r="H750" i="3"/>
  <c r="L350" i="3"/>
  <c r="J28" i="3"/>
  <c r="AC851" i="11"/>
  <c r="J729" i="3"/>
  <c r="K731" i="3"/>
  <c r="J809" i="3"/>
  <c r="J798" i="3"/>
  <c r="L606" i="3"/>
  <c r="K246" i="3"/>
  <c r="J158" i="3"/>
  <c r="K363" i="3"/>
  <c r="L433" i="3"/>
  <c r="K355" i="3"/>
  <c r="L425" i="3"/>
  <c r="J683" i="3"/>
  <c r="J609" i="3"/>
  <c r="AE851" i="11"/>
  <c r="AV851" i="11"/>
  <c r="J246" i="3"/>
  <c r="K331" i="3"/>
  <c r="K174" i="3"/>
  <c r="J806" i="3"/>
  <c r="K17" i="3"/>
  <c r="L275" i="3"/>
  <c r="K200" i="3"/>
  <c r="L62" i="3"/>
  <c r="L17" i="3"/>
  <c r="K489" i="3"/>
  <c r="K625" i="3"/>
  <c r="J70" i="3"/>
  <c r="L185" i="3"/>
  <c r="K550" i="3"/>
  <c r="J441" i="3"/>
  <c r="AJ851" i="11"/>
  <c r="J721" i="3"/>
  <c r="L753" i="3"/>
  <c r="J582" i="3"/>
  <c r="L787" i="3"/>
  <c r="AK851" i="11"/>
  <c r="K571" i="3"/>
  <c r="J417" i="3"/>
  <c r="K795" i="3"/>
  <c r="K131" i="3"/>
  <c r="K683" i="3"/>
  <c r="L774" i="3"/>
  <c r="J686" i="3"/>
  <c r="L510" i="3"/>
  <c r="K414" i="3"/>
  <c r="J142" i="3"/>
  <c r="J321" i="3"/>
  <c r="J835" i="3"/>
  <c r="L390" i="3"/>
  <c r="L809" i="3"/>
  <c r="K419" i="3"/>
  <c r="K433" i="3"/>
  <c r="L595" i="3"/>
  <c r="K78" i="3"/>
  <c r="K710" i="3"/>
  <c r="L790" i="3"/>
  <c r="J17" i="3"/>
  <c r="L843" i="3"/>
  <c r="K769" i="3"/>
  <c r="L131" i="3"/>
  <c r="L478" i="3"/>
  <c r="J817" i="3"/>
  <c r="K350" i="3"/>
  <c r="J427" i="3"/>
  <c r="P851" i="11"/>
  <c r="K257" i="3"/>
  <c r="K507" i="3"/>
  <c r="L462" i="3"/>
  <c r="L577" i="3"/>
  <c r="L771" i="3"/>
  <c r="L841" i="3"/>
  <c r="K465" i="3"/>
  <c r="L441" i="3"/>
  <c r="L566" i="3"/>
  <c r="J326" i="3"/>
  <c r="J198" i="3"/>
  <c r="K70" i="3"/>
  <c r="K307" i="3"/>
  <c r="AS851" i="11"/>
  <c r="L329" i="3"/>
  <c r="J675" i="3"/>
  <c r="J449" i="3"/>
  <c r="K609" i="3"/>
  <c r="J590" i="3"/>
  <c r="K502" i="3"/>
  <c r="L318" i="3"/>
  <c r="K126" i="3"/>
  <c r="K835" i="3"/>
  <c r="J259" i="3"/>
  <c r="J845" i="3"/>
  <c r="N851" i="11"/>
  <c r="F209" i="3"/>
  <c r="K774" i="3"/>
  <c r="J46" i="3"/>
  <c r="L678" i="3"/>
  <c r="J214" i="3"/>
  <c r="L518" i="3"/>
  <c r="J302" i="3"/>
  <c r="J830" i="3"/>
  <c r="L102" i="3"/>
  <c r="J659" i="3"/>
  <c r="L430" i="3"/>
  <c r="K177" i="3"/>
  <c r="J614" i="3"/>
  <c r="J347" i="3"/>
  <c r="K611" i="3"/>
  <c r="J622" i="3"/>
  <c r="K635" i="3"/>
  <c r="J382" i="3"/>
  <c r="J472" i="3"/>
  <c r="J670" i="3"/>
  <c r="L830" i="3"/>
  <c r="K686" i="3"/>
  <c r="K438" i="3"/>
  <c r="L182" i="3"/>
  <c r="K659" i="3"/>
  <c r="J577" i="3"/>
  <c r="L451" i="3"/>
  <c r="K296" i="3"/>
  <c r="L257" i="3"/>
  <c r="J827" i="3"/>
  <c r="L769" i="3"/>
  <c r="J478" i="3"/>
  <c r="L214" i="3"/>
  <c r="L110" i="3"/>
  <c r="J771" i="3"/>
  <c r="L833" i="3"/>
  <c r="K787" i="3"/>
  <c r="V851" i="11"/>
  <c r="K49" i="3"/>
  <c r="K707" i="3"/>
  <c r="J363" i="3"/>
  <c r="J110" i="3"/>
  <c r="K94" i="3"/>
  <c r="L822" i="3"/>
  <c r="W851" i="11"/>
  <c r="L673" i="3"/>
  <c r="J526" i="3"/>
  <c r="L46" i="3"/>
  <c r="L758" i="3"/>
  <c r="K806" i="3"/>
  <c r="L121" i="3"/>
  <c r="J81" i="3"/>
  <c r="K534" i="3"/>
  <c r="L475" i="3"/>
  <c r="K294" i="3"/>
  <c r="K265" i="3"/>
  <c r="K582" i="3"/>
  <c r="L195" i="3"/>
  <c r="K827" i="3"/>
  <c r="L683" i="3"/>
  <c r="L414" i="3"/>
  <c r="K302" i="3"/>
  <c r="L793" i="3"/>
  <c r="L427" i="3"/>
  <c r="L539" i="3"/>
  <c r="G209" i="3"/>
  <c r="K411" i="3"/>
  <c r="J467" i="3"/>
  <c r="K830" i="3"/>
  <c r="J742" i="3"/>
  <c r="K566" i="3"/>
  <c r="L470" i="3"/>
  <c r="J294" i="3"/>
  <c r="K793" i="3"/>
  <c r="L715" i="3"/>
  <c r="L785" i="3"/>
  <c r="AD851" i="11"/>
  <c r="K619" i="3"/>
  <c r="J20" i="3"/>
  <c r="J494" i="3"/>
  <c r="K833" i="3"/>
  <c r="AF851" i="11"/>
  <c r="J787" i="3"/>
  <c r="J793" i="3"/>
  <c r="J734" i="3"/>
  <c r="K542" i="3"/>
  <c r="L531" i="3"/>
  <c r="K446" i="3"/>
  <c r="J57" i="3"/>
  <c r="L710" i="3"/>
  <c r="J62" i="3"/>
  <c r="J275" i="3"/>
  <c r="L78" i="3"/>
  <c r="J625" i="3"/>
  <c r="J555" i="3"/>
  <c r="J486" i="3"/>
  <c r="L291" i="3"/>
  <c r="K798" i="3"/>
  <c r="K662" i="3"/>
  <c r="K526" i="3"/>
  <c r="K398" i="3"/>
  <c r="J286" i="3"/>
  <c r="K158" i="3"/>
  <c r="K771" i="3"/>
  <c r="K745" i="3"/>
  <c r="L355" i="3"/>
  <c r="J161" i="3"/>
  <c r="J179" i="3"/>
  <c r="L161" i="3"/>
  <c r="K734" i="3"/>
  <c r="J646" i="3"/>
  <c r="J374" i="3"/>
  <c r="K286" i="3"/>
  <c r="J182" i="3"/>
  <c r="AL851" i="11"/>
  <c r="L777" i="3"/>
  <c r="K510" i="3"/>
  <c r="L398" i="3"/>
  <c r="L817" i="3"/>
  <c r="AM851" i="11"/>
  <c r="O851" i="11"/>
  <c r="J558" i="3"/>
  <c r="K715" i="3"/>
  <c r="K646" i="3"/>
  <c r="K606" i="3"/>
  <c r="J350" i="3"/>
  <c r="L18" i="3"/>
  <c r="L246" i="3"/>
  <c r="K723" i="3"/>
  <c r="J254" i="3"/>
  <c r="L507" i="3"/>
  <c r="L358" i="3"/>
  <c r="J94" i="3"/>
  <c r="L827" i="3"/>
  <c r="K817" i="3"/>
  <c r="K467" i="3"/>
  <c r="J782" i="3"/>
  <c r="L646" i="3"/>
  <c r="L382" i="3"/>
  <c r="L254" i="3"/>
  <c r="L142" i="3"/>
  <c r="L707" i="3"/>
  <c r="J641" i="3"/>
  <c r="J291" i="3"/>
  <c r="M851" i="11"/>
  <c r="J113" i="3"/>
  <c r="K113" i="3"/>
  <c r="J32" i="3"/>
  <c r="K515" i="3"/>
  <c r="L331" i="3"/>
  <c r="L726" i="3"/>
  <c r="K630" i="3"/>
  <c r="L542" i="3"/>
  <c r="L174" i="3"/>
  <c r="J547" i="3"/>
  <c r="J673" i="3"/>
  <c r="J531" i="3"/>
  <c r="AT851" i="11"/>
  <c r="J414" i="3"/>
  <c r="J203" i="3"/>
  <c r="K318" i="3"/>
  <c r="AN851" i="11"/>
  <c r="AU851" i="11"/>
  <c r="L523" i="3"/>
  <c r="L459" i="3"/>
  <c r="K470" i="3"/>
  <c r="J737" i="3"/>
  <c r="L366" i="3"/>
  <c r="X851" i="11"/>
  <c r="K18" i="3"/>
  <c r="L243" i="3"/>
  <c r="L651" i="3"/>
  <c r="J419" i="3"/>
  <c r="K374" i="3"/>
  <c r="U851" i="11"/>
  <c r="L446" i="3"/>
  <c r="G750" i="3"/>
  <c r="J355" i="3"/>
  <c r="L841" i="4"/>
  <c r="L852" i="4"/>
  <c r="N841" i="4"/>
  <c r="M841" i="4"/>
  <c r="N848" i="4"/>
  <c r="L848" i="4"/>
  <c r="M848" i="4"/>
  <c r="N852" i="4"/>
  <c r="M852" i="4"/>
  <c r="L853" i="4"/>
  <c r="N837" i="4"/>
  <c r="L842" i="4"/>
  <c r="M849" i="4"/>
  <c r="N851" i="4"/>
  <c r="L626" i="4"/>
  <c r="M623" i="4"/>
  <c r="L844" i="4"/>
  <c r="M837" i="4"/>
  <c r="L838" i="4"/>
  <c r="L849" i="4"/>
  <c r="M851" i="4"/>
  <c r="M625" i="4"/>
  <c r="L623" i="4"/>
  <c r="N847" i="4"/>
  <c r="L837" i="4"/>
  <c r="M838" i="4"/>
  <c r="N846" i="4"/>
  <c r="L851" i="4"/>
  <c r="L625" i="4"/>
  <c r="N622" i="4"/>
  <c r="M847" i="4"/>
  <c r="N839" i="4"/>
  <c r="N838" i="4"/>
  <c r="M846" i="4"/>
  <c r="N627" i="4"/>
  <c r="N625" i="4"/>
  <c r="M622" i="4"/>
  <c r="L847" i="4"/>
  <c r="M839" i="4"/>
  <c r="M850" i="4"/>
  <c r="L846" i="4"/>
  <c r="M627" i="4"/>
  <c r="N624" i="4"/>
  <c r="L622" i="4"/>
  <c r="N840" i="4"/>
  <c r="L839" i="4"/>
  <c r="L850" i="4"/>
  <c r="M843" i="4"/>
  <c r="L627" i="4"/>
  <c r="M624" i="4"/>
  <c r="M840" i="4"/>
  <c r="N842" i="4"/>
  <c r="N850" i="4"/>
  <c r="L843" i="4"/>
  <c r="M626" i="4"/>
  <c r="L624" i="4"/>
  <c r="L840" i="4"/>
  <c r="M842" i="4"/>
  <c r="N849" i="4"/>
  <c r="N843" i="4"/>
  <c r="N626" i="4"/>
  <c r="N623" i="4"/>
  <c r="L835" i="4"/>
  <c r="M667" i="4"/>
  <c r="N828" i="4"/>
  <c r="L777" i="4"/>
  <c r="M789" i="4"/>
  <c r="M747" i="4"/>
  <c r="M669" i="4"/>
  <c r="N788" i="4"/>
  <c r="L813" i="4"/>
  <c r="N663" i="4"/>
  <c r="N823" i="4"/>
  <c r="L748" i="4"/>
  <c r="M734" i="4"/>
  <c r="L784" i="4"/>
  <c r="L704" i="4"/>
  <c r="M762" i="4"/>
  <c r="N833" i="4"/>
  <c r="N801" i="4"/>
  <c r="N742" i="4"/>
  <c r="N730" i="4"/>
  <c r="N712" i="4"/>
  <c r="M770" i="4"/>
  <c r="M821" i="4"/>
  <c r="L659" i="4"/>
  <c r="L685" i="4"/>
  <c r="N812" i="4"/>
  <c r="N769" i="4"/>
  <c r="M703" i="4"/>
  <c r="L831" i="4"/>
  <c r="L776" i="4"/>
  <c r="M804" i="4"/>
  <c r="N686" i="4"/>
  <c r="N697" i="4"/>
  <c r="M699" i="4"/>
  <c r="N797" i="4"/>
  <c r="L822" i="4"/>
  <c r="M775" i="4"/>
  <c r="N768" i="4"/>
  <c r="L721" i="4"/>
  <c r="M753" i="4"/>
  <c r="N726" i="4"/>
  <c r="L761" i="4"/>
  <c r="M810" i="4"/>
  <c r="N795" i="4"/>
  <c r="L793" i="4"/>
  <c r="M722" i="4"/>
  <c r="N765" i="4"/>
  <c r="N707" i="4"/>
  <c r="N780" i="4"/>
  <c r="M825" i="4"/>
  <c r="L632" i="4"/>
  <c r="N641" i="4"/>
  <c r="N630" i="4"/>
  <c r="L648" i="4"/>
  <c r="L825" i="4"/>
  <c r="N634" i="4"/>
  <c r="M630" i="4"/>
  <c r="L650" i="4"/>
  <c r="L780" i="4"/>
  <c r="L783" i="4"/>
  <c r="N636" i="4"/>
  <c r="N650" i="4"/>
  <c r="N635" i="4"/>
  <c r="L826" i="4"/>
  <c r="L667" i="4"/>
  <c r="N711" i="4"/>
  <c r="M777" i="4"/>
  <c r="L789" i="4"/>
  <c r="M779" i="4"/>
  <c r="L669" i="4"/>
  <c r="M788" i="4"/>
  <c r="L774" i="4"/>
  <c r="M663" i="4"/>
  <c r="M823" i="4"/>
  <c r="L670" i="4"/>
  <c r="L734" i="4"/>
  <c r="M784" i="4"/>
  <c r="L824" i="4"/>
  <c r="N762" i="4"/>
  <c r="M833" i="4"/>
  <c r="N756" i="4"/>
  <c r="M742" i="4"/>
  <c r="M730" i="4"/>
  <c r="N706" i="4"/>
  <c r="L770" i="4"/>
  <c r="L821" i="4"/>
  <c r="N723" i="4"/>
  <c r="M685" i="4"/>
  <c r="M812" i="4"/>
  <c r="L814" i="4"/>
  <c r="L703" i="4"/>
  <c r="M831" i="4"/>
  <c r="M657" i="4"/>
  <c r="N804" i="4"/>
  <c r="M686" i="4"/>
  <c r="N816" i="4"/>
  <c r="L699" i="4"/>
  <c r="L797" i="4"/>
  <c r="N679" i="4"/>
  <c r="L775" i="4"/>
  <c r="M768" i="4"/>
  <c r="N820" i="4"/>
  <c r="L753" i="4"/>
  <c r="M726" i="4"/>
  <c r="N832" i="4"/>
  <c r="L810" i="4"/>
  <c r="M795" i="4"/>
  <c r="N658" i="4"/>
  <c r="N722" i="4"/>
  <c r="M765" i="4"/>
  <c r="M739" i="4"/>
  <c r="L803" i="4"/>
  <c r="N798" i="4"/>
  <c r="M783" i="4"/>
  <c r="L641" i="4"/>
  <c r="L644" i="4"/>
  <c r="M798" i="4"/>
  <c r="M634" i="4"/>
  <c r="M645" i="4"/>
  <c r="N633" i="4"/>
  <c r="N792" i="4"/>
  <c r="N667" i="4"/>
  <c r="M711" i="4"/>
  <c r="N681" i="4"/>
  <c r="N789" i="4"/>
  <c r="L779" i="4"/>
  <c r="L660" i="4"/>
  <c r="L788" i="4"/>
  <c r="M774" i="4"/>
  <c r="N695" i="4"/>
  <c r="L823" i="4"/>
  <c r="M670" i="4"/>
  <c r="N766" i="4"/>
  <c r="N784" i="4"/>
  <c r="M824" i="4"/>
  <c r="L794" i="4"/>
  <c r="L833" i="4"/>
  <c r="M756" i="4"/>
  <c r="N760" i="4"/>
  <c r="L730" i="4"/>
  <c r="M706" i="4"/>
  <c r="N802" i="4"/>
  <c r="N821" i="4"/>
  <c r="M723" i="4"/>
  <c r="N805" i="4"/>
  <c r="L812" i="4"/>
  <c r="N814" i="4"/>
  <c r="L735" i="4"/>
  <c r="N831" i="4"/>
  <c r="L657" i="4"/>
  <c r="L732" i="4"/>
  <c r="L686" i="4"/>
  <c r="M816" i="4"/>
  <c r="M717" i="4"/>
  <c r="M797" i="4"/>
  <c r="M679" i="4"/>
  <c r="L807" i="4"/>
  <c r="L768" i="4"/>
  <c r="M820" i="4"/>
  <c r="N662" i="4"/>
  <c r="L726" i="4"/>
  <c r="M832" i="4"/>
  <c r="N733" i="4"/>
  <c r="L795" i="4"/>
  <c r="M658" i="4"/>
  <c r="N786" i="4"/>
  <c r="L765" i="4"/>
  <c r="L739" i="4"/>
  <c r="M641" i="4"/>
  <c r="M792" i="4"/>
  <c r="N676" i="4"/>
  <c r="L711" i="4"/>
  <c r="M681" i="4"/>
  <c r="L715" i="4"/>
  <c r="N779" i="4"/>
  <c r="M660" i="4"/>
  <c r="L725" i="4"/>
  <c r="N774" i="4"/>
  <c r="M695" i="4"/>
  <c r="N716" i="4"/>
  <c r="N670" i="4"/>
  <c r="M766" i="4"/>
  <c r="N689" i="4"/>
  <c r="N824" i="4"/>
  <c r="M794" i="4"/>
  <c r="L756" i="4"/>
  <c r="M760" i="4"/>
  <c r="N672" i="4"/>
  <c r="L706" i="4"/>
  <c r="M802" i="4"/>
  <c r="N785" i="4"/>
  <c r="L723" i="4"/>
  <c r="M805" i="4"/>
  <c r="N757" i="4"/>
  <c r="M814" i="4"/>
  <c r="N735" i="4"/>
  <c r="L752" i="4"/>
  <c r="N657" i="4"/>
  <c r="M732" i="4"/>
  <c r="N750" i="4"/>
  <c r="L816" i="4"/>
  <c r="L717" i="4"/>
  <c r="N741" i="4"/>
  <c r="L679" i="4"/>
  <c r="N807" i="4"/>
  <c r="N713" i="4"/>
  <c r="L820" i="4"/>
  <c r="M662" i="4"/>
  <c r="N758" i="4"/>
  <c r="L832" i="4"/>
  <c r="M733" i="4"/>
  <c r="N744" i="4"/>
  <c r="L658" i="4"/>
  <c r="M786" i="4"/>
  <c r="N675" i="4"/>
  <c r="N739" i="4"/>
  <c r="L749" i="4"/>
  <c r="N693" i="4"/>
  <c r="L798" i="4"/>
  <c r="N687" i="4"/>
  <c r="N815" i="4"/>
  <c r="L634" i="4"/>
  <c r="N631" i="4"/>
  <c r="L640" i="4"/>
  <c r="L636" i="4"/>
  <c r="L645" i="4"/>
  <c r="N654" i="4"/>
  <c r="M650" i="4"/>
  <c r="M633" i="4"/>
  <c r="N830" i="4"/>
  <c r="M815" i="4"/>
  <c r="M631" i="4"/>
  <c r="N639" i="4"/>
  <c r="M654" i="4"/>
  <c r="L633" i="4"/>
  <c r="M771" i="4"/>
  <c r="M830" i="4"/>
  <c r="N651" i="4"/>
  <c r="M639" i="4"/>
  <c r="L635" i="4"/>
  <c r="M707" i="4"/>
  <c r="N829" i="4"/>
  <c r="N632" i="4"/>
  <c r="N642" i="4"/>
  <c r="L792" i="4"/>
  <c r="M676" i="4"/>
  <c r="N688" i="4"/>
  <c r="L681" i="4"/>
  <c r="N715" i="4"/>
  <c r="M811" i="4"/>
  <c r="N660" i="4"/>
  <c r="N725" i="4"/>
  <c r="N806" i="4"/>
  <c r="L695" i="4"/>
  <c r="M716" i="4"/>
  <c r="L702" i="4"/>
  <c r="L766" i="4"/>
  <c r="M689" i="4"/>
  <c r="N698" i="4"/>
  <c r="N794" i="4"/>
  <c r="N678" i="4"/>
  <c r="L760" i="4"/>
  <c r="M672" i="4"/>
  <c r="N738" i="4"/>
  <c r="L802" i="4"/>
  <c r="M785" i="4"/>
  <c r="L787" i="4"/>
  <c r="L805" i="4"/>
  <c r="L757" i="4"/>
  <c r="N671" i="4"/>
  <c r="M735" i="4"/>
  <c r="M752" i="4"/>
  <c r="N819" i="4"/>
  <c r="N732" i="4"/>
  <c r="M750" i="4"/>
  <c r="L680" i="4"/>
  <c r="N717" i="4"/>
  <c r="M741" i="4"/>
  <c r="N743" i="4"/>
  <c r="M807" i="4"/>
  <c r="M713" i="4"/>
  <c r="N740" i="4"/>
  <c r="L662" i="4"/>
  <c r="M758" i="4"/>
  <c r="N714" i="4"/>
  <c r="L733" i="4"/>
  <c r="M744" i="4"/>
  <c r="L690" i="4"/>
  <c r="L786" i="4"/>
  <c r="M675" i="4"/>
  <c r="N771" i="4"/>
  <c r="N749" i="4"/>
  <c r="M693" i="4"/>
  <c r="L687" i="4"/>
  <c r="L651" i="4"/>
  <c r="N640" i="4"/>
  <c r="N645" i="4"/>
  <c r="M635" i="4"/>
  <c r="L675" i="4"/>
  <c r="L693" i="4"/>
  <c r="L815" i="4"/>
  <c r="M640" i="4"/>
  <c r="L654" i="4"/>
  <c r="M661" i="4"/>
  <c r="M684" i="4"/>
  <c r="M751" i="4"/>
  <c r="M651" i="4"/>
  <c r="M652" i="4"/>
  <c r="N778" i="4"/>
  <c r="L676" i="4"/>
  <c r="M688" i="4"/>
  <c r="M677" i="4"/>
  <c r="M715" i="4"/>
  <c r="L811" i="4"/>
  <c r="N724" i="4"/>
  <c r="M725" i="4"/>
  <c r="M806" i="4"/>
  <c r="M759" i="4"/>
  <c r="L716" i="4"/>
  <c r="M702" i="4"/>
  <c r="N720" i="4"/>
  <c r="L689" i="4"/>
  <c r="M698" i="4"/>
  <c r="N796" i="4"/>
  <c r="M678" i="4"/>
  <c r="N666" i="4"/>
  <c r="L672" i="4"/>
  <c r="M738" i="4"/>
  <c r="L834" i="4"/>
  <c r="L785" i="4"/>
  <c r="N787" i="4"/>
  <c r="N668" i="4"/>
  <c r="M757" i="4"/>
  <c r="M671" i="4"/>
  <c r="N767" i="4"/>
  <c r="N752" i="4"/>
  <c r="L819" i="4"/>
  <c r="L705" i="4"/>
  <c r="L750" i="4"/>
  <c r="M680" i="4"/>
  <c r="N708" i="4"/>
  <c r="L741" i="4"/>
  <c r="M743" i="4"/>
  <c r="N696" i="4"/>
  <c r="L713" i="4"/>
  <c r="M740" i="4"/>
  <c r="N694" i="4"/>
  <c r="L758" i="4"/>
  <c r="M714" i="4"/>
  <c r="N731" i="4"/>
  <c r="L744" i="4"/>
  <c r="M690" i="4"/>
  <c r="N661" i="4"/>
  <c r="N684" i="4"/>
  <c r="N751" i="4"/>
  <c r="N643" i="4"/>
  <c r="N652" i="4"/>
  <c r="N690" i="4"/>
  <c r="L771" i="4"/>
  <c r="L830" i="4"/>
  <c r="M643" i="4"/>
  <c r="M648" i="4"/>
  <c r="M778" i="4"/>
  <c r="M828" i="4"/>
  <c r="L688" i="4"/>
  <c r="L677" i="4"/>
  <c r="L747" i="4"/>
  <c r="N811" i="4"/>
  <c r="M724" i="4"/>
  <c r="N813" i="4"/>
  <c r="L806" i="4"/>
  <c r="N759" i="4"/>
  <c r="N748" i="4"/>
  <c r="N702" i="4"/>
  <c r="M720" i="4"/>
  <c r="N704" i="4"/>
  <c r="L698" i="4"/>
  <c r="M796" i="4"/>
  <c r="M801" i="4"/>
  <c r="L678" i="4"/>
  <c r="M666" i="4"/>
  <c r="L712" i="4"/>
  <c r="L738" i="4"/>
  <c r="N834" i="4"/>
  <c r="N659" i="4"/>
  <c r="M787" i="4"/>
  <c r="M668" i="4"/>
  <c r="M769" i="4"/>
  <c r="L671" i="4"/>
  <c r="M767" i="4"/>
  <c r="N776" i="4"/>
  <c r="M819" i="4"/>
  <c r="N705" i="4"/>
  <c r="M697" i="4"/>
  <c r="N680" i="4"/>
  <c r="M708" i="4"/>
  <c r="N822" i="4"/>
  <c r="L743" i="4"/>
  <c r="M696" i="4"/>
  <c r="N721" i="4"/>
  <c r="L740" i="4"/>
  <c r="M694" i="4"/>
  <c r="N761" i="4"/>
  <c r="L714" i="4"/>
  <c r="M731" i="4"/>
  <c r="N793" i="4"/>
  <c r="L778" i="4"/>
  <c r="L828" i="4"/>
  <c r="N777" i="4"/>
  <c r="N677" i="4"/>
  <c r="N747" i="4"/>
  <c r="N669" i="4"/>
  <c r="L724" i="4"/>
  <c r="M813" i="4"/>
  <c r="L663" i="4"/>
  <c r="L759" i="4"/>
  <c r="M748" i="4"/>
  <c r="N734" i="4"/>
  <c r="L720" i="4"/>
  <c r="M704" i="4"/>
  <c r="L762" i="4"/>
  <c r="L796" i="4"/>
  <c r="L801" i="4"/>
  <c r="L742" i="4"/>
  <c r="L666" i="4"/>
  <c r="M712" i="4"/>
  <c r="N770" i="4"/>
  <c r="M834" i="4"/>
  <c r="M659" i="4"/>
  <c r="N685" i="4"/>
  <c r="L668" i="4"/>
  <c r="L769" i="4"/>
  <c r="N703" i="4"/>
  <c r="L767" i="4"/>
  <c r="M776" i="4"/>
  <c r="L804" i="4"/>
  <c r="M705" i="4"/>
  <c r="L697" i="4"/>
  <c r="N699" i="4"/>
  <c r="L708" i="4"/>
  <c r="M822" i="4"/>
  <c r="N775" i="4"/>
  <c r="L696" i="4"/>
  <c r="M721" i="4"/>
  <c r="N753" i="4"/>
  <c r="L694" i="4"/>
  <c r="M761" i="4"/>
  <c r="N810" i="4"/>
  <c r="L731" i="4"/>
  <c r="M793" i="4"/>
  <c r="L722" i="4"/>
  <c r="L661" i="4"/>
  <c r="L707" i="4"/>
  <c r="N803" i="4"/>
  <c r="L684" i="4"/>
  <c r="M829" i="4"/>
  <c r="N825" i="4"/>
  <c r="L751" i="4"/>
  <c r="M632" i="4"/>
  <c r="N653" i="4"/>
  <c r="L643" i="4"/>
  <c r="M642" i="4"/>
  <c r="L630" i="4"/>
  <c r="L652" i="4"/>
  <c r="N648" i="4"/>
  <c r="N644" i="4"/>
  <c r="M803" i="4"/>
  <c r="L829" i="4"/>
  <c r="N783" i="4"/>
  <c r="M653" i="4"/>
  <c r="L642" i="4"/>
  <c r="N649" i="4"/>
  <c r="M644" i="4"/>
  <c r="M780" i="4"/>
  <c r="L653" i="4"/>
  <c r="M636" i="4"/>
  <c r="M649" i="4"/>
  <c r="M749" i="4"/>
  <c r="M687" i="4"/>
  <c r="L631" i="4"/>
  <c r="L649" i="4"/>
  <c r="L639" i="4"/>
  <c r="J15" i="3"/>
  <c r="K15" i="3"/>
  <c r="L15" i="3"/>
  <c r="J14" i="3"/>
  <c r="K14" i="3"/>
  <c r="L14" i="3"/>
  <c r="K13" i="3"/>
  <c r="L13" i="3"/>
  <c r="J13" i="3"/>
  <c r="K10" i="3"/>
  <c r="J10" i="3"/>
  <c r="L10" i="3"/>
  <c r="L12" i="3"/>
  <c r="K12" i="3"/>
  <c r="J12" i="3"/>
  <c r="L11" i="3"/>
  <c r="K11" i="3"/>
  <c r="J11" i="3"/>
  <c r="K16" i="3"/>
  <c r="J16" i="3"/>
  <c r="L16" i="3"/>
  <c r="M15" i="4"/>
  <c r="L15" i="4"/>
  <c r="N15" i="4"/>
  <c r="L22" i="4"/>
  <c r="N22" i="4"/>
  <c r="M22" i="4"/>
  <c r="M13" i="4"/>
  <c r="N13" i="4"/>
  <c r="L13" i="4"/>
  <c r="N24" i="4"/>
  <c r="M24" i="4"/>
  <c r="L24" i="4"/>
  <c r="N21" i="4"/>
  <c r="L21" i="4"/>
  <c r="M21" i="4"/>
  <c r="M12" i="4"/>
  <c r="N12" i="4"/>
  <c r="L12" i="4"/>
  <c r="N20" i="4"/>
  <c r="L20" i="4"/>
  <c r="M20" i="4"/>
  <c r="M11" i="4"/>
  <c r="N11" i="4"/>
  <c r="L11" i="4"/>
  <c r="M19" i="4"/>
  <c r="L19" i="4"/>
  <c r="N19" i="4"/>
  <c r="M18" i="4"/>
  <c r="N18" i="4"/>
  <c r="L18" i="4"/>
  <c r="N23" i="4"/>
  <c r="M23" i="4"/>
  <c r="L23" i="4"/>
  <c r="M14" i="4"/>
  <c r="L14" i="4"/>
  <c r="N14" i="4"/>
  <c r="N616" i="4"/>
  <c r="M616" i="4"/>
  <c r="L616" i="4"/>
  <c r="N580" i="4"/>
  <c r="M580" i="4"/>
  <c r="L580" i="4"/>
  <c r="N544" i="4"/>
  <c r="L544" i="4"/>
  <c r="M544" i="4"/>
  <c r="N508" i="4"/>
  <c r="L508" i="4"/>
  <c r="M508" i="4"/>
  <c r="N445" i="4"/>
  <c r="M445" i="4"/>
  <c r="L445" i="4"/>
  <c r="M615" i="4"/>
  <c r="L615" i="4"/>
  <c r="N615" i="4"/>
  <c r="N606" i="4"/>
  <c r="M606" i="4"/>
  <c r="L606" i="4"/>
  <c r="N597" i="4"/>
  <c r="M597" i="4"/>
  <c r="L597" i="4"/>
  <c r="L588" i="4"/>
  <c r="N588" i="4"/>
  <c r="M588" i="4"/>
  <c r="N579" i="4"/>
  <c r="M579" i="4"/>
  <c r="L579" i="4"/>
  <c r="N570" i="4"/>
  <c r="M570" i="4"/>
  <c r="L570" i="4"/>
  <c r="N561" i="4"/>
  <c r="M561" i="4"/>
  <c r="L561" i="4"/>
  <c r="N552" i="4"/>
  <c r="M552" i="4"/>
  <c r="L552" i="4"/>
  <c r="M543" i="4"/>
  <c r="N543" i="4"/>
  <c r="L543" i="4"/>
  <c r="N534" i="4"/>
  <c r="M534" i="4"/>
  <c r="L534" i="4"/>
  <c r="M525" i="4"/>
  <c r="L525" i="4"/>
  <c r="N525" i="4"/>
  <c r="L516" i="4"/>
  <c r="N516" i="4"/>
  <c r="M516" i="4"/>
  <c r="N507" i="4"/>
  <c r="M507" i="4"/>
  <c r="L507" i="4"/>
  <c r="N498" i="4"/>
  <c r="L498" i="4"/>
  <c r="M498" i="4"/>
  <c r="M489" i="4"/>
  <c r="L489" i="4"/>
  <c r="N489" i="4"/>
  <c r="N480" i="4"/>
  <c r="L480" i="4"/>
  <c r="M480" i="4"/>
  <c r="M471" i="4"/>
  <c r="N471" i="4"/>
  <c r="L471" i="4"/>
  <c r="N462" i="4"/>
  <c r="L462" i="4"/>
  <c r="M462" i="4"/>
  <c r="M453" i="4"/>
  <c r="L453" i="4"/>
  <c r="N453" i="4"/>
  <c r="L444" i="4"/>
  <c r="N444" i="4"/>
  <c r="M444" i="4"/>
  <c r="N589" i="4"/>
  <c r="M589" i="4"/>
  <c r="L589" i="4"/>
  <c r="L526" i="4"/>
  <c r="N526" i="4"/>
  <c r="M526" i="4"/>
  <c r="N490" i="4"/>
  <c r="M490" i="4"/>
  <c r="L490" i="4"/>
  <c r="N614" i="4"/>
  <c r="M614" i="4"/>
  <c r="L614" i="4"/>
  <c r="M605" i="4"/>
  <c r="L605" i="4"/>
  <c r="N605" i="4"/>
  <c r="N596" i="4"/>
  <c r="M596" i="4"/>
  <c r="L596" i="4"/>
  <c r="N587" i="4"/>
  <c r="M587" i="4"/>
  <c r="L587" i="4"/>
  <c r="L578" i="4"/>
  <c r="N578" i="4"/>
  <c r="M578" i="4"/>
  <c r="N569" i="4"/>
  <c r="M569" i="4"/>
  <c r="L569" i="4"/>
  <c r="N560" i="4"/>
  <c r="L560" i="4"/>
  <c r="M560" i="4"/>
  <c r="M551" i="4"/>
  <c r="L551" i="4"/>
  <c r="N551" i="4"/>
  <c r="N542" i="4"/>
  <c r="M542" i="4"/>
  <c r="L542" i="4"/>
  <c r="M533" i="4"/>
  <c r="N533" i="4"/>
  <c r="L533" i="4"/>
  <c r="N524" i="4"/>
  <c r="L524" i="4"/>
  <c r="M524" i="4"/>
  <c r="M515" i="4"/>
  <c r="L515" i="4"/>
  <c r="N515" i="4"/>
  <c r="L506" i="4"/>
  <c r="N506" i="4"/>
  <c r="M506" i="4"/>
  <c r="N497" i="4"/>
  <c r="M497" i="4"/>
  <c r="L497" i="4"/>
  <c r="N488" i="4"/>
  <c r="L488" i="4"/>
  <c r="M488" i="4"/>
  <c r="N479" i="4"/>
  <c r="M479" i="4"/>
  <c r="L479" i="4"/>
  <c r="N470" i="4"/>
  <c r="M470" i="4"/>
  <c r="L470" i="4"/>
  <c r="M461" i="4"/>
  <c r="N461" i="4"/>
  <c r="L461" i="4"/>
  <c r="N452" i="4"/>
  <c r="M452" i="4"/>
  <c r="L452" i="4"/>
  <c r="M443" i="4"/>
  <c r="L443" i="4"/>
  <c r="N443" i="4"/>
  <c r="N613" i="4"/>
  <c r="M613" i="4"/>
  <c r="L613" i="4"/>
  <c r="N604" i="4"/>
  <c r="M604" i="4"/>
  <c r="L604" i="4"/>
  <c r="M595" i="4"/>
  <c r="L595" i="4"/>
  <c r="N595" i="4"/>
  <c r="N586" i="4"/>
  <c r="M586" i="4"/>
  <c r="L586" i="4"/>
  <c r="N577" i="4"/>
  <c r="M577" i="4"/>
  <c r="L577" i="4"/>
  <c r="L568" i="4"/>
  <c r="N568" i="4"/>
  <c r="M568" i="4"/>
  <c r="N559" i="4"/>
  <c r="M559" i="4"/>
  <c r="L559" i="4"/>
  <c r="N550" i="4"/>
  <c r="L550" i="4"/>
  <c r="M550" i="4"/>
  <c r="N541" i="4"/>
  <c r="M541" i="4"/>
  <c r="L541" i="4"/>
  <c r="N532" i="4"/>
  <c r="M532" i="4"/>
  <c r="L532" i="4"/>
  <c r="M523" i="4"/>
  <c r="N523" i="4"/>
  <c r="L523" i="4"/>
  <c r="N514" i="4"/>
  <c r="M514" i="4"/>
  <c r="L514" i="4"/>
  <c r="M505" i="4"/>
  <c r="L505" i="4"/>
  <c r="N505" i="4"/>
  <c r="L496" i="4"/>
  <c r="N496" i="4"/>
  <c r="M496" i="4"/>
  <c r="N487" i="4"/>
  <c r="M487" i="4"/>
  <c r="L487" i="4"/>
  <c r="N478" i="4"/>
  <c r="L478" i="4"/>
  <c r="M478" i="4"/>
  <c r="M469" i="4"/>
  <c r="L469" i="4"/>
  <c r="N469" i="4"/>
  <c r="N460" i="4"/>
  <c r="L460" i="4"/>
  <c r="M460" i="4"/>
  <c r="M451" i="4"/>
  <c r="N451" i="4"/>
  <c r="L451" i="4"/>
  <c r="N442" i="4"/>
  <c r="L442" i="4"/>
  <c r="M442" i="4"/>
  <c r="N607" i="4"/>
  <c r="M607" i="4"/>
  <c r="L607" i="4"/>
  <c r="M553" i="4"/>
  <c r="N553" i="4"/>
  <c r="L553" i="4"/>
  <c r="N472" i="4"/>
  <c r="M472" i="4"/>
  <c r="L472" i="4"/>
  <c r="N621" i="4"/>
  <c r="M621" i="4"/>
  <c r="L621" i="4"/>
  <c r="N612" i="4"/>
  <c r="M612" i="4"/>
  <c r="L612" i="4"/>
  <c r="L603" i="4"/>
  <c r="N603" i="4"/>
  <c r="M603" i="4"/>
  <c r="N594" i="4"/>
  <c r="M594" i="4"/>
  <c r="L594" i="4"/>
  <c r="M585" i="4"/>
  <c r="L585" i="4"/>
  <c r="N585" i="4"/>
  <c r="N576" i="4"/>
  <c r="M576" i="4"/>
  <c r="L576" i="4"/>
  <c r="N567" i="4"/>
  <c r="M567" i="4"/>
  <c r="L567" i="4"/>
  <c r="L558" i="4"/>
  <c r="N558" i="4"/>
  <c r="M558" i="4"/>
  <c r="N549" i="4"/>
  <c r="M549" i="4"/>
  <c r="L549" i="4"/>
  <c r="N540" i="4"/>
  <c r="L540" i="4"/>
  <c r="M540" i="4"/>
  <c r="M531" i="4"/>
  <c r="L531" i="4"/>
  <c r="N531" i="4"/>
  <c r="N522" i="4"/>
  <c r="M522" i="4"/>
  <c r="L522" i="4"/>
  <c r="M513" i="4"/>
  <c r="N513" i="4"/>
  <c r="L513" i="4"/>
  <c r="N504" i="4"/>
  <c r="L504" i="4"/>
  <c r="M504" i="4"/>
  <c r="M495" i="4"/>
  <c r="L495" i="4"/>
  <c r="N495" i="4"/>
  <c r="L486" i="4"/>
  <c r="N486" i="4"/>
  <c r="M486" i="4"/>
  <c r="N477" i="4"/>
  <c r="M477" i="4"/>
  <c r="L477" i="4"/>
  <c r="N468" i="4"/>
  <c r="L468" i="4"/>
  <c r="M468" i="4"/>
  <c r="N459" i="4"/>
  <c r="M459" i="4"/>
  <c r="L459" i="4"/>
  <c r="N450" i="4"/>
  <c r="M450" i="4"/>
  <c r="L450" i="4"/>
  <c r="M441" i="4"/>
  <c r="N441" i="4"/>
  <c r="L441" i="4"/>
  <c r="N571" i="4"/>
  <c r="M571" i="4"/>
  <c r="L571" i="4"/>
  <c r="M535" i="4"/>
  <c r="L535" i="4"/>
  <c r="N535" i="4"/>
  <c r="N499" i="4"/>
  <c r="M499" i="4"/>
  <c r="L499" i="4"/>
  <c r="L454" i="4"/>
  <c r="N454" i="4"/>
  <c r="M454" i="4"/>
  <c r="N562" i="4"/>
  <c r="M562" i="4"/>
  <c r="L562" i="4"/>
  <c r="M463" i="4"/>
  <c r="L463" i="4"/>
  <c r="N463" i="4"/>
  <c r="L618" i="4"/>
  <c r="N618" i="4"/>
  <c r="M618" i="4"/>
  <c r="N609" i="4"/>
  <c r="M609" i="4"/>
  <c r="L609" i="4"/>
  <c r="N600" i="4"/>
  <c r="M600" i="4"/>
  <c r="L600" i="4"/>
  <c r="M591" i="4"/>
  <c r="L591" i="4"/>
  <c r="N591" i="4"/>
  <c r="N582" i="4"/>
  <c r="M582" i="4"/>
  <c r="L582" i="4"/>
  <c r="M573" i="4"/>
  <c r="L573" i="4"/>
  <c r="N573" i="4"/>
  <c r="N564" i="4"/>
  <c r="L564" i="4"/>
  <c r="M564" i="4"/>
  <c r="M555" i="4"/>
  <c r="L555" i="4"/>
  <c r="N555" i="4"/>
  <c r="L546" i="4"/>
  <c r="N546" i="4"/>
  <c r="M546" i="4"/>
  <c r="N537" i="4"/>
  <c r="M537" i="4"/>
  <c r="L537" i="4"/>
  <c r="N528" i="4"/>
  <c r="L528" i="4"/>
  <c r="M528" i="4"/>
  <c r="N519" i="4"/>
  <c r="M519" i="4"/>
  <c r="L519" i="4"/>
  <c r="N510" i="4"/>
  <c r="M510" i="4"/>
  <c r="L510" i="4"/>
  <c r="M501" i="4"/>
  <c r="N501" i="4"/>
  <c r="L501" i="4"/>
  <c r="N492" i="4"/>
  <c r="M492" i="4"/>
  <c r="L492" i="4"/>
  <c r="M483" i="4"/>
  <c r="L483" i="4"/>
  <c r="N483" i="4"/>
  <c r="L474" i="4"/>
  <c r="N474" i="4"/>
  <c r="M474" i="4"/>
  <c r="M465" i="4"/>
  <c r="N465" i="4"/>
  <c r="L465" i="4"/>
  <c r="N456" i="4"/>
  <c r="L456" i="4"/>
  <c r="M456" i="4"/>
  <c r="M447" i="4"/>
  <c r="L447" i="4"/>
  <c r="N447" i="4"/>
  <c r="L598" i="4"/>
  <c r="N598" i="4"/>
  <c r="M598" i="4"/>
  <c r="N517" i="4"/>
  <c r="M517" i="4"/>
  <c r="L517" i="4"/>
  <c r="M481" i="4"/>
  <c r="N481" i="4"/>
  <c r="L481" i="4"/>
  <c r="N617" i="4"/>
  <c r="M617" i="4"/>
  <c r="L617" i="4"/>
  <c r="L608" i="4"/>
  <c r="N608" i="4"/>
  <c r="M608" i="4"/>
  <c r="N599" i="4"/>
  <c r="M599" i="4"/>
  <c r="L599" i="4"/>
  <c r="N590" i="4"/>
  <c r="M590" i="4"/>
  <c r="L590" i="4"/>
  <c r="N581" i="4"/>
  <c r="M581" i="4"/>
  <c r="L581" i="4"/>
  <c r="N572" i="4"/>
  <c r="M572" i="4"/>
  <c r="L572" i="4"/>
  <c r="M563" i="4"/>
  <c r="N563" i="4"/>
  <c r="L563" i="4"/>
  <c r="N554" i="4"/>
  <c r="M554" i="4"/>
  <c r="L554" i="4"/>
  <c r="M545" i="4"/>
  <c r="L545" i="4"/>
  <c r="N545" i="4"/>
  <c r="L536" i="4"/>
  <c r="N536" i="4"/>
  <c r="M536" i="4"/>
  <c r="N527" i="4"/>
  <c r="M527" i="4"/>
  <c r="L527" i="4"/>
  <c r="N518" i="4"/>
  <c r="L518" i="4"/>
  <c r="M518" i="4"/>
  <c r="M509" i="4"/>
  <c r="L509" i="4"/>
  <c r="N509" i="4"/>
  <c r="N500" i="4"/>
  <c r="L500" i="4"/>
  <c r="M500" i="4"/>
  <c r="M491" i="4"/>
  <c r="N491" i="4"/>
  <c r="L491" i="4"/>
  <c r="N482" i="4"/>
  <c r="L482" i="4"/>
  <c r="M482" i="4"/>
  <c r="M473" i="4"/>
  <c r="L473" i="4"/>
  <c r="N473" i="4"/>
  <c r="L464" i="4"/>
  <c r="N464" i="4"/>
  <c r="M464" i="4"/>
  <c r="N455" i="4"/>
  <c r="M455" i="4"/>
  <c r="L455" i="4"/>
  <c r="N446" i="4"/>
  <c r="L446" i="4"/>
  <c r="M446" i="4"/>
  <c r="L427" i="4"/>
  <c r="N427" i="4"/>
  <c r="M427" i="4"/>
  <c r="N391" i="4"/>
  <c r="M391" i="4"/>
  <c r="L391" i="4"/>
  <c r="N364" i="4"/>
  <c r="M364" i="4"/>
  <c r="L364" i="4"/>
  <c r="N346" i="4"/>
  <c r="M346" i="4"/>
  <c r="L346" i="4"/>
  <c r="N328" i="4"/>
  <c r="M328" i="4"/>
  <c r="L328" i="4"/>
  <c r="N319" i="4"/>
  <c r="M319" i="4"/>
  <c r="L319" i="4"/>
  <c r="N301" i="4"/>
  <c r="M301" i="4"/>
  <c r="L301" i="4"/>
  <c r="N283" i="4"/>
  <c r="L283" i="4"/>
  <c r="M283" i="4"/>
  <c r="M265" i="4"/>
  <c r="L265" i="4"/>
  <c r="N265" i="4"/>
  <c r="N256" i="4"/>
  <c r="M256" i="4"/>
  <c r="L256" i="4"/>
  <c r="L238" i="4"/>
  <c r="N238" i="4"/>
  <c r="M238" i="4"/>
  <c r="N435" i="4"/>
  <c r="M435" i="4"/>
  <c r="L435" i="4"/>
  <c r="N426" i="4"/>
  <c r="M426" i="4"/>
  <c r="L426" i="4"/>
  <c r="L417" i="4"/>
  <c r="N417" i="4"/>
  <c r="M417" i="4"/>
  <c r="N408" i="4"/>
  <c r="M408" i="4"/>
  <c r="L408" i="4"/>
  <c r="M399" i="4"/>
  <c r="L399" i="4"/>
  <c r="N399" i="4"/>
  <c r="N390" i="4"/>
  <c r="M390" i="4"/>
  <c r="L390" i="4"/>
  <c r="N381" i="4"/>
  <c r="M381" i="4"/>
  <c r="L381" i="4"/>
  <c r="L372" i="4"/>
  <c r="M372" i="4"/>
  <c r="N372" i="4"/>
  <c r="N363" i="4"/>
  <c r="M363" i="4"/>
  <c r="L363" i="4"/>
  <c r="N354" i="4"/>
  <c r="M354" i="4"/>
  <c r="L354" i="4"/>
  <c r="N345" i="4"/>
  <c r="M345" i="4"/>
  <c r="L345" i="4"/>
  <c r="N336" i="4"/>
  <c r="M336" i="4"/>
  <c r="L336" i="4"/>
  <c r="M327" i="4"/>
  <c r="L327" i="4"/>
  <c r="N327" i="4"/>
  <c r="N318" i="4"/>
  <c r="M318" i="4"/>
  <c r="L318" i="4"/>
  <c r="N309" i="4"/>
  <c r="M309" i="4"/>
  <c r="L309" i="4"/>
  <c r="L300" i="4"/>
  <c r="M300" i="4"/>
  <c r="N300" i="4"/>
  <c r="N291" i="4"/>
  <c r="M291" i="4"/>
  <c r="L291" i="4"/>
  <c r="N282" i="4"/>
  <c r="M282" i="4"/>
  <c r="L282" i="4"/>
  <c r="L273" i="4"/>
  <c r="N273" i="4"/>
  <c r="M273" i="4"/>
  <c r="N264" i="4"/>
  <c r="M264" i="4"/>
  <c r="L264" i="4"/>
  <c r="M255" i="4"/>
  <c r="L255" i="4"/>
  <c r="N255" i="4"/>
  <c r="N246" i="4"/>
  <c r="M246" i="4"/>
  <c r="L246" i="4"/>
  <c r="N237" i="4"/>
  <c r="M237" i="4"/>
  <c r="L237" i="4"/>
  <c r="L228" i="4"/>
  <c r="M228" i="4"/>
  <c r="N228" i="4"/>
  <c r="L434" i="4"/>
  <c r="N434" i="4"/>
  <c r="M434" i="4"/>
  <c r="N425" i="4"/>
  <c r="M425" i="4"/>
  <c r="L425" i="4"/>
  <c r="N416" i="4"/>
  <c r="M416" i="4"/>
  <c r="L416" i="4"/>
  <c r="L407" i="4"/>
  <c r="N407" i="4"/>
  <c r="M407" i="4"/>
  <c r="N398" i="4"/>
  <c r="M398" i="4"/>
  <c r="L398" i="4"/>
  <c r="M389" i="4"/>
  <c r="L389" i="4"/>
  <c r="N389" i="4"/>
  <c r="N380" i="4"/>
  <c r="M380" i="4"/>
  <c r="L380" i="4"/>
  <c r="N371" i="4"/>
  <c r="M371" i="4"/>
  <c r="L371" i="4"/>
  <c r="L362" i="4"/>
  <c r="M362" i="4"/>
  <c r="N362" i="4"/>
  <c r="N353" i="4"/>
  <c r="M353" i="4"/>
  <c r="L353" i="4"/>
  <c r="N344" i="4"/>
  <c r="M344" i="4"/>
  <c r="L344" i="4"/>
  <c r="N335" i="4"/>
  <c r="L335" i="4"/>
  <c r="M335" i="4"/>
  <c r="N326" i="4"/>
  <c r="M326" i="4"/>
  <c r="L326" i="4"/>
  <c r="M317" i="4"/>
  <c r="L317" i="4"/>
  <c r="N317" i="4"/>
  <c r="N308" i="4"/>
  <c r="M308" i="4"/>
  <c r="L308" i="4"/>
  <c r="N299" i="4"/>
  <c r="M299" i="4"/>
  <c r="L299" i="4"/>
  <c r="L290" i="4"/>
  <c r="M290" i="4"/>
  <c r="N290" i="4"/>
  <c r="N281" i="4"/>
  <c r="M281" i="4"/>
  <c r="L281" i="4"/>
  <c r="N272" i="4"/>
  <c r="M272" i="4"/>
  <c r="L272" i="4"/>
  <c r="L263" i="4"/>
  <c r="N263" i="4"/>
  <c r="M263" i="4"/>
  <c r="N254" i="4"/>
  <c r="M254" i="4"/>
  <c r="L254" i="4"/>
  <c r="M245" i="4"/>
  <c r="L245" i="4"/>
  <c r="N245" i="4"/>
  <c r="N236" i="4"/>
  <c r="M236" i="4"/>
  <c r="L236" i="4"/>
  <c r="N227" i="4"/>
  <c r="M227" i="4"/>
  <c r="L227" i="4"/>
  <c r="M409" i="4"/>
  <c r="L409" i="4"/>
  <c r="N409" i="4"/>
  <c r="N433" i="4"/>
  <c r="M433" i="4"/>
  <c r="L433" i="4"/>
  <c r="L424" i="4"/>
  <c r="M424" i="4"/>
  <c r="N424" i="4"/>
  <c r="N415" i="4"/>
  <c r="M415" i="4"/>
  <c r="L415" i="4"/>
  <c r="N406" i="4"/>
  <c r="M406" i="4"/>
  <c r="L406" i="4"/>
  <c r="L397" i="4"/>
  <c r="N397" i="4"/>
  <c r="M397" i="4"/>
  <c r="N388" i="4"/>
  <c r="M388" i="4"/>
  <c r="L388" i="4"/>
  <c r="M379" i="4"/>
  <c r="L379" i="4"/>
  <c r="N379" i="4"/>
  <c r="N370" i="4"/>
  <c r="M370" i="4"/>
  <c r="L370" i="4"/>
  <c r="N361" i="4"/>
  <c r="M361" i="4"/>
  <c r="L361" i="4"/>
  <c r="L352" i="4"/>
  <c r="M352" i="4"/>
  <c r="N352" i="4"/>
  <c r="N343" i="4"/>
  <c r="M343" i="4"/>
  <c r="L343" i="4"/>
  <c r="N334" i="4"/>
  <c r="M334" i="4"/>
  <c r="L334" i="4"/>
  <c r="L325" i="4"/>
  <c r="N325" i="4"/>
  <c r="M325" i="4"/>
  <c r="N316" i="4"/>
  <c r="M316" i="4"/>
  <c r="L316" i="4"/>
  <c r="M307" i="4"/>
  <c r="L307" i="4"/>
  <c r="N307" i="4"/>
  <c r="N298" i="4"/>
  <c r="M298" i="4"/>
  <c r="L298" i="4"/>
  <c r="N289" i="4"/>
  <c r="M289" i="4"/>
  <c r="L289" i="4"/>
  <c r="L280" i="4"/>
  <c r="M280" i="4"/>
  <c r="N280" i="4"/>
  <c r="N271" i="4"/>
  <c r="M271" i="4"/>
  <c r="L271" i="4"/>
  <c r="N262" i="4"/>
  <c r="M262" i="4"/>
  <c r="L262" i="4"/>
  <c r="L253" i="4"/>
  <c r="N253" i="4"/>
  <c r="M253" i="4"/>
  <c r="N244" i="4"/>
  <c r="M244" i="4"/>
  <c r="L244" i="4"/>
  <c r="M235" i="4"/>
  <c r="L235" i="4"/>
  <c r="N235" i="4"/>
  <c r="N226" i="4"/>
  <c r="M226" i="4"/>
  <c r="L226" i="4"/>
  <c r="N432" i="4"/>
  <c r="M432" i="4"/>
  <c r="L432" i="4"/>
  <c r="N423" i="4"/>
  <c r="M423" i="4"/>
  <c r="L423" i="4"/>
  <c r="L414" i="4"/>
  <c r="M414" i="4"/>
  <c r="N414" i="4"/>
  <c r="N405" i="4"/>
  <c r="M405" i="4"/>
  <c r="L405" i="4"/>
  <c r="N396" i="4"/>
  <c r="M396" i="4"/>
  <c r="L396" i="4"/>
  <c r="L387" i="4"/>
  <c r="N387" i="4"/>
  <c r="M387" i="4"/>
  <c r="N378" i="4"/>
  <c r="M378" i="4"/>
  <c r="L378" i="4"/>
  <c r="M369" i="4"/>
  <c r="L369" i="4"/>
  <c r="N369" i="4"/>
  <c r="N360" i="4"/>
  <c r="M360" i="4"/>
  <c r="L360" i="4"/>
  <c r="N351" i="4"/>
  <c r="M351" i="4"/>
  <c r="L351" i="4"/>
  <c r="L342" i="4"/>
  <c r="M342" i="4"/>
  <c r="N342" i="4"/>
  <c r="N333" i="4"/>
  <c r="M333" i="4"/>
  <c r="L333" i="4"/>
  <c r="N324" i="4"/>
  <c r="M324" i="4"/>
  <c r="L324" i="4"/>
  <c r="N315" i="4"/>
  <c r="L315" i="4"/>
  <c r="M315" i="4"/>
  <c r="N306" i="4"/>
  <c r="M306" i="4"/>
  <c r="L306" i="4"/>
  <c r="M297" i="4"/>
  <c r="L297" i="4"/>
  <c r="N297" i="4"/>
  <c r="N288" i="4"/>
  <c r="M288" i="4"/>
  <c r="L288" i="4"/>
  <c r="N279" i="4"/>
  <c r="M279" i="4"/>
  <c r="L279" i="4"/>
  <c r="L270" i="4"/>
  <c r="M270" i="4"/>
  <c r="N270" i="4"/>
  <c r="N261" i="4"/>
  <c r="M261" i="4"/>
  <c r="L261" i="4"/>
  <c r="N252" i="4"/>
  <c r="M252" i="4"/>
  <c r="L252" i="4"/>
  <c r="L243" i="4"/>
  <c r="N243" i="4"/>
  <c r="M243" i="4"/>
  <c r="N234" i="4"/>
  <c r="M234" i="4"/>
  <c r="L234" i="4"/>
  <c r="M225" i="4"/>
  <c r="L225" i="4"/>
  <c r="N225" i="4"/>
  <c r="L382" i="4"/>
  <c r="M382" i="4"/>
  <c r="N382" i="4"/>
  <c r="N436" i="4"/>
  <c r="M436" i="4"/>
  <c r="L436" i="4"/>
  <c r="N418" i="4"/>
  <c r="M418" i="4"/>
  <c r="L418" i="4"/>
  <c r="N400" i="4"/>
  <c r="M400" i="4"/>
  <c r="L400" i="4"/>
  <c r="N373" i="4"/>
  <c r="M373" i="4"/>
  <c r="L373" i="4"/>
  <c r="N355" i="4"/>
  <c r="M355" i="4"/>
  <c r="L355" i="4"/>
  <c r="M337" i="4"/>
  <c r="L337" i="4"/>
  <c r="N337" i="4"/>
  <c r="L310" i="4"/>
  <c r="N310" i="4"/>
  <c r="M310" i="4"/>
  <c r="N292" i="4"/>
  <c r="M292" i="4"/>
  <c r="L292" i="4"/>
  <c r="N274" i="4"/>
  <c r="M274" i="4"/>
  <c r="L274" i="4"/>
  <c r="N247" i="4"/>
  <c r="M247" i="4"/>
  <c r="L247" i="4"/>
  <c r="N229" i="4"/>
  <c r="M229" i="4"/>
  <c r="L229" i="4"/>
  <c r="N438" i="4"/>
  <c r="M438" i="4"/>
  <c r="L438" i="4"/>
  <c r="M429" i="4"/>
  <c r="L429" i="4"/>
  <c r="N429" i="4"/>
  <c r="N420" i="4"/>
  <c r="M420" i="4"/>
  <c r="L420" i="4"/>
  <c r="N411" i="4"/>
  <c r="M411" i="4"/>
  <c r="L411" i="4"/>
  <c r="L402" i="4"/>
  <c r="M402" i="4"/>
  <c r="N402" i="4"/>
  <c r="N393" i="4"/>
  <c r="M393" i="4"/>
  <c r="L393" i="4"/>
  <c r="N384" i="4"/>
  <c r="M384" i="4"/>
  <c r="L384" i="4"/>
  <c r="L375" i="4"/>
  <c r="N375" i="4"/>
  <c r="M375" i="4"/>
  <c r="N366" i="4"/>
  <c r="M366" i="4"/>
  <c r="L366" i="4"/>
  <c r="M357" i="4"/>
  <c r="L357" i="4"/>
  <c r="N357" i="4"/>
  <c r="N348" i="4"/>
  <c r="M348" i="4"/>
  <c r="L348" i="4"/>
  <c r="N339" i="4"/>
  <c r="M339" i="4"/>
  <c r="L339" i="4"/>
  <c r="L330" i="4"/>
  <c r="M330" i="4"/>
  <c r="N330" i="4"/>
  <c r="N321" i="4"/>
  <c r="M321" i="4"/>
  <c r="L321" i="4"/>
  <c r="N312" i="4"/>
  <c r="M312" i="4"/>
  <c r="L312" i="4"/>
  <c r="L303" i="4"/>
  <c r="N303" i="4"/>
  <c r="M303" i="4"/>
  <c r="N294" i="4"/>
  <c r="M294" i="4"/>
  <c r="L294" i="4"/>
  <c r="M285" i="4"/>
  <c r="L285" i="4"/>
  <c r="N285" i="4"/>
  <c r="N276" i="4"/>
  <c r="M276" i="4"/>
  <c r="L276" i="4"/>
  <c r="N267" i="4"/>
  <c r="M267" i="4"/>
  <c r="L267" i="4"/>
  <c r="L258" i="4"/>
  <c r="M258" i="4"/>
  <c r="N258" i="4"/>
  <c r="N249" i="4"/>
  <c r="M249" i="4"/>
  <c r="L249" i="4"/>
  <c r="N240" i="4"/>
  <c r="M240" i="4"/>
  <c r="L240" i="4"/>
  <c r="L231" i="4"/>
  <c r="N231" i="4"/>
  <c r="M231" i="4"/>
  <c r="L437" i="4"/>
  <c r="N437" i="4"/>
  <c r="M437" i="4"/>
  <c r="N428" i="4"/>
  <c r="M428" i="4"/>
  <c r="L428" i="4"/>
  <c r="M419" i="4"/>
  <c r="L419" i="4"/>
  <c r="N419" i="4"/>
  <c r="N410" i="4"/>
  <c r="M410" i="4"/>
  <c r="L410" i="4"/>
  <c r="N401" i="4"/>
  <c r="M401" i="4"/>
  <c r="L401" i="4"/>
  <c r="L392" i="4"/>
  <c r="M392" i="4"/>
  <c r="N392" i="4"/>
  <c r="N383" i="4"/>
  <c r="M383" i="4"/>
  <c r="L383" i="4"/>
  <c r="N374" i="4"/>
  <c r="M374" i="4"/>
  <c r="L374" i="4"/>
  <c r="L365" i="4"/>
  <c r="N365" i="4"/>
  <c r="M365" i="4"/>
  <c r="N356" i="4"/>
  <c r="M356" i="4"/>
  <c r="L356" i="4"/>
  <c r="M347" i="4"/>
  <c r="L347" i="4"/>
  <c r="N347" i="4"/>
  <c r="N338" i="4"/>
  <c r="M338" i="4"/>
  <c r="L338" i="4"/>
  <c r="N329" i="4"/>
  <c r="M329" i="4"/>
  <c r="L329" i="4"/>
  <c r="L320" i="4"/>
  <c r="M320" i="4"/>
  <c r="N320" i="4"/>
  <c r="N311" i="4"/>
  <c r="M311" i="4"/>
  <c r="L311" i="4"/>
  <c r="N302" i="4"/>
  <c r="M302" i="4"/>
  <c r="L302" i="4"/>
  <c r="N293" i="4"/>
  <c r="M293" i="4"/>
  <c r="L293" i="4"/>
  <c r="N284" i="4"/>
  <c r="M284" i="4"/>
  <c r="L284" i="4"/>
  <c r="M275" i="4"/>
  <c r="L275" i="4"/>
  <c r="N275" i="4"/>
  <c r="N266" i="4"/>
  <c r="M266" i="4"/>
  <c r="L266" i="4"/>
  <c r="N257" i="4"/>
  <c r="M257" i="4"/>
  <c r="L257" i="4"/>
  <c r="L248" i="4"/>
  <c r="M248" i="4"/>
  <c r="N248" i="4"/>
  <c r="N239" i="4"/>
  <c r="M239" i="4"/>
  <c r="L239" i="4"/>
  <c r="N230" i="4"/>
  <c r="M230" i="4"/>
  <c r="L230" i="4"/>
  <c r="N202" i="4"/>
  <c r="M202" i="4"/>
  <c r="L202" i="4"/>
  <c r="L157" i="4"/>
  <c r="N157" i="4"/>
  <c r="M157" i="4"/>
  <c r="N201" i="4"/>
  <c r="M201" i="4"/>
  <c r="L201" i="4"/>
  <c r="N165" i="4"/>
  <c r="M165" i="4"/>
  <c r="L165" i="4"/>
  <c r="L218" i="4"/>
  <c r="N218" i="4"/>
  <c r="M218" i="4"/>
  <c r="N209" i="4"/>
  <c r="L209" i="4"/>
  <c r="M209" i="4"/>
  <c r="N200" i="4"/>
  <c r="M200" i="4"/>
  <c r="L200" i="4"/>
  <c r="N191" i="4"/>
  <c r="M191" i="4"/>
  <c r="L191" i="4"/>
  <c r="N182" i="4"/>
  <c r="M182" i="4"/>
  <c r="L182" i="4"/>
  <c r="M173" i="4"/>
  <c r="L173" i="4"/>
  <c r="N173" i="4"/>
  <c r="N164" i="4"/>
  <c r="M164" i="4"/>
  <c r="L164" i="4"/>
  <c r="N155" i="4"/>
  <c r="M155" i="4"/>
  <c r="L155" i="4"/>
  <c r="M193" i="4"/>
  <c r="L193" i="4"/>
  <c r="N193" i="4"/>
  <c r="L166" i="4"/>
  <c r="N166" i="4"/>
  <c r="M166" i="4"/>
  <c r="N192" i="4"/>
  <c r="M192" i="4"/>
  <c r="L192" i="4"/>
  <c r="L156" i="4"/>
  <c r="N156" i="4"/>
  <c r="M156" i="4"/>
  <c r="N217" i="4"/>
  <c r="M217" i="4"/>
  <c r="L217" i="4"/>
  <c r="L208" i="4"/>
  <c r="N208" i="4"/>
  <c r="M208" i="4"/>
  <c r="N199" i="4"/>
  <c r="M199" i="4"/>
  <c r="L199" i="4"/>
  <c r="N190" i="4"/>
  <c r="M190" i="4"/>
  <c r="L190" i="4"/>
  <c r="N181" i="4"/>
  <c r="M181" i="4"/>
  <c r="L181" i="4"/>
  <c r="N172" i="4"/>
  <c r="M172" i="4"/>
  <c r="L172" i="4"/>
  <c r="M163" i="4"/>
  <c r="L163" i="4"/>
  <c r="N163" i="4"/>
  <c r="N154" i="4"/>
  <c r="L154" i="4"/>
  <c r="M154" i="4"/>
  <c r="M216" i="4"/>
  <c r="N216" i="4"/>
  <c r="L216" i="4"/>
  <c r="N207" i="4"/>
  <c r="M207" i="4"/>
  <c r="L207" i="4"/>
  <c r="L198" i="4"/>
  <c r="N198" i="4"/>
  <c r="M198" i="4"/>
  <c r="N189" i="4"/>
  <c r="M189" i="4"/>
  <c r="L189" i="4"/>
  <c r="N180" i="4"/>
  <c r="M180" i="4"/>
  <c r="L180" i="4"/>
  <c r="M171" i="4"/>
  <c r="N171" i="4"/>
  <c r="L171" i="4"/>
  <c r="N162" i="4"/>
  <c r="M162" i="4"/>
  <c r="L162" i="4"/>
  <c r="M153" i="4"/>
  <c r="L153" i="4"/>
  <c r="N153" i="4"/>
  <c r="N211" i="4"/>
  <c r="M211" i="4"/>
  <c r="L211" i="4"/>
  <c r="N184" i="4"/>
  <c r="M184" i="4"/>
  <c r="L184" i="4"/>
  <c r="L219" i="4"/>
  <c r="N219" i="4"/>
  <c r="M219" i="4"/>
  <c r="M174" i="4"/>
  <c r="N174" i="4"/>
  <c r="L174" i="4"/>
  <c r="N222" i="4"/>
  <c r="M222" i="4"/>
  <c r="L222" i="4"/>
  <c r="M213" i="4"/>
  <c r="L213" i="4"/>
  <c r="N213" i="4"/>
  <c r="N204" i="4"/>
  <c r="L204" i="4"/>
  <c r="M204" i="4"/>
  <c r="N195" i="4"/>
  <c r="M195" i="4"/>
  <c r="L195" i="4"/>
  <c r="L186" i="4"/>
  <c r="N186" i="4"/>
  <c r="M186" i="4"/>
  <c r="N177" i="4"/>
  <c r="M177" i="4"/>
  <c r="L177" i="4"/>
  <c r="N168" i="4"/>
  <c r="M168" i="4"/>
  <c r="L168" i="4"/>
  <c r="N159" i="4"/>
  <c r="M159" i="4"/>
  <c r="L159" i="4"/>
  <c r="N220" i="4"/>
  <c r="M220" i="4"/>
  <c r="L220" i="4"/>
  <c r="N175" i="4"/>
  <c r="M175" i="4"/>
  <c r="L175" i="4"/>
  <c r="N210" i="4"/>
  <c r="M210" i="4"/>
  <c r="L210" i="4"/>
  <c r="M183" i="4"/>
  <c r="L183" i="4"/>
  <c r="N183" i="4"/>
  <c r="M221" i="4"/>
  <c r="L221" i="4"/>
  <c r="N221" i="4"/>
  <c r="N212" i="4"/>
  <c r="M212" i="4"/>
  <c r="L212" i="4"/>
  <c r="M203" i="4"/>
  <c r="L203" i="4"/>
  <c r="N203" i="4"/>
  <c r="M194" i="4"/>
  <c r="N194" i="4"/>
  <c r="L194" i="4"/>
  <c r="N185" i="4"/>
  <c r="M185" i="4"/>
  <c r="L185" i="4"/>
  <c r="L176" i="4"/>
  <c r="N176" i="4"/>
  <c r="M176" i="4"/>
  <c r="L167" i="4"/>
  <c r="N167" i="4"/>
  <c r="M167" i="4"/>
  <c r="N158" i="4"/>
  <c r="M158" i="4"/>
  <c r="L158" i="4"/>
  <c r="N148" i="4"/>
  <c r="M148" i="4"/>
  <c r="L148" i="4"/>
  <c r="L139" i="4"/>
  <c r="N139" i="4"/>
  <c r="M139" i="4"/>
  <c r="N130" i="4"/>
  <c r="M130" i="4"/>
  <c r="L130" i="4"/>
  <c r="M121" i="4"/>
  <c r="L121" i="4"/>
  <c r="N121" i="4"/>
  <c r="N112" i="4"/>
  <c r="M112" i="4"/>
  <c r="L112" i="4"/>
  <c r="N103" i="4"/>
  <c r="M103" i="4"/>
  <c r="L103" i="4"/>
  <c r="L94" i="4"/>
  <c r="M94" i="4"/>
  <c r="N94" i="4"/>
  <c r="N85" i="4"/>
  <c r="M85" i="4"/>
  <c r="L85" i="4"/>
  <c r="N147" i="4"/>
  <c r="M147" i="4"/>
  <c r="L147" i="4"/>
  <c r="N138" i="4"/>
  <c r="M138" i="4"/>
  <c r="L138" i="4"/>
  <c r="L129" i="4"/>
  <c r="N129" i="4"/>
  <c r="M129" i="4"/>
  <c r="N120" i="4"/>
  <c r="M120" i="4"/>
  <c r="L120" i="4"/>
  <c r="M111" i="4"/>
  <c r="L111" i="4"/>
  <c r="N111" i="4"/>
  <c r="N102" i="4"/>
  <c r="M102" i="4"/>
  <c r="L102" i="4"/>
  <c r="N93" i="4"/>
  <c r="M93" i="4"/>
  <c r="L93" i="4"/>
  <c r="L84" i="4"/>
  <c r="M84" i="4"/>
  <c r="N84" i="4"/>
  <c r="N137" i="4"/>
  <c r="M137" i="4"/>
  <c r="L137" i="4"/>
  <c r="L119" i="4"/>
  <c r="N119" i="4"/>
  <c r="M119" i="4"/>
  <c r="M101" i="4"/>
  <c r="N101" i="4"/>
  <c r="L101" i="4"/>
  <c r="N92" i="4"/>
  <c r="M92" i="4"/>
  <c r="L92" i="4"/>
  <c r="N145" i="4"/>
  <c r="M145" i="4"/>
  <c r="L145" i="4"/>
  <c r="L136" i="4"/>
  <c r="M136" i="4"/>
  <c r="N136" i="4"/>
  <c r="N127" i="4"/>
  <c r="M127" i="4"/>
  <c r="L127" i="4"/>
  <c r="N118" i="4"/>
  <c r="M118" i="4"/>
  <c r="L118" i="4"/>
  <c r="L109" i="4"/>
  <c r="N109" i="4"/>
  <c r="M109" i="4"/>
  <c r="N100" i="4"/>
  <c r="M100" i="4"/>
  <c r="L100" i="4"/>
  <c r="M91" i="4"/>
  <c r="L91" i="4"/>
  <c r="N91" i="4"/>
  <c r="N82" i="4"/>
  <c r="M82" i="4"/>
  <c r="L82" i="4"/>
  <c r="N144" i="4"/>
  <c r="M144" i="4"/>
  <c r="L144" i="4"/>
  <c r="N135" i="4"/>
  <c r="M135" i="4"/>
  <c r="L135" i="4"/>
  <c r="L126" i="4"/>
  <c r="M126" i="4"/>
  <c r="N126" i="4"/>
  <c r="N117" i="4"/>
  <c r="M117" i="4"/>
  <c r="L117" i="4"/>
  <c r="N108" i="4"/>
  <c r="M108" i="4"/>
  <c r="L108" i="4"/>
  <c r="L99" i="4"/>
  <c r="N99" i="4"/>
  <c r="M99" i="4"/>
  <c r="N90" i="4"/>
  <c r="M90" i="4"/>
  <c r="L90" i="4"/>
  <c r="M81" i="4"/>
  <c r="L81" i="4"/>
  <c r="N81" i="4"/>
  <c r="N150" i="4"/>
  <c r="M150" i="4"/>
  <c r="L150" i="4"/>
  <c r="M141" i="4"/>
  <c r="L141" i="4"/>
  <c r="N141" i="4"/>
  <c r="N132" i="4"/>
  <c r="M132" i="4"/>
  <c r="L132" i="4"/>
  <c r="N123" i="4"/>
  <c r="M123" i="4"/>
  <c r="L123" i="4"/>
  <c r="L114" i="4"/>
  <c r="M114" i="4"/>
  <c r="N114" i="4"/>
  <c r="N105" i="4"/>
  <c r="M105" i="4"/>
  <c r="L105" i="4"/>
  <c r="N96" i="4"/>
  <c r="M96" i="4"/>
  <c r="L96" i="4"/>
  <c r="L87" i="4"/>
  <c r="N87" i="4"/>
  <c r="M87" i="4"/>
  <c r="L146" i="4"/>
  <c r="M146" i="4"/>
  <c r="N146" i="4"/>
  <c r="N128" i="4"/>
  <c r="M128" i="4"/>
  <c r="L128" i="4"/>
  <c r="N110" i="4"/>
  <c r="M110" i="4"/>
  <c r="L110" i="4"/>
  <c r="N83" i="4"/>
  <c r="M83" i="4"/>
  <c r="L83" i="4"/>
  <c r="L149" i="4"/>
  <c r="N149" i="4"/>
  <c r="M149" i="4"/>
  <c r="N140" i="4"/>
  <c r="M140" i="4"/>
  <c r="L140" i="4"/>
  <c r="M131" i="4"/>
  <c r="L131" i="4"/>
  <c r="N131" i="4"/>
  <c r="N122" i="4"/>
  <c r="M122" i="4"/>
  <c r="L122" i="4"/>
  <c r="N113" i="4"/>
  <c r="M113" i="4"/>
  <c r="L113" i="4"/>
  <c r="L104" i="4"/>
  <c r="M104" i="4"/>
  <c r="N104" i="4"/>
  <c r="N95" i="4"/>
  <c r="M95" i="4"/>
  <c r="L95" i="4"/>
  <c r="N86" i="4"/>
  <c r="M86" i="4"/>
  <c r="L86" i="4"/>
  <c r="N75" i="4"/>
  <c r="M75" i="4"/>
  <c r="L75" i="4"/>
  <c r="N66" i="4"/>
  <c r="M66" i="4"/>
  <c r="L66" i="4"/>
  <c r="L57" i="4"/>
  <c r="N57" i="4"/>
  <c r="M57" i="4"/>
  <c r="N48" i="4"/>
  <c r="M48" i="4"/>
  <c r="L48" i="4"/>
  <c r="N76" i="4"/>
  <c r="M76" i="4"/>
  <c r="L76" i="4"/>
  <c r="L74" i="4"/>
  <c r="M74" i="4"/>
  <c r="N74" i="4"/>
  <c r="N65" i="4"/>
  <c r="L65" i="4"/>
  <c r="M65" i="4"/>
  <c r="N56" i="4"/>
  <c r="M56" i="4"/>
  <c r="L56" i="4"/>
  <c r="N47" i="4"/>
  <c r="M47" i="4"/>
  <c r="L47" i="4"/>
  <c r="N58" i="4"/>
  <c r="M58" i="4"/>
  <c r="L58" i="4"/>
  <c r="N73" i="4"/>
  <c r="M73" i="4"/>
  <c r="L73" i="4"/>
  <c r="L64" i="4"/>
  <c r="M64" i="4"/>
  <c r="N64" i="4"/>
  <c r="N55" i="4"/>
  <c r="M55" i="4"/>
  <c r="L55" i="4"/>
  <c r="N46" i="4"/>
  <c r="M46" i="4"/>
  <c r="L46" i="4"/>
  <c r="N72" i="4"/>
  <c r="M72" i="4"/>
  <c r="L72" i="4"/>
  <c r="N63" i="4"/>
  <c r="M63" i="4"/>
  <c r="L63" i="4"/>
  <c r="L54" i="4"/>
  <c r="M54" i="4"/>
  <c r="N54" i="4"/>
  <c r="N45" i="4"/>
  <c r="M45" i="4"/>
  <c r="L45" i="4"/>
  <c r="M49" i="4"/>
  <c r="L49" i="4"/>
  <c r="N49" i="4"/>
  <c r="N78" i="4"/>
  <c r="M78" i="4"/>
  <c r="L78" i="4"/>
  <c r="M69" i="4"/>
  <c r="L69" i="4"/>
  <c r="N69" i="4"/>
  <c r="M60" i="4"/>
  <c r="N60" i="4"/>
  <c r="L60" i="4"/>
  <c r="N51" i="4"/>
  <c r="M51" i="4"/>
  <c r="L51" i="4"/>
  <c r="L67" i="4"/>
  <c r="N67" i="4"/>
  <c r="M67" i="4"/>
  <c r="N77" i="4"/>
  <c r="M77" i="4"/>
  <c r="L77" i="4"/>
  <c r="N68" i="4"/>
  <c r="M68" i="4"/>
  <c r="L68" i="4"/>
  <c r="M59" i="4"/>
  <c r="L59" i="4"/>
  <c r="N59" i="4"/>
  <c r="M50" i="4"/>
  <c r="N50" i="4"/>
  <c r="L50" i="4"/>
  <c r="N40" i="4"/>
  <c r="M40" i="4"/>
  <c r="L40" i="4"/>
  <c r="N31" i="4"/>
  <c r="M31" i="4"/>
  <c r="L31" i="4"/>
  <c r="M39" i="4"/>
  <c r="L39" i="4"/>
  <c r="N39" i="4"/>
  <c r="L30" i="4"/>
  <c r="N30" i="4"/>
  <c r="M30" i="4"/>
  <c r="M29" i="4"/>
  <c r="L29" i="4"/>
  <c r="N29" i="4"/>
  <c r="M37" i="4"/>
  <c r="L37" i="4"/>
  <c r="N37" i="4"/>
  <c r="N28" i="4"/>
  <c r="M28" i="4"/>
  <c r="L28" i="4"/>
  <c r="N38" i="4"/>
  <c r="M38" i="4"/>
  <c r="L38" i="4"/>
  <c r="N36" i="4"/>
  <c r="M36" i="4"/>
  <c r="L36" i="4"/>
  <c r="M27" i="4"/>
  <c r="L27" i="4"/>
  <c r="N27" i="4"/>
  <c r="L42" i="4"/>
  <c r="M42" i="4"/>
  <c r="N42" i="4"/>
  <c r="N33" i="4"/>
  <c r="L33" i="4"/>
  <c r="M33" i="4"/>
  <c r="N41" i="4"/>
  <c r="M41" i="4"/>
  <c r="L41" i="4"/>
  <c r="L32" i="4"/>
  <c r="N32" i="4"/>
  <c r="M32" i="4"/>
  <c r="K848" i="4"/>
  <c r="H848" i="4"/>
  <c r="I848" i="4"/>
  <c r="J848" i="4"/>
  <c r="H849" i="4"/>
  <c r="K849" i="4"/>
  <c r="I624" i="4"/>
  <c r="J623" i="4"/>
  <c r="J839" i="4"/>
  <c r="I840" i="4"/>
  <c r="J837" i="4"/>
  <c r="I849" i="4"/>
  <c r="H624" i="4"/>
  <c r="I623" i="4"/>
  <c r="I839" i="4"/>
  <c r="K840" i="4"/>
  <c r="I837" i="4"/>
  <c r="H622" i="4"/>
  <c r="I846" i="4"/>
  <c r="J624" i="4"/>
  <c r="H623" i="4"/>
  <c r="H839" i="4"/>
  <c r="J840" i="4"/>
  <c r="H837" i="4"/>
  <c r="J847" i="4"/>
  <c r="J838" i="4"/>
  <c r="K622" i="4"/>
  <c r="H847" i="4"/>
  <c r="I838" i="4"/>
  <c r="K846" i="4"/>
  <c r="I622" i="4"/>
  <c r="K847" i="4"/>
  <c r="K838" i="4"/>
  <c r="J846" i="4"/>
  <c r="J849" i="4"/>
  <c r="J622" i="4"/>
  <c r="I847" i="4"/>
  <c r="H838" i="4"/>
  <c r="H846" i="4"/>
  <c r="K624" i="4"/>
  <c r="K623" i="4"/>
  <c r="K839" i="4"/>
  <c r="H840" i="4"/>
  <c r="K837" i="4"/>
  <c r="K642" i="4"/>
  <c r="I785" i="4"/>
  <c r="J775" i="4"/>
  <c r="J783" i="4"/>
  <c r="J784" i="4"/>
  <c r="K729" i="4"/>
  <c r="K747" i="4"/>
  <c r="H712" i="4"/>
  <c r="K723" i="4"/>
  <c r="K703" i="4"/>
  <c r="K704" i="4"/>
  <c r="K705" i="4"/>
  <c r="H714" i="4"/>
  <c r="K741" i="4"/>
  <c r="H768" i="4"/>
  <c r="H721" i="4"/>
  <c r="K758" i="4"/>
  <c r="K765" i="4"/>
  <c r="K749" i="4"/>
  <c r="K702" i="4"/>
  <c r="K720" i="4"/>
  <c r="J631" i="4"/>
  <c r="J641" i="4"/>
  <c r="J642" i="4"/>
  <c r="J785" i="4"/>
  <c r="I775" i="4"/>
  <c r="I783" i="4"/>
  <c r="I784" i="4"/>
  <c r="J729" i="4"/>
  <c r="J747" i="4"/>
  <c r="K712" i="4"/>
  <c r="J723" i="4"/>
  <c r="J703" i="4"/>
  <c r="J704" i="4"/>
  <c r="J705" i="4"/>
  <c r="K714" i="4"/>
  <c r="H741" i="4"/>
  <c r="K768" i="4"/>
  <c r="K721" i="4"/>
  <c r="J758" i="4"/>
  <c r="J765" i="4"/>
  <c r="J749" i="4"/>
  <c r="J702" i="4"/>
  <c r="J720" i="4"/>
  <c r="H631" i="4"/>
  <c r="H641" i="4"/>
  <c r="H642" i="4"/>
  <c r="K785" i="4"/>
  <c r="K775" i="4"/>
  <c r="K783" i="4"/>
  <c r="H784" i="4"/>
  <c r="I729" i="4"/>
  <c r="I747" i="4"/>
  <c r="J712" i="4"/>
  <c r="I723" i="4"/>
  <c r="I703" i="4"/>
  <c r="I704" i="4"/>
  <c r="H705" i="4"/>
  <c r="J714" i="4"/>
  <c r="J741" i="4"/>
  <c r="J768" i="4"/>
  <c r="J721" i="4"/>
  <c r="I758" i="4"/>
  <c r="I765" i="4"/>
  <c r="I749" i="4"/>
  <c r="I702" i="4"/>
  <c r="I720" i="4"/>
  <c r="K631" i="4"/>
  <c r="K641" i="4"/>
  <c r="I642" i="4"/>
  <c r="H785" i="4"/>
  <c r="J774" i="4"/>
  <c r="K776" i="4"/>
  <c r="J786" i="4"/>
  <c r="J777" i="4"/>
  <c r="H730" i="4"/>
  <c r="K756" i="4"/>
  <c r="H759" i="4"/>
  <c r="K738" i="4"/>
  <c r="H757" i="4"/>
  <c r="K767" i="4"/>
  <c r="K732" i="4"/>
  <c r="K750" i="4"/>
  <c r="K731" i="4"/>
  <c r="K711" i="4"/>
  <c r="K713" i="4"/>
  <c r="K740" i="4"/>
  <c r="K722" i="4"/>
  <c r="H739" i="4"/>
  <c r="H748" i="4"/>
  <c r="K766" i="4"/>
  <c r="K669" i="4"/>
  <c r="H678" i="4"/>
  <c r="K695" i="4"/>
  <c r="K774" i="4"/>
  <c r="I776" i="4"/>
  <c r="H786" i="4"/>
  <c r="I777" i="4"/>
  <c r="J730" i="4"/>
  <c r="I756" i="4"/>
  <c r="J759" i="4"/>
  <c r="I738" i="4"/>
  <c r="J757" i="4"/>
  <c r="I767" i="4"/>
  <c r="H732" i="4"/>
  <c r="I750" i="4"/>
  <c r="I731" i="4"/>
  <c r="I711" i="4"/>
  <c r="I713" i="4"/>
  <c r="I740" i="4"/>
  <c r="I722" i="4"/>
  <c r="J739" i="4"/>
  <c r="J748" i="4"/>
  <c r="H766" i="4"/>
  <c r="I669" i="4"/>
  <c r="K678" i="4"/>
  <c r="I695" i="4"/>
  <c r="H774" i="4"/>
  <c r="H776" i="4"/>
  <c r="K786" i="4"/>
  <c r="H777" i="4"/>
  <c r="I730" i="4"/>
  <c r="H756" i="4"/>
  <c r="I759" i="4"/>
  <c r="H738" i="4"/>
  <c r="I757" i="4"/>
  <c r="H767" i="4"/>
  <c r="I732" i="4"/>
  <c r="H750" i="4"/>
  <c r="H731" i="4"/>
  <c r="H711" i="4"/>
  <c r="H713" i="4"/>
  <c r="H740" i="4"/>
  <c r="H722" i="4"/>
  <c r="I739" i="4"/>
  <c r="I748" i="4"/>
  <c r="I766" i="4"/>
  <c r="H669" i="4"/>
  <c r="I678" i="4"/>
  <c r="H695" i="4"/>
  <c r="H775" i="4"/>
  <c r="H747" i="4"/>
  <c r="H704" i="4"/>
  <c r="I768" i="4"/>
  <c r="H749" i="4"/>
  <c r="I641" i="4"/>
  <c r="I659" i="4"/>
  <c r="I668" i="4"/>
  <c r="I677" i="4"/>
  <c r="I657" i="4"/>
  <c r="I648" i="4"/>
  <c r="K667" i="4"/>
  <c r="I696" i="4"/>
  <c r="H660" i="4"/>
  <c r="I630" i="4"/>
  <c r="I632" i="4"/>
  <c r="K658" i="4"/>
  <c r="I684" i="4"/>
  <c r="H687" i="4"/>
  <c r="K802" i="4"/>
  <c r="I812" i="4"/>
  <c r="I794" i="4"/>
  <c r="I819" i="4"/>
  <c r="I810" i="4"/>
  <c r="I792" i="4"/>
  <c r="K793" i="4"/>
  <c r="I829" i="4"/>
  <c r="I795" i="4"/>
  <c r="K822" i="4"/>
  <c r="J659" i="4"/>
  <c r="K687" i="4"/>
  <c r="I793" i="4"/>
  <c r="I786" i="4"/>
  <c r="K759" i="4"/>
  <c r="J732" i="4"/>
  <c r="J713" i="4"/>
  <c r="K748" i="4"/>
  <c r="J695" i="4"/>
  <c r="H659" i="4"/>
  <c r="H668" i="4"/>
  <c r="H677" i="4"/>
  <c r="H657" i="4"/>
  <c r="H648" i="4"/>
  <c r="I667" i="4"/>
  <c r="H696" i="4"/>
  <c r="I660" i="4"/>
  <c r="H630" i="4"/>
  <c r="H632" i="4"/>
  <c r="I658" i="4"/>
  <c r="H684" i="4"/>
  <c r="I687" i="4"/>
  <c r="J802" i="4"/>
  <c r="H812" i="4"/>
  <c r="H794" i="4"/>
  <c r="H819" i="4"/>
  <c r="H810" i="4"/>
  <c r="H792" i="4"/>
  <c r="J793" i="4"/>
  <c r="J829" i="4"/>
  <c r="H795" i="4"/>
  <c r="J822" i="4"/>
  <c r="J756" i="4"/>
  <c r="J677" i="4"/>
  <c r="H658" i="4"/>
  <c r="J810" i="4"/>
  <c r="H822" i="4"/>
  <c r="H783" i="4"/>
  <c r="I712" i="4"/>
  <c r="I705" i="4"/>
  <c r="I721" i="4"/>
  <c r="H702" i="4"/>
  <c r="K640" i="4"/>
  <c r="J685" i="4"/>
  <c r="J639" i="4"/>
  <c r="J649" i="4"/>
  <c r="K686" i="4"/>
  <c r="K650" i="4"/>
  <c r="J676" i="4"/>
  <c r="H651" i="4"/>
  <c r="K633" i="4"/>
  <c r="K694" i="4"/>
  <c r="K666" i="4"/>
  <c r="K675" i="4"/>
  <c r="K693" i="4"/>
  <c r="I813" i="4"/>
  <c r="K821" i="4"/>
  <c r="I831" i="4"/>
  <c r="I811" i="4"/>
  <c r="H804" i="4"/>
  <c r="K801" i="4"/>
  <c r="H820" i="4"/>
  <c r="K803" i="4"/>
  <c r="K830" i="4"/>
  <c r="K828" i="4"/>
  <c r="J776" i="4"/>
  <c r="J678" i="4"/>
  <c r="K696" i="4"/>
  <c r="J794" i="4"/>
  <c r="K777" i="4"/>
  <c r="J738" i="4"/>
  <c r="J750" i="4"/>
  <c r="J740" i="4"/>
  <c r="J766" i="4"/>
  <c r="J640" i="4"/>
  <c r="H685" i="4"/>
  <c r="H639" i="4"/>
  <c r="K649" i="4"/>
  <c r="J686" i="4"/>
  <c r="J650" i="4"/>
  <c r="H676" i="4"/>
  <c r="K651" i="4"/>
  <c r="J633" i="4"/>
  <c r="J694" i="4"/>
  <c r="J666" i="4"/>
  <c r="J675" i="4"/>
  <c r="J693" i="4"/>
  <c r="K813" i="4"/>
  <c r="J821" i="4"/>
  <c r="H831" i="4"/>
  <c r="H811" i="4"/>
  <c r="K804" i="4"/>
  <c r="J801" i="4"/>
  <c r="K820" i="4"/>
  <c r="J803" i="4"/>
  <c r="J830" i="4"/>
  <c r="J828" i="4"/>
  <c r="J648" i="4"/>
  <c r="J684" i="4"/>
  <c r="J792" i="4"/>
  <c r="K784" i="4"/>
  <c r="H723" i="4"/>
  <c r="I714" i="4"/>
  <c r="H758" i="4"/>
  <c r="H720" i="4"/>
  <c r="I640" i="4"/>
  <c r="K685" i="4"/>
  <c r="K639" i="4"/>
  <c r="I649" i="4"/>
  <c r="I686" i="4"/>
  <c r="I650" i="4"/>
  <c r="K676" i="4"/>
  <c r="J651" i="4"/>
  <c r="H633" i="4"/>
  <c r="I694" i="4"/>
  <c r="I666" i="4"/>
  <c r="I675" i="4"/>
  <c r="I693" i="4"/>
  <c r="J813" i="4"/>
  <c r="I821" i="4"/>
  <c r="K831" i="4"/>
  <c r="K811" i="4"/>
  <c r="I804" i="4"/>
  <c r="I801" i="4"/>
  <c r="J820" i="4"/>
  <c r="I803" i="4"/>
  <c r="I830" i="4"/>
  <c r="I828" i="4"/>
  <c r="J711" i="4"/>
  <c r="J657" i="4"/>
  <c r="J630" i="4"/>
  <c r="J819" i="4"/>
  <c r="J795" i="4"/>
  <c r="K730" i="4"/>
  <c r="K757" i="4"/>
  <c r="J731" i="4"/>
  <c r="J722" i="4"/>
  <c r="J669" i="4"/>
  <c r="H640" i="4"/>
  <c r="I685" i="4"/>
  <c r="I639" i="4"/>
  <c r="H649" i="4"/>
  <c r="H686" i="4"/>
  <c r="H650" i="4"/>
  <c r="I676" i="4"/>
  <c r="I651" i="4"/>
  <c r="I633" i="4"/>
  <c r="H694" i="4"/>
  <c r="H666" i="4"/>
  <c r="H675" i="4"/>
  <c r="H693" i="4"/>
  <c r="H813" i="4"/>
  <c r="H821" i="4"/>
  <c r="J831" i="4"/>
  <c r="J811" i="4"/>
  <c r="J804" i="4"/>
  <c r="H801" i="4"/>
  <c r="I820" i="4"/>
  <c r="H803" i="4"/>
  <c r="H830" i="4"/>
  <c r="H828" i="4"/>
  <c r="J767" i="4"/>
  <c r="J668" i="4"/>
  <c r="K660" i="4"/>
  <c r="H802" i="4"/>
  <c r="I774" i="4"/>
  <c r="H729" i="4"/>
  <c r="H703" i="4"/>
  <c r="I741" i="4"/>
  <c r="H765" i="4"/>
  <c r="I631" i="4"/>
  <c r="K659" i="4"/>
  <c r="K668" i="4"/>
  <c r="K677" i="4"/>
  <c r="K657" i="4"/>
  <c r="K648" i="4"/>
  <c r="J667" i="4"/>
  <c r="J696" i="4"/>
  <c r="J660" i="4"/>
  <c r="K630" i="4"/>
  <c r="K632" i="4"/>
  <c r="J658" i="4"/>
  <c r="K684" i="4"/>
  <c r="J687" i="4"/>
  <c r="I802" i="4"/>
  <c r="K812" i="4"/>
  <c r="K794" i="4"/>
  <c r="K819" i="4"/>
  <c r="K810" i="4"/>
  <c r="K792" i="4"/>
  <c r="H793" i="4"/>
  <c r="H829" i="4"/>
  <c r="K795" i="4"/>
  <c r="I822" i="4"/>
  <c r="K739" i="4"/>
  <c r="H667" i="4"/>
  <c r="J632" i="4"/>
  <c r="J812" i="4"/>
  <c r="K829" i="4"/>
  <c r="K646" i="4"/>
  <c r="H646" i="4"/>
  <c r="J646" i="4"/>
  <c r="I646" i="4"/>
  <c r="H12" i="4"/>
  <c r="F14" i="11"/>
  <c r="F32" i="11"/>
  <c r="F23" i="11"/>
  <c r="F59" i="11"/>
  <c r="F50" i="11"/>
  <c r="F41" i="11"/>
  <c r="L35" i="4"/>
  <c r="L178" i="4"/>
  <c r="L242" i="4"/>
  <c r="L556" i="4"/>
  <c r="L620" i="4"/>
  <c r="L205" i="4"/>
  <c r="L269" i="4"/>
  <c r="L358" i="4"/>
  <c r="L422" i="4"/>
  <c r="L511" i="4"/>
  <c r="L575" i="4"/>
  <c r="L97" i="4"/>
  <c r="L152" i="4"/>
  <c r="L665" i="4"/>
  <c r="L790" i="4"/>
  <c r="L521" i="4"/>
  <c r="L161" i="4"/>
  <c r="L331" i="4"/>
  <c r="L593" i="4"/>
  <c r="L791" i="4"/>
  <c r="L664" i="4"/>
  <c r="L43" i="4"/>
  <c r="L250" i="4"/>
  <c r="L314" i="4"/>
  <c r="L53" i="4"/>
  <c r="L628" i="4"/>
  <c r="L692" i="4"/>
  <c r="L277" i="4"/>
  <c r="L341" i="4"/>
  <c r="L430" i="4"/>
  <c r="L494" i="4"/>
  <c r="L80" i="4"/>
  <c r="L583" i="4"/>
  <c r="L647" i="4"/>
  <c r="L160" i="4"/>
  <c r="L224" i="4"/>
  <c r="L26" i="4"/>
  <c r="L116" i="4"/>
  <c r="L619" i="4"/>
  <c r="L746" i="4"/>
  <c r="L818" i="4"/>
  <c r="L34" i="4"/>
  <c r="L322" i="4"/>
  <c r="L386" i="4"/>
  <c r="L61" i="4"/>
  <c r="L124" i="4"/>
  <c r="L188" i="4"/>
  <c r="L700" i="4"/>
  <c r="L349" i="4"/>
  <c r="L413" i="4"/>
  <c r="L502" i="4"/>
  <c r="L566" i="4"/>
  <c r="L88" i="4"/>
  <c r="L143" i="4"/>
  <c r="L655" i="4"/>
  <c r="L719" i="4"/>
  <c r="L232" i="4"/>
  <c r="L296" i="4"/>
  <c r="L737" i="4"/>
  <c r="L395" i="4"/>
  <c r="L754" i="4"/>
  <c r="L44" i="4"/>
  <c r="L755" i="4"/>
  <c r="L773" i="4"/>
  <c r="L394" i="4"/>
  <c r="L458" i="4"/>
  <c r="L196" i="4"/>
  <c r="L260" i="4"/>
  <c r="L421" i="4"/>
  <c r="L485" i="4"/>
  <c r="L71" i="4"/>
  <c r="L574" i="4"/>
  <c r="L638" i="4"/>
  <c r="L151" i="4"/>
  <c r="L215" i="4"/>
  <c r="L17" i="4"/>
  <c r="L304" i="4"/>
  <c r="L368" i="4"/>
  <c r="L259" i="4"/>
  <c r="L745" i="4"/>
  <c r="L809" i="4"/>
  <c r="L475" i="4"/>
  <c r="L187" i="4"/>
  <c r="L673" i="4"/>
  <c r="L763" i="4"/>
  <c r="L827" i="4"/>
  <c r="L106" i="4"/>
  <c r="L781" i="4"/>
  <c r="L466" i="4"/>
  <c r="L530" i="4"/>
  <c r="L268" i="4"/>
  <c r="L332" i="4"/>
  <c r="L493" i="4"/>
  <c r="L557" i="4"/>
  <c r="L79" i="4"/>
  <c r="L134" i="4"/>
  <c r="L646" i="4"/>
  <c r="L710" i="4"/>
  <c r="L223" i="4"/>
  <c r="L287" i="4"/>
  <c r="L25" i="4"/>
  <c r="L376" i="4"/>
  <c r="L440" i="4"/>
  <c r="L547" i="4"/>
  <c r="L728" i="4"/>
  <c r="L817" i="4"/>
  <c r="L691" i="4"/>
  <c r="L385" i="4"/>
  <c r="L538" i="4"/>
  <c r="L602" i="4"/>
  <c r="L340" i="4"/>
  <c r="L404" i="4"/>
  <c r="L62" i="4"/>
  <c r="L565" i="4"/>
  <c r="L629" i="4"/>
  <c r="L142" i="4"/>
  <c r="L206" i="4"/>
  <c r="L718" i="4"/>
  <c r="L295" i="4"/>
  <c r="L359" i="4"/>
  <c r="L448" i="4"/>
  <c r="L512" i="4"/>
  <c r="L323" i="4"/>
  <c r="L736" i="4"/>
  <c r="L800" i="4"/>
  <c r="L539" i="4"/>
  <c r="L169" i="4"/>
  <c r="L727" i="4"/>
  <c r="L683" i="4"/>
  <c r="L241" i="4"/>
  <c r="L403" i="4"/>
  <c r="L656" i="4"/>
  <c r="L52" i="4"/>
  <c r="L313" i="4"/>
  <c r="L799" i="4"/>
  <c r="L467" i="4"/>
  <c r="L772" i="4"/>
  <c r="L107" i="4"/>
  <c r="L610" i="4"/>
  <c r="L674" i="4"/>
  <c r="L412" i="4"/>
  <c r="L476" i="4"/>
  <c r="L70" i="4"/>
  <c r="L125" i="4"/>
  <c r="L637" i="4"/>
  <c r="L701" i="4"/>
  <c r="L214" i="4"/>
  <c r="L278" i="4"/>
  <c r="L16" i="4"/>
  <c r="L367" i="4"/>
  <c r="L431" i="4"/>
  <c r="L520" i="4"/>
  <c r="L584" i="4"/>
  <c r="L611" i="4"/>
  <c r="L808" i="4"/>
  <c r="L457" i="4"/>
  <c r="L782" i="4"/>
  <c r="L529" i="4"/>
  <c r="L179" i="4"/>
  <c r="L764" i="4"/>
  <c r="L98" i="4"/>
  <c r="L601" i="4"/>
  <c r="L449" i="4"/>
  <c r="L377" i="4"/>
  <c r="L115" i="4"/>
  <c r="L170" i="4"/>
  <c r="L682" i="4"/>
  <c r="L484" i="4"/>
  <c r="L548" i="4"/>
  <c r="L133" i="4"/>
  <c r="L197" i="4"/>
  <c r="L709" i="4"/>
  <c r="L286" i="4"/>
  <c r="L350" i="4"/>
  <c r="L439" i="4"/>
  <c r="L503" i="4"/>
  <c r="L89" i="4"/>
  <c r="L592" i="4"/>
  <c r="L233" i="4"/>
  <c r="L305" i="4"/>
  <c r="L251" i="4"/>
  <c r="F10" i="11"/>
  <c r="F18" i="11"/>
  <c r="F26" i="11"/>
  <c r="F34" i="11"/>
  <c r="F42" i="11"/>
  <c r="F58" i="11"/>
  <c r="F66" i="11"/>
  <c r="F74" i="11"/>
  <c r="F82" i="11"/>
  <c r="F90" i="11"/>
  <c r="F98" i="11"/>
  <c r="F106" i="11"/>
  <c r="F114" i="11"/>
  <c r="F122" i="11"/>
  <c r="F130" i="11"/>
  <c r="F138" i="11"/>
  <c r="F146" i="11"/>
  <c r="F154" i="11"/>
  <c r="F162" i="11"/>
  <c r="F170" i="11"/>
  <c r="F178" i="11"/>
  <c r="F186" i="11"/>
  <c r="F194" i="11"/>
  <c r="F202" i="11"/>
  <c r="F210" i="11"/>
  <c r="F218" i="11"/>
  <c r="F226" i="11"/>
  <c r="F234" i="11"/>
  <c r="F242" i="11"/>
  <c r="F250" i="11"/>
  <c r="F258" i="11"/>
  <c r="F266" i="11"/>
  <c r="F274" i="11"/>
  <c r="F282" i="11"/>
  <c r="F290" i="11"/>
  <c r="F298" i="11"/>
  <c r="F306" i="11"/>
  <c r="F314" i="11"/>
  <c r="F322" i="11"/>
  <c r="F330" i="11"/>
  <c r="F338" i="11"/>
  <c r="F346" i="11"/>
  <c r="F354" i="11"/>
  <c r="F362" i="11"/>
  <c r="F370" i="11"/>
  <c r="F378" i="11"/>
  <c r="F386" i="11"/>
  <c r="F394" i="11"/>
  <c r="F402" i="11"/>
  <c r="F410" i="11"/>
  <c r="F418" i="11"/>
  <c r="F426" i="11"/>
  <c r="F434" i="11"/>
  <c r="F442" i="11"/>
  <c r="F502" i="11"/>
  <c r="F16" i="11"/>
  <c r="F64" i="11"/>
  <c r="F96" i="11"/>
  <c r="F152" i="11"/>
  <c r="F184" i="11"/>
  <c r="F232" i="11"/>
  <c r="F280" i="11"/>
  <c r="F312" i="11"/>
  <c r="F360" i="11"/>
  <c r="F408" i="11"/>
  <c r="F848" i="11"/>
  <c r="F33" i="11"/>
  <c r="F65" i="11"/>
  <c r="F113" i="11"/>
  <c r="F161" i="11"/>
  <c r="F209" i="11"/>
  <c r="F249" i="11"/>
  <c r="F11" i="11"/>
  <c r="F19" i="11"/>
  <c r="F27" i="11"/>
  <c r="F35" i="11"/>
  <c r="F43" i="11"/>
  <c r="F51" i="11"/>
  <c r="F67" i="11"/>
  <c r="F75" i="11"/>
  <c r="F83" i="11"/>
  <c r="F91" i="11"/>
  <c r="F99" i="11"/>
  <c r="F107" i="11"/>
  <c r="F115" i="11"/>
  <c r="F123" i="11"/>
  <c r="F131" i="11"/>
  <c r="F139" i="11"/>
  <c r="F147" i="11"/>
  <c r="F155" i="11"/>
  <c r="F163" i="11"/>
  <c r="F171" i="11"/>
  <c r="F179" i="11"/>
  <c r="F187" i="11"/>
  <c r="F195" i="11"/>
  <c r="F203" i="11"/>
  <c r="F211" i="11"/>
  <c r="F219" i="11"/>
  <c r="F227" i="11"/>
  <c r="F235" i="11"/>
  <c r="F243" i="11"/>
  <c r="F251" i="11"/>
  <c r="F259" i="11"/>
  <c r="F267" i="11"/>
  <c r="F275" i="11"/>
  <c r="F283" i="11"/>
  <c r="F291" i="11"/>
  <c r="F299" i="11"/>
  <c r="F307" i="11"/>
  <c r="F315" i="11"/>
  <c r="F323" i="11"/>
  <c r="F331" i="11"/>
  <c r="F339" i="11"/>
  <c r="F347" i="11"/>
  <c r="F355" i="11"/>
  <c r="F363" i="11"/>
  <c r="F371" i="11"/>
  <c r="F379" i="11"/>
  <c r="F387" i="11"/>
  <c r="F395" i="11"/>
  <c r="F403" i="11"/>
  <c r="F411" i="11"/>
  <c r="F419" i="11"/>
  <c r="F427" i="11"/>
  <c r="F435" i="11"/>
  <c r="F443" i="11"/>
  <c r="F508" i="11"/>
  <c r="F40" i="11"/>
  <c r="F112" i="11"/>
  <c r="F160" i="11"/>
  <c r="F208" i="11"/>
  <c r="F256" i="11"/>
  <c r="F320" i="11"/>
  <c r="F368" i="11"/>
  <c r="F416" i="11"/>
  <c r="F49" i="11"/>
  <c r="F89" i="11"/>
  <c r="F137" i="11"/>
  <c r="F185" i="11"/>
  <c r="F233" i="11"/>
  <c r="F281" i="11"/>
  <c r="F12" i="11"/>
  <c r="F20" i="11"/>
  <c r="F28" i="11"/>
  <c r="F36" i="11"/>
  <c r="F44" i="11"/>
  <c r="F52" i="11"/>
  <c r="F60" i="11"/>
  <c r="F76" i="11"/>
  <c r="F84" i="11"/>
  <c r="F92" i="11"/>
  <c r="F100" i="11"/>
  <c r="F108" i="11"/>
  <c r="F116" i="11"/>
  <c r="F124" i="11"/>
  <c r="F132" i="11"/>
  <c r="F140" i="11"/>
  <c r="F148" i="11"/>
  <c r="F156" i="11"/>
  <c r="F164" i="11"/>
  <c r="F172" i="11"/>
  <c r="F180" i="11"/>
  <c r="F188" i="11"/>
  <c r="F196" i="11"/>
  <c r="F204" i="11"/>
  <c r="F212" i="11"/>
  <c r="F220" i="11"/>
  <c r="F228" i="11"/>
  <c r="F236" i="11"/>
  <c r="F244" i="11"/>
  <c r="F252" i="11"/>
  <c r="F260" i="11"/>
  <c r="F268" i="11"/>
  <c r="F276" i="11"/>
  <c r="F284" i="11"/>
  <c r="F292" i="11"/>
  <c r="F300" i="11"/>
  <c r="F308" i="11"/>
  <c r="F316" i="11"/>
  <c r="F324" i="11"/>
  <c r="F332" i="11"/>
  <c r="F340" i="11"/>
  <c r="F348" i="11"/>
  <c r="F356" i="11"/>
  <c r="F364" i="11"/>
  <c r="F372" i="11"/>
  <c r="F380" i="11"/>
  <c r="F388" i="11"/>
  <c r="F396" i="11"/>
  <c r="F404" i="11"/>
  <c r="F412" i="11"/>
  <c r="F420" i="11"/>
  <c r="F428" i="11"/>
  <c r="F436" i="11"/>
  <c r="F444" i="11"/>
  <c r="F524" i="11"/>
  <c r="F120" i="11"/>
  <c r="F272" i="11"/>
  <c r="F328" i="11"/>
  <c r="F376" i="11"/>
  <c r="F424" i="11"/>
  <c r="F97" i="11"/>
  <c r="F145" i="11"/>
  <c r="F193" i="11"/>
  <c r="F241" i="11"/>
  <c r="F289" i="11"/>
  <c r="F13" i="11"/>
  <c r="F21" i="11"/>
  <c r="F29" i="11"/>
  <c r="F37" i="11"/>
  <c r="F45" i="11"/>
  <c r="F53" i="11"/>
  <c r="F61" i="11"/>
  <c r="F69" i="11"/>
  <c r="F77" i="11"/>
  <c r="F85" i="11"/>
  <c r="F93" i="11"/>
  <c r="F101" i="11"/>
  <c r="F109" i="11"/>
  <c r="F117" i="11"/>
  <c r="F125" i="11"/>
  <c r="F133" i="11"/>
  <c r="F141" i="11"/>
  <c r="F149" i="11"/>
  <c r="F157" i="11"/>
  <c r="F165" i="11"/>
  <c r="F173" i="11"/>
  <c r="F181" i="11"/>
  <c r="F189" i="11"/>
  <c r="F197" i="11"/>
  <c r="F205" i="11"/>
  <c r="F213" i="11"/>
  <c r="F221" i="11"/>
  <c r="F229" i="11"/>
  <c r="F237" i="11"/>
  <c r="F245" i="11"/>
  <c r="F253" i="11"/>
  <c r="F261" i="11"/>
  <c r="F269" i="11"/>
  <c r="F277" i="11"/>
  <c r="F285" i="11"/>
  <c r="F293" i="11"/>
  <c r="F301" i="11"/>
  <c r="F309" i="11"/>
  <c r="F317" i="11"/>
  <c r="F325" i="11"/>
  <c r="F333" i="11"/>
  <c r="F341" i="11"/>
  <c r="F349" i="11"/>
  <c r="F357" i="11"/>
  <c r="F365" i="11"/>
  <c r="F373" i="11"/>
  <c r="F381" i="11"/>
  <c r="F389" i="11"/>
  <c r="F397" i="11"/>
  <c r="F405" i="11"/>
  <c r="F413" i="11"/>
  <c r="F421" i="11"/>
  <c r="F429" i="11"/>
  <c r="F437" i="11"/>
  <c r="F445" i="11"/>
  <c r="F546" i="11"/>
  <c r="F24" i="11"/>
  <c r="F48" i="11"/>
  <c r="F80" i="11"/>
  <c r="F128" i="11"/>
  <c r="F168" i="11"/>
  <c r="F200" i="11"/>
  <c r="F248" i="11"/>
  <c r="F296" i="11"/>
  <c r="F344" i="11"/>
  <c r="F392" i="11"/>
  <c r="F440" i="11"/>
  <c r="F25" i="11"/>
  <c r="F57" i="11"/>
  <c r="F105" i="11"/>
  <c r="F153" i="11"/>
  <c r="F201" i="11"/>
  <c r="F257" i="11"/>
  <c r="F6" i="11"/>
  <c r="F22" i="11"/>
  <c r="F30" i="11"/>
  <c r="F38" i="11"/>
  <c r="F46" i="11"/>
  <c r="F54" i="11"/>
  <c r="F62" i="11"/>
  <c r="F70" i="11"/>
  <c r="F78" i="11"/>
  <c r="F86" i="11"/>
  <c r="F94" i="11"/>
  <c r="F102" i="11"/>
  <c r="F110" i="11"/>
  <c r="F118" i="11"/>
  <c r="F126" i="11"/>
  <c r="F134" i="11"/>
  <c r="F142" i="11"/>
  <c r="F150" i="11"/>
  <c r="F158" i="11"/>
  <c r="F166" i="11"/>
  <c r="F174" i="11"/>
  <c r="F182" i="11"/>
  <c r="F190" i="11"/>
  <c r="F198" i="11"/>
  <c r="F206" i="11"/>
  <c r="F214" i="11"/>
  <c r="F222" i="11"/>
  <c r="F230" i="11"/>
  <c r="F238" i="11"/>
  <c r="F246" i="11"/>
  <c r="F254" i="11"/>
  <c r="F262" i="11"/>
  <c r="F270" i="11"/>
  <c r="F278" i="11"/>
  <c r="F286" i="11"/>
  <c r="F294" i="11"/>
  <c r="F302" i="11"/>
  <c r="F310" i="11"/>
  <c r="F318" i="11"/>
  <c r="F326" i="11"/>
  <c r="F334" i="11"/>
  <c r="F342" i="11"/>
  <c r="F350" i="11"/>
  <c r="F358" i="11"/>
  <c r="F366" i="11"/>
  <c r="F374" i="11"/>
  <c r="F382" i="11"/>
  <c r="F390" i="11"/>
  <c r="F398" i="11"/>
  <c r="F406" i="11"/>
  <c r="F414" i="11"/>
  <c r="F422" i="11"/>
  <c r="F430" i="11"/>
  <c r="F438" i="11"/>
  <c r="F460" i="11"/>
  <c r="F610" i="11"/>
  <c r="F56" i="11"/>
  <c r="F88" i="11"/>
  <c r="F136" i="11"/>
  <c r="F176" i="11"/>
  <c r="F216" i="11"/>
  <c r="F240" i="11"/>
  <c r="F288" i="11"/>
  <c r="F336" i="11"/>
  <c r="F384" i="11"/>
  <c r="F432" i="11"/>
  <c r="F17" i="11"/>
  <c r="F81" i="11"/>
  <c r="F121" i="11"/>
  <c r="F177" i="11"/>
  <c r="F225" i="11"/>
  <c r="F273" i="11"/>
  <c r="F7" i="11"/>
  <c r="F15" i="11"/>
  <c r="F31" i="11"/>
  <c r="F39" i="11"/>
  <c r="F47" i="11"/>
  <c r="F55" i="11"/>
  <c r="F63" i="11"/>
  <c r="F71" i="11"/>
  <c r="F79" i="11"/>
  <c r="F87" i="11"/>
  <c r="F95" i="11"/>
  <c r="F103" i="11"/>
  <c r="F111" i="11"/>
  <c r="F119" i="11"/>
  <c r="F127" i="11"/>
  <c r="F135" i="11"/>
  <c r="F143" i="11"/>
  <c r="F151" i="11"/>
  <c r="F159" i="11"/>
  <c r="F167" i="11"/>
  <c r="F175" i="11"/>
  <c r="F183" i="11"/>
  <c r="F191" i="11"/>
  <c r="F199" i="11"/>
  <c r="F207" i="11"/>
  <c r="F215" i="11"/>
  <c r="F223" i="11"/>
  <c r="F231" i="11"/>
  <c r="F239" i="11"/>
  <c r="F247" i="11"/>
  <c r="F255" i="11"/>
  <c r="F263" i="11"/>
  <c r="F271" i="11"/>
  <c r="F279" i="11"/>
  <c r="F287" i="11"/>
  <c r="F295" i="11"/>
  <c r="F303" i="11"/>
  <c r="F311" i="11"/>
  <c r="F319" i="11"/>
  <c r="F327" i="11"/>
  <c r="F335" i="11"/>
  <c r="F343" i="11"/>
  <c r="F351" i="11"/>
  <c r="F359" i="11"/>
  <c r="F367" i="11"/>
  <c r="F375" i="11"/>
  <c r="F383" i="11"/>
  <c r="F391" i="11"/>
  <c r="F399" i="11"/>
  <c r="F407" i="11"/>
  <c r="F415" i="11"/>
  <c r="F423" i="11"/>
  <c r="F431" i="11"/>
  <c r="F439" i="11"/>
  <c r="F466" i="11"/>
  <c r="F796" i="11"/>
  <c r="F8" i="11"/>
  <c r="F72" i="11"/>
  <c r="F104" i="11"/>
  <c r="F144" i="11"/>
  <c r="F192" i="11"/>
  <c r="F224" i="11"/>
  <c r="F264" i="11"/>
  <c r="F304" i="11"/>
  <c r="F352" i="11"/>
  <c r="F400" i="11"/>
  <c r="F482" i="11"/>
  <c r="F9" i="11"/>
  <c r="F73" i="11"/>
  <c r="F129" i="11"/>
  <c r="F169" i="11"/>
  <c r="F217" i="11"/>
  <c r="F265" i="11"/>
  <c r="F353" i="11"/>
  <c r="F417" i="11"/>
  <c r="F393" i="11"/>
  <c r="F297" i="11"/>
  <c r="F361" i="11"/>
  <c r="F425" i="11"/>
  <c r="F329" i="11"/>
  <c r="F305" i="11"/>
  <c r="F369" i="11"/>
  <c r="F433" i="11"/>
  <c r="F313" i="11"/>
  <c r="F377" i="11"/>
  <c r="F441" i="11"/>
  <c r="F321" i="11"/>
  <c r="F385" i="11"/>
  <c r="F486" i="11"/>
  <c r="F337" i="11"/>
  <c r="F401" i="11"/>
  <c r="F345" i="11"/>
  <c r="F409" i="11"/>
  <c r="F525" i="11"/>
  <c r="F613" i="11"/>
  <c r="F765" i="11"/>
  <c r="F842" i="11"/>
  <c r="F549" i="11"/>
  <c r="F781" i="11"/>
  <c r="F733" i="11"/>
  <c r="F831" i="11"/>
  <c r="F68" i="11"/>
  <c r="F493" i="11"/>
  <c r="F573" i="11"/>
  <c r="F701" i="11"/>
  <c r="F834" i="11"/>
  <c r="F509" i="11"/>
  <c r="F709" i="11"/>
  <c r="F685" i="11"/>
  <c r="F837" i="11"/>
  <c r="F844" i="11"/>
  <c r="F517" i="11"/>
  <c r="F661" i="11"/>
  <c r="F826" i="11"/>
  <c r="F461" i="11"/>
  <c r="F653" i="11"/>
  <c r="F629" i="11"/>
  <c r="F789" i="11"/>
  <c r="F836" i="11"/>
  <c r="F717" i="11"/>
  <c r="F828" i="11"/>
  <c r="F843" i="11"/>
  <c r="F589" i="11"/>
  <c r="F757" i="11"/>
  <c r="F841" i="11"/>
  <c r="F557" i="11"/>
  <c r="F541" i="11"/>
  <c r="F669" i="11"/>
  <c r="F805" i="11"/>
  <c r="F835" i="11"/>
  <c r="F533" i="11"/>
  <c r="F693" i="11"/>
  <c r="F833" i="11"/>
  <c r="F501" i="11"/>
  <c r="F469" i="11"/>
  <c r="F621" i="11"/>
  <c r="F637" i="11"/>
  <c r="F485" i="11"/>
  <c r="F597" i="11"/>
  <c r="F565" i="11"/>
  <c r="F850" i="11"/>
  <c r="F453" i="11"/>
  <c r="F749" i="11"/>
  <c r="F677" i="11"/>
  <c r="F645" i="11"/>
  <c r="F581" i="11"/>
  <c r="F827" i="11"/>
  <c r="F849" i="11"/>
  <c r="F839" i="11"/>
  <c r="F847" i="11"/>
  <c r="F477" i="11"/>
  <c r="F821" i="11"/>
  <c r="F813" i="11"/>
  <c r="F605" i="11"/>
  <c r="F825" i="11"/>
  <c r="F845" i="11"/>
  <c r="F797" i="11"/>
  <c r="F840" i="11"/>
  <c r="F824" i="11"/>
  <c r="F758" i="11"/>
  <c r="F782" i="11"/>
  <c r="F780" i="11"/>
  <c r="F774" i="11"/>
  <c r="F804" i="11"/>
  <c r="F764" i="11"/>
  <c r="F630" i="11"/>
  <c r="F700" i="11"/>
  <c r="F750" i="11"/>
  <c r="F748" i="11"/>
  <c r="F734" i="11"/>
  <c r="F772" i="11"/>
  <c r="F838" i="11"/>
  <c r="F820" i="11"/>
  <c r="F614" i="11"/>
  <c r="F678" i="11"/>
  <c r="F674" i="11"/>
  <c r="F658" i="11"/>
  <c r="F732" i="11"/>
  <c r="F766" i="11"/>
  <c r="F803" i="11"/>
  <c r="F730" i="11"/>
  <c r="F564" i="11"/>
  <c r="F721" i="11"/>
  <c r="F689" i="11"/>
  <c r="F657" i="11"/>
  <c r="F625" i="11"/>
  <c r="F756" i="11"/>
  <c r="F530" i="11"/>
  <c r="F594" i="11"/>
  <c r="F588" i="11"/>
  <c r="F572" i="11"/>
  <c r="F652" i="11"/>
  <c r="F718" i="11"/>
  <c r="F715" i="11"/>
  <c r="F683" i="11"/>
  <c r="F832" i="11"/>
  <c r="F566" i="11"/>
  <c r="F636" i="11"/>
  <c r="F787" i="11"/>
  <c r="F692" i="11"/>
  <c r="F522" i="11"/>
  <c r="F745" i="11"/>
  <c r="F716" i="11"/>
  <c r="F550" i="11"/>
  <c r="F707" i="11"/>
  <c r="F675" i="11"/>
  <c r="F627" i="11"/>
  <c r="F595" i="11"/>
  <c r="F563" i="11"/>
  <c r="F846" i="11"/>
  <c r="F830" i="11"/>
  <c r="F822" i="11"/>
  <c r="F829" i="11"/>
  <c r="F771" i="11"/>
  <c r="F650" i="11"/>
  <c r="F478" i="11"/>
  <c r="F737" i="11"/>
  <c r="F705" i="11"/>
  <c r="F673" i="11"/>
  <c r="F641" i="11"/>
  <c r="F609" i="11"/>
  <c r="F577" i="11"/>
  <c r="F667" i="11"/>
  <c r="F579" i="11"/>
  <c r="F795" i="11"/>
  <c r="F606" i="11"/>
  <c r="F617" i="11"/>
  <c r="F545" i="11"/>
  <c r="F513" i="11"/>
  <c r="F481" i="11"/>
  <c r="F449" i="11"/>
  <c r="F762" i="11"/>
  <c r="F626" i="11"/>
  <c r="F744" i="11"/>
  <c r="F712" i="11"/>
  <c r="F680" i="11"/>
  <c r="F648" i="11"/>
  <c r="F616" i="11"/>
  <c r="F584" i="11"/>
  <c r="F552" i="11"/>
  <c r="F520" i="11"/>
  <c r="F488" i="11"/>
  <c r="F456" i="11"/>
  <c r="F777" i="11"/>
  <c r="F666" i="11"/>
  <c r="F494" i="11"/>
  <c r="F739" i="11"/>
  <c r="F816" i="11"/>
  <c r="F752" i="11"/>
  <c r="F598" i="11"/>
  <c r="F446" i="11"/>
  <c r="F767" i="11"/>
  <c r="F638" i="11"/>
  <c r="F468" i="11"/>
  <c r="F634" i="11"/>
  <c r="F462" i="11"/>
  <c r="F811" i="11"/>
  <c r="F639" i="11"/>
  <c r="F490" i="11"/>
  <c r="F788" i="11"/>
  <c r="F814" i="11"/>
  <c r="F806" i="11"/>
  <c r="F611" i="11"/>
  <c r="F539" i="11"/>
  <c r="F507" i="11"/>
  <c r="F475" i="11"/>
  <c r="F779" i="11"/>
  <c r="F586" i="11"/>
  <c r="F697" i="11"/>
  <c r="F818" i="11"/>
  <c r="F754" i="11"/>
  <c r="F604" i="11"/>
  <c r="F769" i="11"/>
  <c r="F644" i="11"/>
  <c r="F474" i="11"/>
  <c r="F727" i="11"/>
  <c r="F695" i="11"/>
  <c r="F663" i="11"/>
  <c r="F631" i="11"/>
  <c r="F599" i="11"/>
  <c r="F567" i="11"/>
  <c r="F535" i="11"/>
  <c r="F503" i="11"/>
  <c r="F471" i="11"/>
  <c r="F808" i="11"/>
  <c r="F740" i="11"/>
  <c r="F578" i="11"/>
  <c r="F823" i="11"/>
  <c r="F759" i="11"/>
  <c r="F618" i="11"/>
  <c r="F612" i="11"/>
  <c r="F665" i="11"/>
  <c r="F785" i="11"/>
  <c r="F575" i="11"/>
  <c r="F620" i="11"/>
  <c r="F694" i="11"/>
  <c r="F798" i="11"/>
  <c r="F699" i="11"/>
  <c r="F643" i="11"/>
  <c r="F571" i="11"/>
  <c r="F763" i="11"/>
  <c r="F542" i="11"/>
  <c r="F649" i="11"/>
  <c r="F569" i="11"/>
  <c r="F537" i="11"/>
  <c r="F505" i="11"/>
  <c r="F473" i="11"/>
  <c r="F810" i="11"/>
  <c r="F742" i="11"/>
  <c r="F582" i="11"/>
  <c r="F736" i="11"/>
  <c r="F704" i="11"/>
  <c r="F672" i="11"/>
  <c r="F640" i="11"/>
  <c r="F608" i="11"/>
  <c r="F576" i="11"/>
  <c r="F544" i="11"/>
  <c r="F512" i="11"/>
  <c r="F480" i="11"/>
  <c r="F448" i="11"/>
  <c r="F761" i="11"/>
  <c r="F622" i="11"/>
  <c r="F651" i="11"/>
  <c r="F800" i="11"/>
  <c r="F724" i="11"/>
  <c r="F556" i="11"/>
  <c r="F815" i="11"/>
  <c r="F751" i="11"/>
  <c r="F596" i="11"/>
  <c r="F590" i="11"/>
  <c r="F548" i="11"/>
  <c r="F619" i="11"/>
  <c r="F483" i="11"/>
  <c r="F770" i="11"/>
  <c r="F703" i="11"/>
  <c r="F511" i="11"/>
  <c r="F775" i="11"/>
  <c r="F603" i="11"/>
  <c r="F531" i="11"/>
  <c r="F499" i="11"/>
  <c r="F467" i="11"/>
  <c r="F458" i="11"/>
  <c r="F755" i="11"/>
  <c r="F500" i="11"/>
  <c r="F729" i="11"/>
  <c r="F601" i="11"/>
  <c r="F802" i="11"/>
  <c r="F726" i="11"/>
  <c r="F562" i="11"/>
  <c r="F817" i="11"/>
  <c r="F753" i="11"/>
  <c r="F602" i="11"/>
  <c r="F719" i="11"/>
  <c r="F687" i="11"/>
  <c r="F655" i="11"/>
  <c r="F623" i="11"/>
  <c r="F591" i="11"/>
  <c r="F559" i="11"/>
  <c r="F527" i="11"/>
  <c r="F495" i="11"/>
  <c r="F463" i="11"/>
  <c r="F792" i="11"/>
  <c r="F706" i="11"/>
  <c r="F534" i="11"/>
  <c r="F807" i="11"/>
  <c r="F738" i="11"/>
  <c r="F574" i="11"/>
  <c r="F570" i="11"/>
  <c r="F698" i="11"/>
  <c r="F476" i="11"/>
  <c r="F671" i="11"/>
  <c r="F654" i="11"/>
  <c r="F747" i="11"/>
  <c r="F691" i="11"/>
  <c r="F635" i="11"/>
  <c r="F746" i="11"/>
  <c r="F452" i="11"/>
  <c r="F723" i="11"/>
  <c r="F681" i="11"/>
  <c r="F561" i="11"/>
  <c r="F529" i="11"/>
  <c r="F497" i="11"/>
  <c r="F465" i="11"/>
  <c r="F794" i="11"/>
  <c r="F710" i="11"/>
  <c r="F540" i="11"/>
  <c r="F728" i="11"/>
  <c r="F696" i="11"/>
  <c r="F664" i="11"/>
  <c r="F632" i="11"/>
  <c r="F600" i="11"/>
  <c r="F568" i="11"/>
  <c r="F536" i="11"/>
  <c r="F504" i="11"/>
  <c r="F472" i="11"/>
  <c r="F809" i="11"/>
  <c r="F741" i="11"/>
  <c r="F580" i="11"/>
  <c r="F784" i="11"/>
  <c r="F684" i="11"/>
  <c r="F514" i="11"/>
  <c r="F799" i="11"/>
  <c r="F722" i="11"/>
  <c r="F554" i="11"/>
  <c r="F773" i="11"/>
  <c r="F547" i="11"/>
  <c r="F628" i="11"/>
  <c r="F686" i="11"/>
  <c r="F607" i="11"/>
  <c r="F447" i="11"/>
  <c r="F484" i="11"/>
  <c r="F812" i="11"/>
  <c r="F555" i="11"/>
  <c r="F523" i="11"/>
  <c r="F491" i="11"/>
  <c r="F459" i="11"/>
  <c r="F450" i="11"/>
  <c r="F714" i="11"/>
  <c r="F633" i="11"/>
  <c r="F593" i="11"/>
  <c r="F786" i="11"/>
  <c r="F690" i="11"/>
  <c r="F518" i="11"/>
  <c r="F801" i="11"/>
  <c r="F725" i="11"/>
  <c r="F558" i="11"/>
  <c r="F743" i="11"/>
  <c r="F711" i="11"/>
  <c r="F679" i="11"/>
  <c r="F647" i="11"/>
  <c r="F615" i="11"/>
  <c r="F583" i="11"/>
  <c r="F551" i="11"/>
  <c r="F519" i="11"/>
  <c r="F487" i="11"/>
  <c r="F455" i="11"/>
  <c r="F776" i="11"/>
  <c r="F662" i="11"/>
  <c r="F492" i="11"/>
  <c r="F791" i="11"/>
  <c r="F702" i="11"/>
  <c r="F532" i="11"/>
  <c r="F526" i="11"/>
  <c r="F451" i="11"/>
  <c r="F646" i="11"/>
  <c r="F735" i="11"/>
  <c r="F479" i="11"/>
  <c r="F660" i="11"/>
  <c r="F790" i="11"/>
  <c r="F731" i="11"/>
  <c r="F587" i="11"/>
  <c r="F819" i="11"/>
  <c r="F670" i="11"/>
  <c r="F659" i="11"/>
  <c r="F713" i="11"/>
  <c r="F553" i="11"/>
  <c r="F521" i="11"/>
  <c r="F489" i="11"/>
  <c r="F457" i="11"/>
  <c r="F778" i="11"/>
  <c r="F668" i="11"/>
  <c r="F498" i="11"/>
  <c r="F720" i="11"/>
  <c r="F688" i="11"/>
  <c r="F656" i="11"/>
  <c r="F624" i="11"/>
  <c r="F592" i="11"/>
  <c r="F560" i="11"/>
  <c r="F528" i="11"/>
  <c r="F496" i="11"/>
  <c r="F464" i="11"/>
  <c r="F793" i="11"/>
  <c r="F708" i="11"/>
  <c r="F538" i="11"/>
  <c r="F768" i="11"/>
  <c r="F642" i="11"/>
  <c r="F470" i="11"/>
  <c r="F454" i="11"/>
  <c r="F783" i="11"/>
  <c r="F682" i="11"/>
  <c r="F510" i="11"/>
  <c r="F676" i="11"/>
  <c r="F506" i="11"/>
  <c r="F515" i="11"/>
  <c r="F585" i="11"/>
  <c r="F516" i="11"/>
  <c r="F543" i="11"/>
  <c r="F760" i="11"/>
  <c r="H406" i="4"/>
  <c r="I406" i="4"/>
  <c r="J406" i="4"/>
  <c r="K406" i="4"/>
  <c r="I405" i="4"/>
  <c r="J405" i="4"/>
  <c r="K405" i="4"/>
  <c r="H405" i="4"/>
  <c r="K569" i="4"/>
  <c r="J569" i="4"/>
  <c r="I569" i="4"/>
  <c r="H569" i="4"/>
  <c r="K209" i="4"/>
  <c r="J209" i="4"/>
  <c r="I209" i="4"/>
  <c r="H209" i="4"/>
  <c r="K515" i="4"/>
  <c r="J515" i="4"/>
  <c r="I515" i="4"/>
  <c r="H515" i="4"/>
  <c r="K613" i="4"/>
  <c r="I613" i="4"/>
  <c r="H613" i="4"/>
  <c r="J613" i="4"/>
  <c r="K604" i="4"/>
  <c r="I604" i="4"/>
  <c r="H604" i="4"/>
  <c r="J604" i="4"/>
  <c r="K595" i="4"/>
  <c r="I595" i="4"/>
  <c r="H595" i="4"/>
  <c r="J595" i="4"/>
  <c r="K586" i="4"/>
  <c r="I586" i="4"/>
  <c r="H586" i="4"/>
  <c r="J586" i="4"/>
  <c r="K577" i="4"/>
  <c r="I577" i="4"/>
  <c r="H577" i="4"/>
  <c r="J577" i="4"/>
  <c r="K568" i="4"/>
  <c r="I568" i="4"/>
  <c r="H568" i="4"/>
  <c r="J568" i="4"/>
  <c r="K559" i="4"/>
  <c r="I559" i="4"/>
  <c r="H559" i="4"/>
  <c r="J559" i="4"/>
  <c r="K550" i="4"/>
  <c r="I550" i="4"/>
  <c r="H550" i="4"/>
  <c r="J550" i="4"/>
  <c r="K541" i="4"/>
  <c r="I541" i="4"/>
  <c r="H541" i="4"/>
  <c r="J541" i="4"/>
  <c r="K532" i="4"/>
  <c r="I532" i="4"/>
  <c r="H532" i="4"/>
  <c r="J532" i="4"/>
  <c r="K523" i="4"/>
  <c r="I523" i="4"/>
  <c r="H523" i="4"/>
  <c r="J523" i="4"/>
  <c r="K514" i="4"/>
  <c r="I514" i="4"/>
  <c r="H514" i="4"/>
  <c r="J514" i="4"/>
  <c r="K505" i="4"/>
  <c r="I505" i="4"/>
  <c r="H505" i="4"/>
  <c r="J505" i="4"/>
  <c r="K496" i="4"/>
  <c r="I496" i="4"/>
  <c r="H496" i="4"/>
  <c r="J496" i="4"/>
  <c r="K487" i="4"/>
  <c r="I487" i="4"/>
  <c r="H487" i="4"/>
  <c r="J487" i="4"/>
  <c r="K478" i="4"/>
  <c r="I478" i="4"/>
  <c r="H478" i="4"/>
  <c r="J478" i="4"/>
  <c r="K469" i="4"/>
  <c r="I469" i="4"/>
  <c r="H469" i="4"/>
  <c r="J469" i="4"/>
  <c r="K460" i="4"/>
  <c r="I460" i="4"/>
  <c r="J460" i="4"/>
  <c r="H460" i="4"/>
  <c r="K451" i="4"/>
  <c r="I451" i="4"/>
  <c r="J451" i="4"/>
  <c r="H451" i="4"/>
  <c r="K442" i="4"/>
  <c r="I442" i="4"/>
  <c r="J442" i="4"/>
  <c r="H442" i="4"/>
  <c r="K433" i="4"/>
  <c r="I433" i="4"/>
  <c r="J433" i="4"/>
  <c r="H433" i="4"/>
  <c r="K424" i="4"/>
  <c r="I424" i="4"/>
  <c r="J424" i="4"/>
  <c r="H424" i="4"/>
  <c r="K415" i="4"/>
  <c r="I415" i="4"/>
  <c r="J415" i="4"/>
  <c r="H415" i="4"/>
  <c r="K397" i="4"/>
  <c r="I397" i="4"/>
  <c r="J397" i="4"/>
  <c r="H397" i="4"/>
  <c r="K388" i="4"/>
  <c r="I388" i="4"/>
  <c r="J388" i="4"/>
  <c r="H388" i="4"/>
  <c r="K379" i="4"/>
  <c r="I379" i="4"/>
  <c r="J379" i="4"/>
  <c r="H379" i="4"/>
  <c r="K370" i="4"/>
  <c r="I370" i="4"/>
  <c r="J370" i="4"/>
  <c r="H370" i="4"/>
  <c r="K361" i="4"/>
  <c r="I361" i="4"/>
  <c r="J361" i="4"/>
  <c r="H361" i="4"/>
  <c r="K352" i="4"/>
  <c r="I352" i="4"/>
  <c r="H352" i="4"/>
  <c r="J352" i="4"/>
  <c r="K343" i="4"/>
  <c r="I343" i="4"/>
  <c r="J343" i="4"/>
  <c r="H343" i="4"/>
  <c r="K334" i="4"/>
  <c r="J334" i="4"/>
  <c r="I334" i="4"/>
  <c r="H334" i="4"/>
  <c r="K325" i="4"/>
  <c r="I325" i="4"/>
  <c r="H325" i="4"/>
  <c r="J325" i="4"/>
  <c r="K316" i="4"/>
  <c r="J316" i="4"/>
  <c r="I316" i="4"/>
  <c r="H316" i="4"/>
  <c r="K307" i="4"/>
  <c r="I307" i="4"/>
  <c r="H307" i="4"/>
  <c r="J307" i="4"/>
  <c r="K298" i="4"/>
  <c r="J298" i="4"/>
  <c r="I298" i="4"/>
  <c r="H298" i="4"/>
  <c r="K289" i="4"/>
  <c r="I289" i="4"/>
  <c r="H289" i="4"/>
  <c r="J289" i="4"/>
  <c r="K280" i="4"/>
  <c r="J280" i="4"/>
  <c r="I280" i="4"/>
  <c r="H280" i="4"/>
  <c r="K271" i="4"/>
  <c r="I271" i="4"/>
  <c r="H271" i="4"/>
  <c r="J271" i="4"/>
  <c r="K262" i="4"/>
  <c r="J262" i="4"/>
  <c r="I262" i="4"/>
  <c r="H262" i="4"/>
  <c r="K253" i="4"/>
  <c r="I253" i="4"/>
  <c r="H253" i="4"/>
  <c r="J253" i="4"/>
  <c r="J244" i="4"/>
  <c r="I244" i="4"/>
  <c r="H244" i="4"/>
  <c r="K244" i="4"/>
  <c r="J235" i="4"/>
  <c r="I235" i="4"/>
  <c r="H235" i="4"/>
  <c r="K235" i="4"/>
  <c r="J226" i="4"/>
  <c r="I226" i="4"/>
  <c r="H226" i="4"/>
  <c r="K226" i="4"/>
  <c r="J217" i="4"/>
  <c r="I217" i="4"/>
  <c r="H217" i="4"/>
  <c r="K217" i="4"/>
  <c r="J208" i="4"/>
  <c r="I208" i="4"/>
  <c r="H208" i="4"/>
  <c r="K208" i="4"/>
  <c r="J199" i="4"/>
  <c r="I199" i="4"/>
  <c r="H199" i="4"/>
  <c r="K199" i="4"/>
  <c r="I190" i="4"/>
  <c r="H190" i="4"/>
  <c r="K190" i="4"/>
  <c r="J190" i="4"/>
  <c r="I181" i="4"/>
  <c r="H181" i="4"/>
  <c r="K181" i="4"/>
  <c r="J181" i="4"/>
  <c r="I172" i="4"/>
  <c r="H172" i="4"/>
  <c r="K172" i="4"/>
  <c r="J172" i="4"/>
  <c r="I163" i="4"/>
  <c r="H163" i="4"/>
  <c r="K163" i="4"/>
  <c r="J163" i="4"/>
  <c r="I154" i="4"/>
  <c r="H154" i="4"/>
  <c r="K154" i="4"/>
  <c r="J154" i="4"/>
  <c r="I145" i="4"/>
  <c r="H145" i="4"/>
  <c r="K145" i="4"/>
  <c r="J145" i="4"/>
  <c r="I136" i="4"/>
  <c r="H136" i="4"/>
  <c r="K136" i="4"/>
  <c r="J136" i="4"/>
  <c r="I127" i="4"/>
  <c r="H127" i="4"/>
  <c r="K127" i="4"/>
  <c r="J127" i="4"/>
  <c r="I118" i="4"/>
  <c r="H118" i="4"/>
  <c r="K118" i="4"/>
  <c r="J118" i="4"/>
  <c r="I109" i="4"/>
  <c r="H109" i="4"/>
  <c r="K109" i="4"/>
  <c r="J109" i="4"/>
  <c r="I100" i="4"/>
  <c r="H100" i="4"/>
  <c r="K100" i="4"/>
  <c r="J100" i="4"/>
  <c r="I91" i="4"/>
  <c r="H91" i="4"/>
  <c r="K91" i="4"/>
  <c r="J91" i="4"/>
  <c r="I82" i="4"/>
  <c r="H82" i="4"/>
  <c r="K82" i="4"/>
  <c r="J82" i="4"/>
  <c r="I73" i="4"/>
  <c r="H73" i="4"/>
  <c r="K73" i="4"/>
  <c r="J73" i="4"/>
  <c r="I64" i="4"/>
  <c r="H64" i="4"/>
  <c r="K64" i="4"/>
  <c r="J64" i="4"/>
  <c r="I55" i="4"/>
  <c r="H55" i="4"/>
  <c r="K55" i="4"/>
  <c r="J55" i="4"/>
  <c r="I46" i="4"/>
  <c r="H46" i="4"/>
  <c r="K46" i="4"/>
  <c r="J46" i="4"/>
  <c r="I37" i="4"/>
  <c r="H37" i="4"/>
  <c r="K37" i="4"/>
  <c r="J37" i="4"/>
  <c r="I28" i="4"/>
  <c r="K28" i="4"/>
  <c r="J28" i="4"/>
  <c r="H28" i="4"/>
  <c r="I19" i="4"/>
  <c r="K19" i="4"/>
  <c r="J19" i="4"/>
  <c r="H19" i="4"/>
  <c r="K614" i="4"/>
  <c r="J614" i="4"/>
  <c r="I614" i="4"/>
  <c r="H614" i="4"/>
  <c r="K587" i="4"/>
  <c r="J587" i="4"/>
  <c r="I587" i="4"/>
  <c r="H587" i="4"/>
  <c r="K560" i="4"/>
  <c r="J560" i="4"/>
  <c r="I560" i="4"/>
  <c r="H560" i="4"/>
  <c r="K542" i="4"/>
  <c r="J542" i="4"/>
  <c r="I542" i="4"/>
  <c r="H542" i="4"/>
  <c r="K524" i="4"/>
  <c r="J524" i="4"/>
  <c r="I524" i="4"/>
  <c r="H524" i="4"/>
  <c r="K497" i="4"/>
  <c r="J497" i="4"/>
  <c r="I497" i="4"/>
  <c r="H497" i="4"/>
  <c r="K479" i="4"/>
  <c r="J479" i="4"/>
  <c r="I479" i="4"/>
  <c r="H479" i="4"/>
  <c r="K461" i="4"/>
  <c r="J461" i="4"/>
  <c r="I461" i="4"/>
  <c r="H461" i="4"/>
  <c r="K443" i="4"/>
  <c r="J443" i="4"/>
  <c r="I443" i="4"/>
  <c r="H443" i="4"/>
  <c r="K416" i="4"/>
  <c r="J416" i="4"/>
  <c r="I416" i="4"/>
  <c r="H416" i="4"/>
  <c r="K398" i="4"/>
  <c r="J398" i="4"/>
  <c r="I398" i="4"/>
  <c r="H398" i="4"/>
  <c r="K380" i="4"/>
  <c r="J380" i="4"/>
  <c r="I380" i="4"/>
  <c r="H380" i="4"/>
  <c r="J362" i="4"/>
  <c r="I362" i="4"/>
  <c r="H362" i="4"/>
  <c r="K362" i="4"/>
  <c r="J344" i="4"/>
  <c r="I344" i="4"/>
  <c r="H344" i="4"/>
  <c r="K344" i="4"/>
  <c r="J326" i="4"/>
  <c r="K326" i="4"/>
  <c r="I326" i="4"/>
  <c r="H326" i="4"/>
  <c r="J308" i="4"/>
  <c r="K308" i="4"/>
  <c r="I308" i="4"/>
  <c r="H308" i="4"/>
  <c r="J290" i="4"/>
  <c r="K290" i="4"/>
  <c r="I290" i="4"/>
  <c r="H290" i="4"/>
  <c r="J263" i="4"/>
  <c r="K263" i="4"/>
  <c r="I263" i="4"/>
  <c r="H263" i="4"/>
  <c r="K245" i="4"/>
  <c r="J245" i="4"/>
  <c r="I245" i="4"/>
  <c r="H245" i="4"/>
  <c r="K227" i="4"/>
  <c r="J227" i="4"/>
  <c r="I227" i="4"/>
  <c r="H227" i="4"/>
  <c r="K191" i="4"/>
  <c r="J191" i="4"/>
  <c r="I191" i="4"/>
  <c r="H191" i="4"/>
  <c r="K155" i="4"/>
  <c r="J155" i="4"/>
  <c r="I155" i="4"/>
  <c r="H155" i="4"/>
  <c r="K137" i="4"/>
  <c r="J137" i="4"/>
  <c r="I137" i="4"/>
  <c r="H137" i="4"/>
  <c r="K119" i="4"/>
  <c r="J119" i="4"/>
  <c r="I119" i="4"/>
  <c r="H119" i="4"/>
  <c r="K110" i="4"/>
  <c r="J110" i="4"/>
  <c r="I110" i="4"/>
  <c r="H110" i="4"/>
  <c r="K92" i="4"/>
  <c r="J92" i="4"/>
  <c r="I92" i="4"/>
  <c r="H92" i="4"/>
  <c r="K83" i="4"/>
  <c r="J83" i="4"/>
  <c r="I83" i="4"/>
  <c r="H83" i="4"/>
  <c r="K65" i="4"/>
  <c r="J65" i="4"/>
  <c r="I65" i="4"/>
  <c r="H65" i="4"/>
  <c r="K47" i="4"/>
  <c r="J47" i="4"/>
  <c r="I47" i="4"/>
  <c r="H47" i="4"/>
  <c r="K38" i="4"/>
  <c r="J38" i="4"/>
  <c r="I38" i="4"/>
  <c r="H38" i="4"/>
  <c r="K29" i="4"/>
  <c r="J29" i="4"/>
  <c r="I29" i="4"/>
  <c r="H29" i="4"/>
  <c r="H11" i="4"/>
  <c r="K11" i="4"/>
  <c r="J11" i="4"/>
  <c r="K621" i="4"/>
  <c r="J621" i="4"/>
  <c r="I621" i="4"/>
  <c r="H621" i="4"/>
  <c r="K612" i="4"/>
  <c r="J612" i="4"/>
  <c r="I612" i="4"/>
  <c r="H612" i="4"/>
  <c r="K603" i="4"/>
  <c r="J603" i="4"/>
  <c r="I603" i="4"/>
  <c r="H603" i="4"/>
  <c r="K594" i="4"/>
  <c r="J594" i="4"/>
  <c r="I594" i="4"/>
  <c r="H594" i="4"/>
  <c r="K585" i="4"/>
  <c r="J585" i="4"/>
  <c r="I585" i="4"/>
  <c r="H585" i="4"/>
  <c r="K576" i="4"/>
  <c r="J576" i="4"/>
  <c r="I576" i="4"/>
  <c r="H576" i="4"/>
  <c r="K567" i="4"/>
  <c r="J567" i="4"/>
  <c r="I567" i="4"/>
  <c r="H567" i="4"/>
  <c r="K558" i="4"/>
  <c r="J558" i="4"/>
  <c r="I558" i="4"/>
  <c r="H558" i="4"/>
  <c r="K549" i="4"/>
  <c r="J549" i="4"/>
  <c r="I549" i="4"/>
  <c r="H549" i="4"/>
  <c r="K540" i="4"/>
  <c r="J540" i="4"/>
  <c r="I540" i="4"/>
  <c r="H540" i="4"/>
  <c r="K531" i="4"/>
  <c r="J531" i="4"/>
  <c r="I531" i="4"/>
  <c r="H531" i="4"/>
  <c r="K522" i="4"/>
  <c r="J522" i="4"/>
  <c r="I522" i="4"/>
  <c r="H522" i="4"/>
  <c r="K513" i="4"/>
  <c r="J513" i="4"/>
  <c r="I513" i="4"/>
  <c r="H513" i="4"/>
  <c r="K504" i="4"/>
  <c r="J504" i="4"/>
  <c r="I504" i="4"/>
  <c r="H504" i="4"/>
  <c r="K495" i="4"/>
  <c r="J495" i="4"/>
  <c r="I495" i="4"/>
  <c r="H495" i="4"/>
  <c r="K486" i="4"/>
  <c r="J486" i="4"/>
  <c r="I486" i="4"/>
  <c r="H486" i="4"/>
  <c r="K477" i="4"/>
  <c r="J477" i="4"/>
  <c r="I477" i="4"/>
  <c r="H477" i="4"/>
  <c r="K468" i="4"/>
  <c r="J468" i="4"/>
  <c r="I468" i="4"/>
  <c r="H468" i="4"/>
  <c r="K459" i="4"/>
  <c r="J459" i="4"/>
  <c r="I459" i="4"/>
  <c r="H459" i="4"/>
  <c r="K450" i="4"/>
  <c r="J450" i="4"/>
  <c r="I450" i="4"/>
  <c r="H450" i="4"/>
  <c r="K441" i="4"/>
  <c r="J441" i="4"/>
  <c r="I441" i="4"/>
  <c r="H441" i="4"/>
  <c r="K432" i="4"/>
  <c r="J432" i="4"/>
  <c r="I432" i="4"/>
  <c r="H432" i="4"/>
  <c r="K423" i="4"/>
  <c r="J423" i="4"/>
  <c r="I423" i="4"/>
  <c r="H423" i="4"/>
  <c r="K414" i="4"/>
  <c r="J414" i="4"/>
  <c r="I414" i="4"/>
  <c r="H414" i="4"/>
  <c r="K396" i="4"/>
  <c r="J396" i="4"/>
  <c r="I396" i="4"/>
  <c r="H396" i="4"/>
  <c r="K387" i="4"/>
  <c r="J387" i="4"/>
  <c r="I387" i="4"/>
  <c r="H387" i="4"/>
  <c r="J378" i="4"/>
  <c r="I378" i="4"/>
  <c r="H378" i="4"/>
  <c r="K378" i="4"/>
  <c r="J369" i="4"/>
  <c r="I369" i="4"/>
  <c r="H369" i="4"/>
  <c r="K369" i="4"/>
  <c r="J360" i="4"/>
  <c r="I360" i="4"/>
  <c r="H360" i="4"/>
  <c r="K360" i="4"/>
  <c r="J351" i="4"/>
  <c r="I351" i="4"/>
  <c r="H351" i="4"/>
  <c r="K351" i="4"/>
  <c r="J342" i="4"/>
  <c r="I342" i="4"/>
  <c r="H342" i="4"/>
  <c r="K342" i="4"/>
  <c r="J333" i="4"/>
  <c r="H333" i="4"/>
  <c r="K333" i="4"/>
  <c r="I333" i="4"/>
  <c r="J324" i="4"/>
  <c r="K324" i="4"/>
  <c r="I324" i="4"/>
  <c r="H324" i="4"/>
  <c r="J315" i="4"/>
  <c r="H315" i="4"/>
  <c r="K315" i="4"/>
  <c r="I315" i="4"/>
  <c r="J306" i="4"/>
  <c r="K306" i="4"/>
  <c r="I306" i="4"/>
  <c r="H306" i="4"/>
  <c r="J297" i="4"/>
  <c r="H297" i="4"/>
  <c r="K297" i="4"/>
  <c r="I297" i="4"/>
  <c r="J288" i="4"/>
  <c r="K288" i="4"/>
  <c r="I288" i="4"/>
  <c r="H288" i="4"/>
  <c r="J279" i="4"/>
  <c r="H279" i="4"/>
  <c r="K279" i="4"/>
  <c r="I279" i="4"/>
  <c r="J270" i="4"/>
  <c r="K270" i="4"/>
  <c r="I270" i="4"/>
  <c r="H270" i="4"/>
  <c r="J261" i="4"/>
  <c r="H261" i="4"/>
  <c r="K261" i="4"/>
  <c r="I261" i="4"/>
  <c r="J252" i="4"/>
  <c r="K252" i="4"/>
  <c r="I252" i="4"/>
  <c r="H252" i="4"/>
  <c r="K243" i="4"/>
  <c r="J243" i="4"/>
  <c r="I243" i="4"/>
  <c r="H243" i="4"/>
  <c r="K234" i="4"/>
  <c r="J234" i="4"/>
  <c r="I234" i="4"/>
  <c r="H234" i="4"/>
  <c r="K225" i="4"/>
  <c r="J225" i="4"/>
  <c r="I225" i="4"/>
  <c r="H225" i="4"/>
  <c r="K216" i="4"/>
  <c r="J216" i="4"/>
  <c r="I216" i="4"/>
  <c r="H216" i="4"/>
  <c r="K207" i="4"/>
  <c r="J207" i="4"/>
  <c r="I207" i="4"/>
  <c r="H207" i="4"/>
  <c r="K198" i="4"/>
  <c r="J198" i="4"/>
  <c r="I198" i="4"/>
  <c r="H198" i="4"/>
  <c r="K189" i="4"/>
  <c r="J189" i="4"/>
  <c r="I189" i="4"/>
  <c r="H189" i="4"/>
  <c r="K180" i="4"/>
  <c r="J180" i="4"/>
  <c r="I180" i="4"/>
  <c r="H180" i="4"/>
  <c r="K171" i="4"/>
  <c r="J171" i="4"/>
  <c r="I171" i="4"/>
  <c r="H171" i="4"/>
  <c r="K162" i="4"/>
  <c r="J162" i="4"/>
  <c r="I162" i="4"/>
  <c r="H162" i="4"/>
  <c r="K153" i="4"/>
  <c r="J153" i="4"/>
  <c r="I153" i="4"/>
  <c r="H153" i="4"/>
  <c r="K144" i="4"/>
  <c r="J144" i="4"/>
  <c r="I144" i="4"/>
  <c r="H144" i="4"/>
  <c r="K135" i="4"/>
  <c r="J135" i="4"/>
  <c r="I135" i="4"/>
  <c r="H135" i="4"/>
  <c r="K126" i="4"/>
  <c r="J126" i="4"/>
  <c r="I126" i="4"/>
  <c r="H126" i="4"/>
  <c r="K117" i="4"/>
  <c r="J117" i="4"/>
  <c r="I117" i="4"/>
  <c r="H117" i="4"/>
  <c r="K108" i="4"/>
  <c r="J108" i="4"/>
  <c r="I108" i="4"/>
  <c r="H108" i="4"/>
  <c r="K99" i="4"/>
  <c r="J99" i="4"/>
  <c r="I99" i="4"/>
  <c r="H99" i="4"/>
  <c r="K90" i="4"/>
  <c r="J90" i="4"/>
  <c r="I90" i="4"/>
  <c r="H90" i="4"/>
  <c r="K81" i="4"/>
  <c r="J81" i="4"/>
  <c r="I81" i="4"/>
  <c r="H81" i="4"/>
  <c r="K72" i="4"/>
  <c r="J72" i="4"/>
  <c r="I72" i="4"/>
  <c r="H72" i="4"/>
  <c r="K63" i="4"/>
  <c r="J63" i="4"/>
  <c r="I63" i="4"/>
  <c r="H63" i="4"/>
  <c r="K54" i="4"/>
  <c r="J54" i="4"/>
  <c r="I54" i="4"/>
  <c r="H54" i="4"/>
  <c r="K45" i="4"/>
  <c r="J45" i="4"/>
  <c r="I45" i="4"/>
  <c r="H45" i="4"/>
  <c r="K36" i="4"/>
  <c r="J36" i="4"/>
  <c r="I36" i="4"/>
  <c r="H36" i="4"/>
  <c r="K27" i="4"/>
  <c r="J27" i="4"/>
  <c r="I27" i="4"/>
  <c r="H27" i="4"/>
  <c r="K18" i="4"/>
  <c r="J18" i="4"/>
  <c r="H18" i="4"/>
  <c r="I18" i="4"/>
  <c r="K605" i="4"/>
  <c r="J605" i="4"/>
  <c r="I605" i="4"/>
  <c r="H605" i="4"/>
  <c r="K596" i="4"/>
  <c r="J596" i="4"/>
  <c r="I596" i="4"/>
  <c r="H596" i="4"/>
  <c r="K578" i="4"/>
  <c r="J578" i="4"/>
  <c r="I578" i="4"/>
  <c r="H578" i="4"/>
  <c r="K551" i="4"/>
  <c r="J551" i="4"/>
  <c r="I551" i="4"/>
  <c r="H551" i="4"/>
  <c r="K533" i="4"/>
  <c r="J533" i="4"/>
  <c r="I533" i="4"/>
  <c r="H533" i="4"/>
  <c r="K506" i="4"/>
  <c r="J506" i="4"/>
  <c r="I506" i="4"/>
  <c r="H506" i="4"/>
  <c r="K488" i="4"/>
  <c r="J488" i="4"/>
  <c r="I488" i="4"/>
  <c r="H488" i="4"/>
  <c r="K470" i="4"/>
  <c r="J470" i="4"/>
  <c r="I470" i="4"/>
  <c r="H470" i="4"/>
  <c r="K452" i="4"/>
  <c r="J452" i="4"/>
  <c r="I452" i="4"/>
  <c r="H452" i="4"/>
  <c r="K434" i="4"/>
  <c r="J434" i="4"/>
  <c r="I434" i="4"/>
  <c r="H434" i="4"/>
  <c r="K407" i="4"/>
  <c r="J407" i="4"/>
  <c r="I407" i="4"/>
  <c r="H407" i="4"/>
  <c r="K389" i="4"/>
  <c r="J389" i="4"/>
  <c r="I389" i="4"/>
  <c r="H389" i="4"/>
  <c r="J371" i="4"/>
  <c r="I371" i="4"/>
  <c r="H371" i="4"/>
  <c r="K371" i="4"/>
  <c r="J353" i="4"/>
  <c r="I353" i="4"/>
  <c r="H353" i="4"/>
  <c r="K353" i="4"/>
  <c r="J335" i="4"/>
  <c r="I335" i="4"/>
  <c r="H335" i="4"/>
  <c r="K335" i="4"/>
  <c r="J317" i="4"/>
  <c r="K317" i="4"/>
  <c r="I317" i="4"/>
  <c r="H317" i="4"/>
  <c r="J299" i="4"/>
  <c r="K299" i="4"/>
  <c r="I299" i="4"/>
  <c r="H299" i="4"/>
  <c r="J281" i="4"/>
  <c r="K281" i="4"/>
  <c r="I281" i="4"/>
  <c r="H281" i="4"/>
  <c r="J272" i="4"/>
  <c r="K272" i="4"/>
  <c r="I272" i="4"/>
  <c r="H272" i="4"/>
  <c r="J254" i="4"/>
  <c r="K254" i="4"/>
  <c r="I254" i="4"/>
  <c r="H254" i="4"/>
  <c r="K236" i="4"/>
  <c r="J236" i="4"/>
  <c r="I236" i="4"/>
  <c r="H236" i="4"/>
  <c r="K218" i="4"/>
  <c r="J218" i="4"/>
  <c r="I218" i="4"/>
  <c r="H218" i="4"/>
  <c r="K200" i="4"/>
  <c r="J200" i="4"/>
  <c r="I200" i="4"/>
  <c r="H200" i="4"/>
  <c r="K182" i="4"/>
  <c r="J182" i="4"/>
  <c r="I182" i="4"/>
  <c r="H182" i="4"/>
  <c r="K173" i="4"/>
  <c r="J173" i="4"/>
  <c r="I173" i="4"/>
  <c r="H173" i="4"/>
  <c r="K164" i="4"/>
  <c r="J164" i="4"/>
  <c r="I164" i="4"/>
  <c r="H164" i="4"/>
  <c r="K146" i="4"/>
  <c r="J146" i="4"/>
  <c r="I146" i="4"/>
  <c r="H146" i="4"/>
  <c r="K128" i="4"/>
  <c r="J128" i="4"/>
  <c r="I128" i="4"/>
  <c r="H128" i="4"/>
  <c r="K101" i="4"/>
  <c r="J101" i="4"/>
  <c r="I101" i="4"/>
  <c r="H101" i="4"/>
  <c r="K74" i="4"/>
  <c r="J74" i="4"/>
  <c r="I74" i="4"/>
  <c r="H74" i="4"/>
  <c r="K56" i="4"/>
  <c r="J56" i="4"/>
  <c r="I56" i="4"/>
  <c r="H56" i="4"/>
  <c r="K20" i="4"/>
  <c r="J20" i="4"/>
  <c r="H20" i="4"/>
  <c r="I20" i="4"/>
  <c r="K425" i="4"/>
  <c r="J425" i="4"/>
  <c r="I425" i="4"/>
  <c r="H425" i="4"/>
  <c r="K615" i="4"/>
  <c r="I615" i="4"/>
  <c r="H615" i="4"/>
  <c r="J615" i="4"/>
  <c r="K606" i="4"/>
  <c r="I606" i="4"/>
  <c r="H606" i="4"/>
  <c r="J606" i="4"/>
  <c r="K597" i="4"/>
  <c r="I597" i="4"/>
  <c r="H597" i="4"/>
  <c r="J597" i="4"/>
  <c r="K588" i="4"/>
  <c r="I588" i="4"/>
  <c r="H588" i="4"/>
  <c r="J588" i="4"/>
  <c r="K579" i="4"/>
  <c r="I579" i="4"/>
  <c r="H579" i="4"/>
  <c r="J579" i="4"/>
  <c r="K570" i="4"/>
  <c r="I570" i="4"/>
  <c r="H570" i="4"/>
  <c r="J570" i="4"/>
  <c r="K561" i="4"/>
  <c r="I561" i="4"/>
  <c r="H561" i="4"/>
  <c r="J561" i="4"/>
  <c r="K552" i="4"/>
  <c r="I552" i="4"/>
  <c r="H552" i="4"/>
  <c r="J552" i="4"/>
  <c r="K543" i="4"/>
  <c r="I543" i="4"/>
  <c r="H543" i="4"/>
  <c r="J543" i="4"/>
  <c r="K534" i="4"/>
  <c r="I534" i="4"/>
  <c r="H534" i="4"/>
  <c r="J534" i="4"/>
  <c r="K525" i="4"/>
  <c r="I525" i="4"/>
  <c r="H525" i="4"/>
  <c r="J525" i="4"/>
  <c r="K516" i="4"/>
  <c r="I516" i="4"/>
  <c r="H516" i="4"/>
  <c r="J516" i="4"/>
  <c r="K507" i="4"/>
  <c r="I507" i="4"/>
  <c r="H507" i="4"/>
  <c r="J507" i="4"/>
  <c r="K498" i="4"/>
  <c r="I498" i="4"/>
  <c r="H498" i="4"/>
  <c r="J498" i="4"/>
  <c r="K489" i="4"/>
  <c r="I489" i="4"/>
  <c r="H489" i="4"/>
  <c r="J489" i="4"/>
  <c r="K480" i="4"/>
  <c r="I480" i="4"/>
  <c r="H480" i="4"/>
  <c r="J480" i="4"/>
  <c r="K471" i="4"/>
  <c r="I471" i="4"/>
  <c r="H471" i="4"/>
  <c r="J471" i="4"/>
  <c r="K462" i="4"/>
  <c r="I462" i="4"/>
  <c r="H462" i="4"/>
  <c r="J462" i="4"/>
  <c r="K453" i="4"/>
  <c r="I453" i="4"/>
  <c r="J453" i="4"/>
  <c r="H453" i="4"/>
  <c r="K444" i="4"/>
  <c r="I444" i="4"/>
  <c r="H444" i="4"/>
  <c r="J444" i="4"/>
  <c r="K435" i="4"/>
  <c r="I435" i="4"/>
  <c r="J435" i="4"/>
  <c r="H435" i="4"/>
  <c r="K426" i="4"/>
  <c r="I426" i="4"/>
  <c r="H426" i="4"/>
  <c r="J426" i="4"/>
  <c r="K417" i="4"/>
  <c r="I417" i="4"/>
  <c r="J417" i="4"/>
  <c r="H417" i="4"/>
  <c r="K408" i="4"/>
  <c r="I408" i="4"/>
  <c r="H408" i="4"/>
  <c r="J408" i="4"/>
  <c r="K399" i="4"/>
  <c r="I399" i="4"/>
  <c r="J399" i="4"/>
  <c r="H399" i="4"/>
  <c r="K390" i="4"/>
  <c r="I390" i="4"/>
  <c r="H390" i="4"/>
  <c r="J390" i="4"/>
  <c r="K381" i="4"/>
  <c r="I381" i="4"/>
  <c r="J381" i="4"/>
  <c r="H381" i="4"/>
  <c r="K372" i="4"/>
  <c r="I372" i="4"/>
  <c r="J372" i="4"/>
  <c r="H372" i="4"/>
  <c r="K363" i="4"/>
  <c r="I363" i="4"/>
  <c r="J363" i="4"/>
  <c r="H363" i="4"/>
  <c r="K354" i="4"/>
  <c r="I354" i="4"/>
  <c r="J354" i="4"/>
  <c r="H354" i="4"/>
  <c r="K345" i="4"/>
  <c r="I345" i="4"/>
  <c r="J345" i="4"/>
  <c r="H345" i="4"/>
  <c r="K336" i="4"/>
  <c r="I336" i="4"/>
  <c r="J336" i="4"/>
  <c r="H336" i="4"/>
  <c r="K327" i="4"/>
  <c r="J327" i="4"/>
  <c r="I327" i="4"/>
  <c r="H327" i="4"/>
  <c r="K318" i="4"/>
  <c r="J318" i="4"/>
  <c r="I318" i="4"/>
  <c r="H318" i="4"/>
  <c r="K309" i="4"/>
  <c r="J309" i="4"/>
  <c r="I309" i="4"/>
  <c r="H309" i="4"/>
  <c r="K300" i="4"/>
  <c r="J300" i="4"/>
  <c r="I300" i="4"/>
  <c r="H300" i="4"/>
  <c r="K291" i="4"/>
  <c r="J291" i="4"/>
  <c r="I291" i="4"/>
  <c r="H291" i="4"/>
  <c r="K282" i="4"/>
  <c r="J282" i="4"/>
  <c r="I282" i="4"/>
  <c r="H282" i="4"/>
  <c r="K273" i="4"/>
  <c r="J273" i="4"/>
  <c r="I273" i="4"/>
  <c r="H273" i="4"/>
  <c r="K264" i="4"/>
  <c r="J264" i="4"/>
  <c r="I264" i="4"/>
  <c r="H264" i="4"/>
  <c r="K255" i="4"/>
  <c r="J255" i="4"/>
  <c r="I255" i="4"/>
  <c r="H255" i="4"/>
  <c r="J246" i="4"/>
  <c r="K246" i="4"/>
  <c r="I246" i="4"/>
  <c r="H246" i="4"/>
  <c r="J237" i="4"/>
  <c r="I237" i="4"/>
  <c r="H237" i="4"/>
  <c r="K237" i="4"/>
  <c r="J228" i="4"/>
  <c r="I228" i="4"/>
  <c r="H228" i="4"/>
  <c r="K228" i="4"/>
  <c r="J219" i="4"/>
  <c r="I219" i="4"/>
  <c r="H219" i="4"/>
  <c r="K219" i="4"/>
  <c r="J210" i="4"/>
  <c r="I210" i="4"/>
  <c r="H210" i="4"/>
  <c r="K210" i="4"/>
  <c r="J201" i="4"/>
  <c r="I201" i="4"/>
  <c r="H201" i="4"/>
  <c r="K201" i="4"/>
  <c r="J192" i="4"/>
  <c r="I192" i="4"/>
  <c r="H192" i="4"/>
  <c r="K192" i="4"/>
  <c r="I183" i="4"/>
  <c r="H183" i="4"/>
  <c r="K183" i="4"/>
  <c r="J183" i="4"/>
  <c r="I174" i="4"/>
  <c r="H174" i="4"/>
  <c r="K174" i="4"/>
  <c r="J174" i="4"/>
  <c r="I165" i="4"/>
  <c r="H165" i="4"/>
  <c r="K165" i="4"/>
  <c r="J165" i="4"/>
  <c r="I156" i="4"/>
  <c r="H156" i="4"/>
  <c r="K156" i="4"/>
  <c r="J156" i="4"/>
  <c r="I147" i="4"/>
  <c r="H147" i="4"/>
  <c r="K147" i="4"/>
  <c r="J147" i="4"/>
  <c r="I138" i="4"/>
  <c r="H138" i="4"/>
  <c r="K138" i="4"/>
  <c r="J138" i="4"/>
  <c r="I129" i="4"/>
  <c r="H129" i="4"/>
  <c r="K129" i="4"/>
  <c r="J129" i="4"/>
  <c r="I120" i="4"/>
  <c r="H120" i="4"/>
  <c r="K120" i="4"/>
  <c r="J120" i="4"/>
  <c r="I111" i="4"/>
  <c r="H111" i="4"/>
  <c r="K111" i="4"/>
  <c r="J111" i="4"/>
  <c r="I102" i="4"/>
  <c r="H102" i="4"/>
  <c r="K102" i="4"/>
  <c r="J102" i="4"/>
  <c r="I93" i="4"/>
  <c r="H93" i="4"/>
  <c r="K93" i="4"/>
  <c r="J93" i="4"/>
  <c r="I84" i="4"/>
  <c r="H84" i="4"/>
  <c r="K84" i="4"/>
  <c r="J84" i="4"/>
  <c r="I75" i="4"/>
  <c r="H75" i="4"/>
  <c r="K75" i="4"/>
  <c r="J75" i="4"/>
  <c r="I66" i="4"/>
  <c r="H66" i="4"/>
  <c r="K66" i="4"/>
  <c r="J66" i="4"/>
  <c r="I57" i="4"/>
  <c r="H57" i="4"/>
  <c r="K57" i="4"/>
  <c r="J57" i="4"/>
  <c r="I48" i="4"/>
  <c r="H48" i="4"/>
  <c r="K48" i="4"/>
  <c r="J48" i="4"/>
  <c r="I39" i="4"/>
  <c r="H39" i="4"/>
  <c r="K39" i="4"/>
  <c r="J39" i="4"/>
  <c r="I30" i="4"/>
  <c r="K30" i="4"/>
  <c r="J30" i="4"/>
  <c r="H30" i="4"/>
  <c r="I21" i="4"/>
  <c r="K21" i="4"/>
  <c r="J21" i="4"/>
  <c r="H21" i="4"/>
  <c r="J12" i="4"/>
  <c r="I12" i="4"/>
  <c r="K12" i="4"/>
  <c r="E10" i="4"/>
  <c r="E9" i="4"/>
  <c r="H9" i="4" s="1"/>
  <c r="F5" i="11"/>
  <c r="I5" i="11" s="1"/>
  <c r="P23" i="11" l="1"/>
  <c r="I23" i="11"/>
  <c r="Q23" i="11"/>
  <c r="J23" i="11"/>
  <c r="K23" i="11"/>
  <c r="L23" i="11"/>
  <c r="M23" i="11"/>
  <c r="O23" i="11"/>
  <c r="N23" i="11"/>
  <c r="O32" i="11"/>
  <c r="P32" i="11"/>
  <c r="I32" i="11"/>
  <c r="Q32" i="11"/>
  <c r="J32" i="11"/>
  <c r="K32" i="11"/>
  <c r="L32" i="11"/>
  <c r="M32" i="11"/>
  <c r="N32" i="11"/>
  <c r="I14" i="11"/>
  <c r="Q14" i="11"/>
  <c r="U14" i="11"/>
  <c r="AC14" i="11"/>
  <c r="AK14" i="11"/>
  <c r="AS14" i="11"/>
  <c r="J14" i="11"/>
  <c r="V14" i="11"/>
  <c r="AD14" i="11"/>
  <c r="AL14" i="11"/>
  <c r="AT14" i="11"/>
  <c r="K14" i="11"/>
  <c r="W14" i="11"/>
  <c r="AE14" i="11"/>
  <c r="AM14" i="11"/>
  <c r="AU14" i="11"/>
  <c r="L14" i="11"/>
  <c r="X14" i="11"/>
  <c r="AF14" i="11"/>
  <c r="AN14" i="11"/>
  <c r="M14" i="11"/>
  <c r="AV14" i="11"/>
  <c r="Y14" i="11"/>
  <c r="AG14" i="11"/>
  <c r="AO14" i="11"/>
  <c r="N14" i="11"/>
  <c r="R14" i="11"/>
  <c r="Z14" i="11"/>
  <c r="AH14" i="11"/>
  <c r="AP14" i="11"/>
  <c r="O14" i="11"/>
  <c r="S14" i="11"/>
  <c r="AA14" i="11"/>
  <c r="AI14" i="11"/>
  <c r="AQ14" i="11"/>
  <c r="P14" i="11"/>
  <c r="T14" i="11"/>
  <c r="AB14" i="11"/>
  <c r="AJ14" i="11"/>
  <c r="AR14" i="11"/>
  <c r="H689" i="4"/>
  <c r="I689" i="4"/>
  <c r="J689" i="4"/>
  <c r="K689" i="4"/>
  <c r="H798" i="4"/>
  <c r="K798" i="4"/>
  <c r="I798" i="4"/>
  <c r="J798" i="4"/>
  <c r="H590" i="4"/>
  <c r="I590" i="4"/>
  <c r="J590" i="4"/>
  <c r="K590" i="4"/>
  <c r="H808" i="4"/>
  <c r="K808" i="4"/>
  <c r="J808" i="4"/>
  <c r="I808" i="4"/>
  <c r="H457" i="4"/>
  <c r="I457" i="4"/>
  <c r="J457" i="4"/>
  <c r="K457" i="4"/>
  <c r="H691" i="4"/>
  <c r="I691" i="4"/>
  <c r="J691" i="4"/>
  <c r="K691" i="4"/>
  <c r="H753" i="4"/>
  <c r="I753" i="4"/>
  <c r="J753" i="4"/>
  <c r="K753" i="4"/>
  <c r="H493" i="4"/>
  <c r="I493" i="4"/>
  <c r="J493" i="4"/>
  <c r="K493" i="4"/>
  <c r="H609" i="4"/>
  <c r="I609" i="4"/>
  <c r="J609" i="4"/>
  <c r="K609" i="4"/>
  <c r="I500" i="11"/>
  <c r="Q500" i="11"/>
  <c r="Y500" i="11"/>
  <c r="AG500" i="11"/>
  <c r="AO500" i="11"/>
  <c r="J500" i="11"/>
  <c r="R500" i="11"/>
  <c r="Z500" i="11"/>
  <c r="AH500" i="11"/>
  <c r="AP500" i="11"/>
  <c r="K500" i="11"/>
  <c r="S500" i="11"/>
  <c r="AA500" i="11"/>
  <c r="AI500" i="11"/>
  <c r="AQ500" i="11"/>
  <c r="L500" i="11"/>
  <c r="T500" i="11"/>
  <c r="AB500" i="11"/>
  <c r="AJ500" i="11"/>
  <c r="AR500" i="11"/>
  <c r="M500" i="11"/>
  <c r="U500" i="11"/>
  <c r="AC500" i="11"/>
  <c r="AK500" i="11"/>
  <c r="AS500" i="11"/>
  <c r="N500" i="11"/>
  <c r="V500" i="11"/>
  <c r="AD500" i="11"/>
  <c r="AL500" i="11"/>
  <c r="AT500" i="11"/>
  <c r="W500" i="11"/>
  <c r="X500" i="11"/>
  <c r="AE500" i="11"/>
  <c r="AF500" i="11"/>
  <c r="AM500" i="11"/>
  <c r="AN500" i="11"/>
  <c r="P500" i="11"/>
  <c r="AU500" i="11"/>
  <c r="AV500" i="11"/>
  <c r="O500" i="11"/>
  <c r="H518" i="4"/>
  <c r="I518" i="4"/>
  <c r="J518" i="4"/>
  <c r="K518" i="4"/>
  <c r="H446" i="4"/>
  <c r="I446" i="4"/>
  <c r="J446" i="4"/>
  <c r="K446" i="4"/>
  <c r="L599" i="11"/>
  <c r="T599" i="11"/>
  <c r="AB599" i="11"/>
  <c r="AJ599" i="11"/>
  <c r="AR599" i="11"/>
  <c r="M599" i="11"/>
  <c r="U599" i="11"/>
  <c r="AC599" i="11"/>
  <c r="AK599" i="11"/>
  <c r="AS599" i="11"/>
  <c r="N599" i="11"/>
  <c r="V599" i="11"/>
  <c r="AD599" i="11"/>
  <c r="AL599" i="11"/>
  <c r="AT599" i="11"/>
  <c r="O599" i="11"/>
  <c r="W599" i="11"/>
  <c r="AE599" i="11"/>
  <c r="AM599" i="11"/>
  <c r="AU599" i="11"/>
  <c r="P599" i="11"/>
  <c r="X599" i="11"/>
  <c r="AF599" i="11"/>
  <c r="AN599" i="11"/>
  <c r="AV599" i="11"/>
  <c r="I599" i="11"/>
  <c r="Q599" i="11"/>
  <c r="Y599" i="11"/>
  <c r="AG599" i="11"/>
  <c r="AO599" i="11"/>
  <c r="Z599" i="11"/>
  <c r="AA599" i="11"/>
  <c r="AH599" i="11"/>
  <c r="AI599" i="11"/>
  <c r="J599" i="11"/>
  <c r="AP599" i="11"/>
  <c r="K599" i="11"/>
  <c r="AQ599" i="11"/>
  <c r="S599" i="11"/>
  <c r="R599" i="11"/>
  <c r="H546" i="4"/>
  <c r="I546" i="4"/>
  <c r="J546" i="4"/>
  <c r="K546" i="4"/>
  <c r="K823" i="4"/>
  <c r="J823" i="4"/>
  <c r="I823" i="4"/>
  <c r="H823" i="4"/>
  <c r="K769" i="4"/>
  <c r="H769" i="4"/>
  <c r="I769" i="4"/>
  <c r="J769" i="4"/>
  <c r="H699" i="4"/>
  <c r="I699" i="4"/>
  <c r="J699" i="4"/>
  <c r="K699" i="4"/>
  <c r="K689" i="11"/>
  <c r="S689" i="11"/>
  <c r="AA689" i="11"/>
  <c r="AI689" i="11"/>
  <c r="AQ689" i="11"/>
  <c r="L689" i="11"/>
  <c r="T689" i="11"/>
  <c r="AB689" i="11"/>
  <c r="AJ689" i="11"/>
  <c r="AR689" i="11"/>
  <c r="M689" i="11"/>
  <c r="U689" i="11"/>
  <c r="AC689" i="11"/>
  <c r="AK689" i="11"/>
  <c r="AS689" i="11"/>
  <c r="N689" i="11"/>
  <c r="V689" i="11"/>
  <c r="AD689" i="11"/>
  <c r="AL689" i="11"/>
  <c r="AT689" i="11"/>
  <c r="O689" i="11"/>
  <c r="W689" i="11"/>
  <c r="AE689" i="11"/>
  <c r="AM689" i="11"/>
  <c r="AU689" i="11"/>
  <c r="P689" i="11"/>
  <c r="X689" i="11"/>
  <c r="AF689" i="11"/>
  <c r="AN689" i="11"/>
  <c r="AV689" i="11"/>
  <c r="I689" i="11"/>
  <c r="AO689" i="11"/>
  <c r="Q689" i="11"/>
  <c r="R689" i="11"/>
  <c r="Y689" i="11"/>
  <c r="Z689" i="11"/>
  <c r="AG689" i="11"/>
  <c r="AH689" i="11"/>
  <c r="AP689" i="11"/>
  <c r="J689" i="11"/>
  <c r="H681" i="4"/>
  <c r="I681" i="4"/>
  <c r="J681" i="4"/>
  <c r="K681" i="4"/>
  <c r="H628" i="4"/>
  <c r="I628" i="4"/>
  <c r="J628" i="4"/>
  <c r="K628" i="4"/>
  <c r="H790" i="4"/>
  <c r="I790" i="4"/>
  <c r="J790" i="4"/>
  <c r="K790" i="4"/>
  <c r="I464" i="11"/>
  <c r="Q464" i="11"/>
  <c r="Y464" i="11"/>
  <c r="AG464" i="11"/>
  <c r="AO464" i="11"/>
  <c r="J464" i="11"/>
  <c r="R464" i="11"/>
  <c r="Z464" i="11"/>
  <c r="AH464" i="11"/>
  <c r="AP464" i="11"/>
  <c r="K464" i="11"/>
  <c r="S464" i="11"/>
  <c r="AA464" i="11"/>
  <c r="AI464" i="11"/>
  <c r="AQ464" i="11"/>
  <c r="L464" i="11"/>
  <c r="T464" i="11"/>
  <c r="AB464" i="11"/>
  <c r="AJ464" i="11"/>
  <c r="AR464" i="11"/>
  <c r="M464" i="11"/>
  <c r="U464" i="11"/>
  <c r="AC464" i="11"/>
  <c r="AK464" i="11"/>
  <c r="AS464" i="11"/>
  <c r="N464" i="11"/>
  <c r="V464" i="11"/>
  <c r="AD464" i="11"/>
  <c r="AL464" i="11"/>
  <c r="AT464" i="11"/>
  <c r="W464" i="11"/>
  <c r="X464" i="11"/>
  <c r="AE464" i="11"/>
  <c r="AF464" i="11"/>
  <c r="AM464" i="11"/>
  <c r="AN464" i="11"/>
  <c r="AV464" i="11"/>
  <c r="O464" i="11"/>
  <c r="P464" i="11"/>
  <c r="AU464" i="11"/>
  <c r="H727" i="4"/>
  <c r="I727" i="4"/>
  <c r="J727" i="4"/>
  <c r="K727" i="4"/>
  <c r="H490" i="4"/>
  <c r="I490" i="4"/>
  <c r="J490" i="4"/>
  <c r="K490" i="4"/>
  <c r="I518" i="11"/>
  <c r="Q518" i="11"/>
  <c r="Y518" i="11"/>
  <c r="AG518" i="11"/>
  <c r="AO518" i="11"/>
  <c r="J518" i="11"/>
  <c r="R518" i="11"/>
  <c r="Z518" i="11"/>
  <c r="AH518" i="11"/>
  <c r="AP518" i="11"/>
  <c r="K518" i="11"/>
  <c r="S518" i="11"/>
  <c r="AA518" i="11"/>
  <c r="AI518" i="11"/>
  <c r="AQ518" i="11"/>
  <c r="L518" i="11"/>
  <c r="T518" i="11"/>
  <c r="AB518" i="11"/>
  <c r="AJ518" i="11"/>
  <c r="AR518" i="11"/>
  <c r="M518" i="11"/>
  <c r="U518" i="11"/>
  <c r="AC518" i="11"/>
  <c r="AK518" i="11"/>
  <c r="AS518" i="11"/>
  <c r="N518" i="11"/>
  <c r="V518" i="11"/>
  <c r="AD518" i="11"/>
  <c r="AL518" i="11"/>
  <c r="AT518" i="11"/>
  <c r="AM518" i="11"/>
  <c r="AN518" i="11"/>
  <c r="O518" i="11"/>
  <c r="AU518" i="11"/>
  <c r="P518" i="11"/>
  <c r="AV518" i="11"/>
  <c r="W518" i="11"/>
  <c r="X518" i="11"/>
  <c r="AE518" i="11"/>
  <c r="AF518" i="11"/>
  <c r="I491" i="11"/>
  <c r="Q491" i="11"/>
  <c r="Y491" i="11"/>
  <c r="AG491" i="11"/>
  <c r="AO491" i="11"/>
  <c r="J491" i="11"/>
  <c r="R491" i="11"/>
  <c r="Z491" i="11"/>
  <c r="AH491" i="11"/>
  <c r="AP491" i="11"/>
  <c r="K491" i="11"/>
  <c r="S491" i="11"/>
  <c r="AA491" i="11"/>
  <c r="AI491" i="11"/>
  <c r="AQ491" i="11"/>
  <c r="L491" i="11"/>
  <c r="T491" i="11"/>
  <c r="AB491" i="11"/>
  <c r="AJ491" i="11"/>
  <c r="AR491" i="11"/>
  <c r="M491" i="11"/>
  <c r="U491" i="11"/>
  <c r="AC491" i="11"/>
  <c r="AK491" i="11"/>
  <c r="AS491" i="11"/>
  <c r="N491" i="11"/>
  <c r="V491" i="11"/>
  <c r="AD491" i="11"/>
  <c r="AL491" i="11"/>
  <c r="AT491" i="11"/>
  <c r="AE491" i="11"/>
  <c r="AF491" i="11"/>
  <c r="AM491" i="11"/>
  <c r="AN491" i="11"/>
  <c r="O491" i="11"/>
  <c r="AU491" i="11"/>
  <c r="P491" i="11"/>
  <c r="AV491" i="11"/>
  <c r="W491" i="11"/>
  <c r="X491" i="11"/>
  <c r="H635" i="4"/>
  <c r="I635" i="4"/>
  <c r="J635" i="4"/>
  <c r="K635" i="4"/>
  <c r="H607" i="4"/>
  <c r="I607" i="4"/>
  <c r="J607" i="4"/>
  <c r="K607" i="4"/>
  <c r="H463" i="4"/>
  <c r="I463" i="4"/>
  <c r="J463" i="4"/>
  <c r="K463" i="4"/>
  <c r="L635" i="11"/>
  <c r="T635" i="11"/>
  <c r="AB635" i="11"/>
  <c r="AJ635" i="11"/>
  <c r="AR635" i="11"/>
  <c r="M635" i="11"/>
  <c r="U635" i="11"/>
  <c r="AC635" i="11"/>
  <c r="AK635" i="11"/>
  <c r="AS635" i="11"/>
  <c r="N635" i="11"/>
  <c r="V635" i="11"/>
  <c r="AD635" i="11"/>
  <c r="AL635" i="11"/>
  <c r="AT635" i="11"/>
  <c r="O635" i="11"/>
  <c r="W635" i="11"/>
  <c r="AE635" i="11"/>
  <c r="AM635" i="11"/>
  <c r="AU635" i="11"/>
  <c r="P635" i="11"/>
  <c r="X635" i="11"/>
  <c r="AF635" i="11"/>
  <c r="AN635" i="11"/>
  <c r="AV635" i="11"/>
  <c r="I635" i="11"/>
  <c r="Q635" i="11"/>
  <c r="Y635" i="11"/>
  <c r="AG635" i="11"/>
  <c r="AO635" i="11"/>
  <c r="Z635" i="11"/>
  <c r="AA635" i="11"/>
  <c r="AH635" i="11"/>
  <c r="AI635" i="11"/>
  <c r="J635" i="11"/>
  <c r="AP635" i="11"/>
  <c r="K635" i="11"/>
  <c r="AQ635" i="11"/>
  <c r="R635" i="11"/>
  <c r="S635" i="11"/>
  <c r="H581" i="4"/>
  <c r="I581" i="4"/>
  <c r="J581" i="4"/>
  <c r="K581" i="4"/>
  <c r="I527" i="11"/>
  <c r="Q527" i="11"/>
  <c r="Y527" i="11"/>
  <c r="AG527" i="11"/>
  <c r="AO527" i="11"/>
  <c r="J527" i="11"/>
  <c r="R527" i="11"/>
  <c r="Z527" i="11"/>
  <c r="AH527" i="11"/>
  <c r="AP527" i="11"/>
  <c r="K527" i="11"/>
  <c r="S527" i="11"/>
  <c r="AA527" i="11"/>
  <c r="AI527" i="11"/>
  <c r="AQ527" i="11"/>
  <c r="L527" i="11"/>
  <c r="T527" i="11"/>
  <c r="AB527" i="11"/>
  <c r="AJ527" i="11"/>
  <c r="AR527" i="11"/>
  <c r="M527" i="11"/>
  <c r="U527" i="11"/>
  <c r="AC527" i="11"/>
  <c r="AK527" i="11"/>
  <c r="AS527" i="11"/>
  <c r="N527" i="11"/>
  <c r="V527" i="11"/>
  <c r="AD527" i="11"/>
  <c r="AL527" i="11"/>
  <c r="AT527" i="11"/>
  <c r="AE527" i="11"/>
  <c r="AF527" i="11"/>
  <c r="AM527" i="11"/>
  <c r="AN527" i="11"/>
  <c r="O527" i="11"/>
  <c r="AU527" i="11"/>
  <c r="P527" i="11"/>
  <c r="AV527" i="11"/>
  <c r="W527" i="11"/>
  <c r="X527" i="11"/>
  <c r="H760" i="4"/>
  <c r="I760" i="4"/>
  <c r="J760" i="4"/>
  <c r="K760" i="4"/>
  <c r="H762" i="4"/>
  <c r="I762" i="4"/>
  <c r="J762" i="4"/>
  <c r="K762" i="4"/>
  <c r="L815" i="11"/>
  <c r="T815" i="11"/>
  <c r="AB815" i="11"/>
  <c r="AJ815" i="11"/>
  <c r="AR815" i="11"/>
  <c r="P815" i="11"/>
  <c r="X815" i="11"/>
  <c r="AF815" i="11"/>
  <c r="AN815" i="11"/>
  <c r="AV815" i="11"/>
  <c r="I815" i="11"/>
  <c r="Q815" i="11"/>
  <c r="Y815" i="11"/>
  <c r="AG815" i="11"/>
  <c r="AO815" i="11"/>
  <c r="U815" i="11"/>
  <c r="AH815" i="11"/>
  <c r="AT815" i="11"/>
  <c r="J815" i="11"/>
  <c r="V815" i="11"/>
  <c r="AI815" i="11"/>
  <c r="AU815" i="11"/>
  <c r="AS815" i="11"/>
  <c r="K815" i="11"/>
  <c r="W815" i="11"/>
  <c r="AK815" i="11"/>
  <c r="S815" i="11"/>
  <c r="M815" i="11"/>
  <c r="Z815" i="11"/>
  <c r="AL815" i="11"/>
  <c r="N815" i="11"/>
  <c r="AA815" i="11"/>
  <c r="AM815" i="11"/>
  <c r="O815" i="11"/>
  <c r="AC815" i="11"/>
  <c r="AP815" i="11"/>
  <c r="AE815" i="11"/>
  <c r="R815" i="11"/>
  <c r="AD815" i="11"/>
  <c r="AQ815" i="11"/>
  <c r="H743" i="4"/>
  <c r="I743" i="4"/>
  <c r="J743" i="4"/>
  <c r="K743" i="4"/>
  <c r="H627" i="4"/>
  <c r="I627" i="4"/>
  <c r="J627" i="4"/>
  <c r="K627" i="4"/>
  <c r="K761" i="4"/>
  <c r="H761" i="4"/>
  <c r="I761" i="4"/>
  <c r="J761" i="4"/>
  <c r="H618" i="4"/>
  <c r="I618" i="4"/>
  <c r="J618" i="4"/>
  <c r="K618" i="4"/>
  <c r="H591" i="4"/>
  <c r="I591" i="4"/>
  <c r="J591" i="4"/>
  <c r="K591" i="4"/>
  <c r="H447" i="4"/>
  <c r="I447" i="4"/>
  <c r="J447" i="4"/>
  <c r="K447" i="4"/>
  <c r="H634" i="4"/>
  <c r="I634" i="4"/>
  <c r="J634" i="4"/>
  <c r="K634" i="4"/>
  <c r="L572" i="11"/>
  <c r="T572" i="11"/>
  <c r="AB572" i="11"/>
  <c r="AJ572" i="11"/>
  <c r="AR572" i="11"/>
  <c r="M572" i="11"/>
  <c r="U572" i="11"/>
  <c r="AC572" i="11"/>
  <c r="AK572" i="11"/>
  <c r="AS572" i="11"/>
  <c r="N572" i="11"/>
  <c r="V572" i="11"/>
  <c r="AD572" i="11"/>
  <c r="AL572" i="11"/>
  <c r="AT572" i="11"/>
  <c r="O572" i="11"/>
  <c r="W572" i="11"/>
  <c r="AE572" i="11"/>
  <c r="AM572" i="11"/>
  <c r="AU572" i="11"/>
  <c r="P572" i="11"/>
  <c r="X572" i="11"/>
  <c r="AF572" i="11"/>
  <c r="AN572" i="11"/>
  <c r="AV572" i="11"/>
  <c r="I572" i="11"/>
  <c r="Q572" i="11"/>
  <c r="Y572" i="11"/>
  <c r="AG572" i="11"/>
  <c r="AO572" i="11"/>
  <c r="R572" i="11"/>
  <c r="S572" i="11"/>
  <c r="Z572" i="11"/>
  <c r="AA572" i="11"/>
  <c r="AH572" i="11"/>
  <c r="AI572" i="11"/>
  <c r="J572" i="11"/>
  <c r="K572" i="11"/>
  <c r="AP572" i="11"/>
  <c r="AQ572" i="11"/>
  <c r="H707" i="4"/>
  <c r="I707" i="4"/>
  <c r="J707" i="4"/>
  <c r="K707" i="4"/>
  <c r="L824" i="11"/>
  <c r="T824" i="11"/>
  <c r="AB824" i="11"/>
  <c r="AJ824" i="11"/>
  <c r="AR824" i="11"/>
  <c r="P824" i="11"/>
  <c r="X824" i="11"/>
  <c r="AF824" i="11"/>
  <c r="AN824" i="11"/>
  <c r="AV824" i="11"/>
  <c r="I824" i="11"/>
  <c r="R824" i="11"/>
  <c r="AC824" i="11"/>
  <c r="AM824" i="11"/>
  <c r="S824" i="11"/>
  <c r="AD824" i="11"/>
  <c r="AO824" i="11"/>
  <c r="Q824" i="11"/>
  <c r="J824" i="11"/>
  <c r="U824" i="11"/>
  <c r="AE824" i="11"/>
  <c r="AP824" i="11"/>
  <c r="AA824" i="11"/>
  <c r="K824" i="11"/>
  <c r="V824" i="11"/>
  <c r="AG824" i="11"/>
  <c r="AQ824" i="11"/>
  <c r="M824" i="11"/>
  <c r="W824" i="11"/>
  <c r="AH824" i="11"/>
  <c r="AS824" i="11"/>
  <c r="N824" i="11"/>
  <c r="Y824" i="11"/>
  <c r="AI824" i="11"/>
  <c r="AT824" i="11"/>
  <c r="O824" i="11"/>
  <c r="Z824" i="11"/>
  <c r="AK824" i="11"/>
  <c r="AU824" i="11"/>
  <c r="AL824" i="11"/>
  <c r="H475" i="4"/>
  <c r="I475" i="4"/>
  <c r="J475" i="4"/>
  <c r="K475" i="4"/>
  <c r="H843" i="4"/>
  <c r="I843" i="4"/>
  <c r="J843" i="4"/>
  <c r="K843" i="4"/>
  <c r="H851" i="4"/>
  <c r="I851" i="4"/>
  <c r="J851" i="4"/>
  <c r="K851" i="4"/>
  <c r="H491" i="4"/>
  <c r="I491" i="4"/>
  <c r="J491" i="4"/>
  <c r="K491" i="4"/>
  <c r="I319" i="4"/>
  <c r="H319" i="4"/>
  <c r="J319" i="4"/>
  <c r="K319" i="4"/>
  <c r="H167" i="4"/>
  <c r="I167" i="4"/>
  <c r="J167" i="4"/>
  <c r="K167" i="4"/>
  <c r="H464" i="4"/>
  <c r="I464" i="4"/>
  <c r="J464" i="4"/>
  <c r="K464" i="4"/>
  <c r="I383" i="11"/>
  <c r="Q383" i="11"/>
  <c r="Y383" i="11"/>
  <c r="AG383" i="11"/>
  <c r="AO383" i="11"/>
  <c r="M383" i="11"/>
  <c r="U383" i="11"/>
  <c r="AC383" i="11"/>
  <c r="AK383" i="11"/>
  <c r="AS383" i="11"/>
  <c r="P383" i="11"/>
  <c r="AA383" i="11"/>
  <c r="AL383" i="11"/>
  <c r="AV383" i="11"/>
  <c r="R383" i="11"/>
  <c r="AB383" i="11"/>
  <c r="AM383" i="11"/>
  <c r="S383" i="11"/>
  <c r="AD383" i="11"/>
  <c r="AN383" i="11"/>
  <c r="J383" i="11"/>
  <c r="T383" i="11"/>
  <c r="AE383" i="11"/>
  <c r="AP383" i="11"/>
  <c r="K383" i="11"/>
  <c r="V383" i="11"/>
  <c r="AF383" i="11"/>
  <c r="AQ383" i="11"/>
  <c r="L383" i="11"/>
  <c r="W383" i="11"/>
  <c r="AH383" i="11"/>
  <c r="AR383" i="11"/>
  <c r="N383" i="11"/>
  <c r="O383" i="11"/>
  <c r="X383" i="11"/>
  <c r="Z383" i="11"/>
  <c r="AI383" i="11"/>
  <c r="AJ383" i="11"/>
  <c r="AT383" i="11"/>
  <c r="AU383" i="11"/>
  <c r="I70" i="4"/>
  <c r="K70" i="4"/>
  <c r="J70" i="4"/>
  <c r="H70" i="4"/>
  <c r="H223" i="4"/>
  <c r="J223" i="4"/>
  <c r="K223" i="4"/>
  <c r="I223" i="4"/>
  <c r="H286" i="4"/>
  <c r="J286" i="4"/>
  <c r="I286" i="4"/>
  <c r="K286" i="4"/>
  <c r="I124" i="4"/>
  <c r="H124" i="4"/>
  <c r="J124" i="4"/>
  <c r="K124" i="4"/>
  <c r="J69" i="4"/>
  <c r="I69" i="4"/>
  <c r="H69" i="4"/>
  <c r="K69" i="4"/>
  <c r="I294" i="4"/>
  <c r="H294" i="4"/>
  <c r="J294" i="4"/>
  <c r="K294" i="4"/>
  <c r="H553" i="4"/>
  <c r="I553" i="4"/>
  <c r="J553" i="4"/>
  <c r="K553" i="4"/>
  <c r="H259" i="4"/>
  <c r="I259" i="4"/>
  <c r="J259" i="4"/>
  <c r="K259" i="4"/>
  <c r="H195" i="4"/>
  <c r="I195" i="4"/>
  <c r="J195" i="4"/>
  <c r="K195" i="4"/>
  <c r="I131" i="4"/>
  <c r="J131" i="4"/>
  <c r="H131" i="4"/>
  <c r="K131" i="4"/>
  <c r="H76" i="4"/>
  <c r="K76" i="4"/>
  <c r="I76" i="4"/>
  <c r="J76" i="4"/>
  <c r="H402" i="4"/>
  <c r="I402" i="4"/>
  <c r="J402" i="4"/>
  <c r="K402" i="4"/>
  <c r="H742" i="4"/>
  <c r="I742" i="4"/>
  <c r="J742" i="4"/>
  <c r="K742" i="4"/>
  <c r="K662" i="11"/>
  <c r="S662" i="11"/>
  <c r="AA662" i="11"/>
  <c r="AI662" i="11"/>
  <c r="AQ662" i="11"/>
  <c r="L662" i="11"/>
  <c r="T662" i="11"/>
  <c r="AB662" i="11"/>
  <c r="AJ662" i="11"/>
  <c r="AR662" i="11"/>
  <c r="M662" i="11"/>
  <c r="U662" i="11"/>
  <c r="AC662" i="11"/>
  <c r="AK662" i="11"/>
  <c r="AS662" i="11"/>
  <c r="N662" i="11"/>
  <c r="V662" i="11"/>
  <c r="AD662" i="11"/>
  <c r="AL662" i="11"/>
  <c r="AT662" i="11"/>
  <c r="O662" i="11"/>
  <c r="W662" i="11"/>
  <c r="AE662" i="11"/>
  <c r="AM662" i="11"/>
  <c r="AU662" i="11"/>
  <c r="P662" i="11"/>
  <c r="X662" i="11"/>
  <c r="AF662" i="11"/>
  <c r="AN662" i="11"/>
  <c r="AV662" i="11"/>
  <c r="R662" i="11"/>
  <c r="Y662" i="11"/>
  <c r="Z662" i="11"/>
  <c r="AG662" i="11"/>
  <c r="AH662" i="11"/>
  <c r="I662" i="11"/>
  <c r="AO662" i="11"/>
  <c r="J662" i="11"/>
  <c r="AP662" i="11"/>
  <c r="Q662" i="11"/>
  <c r="H654" i="4"/>
  <c r="I654" i="4"/>
  <c r="J654" i="4"/>
  <c r="K654" i="4"/>
  <c r="H697" i="4"/>
  <c r="I697" i="4"/>
  <c r="J697" i="4"/>
  <c r="K697" i="4"/>
  <c r="H554" i="4"/>
  <c r="I554" i="4"/>
  <c r="J554" i="4"/>
  <c r="K554" i="4"/>
  <c r="H698" i="4"/>
  <c r="I698" i="4"/>
  <c r="J698" i="4"/>
  <c r="K698" i="4"/>
  <c r="H745" i="4"/>
  <c r="I745" i="4"/>
  <c r="J745" i="4"/>
  <c r="K745" i="4"/>
  <c r="K824" i="4"/>
  <c r="I824" i="4"/>
  <c r="J824" i="4"/>
  <c r="H824" i="4"/>
  <c r="H456" i="4"/>
  <c r="I456" i="4"/>
  <c r="K456" i="4"/>
  <c r="J456" i="4"/>
  <c r="N770" i="11"/>
  <c r="V770" i="11"/>
  <c r="AD770" i="11"/>
  <c r="J770" i="11"/>
  <c r="R770" i="11"/>
  <c r="Z770" i="11"/>
  <c r="AH770" i="11"/>
  <c r="L770" i="11"/>
  <c r="T770" i="11"/>
  <c r="AB770" i="11"/>
  <c r="AJ770" i="11"/>
  <c r="AR770" i="11"/>
  <c r="Q770" i="11"/>
  <c r="AE770" i="11"/>
  <c r="AO770" i="11"/>
  <c r="S770" i="11"/>
  <c r="AF770" i="11"/>
  <c r="AP770" i="11"/>
  <c r="U770" i="11"/>
  <c r="AG770" i="11"/>
  <c r="AQ770" i="11"/>
  <c r="I770" i="11"/>
  <c r="W770" i="11"/>
  <c r="AI770" i="11"/>
  <c r="AS770" i="11"/>
  <c r="K770" i="11"/>
  <c r="X770" i="11"/>
  <c r="AK770" i="11"/>
  <c r="AT770" i="11"/>
  <c r="M770" i="11"/>
  <c r="Y770" i="11"/>
  <c r="AL770" i="11"/>
  <c r="AU770" i="11"/>
  <c r="O770" i="11"/>
  <c r="AA770" i="11"/>
  <c r="AM770" i="11"/>
  <c r="AV770" i="11"/>
  <c r="AC770" i="11"/>
  <c r="AN770" i="11"/>
  <c r="P770" i="11"/>
  <c r="H563" i="4"/>
  <c r="I563" i="4"/>
  <c r="J563" i="4"/>
  <c r="K563" i="4"/>
  <c r="H519" i="4"/>
  <c r="I519" i="4"/>
  <c r="J519" i="4"/>
  <c r="K519" i="4"/>
  <c r="H589" i="4"/>
  <c r="I589" i="4"/>
  <c r="J589" i="4"/>
  <c r="K589" i="4"/>
  <c r="H582" i="4"/>
  <c r="I582" i="4"/>
  <c r="J582" i="4"/>
  <c r="K582" i="4"/>
  <c r="H670" i="4"/>
  <c r="I670" i="4"/>
  <c r="J670" i="4"/>
  <c r="K670" i="4"/>
  <c r="K825" i="4"/>
  <c r="H825" i="4"/>
  <c r="I825" i="4"/>
  <c r="J825" i="4"/>
  <c r="L806" i="11"/>
  <c r="T806" i="11"/>
  <c r="AB806" i="11"/>
  <c r="AJ806" i="11"/>
  <c r="AR806" i="11"/>
  <c r="M806" i="11"/>
  <c r="U806" i="11"/>
  <c r="AC806" i="11"/>
  <c r="AK806" i="11"/>
  <c r="AS806" i="11"/>
  <c r="P806" i="11"/>
  <c r="X806" i="11"/>
  <c r="AF806" i="11"/>
  <c r="AN806" i="11"/>
  <c r="AV806" i="11"/>
  <c r="I806" i="11"/>
  <c r="Q806" i="11"/>
  <c r="Y806" i="11"/>
  <c r="AG806" i="11"/>
  <c r="AO806" i="11"/>
  <c r="J806" i="11"/>
  <c r="R806" i="11"/>
  <c r="Z806" i="11"/>
  <c r="AH806" i="11"/>
  <c r="AP806" i="11"/>
  <c r="AA806" i="11"/>
  <c r="AU806" i="11"/>
  <c r="AD806" i="11"/>
  <c r="AT806" i="11"/>
  <c r="K806" i="11"/>
  <c r="AE806" i="11"/>
  <c r="N806" i="11"/>
  <c r="AI806" i="11"/>
  <c r="O806" i="11"/>
  <c r="AL806" i="11"/>
  <c r="S806" i="11"/>
  <c r="AM806" i="11"/>
  <c r="V806" i="11"/>
  <c r="AQ806" i="11"/>
  <c r="W806" i="11"/>
  <c r="H466" i="4"/>
  <c r="I466" i="4"/>
  <c r="J466" i="4"/>
  <c r="K466" i="4"/>
  <c r="H492" i="4"/>
  <c r="I492" i="4"/>
  <c r="J492" i="4"/>
  <c r="K492" i="4"/>
  <c r="H778" i="4"/>
  <c r="I778" i="4"/>
  <c r="J778" i="4"/>
  <c r="K778" i="4"/>
  <c r="H682" i="4"/>
  <c r="I682" i="4"/>
  <c r="J682" i="4"/>
  <c r="K682" i="4"/>
  <c r="H592" i="4"/>
  <c r="I592" i="4"/>
  <c r="J592" i="4"/>
  <c r="K592" i="4"/>
  <c r="H535" i="4"/>
  <c r="I535" i="4"/>
  <c r="J535" i="4"/>
  <c r="K535" i="4"/>
  <c r="H653" i="4"/>
  <c r="I653" i="4"/>
  <c r="J653" i="4"/>
  <c r="K653" i="4"/>
  <c r="H562" i="4"/>
  <c r="I562" i="4"/>
  <c r="J562" i="4"/>
  <c r="K562" i="4"/>
  <c r="H780" i="4"/>
  <c r="I780" i="4"/>
  <c r="J780" i="4"/>
  <c r="K780" i="4"/>
  <c r="H671" i="4"/>
  <c r="I671" i="4"/>
  <c r="J671" i="4"/>
  <c r="K671" i="4"/>
  <c r="H536" i="4"/>
  <c r="I536" i="4"/>
  <c r="J536" i="4"/>
  <c r="K536" i="4"/>
  <c r="H754" i="4"/>
  <c r="I754" i="4"/>
  <c r="J754" i="4"/>
  <c r="K754" i="4"/>
  <c r="H814" i="4"/>
  <c r="K814" i="4"/>
  <c r="I814" i="4"/>
  <c r="J814" i="4"/>
  <c r="H598" i="4"/>
  <c r="I598" i="4"/>
  <c r="J598" i="4"/>
  <c r="K598" i="4"/>
  <c r="H465" i="4"/>
  <c r="I465" i="4"/>
  <c r="J465" i="4"/>
  <c r="K465" i="4"/>
  <c r="H481" i="4"/>
  <c r="I481" i="4"/>
  <c r="J481" i="4"/>
  <c r="K481" i="4"/>
  <c r="H770" i="4"/>
  <c r="I770" i="4"/>
  <c r="J770" i="4"/>
  <c r="K770" i="4"/>
  <c r="H815" i="4"/>
  <c r="K815" i="4"/>
  <c r="J815" i="4"/>
  <c r="I815" i="4"/>
  <c r="H644" i="4"/>
  <c r="I644" i="4"/>
  <c r="J644" i="4"/>
  <c r="K644" i="4"/>
  <c r="H673" i="4"/>
  <c r="I673" i="4"/>
  <c r="J673" i="4"/>
  <c r="K673" i="4"/>
  <c r="H655" i="4"/>
  <c r="I655" i="4"/>
  <c r="J655" i="4"/>
  <c r="K655" i="4"/>
  <c r="H520" i="4"/>
  <c r="I520" i="4"/>
  <c r="J520" i="4"/>
  <c r="K520" i="4"/>
  <c r="H616" i="4"/>
  <c r="I616" i="4"/>
  <c r="J616" i="4"/>
  <c r="K616" i="4"/>
  <c r="K707" i="11"/>
  <c r="S707" i="11"/>
  <c r="AA707" i="11"/>
  <c r="AI707" i="11"/>
  <c r="AQ707" i="11"/>
  <c r="L707" i="11"/>
  <c r="T707" i="11"/>
  <c r="AB707" i="11"/>
  <c r="AJ707" i="11"/>
  <c r="AR707" i="11"/>
  <c r="M707" i="11"/>
  <c r="U707" i="11"/>
  <c r="AC707" i="11"/>
  <c r="AK707" i="11"/>
  <c r="AS707" i="11"/>
  <c r="N707" i="11"/>
  <c r="V707" i="11"/>
  <c r="AD707" i="11"/>
  <c r="AL707" i="11"/>
  <c r="AT707" i="11"/>
  <c r="O707" i="11"/>
  <c r="W707" i="11"/>
  <c r="AE707" i="11"/>
  <c r="AM707" i="11"/>
  <c r="AU707" i="11"/>
  <c r="P707" i="11"/>
  <c r="X707" i="11"/>
  <c r="AF707" i="11"/>
  <c r="AN707" i="11"/>
  <c r="AV707" i="11"/>
  <c r="Y707" i="11"/>
  <c r="Z707" i="11"/>
  <c r="AG707" i="11"/>
  <c r="AH707" i="11"/>
  <c r="AO707" i="11"/>
  <c r="I707" i="11"/>
  <c r="AP707" i="11"/>
  <c r="J707" i="11"/>
  <c r="Q707" i="11"/>
  <c r="R707" i="11"/>
  <c r="H573" i="4"/>
  <c r="I573" i="4"/>
  <c r="J573" i="4"/>
  <c r="K573" i="4"/>
  <c r="H601" i="4"/>
  <c r="I601" i="4"/>
  <c r="J601" i="4"/>
  <c r="K601" i="4"/>
  <c r="I771" i="4"/>
  <c r="J771" i="4"/>
  <c r="K771" i="4"/>
  <c r="H771" i="4"/>
  <c r="L797" i="11"/>
  <c r="T797" i="11"/>
  <c r="AB797" i="11"/>
  <c r="AJ797" i="11"/>
  <c r="AR797" i="11"/>
  <c r="M797" i="11"/>
  <c r="U797" i="11"/>
  <c r="AC797" i="11"/>
  <c r="AK797" i="11"/>
  <c r="AS797" i="11"/>
  <c r="P797" i="11"/>
  <c r="X797" i="11"/>
  <c r="AF797" i="11"/>
  <c r="AN797" i="11"/>
  <c r="AV797" i="11"/>
  <c r="I797" i="11"/>
  <c r="Q797" i="11"/>
  <c r="Y797" i="11"/>
  <c r="AG797" i="11"/>
  <c r="AO797" i="11"/>
  <c r="J797" i="11"/>
  <c r="R797" i="11"/>
  <c r="Z797" i="11"/>
  <c r="AH797" i="11"/>
  <c r="AP797" i="11"/>
  <c r="W797" i="11"/>
  <c r="AT797" i="11"/>
  <c r="AA797" i="11"/>
  <c r="AU797" i="11"/>
  <c r="AD797" i="11"/>
  <c r="K797" i="11"/>
  <c r="AE797" i="11"/>
  <c r="N797" i="11"/>
  <c r="AI797" i="11"/>
  <c r="O797" i="11"/>
  <c r="AL797" i="11"/>
  <c r="V797" i="11"/>
  <c r="S797" i="11"/>
  <c r="AM797" i="11"/>
  <c r="AQ797" i="11"/>
  <c r="K826" i="4"/>
  <c r="H826" i="4"/>
  <c r="I826" i="4"/>
  <c r="J826" i="4"/>
  <c r="I455" i="11"/>
  <c r="Q455" i="11"/>
  <c r="Y455" i="11"/>
  <c r="AG455" i="11"/>
  <c r="AO455" i="11"/>
  <c r="J455" i="11"/>
  <c r="R455" i="11"/>
  <c r="Z455" i="11"/>
  <c r="AH455" i="11"/>
  <c r="AP455" i="11"/>
  <c r="K455" i="11"/>
  <c r="S455" i="11"/>
  <c r="AA455" i="11"/>
  <c r="AI455" i="11"/>
  <c r="AQ455" i="11"/>
  <c r="L455" i="11"/>
  <c r="T455" i="11"/>
  <c r="AB455" i="11"/>
  <c r="AJ455" i="11"/>
  <c r="AR455" i="11"/>
  <c r="M455" i="11"/>
  <c r="U455" i="11"/>
  <c r="AC455" i="11"/>
  <c r="AK455" i="11"/>
  <c r="AS455" i="11"/>
  <c r="N455" i="11"/>
  <c r="V455" i="11"/>
  <c r="AD455" i="11"/>
  <c r="AL455" i="11"/>
  <c r="AT455" i="11"/>
  <c r="AE455" i="11"/>
  <c r="AF455" i="11"/>
  <c r="AM455" i="11"/>
  <c r="AN455" i="11"/>
  <c r="O455" i="11"/>
  <c r="AU455" i="11"/>
  <c r="P455" i="11"/>
  <c r="AV455" i="11"/>
  <c r="X455" i="11"/>
  <c r="W455" i="11"/>
  <c r="H718" i="4"/>
  <c r="I718" i="4"/>
  <c r="J718" i="4"/>
  <c r="K718" i="4"/>
  <c r="H600" i="4"/>
  <c r="I600" i="4"/>
  <c r="J600" i="4"/>
  <c r="K600" i="4"/>
  <c r="L554" i="11"/>
  <c r="T554" i="11"/>
  <c r="AB554" i="11"/>
  <c r="AJ554" i="11"/>
  <c r="AR554" i="11"/>
  <c r="M554" i="11"/>
  <c r="U554" i="11"/>
  <c r="AC554" i="11"/>
  <c r="AK554" i="11"/>
  <c r="AS554" i="11"/>
  <c r="N554" i="11"/>
  <c r="V554" i="11"/>
  <c r="AD554" i="11"/>
  <c r="AL554" i="11"/>
  <c r="AT554" i="11"/>
  <c r="O554" i="11"/>
  <c r="W554" i="11"/>
  <c r="AE554" i="11"/>
  <c r="AM554" i="11"/>
  <c r="AU554" i="11"/>
  <c r="P554" i="11"/>
  <c r="X554" i="11"/>
  <c r="AF554" i="11"/>
  <c r="AN554" i="11"/>
  <c r="AV554" i="11"/>
  <c r="I554" i="11"/>
  <c r="Q554" i="11"/>
  <c r="Y554" i="11"/>
  <c r="AG554" i="11"/>
  <c r="AO554" i="11"/>
  <c r="AH554" i="11"/>
  <c r="AI554" i="11"/>
  <c r="J554" i="11"/>
  <c r="AP554" i="11"/>
  <c r="K554" i="11"/>
  <c r="AQ554" i="11"/>
  <c r="R554" i="11"/>
  <c r="S554" i="11"/>
  <c r="AA554" i="11"/>
  <c r="Z554" i="11"/>
  <c r="K816" i="4"/>
  <c r="I816" i="4"/>
  <c r="J816" i="4"/>
  <c r="H816" i="4"/>
  <c r="H661" i="4"/>
  <c r="I661" i="4"/>
  <c r="J661" i="4"/>
  <c r="K661" i="4"/>
  <c r="H733" i="4"/>
  <c r="I733" i="4"/>
  <c r="J733" i="4"/>
  <c r="K733" i="4"/>
  <c r="H626" i="4"/>
  <c r="I626" i="4"/>
  <c r="J626" i="4"/>
  <c r="K626" i="4"/>
  <c r="H807" i="4"/>
  <c r="K807" i="4"/>
  <c r="J807" i="4"/>
  <c r="I807" i="4"/>
  <c r="H583" i="4"/>
  <c r="I583" i="4"/>
  <c r="J583" i="4"/>
  <c r="K583" i="4"/>
  <c r="K817" i="4"/>
  <c r="H817" i="4"/>
  <c r="I817" i="4"/>
  <c r="J817" i="4"/>
  <c r="H672" i="4"/>
  <c r="I672" i="4"/>
  <c r="J672" i="4"/>
  <c r="K672" i="4"/>
  <c r="H734" i="4"/>
  <c r="I734" i="4"/>
  <c r="J734" i="4"/>
  <c r="K734" i="4"/>
  <c r="L788" i="11"/>
  <c r="T788" i="11"/>
  <c r="AB788" i="11"/>
  <c r="AJ788" i="11"/>
  <c r="AR788" i="11"/>
  <c r="M788" i="11"/>
  <c r="U788" i="11"/>
  <c r="AC788" i="11"/>
  <c r="AK788" i="11"/>
  <c r="AS788" i="11"/>
  <c r="P788" i="11"/>
  <c r="X788" i="11"/>
  <c r="AF788" i="11"/>
  <c r="AN788" i="11"/>
  <c r="AV788" i="11"/>
  <c r="I788" i="11"/>
  <c r="Q788" i="11"/>
  <c r="Y788" i="11"/>
  <c r="AG788" i="11"/>
  <c r="AO788" i="11"/>
  <c r="J788" i="11"/>
  <c r="R788" i="11"/>
  <c r="Z788" i="11"/>
  <c r="AH788" i="11"/>
  <c r="AP788" i="11"/>
  <c r="V788" i="11"/>
  <c r="AQ788" i="11"/>
  <c r="W788" i="11"/>
  <c r="AT788" i="11"/>
  <c r="AA788" i="11"/>
  <c r="AU788" i="11"/>
  <c r="AD788" i="11"/>
  <c r="K788" i="11"/>
  <c r="AE788" i="11"/>
  <c r="N788" i="11"/>
  <c r="AI788" i="11"/>
  <c r="S788" i="11"/>
  <c r="O788" i="11"/>
  <c r="AL788" i="11"/>
  <c r="AM788" i="11"/>
  <c r="K680" i="11"/>
  <c r="S680" i="11"/>
  <c r="AA680" i="11"/>
  <c r="AI680" i="11"/>
  <c r="AQ680" i="11"/>
  <c r="L680" i="11"/>
  <c r="T680" i="11"/>
  <c r="AB680" i="11"/>
  <c r="AJ680" i="11"/>
  <c r="AR680" i="11"/>
  <c r="M680" i="11"/>
  <c r="U680" i="11"/>
  <c r="AC680" i="11"/>
  <c r="AK680" i="11"/>
  <c r="AS680" i="11"/>
  <c r="N680" i="11"/>
  <c r="V680" i="11"/>
  <c r="AD680" i="11"/>
  <c r="AL680" i="11"/>
  <c r="AT680" i="11"/>
  <c r="O680" i="11"/>
  <c r="W680" i="11"/>
  <c r="AE680" i="11"/>
  <c r="AM680" i="11"/>
  <c r="AU680" i="11"/>
  <c r="P680" i="11"/>
  <c r="X680" i="11"/>
  <c r="AF680" i="11"/>
  <c r="AN680" i="11"/>
  <c r="AV680" i="11"/>
  <c r="AH680" i="11"/>
  <c r="I680" i="11"/>
  <c r="AO680" i="11"/>
  <c r="J680" i="11"/>
  <c r="AP680" i="11"/>
  <c r="Q680" i="11"/>
  <c r="R680" i="11"/>
  <c r="Y680" i="11"/>
  <c r="Z680" i="11"/>
  <c r="AG680" i="11"/>
  <c r="I545" i="11"/>
  <c r="Q545" i="11"/>
  <c r="Y545" i="11"/>
  <c r="AG545" i="11"/>
  <c r="AO545" i="11"/>
  <c r="J545" i="11"/>
  <c r="R545" i="11"/>
  <c r="Z545" i="11"/>
  <c r="AH545" i="11"/>
  <c r="AP545" i="11"/>
  <c r="K545" i="11"/>
  <c r="S545" i="11"/>
  <c r="AA545" i="11"/>
  <c r="AI545" i="11"/>
  <c r="AQ545" i="11"/>
  <c r="L545" i="11"/>
  <c r="T545" i="11"/>
  <c r="AB545" i="11"/>
  <c r="AJ545" i="11"/>
  <c r="AR545" i="11"/>
  <c r="M545" i="11"/>
  <c r="U545" i="11"/>
  <c r="AC545" i="11"/>
  <c r="AK545" i="11"/>
  <c r="AS545" i="11"/>
  <c r="N545" i="11"/>
  <c r="V545" i="11"/>
  <c r="AD545" i="11"/>
  <c r="AL545" i="11"/>
  <c r="AT545" i="11"/>
  <c r="O545" i="11"/>
  <c r="AU545" i="11"/>
  <c r="P545" i="11"/>
  <c r="AV545" i="11"/>
  <c r="W545" i="11"/>
  <c r="X545" i="11"/>
  <c r="AE545" i="11"/>
  <c r="AF545" i="11"/>
  <c r="AM545" i="11"/>
  <c r="AN545" i="11"/>
  <c r="H537" i="4"/>
  <c r="I537" i="4"/>
  <c r="J537" i="4"/>
  <c r="K537" i="4"/>
  <c r="H852" i="4"/>
  <c r="I852" i="4"/>
  <c r="J852" i="4"/>
  <c r="K852" i="4"/>
  <c r="H572" i="4"/>
  <c r="I572" i="4"/>
  <c r="J572" i="4"/>
  <c r="K572" i="4"/>
  <c r="H700" i="4"/>
  <c r="I700" i="4"/>
  <c r="J700" i="4"/>
  <c r="K700" i="4"/>
  <c r="K653" i="11"/>
  <c r="S653" i="11"/>
  <c r="AA653" i="11"/>
  <c r="AI653" i="11"/>
  <c r="AQ653" i="11"/>
  <c r="L653" i="11"/>
  <c r="T653" i="11"/>
  <c r="AB653" i="11"/>
  <c r="AJ653" i="11"/>
  <c r="AR653" i="11"/>
  <c r="M653" i="11"/>
  <c r="U653" i="11"/>
  <c r="AC653" i="11"/>
  <c r="AK653" i="11"/>
  <c r="AS653" i="11"/>
  <c r="N653" i="11"/>
  <c r="V653" i="11"/>
  <c r="AD653" i="11"/>
  <c r="AL653" i="11"/>
  <c r="AT653" i="11"/>
  <c r="O653" i="11"/>
  <c r="W653" i="11"/>
  <c r="AE653" i="11"/>
  <c r="AM653" i="11"/>
  <c r="AU653" i="11"/>
  <c r="P653" i="11"/>
  <c r="X653" i="11"/>
  <c r="AF653" i="11"/>
  <c r="AN653" i="11"/>
  <c r="AV653" i="11"/>
  <c r="Z653" i="11"/>
  <c r="AG653" i="11"/>
  <c r="AH653" i="11"/>
  <c r="I653" i="11"/>
  <c r="AO653" i="11"/>
  <c r="J653" i="11"/>
  <c r="AP653" i="11"/>
  <c r="Q653" i="11"/>
  <c r="R653" i="11"/>
  <c r="Y653" i="11"/>
  <c r="H716" i="4"/>
  <c r="I716" i="4"/>
  <c r="J716" i="4"/>
  <c r="K716" i="4"/>
  <c r="H599" i="4"/>
  <c r="I599" i="4"/>
  <c r="J599" i="4"/>
  <c r="K599" i="4"/>
  <c r="H455" i="4"/>
  <c r="I455" i="4"/>
  <c r="J455" i="4"/>
  <c r="K455" i="4"/>
  <c r="K743" i="11"/>
  <c r="S743" i="11"/>
  <c r="AA743" i="11"/>
  <c r="AI743" i="11"/>
  <c r="AQ743" i="11"/>
  <c r="L743" i="11"/>
  <c r="T743" i="11"/>
  <c r="AB743" i="11"/>
  <c r="AJ743" i="11"/>
  <c r="AR743" i="11"/>
  <c r="M743" i="11"/>
  <c r="U743" i="11"/>
  <c r="AC743" i="11"/>
  <c r="AK743" i="11"/>
  <c r="AS743" i="11"/>
  <c r="N743" i="11"/>
  <c r="V743" i="11"/>
  <c r="AD743" i="11"/>
  <c r="AL743" i="11"/>
  <c r="AT743" i="11"/>
  <c r="O743" i="11"/>
  <c r="W743" i="11"/>
  <c r="AE743" i="11"/>
  <c r="AM743" i="11"/>
  <c r="AU743" i="11"/>
  <c r="P743" i="11"/>
  <c r="X743" i="11"/>
  <c r="AF743" i="11"/>
  <c r="AN743" i="11"/>
  <c r="AV743" i="11"/>
  <c r="Y743" i="11"/>
  <c r="J743" i="11"/>
  <c r="Q743" i="11"/>
  <c r="R743" i="11"/>
  <c r="Z743" i="11"/>
  <c r="AG743" i="11"/>
  <c r="AH743" i="11"/>
  <c r="AO743" i="11"/>
  <c r="I743" i="11"/>
  <c r="AP743" i="11"/>
  <c r="H482" i="4"/>
  <c r="I482" i="4"/>
  <c r="J482" i="4"/>
  <c r="K482" i="4"/>
  <c r="H735" i="4"/>
  <c r="I735" i="4"/>
  <c r="J735" i="4"/>
  <c r="K735" i="4"/>
  <c r="H688" i="4"/>
  <c r="I688" i="4"/>
  <c r="J688" i="4"/>
  <c r="K688" i="4"/>
  <c r="K671" i="11"/>
  <c r="S671" i="11"/>
  <c r="AA671" i="11"/>
  <c r="AI671" i="11"/>
  <c r="AQ671" i="11"/>
  <c r="L671" i="11"/>
  <c r="T671" i="11"/>
  <c r="AB671" i="11"/>
  <c r="AJ671" i="11"/>
  <c r="AR671" i="11"/>
  <c r="M671" i="11"/>
  <c r="U671" i="11"/>
  <c r="AC671" i="11"/>
  <c r="AK671" i="11"/>
  <c r="AS671" i="11"/>
  <c r="N671" i="11"/>
  <c r="V671" i="11"/>
  <c r="AD671" i="11"/>
  <c r="AL671" i="11"/>
  <c r="AT671" i="11"/>
  <c r="O671" i="11"/>
  <c r="W671" i="11"/>
  <c r="AE671" i="11"/>
  <c r="AM671" i="11"/>
  <c r="AU671" i="11"/>
  <c r="P671" i="11"/>
  <c r="X671" i="11"/>
  <c r="AF671" i="11"/>
  <c r="AN671" i="11"/>
  <c r="AV671" i="11"/>
  <c r="J671" i="11"/>
  <c r="AP671" i="11"/>
  <c r="Q671" i="11"/>
  <c r="R671" i="11"/>
  <c r="Y671" i="11"/>
  <c r="Z671" i="11"/>
  <c r="AG671" i="11"/>
  <c r="AH671" i="11"/>
  <c r="AO671" i="11"/>
  <c r="I671" i="11"/>
  <c r="H662" i="4"/>
  <c r="I662" i="4"/>
  <c r="J662" i="4"/>
  <c r="K662" i="4"/>
  <c r="H538" i="4"/>
  <c r="I538" i="4"/>
  <c r="J538" i="4"/>
  <c r="K538" i="4"/>
  <c r="H555" i="4"/>
  <c r="I555" i="4"/>
  <c r="J555" i="4"/>
  <c r="K555" i="4"/>
  <c r="L608" i="11"/>
  <c r="T608" i="11"/>
  <c r="AB608" i="11"/>
  <c r="AJ608" i="11"/>
  <c r="AR608" i="11"/>
  <c r="M608" i="11"/>
  <c r="U608" i="11"/>
  <c r="AC608" i="11"/>
  <c r="AK608" i="11"/>
  <c r="AS608" i="11"/>
  <c r="N608" i="11"/>
  <c r="V608" i="11"/>
  <c r="AD608" i="11"/>
  <c r="AL608" i="11"/>
  <c r="AT608" i="11"/>
  <c r="O608" i="11"/>
  <c r="W608" i="11"/>
  <c r="AE608" i="11"/>
  <c r="AM608" i="11"/>
  <c r="AU608" i="11"/>
  <c r="P608" i="11"/>
  <c r="X608" i="11"/>
  <c r="AF608" i="11"/>
  <c r="AN608" i="11"/>
  <c r="AV608" i="11"/>
  <c r="I608" i="11"/>
  <c r="Q608" i="11"/>
  <c r="Y608" i="11"/>
  <c r="AG608" i="11"/>
  <c r="AO608" i="11"/>
  <c r="R608" i="11"/>
  <c r="S608" i="11"/>
  <c r="Z608" i="11"/>
  <c r="AA608" i="11"/>
  <c r="AH608" i="11"/>
  <c r="AI608" i="11"/>
  <c r="AQ608" i="11"/>
  <c r="J608" i="11"/>
  <c r="K608" i="11"/>
  <c r="AP608" i="11"/>
  <c r="I473" i="11"/>
  <c r="Q473" i="11"/>
  <c r="Y473" i="11"/>
  <c r="AG473" i="11"/>
  <c r="AO473" i="11"/>
  <c r="J473" i="11"/>
  <c r="R473" i="11"/>
  <c r="Z473" i="11"/>
  <c r="AH473" i="11"/>
  <c r="AP473" i="11"/>
  <c r="K473" i="11"/>
  <c r="S473" i="11"/>
  <c r="AA473" i="11"/>
  <c r="AI473" i="11"/>
  <c r="AQ473" i="11"/>
  <c r="L473" i="11"/>
  <c r="T473" i="11"/>
  <c r="AB473" i="11"/>
  <c r="AJ473" i="11"/>
  <c r="AR473" i="11"/>
  <c r="M473" i="11"/>
  <c r="U473" i="11"/>
  <c r="AC473" i="11"/>
  <c r="AK473" i="11"/>
  <c r="AS473" i="11"/>
  <c r="N473" i="11"/>
  <c r="V473" i="11"/>
  <c r="AD473" i="11"/>
  <c r="AL473" i="11"/>
  <c r="AT473" i="11"/>
  <c r="O473" i="11"/>
  <c r="AU473" i="11"/>
  <c r="P473" i="11"/>
  <c r="AV473" i="11"/>
  <c r="W473" i="11"/>
  <c r="X473" i="11"/>
  <c r="AE473" i="11"/>
  <c r="AF473" i="11"/>
  <c r="AM473" i="11"/>
  <c r="AN473" i="11"/>
  <c r="H619" i="4"/>
  <c r="I619" i="4"/>
  <c r="J619" i="4"/>
  <c r="K619" i="4"/>
  <c r="H472" i="4"/>
  <c r="I472" i="4"/>
  <c r="K472" i="4"/>
  <c r="J472" i="4"/>
  <c r="L779" i="11"/>
  <c r="T779" i="11"/>
  <c r="AB779" i="11"/>
  <c r="AJ779" i="11"/>
  <c r="AR779" i="11"/>
  <c r="M779" i="11"/>
  <c r="U779" i="11"/>
  <c r="AC779" i="11"/>
  <c r="AK779" i="11"/>
  <c r="AS779" i="11"/>
  <c r="N779" i="11"/>
  <c r="V779" i="11"/>
  <c r="AD779" i="11"/>
  <c r="AL779" i="11"/>
  <c r="AT779" i="11"/>
  <c r="O779" i="11"/>
  <c r="W779" i="11"/>
  <c r="AE779" i="11"/>
  <c r="AM779" i="11"/>
  <c r="AU779" i="11"/>
  <c r="P779" i="11"/>
  <c r="X779" i="11"/>
  <c r="AF779" i="11"/>
  <c r="AN779" i="11"/>
  <c r="AV779" i="11"/>
  <c r="I779" i="11"/>
  <c r="Q779" i="11"/>
  <c r="Y779" i="11"/>
  <c r="AG779" i="11"/>
  <c r="AO779" i="11"/>
  <c r="J779" i="11"/>
  <c r="R779" i="11"/>
  <c r="Z779" i="11"/>
  <c r="AH779" i="11"/>
  <c r="AP779" i="11"/>
  <c r="K779" i="11"/>
  <c r="S779" i="11"/>
  <c r="AA779" i="11"/>
  <c r="AI779" i="11"/>
  <c r="AQ779" i="11"/>
  <c r="M446" i="11"/>
  <c r="U446" i="11"/>
  <c r="AC446" i="11"/>
  <c r="AK446" i="11"/>
  <c r="AS446" i="11"/>
  <c r="I446" i="11"/>
  <c r="Q446" i="11"/>
  <c r="Y446" i="11"/>
  <c r="AG446" i="11"/>
  <c r="AO446" i="11"/>
  <c r="R446" i="11"/>
  <c r="AB446" i="11"/>
  <c r="AM446" i="11"/>
  <c r="S446" i="11"/>
  <c r="AD446" i="11"/>
  <c r="AN446" i="11"/>
  <c r="J446" i="11"/>
  <c r="T446" i="11"/>
  <c r="AE446" i="11"/>
  <c r="AP446" i="11"/>
  <c r="K446" i="11"/>
  <c r="V446" i="11"/>
  <c r="AF446" i="11"/>
  <c r="AQ446" i="11"/>
  <c r="L446" i="11"/>
  <c r="W446" i="11"/>
  <c r="AH446" i="11"/>
  <c r="AR446" i="11"/>
  <c r="N446" i="11"/>
  <c r="X446" i="11"/>
  <c r="AI446" i="11"/>
  <c r="AT446" i="11"/>
  <c r="O446" i="11"/>
  <c r="P446" i="11"/>
  <c r="Z446" i="11"/>
  <c r="AA446" i="11"/>
  <c r="AJ446" i="11"/>
  <c r="AL446" i="11"/>
  <c r="AV446" i="11"/>
  <c r="AU446" i="11"/>
  <c r="H454" i="4"/>
  <c r="I454" i="4"/>
  <c r="J454" i="4"/>
  <c r="K454" i="4"/>
  <c r="L617" i="11"/>
  <c r="T617" i="11"/>
  <c r="AB617" i="11"/>
  <c r="AJ617" i="11"/>
  <c r="AR617" i="11"/>
  <c r="M617" i="11"/>
  <c r="U617" i="11"/>
  <c r="AC617" i="11"/>
  <c r="AK617" i="11"/>
  <c r="AS617" i="11"/>
  <c r="N617" i="11"/>
  <c r="V617" i="11"/>
  <c r="AD617" i="11"/>
  <c r="AL617" i="11"/>
  <c r="AT617" i="11"/>
  <c r="O617" i="11"/>
  <c r="W617" i="11"/>
  <c r="AE617" i="11"/>
  <c r="AM617" i="11"/>
  <c r="AU617" i="11"/>
  <c r="P617" i="11"/>
  <c r="X617" i="11"/>
  <c r="AF617" i="11"/>
  <c r="AN617" i="11"/>
  <c r="AV617" i="11"/>
  <c r="I617" i="11"/>
  <c r="Q617" i="11"/>
  <c r="Y617" i="11"/>
  <c r="AG617" i="11"/>
  <c r="AO617" i="11"/>
  <c r="J617" i="11"/>
  <c r="AP617" i="11"/>
  <c r="K617" i="11"/>
  <c r="AQ617" i="11"/>
  <c r="R617" i="11"/>
  <c r="S617" i="11"/>
  <c r="Z617" i="11"/>
  <c r="AA617" i="11"/>
  <c r="AH617" i="11"/>
  <c r="AI617" i="11"/>
  <c r="H680" i="4"/>
  <c r="I680" i="4"/>
  <c r="J680" i="4"/>
  <c r="K680" i="4"/>
  <c r="K716" i="11"/>
  <c r="S716" i="11"/>
  <c r="AA716" i="11"/>
  <c r="AI716" i="11"/>
  <c r="AQ716" i="11"/>
  <c r="L716" i="11"/>
  <c r="T716" i="11"/>
  <c r="AB716" i="11"/>
  <c r="AJ716" i="11"/>
  <c r="AR716" i="11"/>
  <c r="M716" i="11"/>
  <c r="U716" i="11"/>
  <c r="AC716" i="11"/>
  <c r="AK716" i="11"/>
  <c r="AS716" i="11"/>
  <c r="N716" i="11"/>
  <c r="V716" i="11"/>
  <c r="AD716" i="11"/>
  <c r="AL716" i="11"/>
  <c r="AT716" i="11"/>
  <c r="O716" i="11"/>
  <c r="W716" i="11"/>
  <c r="AE716" i="11"/>
  <c r="AM716" i="11"/>
  <c r="AU716" i="11"/>
  <c r="P716" i="11"/>
  <c r="X716" i="11"/>
  <c r="AF716" i="11"/>
  <c r="AN716" i="11"/>
  <c r="AV716" i="11"/>
  <c r="Q716" i="11"/>
  <c r="AG716" i="11"/>
  <c r="AH716" i="11"/>
  <c r="AO716" i="11"/>
  <c r="I716" i="11"/>
  <c r="AP716" i="11"/>
  <c r="J716" i="11"/>
  <c r="R716" i="11"/>
  <c r="Y716" i="11"/>
  <c r="Z716" i="11"/>
  <c r="H690" i="4"/>
  <c r="I690" i="4"/>
  <c r="J690" i="4"/>
  <c r="K690" i="4"/>
  <c r="H763" i="4"/>
  <c r="I763" i="4"/>
  <c r="J763" i="4"/>
  <c r="K763" i="4"/>
  <c r="H779" i="4"/>
  <c r="I779" i="4"/>
  <c r="J779" i="4"/>
  <c r="K779" i="4"/>
  <c r="H545" i="4"/>
  <c r="I545" i="4"/>
  <c r="K545" i="4"/>
  <c r="J545" i="4"/>
  <c r="H526" i="4"/>
  <c r="I526" i="4"/>
  <c r="J526" i="4"/>
  <c r="K526" i="4"/>
  <c r="H565" i="4"/>
  <c r="I565" i="4"/>
  <c r="J565" i="4"/>
  <c r="K565" i="4"/>
  <c r="H445" i="4"/>
  <c r="J445" i="4"/>
  <c r="K445" i="4"/>
  <c r="I445" i="4"/>
  <c r="H806" i="4"/>
  <c r="K806" i="4"/>
  <c r="I806" i="4"/>
  <c r="J806" i="4"/>
  <c r="H547" i="4"/>
  <c r="I547" i="4"/>
  <c r="J547" i="4"/>
  <c r="K547" i="4"/>
  <c r="H474" i="4"/>
  <c r="I474" i="4"/>
  <c r="J474" i="4"/>
  <c r="K474" i="4"/>
  <c r="H799" i="4"/>
  <c r="K799" i="4"/>
  <c r="J799" i="4"/>
  <c r="I799" i="4"/>
  <c r="H608" i="4"/>
  <c r="I608" i="4"/>
  <c r="J608" i="4"/>
  <c r="K608" i="4"/>
  <c r="H610" i="4"/>
  <c r="I610" i="4"/>
  <c r="J610" i="4"/>
  <c r="K610" i="4"/>
  <c r="L590" i="11"/>
  <c r="T590" i="11"/>
  <c r="AB590" i="11"/>
  <c r="AJ590" i="11"/>
  <c r="AR590" i="11"/>
  <c r="M590" i="11"/>
  <c r="U590" i="11"/>
  <c r="AC590" i="11"/>
  <c r="AK590" i="11"/>
  <c r="AS590" i="11"/>
  <c r="N590" i="11"/>
  <c r="V590" i="11"/>
  <c r="AD590" i="11"/>
  <c r="AL590" i="11"/>
  <c r="AT590" i="11"/>
  <c r="O590" i="11"/>
  <c r="W590" i="11"/>
  <c r="AE590" i="11"/>
  <c r="AM590" i="11"/>
  <c r="AU590" i="11"/>
  <c r="P590" i="11"/>
  <c r="X590" i="11"/>
  <c r="AF590" i="11"/>
  <c r="AN590" i="11"/>
  <c r="AV590" i="11"/>
  <c r="I590" i="11"/>
  <c r="Q590" i="11"/>
  <c r="Y590" i="11"/>
  <c r="AG590" i="11"/>
  <c r="AO590" i="11"/>
  <c r="AH590" i="11"/>
  <c r="AI590" i="11"/>
  <c r="J590" i="11"/>
  <c r="AP590" i="11"/>
  <c r="K590" i="11"/>
  <c r="AQ590" i="11"/>
  <c r="R590" i="11"/>
  <c r="S590" i="11"/>
  <c r="Z590" i="11"/>
  <c r="AA590" i="11"/>
  <c r="H706" i="4"/>
  <c r="I706" i="4"/>
  <c r="J706" i="4"/>
  <c r="K706" i="4"/>
  <c r="H625" i="4"/>
  <c r="I625" i="4"/>
  <c r="J625" i="4"/>
  <c r="K625" i="4"/>
  <c r="L644" i="11"/>
  <c r="T644" i="11"/>
  <c r="AB644" i="11"/>
  <c r="AJ644" i="11"/>
  <c r="AR644" i="11"/>
  <c r="M644" i="11"/>
  <c r="U644" i="11"/>
  <c r="AC644" i="11"/>
  <c r="AK644" i="11"/>
  <c r="AS644" i="11"/>
  <c r="N644" i="11"/>
  <c r="V644" i="11"/>
  <c r="AD644" i="11"/>
  <c r="AL644" i="11"/>
  <c r="AT644" i="11"/>
  <c r="O644" i="11"/>
  <c r="W644" i="11"/>
  <c r="AE644" i="11"/>
  <c r="AM644" i="11"/>
  <c r="AU644" i="11"/>
  <c r="P644" i="11"/>
  <c r="X644" i="11"/>
  <c r="AF644" i="11"/>
  <c r="AN644" i="11"/>
  <c r="AV644" i="11"/>
  <c r="I644" i="11"/>
  <c r="Q644" i="11"/>
  <c r="Y644" i="11"/>
  <c r="AG644" i="11"/>
  <c r="AO644" i="11"/>
  <c r="R644" i="11"/>
  <c r="S644" i="11"/>
  <c r="Z644" i="11"/>
  <c r="AA644" i="11"/>
  <c r="AH644" i="11"/>
  <c r="AI644" i="11"/>
  <c r="K644" i="11"/>
  <c r="AP644" i="11"/>
  <c r="AQ644" i="11"/>
  <c r="J644" i="11"/>
  <c r="H473" i="4"/>
  <c r="I473" i="4"/>
  <c r="J473" i="4"/>
  <c r="K473" i="4"/>
  <c r="H645" i="4"/>
  <c r="I645" i="4"/>
  <c r="J645" i="4"/>
  <c r="K645" i="4"/>
  <c r="H751" i="4"/>
  <c r="I751" i="4"/>
  <c r="J751" i="4"/>
  <c r="K751" i="4"/>
  <c r="H853" i="4"/>
  <c r="I853" i="4"/>
  <c r="J853" i="4"/>
  <c r="K853" i="4"/>
  <c r="H752" i="4"/>
  <c r="I752" i="4"/>
  <c r="J752" i="4"/>
  <c r="K752" i="4"/>
  <c r="K734" i="11"/>
  <c r="S734" i="11"/>
  <c r="AA734" i="11"/>
  <c r="AI734" i="11"/>
  <c r="AQ734" i="11"/>
  <c r="L734" i="11"/>
  <c r="T734" i="11"/>
  <c r="AB734" i="11"/>
  <c r="AJ734" i="11"/>
  <c r="AR734" i="11"/>
  <c r="M734" i="11"/>
  <c r="U734" i="11"/>
  <c r="AC734" i="11"/>
  <c r="AK734" i="11"/>
  <c r="AS734" i="11"/>
  <c r="N734" i="11"/>
  <c r="V734" i="11"/>
  <c r="AD734" i="11"/>
  <c r="AL734" i="11"/>
  <c r="AT734" i="11"/>
  <c r="O734" i="11"/>
  <c r="W734" i="11"/>
  <c r="AE734" i="11"/>
  <c r="AM734" i="11"/>
  <c r="AU734" i="11"/>
  <c r="P734" i="11"/>
  <c r="X734" i="11"/>
  <c r="AF734" i="11"/>
  <c r="AN734" i="11"/>
  <c r="AV734" i="11"/>
  <c r="AG734" i="11"/>
  <c r="I734" i="11"/>
  <c r="AP734" i="11"/>
  <c r="J734" i="11"/>
  <c r="Q734" i="11"/>
  <c r="R734" i="11"/>
  <c r="Y734" i="11"/>
  <c r="Z734" i="11"/>
  <c r="AH734" i="11"/>
  <c r="AO734" i="11"/>
  <c r="H787" i="4"/>
  <c r="I787" i="4"/>
  <c r="J787" i="4"/>
  <c r="K787" i="4"/>
  <c r="L581" i="11"/>
  <c r="T581" i="11"/>
  <c r="AB581" i="11"/>
  <c r="AJ581" i="11"/>
  <c r="AR581" i="11"/>
  <c r="M581" i="11"/>
  <c r="U581" i="11"/>
  <c r="AC581" i="11"/>
  <c r="AK581" i="11"/>
  <c r="AS581" i="11"/>
  <c r="N581" i="11"/>
  <c r="V581" i="11"/>
  <c r="AD581" i="11"/>
  <c r="AL581" i="11"/>
  <c r="AT581" i="11"/>
  <c r="O581" i="11"/>
  <c r="W581" i="11"/>
  <c r="AE581" i="11"/>
  <c r="AM581" i="11"/>
  <c r="AU581" i="11"/>
  <c r="P581" i="11"/>
  <c r="X581" i="11"/>
  <c r="AF581" i="11"/>
  <c r="AN581" i="11"/>
  <c r="AV581" i="11"/>
  <c r="I581" i="11"/>
  <c r="Q581" i="11"/>
  <c r="Y581" i="11"/>
  <c r="AG581" i="11"/>
  <c r="AO581" i="11"/>
  <c r="J581" i="11"/>
  <c r="AP581" i="11"/>
  <c r="K581" i="11"/>
  <c r="AQ581" i="11"/>
  <c r="R581" i="11"/>
  <c r="S581" i="11"/>
  <c r="Z581" i="11"/>
  <c r="AA581" i="11"/>
  <c r="AH581" i="11"/>
  <c r="AI581" i="11"/>
  <c r="H483" i="4"/>
  <c r="I483" i="4"/>
  <c r="J483" i="4"/>
  <c r="K483" i="4"/>
  <c r="H842" i="4"/>
  <c r="I842" i="4"/>
  <c r="J842" i="4"/>
  <c r="K842" i="4"/>
  <c r="H850" i="4"/>
  <c r="I850" i="4"/>
  <c r="J850" i="4"/>
  <c r="K850" i="4"/>
  <c r="K833" i="4"/>
  <c r="H833" i="4"/>
  <c r="I833" i="4"/>
  <c r="J833" i="4"/>
  <c r="H517" i="4"/>
  <c r="I517" i="4"/>
  <c r="J517" i="4"/>
  <c r="K517" i="4"/>
  <c r="H715" i="4"/>
  <c r="I715" i="4"/>
  <c r="J715" i="4"/>
  <c r="K715" i="4"/>
  <c r="H663" i="4"/>
  <c r="I663" i="4"/>
  <c r="J663" i="4"/>
  <c r="K663" i="4"/>
  <c r="H528" i="4"/>
  <c r="I528" i="4"/>
  <c r="J528" i="4"/>
  <c r="K528" i="4"/>
  <c r="H797" i="4"/>
  <c r="K797" i="4"/>
  <c r="I797" i="4"/>
  <c r="J797" i="4"/>
  <c r="H709" i="4"/>
  <c r="I709" i="4"/>
  <c r="J709" i="4"/>
  <c r="K709" i="4"/>
  <c r="K725" i="11"/>
  <c r="S725" i="11"/>
  <c r="AA725" i="11"/>
  <c r="AI725" i="11"/>
  <c r="AQ725" i="11"/>
  <c r="L725" i="11"/>
  <c r="T725" i="11"/>
  <c r="AB725" i="11"/>
  <c r="AJ725" i="11"/>
  <c r="AR725" i="11"/>
  <c r="M725" i="11"/>
  <c r="U725" i="11"/>
  <c r="AC725" i="11"/>
  <c r="AK725" i="11"/>
  <c r="AS725" i="11"/>
  <c r="N725" i="11"/>
  <c r="V725" i="11"/>
  <c r="AD725" i="11"/>
  <c r="AL725" i="11"/>
  <c r="AT725" i="11"/>
  <c r="O725" i="11"/>
  <c r="W725" i="11"/>
  <c r="AE725" i="11"/>
  <c r="AM725" i="11"/>
  <c r="AU725" i="11"/>
  <c r="P725" i="11"/>
  <c r="X725" i="11"/>
  <c r="AF725" i="11"/>
  <c r="AN725" i="11"/>
  <c r="AV725" i="11"/>
  <c r="I725" i="11"/>
  <c r="AO725" i="11"/>
  <c r="AH725" i="11"/>
  <c r="AP725" i="11"/>
  <c r="J725" i="11"/>
  <c r="Q725" i="11"/>
  <c r="R725" i="11"/>
  <c r="Y725" i="11"/>
  <c r="Z725" i="11"/>
  <c r="AG725" i="11"/>
  <c r="H448" i="4"/>
  <c r="I448" i="4"/>
  <c r="J448" i="4"/>
  <c r="K448" i="4"/>
  <c r="I536" i="11"/>
  <c r="Q536" i="11"/>
  <c r="Y536" i="11"/>
  <c r="AG536" i="11"/>
  <c r="AO536" i="11"/>
  <c r="J536" i="11"/>
  <c r="R536" i="11"/>
  <c r="Z536" i="11"/>
  <c r="AH536" i="11"/>
  <c r="AP536" i="11"/>
  <c r="K536" i="11"/>
  <c r="S536" i="11"/>
  <c r="AA536" i="11"/>
  <c r="AI536" i="11"/>
  <c r="AQ536" i="11"/>
  <c r="L536" i="11"/>
  <c r="T536" i="11"/>
  <c r="AB536" i="11"/>
  <c r="AJ536" i="11"/>
  <c r="AR536" i="11"/>
  <c r="M536" i="11"/>
  <c r="U536" i="11"/>
  <c r="AC536" i="11"/>
  <c r="AK536" i="11"/>
  <c r="AS536" i="11"/>
  <c r="N536" i="11"/>
  <c r="V536" i="11"/>
  <c r="AD536" i="11"/>
  <c r="AL536" i="11"/>
  <c r="AT536" i="11"/>
  <c r="W536" i="11"/>
  <c r="X536" i="11"/>
  <c r="AE536" i="11"/>
  <c r="AF536" i="11"/>
  <c r="AM536" i="11"/>
  <c r="AN536" i="11"/>
  <c r="O536" i="11"/>
  <c r="P536" i="11"/>
  <c r="AU536" i="11"/>
  <c r="AV536" i="11"/>
  <c r="H717" i="4"/>
  <c r="I717" i="4"/>
  <c r="J717" i="4"/>
  <c r="K717" i="4"/>
  <c r="K698" i="11"/>
  <c r="S698" i="11"/>
  <c r="AA698" i="11"/>
  <c r="AI698" i="11"/>
  <c r="AQ698" i="11"/>
  <c r="L698" i="11"/>
  <c r="T698" i="11"/>
  <c r="AB698" i="11"/>
  <c r="AJ698" i="11"/>
  <c r="AR698" i="11"/>
  <c r="M698" i="11"/>
  <c r="U698" i="11"/>
  <c r="AC698" i="11"/>
  <c r="AK698" i="11"/>
  <c r="AS698" i="11"/>
  <c r="N698" i="11"/>
  <c r="V698" i="11"/>
  <c r="AD698" i="11"/>
  <c r="AL698" i="11"/>
  <c r="AT698" i="11"/>
  <c r="O698" i="11"/>
  <c r="W698" i="11"/>
  <c r="AE698" i="11"/>
  <c r="AM698" i="11"/>
  <c r="AU698" i="11"/>
  <c r="P698" i="11"/>
  <c r="X698" i="11"/>
  <c r="AF698" i="11"/>
  <c r="AN698" i="11"/>
  <c r="AV698" i="11"/>
  <c r="AG698" i="11"/>
  <c r="R698" i="11"/>
  <c r="Y698" i="11"/>
  <c r="Z698" i="11"/>
  <c r="AH698" i="11"/>
  <c r="AO698" i="11"/>
  <c r="I698" i="11"/>
  <c r="AP698" i="11"/>
  <c r="J698" i="11"/>
  <c r="Q698" i="11"/>
  <c r="H726" i="4"/>
  <c r="I726" i="4"/>
  <c r="J726" i="4"/>
  <c r="K726" i="4"/>
  <c r="H736" i="4"/>
  <c r="I736" i="4"/>
  <c r="J736" i="4"/>
  <c r="K736" i="4"/>
  <c r="I761" i="11"/>
  <c r="Q761" i="11"/>
  <c r="Y761" i="11"/>
  <c r="AG761" i="11"/>
  <c r="AO761" i="11"/>
  <c r="R761" i="11"/>
  <c r="AA761" i="11"/>
  <c r="AJ761" i="11"/>
  <c r="AS761" i="11"/>
  <c r="J761" i="11"/>
  <c r="S761" i="11"/>
  <c r="AB761" i="11"/>
  <c r="AK761" i="11"/>
  <c r="AT761" i="11"/>
  <c r="M761" i="11"/>
  <c r="V761" i="11"/>
  <c r="AE761" i="11"/>
  <c r="AN761" i="11"/>
  <c r="N761" i="11"/>
  <c r="W761" i="11"/>
  <c r="AF761" i="11"/>
  <c r="AP761" i="11"/>
  <c r="O761" i="11"/>
  <c r="X761" i="11"/>
  <c r="AH761" i="11"/>
  <c r="AQ761" i="11"/>
  <c r="U761" i="11"/>
  <c r="AU761" i="11"/>
  <c r="Z761" i="11"/>
  <c r="AV761" i="11"/>
  <c r="AC761" i="11"/>
  <c r="AD761" i="11"/>
  <c r="K761" i="11"/>
  <c r="AI761" i="11"/>
  <c r="L761" i="11"/>
  <c r="AL761" i="11"/>
  <c r="P761" i="11"/>
  <c r="AM761" i="11"/>
  <c r="T761" i="11"/>
  <c r="AR761" i="11"/>
  <c r="H679" i="4"/>
  <c r="I679" i="4"/>
  <c r="J679" i="4"/>
  <c r="K679" i="4"/>
  <c r="H544" i="4"/>
  <c r="I544" i="4"/>
  <c r="J544" i="4"/>
  <c r="K544" i="4"/>
  <c r="H805" i="4"/>
  <c r="K805" i="4"/>
  <c r="I805" i="4"/>
  <c r="J805" i="4"/>
  <c r="H574" i="4"/>
  <c r="I574" i="4"/>
  <c r="J574" i="4"/>
  <c r="K574" i="4"/>
  <c r="I752" i="11"/>
  <c r="Q752" i="11"/>
  <c r="Y752" i="11"/>
  <c r="AG752" i="11"/>
  <c r="AO752" i="11"/>
  <c r="L752" i="11"/>
  <c r="U752" i="11"/>
  <c r="AD752" i="11"/>
  <c r="AM752" i="11"/>
  <c r="AV752" i="11"/>
  <c r="M752" i="11"/>
  <c r="V752" i="11"/>
  <c r="AE752" i="11"/>
  <c r="AN752" i="11"/>
  <c r="N752" i="11"/>
  <c r="W752" i="11"/>
  <c r="AF752" i="11"/>
  <c r="AP752" i="11"/>
  <c r="O752" i="11"/>
  <c r="X752" i="11"/>
  <c r="AH752" i="11"/>
  <c r="AQ752" i="11"/>
  <c r="P752" i="11"/>
  <c r="Z752" i="11"/>
  <c r="AI752" i="11"/>
  <c r="AR752" i="11"/>
  <c r="R752" i="11"/>
  <c r="AA752" i="11"/>
  <c r="AJ752" i="11"/>
  <c r="AS752" i="11"/>
  <c r="J752" i="11"/>
  <c r="S752" i="11"/>
  <c r="AB752" i="11"/>
  <c r="AK752" i="11"/>
  <c r="AT752" i="11"/>
  <c r="AU752" i="11"/>
  <c r="K752" i="11"/>
  <c r="T752" i="11"/>
  <c r="AC752" i="11"/>
  <c r="AL752" i="11"/>
  <c r="H527" i="4"/>
  <c r="I527" i="4"/>
  <c r="J527" i="4"/>
  <c r="K527" i="4"/>
  <c r="L626" i="11"/>
  <c r="T626" i="11"/>
  <c r="AB626" i="11"/>
  <c r="AJ626" i="11"/>
  <c r="AR626" i="11"/>
  <c r="M626" i="11"/>
  <c r="U626" i="11"/>
  <c r="AC626" i="11"/>
  <c r="AK626" i="11"/>
  <c r="AS626" i="11"/>
  <c r="N626" i="11"/>
  <c r="V626" i="11"/>
  <c r="AD626" i="11"/>
  <c r="AL626" i="11"/>
  <c r="AT626" i="11"/>
  <c r="O626" i="11"/>
  <c r="W626" i="11"/>
  <c r="AE626" i="11"/>
  <c r="AM626" i="11"/>
  <c r="AU626" i="11"/>
  <c r="P626" i="11"/>
  <c r="X626" i="11"/>
  <c r="AF626" i="11"/>
  <c r="AN626" i="11"/>
  <c r="AV626" i="11"/>
  <c r="I626" i="11"/>
  <c r="Q626" i="11"/>
  <c r="Y626" i="11"/>
  <c r="AG626" i="11"/>
  <c r="AO626" i="11"/>
  <c r="AH626" i="11"/>
  <c r="AI626" i="11"/>
  <c r="J626" i="11"/>
  <c r="AP626" i="11"/>
  <c r="K626" i="11"/>
  <c r="AQ626" i="11"/>
  <c r="R626" i="11"/>
  <c r="S626" i="11"/>
  <c r="Z626" i="11"/>
  <c r="AA626" i="11"/>
  <c r="H744" i="4"/>
  <c r="I744" i="4"/>
  <c r="J744" i="4"/>
  <c r="K744" i="4"/>
  <c r="L563" i="11"/>
  <c r="T563" i="11"/>
  <c r="AB563" i="11"/>
  <c r="AJ563" i="11"/>
  <c r="AR563" i="11"/>
  <c r="M563" i="11"/>
  <c r="U563" i="11"/>
  <c r="AC563" i="11"/>
  <c r="AK563" i="11"/>
  <c r="AS563" i="11"/>
  <c r="N563" i="11"/>
  <c r="V563" i="11"/>
  <c r="AD563" i="11"/>
  <c r="AL563" i="11"/>
  <c r="AT563" i="11"/>
  <c r="O563" i="11"/>
  <c r="W563" i="11"/>
  <c r="AE563" i="11"/>
  <c r="AM563" i="11"/>
  <c r="AU563" i="11"/>
  <c r="P563" i="11"/>
  <c r="X563" i="11"/>
  <c r="AF563" i="11"/>
  <c r="AN563" i="11"/>
  <c r="AV563" i="11"/>
  <c r="I563" i="11"/>
  <c r="Q563" i="11"/>
  <c r="Y563" i="11"/>
  <c r="AG563" i="11"/>
  <c r="AO563" i="11"/>
  <c r="Z563" i="11"/>
  <c r="AA563" i="11"/>
  <c r="AH563" i="11"/>
  <c r="AI563" i="11"/>
  <c r="J563" i="11"/>
  <c r="AP563" i="11"/>
  <c r="K563" i="11"/>
  <c r="AQ563" i="11"/>
  <c r="R563" i="11"/>
  <c r="S563" i="11"/>
  <c r="H529" i="4"/>
  <c r="I529" i="4"/>
  <c r="K529" i="4"/>
  <c r="J529" i="4"/>
  <c r="H725" i="4"/>
  <c r="I725" i="4"/>
  <c r="J725" i="4"/>
  <c r="K725" i="4"/>
  <c r="H664" i="4"/>
  <c r="I664" i="4"/>
  <c r="J664" i="4"/>
  <c r="K664" i="4"/>
  <c r="H789" i="4"/>
  <c r="I789" i="4"/>
  <c r="J789" i="4"/>
  <c r="K789" i="4"/>
  <c r="H652" i="4"/>
  <c r="I652" i="4"/>
  <c r="J652" i="4"/>
  <c r="K652" i="4"/>
  <c r="H643" i="4"/>
  <c r="I643" i="4"/>
  <c r="J643" i="4"/>
  <c r="K643" i="4"/>
  <c r="K835" i="4"/>
  <c r="H835" i="4"/>
  <c r="I835" i="4"/>
  <c r="J835" i="4"/>
  <c r="H708" i="4"/>
  <c r="I708" i="4"/>
  <c r="J708" i="4"/>
  <c r="K708" i="4"/>
  <c r="L842" i="11"/>
  <c r="T842" i="11"/>
  <c r="AB842" i="11"/>
  <c r="AJ842" i="11"/>
  <c r="AR842" i="11"/>
  <c r="M842" i="11"/>
  <c r="U842" i="11"/>
  <c r="AC842" i="11"/>
  <c r="AK842" i="11"/>
  <c r="AS842" i="11"/>
  <c r="AA842" i="11"/>
  <c r="N842" i="11"/>
  <c r="V842" i="11"/>
  <c r="AD842" i="11"/>
  <c r="AL842" i="11"/>
  <c r="AT842" i="11"/>
  <c r="AI842" i="11"/>
  <c r="O842" i="11"/>
  <c r="W842" i="11"/>
  <c r="AE842" i="11"/>
  <c r="AM842" i="11"/>
  <c r="AU842" i="11"/>
  <c r="P842" i="11"/>
  <c r="X842" i="11"/>
  <c r="AF842" i="11"/>
  <c r="AN842" i="11"/>
  <c r="AV842" i="11"/>
  <c r="I842" i="11"/>
  <c r="Q842" i="11"/>
  <c r="Y842" i="11"/>
  <c r="AG842" i="11"/>
  <c r="AO842" i="11"/>
  <c r="S842" i="11"/>
  <c r="J842" i="11"/>
  <c r="R842" i="11"/>
  <c r="Z842" i="11"/>
  <c r="AH842" i="11"/>
  <c r="AP842" i="11"/>
  <c r="K842" i="11"/>
  <c r="AQ842" i="11"/>
  <c r="H484" i="4"/>
  <c r="I484" i="4"/>
  <c r="J484" i="4"/>
  <c r="K484" i="4"/>
  <c r="I303" i="4"/>
  <c r="H303" i="4"/>
  <c r="J303" i="4"/>
  <c r="K303" i="4"/>
  <c r="H15" i="4"/>
  <c r="K15" i="4"/>
  <c r="I15" i="4"/>
  <c r="J15" i="4"/>
  <c r="H205" i="4"/>
  <c r="J205" i="4"/>
  <c r="K205" i="4"/>
  <c r="I205" i="4"/>
  <c r="K141" i="4"/>
  <c r="H141" i="4"/>
  <c r="I141" i="4"/>
  <c r="J141" i="4"/>
  <c r="H86" i="4"/>
  <c r="I86" i="4"/>
  <c r="K86" i="4"/>
  <c r="J86" i="4"/>
  <c r="H14" i="4"/>
  <c r="K14" i="4"/>
  <c r="J14" i="4"/>
  <c r="I14" i="4"/>
  <c r="H382" i="4"/>
  <c r="I382" i="4"/>
  <c r="J382" i="4"/>
  <c r="K382" i="4"/>
  <c r="H268" i="4"/>
  <c r="I268" i="4"/>
  <c r="J268" i="4"/>
  <c r="K268" i="4"/>
  <c r="H204" i="4"/>
  <c r="J204" i="4"/>
  <c r="K204" i="4"/>
  <c r="I204" i="4"/>
  <c r="K140" i="4"/>
  <c r="I140" i="4"/>
  <c r="H140" i="4"/>
  <c r="J140" i="4"/>
  <c r="H85" i="4"/>
  <c r="J85" i="4"/>
  <c r="I85" i="4"/>
  <c r="K85" i="4"/>
  <c r="H13" i="4"/>
  <c r="K13" i="4"/>
  <c r="I13" i="4"/>
  <c r="J13" i="4"/>
  <c r="L392" i="11"/>
  <c r="T392" i="11"/>
  <c r="AB392" i="11"/>
  <c r="AJ392" i="11"/>
  <c r="AR392" i="11"/>
  <c r="M392" i="11"/>
  <c r="U392" i="11"/>
  <c r="AC392" i="11"/>
  <c r="AK392" i="11"/>
  <c r="AS392" i="11"/>
  <c r="N392" i="11"/>
  <c r="V392" i="11"/>
  <c r="AD392" i="11"/>
  <c r="AL392" i="11"/>
  <c r="AT392" i="11"/>
  <c r="O392" i="11"/>
  <c r="W392" i="11"/>
  <c r="AE392" i="11"/>
  <c r="AM392" i="11"/>
  <c r="AU392" i="11"/>
  <c r="P392" i="11"/>
  <c r="X392" i="11"/>
  <c r="AF392" i="11"/>
  <c r="AN392" i="11"/>
  <c r="AV392" i="11"/>
  <c r="I392" i="11"/>
  <c r="Q392" i="11"/>
  <c r="Y392" i="11"/>
  <c r="AG392" i="11"/>
  <c r="AO392" i="11"/>
  <c r="R392" i="11"/>
  <c r="S392" i="11"/>
  <c r="Z392" i="11"/>
  <c r="AA392" i="11"/>
  <c r="AH392" i="11"/>
  <c r="AI392" i="11"/>
  <c r="AP392" i="11"/>
  <c r="AQ392" i="11"/>
  <c r="J392" i="11"/>
  <c r="K392" i="11"/>
  <c r="H403" i="4"/>
  <c r="I403" i="4"/>
  <c r="J403" i="4"/>
  <c r="K403" i="4"/>
  <c r="I339" i="4"/>
  <c r="H339" i="4"/>
  <c r="J339" i="4"/>
  <c r="K339" i="4"/>
  <c r="J275" i="4"/>
  <c r="K275" i="4"/>
  <c r="H275" i="4"/>
  <c r="I275" i="4"/>
  <c r="H211" i="4"/>
  <c r="J211" i="4"/>
  <c r="K211" i="4"/>
  <c r="I211" i="4"/>
  <c r="P149" i="11"/>
  <c r="X149" i="11"/>
  <c r="AF149" i="11"/>
  <c r="AN149" i="11"/>
  <c r="AV149" i="11"/>
  <c r="K149" i="11"/>
  <c r="S149" i="11"/>
  <c r="AA149" i="11"/>
  <c r="AI149" i="11"/>
  <c r="AQ149" i="11"/>
  <c r="Q149" i="11"/>
  <c r="AB149" i="11"/>
  <c r="AL149" i="11"/>
  <c r="O149" i="11"/>
  <c r="AC149" i="11"/>
  <c r="AO149" i="11"/>
  <c r="R149" i="11"/>
  <c r="AD149" i="11"/>
  <c r="AP149" i="11"/>
  <c r="T149" i="11"/>
  <c r="AE149" i="11"/>
  <c r="AR149" i="11"/>
  <c r="I149" i="11"/>
  <c r="U149" i="11"/>
  <c r="AG149" i="11"/>
  <c r="AS149" i="11"/>
  <c r="N149" i="11"/>
  <c r="AM149" i="11"/>
  <c r="W149" i="11"/>
  <c r="AU149" i="11"/>
  <c r="Y149" i="11"/>
  <c r="Z149" i="11"/>
  <c r="J149" i="11"/>
  <c r="AH149" i="11"/>
  <c r="AK149" i="11"/>
  <c r="L149" i="11"/>
  <c r="M149" i="11"/>
  <c r="AJ149" i="11"/>
  <c r="AT149" i="11"/>
  <c r="V149" i="11"/>
  <c r="H374" i="4"/>
  <c r="I374" i="4"/>
  <c r="J374" i="4"/>
  <c r="K374" i="4"/>
  <c r="H418" i="4"/>
  <c r="I418" i="4"/>
  <c r="J418" i="4"/>
  <c r="K418" i="4"/>
  <c r="P356" i="11"/>
  <c r="X356" i="11"/>
  <c r="AF356" i="11"/>
  <c r="AN356" i="11"/>
  <c r="AV356" i="11"/>
  <c r="I356" i="11"/>
  <c r="Q356" i="11"/>
  <c r="Y356" i="11"/>
  <c r="AG356" i="11"/>
  <c r="AO356" i="11"/>
  <c r="J356" i="11"/>
  <c r="R356" i="11"/>
  <c r="Z356" i="11"/>
  <c r="AH356" i="11"/>
  <c r="AP356" i="11"/>
  <c r="K356" i="11"/>
  <c r="S356" i="11"/>
  <c r="AA356" i="11"/>
  <c r="AI356" i="11"/>
  <c r="AQ356" i="11"/>
  <c r="M356" i="11"/>
  <c r="U356" i="11"/>
  <c r="AC356" i="11"/>
  <c r="AK356" i="11"/>
  <c r="AS356" i="11"/>
  <c r="T356" i="11"/>
  <c r="AM356" i="11"/>
  <c r="V356" i="11"/>
  <c r="AR356" i="11"/>
  <c r="W356" i="11"/>
  <c r="AT356" i="11"/>
  <c r="AB356" i="11"/>
  <c r="AU356" i="11"/>
  <c r="AD356" i="11"/>
  <c r="L356" i="11"/>
  <c r="AE356" i="11"/>
  <c r="N356" i="11"/>
  <c r="O356" i="11"/>
  <c r="AJ356" i="11"/>
  <c r="AL356" i="11"/>
  <c r="H393" i="4"/>
  <c r="I393" i="4"/>
  <c r="J393" i="4"/>
  <c r="K393" i="4"/>
  <c r="I329" i="4"/>
  <c r="H329" i="4"/>
  <c r="J329" i="4"/>
  <c r="K329" i="4"/>
  <c r="H265" i="4"/>
  <c r="I265" i="4"/>
  <c r="J265" i="4"/>
  <c r="K265" i="4"/>
  <c r="M203" i="11"/>
  <c r="U203" i="11"/>
  <c r="AC203" i="11"/>
  <c r="AK203" i="11"/>
  <c r="AS203" i="11"/>
  <c r="L203" i="11"/>
  <c r="V203" i="11"/>
  <c r="AE203" i="11"/>
  <c r="AN203" i="11"/>
  <c r="O203" i="11"/>
  <c r="X203" i="11"/>
  <c r="AG203" i="11"/>
  <c r="AP203" i="11"/>
  <c r="P203" i="11"/>
  <c r="Y203" i="11"/>
  <c r="AH203" i="11"/>
  <c r="AQ203" i="11"/>
  <c r="Q203" i="11"/>
  <c r="Z203" i="11"/>
  <c r="AI203" i="11"/>
  <c r="AR203" i="11"/>
  <c r="I203" i="11"/>
  <c r="R203" i="11"/>
  <c r="AA203" i="11"/>
  <c r="AJ203" i="11"/>
  <c r="AT203" i="11"/>
  <c r="AB203" i="11"/>
  <c r="AD203" i="11"/>
  <c r="J203" i="11"/>
  <c r="AF203" i="11"/>
  <c r="K203" i="11"/>
  <c r="AL203" i="11"/>
  <c r="N203" i="11"/>
  <c r="AM203" i="11"/>
  <c r="S203" i="11"/>
  <c r="AO203" i="11"/>
  <c r="T203" i="11"/>
  <c r="W203" i="11"/>
  <c r="AU203" i="11"/>
  <c r="AV203" i="11"/>
  <c r="H247" i="4"/>
  <c r="J247" i="4"/>
  <c r="K247" i="4"/>
  <c r="I247" i="4"/>
  <c r="K358" i="4"/>
  <c r="H358" i="4"/>
  <c r="I358" i="4"/>
  <c r="J358" i="4"/>
  <c r="K23" i="4"/>
  <c r="I23" i="4"/>
  <c r="J23" i="4"/>
  <c r="H23" i="4"/>
  <c r="H392" i="4"/>
  <c r="I392" i="4"/>
  <c r="J392" i="4"/>
  <c r="K392" i="4"/>
  <c r="I311" i="4"/>
  <c r="H311" i="4"/>
  <c r="J311" i="4"/>
  <c r="K311" i="4"/>
  <c r="H391" i="4"/>
  <c r="I391" i="4"/>
  <c r="J391" i="4"/>
  <c r="K391" i="4"/>
  <c r="H16" i="4"/>
  <c r="K16" i="4"/>
  <c r="I16" i="4"/>
  <c r="J16" i="4"/>
  <c r="K142" i="4"/>
  <c r="H142" i="4"/>
  <c r="I142" i="4"/>
  <c r="J142" i="4"/>
  <c r="H421" i="4"/>
  <c r="J421" i="4"/>
  <c r="K421" i="4"/>
  <c r="I421" i="4"/>
  <c r="K357" i="4"/>
  <c r="H357" i="4"/>
  <c r="I357" i="4"/>
  <c r="J357" i="4"/>
  <c r="I293" i="4"/>
  <c r="J293" i="4"/>
  <c r="H293" i="4"/>
  <c r="K293" i="4"/>
  <c r="H229" i="4"/>
  <c r="J229" i="4"/>
  <c r="K229" i="4"/>
  <c r="I229" i="4"/>
  <c r="J167" i="11"/>
  <c r="R167" i="11"/>
  <c r="Z167" i="11"/>
  <c r="AH167" i="11"/>
  <c r="AP167" i="11"/>
  <c r="K167" i="11"/>
  <c r="S167" i="11"/>
  <c r="AA167" i="11"/>
  <c r="AI167" i="11"/>
  <c r="AQ167" i="11"/>
  <c r="L167" i="11"/>
  <c r="T167" i="11"/>
  <c r="AB167" i="11"/>
  <c r="AJ167" i="11"/>
  <c r="AR167" i="11"/>
  <c r="M167" i="11"/>
  <c r="U167" i="11"/>
  <c r="AC167" i="11"/>
  <c r="AK167" i="11"/>
  <c r="AS167" i="11"/>
  <c r="Q167" i="11"/>
  <c r="AG167" i="11"/>
  <c r="W167" i="11"/>
  <c r="AM167" i="11"/>
  <c r="X167" i="11"/>
  <c r="AN167" i="11"/>
  <c r="I167" i="11"/>
  <c r="Y167" i="11"/>
  <c r="AO167" i="11"/>
  <c r="N167" i="11"/>
  <c r="AD167" i="11"/>
  <c r="AT167" i="11"/>
  <c r="AU167" i="11"/>
  <c r="O167" i="11"/>
  <c r="P167" i="11"/>
  <c r="V167" i="11"/>
  <c r="AE167" i="11"/>
  <c r="AV167" i="11"/>
  <c r="AL167" i="11"/>
  <c r="AF167" i="11"/>
  <c r="H88" i="4"/>
  <c r="I88" i="4"/>
  <c r="J88" i="4"/>
  <c r="K88" i="4"/>
  <c r="J176" i="11"/>
  <c r="R176" i="11"/>
  <c r="Z176" i="11"/>
  <c r="AH176" i="11"/>
  <c r="AP176" i="11"/>
  <c r="K176" i="11"/>
  <c r="S176" i="11"/>
  <c r="AA176" i="11"/>
  <c r="AI176" i="11"/>
  <c r="AQ176" i="11"/>
  <c r="L176" i="11"/>
  <c r="T176" i="11"/>
  <c r="AB176" i="11"/>
  <c r="AJ176" i="11"/>
  <c r="AR176" i="11"/>
  <c r="M176" i="11"/>
  <c r="U176" i="11"/>
  <c r="AC176" i="11"/>
  <c r="AK176" i="11"/>
  <c r="AS176" i="11"/>
  <c r="I176" i="11"/>
  <c r="Y176" i="11"/>
  <c r="AO176" i="11"/>
  <c r="O176" i="11"/>
  <c r="AE176" i="11"/>
  <c r="AU176" i="11"/>
  <c r="P176" i="11"/>
  <c r="AF176" i="11"/>
  <c r="AV176" i="11"/>
  <c r="Q176" i="11"/>
  <c r="AG176" i="11"/>
  <c r="V176" i="11"/>
  <c r="AL176" i="11"/>
  <c r="X176" i="11"/>
  <c r="AM176" i="11"/>
  <c r="AN176" i="11"/>
  <c r="AT176" i="11"/>
  <c r="AD176" i="11"/>
  <c r="N176" i="11"/>
  <c r="W176" i="11"/>
  <c r="H420" i="4"/>
  <c r="I420" i="4"/>
  <c r="J420" i="4"/>
  <c r="K420" i="4"/>
  <c r="K356" i="4"/>
  <c r="H356" i="4"/>
  <c r="I356" i="4"/>
  <c r="J356" i="4"/>
  <c r="I292" i="4"/>
  <c r="H292" i="4"/>
  <c r="J292" i="4"/>
  <c r="K292" i="4"/>
  <c r="M230" i="11"/>
  <c r="U230" i="11"/>
  <c r="AC230" i="11"/>
  <c r="AK230" i="11"/>
  <c r="AS230" i="11"/>
  <c r="O230" i="11"/>
  <c r="W230" i="11"/>
  <c r="AE230" i="11"/>
  <c r="AM230" i="11"/>
  <c r="AU230" i="11"/>
  <c r="P230" i="11"/>
  <c r="X230" i="11"/>
  <c r="AF230" i="11"/>
  <c r="AN230" i="11"/>
  <c r="AV230" i="11"/>
  <c r="I230" i="11"/>
  <c r="Q230" i="11"/>
  <c r="Y230" i="11"/>
  <c r="AG230" i="11"/>
  <c r="AO230" i="11"/>
  <c r="J230" i="11"/>
  <c r="R230" i="11"/>
  <c r="Z230" i="11"/>
  <c r="AH230" i="11"/>
  <c r="AP230" i="11"/>
  <c r="T230" i="11"/>
  <c r="AQ230" i="11"/>
  <c r="AA230" i="11"/>
  <c r="AT230" i="11"/>
  <c r="AB230" i="11"/>
  <c r="K230" i="11"/>
  <c r="AD230" i="11"/>
  <c r="L230" i="11"/>
  <c r="AI230" i="11"/>
  <c r="N230" i="11"/>
  <c r="S230" i="11"/>
  <c r="V230" i="11"/>
  <c r="AJ230" i="11"/>
  <c r="AL230" i="11"/>
  <c r="AR230" i="11"/>
  <c r="H166" i="4"/>
  <c r="J166" i="4"/>
  <c r="K166" i="4"/>
  <c r="I166" i="4"/>
  <c r="H427" i="4"/>
  <c r="I427" i="4"/>
  <c r="J427" i="4"/>
  <c r="K427" i="4"/>
  <c r="P365" i="11"/>
  <c r="X365" i="11"/>
  <c r="AF365" i="11"/>
  <c r="AN365" i="11"/>
  <c r="AV365" i="11"/>
  <c r="I365" i="11"/>
  <c r="Q365" i="11"/>
  <c r="Y365" i="11"/>
  <c r="AG365" i="11"/>
  <c r="AO365" i="11"/>
  <c r="K365" i="11"/>
  <c r="S365" i="11"/>
  <c r="AA365" i="11"/>
  <c r="AI365" i="11"/>
  <c r="AQ365" i="11"/>
  <c r="M365" i="11"/>
  <c r="U365" i="11"/>
  <c r="AC365" i="11"/>
  <c r="AK365" i="11"/>
  <c r="AS365" i="11"/>
  <c r="L365" i="11"/>
  <c r="AB365" i="11"/>
  <c r="AR365" i="11"/>
  <c r="N365" i="11"/>
  <c r="AD365" i="11"/>
  <c r="AT365" i="11"/>
  <c r="O365" i="11"/>
  <c r="AE365" i="11"/>
  <c r="AU365" i="11"/>
  <c r="R365" i="11"/>
  <c r="AH365" i="11"/>
  <c r="T365" i="11"/>
  <c r="AJ365" i="11"/>
  <c r="V365" i="11"/>
  <c r="AL365" i="11"/>
  <c r="AM365" i="11"/>
  <c r="AP365" i="11"/>
  <c r="J365" i="11"/>
  <c r="W365" i="11"/>
  <c r="Z365" i="11"/>
  <c r="I52" i="4"/>
  <c r="J52" i="4"/>
  <c r="K52" i="4"/>
  <c r="H52" i="4"/>
  <c r="H250" i="4"/>
  <c r="J250" i="4"/>
  <c r="I250" i="4"/>
  <c r="K250" i="4"/>
  <c r="H186" i="4"/>
  <c r="J186" i="4"/>
  <c r="I186" i="4"/>
  <c r="K186" i="4"/>
  <c r="I122" i="4"/>
  <c r="K122" i="4"/>
  <c r="H122" i="4"/>
  <c r="J122" i="4"/>
  <c r="H59" i="4"/>
  <c r="I59" i="4"/>
  <c r="J59" i="4"/>
  <c r="K59" i="4"/>
  <c r="J185" i="11"/>
  <c r="R185" i="11"/>
  <c r="Z185" i="11"/>
  <c r="AH185" i="11"/>
  <c r="AP185" i="11"/>
  <c r="K185" i="11"/>
  <c r="S185" i="11"/>
  <c r="AA185" i="11"/>
  <c r="AI185" i="11"/>
  <c r="AQ185" i="11"/>
  <c r="L185" i="11"/>
  <c r="T185" i="11"/>
  <c r="AB185" i="11"/>
  <c r="AJ185" i="11"/>
  <c r="AR185" i="11"/>
  <c r="M185" i="11"/>
  <c r="U185" i="11"/>
  <c r="AC185" i="11"/>
  <c r="AK185" i="11"/>
  <c r="AS185" i="11"/>
  <c r="Q185" i="11"/>
  <c r="AG185" i="11"/>
  <c r="W185" i="11"/>
  <c r="AM185" i="11"/>
  <c r="X185" i="11"/>
  <c r="AN185" i="11"/>
  <c r="I185" i="11"/>
  <c r="Y185" i="11"/>
  <c r="AO185" i="11"/>
  <c r="N185" i="11"/>
  <c r="AD185" i="11"/>
  <c r="AT185" i="11"/>
  <c r="AV185" i="11"/>
  <c r="P185" i="11"/>
  <c r="V185" i="11"/>
  <c r="AE185" i="11"/>
  <c r="AF185" i="11"/>
  <c r="O185" i="11"/>
  <c r="AL185" i="11"/>
  <c r="AU185" i="11"/>
  <c r="L419" i="11"/>
  <c r="T419" i="11"/>
  <c r="AB419" i="11"/>
  <c r="AJ419" i="11"/>
  <c r="AR419" i="11"/>
  <c r="M419" i="11"/>
  <c r="U419" i="11"/>
  <c r="AC419" i="11"/>
  <c r="AK419" i="11"/>
  <c r="AS419" i="11"/>
  <c r="N419" i="11"/>
  <c r="V419" i="11"/>
  <c r="AD419" i="11"/>
  <c r="AL419" i="11"/>
  <c r="AT419" i="11"/>
  <c r="O419" i="11"/>
  <c r="W419" i="11"/>
  <c r="AE419" i="11"/>
  <c r="AM419" i="11"/>
  <c r="AU419" i="11"/>
  <c r="I419" i="11"/>
  <c r="Q419" i="11"/>
  <c r="Y419" i="11"/>
  <c r="AG419" i="11"/>
  <c r="AO419" i="11"/>
  <c r="P419" i="11"/>
  <c r="AI419" i="11"/>
  <c r="R419" i="11"/>
  <c r="AN419" i="11"/>
  <c r="S419" i="11"/>
  <c r="AP419" i="11"/>
  <c r="X419" i="11"/>
  <c r="AQ419" i="11"/>
  <c r="Z419" i="11"/>
  <c r="AV419" i="11"/>
  <c r="AA419" i="11"/>
  <c r="AF419" i="11"/>
  <c r="AH419" i="11"/>
  <c r="J419" i="11"/>
  <c r="K419" i="11"/>
  <c r="H106" i="4"/>
  <c r="I106" i="4"/>
  <c r="J106" i="4"/>
  <c r="K106" i="4"/>
  <c r="J34" i="4"/>
  <c r="I34" i="4"/>
  <c r="H34" i="4"/>
  <c r="K34" i="4"/>
  <c r="H40" i="4"/>
  <c r="I40" i="4"/>
  <c r="J40" i="4"/>
  <c r="K40" i="4"/>
  <c r="K150" i="4"/>
  <c r="I150" i="4"/>
  <c r="J150" i="4"/>
  <c r="H150" i="4"/>
  <c r="H160" i="4"/>
  <c r="J160" i="4"/>
  <c r="K160" i="4"/>
  <c r="I160" i="4"/>
  <c r="H105" i="4"/>
  <c r="J105" i="4"/>
  <c r="K105" i="4"/>
  <c r="I105" i="4"/>
  <c r="H33" i="4"/>
  <c r="J33" i="4"/>
  <c r="K33" i="4"/>
  <c r="I33" i="4"/>
  <c r="I41" i="11"/>
  <c r="Q41" i="11"/>
  <c r="Y41" i="11"/>
  <c r="AG41" i="11"/>
  <c r="AO41" i="11"/>
  <c r="L41" i="11"/>
  <c r="T41" i="11"/>
  <c r="AB41" i="11"/>
  <c r="AJ41" i="11"/>
  <c r="AR41" i="11"/>
  <c r="O41" i="11"/>
  <c r="Z41" i="11"/>
  <c r="AK41" i="11"/>
  <c r="AU41" i="11"/>
  <c r="S41" i="11"/>
  <c r="AD41" i="11"/>
  <c r="AN41" i="11"/>
  <c r="K41" i="11"/>
  <c r="X41" i="11"/>
  <c r="AM41" i="11"/>
  <c r="N41" i="11"/>
  <c r="AC41" i="11"/>
  <c r="AQ41" i="11"/>
  <c r="P41" i="11"/>
  <c r="AE41" i="11"/>
  <c r="AS41" i="11"/>
  <c r="R41" i="11"/>
  <c r="AL41" i="11"/>
  <c r="V41" i="11"/>
  <c r="AT41" i="11"/>
  <c r="W41" i="11"/>
  <c r="AV41" i="11"/>
  <c r="J41" i="11"/>
  <c r="U41" i="11"/>
  <c r="AA41" i="11"/>
  <c r="M41" i="11"/>
  <c r="AF41" i="11"/>
  <c r="AH41" i="11"/>
  <c r="AI41" i="11"/>
  <c r="AP41" i="11"/>
  <c r="H781" i="4"/>
  <c r="I781" i="4"/>
  <c r="J781" i="4"/>
  <c r="K781" i="4"/>
  <c r="K832" i="4"/>
  <c r="J832" i="4"/>
  <c r="I832" i="4"/>
  <c r="H832" i="4"/>
  <c r="K834" i="4"/>
  <c r="H834" i="4"/>
  <c r="I834" i="4"/>
  <c r="J834" i="4"/>
  <c r="I509" i="11"/>
  <c r="Q509" i="11"/>
  <c r="Y509" i="11"/>
  <c r="AG509" i="11"/>
  <c r="AO509" i="11"/>
  <c r="J509" i="11"/>
  <c r="R509" i="11"/>
  <c r="Z509" i="11"/>
  <c r="AH509" i="11"/>
  <c r="AP509" i="11"/>
  <c r="K509" i="11"/>
  <c r="S509" i="11"/>
  <c r="AA509" i="11"/>
  <c r="AI509" i="11"/>
  <c r="AQ509" i="11"/>
  <c r="L509" i="11"/>
  <c r="T509" i="11"/>
  <c r="AB509" i="11"/>
  <c r="AJ509" i="11"/>
  <c r="AR509" i="11"/>
  <c r="M509" i="11"/>
  <c r="U509" i="11"/>
  <c r="AC509" i="11"/>
  <c r="AK509" i="11"/>
  <c r="AS509" i="11"/>
  <c r="N509" i="11"/>
  <c r="V509" i="11"/>
  <c r="AD509" i="11"/>
  <c r="AL509" i="11"/>
  <c r="AT509" i="11"/>
  <c r="O509" i="11"/>
  <c r="AU509" i="11"/>
  <c r="P509" i="11"/>
  <c r="AV509" i="11"/>
  <c r="W509" i="11"/>
  <c r="X509" i="11"/>
  <c r="AE509" i="11"/>
  <c r="AF509" i="11"/>
  <c r="AN509" i="11"/>
  <c r="AM509" i="11"/>
  <c r="H788" i="4"/>
  <c r="I788" i="4"/>
  <c r="J788" i="4"/>
  <c r="K788" i="4"/>
  <c r="L401" i="11"/>
  <c r="T401" i="11"/>
  <c r="AB401" i="11"/>
  <c r="AJ401" i="11"/>
  <c r="AR401" i="11"/>
  <c r="M401" i="11"/>
  <c r="U401" i="11"/>
  <c r="AC401" i="11"/>
  <c r="AK401" i="11"/>
  <c r="AS401" i="11"/>
  <c r="N401" i="11"/>
  <c r="V401" i="11"/>
  <c r="AD401" i="11"/>
  <c r="AL401" i="11"/>
  <c r="AT401" i="11"/>
  <c r="O401" i="11"/>
  <c r="W401" i="11"/>
  <c r="AE401" i="11"/>
  <c r="AM401" i="11"/>
  <c r="AU401" i="11"/>
  <c r="P401" i="11"/>
  <c r="X401" i="11"/>
  <c r="AF401" i="11"/>
  <c r="AN401" i="11"/>
  <c r="AV401" i="11"/>
  <c r="I401" i="11"/>
  <c r="Q401" i="11"/>
  <c r="Y401" i="11"/>
  <c r="AG401" i="11"/>
  <c r="AO401" i="11"/>
  <c r="J401" i="11"/>
  <c r="AP401" i="11"/>
  <c r="K401" i="11"/>
  <c r="AQ401" i="11"/>
  <c r="R401" i="11"/>
  <c r="S401" i="11"/>
  <c r="Z401" i="11"/>
  <c r="AA401" i="11"/>
  <c r="AH401" i="11"/>
  <c r="AI401" i="11"/>
  <c r="I482" i="11"/>
  <c r="Q482" i="11"/>
  <c r="Y482" i="11"/>
  <c r="AG482" i="11"/>
  <c r="AO482" i="11"/>
  <c r="J482" i="11"/>
  <c r="R482" i="11"/>
  <c r="Z482" i="11"/>
  <c r="AH482" i="11"/>
  <c r="AP482" i="11"/>
  <c r="K482" i="11"/>
  <c r="S482" i="11"/>
  <c r="AA482" i="11"/>
  <c r="AI482" i="11"/>
  <c r="AQ482" i="11"/>
  <c r="L482" i="11"/>
  <c r="T482" i="11"/>
  <c r="AB482" i="11"/>
  <c r="AJ482" i="11"/>
  <c r="AR482" i="11"/>
  <c r="M482" i="11"/>
  <c r="U482" i="11"/>
  <c r="AC482" i="11"/>
  <c r="AK482" i="11"/>
  <c r="AS482" i="11"/>
  <c r="N482" i="11"/>
  <c r="V482" i="11"/>
  <c r="AD482" i="11"/>
  <c r="AL482" i="11"/>
  <c r="AT482" i="11"/>
  <c r="AM482" i="11"/>
  <c r="AN482" i="11"/>
  <c r="O482" i="11"/>
  <c r="AU482" i="11"/>
  <c r="P482" i="11"/>
  <c r="AV482" i="11"/>
  <c r="W482" i="11"/>
  <c r="X482" i="11"/>
  <c r="AE482" i="11"/>
  <c r="AF482" i="11"/>
  <c r="J104" i="11"/>
  <c r="R104" i="11"/>
  <c r="Z104" i="11"/>
  <c r="AH104" i="11"/>
  <c r="AP104" i="11"/>
  <c r="M104" i="11"/>
  <c r="U104" i="11"/>
  <c r="AC104" i="11"/>
  <c r="AK104" i="11"/>
  <c r="AS104" i="11"/>
  <c r="O104" i="11"/>
  <c r="Y104" i="11"/>
  <c r="AJ104" i="11"/>
  <c r="AU104" i="11"/>
  <c r="Q104" i="11"/>
  <c r="AB104" i="11"/>
  <c r="AM104" i="11"/>
  <c r="S104" i="11"/>
  <c r="AD104" i="11"/>
  <c r="AN104" i="11"/>
  <c r="K104" i="11"/>
  <c r="AA104" i="11"/>
  <c r="AR104" i="11"/>
  <c r="P104" i="11"/>
  <c r="AG104" i="11"/>
  <c r="X104" i="11"/>
  <c r="AV104" i="11"/>
  <c r="AE104" i="11"/>
  <c r="I104" i="11"/>
  <c r="AF104" i="11"/>
  <c r="L104" i="11"/>
  <c r="AI104" i="11"/>
  <c r="AQ104" i="11"/>
  <c r="N104" i="11"/>
  <c r="T104" i="11"/>
  <c r="V104" i="11"/>
  <c r="W104" i="11"/>
  <c r="AO104" i="11"/>
  <c r="AL104" i="11"/>
  <c r="AT104" i="11"/>
  <c r="K349" i="4"/>
  <c r="H349" i="4"/>
  <c r="I349" i="4"/>
  <c r="J349" i="4"/>
  <c r="H285" i="4"/>
  <c r="J285" i="4"/>
  <c r="I285" i="4"/>
  <c r="K285" i="4"/>
  <c r="H221" i="4"/>
  <c r="J221" i="4"/>
  <c r="K221" i="4"/>
  <c r="I221" i="4"/>
  <c r="K157" i="4"/>
  <c r="I157" i="4"/>
  <c r="J157" i="4"/>
  <c r="H157" i="4"/>
  <c r="J95" i="11"/>
  <c r="R95" i="11"/>
  <c r="Z95" i="11"/>
  <c r="AH95" i="11"/>
  <c r="AP95" i="11"/>
  <c r="M95" i="11"/>
  <c r="U95" i="11"/>
  <c r="AC95" i="11"/>
  <c r="AK95" i="11"/>
  <c r="AS95" i="11"/>
  <c r="L95" i="11"/>
  <c r="W95" i="11"/>
  <c r="AG95" i="11"/>
  <c r="AR95" i="11"/>
  <c r="O95" i="11"/>
  <c r="Y95" i="11"/>
  <c r="AJ95" i="11"/>
  <c r="AU95" i="11"/>
  <c r="P95" i="11"/>
  <c r="AA95" i="11"/>
  <c r="AL95" i="11"/>
  <c r="AV95" i="11"/>
  <c r="K95" i="11"/>
  <c r="AD95" i="11"/>
  <c r="AT95" i="11"/>
  <c r="Q95" i="11"/>
  <c r="AF95" i="11"/>
  <c r="S95" i="11"/>
  <c r="AI95" i="11"/>
  <c r="V95" i="11"/>
  <c r="X95" i="11"/>
  <c r="AB95" i="11"/>
  <c r="AE95" i="11"/>
  <c r="N95" i="11"/>
  <c r="AM95" i="11"/>
  <c r="AN95" i="11"/>
  <c r="AO95" i="11"/>
  <c r="AQ95" i="11"/>
  <c r="I95" i="11"/>
  <c r="T95" i="11"/>
  <c r="K24" i="4"/>
  <c r="H24" i="4"/>
  <c r="I24" i="4"/>
  <c r="J24" i="4"/>
  <c r="H412" i="4"/>
  <c r="I412" i="4"/>
  <c r="J412" i="4"/>
  <c r="K412" i="4"/>
  <c r="K348" i="4"/>
  <c r="H348" i="4"/>
  <c r="I348" i="4"/>
  <c r="J348" i="4"/>
  <c r="H284" i="4"/>
  <c r="K284" i="4"/>
  <c r="I284" i="4"/>
  <c r="J284" i="4"/>
  <c r="H220" i="4"/>
  <c r="J220" i="4"/>
  <c r="K220" i="4"/>
  <c r="I220" i="4"/>
  <c r="P158" i="11"/>
  <c r="X158" i="11"/>
  <c r="AF158" i="11"/>
  <c r="AN158" i="11"/>
  <c r="AV158" i="11"/>
  <c r="K158" i="11"/>
  <c r="S158" i="11"/>
  <c r="AA158" i="11"/>
  <c r="AI158" i="11"/>
  <c r="AQ158" i="11"/>
  <c r="I158" i="11"/>
  <c r="T158" i="11"/>
  <c r="AD158" i="11"/>
  <c r="AO158" i="11"/>
  <c r="J158" i="11"/>
  <c r="V158" i="11"/>
  <c r="AH158" i="11"/>
  <c r="AT158" i="11"/>
  <c r="L158" i="11"/>
  <c r="W158" i="11"/>
  <c r="AJ158" i="11"/>
  <c r="AU158" i="11"/>
  <c r="M158" i="11"/>
  <c r="Y158" i="11"/>
  <c r="AK158" i="11"/>
  <c r="N158" i="11"/>
  <c r="Z158" i="11"/>
  <c r="AL158" i="11"/>
  <c r="U158" i="11"/>
  <c r="AS158" i="11"/>
  <c r="AC158" i="11"/>
  <c r="AE158" i="11"/>
  <c r="AG158" i="11"/>
  <c r="O158" i="11"/>
  <c r="AM158" i="11"/>
  <c r="R158" i="11"/>
  <c r="AB158" i="11"/>
  <c r="AP158" i="11"/>
  <c r="AR158" i="11"/>
  <c r="Q158" i="11"/>
  <c r="H32" i="4"/>
  <c r="K32" i="4"/>
  <c r="J32" i="4"/>
  <c r="I32" i="4"/>
  <c r="H419" i="4"/>
  <c r="I419" i="4"/>
  <c r="J419" i="4"/>
  <c r="K419" i="4"/>
  <c r="K355" i="4"/>
  <c r="H355" i="4"/>
  <c r="I355" i="4"/>
  <c r="J355" i="4"/>
  <c r="M293" i="11"/>
  <c r="U293" i="11"/>
  <c r="AC293" i="11"/>
  <c r="AK293" i="11"/>
  <c r="I293" i="11"/>
  <c r="Q293" i="11"/>
  <c r="Y293" i="11"/>
  <c r="AG293" i="11"/>
  <c r="AO293" i="11"/>
  <c r="S293" i="11"/>
  <c r="AD293" i="11"/>
  <c r="AN293" i="11"/>
  <c r="J293" i="11"/>
  <c r="T293" i="11"/>
  <c r="AE293" i="11"/>
  <c r="AP293" i="11"/>
  <c r="L293" i="11"/>
  <c r="W293" i="11"/>
  <c r="AH293" i="11"/>
  <c r="AR293" i="11"/>
  <c r="O293" i="11"/>
  <c r="Z293" i="11"/>
  <c r="AJ293" i="11"/>
  <c r="AT293" i="11"/>
  <c r="N293" i="11"/>
  <c r="AI293" i="11"/>
  <c r="P293" i="11"/>
  <c r="AL293" i="11"/>
  <c r="R293" i="11"/>
  <c r="AM293" i="11"/>
  <c r="V293" i="11"/>
  <c r="AQ293" i="11"/>
  <c r="AA293" i="11"/>
  <c r="AU293" i="11"/>
  <c r="K293" i="11"/>
  <c r="X293" i="11"/>
  <c r="AB293" i="11"/>
  <c r="AF293" i="11"/>
  <c r="AS293" i="11"/>
  <c r="AV293" i="11"/>
  <c r="H104" i="4"/>
  <c r="J104" i="4"/>
  <c r="K104" i="4"/>
  <c r="I104" i="4"/>
  <c r="H178" i="4"/>
  <c r="J178" i="4"/>
  <c r="K178" i="4"/>
  <c r="I178" i="4"/>
  <c r="J51" i="4"/>
  <c r="I51" i="4"/>
  <c r="K51" i="4"/>
  <c r="H51" i="4"/>
  <c r="K158" i="4"/>
  <c r="H158" i="4"/>
  <c r="I158" i="4"/>
  <c r="J158" i="4"/>
  <c r="H409" i="4"/>
  <c r="I409" i="4"/>
  <c r="J409" i="4"/>
  <c r="K409" i="4"/>
  <c r="P347" i="11"/>
  <c r="X347" i="11"/>
  <c r="AF347" i="11"/>
  <c r="AN347" i="11"/>
  <c r="AV347" i="11"/>
  <c r="I347" i="11"/>
  <c r="Q347" i="11"/>
  <c r="Y347" i="11"/>
  <c r="AG347" i="11"/>
  <c r="AO347" i="11"/>
  <c r="J347" i="11"/>
  <c r="R347" i="11"/>
  <c r="Z347" i="11"/>
  <c r="AH347" i="11"/>
  <c r="AP347" i="11"/>
  <c r="K347" i="11"/>
  <c r="S347" i="11"/>
  <c r="AA347" i="11"/>
  <c r="AI347" i="11"/>
  <c r="AQ347" i="11"/>
  <c r="M347" i="11"/>
  <c r="U347" i="11"/>
  <c r="AC347" i="11"/>
  <c r="AK347" i="11"/>
  <c r="AS347" i="11"/>
  <c r="O347" i="11"/>
  <c r="AL347" i="11"/>
  <c r="T347" i="11"/>
  <c r="AM347" i="11"/>
  <c r="V347" i="11"/>
  <c r="AR347" i="11"/>
  <c r="W347" i="11"/>
  <c r="AT347" i="11"/>
  <c r="AB347" i="11"/>
  <c r="AU347" i="11"/>
  <c r="AD347" i="11"/>
  <c r="L347" i="11"/>
  <c r="N347" i="11"/>
  <c r="AE347" i="11"/>
  <c r="AJ347" i="11"/>
  <c r="H103" i="4"/>
  <c r="I103" i="4"/>
  <c r="J103" i="4"/>
  <c r="K103" i="4"/>
  <c r="L410" i="11"/>
  <c r="T410" i="11"/>
  <c r="AB410" i="11"/>
  <c r="AJ410" i="11"/>
  <c r="AR410" i="11"/>
  <c r="M410" i="11"/>
  <c r="U410" i="11"/>
  <c r="AC410" i="11"/>
  <c r="AK410" i="11"/>
  <c r="AS410" i="11"/>
  <c r="N410" i="11"/>
  <c r="V410" i="11"/>
  <c r="AD410" i="11"/>
  <c r="AL410" i="11"/>
  <c r="AT410" i="11"/>
  <c r="O410" i="11"/>
  <c r="W410" i="11"/>
  <c r="AE410" i="11"/>
  <c r="AM410" i="11"/>
  <c r="AU410" i="11"/>
  <c r="P410" i="11"/>
  <c r="X410" i="11"/>
  <c r="AF410" i="11"/>
  <c r="AN410" i="11"/>
  <c r="AV410" i="11"/>
  <c r="I410" i="11"/>
  <c r="Q410" i="11"/>
  <c r="Y410" i="11"/>
  <c r="AG410" i="11"/>
  <c r="AO410" i="11"/>
  <c r="AH410" i="11"/>
  <c r="AI410" i="11"/>
  <c r="J410" i="11"/>
  <c r="AP410" i="11"/>
  <c r="K410" i="11"/>
  <c r="AQ410" i="11"/>
  <c r="R410" i="11"/>
  <c r="S410" i="11"/>
  <c r="Z410" i="11"/>
  <c r="AA410" i="11"/>
  <c r="H97" i="4"/>
  <c r="J97" i="4"/>
  <c r="I97" i="4"/>
  <c r="K97" i="4"/>
  <c r="K25" i="4"/>
  <c r="H25" i="4"/>
  <c r="J25" i="4"/>
  <c r="I25" i="4"/>
  <c r="I50" i="11"/>
  <c r="Q50" i="11"/>
  <c r="Y50" i="11"/>
  <c r="AG50" i="11"/>
  <c r="AO50" i="11"/>
  <c r="K50" i="11"/>
  <c r="S50" i="11"/>
  <c r="AA50" i="11"/>
  <c r="AI50" i="11"/>
  <c r="AQ50" i="11"/>
  <c r="L50" i="11"/>
  <c r="T50" i="11"/>
  <c r="AB50" i="11"/>
  <c r="AJ50" i="11"/>
  <c r="AR50" i="11"/>
  <c r="M50" i="11"/>
  <c r="X50" i="11"/>
  <c r="AL50" i="11"/>
  <c r="O50" i="11"/>
  <c r="AC50" i="11"/>
  <c r="AN50" i="11"/>
  <c r="P50" i="11"/>
  <c r="AD50" i="11"/>
  <c r="AP50" i="11"/>
  <c r="U50" i="11"/>
  <c r="AM50" i="11"/>
  <c r="W50" i="11"/>
  <c r="AT50" i="11"/>
  <c r="Z50" i="11"/>
  <c r="AU50" i="11"/>
  <c r="J50" i="11"/>
  <c r="AS50" i="11"/>
  <c r="N50" i="11"/>
  <c r="AV50" i="11"/>
  <c r="R50" i="11"/>
  <c r="V50" i="11"/>
  <c r="AE50" i="11"/>
  <c r="AF50" i="11"/>
  <c r="AH50" i="11"/>
  <c r="AK50" i="11"/>
  <c r="H841" i="4"/>
  <c r="I841" i="4"/>
  <c r="J841" i="4"/>
  <c r="K841" i="4"/>
  <c r="H556" i="4"/>
  <c r="I556" i="4"/>
  <c r="J556" i="4"/>
  <c r="K556" i="4"/>
  <c r="K367" i="4"/>
  <c r="H367" i="4"/>
  <c r="I367" i="4"/>
  <c r="J367" i="4"/>
  <c r="H79" i="4"/>
  <c r="J79" i="4"/>
  <c r="K79" i="4"/>
  <c r="I79" i="4"/>
  <c r="J277" i="4"/>
  <c r="K277" i="4"/>
  <c r="H277" i="4"/>
  <c r="I277" i="4"/>
  <c r="H213" i="4"/>
  <c r="J213" i="4"/>
  <c r="K213" i="4"/>
  <c r="I213" i="4"/>
  <c r="K149" i="4"/>
  <c r="J149" i="4"/>
  <c r="H149" i="4"/>
  <c r="I149" i="4"/>
  <c r="H94" i="4"/>
  <c r="I94" i="4"/>
  <c r="K94" i="4"/>
  <c r="J94" i="4"/>
  <c r="K22" i="4"/>
  <c r="I22" i="4"/>
  <c r="H22" i="4"/>
  <c r="J22" i="4"/>
  <c r="H430" i="4"/>
  <c r="I430" i="4"/>
  <c r="J430" i="4"/>
  <c r="K430" i="4"/>
  <c r="H95" i="4"/>
  <c r="I95" i="4"/>
  <c r="J95" i="4"/>
  <c r="K95" i="4"/>
  <c r="I340" i="4"/>
  <c r="J340" i="4"/>
  <c r="K340" i="4"/>
  <c r="H340" i="4"/>
  <c r="J276" i="4"/>
  <c r="K276" i="4"/>
  <c r="I276" i="4"/>
  <c r="H276" i="4"/>
  <c r="H212" i="4"/>
  <c r="J212" i="4"/>
  <c r="K212" i="4"/>
  <c r="I212" i="4"/>
  <c r="K148" i="4"/>
  <c r="I148" i="4"/>
  <c r="H148" i="4"/>
  <c r="J148" i="4"/>
  <c r="J86" i="11"/>
  <c r="R86" i="11"/>
  <c r="Z86" i="11"/>
  <c r="AH86" i="11"/>
  <c r="AP86" i="11"/>
  <c r="L86" i="11"/>
  <c r="T86" i="11"/>
  <c r="AB86" i="11"/>
  <c r="AJ86" i="11"/>
  <c r="AR86" i="11"/>
  <c r="M86" i="11"/>
  <c r="U86" i="11"/>
  <c r="AC86" i="11"/>
  <c r="AK86" i="11"/>
  <c r="AS86" i="11"/>
  <c r="Q86" i="11"/>
  <c r="AE86" i="11"/>
  <c r="AQ86" i="11"/>
  <c r="V86" i="11"/>
  <c r="AG86" i="11"/>
  <c r="AU86" i="11"/>
  <c r="I86" i="11"/>
  <c r="W86" i="11"/>
  <c r="AI86" i="11"/>
  <c r="AV86" i="11"/>
  <c r="P86" i="11"/>
  <c r="AM86" i="11"/>
  <c r="S86" i="11"/>
  <c r="AN86" i="11"/>
  <c r="X86" i="11"/>
  <c r="AO86" i="11"/>
  <c r="Y86" i="11"/>
  <c r="AT86" i="11"/>
  <c r="K86" i="11"/>
  <c r="N86" i="11"/>
  <c r="O86" i="11"/>
  <c r="AF86" i="11"/>
  <c r="AA86" i="11"/>
  <c r="AL86" i="11"/>
  <c r="AD86" i="11"/>
  <c r="H438" i="4"/>
  <c r="I438" i="4"/>
  <c r="J438" i="4"/>
  <c r="K438" i="4"/>
  <c r="H87" i="4"/>
  <c r="J87" i="4"/>
  <c r="K87" i="4"/>
  <c r="I87" i="4"/>
  <c r="H411" i="4"/>
  <c r="I411" i="4"/>
  <c r="J411" i="4"/>
  <c r="K411" i="4"/>
  <c r="K347" i="4"/>
  <c r="H347" i="4"/>
  <c r="I347" i="4"/>
  <c r="J347" i="4"/>
  <c r="H283" i="4"/>
  <c r="I283" i="4"/>
  <c r="J283" i="4"/>
  <c r="K283" i="4"/>
  <c r="M221" i="11"/>
  <c r="U221" i="11"/>
  <c r="AC221" i="11"/>
  <c r="AK221" i="11"/>
  <c r="AS221" i="11"/>
  <c r="O221" i="11"/>
  <c r="W221" i="11"/>
  <c r="AE221" i="11"/>
  <c r="AM221" i="11"/>
  <c r="AU221" i="11"/>
  <c r="P221" i="11"/>
  <c r="X221" i="11"/>
  <c r="AF221" i="11"/>
  <c r="AN221" i="11"/>
  <c r="AV221" i="11"/>
  <c r="I221" i="11"/>
  <c r="Q221" i="11"/>
  <c r="Y221" i="11"/>
  <c r="AG221" i="11"/>
  <c r="AO221" i="11"/>
  <c r="J221" i="11"/>
  <c r="R221" i="11"/>
  <c r="Z221" i="11"/>
  <c r="AH221" i="11"/>
  <c r="AP221" i="11"/>
  <c r="S221" i="11"/>
  <c r="AL221" i="11"/>
  <c r="T221" i="11"/>
  <c r="AQ221" i="11"/>
  <c r="V221" i="11"/>
  <c r="AR221" i="11"/>
  <c r="AA221" i="11"/>
  <c r="AT221" i="11"/>
  <c r="AB221" i="11"/>
  <c r="K221" i="11"/>
  <c r="AD221" i="11"/>
  <c r="AI221" i="11"/>
  <c r="AJ221" i="11"/>
  <c r="L221" i="11"/>
  <c r="N221" i="11"/>
  <c r="M428" i="11"/>
  <c r="U428" i="11"/>
  <c r="AC428" i="11"/>
  <c r="AK428" i="11"/>
  <c r="AS428" i="11"/>
  <c r="I428" i="11"/>
  <c r="Q428" i="11"/>
  <c r="Y428" i="11"/>
  <c r="AG428" i="11"/>
  <c r="AO428" i="11"/>
  <c r="L428" i="11"/>
  <c r="W428" i="11"/>
  <c r="AH428" i="11"/>
  <c r="AR428" i="11"/>
  <c r="N428" i="11"/>
  <c r="X428" i="11"/>
  <c r="AI428" i="11"/>
  <c r="AT428" i="11"/>
  <c r="O428" i="11"/>
  <c r="Z428" i="11"/>
  <c r="AJ428" i="11"/>
  <c r="AU428" i="11"/>
  <c r="P428" i="11"/>
  <c r="AA428" i="11"/>
  <c r="AL428" i="11"/>
  <c r="AV428" i="11"/>
  <c r="R428" i="11"/>
  <c r="AB428" i="11"/>
  <c r="AM428" i="11"/>
  <c r="S428" i="11"/>
  <c r="AD428" i="11"/>
  <c r="AN428" i="11"/>
  <c r="J428" i="11"/>
  <c r="K428" i="11"/>
  <c r="T428" i="11"/>
  <c r="V428" i="11"/>
  <c r="AE428" i="11"/>
  <c r="AF428" i="11"/>
  <c r="AP428" i="11"/>
  <c r="AQ428" i="11"/>
  <c r="H115" i="4"/>
  <c r="I115" i="4"/>
  <c r="K115" i="4"/>
  <c r="J115" i="4"/>
  <c r="I43" i="4"/>
  <c r="J43" i="4"/>
  <c r="H43" i="4"/>
  <c r="K43" i="4"/>
  <c r="H96" i="4"/>
  <c r="J96" i="4"/>
  <c r="K96" i="4"/>
  <c r="I96" i="4"/>
  <c r="H401" i="4"/>
  <c r="I401" i="4"/>
  <c r="J401" i="4"/>
  <c r="K401" i="4"/>
  <c r="I337" i="4"/>
  <c r="H337" i="4"/>
  <c r="K337" i="4"/>
  <c r="J337" i="4"/>
  <c r="O275" i="11"/>
  <c r="W275" i="11"/>
  <c r="AE275" i="11"/>
  <c r="AM275" i="11"/>
  <c r="AU275" i="11"/>
  <c r="P275" i="11"/>
  <c r="X275" i="11"/>
  <c r="AF275" i="11"/>
  <c r="AN275" i="11"/>
  <c r="AV275" i="11"/>
  <c r="R275" i="11"/>
  <c r="AB275" i="11"/>
  <c r="AL275" i="11"/>
  <c r="I275" i="11"/>
  <c r="S275" i="11"/>
  <c r="AC275" i="11"/>
  <c r="AO275" i="11"/>
  <c r="J275" i="11"/>
  <c r="T275" i="11"/>
  <c r="AD275" i="11"/>
  <c r="AP275" i="11"/>
  <c r="L275" i="11"/>
  <c r="V275" i="11"/>
  <c r="AH275" i="11"/>
  <c r="AR275" i="11"/>
  <c r="N275" i="11"/>
  <c r="AJ275" i="11"/>
  <c r="Q275" i="11"/>
  <c r="AK275" i="11"/>
  <c r="U275" i="11"/>
  <c r="AQ275" i="11"/>
  <c r="Y275" i="11"/>
  <c r="AS275" i="11"/>
  <c r="AA275" i="11"/>
  <c r="AI275" i="11"/>
  <c r="AT275" i="11"/>
  <c r="K275" i="11"/>
  <c r="M275" i="11"/>
  <c r="Z275" i="11"/>
  <c r="AG275" i="11"/>
  <c r="H400" i="4"/>
  <c r="I400" i="4"/>
  <c r="J400" i="4"/>
  <c r="K400" i="4"/>
  <c r="J338" i="11"/>
  <c r="R338" i="11"/>
  <c r="Z338" i="11"/>
  <c r="AH338" i="11"/>
  <c r="AP338" i="11"/>
  <c r="N338" i="11"/>
  <c r="V338" i="11"/>
  <c r="AD338" i="11"/>
  <c r="AL338" i="11"/>
  <c r="AT338" i="11"/>
  <c r="I338" i="11"/>
  <c r="T338" i="11"/>
  <c r="AE338" i="11"/>
  <c r="AO338" i="11"/>
  <c r="K338" i="11"/>
  <c r="U338" i="11"/>
  <c r="AF338" i="11"/>
  <c r="AQ338" i="11"/>
  <c r="L338" i="11"/>
  <c r="W338" i="11"/>
  <c r="AG338" i="11"/>
  <c r="AR338" i="11"/>
  <c r="M338" i="11"/>
  <c r="X338" i="11"/>
  <c r="AI338" i="11"/>
  <c r="AS338" i="11"/>
  <c r="P338" i="11"/>
  <c r="AA338" i="11"/>
  <c r="AK338" i="11"/>
  <c r="AV338" i="11"/>
  <c r="Q338" i="11"/>
  <c r="AU338" i="11"/>
  <c r="S338" i="11"/>
  <c r="Y338" i="11"/>
  <c r="AB338" i="11"/>
  <c r="AC338" i="11"/>
  <c r="AJ338" i="11"/>
  <c r="AM338" i="11"/>
  <c r="AN338" i="11"/>
  <c r="O338" i="11"/>
  <c r="I59" i="11"/>
  <c r="Q59" i="11"/>
  <c r="Y59" i="11"/>
  <c r="AG59" i="11"/>
  <c r="AO59" i="11"/>
  <c r="K59" i="11"/>
  <c r="S59" i="11"/>
  <c r="AA59" i="11"/>
  <c r="AI59" i="11"/>
  <c r="AQ59" i="11"/>
  <c r="L59" i="11"/>
  <c r="T59" i="11"/>
  <c r="AB59" i="11"/>
  <c r="AJ59" i="11"/>
  <c r="AR59" i="11"/>
  <c r="J59" i="11"/>
  <c r="W59" i="11"/>
  <c r="AK59" i="11"/>
  <c r="AV59" i="11"/>
  <c r="N59" i="11"/>
  <c r="Z59" i="11"/>
  <c r="AM59" i="11"/>
  <c r="O59" i="11"/>
  <c r="AC59" i="11"/>
  <c r="AN59" i="11"/>
  <c r="AD59" i="11"/>
  <c r="AU59" i="11"/>
  <c r="M59" i="11"/>
  <c r="AF59" i="11"/>
  <c r="P59" i="11"/>
  <c r="AH59" i="11"/>
  <c r="AS59" i="11"/>
  <c r="R59" i="11"/>
  <c r="AT59" i="11"/>
  <c r="U59" i="11"/>
  <c r="V59" i="11"/>
  <c r="AL59" i="11"/>
  <c r="AE59" i="11"/>
  <c r="AP59" i="11"/>
  <c r="X59" i="11"/>
  <c r="I328" i="4"/>
  <c r="J328" i="4"/>
  <c r="K328" i="4"/>
  <c r="H328" i="4"/>
  <c r="K266" i="11"/>
  <c r="S266" i="11"/>
  <c r="AA266" i="11"/>
  <c r="AI266" i="11"/>
  <c r="AQ266" i="11"/>
  <c r="M266" i="11"/>
  <c r="U266" i="11"/>
  <c r="AC266" i="11"/>
  <c r="AK266" i="11"/>
  <c r="AS266" i="11"/>
  <c r="N266" i="11"/>
  <c r="V266" i="11"/>
  <c r="AD266" i="11"/>
  <c r="AL266" i="11"/>
  <c r="AT266" i="11"/>
  <c r="O266" i="11"/>
  <c r="W266" i="11"/>
  <c r="AE266" i="11"/>
  <c r="AM266" i="11"/>
  <c r="AU266" i="11"/>
  <c r="P266" i="11"/>
  <c r="X266" i="11"/>
  <c r="AF266" i="11"/>
  <c r="AN266" i="11"/>
  <c r="AV266" i="11"/>
  <c r="T266" i="11"/>
  <c r="AP266" i="11"/>
  <c r="Y266" i="11"/>
  <c r="AR266" i="11"/>
  <c r="Z266" i="11"/>
  <c r="I266" i="11"/>
  <c r="AB266" i="11"/>
  <c r="J266" i="11"/>
  <c r="AG266" i="11"/>
  <c r="L266" i="11"/>
  <c r="AH266" i="11"/>
  <c r="Q266" i="11"/>
  <c r="R266" i="11"/>
  <c r="AJ266" i="11"/>
  <c r="AO266" i="11"/>
  <c r="Y23" i="11"/>
  <c r="AG23" i="11"/>
  <c r="AO23" i="11"/>
  <c r="T23" i="11"/>
  <c r="AB23" i="11"/>
  <c r="AJ23" i="11"/>
  <c r="AR23" i="11"/>
  <c r="U23" i="11"/>
  <c r="AE23" i="11"/>
  <c r="AP23" i="11"/>
  <c r="X23" i="11"/>
  <c r="AI23" i="11"/>
  <c r="AT23" i="11"/>
  <c r="V23" i="11"/>
  <c r="AK23" i="11"/>
  <c r="Z23" i="11"/>
  <c r="AM23" i="11"/>
  <c r="AA23" i="11"/>
  <c r="AN23" i="11"/>
  <c r="AL23" i="11"/>
  <c r="S23" i="11"/>
  <c r="AS23" i="11"/>
  <c r="W23" i="11"/>
  <c r="AU23" i="11"/>
  <c r="R23" i="11"/>
  <c r="AD23" i="11"/>
  <c r="AF23" i="11"/>
  <c r="AC23" i="11"/>
  <c r="AV23" i="11"/>
  <c r="AH23" i="11"/>
  <c r="AQ23" i="11"/>
  <c r="H724" i="4"/>
  <c r="I724" i="4"/>
  <c r="J724" i="4"/>
  <c r="K724" i="4"/>
  <c r="H580" i="4"/>
  <c r="I580" i="4"/>
  <c r="J580" i="4"/>
  <c r="K580" i="4"/>
  <c r="I772" i="4"/>
  <c r="H772" i="4"/>
  <c r="J772" i="4"/>
  <c r="K772" i="4"/>
  <c r="H383" i="4"/>
  <c r="I383" i="4"/>
  <c r="J383" i="4"/>
  <c r="K383" i="4"/>
  <c r="J329" i="11"/>
  <c r="R329" i="11"/>
  <c r="Z329" i="11"/>
  <c r="AH329" i="11"/>
  <c r="AP329" i="11"/>
  <c r="N329" i="11"/>
  <c r="V329" i="11"/>
  <c r="AD329" i="11"/>
  <c r="AL329" i="11"/>
  <c r="AT329" i="11"/>
  <c r="Q329" i="11"/>
  <c r="AB329" i="11"/>
  <c r="AM329" i="11"/>
  <c r="S329" i="11"/>
  <c r="AC329" i="11"/>
  <c r="AN329" i="11"/>
  <c r="I329" i="11"/>
  <c r="T329" i="11"/>
  <c r="AE329" i="11"/>
  <c r="AO329" i="11"/>
  <c r="K329" i="11"/>
  <c r="U329" i="11"/>
  <c r="AF329" i="11"/>
  <c r="AQ329" i="11"/>
  <c r="M329" i="11"/>
  <c r="X329" i="11"/>
  <c r="AI329" i="11"/>
  <c r="AS329" i="11"/>
  <c r="AJ329" i="11"/>
  <c r="L329" i="11"/>
  <c r="AK329" i="11"/>
  <c r="O329" i="11"/>
  <c r="AR329" i="11"/>
  <c r="P329" i="11"/>
  <c r="AU329" i="11"/>
  <c r="W329" i="11"/>
  <c r="AV329" i="11"/>
  <c r="Y329" i="11"/>
  <c r="AA329" i="11"/>
  <c r="AG329" i="11"/>
  <c r="I302" i="4"/>
  <c r="J302" i="4"/>
  <c r="H302" i="4"/>
  <c r="K302" i="4"/>
  <c r="K133" i="4"/>
  <c r="I133" i="4"/>
  <c r="J133" i="4"/>
  <c r="H133" i="4"/>
  <c r="H78" i="4"/>
  <c r="I78" i="4"/>
  <c r="K78" i="4"/>
  <c r="J78" i="4"/>
  <c r="H617" i="4"/>
  <c r="I617" i="4"/>
  <c r="J617" i="4"/>
  <c r="K617" i="4"/>
  <c r="H196" i="4"/>
  <c r="I196" i="4"/>
  <c r="J196" i="4"/>
  <c r="K196" i="4"/>
  <c r="K132" i="4"/>
  <c r="H132" i="4"/>
  <c r="I132" i="4"/>
  <c r="J132" i="4"/>
  <c r="H77" i="4"/>
  <c r="J77" i="4"/>
  <c r="I77" i="4"/>
  <c r="K77" i="4"/>
  <c r="K257" i="11"/>
  <c r="S257" i="11"/>
  <c r="AA257" i="11"/>
  <c r="AI257" i="11"/>
  <c r="AQ257" i="11"/>
  <c r="M257" i="11"/>
  <c r="U257" i="11"/>
  <c r="AC257" i="11"/>
  <c r="AK257" i="11"/>
  <c r="AS257" i="11"/>
  <c r="N257" i="11"/>
  <c r="V257" i="11"/>
  <c r="AD257" i="11"/>
  <c r="AL257" i="11"/>
  <c r="AT257" i="11"/>
  <c r="O257" i="11"/>
  <c r="W257" i="11"/>
  <c r="AE257" i="11"/>
  <c r="AM257" i="11"/>
  <c r="AU257" i="11"/>
  <c r="P257" i="11"/>
  <c r="X257" i="11"/>
  <c r="AF257" i="11"/>
  <c r="AN257" i="11"/>
  <c r="AV257" i="11"/>
  <c r="R257" i="11"/>
  <c r="AO257" i="11"/>
  <c r="T257" i="11"/>
  <c r="AP257" i="11"/>
  <c r="Y257" i="11"/>
  <c r="AR257" i="11"/>
  <c r="Z257" i="11"/>
  <c r="I257" i="11"/>
  <c r="AB257" i="11"/>
  <c r="J257" i="11"/>
  <c r="AG257" i="11"/>
  <c r="AH257" i="11"/>
  <c r="AJ257" i="11"/>
  <c r="Q257" i="11"/>
  <c r="L257" i="11"/>
  <c r="K31" i="4"/>
  <c r="H31" i="4"/>
  <c r="I31" i="4"/>
  <c r="J31" i="4"/>
  <c r="I331" i="4"/>
  <c r="H331" i="4"/>
  <c r="J331" i="4"/>
  <c r="K331" i="4"/>
  <c r="H267" i="4"/>
  <c r="I267" i="4"/>
  <c r="J267" i="4"/>
  <c r="K267" i="4"/>
  <c r="H203" i="4"/>
  <c r="J203" i="4"/>
  <c r="K203" i="4"/>
  <c r="I203" i="4"/>
  <c r="K139" i="4"/>
  <c r="J139" i="4"/>
  <c r="H139" i="4"/>
  <c r="I139" i="4"/>
  <c r="J77" i="11"/>
  <c r="R77" i="11"/>
  <c r="Z77" i="11"/>
  <c r="AH77" i="11"/>
  <c r="AP77" i="11"/>
  <c r="L77" i="11"/>
  <c r="T77" i="11"/>
  <c r="AB77" i="11"/>
  <c r="AJ77" i="11"/>
  <c r="AR77" i="11"/>
  <c r="M77" i="11"/>
  <c r="U77" i="11"/>
  <c r="AC77" i="11"/>
  <c r="AK77" i="11"/>
  <c r="AS77" i="11"/>
  <c r="S77" i="11"/>
  <c r="AF77" i="11"/>
  <c r="AT77" i="11"/>
  <c r="I77" i="11"/>
  <c r="W77" i="11"/>
  <c r="AI77" i="11"/>
  <c r="AV77" i="11"/>
  <c r="K77" i="11"/>
  <c r="X77" i="11"/>
  <c r="AL77" i="11"/>
  <c r="AD77" i="11"/>
  <c r="N77" i="11"/>
  <c r="AE77" i="11"/>
  <c r="O77" i="11"/>
  <c r="AG77" i="11"/>
  <c r="P77" i="11"/>
  <c r="AM77" i="11"/>
  <c r="AN77" i="11"/>
  <c r="AO77" i="11"/>
  <c r="AQ77" i="11"/>
  <c r="AU77" i="11"/>
  <c r="Q77" i="11"/>
  <c r="V77" i="11"/>
  <c r="Y77" i="11"/>
  <c r="AA77" i="11"/>
  <c r="H410" i="4"/>
  <c r="I410" i="4"/>
  <c r="J410" i="4"/>
  <c r="K410" i="4"/>
  <c r="K346" i="4"/>
  <c r="H346" i="4"/>
  <c r="I346" i="4"/>
  <c r="J346" i="4"/>
  <c r="M284" i="11"/>
  <c r="U284" i="11"/>
  <c r="AC284" i="11"/>
  <c r="AK284" i="11"/>
  <c r="AS284" i="11"/>
  <c r="I284" i="11"/>
  <c r="Q284" i="11"/>
  <c r="Y284" i="11"/>
  <c r="AG284" i="11"/>
  <c r="AO284" i="11"/>
  <c r="P284" i="11"/>
  <c r="AA284" i="11"/>
  <c r="AL284" i="11"/>
  <c r="AV284" i="11"/>
  <c r="R284" i="11"/>
  <c r="AB284" i="11"/>
  <c r="AM284" i="11"/>
  <c r="S284" i="11"/>
  <c r="J284" i="11"/>
  <c r="T284" i="11"/>
  <c r="AE284" i="11"/>
  <c r="AP284" i="11"/>
  <c r="L284" i="11"/>
  <c r="W284" i="11"/>
  <c r="AH284" i="11"/>
  <c r="AR284" i="11"/>
  <c r="AF284" i="11"/>
  <c r="K284" i="11"/>
  <c r="AI284" i="11"/>
  <c r="N284" i="11"/>
  <c r="AJ284" i="11"/>
  <c r="O284" i="11"/>
  <c r="AN284" i="11"/>
  <c r="V284" i="11"/>
  <c r="AQ284" i="11"/>
  <c r="X284" i="11"/>
  <c r="AT284" i="11"/>
  <c r="AU284" i="11"/>
  <c r="Z284" i="11"/>
  <c r="AD284" i="11"/>
  <c r="H385" i="4"/>
  <c r="I385" i="4"/>
  <c r="J385" i="4"/>
  <c r="K385" i="4"/>
  <c r="I321" i="4"/>
  <c r="H321" i="4"/>
  <c r="J321" i="4"/>
  <c r="K321" i="4"/>
  <c r="H257" i="4"/>
  <c r="I257" i="4"/>
  <c r="J257" i="4"/>
  <c r="K257" i="4"/>
  <c r="K193" i="4"/>
  <c r="H193" i="4"/>
  <c r="I193" i="4"/>
  <c r="J193" i="4"/>
  <c r="K131" i="11"/>
  <c r="S131" i="11"/>
  <c r="AA131" i="11"/>
  <c r="AI131" i="11"/>
  <c r="AQ131" i="11"/>
  <c r="N131" i="11"/>
  <c r="V131" i="11"/>
  <c r="AD131" i="11"/>
  <c r="AL131" i="11"/>
  <c r="AT131" i="11"/>
  <c r="O131" i="11"/>
  <c r="Y131" i="11"/>
  <c r="AJ131" i="11"/>
  <c r="AU131" i="11"/>
  <c r="R131" i="11"/>
  <c r="AC131" i="11"/>
  <c r="AN131" i="11"/>
  <c r="T131" i="11"/>
  <c r="AG131" i="11"/>
  <c r="AV131" i="11"/>
  <c r="U131" i="11"/>
  <c r="AH131" i="11"/>
  <c r="I131" i="11"/>
  <c r="W131" i="11"/>
  <c r="AK131" i="11"/>
  <c r="Z131" i="11"/>
  <c r="AS131" i="11"/>
  <c r="J131" i="11"/>
  <c r="AE131" i="11"/>
  <c r="L131" i="11"/>
  <c r="AF131" i="11"/>
  <c r="M131" i="11"/>
  <c r="AM131" i="11"/>
  <c r="P131" i="11"/>
  <c r="AO131" i="11"/>
  <c r="X131" i="11"/>
  <c r="AB131" i="11"/>
  <c r="AP131" i="11"/>
  <c r="AR131" i="11"/>
  <c r="Q131" i="11"/>
  <c r="I310" i="4"/>
  <c r="H310" i="4"/>
  <c r="K310" i="4"/>
  <c r="J310" i="4"/>
  <c r="H384" i="4"/>
  <c r="I384" i="4"/>
  <c r="J384" i="4"/>
  <c r="K384" i="4"/>
  <c r="I320" i="4"/>
  <c r="J320" i="4"/>
  <c r="K320" i="4"/>
  <c r="H320" i="4"/>
  <c r="H256" i="4"/>
  <c r="I256" i="4"/>
  <c r="J256" i="4"/>
  <c r="K256" i="4"/>
  <c r="M194" i="11"/>
  <c r="U194" i="11"/>
  <c r="AC194" i="11"/>
  <c r="AK194" i="11"/>
  <c r="AS194" i="11"/>
  <c r="J194" i="11"/>
  <c r="S194" i="11"/>
  <c r="AB194" i="11"/>
  <c r="AL194" i="11"/>
  <c r="AU194" i="11"/>
  <c r="L194" i="11"/>
  <c r="V194" i="11"/>
  <c r="AE194" i="11"/>
  <c r="AN194" i="11"/>
  <c r="N194" i="11"/>
  <c r="W194" i="11"/>
  <c r="AF194" i="11"/>
  <c r="AO194" i="11"/>
  <c r="P194" i="11"/>
  <c r="Y194" i="11"/>
  <c r="AH194" i="11"/>
  <c r="AQ194" i="11"/>
  <c r="X194" i="11"/>
  <c r="AP194" i="11"/>
  <c r="I194" i="11"/>
  <c r="AA194" i="11"/>
  <c r="AT194" i="11"/>
  <c r="K194" i="11"/>
  <c r="AD194" i="11"/>
  <c r="AV194" i="11"/>
  <c r="O194" i="11"/>
  <c r="AG194" i="11"/>
  <c r="Q194" i="11"/>
  <c r="AI194" i="11"/>
  <c r="R194" i="11"/>
  <c r="T194" i="11"/>
  <c r="Z194" i="11"/>
  <c r="AJ194" i="11"/>
  <c r="AM194" i="11"/>
  <c r="AR194" i="11"/>
  <c r="Y32" i="11"/>
  <c r="AG32" i="11"/>
  <c r="AO32" i="11"/>
  <c r="T32" i="11"/>
  <c r="AB32" i="11"/>
  <c r="AJ32" i="11"/>
  <c r="AR32" i="11"/>
  <c r="W32" i="11"/>
  <c r="AH32" i="11"/>
  <c r="AS32" i="11"/>
  <c r="Z32" i="11"/>
  <c r="AK32" i="11"/>
  <c r="AU32" i="11"/>
  <c r="AA32" i="11"/>
  <c r="AL32" i="11"/>
  <c r="AV32" i="11"/>
  <c r="S32" i="11"/>
  <c r="AI32" i="11"/>
  <c r="V32" i="11"/>
  <c r="AN32" i="11"/>
  <c r="X32" i="11"/>
  <c r="AP32" i="11"/>
  <c r="AF32" i="11"/>
  <c r="AQ32" i="11"/>
  <c r="R32" i="11"/>
  <c r="AT32" i="11"/>
  <c r="U32" i="11"/>
  <c r="AD32" i="11"/>
  <c r="AE32" i="11"/>
  <c r="AC32" i="11"/>
  <c r="AM32" i="11"/>
  <c r="I338" i="4"/>
  <c r="H338" i="4"/>
  <c r="K338" i="4"/>
  <c r="J338" i="4"/>
  <c r="J274" i="4"/>
  <c r="K274" i="4"/>
  <c r="I274" i="4"/>
  <c r="H274" i="4"/>
  <c r="M212" i="11"/>
  <c r="U212" i="11"/>
  <c r="AC212" i="11"/>
  <c r="AK212" i="11"/>
  <c r="AS212" i="11"/>
  <c r="O212" i="11"/>
  <c r="W212" i="11"/>
  <c r="AE212" i="11"/>
  <c r="AM212" i="11"/>
  <c r="AU212" i="11"/>
  <c r="P212" i="11"/>
  <c r="X212" i="11"/>
  <c r="AF212" i="11"/>
  <c r="AN212" i="11"/>
  <c r="AV212" i="11"/>
  <c r="I212" i="11"/>
  <c r="Q212" i="11"/>
  <c r="Y212" i="11"/>
  <c r="AG212" i="11"/>
  <c r="AO212" i="11"/>
  <c r="J212" i="11"/>
  <c r="R212" i="11"/>
  <c r="Z212" i="11"/>
  <c r="AH212" i="11"/>
  <c r="AP212" i="11"/>
  <c r="N212" i="11"/>
  <c r="AJ212" i="11"/>
  <c r="S212" i="11"/>
  <c r="AL212" i="11"/>
  <c r="T212" i="11"/>
  <c r="AQ212" i="11"/>
  <c r="V212" i="11"/>
  <c r="AR212" i="11"/>
  <c r="AA212" i="11"/>
  <c r="AT212" i="11"/>
  <c r="AB212" i="11"/>
  <c r="K212" i="11"/>
  <c r="L212" i="11"/>
  <c r="AD212" i="11"/>
  <c r="AI212" i="11"/>
  <c r="K366" i="4"/>
  <c r="H366" i="4"/>
  <c r="I366" i="4"/>
  <c r="J366" i="4"/>
  <c r="I313" i="4"/>
  <c r="H313" i="4"/>
  <c r="J313" i="4"/>
  <c r="K313" i="4"/>
  <c r="H249" i="4"/>
  <c r="J249" i="4"/>
  <c r="K249" i="4"/>
  <c r="I249" i="4"/>
  <c r="H185" i="4"/>
  <c r="K185" i="4"/>
  <c r="I185" i="4"/>
  <c r="J185" i="4"/>
  <c r="I121" i="4"/>
  <c r="H121" i="4"/>
  <c r="J121" i="4"/>
  <c r="K121" i="4"/>
  <c r="H58" i="4"/>
  <c r="I58" i="4"/>
  <c r="J58" i="4"/>
  <c r="K58" i="4"/>
  <c r="K159" i="4"/>
  <c r="H159" i="4"/>
  <c r="J159" i="4"/>
  <c r="I159" i="4"/>
  <c r="H376" i="4"/>
  <c r="I376" i="4"/>
  <c r="J376" i="4"/>
  <c r="K376" i="4"/>
  <c r="I312" i="4"/>
  <c r="J312" i="4"/>
  <c r="K312" i="4"/>
  <c r="H312" i="4"/>
  <c r="H248" i="4"/>
  <c r="J248" i="4"/>
  <c r="K248" i="4"/>
  <c r="I248" i="4"/>
  <c r="H184" i="4"/>
  <c r="J184" i="4"/>
  <c r="K184" i="4"/>
  <c r="I184" i="4"/>
  <c r="K122" i="11"/>
  <c r="S122" i="11"/>
  <c r="AA122" i="11"/>
  <c r="AI122" i="11"/>
  <c r="AQ122" i="11"/>
  <c r="N122" i="11"/>
  <c r="V122" i="11"/>
  <c r="AD122" i="11"/>
  <c r="AL122" i="11"/>
  <c r="AT122" i="11"/>
  <c r="L122" i="11"/>
  <c r="W122" i="11"/>
  <c r="AG122" i="11"/>
  <c r="AR122" i="11"/>
  <c r="P122" i="11"/>
  <c r="Z122" i="11"/>
  <c r="AK122" i="11"/>
  <c r="AV122" i="11"/>
  <c r="U122" i="11"/>
  <c r="I122" i="11"/>
  <c r="X122" i="11"/>
  <c r="AM122" i="11"/>
  <c r="J122" i="11"/>
  <c r="Y122" i="11"/>
  <c r="AN122" i="11"/>
  <c r="M122" i="11"/>
  <c r="AB122" i="11"/>
  <c r="AO122" i="11"/>
  <c r="R122" i="11"/>
  <c r="AS122" i="11"/>
  <c r="AC122" i="11"/>
  <c r="AE122" i="11"/>
  <c r="AF122" i="11"/>
  <c r="AH122" i="11"/>
  <c r="Q122" i="11"/>
  <c r="T122" i="11"/>
  <c r="AJ122" i="11"/>
  <c r="AP122" i="11"/>
  <c r="AU122" i="11"/>
  <c r="O122" i="11"/>
  <c r="H571" i="4"/>
  <c r="I571" i="4"/>
  <c r="J571" i="4"/>
  <c r="K571" i="4"/>
  <c r="H637" i="4"/>
  <c r="I637" i="4"/>
  <c r="J637" i="4"/>
  <c r="K637" i="4"/>
  <c r="H564" i="4"/>
  <c r="I564" i="4"/>
  <c r="J564" i="4"/>
  <c r="K564" i="4"/>
  <c r="H796" i="4"/>
  <c r="K796" i="4"/>
  <c r="I796" i="4"/>
  <c r="J796" i="4"/>
  <c r="H844" i="4"/>
  <c r="I844" i="4"/>
  <c r="J844" i="4"/>
  <c r="K844" i="4"/>
  <c r="I68" i="11"/>
  <c r="J68" i="11"/>
  <c r="R68" i="11"/>
  <c r="Z68" i="11"/>
  <c r="AH68" i="11"/>
  <c r="AP68" i="11"/>
  <c r="L68" i="11"/>
  <c r="T68" i="11"/>
  <c r="AB68" i="11"/>
  <c r="AJ68" i="11"/>
  <c r="AR68" i="11"/>
  <c r="M68" i="11"/>
  <c r="U68" i="11"/>
  <c r="AC68" i="11"/>
  <c r="AK68" i="11"/>
  <c r="AS68" i="11"/>
  <c r="V68" i="11"/>
  <c r="AG68" i="11"/>
  <c r="AU68" i="11"/>
  <c r="K68" i="11"/>
  <c r="X68" i="11"/>
  <c r="AL68" i="11"/>
  <c r="N68" i="11"/>
  <c r="Y68" i="11"/>
  <c r="AM68" i="11"/>
  <c r="S68" i="11"/>
  <c r="AO68" i="11"/>
  <c r="W68" i="11"/>
  <c r="AQ68" i="11"/>
  <c r="AA68" i="11"/>
  <c r="AT68" i="11"/>
  <c r="AD68" i="11"/>
  <c r="AV68" i="11"/>
  <c r="AE68" i="11"/>
  <c r="AF68" i="11"/>
  <c r="AI68" i="11"/>
  <c r="AN68" i="11"/>
  <c r="P68" i="11"/>
  <c r="O68" i="11"/>
  <c r="Q68" i="11"/>
  <c r="H439" i="4"/>
  <c r="I439" i="4"/>
  <c r="J439" i="4"/>
  <c r="K439" i="4"/>
  <c r="H222" i="4"/>
  <c r="J222" i="4"/>
  <c r="K222" i="4"/>
  <c r="I222" i="4"/>
  <c r="H437" i="4"/>
  <c r="J437" i="4"/>
  <c r="K437" i="4"/>
  <c r="I437" i="4"/>
  <c r="H373" i="4"/>
  <c r="I373" i="4"/>
  <c r="J373" i="4"/>
  <c r="K373" i="4"/>
  <c r="I311" i="11"/>
  <c r="J311" i="11"/>
  <c r="R311" i="11"/>
  <c r="Z311" i="11"/>
  <c r="AH311" i="11"/>
  <c r="AP311" i="11"/>
  <c r="N311" i="11"/>
  <c r="V311" i="11"/>
  <c r="AD311" i="11"/>
  <c r="AL311" i="11"/>
  <c r="AT311" i="11"/>
  <c r="L311" i="11"/>
  <c r="W311" i="11"/>
  <c r="AG311" i="11"/>
  <c r="AR311" i="11"/>
  <c r="M311" i="11"/>
  <c r="X311" i="11"/>
  <c r="AI311" i="11"/>
  <c r="AS311" i="11"/>
  <c r="O311" i="11"/>
  <c r="Y311" i="11"/>
  <c r="AJ311" i="11"/>
  <c r="AU311" i="11"/>
  <c r="P311" i="11"/>
  <c r="AA311" i="11"/>
  <c r="AK311" i="11"/>
  <c r="AV311" i="11"/>
  <c r="S311" i="11"/>
  <c r="AC311" i="11"/>
  <c r="AN311" i="11"/>
  <c r="Q311" i="11"/>
  <c r="AQ311" i="11"/>
  <c r="T311" i="11"/>
  <c r="U311" i="11"/>
  <c r="AB311" i="11"/>
  <c r="AE311" i="11"/>
  <c r="AF311" i="11"/>
  <c r="K311" i="11"/>
  <c r="AM311" i="11"/>
  <c r="AO311" i="11"/>
  <c r="H175" i="4"/>
  <c r="I175" i="4"/>
  <c r="J175" i="4"/>
  <c r="K175" i="4"/>
  <c r="H238" i="4"/>
  <c r="J238" i="4"/>
  <c r="K238" i="4"/>
  <c r="I238" i="4"/>
  <c r="H436" i="4"/>
  <c r="I436" i="4"/>
  <c r="J436" i="4"/>
  <c r="K436" i="4"/>
  <c r="I374" i="11"/>
  <c r="Q374" i="11"/>
  <c r="Y374" i="11"/>
  <c r="AG374" i="11"/>
  <c r="AO374" i="11"/>
  <c r="M374" i="11"/>
  <c r="U374" i="11"/>
  <c r="AC374" i="11"/>
  <c r="AK374" i="11"/>
  <c r="AS374" i="11"/>
  <c r="N374" i="11"/>
  <c r="X374" i="11"/>
  <c r="AI374" i="11"/>
  <c r="AT374" i="11"/>
  <c r="O374" i="11"/>
  <c r="Z374" i="11"/>
  <c r="AJ374" i="11"/>
  <c r="AU374" i="11"/>
  <c r="P374" i="11"/>
  <c r="AA374" i="11"/>
  <c r="AL374" i="11"/>
  <c r="AV374" i="11"/>
  <c r="R374" i="11"/>
  <c r="AB374" i="11"/>
  <c r="AM374" i="11"/>
  <c r="S374" i="11"/>
  <c r="AD374" i="11"/>
  <c r="AN374" i="11"/>
  <c r="J374" i="11"/>
  <c r="T374" i="11"/>
  <c r="AE374" i="11"/>
  <c r="AP374" i="11"/>
  <c r="AF374" i="11"/>
  <c r="AH374" i="11"/>
  <c r="AQ374" i="11"/>
  <c r="AR374" i="11"/>
  <c r="K374" i="11"/>
  <c r="L374" i="11"/>
  <c r="V374" i="11"/>
  <c r="W374" i="11"/>
  <c r="J61" i="4"/>
  <c r="H61" i="4"/>
  <c r="I61" i="4"/>
  <c r="K61" i="4"/>
  <c r="K151" i="4"/>
  <c r="H151" i="4"/>
  <c r="I151" i="4"/>
  <c r="J151" i="4"/>
  <c r="M248" i="11"/>
  <c r="U248" i="11"/>
  <c r="AC248" i="11"/>
  <c r="AK248" i="11"/>
  <c r="AS248" i="11"/>
  <c r="O248" i="11"/>
  <c r="W248" i="11"/>
  <c r="AE248" i="11"/>
  <c r="AM248" i="11"/>
  <c r="AU248" i="11"/>
  <c r="P248" i="11"/>
  <c r="X248" i="11"/>
  <c r="AF248" i="11"/>
  <c r="AN248" i="11"/>
  <c r="AV248" i="11"/>
  <c r="I248" i="11"/>
  <c r="Q248" i="11"/>
  <c r="Y248" i="11"/>
  <c r="AG248" i="11"/>
  <c r="AO248" i="11"/>
  <c r="J248" i="11"/>
  <c r="R248" i="11"/>
  <c r="Z248" i="11"/>
  <c r="AH248" i="11"/>
  <c r="AP248" i="11"/>
  <c r="AA248" i="11"/>
  <c r="AT248" i="11"/>
  <c r="K248" i="11"/>
  <c r="AD248" i="11"/>
  <c r="L248" i="11"/>
  <c r="AI248" i="11"/>
  <c r="N248" i="11"/>
  <c r="AJ248" i="11"/>
  <c r="S248" i="11"/>
  <c r="AL248" i="11"/>
  <c r="AB248" i="11"/>
  <c r="AQ248" i="11"/>
  <c r="AR248" i="11"/>
  <c r="T248" i="11"/>
  <c r="V248" i="11"/>
  <c r="H187" i="4"/>
  <c r="I187" i="4"/>
  <c r="K187" i="4"/>
  <c r="J187" i="4"/>
  <c r="I123" i="4"/>
  <c r="J123" i="4"/>
  <c r="K123" i="4"/>
  <c r="H123" i="4"/>
  <c r="K68" i="4"/>
  <c r="I68" i="4"/>
  <c r="H68" i="4"/>
  <c r="J68" i="4"/>
  <c r="H239" i="4"/>
  <c r="J239" i="4"/>
  <c r="K239" i="4"/>
  <c r="I239" i="4"/>
  <c r="H394" i="4"/>
  <c r="I394" i="4"/>
  <c r="J394" i="4"/>
  <c r="K394" i="4"/>
  <c r="I330" i="4"/>
  <c r="H330" i="4"/>
  <c r="K330" i="4"/>
  <c r="J330" i="4"/>
  <c r="H266" i="4"/>
  <c r="I266" i="4"/>
  <c r="J266" i="4"/>
  <c r="K266" i="4"/>
  <c r="H202" i="4"/>
  <c r="I202" i="4"/>
  <c r="J202" i="4"/>
  <c r="K202" i="4"/>
  <c r="P140" i="11"/>
  <c r="X140" i="11"/>
  <c r="AF140" i="11"/>
  <c r="AN140" i="11"/>
  <c r="AV140" i="11"/>
  <c r="K140" i="11"/>
  <c r="S140" i="11"/>
  <c r="AA140" i="11"/>
  <c r="AI140" i="11"/>
  <c r="AQ140" i="11"/>
  <c r="L140" i="11"/>
  <c r="M140" i="11"/>
  <c r="N140" i="11"/>
  <c r="Y140" i="11"/>
  <c r="AJ140" i="11"/>
  <c r="AT140" i="11"/>
  <c r="V140" i="11"/>
  <c r="AH140" i="11"/>
  <c r="AU140" i="11"/>
  <c r="I140" i="11"/>
  <c r="W140" i="11"/>
  <c r="AK140" i="11"/>
  <c r="J140" i="11"/>
  <c r="Z140" i="11"/>
  <c r="AL140" i="11"/>
  <c r="O140" i="11"/>
  <c r="AB140" i="11"/>
  <c r="AM140" i="11"/>
  <c r="AG140" i="11"/>
  <c r="R140" i="11"/>
  <c r="AP140" i="11"/>
  <c r="T140" i="11"/>
  <c r="AR140" i="11"/>
  <c r="U140" i="11"/>
  <c r="AS140" i="11"/>
  <c r="AC140" i="11"/>
  <c r="AD140" i="11"/>
  <c r="AE140" i="11"/>
  <c r="AO140" i="11"/>
  <c r="Q140" i="11"/>
  <c r="J320" i="11"/>
  <c r="R320" i="11"/>
  <c r="Z320" i="11"/>
  <c r="AH320" i="11"/>
  <c r="AP320" i="11"/>
  <c r="N320" i="11"/>
  <c r="V320" i="11"/>
  <c r="AD320" i="11"/>
  <c r="AL320" i="11"/>
  <c r="AT320" i="11"/>
  <c r="O320" i="11"/>
  <c r="Y320" i="11"/>
  <c r="AJ320" i="11"/>
  <c r="AU320" i="11"/>
  <c r="P320" i="11"/>
  <c r="AA320" i="11"/>
  <c r="AK320" i="11"/>
  <c r="AV320" i="11"/>
  <c r="Q320" i="11"/>
  <c r="AB320" i="11"/>
  <c r="AM320" i="11"/>
  <c r="S320" i="11"/>
  <c r="AC320" i="11"/>
  <c r="AN320" i="11"/>
  <c r="K320" i="11"/>
  <c r="U320" i="11"/>
  <c r="AF320" i="11"/>
  <c r="AQ320" i="11"/>
  <c r="X320" i="11"/>
  <c r="AE320" i="11"/>
  <c r="AG320" i="11"/>
  <c r="I320" i="11"/>
  <c r="AI320" i="11"/>
  <c r="L320" i="11"/>
  <c r="AO320" i="11"/>
  <c r="M320" i="11"/>
  <c r="AR320" i="11"/>
  <c r="T320" i="11"/>
  <c r="W320" i="11"/>
  <c r="AS320" i="11"/>
  <c r="H241" i="4"/>
  <c r="J241" i="4"/>
  <c r="K241" i="4"/>
  <c r="I241" i="4"/>
  <c r="H177" i="4"/>
  <c r="I177" i="4"/>
  <c r="K177" i="4"/>
  <c r="J177" i="4"/>
  <c r="J50" i="4"/>
  <c r="I50" i="4"/>
  <c r="K50" i="4"/>
  <c r="H50" i="4"/>
  <c r="K113" i="11"/>
  <c r="S113" i="11"/>
  <c r="AA113" i="11"/>
  <c r="AI113" i="11"/>
  <c r="AQ113" i="11"/>
  <c r="N113" i="11"/>
  <c r="V113" i="11"/>
  <c r="AD113" i="11"/>
  <c r="AL113" i="11"/>
  <c r="AT113" i="11"/>
  <c r="I113" i="11"/>
  <c r="T113" i="11"/>
  <c r="AE113" i="11"/>
  <c r="AO113" i="11"/>
  <c r="M113" i="11"/>
  <c r="X113" i="11"/>
  <c r="AH113" i="11"/>
  <c r="AS113" i="11"/>
  <c r="L113" i="11"/>
  <c r="Z113" i="11"/>
  <c r="AN113" i="11"/>
  <c r="O113" i="11"/>
  <c r="AB113" i="11"/>
  <c r="AP113" i="11"/>
  <c r="P113" i="11"/>
  <c r="AC113" i="11"/>
  <c r="AR113" i="11"/>
  <c r="Q113" i="11"/>
  <c r="AF113" i="11"/>
  <c r="AU113" i="11"/>
  <c r="AK113" i="11"/>
  <c r="R113" i="11"/>
  <c r="AV113" i="11"/>
  <c r="U113" i="11"/>
  <c r="W113" i="11"/>
  <c r="Y113" i="11"/>
  <c r="J113" i="11"/>
  <c r="AG113" i="11"/>
  <c r="AM113" i="11"/>
  <c r="AJ113" i="11"/>
  <c r="H230" i="4"/>
  <c r="J230" i="4"/>
  <c r="K230" i="4"/>
  <c r="I230" i="4"/>
  <c r="I304" i="4"/>
  <c r="K304" i="4"/>
  <c r="H304" i="4"/>
  <c r="J304" i="4"/>
  <c r="H240" i="4"/>
  <c r="J240" i="4"/>
  <c r="K240" i="4"/>
  <c r="I240" i="4"/>
  <c r="H176" i="4"/>
  <c r="J176" i="4"/>
  <c r="K176" i="4"/>
  <c r="I176" i="4"/>
  <c r="H49" i="4"/>
  <c r="K49" i="4"/>
  <c r="J49" i="4"/>
  <c r="I49" i="4"/>
  <c r="L833" i="11"/>
  <c r="T833" i="11"/>
  <c r="AB833" i="11"/>
  <c r="AJ833" i="11"/>
  <c r="AR833" i="11"/>
  <c r="M833" i="11"/>
  <c r="U833" i="11"/>
  <c r="AC833" i="11"/>
  <c r="AK833" i="11"/>
  <c r="AS833" i="11"/>
  <c r="S833" i="11"/>
  <c r="N833" i="11"/>
  <c r="V833" i="11"/>
  <c r="AD833" i="11"/>
  <c r="AL833" i="11"/>
  <c r="AT833" i="11"/>
  <c r="K833" i="11"/>
  <c r="AQ833" i="11"/>
  <c r="O833" i="11"/>
  <c r="W833" i="11"/>
  <c r="AE833" i="11"/>
  <c r="AM833" i="11"/>
  <c r="AU833" i="11"/>
  <c r="P833" i="11"/>
  <c r="X833" i="11"/>
  <c r="AF833" i="11"/>
  <c r="AN833" i="11"/>
  <c r="AV833" i="11"/>
  <c r="I833" i="11"/>
  <c r="Q833" i="11"/>
  <c r="Y833" i="11"/>
  <c r="AG833" i="11"/>
  <c r="AO833" i="11"/>
  <c r="AA833" i="11"/>
  <c r="J833" i="11"/>
  <c r="R833" i="11"/>
  <c r="Z833" i="11"/>
  <c r="AH833" i="11"/>
  <c r="AP833" i="11"/>
  <c r="AI833" i="11"/>
  <c r="H636" i="4"/>
  <c r="I636" i="4"/>
  <c r="J636" i="4"/>
  <c r="K636" i="4"/>
  <c r="H375" i="4"/>
  <c r="K375" i="4"/>
  <c r="I375" i="4"/>
  <c r="J375" i="4"/>
  <c r="I295" i="4"/>
  <c r="H295" i="4"/>
  <c r="J295" i="4"/>
  <c r="K295" i="4"/>
  <c r="H429" i="4"/>
  <c r="J429" i="4"/>
  <c r="K429" i="4"/>
  <c r="I429" i="4"/>
  <c r="K365" i="4"/>
  <c r="H365" i="4"/>
  <c r="I365" i="4"/>
  <c r="J365" i="4"/>
  <c r="I301" i="4"/>
  <c r="H301" i="4"/>
  <c r="K301" i="4"/>
  <c r="J301" i="4"/>
  <c r="M239" i="11"/>
  <c r="U239" i="11"/>
  <c r="AC239" i="11"/>
  <c r="AK239" i="11"/>
  <c r="AS239" i="11"/>
  <c r="O239" i="11"/>
  <c r="W239" i="11"/>
  <c r="AE239" i="11"/>
  <c r="AM239" i="11"/>
  <c r="AU239" i="11"/>
  <c r="P239" i="11"/>
  <c r="X239" i="11"/>
  <c r="AF239" i="11"/>
  <c r="AN239" i="11"/>
  <c r="AV239" i="11"/>
  <c r="I239" i="11"/>
  <c r="Q239" i="11"/>
  <c r="Y239" i="11"/>
  <c r="AG239" i="11"/>
  <c r="AO239" i="11"/>
  <c r="J239" i="11"/>
  <c r="R239" i="11"/>
  <c r="Z239" i="11"/>
  <c r="AH239" i="11"/>
  <c r="AP239" i="11"/>
  <c r="V239" i="11"/>
  <c r="AR239" i="11"/>
  <c r="AB239" i="11"/>
  <c r="K239" i="11"/>
  <c r="AD239" i="11"/>
  <c r="L239" i="11"/>
  <c r="AI239" i="11"/>
  <c r="N239" i="11"/>
  <c r="AJ239" i="11"/>
  <c r="AT239" i="11"/>
  <c r="S239" i="11"/>
  <c r="T239" i="11"/>
  <c r="AA239" i="11"/>
  <c r="AL239" i="11"/>
  <c r="AQ239" i="11"/>
  <c r="H214" i="4"/>
  <c r="J214" i="4"/>
  <c r="K214" i="4"/>
  <c r="I214" i="4"/>
  <c r="H428" i="4"/>
  <c r="I428" i="4"/>
  <c r="J428" i="4"/>
  <c r="K428" i="4"/>
  <c r="K364" i="4"/>
  <c r="H364" i="4"/>
  <c r="I364" i="4"/>
  <c r="J364" i="4"/>
  <c r="I302" i="11"/>
  <c r="Q302" i="11"/>
  <c r="Y302" i="11"/>
  <c r="AG302" i="11"/>
  <c r="AO302" i="11"/>
  <c r="J302" i="11"/>
  <c r="R302" i="11"/>
  <c r="Z302" i="11"/>
  <c r="AH302" i="11"/>
  <c r="AP302" i="11"/>
  <c r="N302" i="11"/>
  <c r="V302" i="11"/>
  <c r="AD302" i="11"/>
  <c r="AL302" i="11"/>
  <c r="AT302" i="11"/>
  <c r="M302" i="11"/>
  <c r="AA302" i="11"/>
  <c r="AM302" i="11"/>
  <c r="O302" i="11"/>
  <c r="AB302" i="11"/>
  <c r="AN302" i="11"/>
  <c r="P302" i="11"/>
  <c r="AC302" i="11"/>
  <c r="AQ302" i="11"/>
  <c r="S302" i="11"/>
  <c r="AE302" i="11"/>
  <c r="AR302" i="11"/>
  <c r="U302" i="11"/>
  <c r="AI302" i="11"/>
  <c r="AU302" i="11"/>
  <c r="AJ302" i="11"/>
  <c r="AK302" i="11"/>
  <c r="K302" i="11"/>
  <c r="AS302" i="11"/>
  <c r="L302" i="11"/>
  <c r="AV302" i="11"/>
  <c r="T302" i="11"/>
  <c r="W302" i="11"/>
  <c r="X302" i="11"/>
  <c r="AF302" i="11"/>
  <c r="H112" i="4"/>
  <c r="K112" i="4"/>
  <c r="I112" i="4"/>
  <c r="J112" i="4"/>
  <c r="M437" i="11"/>
  <c r="U437" i="11"/>
  <c r="AC437" i="11"/>
  <c r="AK437" i="11"/>
  <c r="AS437" i="11"/>
  <c r="I437" i="11"/>
  <c r="Q437" i="11"/>
  <c r="Y437" i="11"/>
  <c r="AG437" i="11"/>
  <c r="AO437" i="11"/>
  <c r="O437" i="11"/>
  <c r="Z437" i="11"/>
  <c r="AJ437" i="11"/>
  <c r="AU437" i="11"/>
  <c r="P437" i="11"/>
  <c r="AA437" i="11"/>
  <c r="AL437" i="11"/>
  <c r="AV437" i="11"/>
  <c r="R437" i="11"/>
  <c r="AB437" i="11"/>
  <c r="AM437" i="11"/>
  <c r="S437" i="11"/>
  <c r="AD437" i="11"/>
  <c r="AN437" i="11"/>
  <c r="J437" i="11"/>
  <c r="T437" i="11"/>
  <c r="AE437" i="11"/>
  <c r="AP437" i="11"/>
  <c r="K437" i="11"/>
  <c r="V437" i="11"/>
  <c r="AF437" i="11"/>
  <c r="AQ437" i="11"/>
  <c r="AH437" i="11"/>
  <c r="AI437" i="11"/>
  <c r="AR437" i="11"/>
  <c r="AT437" i="11"/>
  <c r="L437" i="11"/>
  <c r="N437" i="11"/>
  <c r="W437" i="11"/>
  <c r="X437" i="11"/>
  <c r="K60" i="4"/>
  <c r="H60" i="4"/>
  <c r="I60" i="4"/>
  <c r="J60" i="4"/>
  <c r="I322" i="4"/>
  <c r="H322" i="4"/>
  <c r="K322" i="4"/>
  <c r="J322" i="4"/>
  <c r="H258" i="4"/>
  <c r="I258" i="4"/>
  <c r="J258" i="4"/>
  <c r="K258" i="4"/>
  <c r="K194" i="4"/>
  <c r="H194" i="4"/>
  <c r="J194" i="4"/>
  <c r="I194" i="4"/>
  <c r="I130" i="4"/>
  <c r="K130" i="4"/>
  <c r="J130" i="4"/>
  <c r="H130" i="4"/>
  <c r="I67" i="4"/>
  <c r="K67" i="4"/>
  <c r="H67" i="4"/>
  <c r="J67" i="4"/>
  <c r="H231" i="4"/>
  <c r="J231" i="4"/>
  <c r="K231" i="4"/>
  <c r="I231" i="4"/>
  <c r="H169" i="4"/>
  <c r="I169" i="4"/>
  <c r="J169" i="4"/>
  <c r="K169" i="4"/>
  <c r="H114" i="4"/>
  <c r="I114" i="4"/>
  <c r="J114" i="4"/>
  <c r="K114" i="4"/>
  <c r="J42" i="4"/>
  <c r="I42" i="4"/>
  <c r="K42" i="4"/>
  <c r="H42" i="4"/>
  <c r="H232" i="4"/>
  <c r="J232" i="4"/>
  <c r="K232" i="4"/>
  <c r="I232" i="4"/>
  <c r="H168" i="4"/>
  <c r="J168" i="4"/>
  <c r="K168" i="4"/>
  <c r="I168" i="4"/>
  <c r="H113" i="4"/>
  <c r="J113" i="4"/>
  <c r="I113" i="4"/>
  <c r="K113" i="4"/>
  <c r="H41" i="4"/>
  <c r="J41" i="4"/>
  <c r="K41" i="4"/>
  <c r="I41" i="4"/>
  <c r="L10" i="4"/>
  <c r="M10" i="4"/>
  <c r="N10" i="4"/>
  <c r="L9" i="4"/>
  <c r="N9" i="4"/>
  <c r="M9" i="4"/>
  <c r="K9" i="4"/>
  <c r="J9" i="4"/>
  <c r="I9" i="4"/>
  <c r="J10" i="4"/>
  <c r="H10" i="4"/>
  <c r="I10" i="4"/>
  <c r="K10" i="4"/>
  <c r="K5" i="11"/>
  <c r="Y5" i="11"/>
  <c r="AM5" i="11"/>
  <c r="N5" i="11"/>
  <c r="AB5" i="11"/>
  <c r="AQ5" i="11"/>
  <c r="AP5" i="11"/>
  <c r="Q5" i="11"/>
  <c r="AE5" i="11"/>
  <c r="AS5" i="11"/>
  <c r="T5" i="11"/>
  <c r="AT5" i="11"/>
  <c r="AR5" i="11"/>
  <c r="AN5" i="11"/>
  <c r="AL5" i="11"/>
  <c r="AJ5" i="11"/>
  <c r="S5" i="11"/>
  <c r="R5" i="11"/>
  <c r="P5" i="11"/>
  <c r="AK5" i="11"/>
  <c r="J5" i="11"/>
  <c r="AD5" i="11"/>
  <c r="AG5" i="11"/>
  <c r="AC5" i="11"/>
  <c r="AA5" i="11"/>
  <c r="AF5" i="11"/>
  <c r="U5" i="11"/>
  <c r="AI5" i="11"/>
  <c r="X5" i="11"/>
  <c r="M5" i="11"/>
  <c r="AH5" i="11"/>
  <c r="W5" i="11"/>
  <c r="V5" i="11"/>
  <c r="L5" i="11"/>
  <c r="Z5" i="11"/>
  <c r="AO5" i="11"/>
  <c r="AU5" i="11"/>
  <c r="O5" i="11"/>
  <c r="G7" i="10"/>
  <c r="K508" i="4" l="1"/>
  <c r="K499" i="4"/>
  <c r="J508" i="4"/>
  <c r="J499" i="4"/>
  <c r="I508" i="4"/>
  <c r="I499" i="4"/>
  <c r="H508" i="4"/>
  <c r="H499" i="4"/>
  <c r="K509" i="4"/>
  <c r="K500" i="4"/>
  <c r="J509" i="4"/>
  <c r="J500" i="4"/>
  <c r="I509" i="4"/>
  <c r="I500" i="4"/>
  <c r="H509" i="4"/>
  <c r="H500" i="4"/>
  <c r="K511" i="4"/>
  <c r="K502" i="4"/>
  <c r="J511" i="4"/>
  <c r="J502" i="4"/>
  <c r="I511" i="4"/>
  <c r="I502" i="4"/>
  <c r="H511" i="4"/>
  <c r="H502" i="4"/>
  <c r="K501" i="4"/>
  <c r="K510" i="4"/>
  <c r="J501" i="4"/>
  <c r="J510" i="4"/>
  <c r="I501" i="4"/>
  <c r="I510" i="4"/>
  <c r="H501" i="4"/>
  <c r="H510" i="4"/>
  <c r="I11" i="4"/>
  <c r="N13" i="1"/>
  <c r="J14" i="1" l="1"/>
  <c r="J15" i="1"/>
  <c r="J16" i="1"/>
  <c r="J17" i="1"/>
  <c r="J18" i="1"/>
  <c r="J19" i="1"/>
  <c r="J13" i="1"/>
  <c r="E19" i="1"/>
  <c r="E14" i="1"/>
  <c r="E15" i="1"/>
  <c r="E16" i="1"/>
  <c r="E17" i="1"/>
  <c r="E18" i="1"/>
  <c r="E13" i="1"/>
  <c r="H4" i="1"/>
  <c r="H6" i="1"/>
  <c r="H7" i="1"/>
  <c r="H8" i="1"/>
  <c r="H9" i="1"/>
  <c r="H5" i="1"/>
  <c r="G4" i="1"/>
  <c r="G5" i="1"/>
  <c r="E4" i="1"/>
  <c r="G6" i="1"/>
  <c r="G7" i="1"/>
  <c r="G8" i="1"/>
  <c r="G9" i="1"/>
  <c r="E6" i="1"/>
  <c r="E7" i="1"/>
  <c r="E8" i="1"/>
  <c r="E9" i="1"/>
  <c r="E5" i="1"/>
</calcChain>
</file>

<file path=xl/sharedStrings.xml><?xml version="1.0" encoding="utf-8"?>
<sst xmlns="http://schemas.openxmlformats.org/spreadsheetml/2006/main" count="10216" uniqueCount="295">
  <si>
    <t>Para</t>
  </si>
  <si>
    <t>Para lvl 1</t>
  </si>
  <si>
    <t>Para lvl 2</t>
  </si>
  <si>
    <t>Sleep lvl 1</t>
  </si>
  <si>
    <t>Poison lvl 1</t>
  </si>
  <si>
    <t>Sleep lvl 2</t>
  </si>
  <si>
    <t>Poison lvl 2</t>
  </si>
  <si>
    <t>Exhaust lvl 1</t>
  </si>
  <si>
    <t>Exhaust lvl 2</t>
  </si>
  <si>
    <t>Status +1</t>
  </si>
  <si>
    <t>Status +2</t>
  </si>
  <si>
    <t>Crag 1</t>
  </si>
  <si>
    <t>Crag 2</t>
  </si>
  <si>
    <t>Crag 3</t>
  </si>
  <si>
    <t>KO</t>
  </si>
  <si>
    <t>Knockout</t>
  </si>
  <si>
    <t>Status</t>
  </si>
  <si>
    <t>Notes</t>
  </si>
  <si>
    <t>cannon balls</t>
  </si>
  <si>
    <t>∆%</t>
  </si>
  <si>
    <t>Ammo Type</t>
  </si>
  <si>
    <t>Triblast</t>
  </si>
  <si>
    <t>Exhaust</t>
  </si>
  <si>
    <t>KO King/ Slugger/Flying Pub Soul</t>
  </si>
  <si>
    <t>*Knockout King, Flying pub soul, and Slugger all multiply the KO by 10% and round down to the nearest integer</t>
  </si>
  <si>
    <t>No Skills</t>
  </si>
  <si>
    <t>Stamina Thief</t>
  </si>
  <si>
    <t>∆% From No Status</t>
  </si>
  <si>
    <t>∆% From Status +1</t>
  </si>
  <si>
    <t>*For every 10 seconds no status is applied, 5 is added to that status until the threshold is met (time it takes Crag's to explode is included in the 10 seconds)</t>
  </si>
  <si>
    <t>*When exhaust threshold is met it will stagger for a second or 2. It can cancel the animation for some monsters but it doesn't cause it to drool</t>
  </si>
  <si>
    <t>Rathalos</t>
  </si>
  <si>
    <t>Sleep</t>
  </si>
  <si>
    <t>Poison</t>
  </si>
  <si>
    <t>Mount</t>
  </si>
  <si>
    <t>Blast</t>
  </si>
  <si>
    <t>1st</t>
  </si>
  <si>
    <t>2nd</t>
  </si>
  <si>
    <t>3rd</t>
  </si>
  <si>
    <t>4th</t>
  </si>
  <si>
    <t>Duration</t>
  </si>
  <si>
    <t>Gypceros</t>
  </si>
  <si>
    <t xml:space="preserve"> - For some monsters like Hell blade it goes up by 10</t>
  </si>
  <si>
    <t>Kirin</t>
  </si>
  <si>
    <t>Amount</t>
  </si>
  <si>
    <t>Clip Size</t>
  </si>
  <si>
    <t>Agnaktor</t>
  </si>
  <si>
    <t>Akantor</t>
  </si>
  <si>
    <t>Astalos</t>
  </si>
  <si>
    <t>Blangonga</t>
  </si>
  <si>
    <t>Bulldrome</t>
  </si>
  <si>
    <t>Cephadrome</t>
  </si>
  <si>
    <t>Durambros</t>
  </si>
  <si>
    <t>Gammoth</t>
  </si>
  <si>
    <t>Gendrome</t>
  </si>
  <si>
    <t>Glavenus</t>
  </si>
  <si>
    <t>Gore Magala</t>
  </si>
  <si>
    <t>Great Maccao</t>
  </si>
  <si>
    <t>Malfestio</t>
  </si>
  <si>
    <t>Iodrome</t>
  </si>
  <si>
    <t>Kecha Wacha</t>
  </si>
  <si>
    <t>Khezu</t>
  </si>
  <si>
    <t>Lagombi</t>
  </si>
  <si>
    <t>Lavasioth</t>
  </si>
  <si>
    <t>Mizutune</t>
  </si>
  <si>
    <t>Najarala</t>
  </si>
  <si>
    <t>Nargacuga</t>
  </si>
  <si>
    <t>Nibelsnarf</t>
  </si>
  <si>
    <t>Plesioth</t>
  </si>
  <si>
    <t>Rajang</t>
  </si>
  <si>
    <t>Rathian</t>
  </si>
  <si>
    <t>Royal Ludroth</t>
  </si>
  <si>
    <t>Seltas</t>
  </si>
  <si>
    <t>Seltas Queen</t>
  </si>
  <si>
    <t>Seregios</t>
  </si>
  <si>
    <t>Tetsucabra</t>
  </si>
  <si>
    <t>Tigrex</t>
  </si>
  <si>
    <t>Ukanlos</t>
  </si>
  <si>
    <t>Velocidrome</t>
  </si>
  <si>
    <t>Volvidon</t>
  </si>
  <si>
    <t>Yian  Garuga</t>
  </si>
  <si>
    <t>Yian Kut-ku</t>
  </si>
  <si>
    <t>Zamtrios</t>
  </si>
  <si>
    <t>Zinogre</t>
  </si>
  <si>
    <t>Thunderlord</t>
  </si>
  <si>
    <t>Alatron</t>
  </si>
  <si>
    <t>Amatsu</t>
  </si>
  <si>
    <t>Chamelos</t>
  </si>
  <si>
    <t>Narkos</t>
  </si>
  <si>
    <t>High Rank Solo</t>
  </si>
  <si>
    <t>High Rank Multiple</t>
  </si>
  <si>
    <t>MHGen</t>
  </si>
  <si>
    <t>Game Tag</t>
  </si>
  <si>
    <t>Monster Name</t>
  </si>
  <si>
    <t>Food Skills</t>
  </si>
  <si>
    <t>KO King</t>
  </si>
  <si>
    <t>Stamina Drain</t>
  </si>
  <si>
    <t>Slugger</t>
  </si>
  <si>
    <t>Quest Type</t>
  </si>
  <si>
    <t>High Rank</t>
  </si>
  <si>
    <t>Hyper</t>
  </si>
  <si>
    <t>High Rank Hyper Multiple</t>
  </si>
  <si>
    <t>High Rank Hyper Solo</t>
  </si>
  <si>
    <t>G Rank</t>
  </si>
  <si>
    <t>Solo</t>
  </si>
  <si>
    <t>Multiple</t>
  </si>
  <si>
    <t>Hyper Solo</t>
  </si>
  <si>
    <t>Hyper Multiple</t>
  </si>
  <si>
    <t>Insert amount of status</t>
  </si>
  <si>
    <t>ba</t>
  </si>
  <si>
    <t>Game</t>
  </si>
  <si>
    <t>Calculations for knockouts with HH, Hammer, SA, and SnS are not complete</t>
  </si>
  <si>
    <t>Status + 1</t>
  </si>
  <si>
    <t>Status + 2</t>
  </si>
  <si>
    <t>Monster</t>
  </si>
  <si>
    <t>Shot Type</t>
  </si>
  <si>
    <t>Specialist</t>
  </si>
  <si>
    <t>Cata field</t>
  </si>
  <si>
    <t>Armor Skills</t>
  </si>
  <si>
    <t>With</t>
  </si>
  <si>
    <t>W/o KO</t>
  </si>
  <si>
    <t>Threshold</t>
  </si>
  <si>
    <t>KO King/ Flying Pub Soul</t>
  </si>
  <si>
    <t>Shogun Ceanataur</t>
  </si>
  <si>
    <t>Daimyo Hermitaur</t>
  </si>
  <si>
    <t>Kushala Dora</t>
  </si>
  <si>
    <t>Flying Pub Soul</t>
  </si>
  <si>
    <t>AkantorTriblast</t>
  </si>
  <si>
    <t>Final</t>
  </si>
  <si>
    <t xml:space="preserve">Mount </t>
  </si>
  <si>
    <t>Mount Damage Test</t>
  </si>
  <si>
    <t>LBG</t>
  </si>
  <si>
    <t>HBG</t>
  </si>
  <si>
    <t>SnS</t>
  </si>
  <si>
    <t>SA</t>
  </si>
  <si>
    <t>Hammer</t>
  </si>
  <si>
    <t>GS</t>
  </si>
  <si>
    <t>LS</t>
  </si>
  <si>
    <t>Lance</t>
  </si>
  <si>
    <t>Gun Lance</t>
  </si>
  <si>
    <t>IG</t>
  </si>
  <si>
    <t>Bow</t>
  </si>
  <si>
    <t>Amount of Mount Applied per hit</t>
  </si>
  <si>
    <t>Number of hits per jump</t>
  </si>
  <si>
    <t>1st hit</t>
  </si>
  <si>
    <t>2nd hit</t>
  </si>
  <si>
    <t>first hit is when jumping up and the second is when falling down</t>
  </si>
  <si>
    <t>First hit needs to be timed correctly when falling down</t>
  </si>
  <si>
    <t>More mount damage is done when in Demon mode</t>
  </si>
  <si>
    <t>DB (Demon Mode)</t>
  </si>
  <si>
    <t>Only when decending</t>
  </si>
  <si>
    <t>How it works</t>
  </si>
  <si>
    <t>HH</t>
  </si>
  <si>
    <t>lvl 1 Charge Single hit</t>
  </si>
  <si>
    <t>lvl 2 Charge Single hit</t>
  </si>
  <si>
    <t>lvl 1 Charge double hit</t>
  </si>
  <si>
    <t>first hit 6 second hit 18</t>
  </si>
  <si>
    <t>axe</t>
  </si>
  <si>
    <t>All hits no mater the mode do 30 mount</t>
  </si>
  <si>
    <t>DB (Normal)</t>
  </si>
  <si>
    <t>IG Red</t>
  </si>
  <si>
    <t>3rd hit</t>
  </si>
  <si>
    <t>Axe mode has 2 hits and Normal has 1 but they do the same amount fo mount</t>
  </si>
  <si>
    <t>DB (Charged Normal)</t>
  </si>
  <si>
    <t>not mount when Para or KO</t>
  </si>
  <si>
    <t>CB (Axe)</t>
  </si>
  <si>
    <t>CB (Sword)</t>
  </si>
  <si>
    <t>Hammer lvl 2 Charge 1 hit</t>
  </si>
  <si>
    <t>Hammer Lvl 1 Charge  Single Hit</t>
  </si>
  <si>
    <t>Mount damage doesn't go back up after a set amount of time</t>
  </si>
  <si>
    <t>Aim for the body, the tail and wings don't count and the head wont either if it's too far away from the body ie Paralyzed Rathain</t>
  </si>
  <si>
    <t>Deviant</t>
  </si>
  <si>
    <t>Boltreaver Astalos</t>
  </si>
  <si>
    <t>Ahtal-Ka</t>
  </si>
  <si>
    <t>Barioth</t>
  </si>
  <si>
    <t>Barroth</t>
  </si>
  <si>
    <t>Basarios</t>
  </si>
  <si>
    <t>Congalala</t>
  </si>
  <si>
    <t>Bloodbath Diablos</t>
  </si>
  <si>
    <t>Elderfrost Gammoth</t>
  </si>
  <si>
    <t>Nightcloak Malfestio</t>
  </si>
  <si>
    <t>Nerscylla</t>
  </si>
  <si>
    <t>Rustrazor Ceanataur</t>
  </si>
  <si>
    <t>Lao-Shan Long</t>
  </si>
  <si>
    <t>MHGU</t>
  </si>
  <si>
    <t>Ahtal-Ka ( Fortress)</t>
  </si>
  <si>
    <t>Fatalis (Crimson)</t>
  </si>
  <si>
    <t>Rathian (Gold)</t>
  </si>
  <si>
    <t>Rathalos (Silver)</t>
  </si>
  <si>
    <t>Fatalis (Black)</t>
  </si>
  <si>
    <t>Fatalis (White, Old)</t>
  </si>
  <si>
    <t>All status timers are pause during a mount</t>
  </si>
  <si>
    <t>Gravious</t>
  </si>
  <si>
    <t>Valtrax</t>
  </si>
  <si>
    <t>Diablos</t>
  </si>
  <si>
    <t>agNACTOR back of body doesn't count</t>
  </si>
  <si>
    <t>hit from the front of the monster between the head and wings</t>
  </si>
  <si>
    <t>hit at the apex of the jump</t>
  </si>
  <si>
    <t>Rajang (Furious)</t>
  </si>
  <si>
    <t>Devil Jho (Savage)</t>
  </si>
  <si>
    <t>Multiple Monsters</t>
  </si>
  <si>
    <t>TEST</t>
  </si>
  <si>
    <t>`</t>
  </si>
  <si>
    <t>Arzuros</t>
  </si>
  <si>
    <t>Gore Magala (Chaotic)</t>
  </si>
  <si>
    <t>Teostra</t>
  </si>
  <si>
    <t>if you get the monster to go down for the mount the mount threshold goes up by half of the normal amount</t>
  </si>
  <si>
    <t>Shock Trap</t>
  </si>
  <si>
    <t>Gore Magala (Shagaru)</t>
  </si>
  <si>
    <t>Brachydios</t>
  </si>
  <si>
    <t>Duration Enraged</t>
  </si>
  <si>
    <t>Duration Fatigued</t>
  </si>
  <si>
    <t>Normal Duration</t>
  </si>
  <si>
    <t>Pitfall Trap</t>
  </si>
  <si>
    <t>-</t>
  </si>
  <si>
    <t>Weapon</t>
  </si>
  <si>
    <t>Great Sword</t>
  </si>
  <si>
    <t>Long Sword</t>
  </si>
  <si>
    <t>Dual Blades</t>
  </si>
  <si>
    <t>Hunting horn</t>
  </si>
  <si>
    <t>Gunlance</t>
  </si>
  <si>
    <t>Switch Axe</t>
  </si>
  <si>
    <t>Insect Glaive</t>
  </si>
  <si>
    <t>Charge blade</t>
  </si>
  <si>
    <t>Light Bow Gun</t>
  </si>
  <si>
    <t>Heavy Bowgun</t>
  </si>
  <si>
    <t>Devil Jho</t>
  </si>
  <si>
    <t>Soulseer Mizutsune</t>
  </si>
  <si>
    <t>Snowbaron Lagombi</t>
  </si>
  <si>
    <t>Stonefist Hermitaur</t>
  </si>
  <si>
    <t>Uragaan</t>
  </si>
  <si>
    <t>Silverwind Nargacuga</t>
  </si>
  <si>
    <t>Redhelm Arzuros</t>
  </si>
  <si>
    <t>Lagiacrus</t>
  </si>
  <si>
    <t>Hellblade Glavenus</t>
  </si>
  <si>
    <t>Grimclaw Tigrex</t>
  </si>
  <si>
    <t>Drilltusk Tetsucabra</t>
  </si>
  <si>
    <t>Dreadqueen Rathian</t>
  </si>
  <si>
    <t>Dreadking Rathalos</t>
  </si>
  <si>
    <t>Deadeye Yian Garuga</t>
  </si>
  <si>
    <t>Crystal beard Uragaan</t>
  </si>
  <si>
    <t>Brachydios (Raging)</t>
  </si>
  <si>
    <t>Without Skill</t>
  </si>
  <si>
    <t>With Flier</t>
  </si>
  <si>
    <t xml:space="preserve">Select your game in the drop down </t>
  </si>
  <si>
    <t>(for MHGU select MHGU and MHGen)</t>
  </si>
  <si>
    <t xml:space="preserve">How to apply them </t>
  </si>
  <si>
    <t>Stagger</t>
  </si>
  <si>
    <t>Flash Bomb</t>
  </si>
  <si>
    <t>Sonic Bomb</t>
  </si>
  <si>
    <t>Knocks out the monster and gives you time to attack it</t>
  </si>
  <si>
    <t>Larger trap that lets you trap the monster</t>
  </si>
  <si>
    <t xml:space="preserve">Small trap that lets to trap the monster. Not </t>
  </si>
  <si>
    <t>causes the monster to flinch after doing enough damage to one part of the body</t>
  </si>
  <si>
    <t>Lets you ride the monster and lets you bring it down and attack it for a little while</t>
  </si>
  <si>
    <t>enrages some monsters like the Nargacuga, and brings some monsters like Diablos out of the ground.</t>
  </si>
  <si>
    <t xml:space="preserve">Knocks fling monsters out of the </t>
  </si>
  <si>
    <t>Does a fixed amount of damage, Monster dependent</t>
  </si>
  <si>
    <t>Does a fixed amount of damage for a fix duration, Monster dependent</t>
  </si>
  <si>
    <t>Causes monsters to attack less, stay in traps longer, and move slower</t>
  </si>
  <si>
    <t>Types of Status's and what they do</t>
  </si>
  <si>
    <t>Things to Keep in Mind</t>
  </si>
  <si>
    <t>5) For poison you can apply poison while it's poisoned but you can't re apply it until the end of the poison duration (say that 10 times fast)</t>
  </si>
  <si>
    <t>6) if you stop attacking for 10 seconds or more you might need an extra hit to apply the status since the amount that you've apply will decrease</t>
  </si>
  <si>
    <t>For most status's you can hit the monster anywhere. The only exceptions are KO, Mount and Stagger</t>
  </si>
  <si>
    <t>Each body part has a different stagger threshold and the monster will only stagger one you hit the threshold for that part</t>
  </si>
  <si>
    <t>You must hit the monster in the face</t>
  </si>
  <si>
    <t>Group 3</t>
  </si>
  <si>
    <t>Group 2</t>
  </si>
  <si>
    <t>Group 1</t>
  </si>
  <si>
    <t xml:space="preserve">Group 2 </t>
  </si>
  <si>
    <t>These can't be applied if it's al ready in a group 3 Status and some like Exhaust and Sonic bombs can only be used a certain times.</t>
  </si>
  <si>
    <t>If it's in or just getting out of a group 3 different status then the monster won't be exhausted. For example you have to wait until the wake animation or Rathalos landing animation is done before you can exhaust it.</t>
  </si>
  <si>
    <t>The monster can't be in a group 3 status or enraged</t>
  </si>
  <si>
    <t xml:space="preserve">No Status can be applied to Plesioth when it's in the water. It will go towards the threshold but you'll need to apply it after it gets on land </t>
  </si>
  <si>
    <t>3) This is a work in progress and isn't complete. This document doesn't have accurate information for deviants or event monsters</t>
  </si>
  <si>
    <t>7) If you find any issues contact PanzHunter so I can fix it</t>
  </si>
  <si>
    <t>Rider</t>
  </si>
  <si>
    <t>You can hide this column when done</t>
  </si>
  <si>
    <t>Puts it to sleep and lets to get a big hit which does 3triple damage. If you wait to long to wait it up it'll wake up it's self</t>
  </si>
  <si>
    <r>
      <t xml:space="preserve">1) This document will tell you how many </t>
    </r>
    <r>
      <rPr>
        <sz val="11"/>
        <color theme="5"/>
        <rFont val="Calibri"/>
        <family val="2"/>
        <scheme val="minor"/>
      </rPr>
      <t>shots</t>
    </r>
    <r>
      <rPr>
        <sz val="11"/>
        <color theme="1"/>
        <rFont val="Calibri"/>
        <family val="2"/>
        <scheme val="minor"/>
      </rPr>
      <t xml:space="preserve"> or </t>
    </r>
    <r>
      <rPr>
        <sz val="11"/>
        <color theme="5"/>
        <rFont val="Calibri"/>
        <family val="2"/>
        <scheme val="minor"/>
      </rPr>
      <t>status clouds</t>
    </r>
    <r>
      <rPr>
        <sz val="11"/>
        <color theme="1"/>
        <rFont val="Calibri"/>
        <family val="2"/>
        <scheme val="minor"/>
      </rPr>
      <t xml:space="preserve"> are needed to apply a status to a monster in MHGen and MHGU</t>
    </r>
  </si>
  <si>
    <t>2) Click the check boxes, with the armor, and food skills you have, and for Blade masters enter how much of a status your weapon has as well as pick your weapon for an accurate calculation.</t>
  </si>
  <si>
    <t>i.e. you can apply status up until the  last point but if it's still poisoned you'll have to wait until the poison goes away. Waiting more than 10 seconds to apply status will still decrease the status you've already applied.</t>
  </si>
  <si>
    <t>4) You can't add the same status when it's already in one.</t>
  </si>
  <si>
    <t xml:space="preserve">i.e. If it's paralyzed all none of your hits will apply to the threshold. </t>
  </si>
  <si>
    <t>Paralyzes the monsters and lets you attack it for some time</t>
  </si>
  <si>
    <r>
      <t xml:space="preserve">You must hit The </t>
    </r>
    <r>
      <rPr>
        <b/>
        <sz val="11"/>
        <color theme="1"/>
        <rFont val="Calibri"/>
        <family val="2"/>
        <scheme val="minor"/>
      </rPr>
      <t>body</t>
    </r>
    <r>
      <rPr>
        <sz val="11"/>
        <color theme="1"/>
        <rFont val="Calibri"/>
        <family val="2"/>
        <scheme val="minor"/>
      </rPr>
      <t xml:space="preserve"> of the monster to apply mount. Monsters like Malfestio are more difficult to mount because you're more likely to hit the wings</t>
    </r>
  </si>
  <si>
    <t>Some Status can overwrite other and I've broken them into groups to make it easier to see</t>
  </si>
  <si>
    <t>Status's in group 3 can overwrite other status in this group. So if it's paralyzed you can still trap it  and if it's KO'd you can still put it to sleep etc.</t>
  </si>
  <si>
    <t xml:space="preserve">*You'll know its applied when the monster filches. It might be a stagger so use the doc to make sure </t>
  </si>
  <si>
    <t>These can be applied at anytime</t>
  </si>
  <si>
    <t>Normal Duration (seconds)</t>
  </si>
  <si>
    <t>Duration Enraged (seconds)</t>
  </si>
  <si>
    <t>Duration Fatigued (seconds)</t>
  </si>
  <si>
    <t>Prowler</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</si>
</sst>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1"/>
      <name val="Calibri"/>
      <family val="2"/>
      <scheme val="minor"/>
    </font>
    <font>
      <sz val="11"/>
      <color rgb="FFFF0000"/>
      <name val="Calibri"/>
      <family val="2"/>
      <scheme val="minor"/>
    </font>
    <font>
      <u/>
      <sz val="11"/>
      <color theme="1"/>
      <name val="Calibri"/>
      <family val="2"/>
      <scheme val="minor"/>
    </font>
    <font>
      <sz val="11"/>
      <color rgb="FF00B050"/>
      <name val="Calibri"/>
      <family val="2"/>
      <scheme val="minor"/>
    </font>
    <font>
      <sz val="36"/>
      <color theme="1"/>
      <name val="Calibri"/>
      <family val="2"/>
      <scheme val="minor"/>
    </font>
    <font>
      <sz val="11"/>
      <color rgb="FF0070C0"/>
      <name val="Calibri"/>
      <family val="2"/>
      <scheme val="minor"/>
    </font>
    <font>
      <sz val="14"/>
      <color theme="1"/>
      <name val="Calibri"/>
      <family val="2"/>
      <scheme val="minor"/>
    </font>
    <font>
      <sz val="8"/>
      <color rgb="FF000000"/>
      <name val="Segoe UI"/>
      <family val="2"/>
    </font>
    <font>
      <sz val="11"/>
      <color rgb="FF000000"/>
      <name val="Calibri"/>
      <family val="2"/>
    </font>
    <font>
      <sz val="11"/>
      <color rgb="FF00B0F0"/>
      <name val="Calibri"/>
      <family val="2"/>
      <scheme val="minor"/>
    </font>
    <font>
      <b/>
      <sz val="11"/>
      <color theme="1"/>
      <name val="Calibri"/>
      <family val="2"/>
      <scheme val="minor"/>
    </font>
    <font>
      <sz val="11"/>
      <color theme="5"/>
      <name val="Calibri"/>
      <family val="2"/>
      <scheme val="minor"/>
    </font>
    <font>
      <b/>
      <sz val="14"/>
      <color theme="1"/>
      <name val="Calibri"/>
      <family val="2"/>
      <scheme val="minor"/>
    </font>
    <font>
      <sz val="14"/>
      <color rgb="FFFF0000"/>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
      <patternFill patternType="solid">
        <fgColor rgb="FF00B0F0"/>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87">
    <xf numFmtId="0" fontId="0" fillId="0" borderId="0" xfId="0"/>
    <xf numFmtId="9" fontId="0" fillId="0" borderId="0" xfId="1" applyFont="1" applyFill="1"/>
    <xf numFmtId="0" fontId="0" fillId="0" borderId="0" xfId="0" applyFill="1"/>
    <xf numFmtId="10" fontId="0" fillId="0" borderId="0" xfId="0" applyNumberFormat="1" applyFill="1"/>
    <xf numFmtId="0" fontId="2" fillId="0" borderId="0" xfId="0" applyFont="1"/>
    <xf numFmtId="0" fontId="0" fillId="0" borderId="0" xfId="0" applyFill="1" applyAlignment="1"/>
    <xf numFmtId="0" fontId="0" fillId="0" borderId="5" xfId="0" applyBorder="1"/>
    <xf numFmtId="0" fontId="0" fillId="0" borderId="7" xfId="0" applyBorder="1"/>
    <xf numFmtId="0" fontId="0" fillId="0" borderId="0" xfId="0" applyBorder="1" applyAlignment="1">
      <alignment horizontal="center"/>
    </xf>
    <xf numFmtId="0" fontId="0" fillId="0" borderId="8" xfId="0" applyBorder="1" applyAlignment="1">
      <alignment horizontal="center"/>
    </xf>
    <xf numFmtId="0" fontId="0" fillId="2" borderId="0" xfId="0" applyFill="1"/>
    <xf numFmtId="10" fontId="0" fillId="3" borderId="6" xfId="0" applyNumberFormat="1" applyFill="1" applyBorder="1" applyAlignment="1">
      <alignment horizontal="center"/>
    </xf>
    <xf numFmtId="10" fontId="0" fillId="3" borderId="9" xfId="0" applyNumberFormat="1" applyFill="1" applyBorder="1" applyAlignment="1">
      <alignment horizontal="center"/>
    </xf>
    <xf numFmtId="9" fontId="0" fillId="3" borderId="0" xfId="1" applyFont="1" applyFill="1" applyBorder="1" applyAlignment="1">
      <alignment horizontal="center"/>
    </xf>
    <xf numFmtId="10" fontId="0" fillId="3" borderId="0" xfId="0" applyNumberFormat="1" applyFill="1" applyBorder="1" applyAlignment="1">
      <alignment horizontal="center"/>
    </xf>
    <xf numFmtId="9" fontId="0" fillId="3" borderId="8" xfId="1" applyFont="1" applyFill="1" applyBorder="1" applyAlignment="1">
      <alignment horizontal="center"/>
    </xf>
    <xf numFmtId="10" fontId="0" fillId="3" borderId="8" xfId="0" applyNumberFormat="1" applyFill="1" applyBorder="1" applyAlignment="1">
      <alignment horizontal="center"/>
    </xf>
    <xf numFmtId="9" fontId="0" fillId="3" borderId="6" xfId="1" applyFont="1" applyFill="1" applyBorder="1" applyAlignment="1">
      <alignment horizontal="center"/>
    </xf>
    <xf numFmtId="0" fontId="3" fillId="0" borderId="5" xfId="0" applyFont="1" applyFill="1" applyBorder="1"/>
    <xf numFmtId="0" fontId="3" fillId="0" borderId="0" xfId="0" applyFont="1" applyFill="1" applyBorder="1"/>
    <xf numFmtId="0" fontId="3" fillId="3" borderId="6" xfId="0" applyFont="1" applyFill="1" applyBorder="1"/>
    <xf numFmtId="0" fontId="3" fillId="0" borderId="5" xfId="0" applyFont="1" applyBorder="1"/>
    <xf numFmtId="0" fontId="3" fillId="0" borderId="0" xfId="0" applyFont="1" applyBorder="1"/>
    <xf numFmtId="0" fontId="3" fillId="0" borderId="0" xfId="0" applyFont="1" applyBorder="1" applyAlignment="1">
      <alignment horizontal="center"/>
    </xf>
    <xf numFmtId="9" fontId="3" fillId="3" borderId="0" xfId="1" applyFont="1" applyFill="1" applyBorder="1"/>
    <xf numFmtId="10" fontId="3" fillId="3" borderId="0" xfId="0" applyNumberFormat="1" applyFont="1" applyFill="1" applyBorder="1"/>
    <xf numFmtId="10" fontId="3" fillId="3" borderId="6" xfId="0" applyNumberFormat="1" applyFont="1" applyFill="1" applyBorder="1"/>
    <xf numFmtId="9" fontId="3" fillId="3" borderId="6" xfId="1" applyFont="1" applyFill="1" applyBorder="1"/>
    <xf numFmtId="9" fontId="0" fillId="3" borderId="9" xfId="1" applyFont="1" applyFill="1" applyBorder="1" applyAlignment="1">
      <alignment horizontal="center"/>
    </xf>
    <xf numFmtId="0" fontId="4" fillId="0" borderId="0" xfId="0" applyFont="1"/>
    <xf numFmtId="0" fontId="0" fillId="7" borderId="0" xfId="0" applyFill="1"/>
    <xf numFmtId="0" fontId="0" fillId="4" borderId="0" xfId="0" applyFill="1"/>
    <xf numFmtId="0" fontId="0" fillId="8" borderId="0" xfId="0" applyFill="1"/>
    <xf numFmtId="0" fontId="0" fillId="9" borderId="0" xfId="0" applyFill="1"/>
    <xf numFmtId="0" fontId="0" fillId="10" borderId="0" xfId="0" applyFill="1"/>
    <xf numFmtId="0" fontId="0" fillId="0" borderId="0" xfId="0" applyAlignment="1">
      <alignment vertical="center"/>
    </xf>
    <xf numFmtId="0" fontId="0" fillId="0" borderId="3" xfId="0" applyBorder="1"/>
    <xf numFmtId="0" fontId="0" fillId="6" borderId="3" xfId="0" applyFill="1" applyBorder="1"/>
    <xf numFmtId="0" fontId="3" fillId="0" borderId="0" xfId="0" applyFont="1"/>
    <xf numFmtId="0" fontId="0" fillId="0" borderId="1" xfId="0" applyBorder="1"/>
    <xf numFmtId="0" fontId="0" fillId="0" borderId="11" xfId="0" applyBorder="1"/>
    <xf numFmtId="0" fontId="0" fillId="0" borderId="12" xfId="0" applyBorder="1"/>
    <xf numFmtId="0" fontId="5" fillId="0" borderId="0" xfId="0" applyFont="1"/>
    <xf numFmtId="0" fontId="0" fillId="11" borderId="10" xfId="0" applyFill="1" applyBorder="1"/>
    <xf numFmtId="0" fontId="0" fillId="11" borderId="11" xfId="0" applyFill="1" applyBorder="1"/>
    <xf numFmtId="0" fontId="0" fillId="11" borderId="12" xfId="0" applyFill="1" applyBorder="1"/>
    <xf numFmtId="0" fontId="0" fillId="0" borderId="0" xfId="0" applyBorder="1"/>
    <xf numFmtId="0" fontId="0" fillId="0" borderId="6" xfId="0" applyBorder="1"/>
    <xf numFmtId="0" fontId="0" fillId="0" borderId="9" xfId="0" applyBorder="1"/>
    <xf numFmtId="0" fontId="3" fillId="0" borderId="6" xfId="0" applyFont="1" applyBorder="1"/>
    <xf numFmtId="0" fontId="0" fillId="0" borderId="2" xfId="0" applyBorder="1"/>
    <xf numFmtId="0" fontId="0" fillId="0" borderId="3"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9" xfId="0" applyBorder="1" applyAlignment="1">
      <alignment horizontal="center"/>
    </xf>
    <xf numFmtId="0" fontId="0" fillId="0" borderId="4" xfId="0" applyBorder="1"/>
    <xf numFmtId="0" fontId="0" fillId="0" borderId="8" xfId="0" applyBorder="1"/>
    <xf numFmtId="0" fontId="0" fillId="5" borderId="3" xfId="0" applyFill="1" applyBorder="1"/>
    <xf numFmtId="0" fontId="0" fillId="8" borderId="13" xfId="0" applyFill="1" applyBorder="1"/>
    <xf numFmtId="0" fontId="0" fillId="0" borderId="13" xfId="0" applyBorder="1"/>
    <xf numFmtId="0" fontId="0" fillId="11" borderId="13" xfId="0" applyFill="1" applyBorder="1"/>
    <xf numFmtId="0" fontId="6" fillId="0" borderId="3" xfId="0" applyFont="1" applyBorder="1"/>
    <xf numFmtId="0" fontId="0" fillId="0" borderId="3" xfId="0" applyFill="1" applyBorder="1"/>
    <xf numFmtId="0" fontId="0" fillId="0" borderId="1" xfId="0" applyBorder="1" applyAlignment="1">
      <alignment vertical="center"/>
    </xf>
    <xf numFmtId="0" fontId="0" fillId="0" borderId="3" xfId="0" applyBorder="1" applyAlignment="1">
      <alignment vertical="center"/>
    </xf>
    <xf numFmtId="0" fontId="0" fillId="12" borderId="3" xfId="0" applyFill="1" applyBorder="1"/>
    <xf numFmtId="0" fontId="2" fillId="0" borderId="0" xfId="0" applyFont="1" applyFill="1"/>
    <xf numFmtId="0" fontId="0" fillId="3" borderId="0" xfId="0" applyFill="1" applyAlignment="1">
      <alignment vertical="center"/>
    </xf>
    <xf numFmtId="0" fontId="7" fillId="0" borderId="0" xfId="0" applyFont="1" applyAlignment="1"/>
    <xf numFmtId="0" fontId="7" fillId="0" borderId="5" xfId="0" applyFont="1" applyBorder="1" applyAlignment="1"/>
    <xf numFmtId="0" fontId="0" fillId="0" borderId="10" xfId="0" applyBorder="1"/>
    <xf numFmtId="0" fontId="3" fillId="0" borderId="2" xfId="0" applyFont="1" applyBorder="1"/>
    <xf numFmtId="0" fontId="3" fillId="0" borderId="3" xfId="0" applyFont="1" applyBorder="1"/>
    <xf numFmtId="0" fontId="7" fillId="0" borderId="0" xfId="0" applyFont="1" applyBorder="1" applyAlignment="1"/>
    <xf numFmtId="0" fontId="0" fillId="0" borderId="5" xfId="0" applyFill="1" applyBorder="1"/>
    <xf numFmtId="0" fontId="10" fillId="0" borderId="0" xfId="0" applyFont="1"/>
    <xf numFmtId="0" fontId="0" fillId="0" borderId="0" xfId="0" applyBorder="1" applyAlignment="1">
      <alignment wrapText="1"/>
    </xf>
    <xf numFmtId="0" fontId="0" fillId="13" borderId="0" xfId="0" applyFill="1"/>
    <xf numFmtId="0" fontId="0" fillId="13" borderId="0" xfId="0" applyFill="1" applyAlignment="1">
      <alignment vertical="center"/>
    </xf>
    <xf numFmtId="0" fontId="0" fillId="13" borderId="8" xfId="0" applyFill="1" applyBorder="1"/>
    <xf numFmtId="0" fontId="11" fillId="0" borderId="0" xfId="0" applyFont="1"/>
    <xf numFmtId="0" fontId="3" fillId="0" borderId="10" xfId="0" applyFont="1" applyBorder="1"/>
    <xf numFmtId="0" fontId="13" fillId="0" borderId="0" xfId="0" applyFont="1"/>
    <xf numFmtId="0" fontId="14" fillId="0" borderId="0" xfId="0" applyFont="1"/>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fmlaLink="$X$2" lockText="1" noThreeD="1"/>
</file>

<file path=xl/ctrlProps/ctrlProp10.xml><?xml version="1.0" encoding="utf-8"?>
<formControlPr xmlns="http://schemas.microsoft.com/office/spreadsheetml/2009/9/main" objectType="CheckBox" fmlaLink="$Z$4" lockText="1" noThreeD="1"/>
</file>

<file path=xl/ctrlProps/ctrlProp11.xml><?xml version="1.0" encoding="utf-8"?>
<formControlPr xmlns="http://schemas.microsoft.com/office/spreadsheetml/2009/9/main" objectType="CheckBox" fmlaLink="$Z$5" lockText="1" noThreeD="1"/>
</file>

<file path=xl/ctrlProps/ctrlProp12.xml><?xml version="1.0" encoding="utf-8"?>
<formControlPr xmlns="http://schemas.microsoft.com/office/spreadsheetml/2009/9/main" objectType="CheckBox" fmlaLink="$Z$6" lockText="1" noThreeD="1"/>
</file>

<file path=xl/ctrlProps/ctrlProp13.xml><?xml version="1.0" encoding="utf-8"?>
<formControlPr xmlns="http://schemas.microsoft.com/office/spreadsheetml/2009/9/main" objectType="CheckBox" fmlaLink="$Z$7" lockText="1" noThreeD="1"/>
</file>

<file path=xl/ctrlProps/ctrlProp14.xml><?xml version="1.0" encoding="utf-8"?>
<formControlPr xmlns="http://schemas.microsoft.com/office/spreadsheetml/2009/9/main" objectType="CheckBox" fmlaLink="$Z$8" lockText="1" noThreeD="1"/>
</file>

<file path=xl/ctrlProps/ctrlProp15.xml><?xml version="1.0" encoding="utf-8"?>
<formControlPr xmlns="http://schemas.microsoft.com/office/spreadsheetml/2009/9/main" objectType="CheckBox" fmlaLink="$U$4" lockText="1" noThreeD="1"/>
</file>

<file path=xl/ctrlProps/ctrlProp16.xml><?xml version="1.0" encoding="utf-8"?>
<formControlPr xmlns="http://schemas.microsoft.com/office/spreadsheetml/2009/9/main" objectType="CheckBox" checked="Checked" fmlaLink="$U$5" lockText="1" noThreeD="1"/>
</file>

<file path=xl/ctrlProps/ctrlProp17.xml><?xml version="1.0" encoding="utf-8"?>
<formControlPr xmlns="http://schemas.microsoft.com/office/spreadsheetml/2009/9/main" objectType="CheckBox" fmlaLink="$U$6" lockText="1" noThreeD="1"/>
</file>

<file path=xl/ctrlProps/ctrlProp18.xml><?xml version="1.0" encoding="utf-8"?>
<formControlPr xmlns="http://schemas.microsoft.com/office/spreadsheetml/2009/9/main" objectType="CheckBox" fmlaLink="$U$7" lockText="1" noThreeD="1"/>
</file>

<file path=xl/ctrlProps/ctrlProp19.xml><?xml version="1.0" encoding="utf-8"?>
<formControlPr xmlns="http://schemas.microsoft.com/office/spreadsheetml/2009/9/main" objectType="CheckBox" fmlaLink="$AC$2" lockText="1" noThreeD="1"/>
</file>

<file path=xl/ctrlProps/ctrlProp2.xml><?xml version="1.0" encoding="utf-8"?>
<formControlPr xmlns="http://schemas.microsoft.com/office/spreadsheetml/2009/9/main" objectType="CheckBox" fmlaLink="$X$3" lockText="1" noThreeD="1"/>
</file>

<file path=xl/ctrlProps/ctrlProp20.xml><?xml version="1.0" encoding="utf-8"?>
<formControlPr xmlns="http://schemas.microsoft.com/office/spreadsheetml/2009/9/main" objectType="CheckBox" fmlaLink="$AC$3" lockText="1" noThreeD="1"/>
</file>

<file path=xl/ctrlProps/ctrlProp21.xml><?xml version="1.0" encoding="utf-8"?>
<formControlPr xmlns="http://schemas.microsoft.com/office/spreadsheetml/2009/9/main" objectType="CheckBox" fmlaLink="$Q$4" lockText="1" noThreeD="1"/>
</file>

<file path=xl/ctrlProps/ctrlProp22.xml><?xml version="1.0" encoding="utf-8"?>
<formControlPr xmlns="http://schemas.microsoft.com/office/spreadsheetml/2009/9/main" objectType="CheckBox" fmlaLink="$Q$6" lockText="1" noThreeD="1"/>
</file>

<file path=xl/ctrlProps/ctrlProp23.xml><?xml version="1.0" encoding="utf-8"?>
<formControlPr xmlns="http://schemas.microsoft.com/office/spreadsheetml/2009/9/main" objectType="CheckBox" fmlaLink="$Q$2" lockText="1" noThreeD="1"/>
</file>

<file path=xl/ctrlProps/ctrlProp24.xml><?xml version="1.0" encoding="utf-8"?>
<formControlPr xmlns="http://schemas.microsoft.com/office/spreadsheetml/2009/9/main" objectType="CheckBox" fmlaLink="$Q$3" lockText="1" noThreeD="1"/>
</file>

<file path=xl/ctrlProps/ctrlProp25.xml><?xml version="1.0" encoding="utf-8"?>
<formControlPr xmlns="http://schemas.microsoft.com/office/spreadsheetml/2009/9/main" objectType="CheckBox" fmlaLink="$Q$5" lockText="1" noThreeD="1"/>
</file>

<file path=xl/ctrlProps/ctrlProp26.xml><?xml version="1.0" encoding="utf-8"?>
<formControlPr xmlns="http://schemas.microsoft.com/office/spreadsheetml/2009/9/main" objectType="CheckBox" fmlaLink="$Q$1" lockText="1" noThreeD="1"/>
</file>

<file path=xl/ctrlProps/ctrlProp27.xml><?xml version="1.0" encoding="utf-8"?>
<formControlPr xmlns="http://schemas.microsoft.com/office/spreadsheetml/2009/9/main" objectType="CheckBox" fmlaLink="$S$3" lockText="1" noThreeD="1"/>
</file>

<file path=xl/ctrlProps/ctrlProp28.xml><?xml version="1.0" encoding="utf-8"?>
<formControlPr xmlns="http://schemas.microsoft.com/office/spreadsheetml/2009/9/main" objectType="CheckBox" fmlaLink="$Q$7" lockText="1" noThreeD="1"/>
</file>

<file path=xl/ctrlProps/ctrlProp29.xml><?xml version="1.0" encoding="utf-8"?>
<formControlPr xmlns="http://schemas.microsoft.com/office/spreadsheetml/2009/9/main" objectType="CheckBox" fmlaLink="$S$1" lockText="1" noThreeD="1"/>
</file>

<file path=xl/ctrlProps/ctrlProp3.xml><?xml version="1.0" encoding="utf-8"?>
<formControlPr xmlns="http://schemas.microsoft.com/office/spreadsheetml/2009/9/main" objectType="CheckBox" fmlaLink="$X$4" lockText="1" noThreeD="1"/>
</file>

<file path=xl/ctrlProps/ctrlProp30.xml><?xml version="1.0" encoding="utf-8"?>
<formControlPr xmlns="http://schemas.microsoft.com/office/spreadsheetml/2009/9/main" objectType="CheckBox" fmlaLink="$S$2" lockText="1" noThreeD="1"/>
</file>

<file path=xl/ctrlProps/ctrlProp31.xml><?xml version="1.0" encoding="utf-8"?>
<formControlPr xmlns="http://schemas.microsoft.com/office/spreadsheetml/2009/9/main" objectType="CheckBox" fmlaLink="$S$4" lockText="1" noThreeD="1"/>
</file>

<file path=xl/ctrlProps/ctrlProp32.xml><?xml version="1.0" encoding="utf-8"?>
<formControlPr xmlns="http://schemas.microsoft.com/office/spreadsheetml/2009/9/main" objectType="Button" lockText="1"/>
</file>

<file path=xl/ctrlProps/ctrlProp4.xml><?xml version="1.0" encoding="utf-8"?>
<formControlPr xmlns="http://schemas.microsoft.com/office/spreadsheetml/2009/9/main" objectType="CheckBox" fmlaLink="$X$5" lockText="1" noThreeD="1"/>
</file>

<file path=xl/ctrlProps/ctrlProp5.xml><?xml version="1.0" encoding="utf-8"?>
<formControlPr xmlns="http://schemas.microsoft.com/office/spreadsheetml/2009/9/main" objectType="CheckBox" fmlaLink="$X$6" lockText="1" noThreeD="1"/>
</file>

<file path=xl/ctrlProps/ctrlProp6.xml><?xml version="1.0" encoding="utf-8"?>
<formControlPr xmlns="http://schemas.microsoft.com/office/spreadsheetml/2009/9/main" objectType="CheckBox" fmlaLink="$X$8" lockText="1" noThreeD="1"/>
</file>

<file path=xl/ctrlProps/ctrlProp7.xml><?xml version="1.0" encoding="utf-8"?>
<formControlPr xmlns="http://schemas.microsoft.com/office/spreadsheetml/2009/9/main" objectType="CheckBox" fmlaLink="$X$7" lockText="1" noThreeD="1"/>
</file>

<file path=xl/ctrlProps/ctrlProp8.xml><?xml version="1.0" encoding="utf-8"?>
<formControlPr xmlns="http://schemas.microsoft.com/office/spreadsheetml/2009/9/main" objectType="CheckBox" fmlaLink="$Z$2" lockText="1" noThreeD="1"/>
</file>

<file path=xl/ctrlProps/ctrlProp9.xml><?xml version="1.0" encoding="utf-8"?>
<formControlPr xmlns="http://schemas.microsoft.com/office/spreadsheetml/2009/9/main" objectType="CheckBox" fmlaLink="$Z$3"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1</xdr:row>
          <xdr:rowOff>171450</xdr:rowOff>
        </xdr:from>
        <xdr:to>
          <xdr:col>11</xdr:col>
          <xdr:colOff>762000</xdr:colOff>
          <xdr:row>3</xdr:row>
          <xdr:rowOff>19050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High Rank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xdr:row>
          <xdr:rowOff>0</xdr:rowOff>
        </xdr:from>
        <xdr:to>
          <xdr:col>11</xdr:col>
          <xdr:colOff>762000</xdr:colOff>
          <xdr:row>4</xdr:row>
          <xdr:rowOff>28575</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G Rank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xdr:row>
          <xdr:rowOff>171450</xdr:rowOff>
        </xdr:from>
        <xdr:to>
          <xdr:col>11</xdr:col>
          <xdr:colOff>762000</xdr:colOff>
          <xdr:row>5</xdr:row>
          <xdr:rowOff>19050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Hyper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xdr:row>
          <xdr:rowOff>171450</xdr:rowOff>
        </xdr:from>
        <xdr:to>
          <xdr:col>11</xdr:col>
          <xdr:colOff>762000</xdr:colOff>
          <xdr:row>6</xdr:row>
          <xdr:rowOff>19050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Mulitple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xdr:row>
          <xdr:rowOff>9525</xdr:rowOff>
        </xdr:from>
        <xdr:to>
          <xdr:col>8</xdr:col>
          <xdr:colOff>762000</xdr:colOff>
          <xdr:row>3</xdr:row>
          <xdr:rowOff>38100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Great Sword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xdr:row>
          <xdr:rowOff>19050</xdr:rowOff>
        </xdr:from>
        <xdr:to>
          <xdr:col>8</xdr:col>
          <xdr:colOff>762000</xdr:colOff>
          <xdr:row>4</xdr:row>
          <xdr:rowOff>47625</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Long Sword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xdr:row>
          <xdr:rowOff>9525</xdr:rowOff>
        </xdr:from>
        <xdr:to>
          <xdr:col>8</xdr:col>
          <xdr:colOff>762000</xdr:colOff>
          <xdr:row>5</xdr:row>
          <xdr:rowOff>38100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5</xdr:row>
          <xdr:rowOff>0</xdr:rowOff>
        </xdr:from>
        <xdr:to>
          <xdr:col>8</xdr:col>
          <xdr:colOff>771525</xdr:colOff>
          <xdr:row>6</xdr:row>
          <xdr:rowOff>28575</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Dual Blades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5</xdr:row>
          <xdr:rowOff>152400</xdr:rowOff>
        </xdr:from>
        <xdr:to>
          <xdr:col>8</xdr:col>
          <xdr:colOff>771525</xdr:colOff>
          <xdr:row>7</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Hammer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xdr:row>
          <xdr:rowOff>171450</xdr:rowOff>
        </xdr:from>
        <xdr:to>
          <xdr:col>9</xdr:col>
          <xdr:colOff>762000</xdr:colOff>
          <xdr:row>4</xdr:row>
          <xdr:rowOff>19050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Lance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xdr:row>
          <xdr:rowOff>161925</xdr:rowOff>
        </xdr:from>
        <xdr:to>
          <xdr:col>9</xdr:col>
          <xdr:colOff>762000</xdr:colOff>
          <xdr:row>3</xdr:row>
          <xdr:rowOff>9525</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Hunting Horn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xdr:row>
          <xdr:rowOff>171450</xdr:rowOff>
        </xdr:from>
        <xdr:to>
          <xdr:col>9</xdr:col>
          <xdr:colOff>762000</xdr:colOff>
          <xdr:row>5</xdr:row>
          <xdr:rowOff>19050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GunLance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xdr:row>
          <xdr:rowOff>171450</xdr:rowOff>
        </xdr:from>
        <xdr:to>
          <xdr:col>9</xdr:col>
          <xdr:colOff>762000</xdr:colOff>
          <xdr:row>6</xdr:row>
          <xdr:rowOff>19050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Switch Axe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1</xdr:row>
          <xdr:rowOff>171450</xdr:rowOff>
        </xdr:from>
        <xdr:to>
          <xdr:col>10</xdr:col>
          <xdr:colOff>781050</xdr:colOff>
          <xdr:row>3</xdr:row>
          <xdr:rowOff>19050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Insect Glaive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xdr:row>
          <xdr:rowOff>152400</xdr:rowOff>
        </xdr:from>
        <xdr:to>
          <xdr:col>9</xdr:col>
          <xdr:colOff>762000</xdr:colOff>
          <xdr:row>7</xdr:row>
          <xdr:rowOff>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Charge Blade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2</xdr:row>
          <xdr:rowOff>171450</xdr:rowOff>
        </xdr:from>
        <xdr:to>
          <xdr:col>10</xdr:col>
          <xdr:colOff>781050</xdr:colOff>
          <xdr:row>4</xdr:row>
          <xdr:rowOff>19050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LBG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3</xdr:row>
          <xdr:rowOff>161925</xdr:rowOff>
        </xdr:from>
        <xdr:to>
          <xdr:col>10</xdr:col>
          <xdr:colOff>781050</xdr:colOff>
          <xdr:row>5</xdr:row>
          <xdr:rowOff>9525</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HBG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4</xdr:row>
          <xdr:rowOff>171450</xdr:rowOff>
        </xdr:from>
        <xdr:to>
          <xdr:col>10</xdr:col>
          <xdr:colOff>781050</xdr:colOff>
          <xdr:row>6</xdr:row>
          <xdr:rowOff>19050</xdr:rowOff>
        </xdr:to>
        <xdr:sp macro="" textlink="">
          <xdr:nvSpPr>
            <xdr:cNvPr id="2088" name="Check Box 40" hidden="1">
              <a:extLst>
                <a:ext uri="{63B3BB69-23CF-44E3-9099-C40C66FF867C}">
                  <a14:compatExt spid="_x0000_s2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Bow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2</xdr:row>
          <xdr:rowOff>0</xdr:rowOff>
        </xdr:from>
        <xdr:to>
          <xdr:col>13</xdr:col>
          <xdr:colOff>133350</xdr:colOff>
          <xdr:row>3</xdr:row>
          <xdr:rowOff>28575</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Felyne Rider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xdr:row>
          <xdr:rowOff>0</xdr:rowOff>
        </xdr:from>
        <xdr:to>
          <xdr:col>9</xdr:col>
          <xdr:colOff>762000</xdr:colOff>
          <xdr:row>2</xdr:row>
          <xdr:rowOff>28575</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Prowler</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9525</xdr:colOff>
          <xdr:row>4</xdr:row>
          <xdr:rowOff>0</xdr:rowOff>
        </xdr:from>
        <xdr:to>
          <xdr:col>8</xdr:col>
          <xdr:colOff>714375</xdr:colOff>
          <xdr:row>5</xdr:row>
          <xdr:rowOff>28575</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KO King KingKO King/FKOlying Pub SoulKO King/ Slugger/Flying Pub Soul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5</xdr:row>
          <xdr:rowOff>161925</xdr:rowOff>
        </xdr:from>
        <xdr:to>
          <xdr:col>8</xdr:col>
          <xdr:colOff>714375</xdr:colOff>
          <xdr:row>7</xdr:row>
          <xdr:rowOff>9525</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Stamina Drain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xdr:row>
          <xdr:rowOff>0</xdr:rowOff>
        </xdr:from>
        <xdr:to>
          <xdr:col>8</xdr:col>
          <xdr:colOff>714375</xdr:colOff>
          <xdr:row>3</xdr:row>
          <xdr:rowOff>28575</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Status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19050</xdr:rowOff>
        </xdr:from>
        <xdr:to>
          <xdr:col>8</xdr:col>
          <xdr:colOff>714375</xdr:colOff>
          <xdr:row>4</xdr:row>
          <xdr:rowOff>47625</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Status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3</xdr:row>
          <xdr:rowOff>19050</xdr:rowOff>
        </xdr:from>
        <xdr:to>
          <xdr:col>11</xdr:col>
          <xdr:colOff>123825</xdr:colOff>
          <xdr:row>4</xdr:row>
          <xdr:rowOff>47625</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Slugger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xdr:row>
          <xdr:rowOff>171450</xdr:rowOff>
        </xdr:from>
        <xdr:to>
          <xdr:col>7</xdr:col>
          <xdr:colOff>19050</xdr:colOff>
          <xdr:row>3</xdr:row>
          <xdr:rowOff>19050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High Rank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2</xdr:row>
          <xdr:rowOff>171450</xdr:rowOff>
        </xdr:from>
        <xdr:to>
          <xdr:col>7</xdr:col>
          <xdr:colOff>19050</xdr:colOff>
          <xdr:row>4</xdr:row>
          <xdr:rowOff>19050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G Rank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xdr:colOff>
          <xdr:row>2</xdr:row>
          <xdr:rowOff>19050</xdr:rowOff>
        </xdr:from>
        <xdr:to>
          <xdr:col>11</xdr:col>
          <xdr:colOff>123825</xdr:colOff>
          <xdr:row>3</xdr:row>
          <xdr:rowOff>47625</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Specialist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3</xdr:row>
          <xdr:rowOff>171450</xdr:rowOff>
        </xdr:from>
        <xdr:to>
          <xdr:col>7</xdr:col>
          <xdr:colOff>19050</xdr:colOff>
          <xdr:row>5</xdr:row>
          <xdr:rowOff>19050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Hyper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4</xdr:row>
          <xdr:rowOff>171450</xdr:rowOff>
        </xdr:from>
        <xdr:to>
          <xdr:col>8</xdr:col>
          <xdr:colOff>771525</xdr:colOff>
          <xdr:row>6</xdr:row>
          <xdr:rowOff>19050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Flying Pub SoulCheck Box 39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5</xdr:row>
          <xdr:rowOff>0</xdr:rowOff>
        </xdr:from>
        <xdr:to>
          <xdr:col>7</xdr:col>
          <xdr:colOff>142875</xdr:colOff>
          <xdr:row>6</xdr:row>
          <xdr:rowOff>19050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Multiple Monsters</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95250</xdr:colOff>
          <xdr:row>1</xdr:row>
          <xdr:rowOff>47625</xdr:rowOff>
        </xdr:from>
        <xdr:to>
          <xdr:col>2</xdr:col>
          <xdr:colOff>314325</xdr:colOff>
          <xdr:row>2</xdr:row>
          <xdr:rowOff>133350</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Calculate</a:t>
              </a:r>
            </a:p>
            <a:p>
              <a:pPr algn="ctr" rtl="0">
                <a:defRPr sz="1000"/>
              </a:pPr>
              <a:endParaRPr lang="en-US" sz="1100" b="0" i="0" u="none" strike="noStrike" baseline="0">
                <a:solidFill>
                  <a:srgbClr val="000000"/>
                </a:solidFill>
                <a:latin typeface="Calibri"/>
                <a:cs typeface="Calibri"/>
              </a:endParaRP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25.xml"/><Relationship Id="rId13" Type="http://schemas.openxmlformats.org/officeDocument/2006/relationships/ctrlProp" Target="../ctrlProps/ctrlProp30.xml"/><Relationship Id="rId3" Type="http://schemas.openxmlformats.org/officeDocument/2006/relationships/vmlDrawing" Target="../drawings/vmlDrawing2.vml"/><Relationship Id="rId7" Type="http://schemas.openxmlformats.org/officeDocument/2006/relationships/ctrlProp" Target="../ctrlProps/ctrlProp24.xml"/><Relationship Id="rId12" Type="http://schemas.openxmlformats.org/officeDocument/2006/relationships/ctrlProp" Target="../ctrlProps/ctrlProp2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23.xml"/><Relationship Id="rId11" Type="http://schemas.openxmlformats.org/officeDocument/2006/relationships/ctrlProp" Target="../ctrlProps/ctrlProp28.xml"/><Relationship Id="rId5" Type="http://schemas.openxmlformats.org/officeDocument/2006/relationships/ctrlProp" Target="../ctrlProps/ctrlProp22.xml"/><Relationship Id="rId10" Type="http://schemas.openxmlformats.org/officeDocument/2006/relationships/ctrlProp" Target="../ctrlProps/ctrlProp27.xml"/><Relationship Id="rId4" Type="http://schemas.openxmlformats.org/officeDocument/2006/relationships/ctrlProp" Target="../ctrlProps/ctrlProp21.xml"/><Relationship Id="rId9" Type="http://schemas.openxmlformats.org/officeDocument/2006/relationships/ctrlProp" Target="../ctrlProps/ctrlProp26.xml"/><Relationship Id="rId14" Type="http://schemas.openxmlformats.org/officeDocument/2006/relationships/ctrlProp" Target="../ctrlProps/ctrlProp3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trlProp" Target="../ctrlProps/ctrlProp3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C12"/>
  <sheetViews>
    <sheetView workbookViewId="0"/>
  </sheetViews>
  <sheetFormatPr defaultRowHeight="15" x14ac:dyDescent="0.25"/>
  <sheetData>
    <row r="2" spans="2:3" ht="46.5" x14ac:dyDescent="0.7">
      <c r="B2" s="42" t="s">
        <v>261</v>
      </c>
    </row>
    <row r="4" spans="2:3" x14ac:dyDescent="0.25">
      <c r="B4" t="s">
        <v>280</v>
      </c>
    </row>
    <row r="5" spans="2:3" x14ac:dyDescent="0.25">
      <c r="B5" t="s">
        <v>281</v>
      </c>
    </row>
    <row r="6" spans="2:3" x14ac:dyDescent="0.25">
      <c r="B6" t="s">
        <v>275</v>
      </c>
    </row>
    <row r="7" spans="2:3" x14ac:dyDescent="0.25">
      <c r="B7" t="s">
        <v>283</v>
      </c>
    </row>
    <row r="8" spans="2:3" x14ac:dyDescent="0.25">
      <c r="C8" t="s">
        <v>284</v>
      </c>
    </row>
    <row r="9" spans="2:3" x14ac:dyDescent="0.25">
      <c r="B9" t="s">
        <v>262</v>
      </c>
    </row>
    <row r="10" spans="2:3" x14ac:dyDescent="0.25">
      <c r="C10" t="s">
        <v>282</v>
      </c>
    </row>
    <row r="11" spans="2:3" x14ac:dyDescent="0.25">
      <c r="B11" t="s">
        <v>263</v>
      </c>
    </row>
    <row r="12" spans="2:3" ht="18.75" x14ac:dyDescent="0.3">
      <c r="B12" s="83" t="s">
        <v>276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D54"/>
  <sheetViews>
    <sheetView workbookViewId="0">
      <selection activeCell="J18" sqref="J18"/>
    </sheetView>
  </sheetViews>
  <sheetFormatPr defaultRowHeight="15" x14ac:dyDescent="0.25"/>
  <cols>
    <col min="2" max="2" width="12.140625" bestFit="1" customWidth="1"/>
    <col min="3" max="3" width="11.5703125" customWidth="1"/>
    <col min="11" max="11" width="10.42578125" bestFit="1" customWidth="1"/>
    <col min="12" max="12" width="10.5703125" bestFit="1" customWidth="1"/>
    <col min="13" max="13" width="9.85546875" bestFit="1" customWidth="1"/>
    <col min="14" max="14" width="10.5703125" bestFit="1" customWidth="1"/>
    <col min="15" max="15" width="6.42578125" bestFit="1" customWidth="1"/>
  </cols>
  <sheetData>
    <row r="2" spans="1:3" ht="18.75" x14ac:dyDescent="0.3">
      <c r="A2" s="82" t="s">
        <v>260</v>
      </c>
    </row>
    <row r="3" spans="1:3" x14ac:dyDescent="0.25">
      <c r="B3" t="s">
        <v>14</v>
      </c>
      <c r="C3" t="s">
        <v>250</v>
      </c>
    </row>
    <row r="4" spans="1:3" x14ac:dyDescent="0.25">
      <c r="B4" t="s">
        <v>32</v>
      </c>
      <c r="C4" t="s">
        <v>279</v>
      </c>
    </row>
    <row r="5" spans="1:3" x14ac:dyDescent="0.25">
      <c r="B5" t="s">
        <v>0</v>
      </c>
      <c r="C5" t="s">
        <v>285</v>
      </c>
    </row>
    <row r="6" spans="1:3" x14ac:dyDescent="0.25">
      <c r="B6" t="s">
        <v>207</v>
      </c>
      <c r="C6" t="s">
        <v>252</v>
      </c>
    </row>
    <row r="7" spans="1:3" x14ac:dyDescent="0.25">
      <c r="B7" t="s">
        <v>213</v>
      </c>
      <c r="C7" t="s">
        <v>251</v>
      </c>
    </row>
    <row r="8" spans="1:3" x14ac:dyDescent="0.25">
      <c r="B8" t="s">
        <v>22</v>
      </c>
      <c r="C8" t="s">
        <v>259</v>
      </c>
    </row>
    <row r="9" spans="1:3" x14ac:dyDescent="0.25">
      <c r="B9" t="s">
        <v>247</v>
      </c>
      <c r="C9" t="s">
        <v>253</v>
      </c>
    </row>
    <row r="10" spans="1:3" x14ac:dyDescent="0.25">
      <c r="B10" t="s">
        <v>34</v>
      </c>
      <c r="C10" t="s">
        <v>254</v>
      </c>
    </row>
    <row r="11" spans="1:3" x14ac:dyDescent="0.25">
      <c r="B11" t="s">
        <v>249</v>
      </c>
      <c r="C11" t="s">
        <v>255</v>
      </c>
    </row>
    <row r="12" spans="1:3" x14ac:dyDescent="0.25">
      <c r="B12" t="s">
        <v>248</v>
      </c>
      <c r="C12" t="s">
        <v>256</v>
      </c>
    </row>
    <row r="13" spans="1:3" x14ac:dyDescent="0.25">
      <c r="B13" t="s">
        <v>35</v>
      </c>
      <c r="C13" t="s">
        <v>257</v>
      </c>
    </row>
    <row r="14" spans="1:3" x14ac:dyDescent="0.25">
      <c r="B14" t="s">
        <v>33</v>
      </c>
      <c r="C14" t="s">
        <v>258</v>
      </c>
    </row>
    <row r="16" spans="1:3" ht="18.75" x14ac:dyDescent="0.3">
      <c r="A16" s="82" t="s">
        <v>246</v>
      </c>
    </row>
    <row r="17" spans="2:4" x14ac:dyDescent="0.25">
      <c r="B17" t="s">
        <v>264</v>
      </c>
    </row>
    <row r="18" spans="2:4" x14ac:dyDescent="0.25">
      <c r="C18" s="38" t="s">
        <v>14</v>
      </c>
    </row>
    <row r="19" spans="2:4" x14ac:dyDescent="0.25">
      <c r="C19" t="s">
        <v>266</v>
      </c>
    </row>
    <row r="21" spans="2:4" x14ac:dyDescent="0.25">
      <c r="C21" s="38" t="s">
        <v>129</v>
      </c>
    </row>
    <row r="22" spans="2:4" x14ac:dyDescent="0.25">
      <c r="C22" t="s">
        <v>286</v>
      </c>
    </row>
    <row r="24" spans="2:4" x14ac:dyDescent="0.25">
      <c r="C24" s="38" t="s">
        <v>247</v>
      </c>
    </row>
    <row r="25" spans="2:4" x14ac:dyDescent="0.25">
      <c r="C25" t="s">
        <v>265</v>
      </c>
    </row>
    <row r="27" spans="2:4" x14ac:dyDescent="0.25">
      <c r="B27" t="s">
        <v>287</v>
      </c>
    </row>
    <row r="29" spans="2:4" x14ac:dyDescent="0.25">
      <c r="B29" s="71" t="s">
        <v>267</v>
      </c>
      <c r="C29" s="71" t="s">
        <v>268</v>
      </c>
      <c r="D29" s="81" t="s">
        <v>269</v>
      </c>
    </row>
    <row r="30" spans="2:4" x14ac:dyDescent="0.25">
      <c r="B30" s="6" t="s">
        <v>14</v>
      </c>
      <c r="C30" s="46" t="s">
        <v>22</v>
      </c>
      <c r="D30" s="47" t="s">
        <v>35</v>
      </c>
    </row>
    <row r="31" spans="2:4" x14ac:dyDescent="0.25">
      <c r="B31" s="6" t="s">
        <v>32</v>
      </c>
      <c r="C31" s="46" t="s">
        <v>247</v>
      </c>
      <c r="D31" s="47" t="s">
        <v>33</v>
      </c>
    </row>
    <row r="32" spans="2:4" x14ac:dyDescent="0.25">
      <c r="B32" s="6" t="s">
        <v>0</v>
      </c>
      <c r="C32" s="46" t="s">
        <v>34</v>
      </c>
      <c r="D32" s="47"/>
    </row>
    <row r="33" spans="2:4" x14ac:dyDescent="0.25">
      <c r="B33" s="6" t="s">
        <v>207</v>
      </c>
      <c r="C33" s="46" t="s">
        <v>249</v>
      </c>
      <c r="D33" s="47"/>
    </row>
    <row r="34" spans="2:4" x14ac:dyDescent="0.25">
      <c r="B34" s="7" t="s">
        <v>213</v>
      </c>
      <c r="C34" s="56" t="s">
        <v>248</v>
      </c>
      <c r="D34" s="48"/>
    </row>
    <row r="36" spans="2:4" x14ac:dyDescent="0.25">
      <c r="B36" s="80" t="s">
        <v>267</v>
      </c>
    </row>
    <row r="37" spans="2:4" x14ac:dyDescent="0.25">
      <c r="B37" t="s">
        <v>288</v>
      </c>
    </row>
    <row r="38" spans="2:4" x14ac:dyDescent="0.25">
      <c r="B38" s="4" t="s">
        <v>274</v>
      </c>
    </row>
    <row r="40" spans="2:4" x14ac:dyDescent="0.25">
      <c r="B40" s="80" t="s">
        <v>270</v>
      </c>
    </row>
    <row r="41" spans="2:4" x14ac:dyDescent="0.25">
      <c r="B41" t="s">
        <v>271</v>
      </c>
    </row>
    <row r="43" spans="2:4" x14ac:dyDescent="0.25">
      <c r="C43" s="38" t="s">
        <v>22</v>
      </c>
    </row>
    <row r="44" spans="2:4" x14ac:dyDescent="0.25">
      <c r="C44" t="s">
        <v>272</v>
      </c>
    </row>
    <row r="45" spans="2:4" x14ac:dyDescent="0.25">
      <c r="C45" t="s">
        <v>289</v>
      </c>
    </row>
    <row r="47" spans="2:4" x14ac:dyDescent="0.25">
      <c r="C47" s="38" t="s">
        <v>249</v>
      </c>
    </row>
    <row r="48" spans="2:4" x14ac:dyDescent="0.25">
      <c r="C48" t="s">
        <v>273</v>
      </c>
    </row>
    <row r="50" spans="1:2" x14ac:dyDescent="0.25">
      <c r="B50" s="80" t="s">
        <v>269</v>
      </c>
    </row>
    <row r="51" spans="1:2" x14ac:dyDescent="0.25">
      <c r="B51" t="s">
        <v>290</v>
      </c>
    </row>
    <row r="54" spans="1:2" ht="18.75" x14ac:dyDescent="0.3">
      <c r="A54" s="8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filterMode="1">
    <tabColor rgb="FF92D050"/>
  </sheetPr>
  <dimension ref="A2:AC846"/>
  <sheetViews>
    <sheetView workbookViewId="0">
      <pane xSplit="5" ySplit="9" topLeftCell="F10" activePane="bottomRight" state="frozen"/>
      <selection pane="topRight" activeCell="F1" sqref="F1"/>
      <selection pane="bottomLeft" activeCell="A10" sqref="A10"/>
      <selection pane="bottomRight" activeCell="D10" sqref="D10"/>
    </sheetView>
  </sheetViews>
  <sheetFormatPr defaultRowHeight="15" x14ac:dyDescent="0.25"/>
  <cols>
    <col min="1" max="1" width="7.85546875" customWidth="1"/>
    <col min="2" max="2" width="14.7109375" customWidth="1"/>
    <col min="3" max="3" width="19.5703125" bestFit="1" customWidth="1"/>
    <col min="4" max="4" width="9.85546875" bestFit="1" customWidth="1"/>
    <col min="5" max="5" width="22.5703125" hidden="1" customWidth="1"/>
    <col min="6" max="6" width="20.28515625" bestFit="1" customWidth="1"/>
    <col min="9" max="9" width="13.42578125" customWidth="1"/>
    <col min="10" max="10" width="23.140625" bestFit="1" customWidth="1"/>
    <col min="11" max="12" width="24.140625" customWidth="1"/>
    <col min="13" max="13" width="9.42578125" bestFit="1" customWidth="1"/>
    <col min="16" max="16" width="8.85546875" customWidth="1"/>
    <col min="20" max="29" width="8.85546875" customWidth="1"/>
  </cols>
  <sheetData>
    <row r="2" spans="1:29" x14ac:dyDescent="0.25">
      <c r="D2" s="39" t="s">
        <v>16</v>
      </c>
      <c r="E2" s="39"/>
      <c r="F2" s="39" t="s">
        <v>108</v>
      </c>
      <c r="I2" s="38" t="s">
        <v>215</v>
      </c>
      <c r="L2" s="38" t="s">
        <v>98</v>
      </c>
      <c r="M2" t="s">
        <v>94</v>
      </c>
      <c r="W2" t="s">
        <v>216</v>
      </c>
      <c r="X2" t="b">
        <v>0</v>
      </c>
      <c r="Y2" t="s">
        <v>220</v>
      </c>
      <c r="Z2" t="b">
        <v>0</v>
      </c>
      <c r="AB2" t="s">
        <v>277</v>
      </c>
      <c r="AC2" t="b">
        <v>0</v>
      </c>
    </row>
    <row r="3" spans="1:29" x14ac:dyDescent="0.25">
      <c r="D3" s="40" t="s">
        <v>0</v>
      </c>
      <c r="E3" s="40"/>
      <c r="F3" s="43">
        <v>0</v>
      </c>
      <c r="W3" t="s">
        <v>217</v>
      </c>
      <c r="X3" t="b">
        <v>0</v>
      </c>
      <c r="Y3" t="s">
        <v>221</v>
      </c>
      <c r="Z3" t="b">
        <v>0</v>
      </c>
      <c r="AB3" t="s">
        <v>294</v>
      </c>
      <c r="AC3" t="b">
        <v>0</v>
      </c>
    </row>
    <row r="4" spans="1:29" x14ac:dyDescent="0.25">
      <c r="D4" s="40" t="s">
        <v>32</v>
      </c>
      <c r="E4" s="40"/>
      <c r="F4" s="44">
        <v>0</v>
      </c>
      <c r="G4" s="4"/>
      <c r="H4" s="4"/>
      <c r="T4" t="s">
        <v>99</v>
      </c>
      <c r="U4" t="b">
        <v>0</v>
      </c>
      <c r="W4" t="s">
        <v>133</v>
      </c>
      <c r="X4" t="b">
        <v>0</v>
      </c>
      <c r="Y4" t="s">
        <v>222</v>
      </c>
      <c r="Z4" t="b">
        <v>0</v>
      </c>
    </row>
    <row r="5" spans="1:29" x14ac:dyDescent="0.25">
      <c r="B5" s="4" t="s">
        <v>244</v>
      </c>
      <c r="D5" s="40" t="s">
        <v>33</v>
      </c>
      <c r="E5" s="40"/>
      <c r="F5" s="44">
        <v>0</v>
      </c>
      <c r="G5" s="4"/>
      <c r="I5" s="38"/>
      <c r="K5" s="38"/>
      <c r="T5" t="s">
        <v>103</v>
      </c>
      <c r="U5" t="b">
        <v>1</v>
      </c>
      <c r="W5" t="s">
        <v>218</v>
      </c>
      <c r="X5" t="b">
        <v>0</v>
      </c>
      <c r="Y5" t="s">
        <v>223</v>
      </c>
      <c r="Z5" t="b">
        <v>0</v>
      </c>
    </row>
    <row r="6" spans="1:29" x14ac:dyDescent="0.25">
      <c r="A6" s="4"/>
      <c r="B6" s="4" t="s">
        <v>245</v>
      </c>
      <c r="C6" s="4"/>
      <c r="D6" s="40" t="s">
        <v>22</v>
      </c>
      <c r="E6" s="40"/>
      <c r="F6" s="44">
        <v>0</v>
      </c>
      <c r="G6" s="4"/>
      <c r="K6" s="38"/>
      <c r="T6" t="s">
        <v>100</v>
      </c>
      <c r="U6" t="b">
        <v>0</v>
      </c>
      <c r="W6" t="s">
        <v>135</v>
      </c>
      <c r="X6" t="b">
        <v>0</v>
      </c>
      <c r="Y6" t="s">
        <v>224</v>
      </c>
      <c r="Z6" t="b">
        <v>0</v>
      </c>
    </row>
    <row r="7" spans="1:29" x14ac:dyDescent="0.25">
      <c r="B7" s="75" t="s">
        <v>278</v>
      </c>
      <c r="D7" s="41" t="s">
        <v>35</v>
      </c>
      <c r="E7" s="41"/>
      <c r="F7" s="45">
        <v>0</v>
      </c>
      <c r="K7" s="4" t="s">
        <v>111</v>
      </c>
      <c r="T7" t="s">
        <v>105</v>
      </c>
      <c r="U7" t="b">
        <v>0</v>
      </c>
      <c r="W7" t="s">
        <v>219</v>
      </c>
      <c r="X7" t="b">
        <v>0</v>
      </c>
      <c r="Y7" t="s">
        <v>225</v>
      </c>
      <c r="Z7" t="b">
        <v>0</v>
      </c>
    </row>
    <row r="8" spans="1:29" x14ac:dyDescent="0.25">
      <c r="W8" t="s">
        <v>138</v>
      </c>
      <c r="X8" t="b">
        <v>0</v>
      </c>
      <c r="Y8" t="s">
        <v>141</v>
      </c>
      <c r="Z8" t="b">
        <v>0</v>
      </c>
    </row>
    <row r="9" spans="1:29" x14ac:dyDescent="0.25">
      <c r="B9" t="s">
        <v>110</v>
      </c>
      <c r="C9" t="s">
        <v>93</v>
      </c>
      <c r="D9" t="s">
        <v>16</v>
      </c>
      <c r="F9" s="38" t="s">
        <v>36</v>
      </c>
      <c r="G9" s="38" t="s">
        <v>37</v>
      </c>
      <c r="H9" s="38" t="s">
        <v>38</v>
      </c>
      <c r="I9" s="38" t="s">
        <v>39</v>
      </c>
      <c r="J9" t="s">
        <v>291</v>
      </c>
      <c r="K9" s="46" t="s">
        <v>292</v>
      </c>
      <c r="L9" s="46" t="s">
        <v>293</v>
      </c>
      <c r="M9" s="46"/>
    </row>
    <row r="10" spans="1:29" s="36" customFormat="1" x14ac:dyDescent="0.25">
      <c r="A10" s="64"/>
      <c r="B10" s="64" t="str">
        <f>VLOOKUP(C10,'Status Thresholds'!B:C,2,FALSE)</f>
        <v>MHGen</v>
      </c>
      <c r="C10" s="64" t="str">
        <f>IF('Status Thresholds'!B5=0, "", 'Status Thresholds'!B5)</f>
        <v>Agnaktor</v>
      </c>
      <c r="D10" s="37" t="s">
        <v>0</v>
      </c>
      <c r="E10" s="36" t="str">
        <f t="shared" ref="E10:E91" si="0">$C10&amp;$D10</f>
        <v>AgnaktorPara</v>
      </c>
      <c r="F10" s="36" t="str">
        <f>IFERROR(
ROUNDUP(
IF(AND($U$5=FALSE,$U$4=FALSE),"-",IF(AND($U$5=TRUE,$U$4=TRUE),"-",
IF((AND($U$4=TRUE,$U$5=FALSE,$U$6=FALSE,$U$7=FALSE)),VLOOKUP($E10,'Status Thresholds'!$E:$AR,2,FALSE),IF((AND($U$4=TRUE,$U$5=FALSE,$U$6=TRUE,$U$7=FALSE)),VLOOKUP($E10,'Status Thresholds'!$E:$AR,12,FALSE),IF((AND($U$4=TRUE,$U$5=FALSE,$U$6=TRUE,$U$7=TRUE)),VLOOKUP($E10,'Status Thresholds'!$E:$AR,17,FALSE),IF((AND($U$4=TRUE,$U$5=FALSE,$U$6=FALSE,$U$7=TRUE)),VLOOKUP($E10,'Status Thresholds'!$E:$AR,7,FALSE),
IF((AND($U$4=FALSE,$U$5=TRUE,$U$6=FALSE,$U$7=FALSE)),VLOOKUP($E10,'Status Thresholds'!$E:$AR,22,FALSE),IF((AND($U$4=FALSE,$U$5=TRUE,$U$6=TRUE,$U$7=FALSE)),VLOOKUP($E10,'Status Thresholds'!$E:$AR,32,FALSE),IF((AND($U$4=FALSE,$U$5=TRUE,$U$6=TRUE,$U$7=TRUE)),VLOOKUP($E10,'Status Thresholds'!$E:$AR,37,FALSE),IF((AND($U$4=FALSE,$U$5=TRUE,$U$6=FALSE,$U$7=TRUE)),VLOOKUP($E10,'Status Thresholds'!$E:$AR,27,FALSE)))))))))
))/
IF(OR($X$5=TRUE,$AC$3=TRUE
),($F$3/2), IF(OR($X$2,$X$3,$X$4,$X$6,$X$7,$X$8,$Z$2,$Z$3,$Z$4,$Z$5,$Z$6,$Z$7,$Z$8)=TRUE,$F$3)),0),"-")</f>
        <v>-</v>
      </c>
      <c r="G10" s="36" t="str">
        <f>IFERROR(
ROUNDUP(
IF(AND($U$5=FALSE,$U$4=FALSE),"-",IF(AND($U$5=TRUE,$U$4=TRUE),"-",
IF((AND($U$4=TRUE,$U$5=FALSE,$U$6=FALSE,$U$7=FALSE)),VLOOKUP($E10,'Status Thresholds'!$E:$AR,3,FALSE),IF((AND($U$4=TRUE,$U$5=FALSE,$U$6=TRUE,$U$7=FALSE)),VLOOKUP($E10,'Status Thresholds'!$E:$AR,13,FALSE),IF((AND($U$4=TRUE,$U$5=FALSE,$U$6=TRUE,$U$7=TRUE)),VLOOKUP($E10,'Status Thresholds'!$E:$AR,18,FALSE),IF((AND($U$4=TRUE,$U$5=FALSE,$U$6=FALSE,$U$7=TRUE)),VLOOKUP($E10,'Status Thresholds'!$E:$AR,8,FALSE),
IF((AND($U$4=FALSE,$U$5=TRUE,$U$6=FALSE,$U$7=FALSE)),VLOOKUP($E10,'Status Thresholds'!$E:$AR,23,FALSE),IF((AND($U$4=FALSE,$U$5=TRUE,$U$6=TRUE,$U$7=FALSE)),VLOOKUP($E10,'Status Thresholds'!$E:$AR,33,FALSE),IF((AND($U$4=FALSE,$U$5=TRUE,$U$6=TRUE,$U$7=TRUE)),VLOOKUP($E10,'Status Thresholds'!$E:$AR,38,FALSE),IF((AND($U$4=FALSE,$U$5=TRUE,$U$6=FALSE,$U$7=TRUE)),VLOOKUP($E10,'Status Thresholds'!$E:$AR,28,FALSE)))))))))
))/
IF(OR($X$5=TRUE,$AC$3=TRUE
),($F$3/2), IF(OR($X$2,$X$3,$X$4,$X$6,$X$7,$X$8,$Z$2,$Z$3,$Z$4,$Z$5,$Z$6,$Z$7,$Z$8)=TRUE,$F$3)),0),"-")</f>
        <v>-</v>
      </c>
      <c r="H10" s="36" t="str">
        <f>IFERROR(
ROUNDUP(
IF(AND($U$5=FALSE,$U$4=FALSE),"-",IF(AND($U$5=TRUE,$U$4=TRUE),"-",
IF((AND($U$4=TRUE,$U$5=FALSE,$U$6=FALSE,$U$7=FALSE)),VLOOKUP($E10,'Status Thresholds'!$E:$AR,4,FALSE),IF((AND($U$4=TRUE,$U$5=FALSE,$U$6=TRUE,$U$7=FALSE)),VLOOKUP($E10,'Status Thresholds'!$E:$AR,14,FALSE),IF((AND($U$4=TRUE,$U$5=FALSE,$U$6=TRUE,$U$7=TRUE)),VLOOKUP($E10,'Status Thresholds'!$E:$AR,19,FALSE),IF((AND($U$4=TRUE,$U$5=FALSE,$U$6=FALSE,$U$7=TRUE)),VLOOKUP($E10,'Status Thresholds'!$E:$AR,9,FALSE),
IF((AND($U$4=FALSE,$U$5=TRUE,$U$6=FALSE,$U$7=FALSE)),VLOOKUP($E10,'Status Thresholds'!$E:$AR,24,FALSE),IF((AND($U$4=FALSE,$U$5=TRUE,$U$6=TRUE,$U$7=FALSE)),VLOOKUP($E10,'Status Thresholds'!$E:$AR,34,FALSE),IF((AND($U$4=FALSE,$U$5=TRUE,$U$6=TRUE,$U$7=TRUE)),VLOOKUP($E10,'Status Thresholds'!$E:$AR,39,FALSE),IF((AND($U$4=FALSE,$U$5=TRUE,$U$6=FALSE,$U$7=TRUE)),VLOOKUP($E10,'Status Thresholds'!$E:$AR,29,FALSE)))))))))
))/
IF(OR($X$5=TRUE,$AC$3=TRUE
),($F$3/2), IF(OR($X$2,$X$3,$X$4,$X$6,$X$7,$X$8,$Z$2,$Z$3,$Z$4,$Z$5,$Z$6,$Z$7,$Z$8)=TRUE,$F$3)),0),"-")</f>
        <v>-</v>
      </c>
      <c r="I10" s="36" t="str">
        <f>IFERROR(
ROUNDUP(
IF(AND($U$5=FALSE,$U$4=FALSE),"-",IF(AND($U$5=TRUE,$U$4=TRUE),"-",
IF((AND($U$4=TRUE,$U$5=FALSE,$U$6=FALSE,$U$7=FALSE)),VLOOKUP($E10,'Status Thresholds'!$E:$AR,5,FALSE),IF((AND($U$4=TRUE,$U$5=FALSE,$U$6=TRUE,$U$7=FALSE)),VLOOKUP($E10,'Status Thresholds'!$E:$AR,15,FALSE),IF((AND($U$4=TRUE,$U$5=FALSE,$U$6=TRUE,$U$7=TRUE)),VLOOKUP($E10,'Status Thresholds'!$E:$AR,20,FALSE),IF((AND($U$4=TRUE,$U$5=FALSE,$U$6=FALSE,$U$7=TRUE)),VLOOKUP($E10,'Status Thresholds'!$E:$AR,10,FALSE),
IF((AND($U$4=FALSE,$U$5=TRUE,$U$6=FALSE,$U$7=FALSE)),VLOOKUP($E10,'Status Thresholds'!$E:$AR,25,FALSE),IF((AND($U$4=FALSE,$U$5=TRUE,$U$6=TRUE,$U$7=FALSE)),VLOOKUP($E10,'Status Thresholds'!$E:$AR,35,FALSE),IF((AND($U$4=FALSE,$U$5=TRUE,$U$6=TRUE,$U$7=TRUE)),VLOOKUP($E10,'Status Thresholds'!$E:$AR,40,FALSE),IF((AND($U$4=FALSE,$U$5=TRUE,$U$6=FALSE,$U$7=TRUE)),VLOOKUP($E10,'Status Thresholds'!$E:$AR,30,FALSE)))))))))
))/
IF(OR($X$5=TRUE,$AC$3=TRUE
),($F$3/2), IF(OR($X$2,$X$3,$X$4,$X$6,$X$7,$X$8,$Z$2,$Z$3,$Z$4,$Z$5,$Z$6,$Z$7,$Z$8)=TRUE,$F$3)),0),"-")</f>
        <v>-</v>
      </c>
      <c r="J10" s="36">
        <f>IFERROR(IF(AND($U$5=FALSE,$U$4=FALSE),"-",VLOOKUP($E10,'Status Thresholds'!$E:$AU,41,FALSE)),"-")</f>
        <v>10</v>
      </c>
      <c r="K10" s="36" t="str">
        <f>IFERROR(IF(AND($U$5=FALSE,$U$4=FALSE),"-",VLOOKUP($E10,'Status Thresholds'!$E:$AU,42,FALSE)),"-")</f>
        <v>-</v>
      </c>
      <c r="L10" s="36" t="str">
        <f>IFERROR(IF(AND($U$5=FALSE,$U$4=FALSE),"-",VLOOKUP($E10,'Status Thresholds'!$E:$AU,43,FALSE)),"-")</f>
        <v>-</v>
      </c>
    </row>
    <row r="11" spans="1:29" x14ac:dyDescent="0.25">
      <c r="A11" s="35"/>
      <c r="B11" s="64" t="str">
        <f>VLOOKUP(C11,'Status Thresholds'!B:C,2,FALSE)</f>
        <v>MHGen</v>
      </c>
      <c r="C11" s="64" t="str">
        <f>IF('Status Thresholds'!B6=0, "", 'Status Thresholds'!B6)</f>
        <v>Agnaktor</v>
      </c>
      <c r="D11" s="31" t="s">
        <v>32</v>
      </c>
      <c r="E11" s="36" t="str">
        <f t="shared" si="0"/>
        <v>AgnaktorSleep</v>
      </c>
      <c r="F11" s="36" t="str">
        <f>IFERROR(
ROUNDUP(
IF(AND($U$5=FALSE,$U$4=FALSE),"-",IF(AND($U$5=TRUE,$U$4=TRUE),"-",
IF((AND($U$4=TRUE,$U$5=FALSE,$U$6=FALSE,$U$7=FALSE)),VLOOKUP($E11,'Status Thresholds'!$E:$AR,2,FALSE),IF((AND($U$4=TRUE,$U$5=FALSE,$U$6=TRUE,$U$7=FALSE)),VLOOKUP($E11,'Status Thresholds'!$E:$AR,12,FALSE),IF((AND($U$4=TRUE,$U$5=FALSE,$U$6=TRUE,$U$7=TRUE)),VLOOKUP($E11,'Status Thresholds'!$E:$AR,17,FALSE),IF((AND($U$4=TRUE,$U$5=FALSE,$U$6=FALSE,$U$7=TRUE)),VLOOKUP($E11,'Status Thresholds'!$E:$AR,7,FALSE),
IF((AND($U$4=FALSE,$U$5=TRUE,$U$6=FALSE,$U$7=FALSE)),VLOOKUP($E11,'Status Thresholds'!$E:$AR,22,FALSE),IF((AND($U$4=FALSE,$U$5=TRUE,$U$6=TRUE,$U$7=FALSE)),VLOOKUP($E11,'Status Thresholds'!$E:$AR,32,FALSE),IF((AND($U$4=FALSE,$U$5=TRUE,$U$6=TRUE,$U$7=TRUE)),VLOOKUP($E11,'Status Thresholds'!$E:$AR,37,FALSE),IF((AND($U$4=FALSE,$U$5=TRUE,$U$6=FALSE,$U$7=TRUE)),VLOOKUP($E11,'Status Thresholds'!$E:$AR,27,FALSE)))))))))
))/
IF(OR($X$5=TRUE,$AC$3=TRUE
),($F$4/2), IF(OR($X$2,$X$3,$X$4,$X$6,$X$7,$X$8,$Z$2,$Z$3,$Z$4,$Z$5,$Z$6,$Z$7,$Z$8)=TRUE,$F$4)),0),"-")</f>
        <v>-</v>
      </c>
      <c r="G11" s="36" t="str">
        <f>IFERROR(
ROUNDUP(
IF(AND($U$5=FALSE,$U$4=FALSE),"-",IF(AND($U$5=TRUE,$U$4=TRUE),"-",
IF((AND($U$4=TRUE,$U$5=FALSE,$U$6=FALSE,$U$7=FALSE)),VLOOKUP($E11,'Status Thresholds'!$E:$AR,3,FALSE),IF((AND($U$4=TRUE,$U$5=FALSE,$U$6=TRUE,$U$7=FALSE)),VLOOKUP($E11,'Status Thresholds'!$E:$AR,13,FALSE),IF((AND($U$4=TRUE,$U$5=FALSE,$U$6=TRUE,$U$7=TRUE)),VLOOKUP($E11,'Status Thresholds'!$E:$AR,18,FALSE),IF((AND($U$4=TRUE,$U$5=FALSE,$U$6=FALSE,$U$7=TRUE)),VLOOKUP($E11,'Status Thresholds'!$E:$AR,8,FALSE),
IF((AND($U$4=FALSE,$U$5=TRUE,$U$6=FALSE,$U$7=FALSE)),VLOOKUP($E11,'Status Thresholds'!$E:$AR,23,FALSE),IF((AND($U$4=FALSE,$U$5=TRUE,$U$6=TRUE,$U$7=FALSE)),VLOOKUP($E11,'Status Thresholds'!$E:$AR,33,FALSE),IF((AND($U$4=FALSE,$U$5=TRUE,$U$6=TRUE,$U$7=TRUE)),VLOOKUP($E11,'Status Thresholds'!$E:$AR,38,FALSE),IF((AND($U$4=FALSE,$U$5=TRUE,$U$6=FALSE,$U$7=TRUE)),VLOOKUP($E11,'Status Thresholds'!$E:$AR,28,FALSE)))))))))
))/
IF(OR($X$5=TRUE,$AC$3=TRUE
),($F$4/2), IF(OR($X$2,$X$3,$X$4,$X$6,$X$7,$X$8,$Z$2,$Z$3,$Z$4,$Z$5,$Z$6,$Z$7,$Z$8)=TRUE,$F$4)),0),"-")</f>
        <v>-</v>
      </c>
      <c r="H11" s="36" t="str">
        <f>IFERROR(
ROUNDUP(
IF(AND($U$5=FALSE,$U$4=FALSE),"-",IF(AND($U$5=TRUE,$U$4=TRUE),"-",
IF((AND($U$4=TRUE,$U$5=FALSE,$U$6=FALSE,$U$7=FALSE)),VLOOKUP($E11,'Status Thresholds'!$E:$AR,4,FALSE),IF((AND($U$4=TRUE,$U$5=FALSE,$U$6=TRUE,$U$7=FALSE)),VLOOKUP($E11,'Status Thresholds'!$E:$AR,14,FALSE),IF((AND($U$4=TRUE,$U$5=FALSE,$U$6=TRUE,$U$7=TRUE)),VLOOKUP($E11,'Status Thresholds'!$E:$AR,19,FALSE),IF((AND($U$4=TRUE,$U$5=FALSE,$U$6=FALSE,$U$7=TRUE)),VLOOKUP($E11,'Status Thresholds'!$E:$AR,9,FALSE),
IF((AND($U$4=FALSE,$U$5=TRUE,$U$6=FALSE,$U$7=FALSE)),VLOOKUP($E11,'Status Thresholds'!$E:$AR,24,FALSE),IF((AND($U$4=FALSE,$U$5=TRUE,$U$6=TRUE,$U$7=FALSE)),VLOOKUP($E11,'Status Thresholds'!$E:$AR,34,FALSE),IF((AND($U$4=FALSE,$U$5=TRUE,$U$6=TRUE,$U$7=TRUE)),VLOOKUP($E11,'Status Thresholds'!$E:$AR,39,FALSE),IF((AND($U$4=FALSE,$U$5=TRUE,$U$6=FALSE,$U$7=TRUE)),VLOOKUP($E11,'Status Thresholds'!$E:$AR,29,FALSE)))))))))
))/
IF(OR($X$5=TRUE,$AC$3=TRUE
),($F$4/2), IF(OR($X$2,$X$3,$X$4,$X$6,$X$7,$X$8,$Z$2,$Z$3,$Z$4,$Z$5,$Z$6,$Z$7,$Z$8)=TRUE,$F$4)),0),"-")</f>
        <v>-</v>
      </c>
      <c r="I11" s="36" t="str">
        <f>IFERROR(
ROUNDUP(
IF(AND($U$5=FALSE,$U$4=FALSE),"-",IF(AND($U$5=TRUE,$U$4=TRUE),"-",
IF((AND($U$4=TRUE,$U$5=FALSE,$U$6=FALSE,$U$7=FALSE)),VLOOKUP($E11,'Status Thresholds'!$E:$AR,5,FALSE),IF((AND($U$4=TRUE,$U$5=FALSE,$U$6=TRUE,$U$7=FALSE)),VLOOKUP($E11,'Status Thresholds'!$E:$AR,15,FALSE),IF((AND($U$4=TRUE,$U$5=FALSE,$U$6=TRUE,$U$7=TRUE)),VLOOKUP($E11,'Status Thresholds'!$E:$AR,20,FALSE),IF((AND($U$4=TRUE,$U$5=FALSE,$U$6=FALSE,$U$7=TRUE)),VLOOKUP($E11,'Status Thresholds'!$E:$AR,10,FALSE),
IF((AND($U$4=FALSE,$U$5=TRUE,$U$6=FALSE,$U$7=FALSE)),VLOOKUP($E11,'Status Thresholds'!$E:$AR,25,FALSE),IF((AND($U$4=FALSE,$U$5=TRUE,$U$6=TRUE,$U$7=FALSE)),VLOOKUP($E11,'Status Thresholds'!$E:$AR,35,FALSE),IF((AND($U$4=FALSE,$U$5=TRUE,$U$6=TRUE,$U$7=TRUE)),VLOOKUP($E11,'Status Thresholds'!$E:$AR,40,FALSE),IF((AND($U$4=FALSE,$U$5=TRUE,$U$6=FALSE,$U$7=TRUE)),VLOOKUP($E11,'Status Thresholds'!$E:$AR,30,FALSE)))))))))
))/
IF(OR($X$5=TRUE,$AC$3=TRUE
),($F$4/2), IF(OR($X$2,$X$3,$X$4,$X$6,$X$7,$X$8,$Z$2,$Z$3,$Z$4,$Z$5,$Z$6,$Z$7,$Z$8)=TRUE,$F$4)),0),"-")</f>
        <v>-</v>
      </c>
      <c r="J11" s="46">
        <f>IFERROR(IF(AND($U$5=FALSE,$U$4=FALSE),"-",VLOOKUP($E11,'Status Thresholds'!$E:$AU,41,FALSE)),"-")</f>
        <v>20</v>
      </c>
      <c r="K11" s="46" t="str">
        <f>IFERROR(IF(AND($U$5=FALSE,$U$4=FALSE),"-",VLOOKUP($E11,'Status Thresholds'!$E:$AU,42,FALSE)),"-")</f>
        <v>-</v>
      </c>
      <c r="L11" s="46" t="str">
        <f>IFERROR(IF(AND($U$5=FALSE,$U$4=FALSE),"-",VLOOKUP($E11,'Status Thresholds'!$E:$AU,43,FALSE)),"-")</f>
        <v>-</v>
      </c>
    </row>
    <row r="12" spans="1:29" x14ac:dyDescent="0.25">
      <c r="A12" s="35"/>
      <c r="B12" s="64" t="str">
        <f>VLOOKUP(C12,'Status Thresholds'!B:C,2,FALSE)</f>
        <v>MHGen</v>
      </c>
      <c r="C12" s="64" t="str">
        <f>IF('Status Thresholds'!B7=0, "", 'Status Thresholds'!B7)</f>
        <v>Agnaktor</v>
      </c>
      <c r="D12" s="32" t="s">
        <v>33</v>
      </c>
      <c r="E12" s="36" t="str">
        <f t="shared" si="0"/>
        <v>AgnaktorPoison</v>
      </c>
      <c r="F12" s="36" t="str">
        <f>IFERROR(
ROUNDUP(
IF(AND($U$5=FALSE,$U$4=FALSE),"-",IF(AND($U$5=TRUE,$U$4=TRUE),"-",
IF((AND($U$4=TRUE,$U$5=FALSE,$U$6=FALSE,$U$7=FALSE)),VLOOKUP($E12,'Status Thresholds'!$E:$AR,2,FALSE),IF((AND($U$4=TRUE,$U$5=FALSE,$U$6=TRUE,$U$7=FALSE)),VLOOKUP($E12,'Status Thresholds'!$E:$AR,12,FALSE),IF((AND($U$4=TRUE,$U$5=FALSE,$U$6=TRUE,$U$7=TRUE)),VLOOKUP($E12,'Status Thresholds'!$E:$AR,17,FALSE),IF((AND($U$4=TRUE,$U$5=FALSE,$U$6=FALSE,$U$7=TRUE)),VLOOKUP($E12,'Status Thresholds'!$E:$AR,7,FALSE),
IF((AND($U$4=FALSE,$U$5=TRUE,$U$6=FALSE,$U$7=FALSE)),VLOOKUP($E12,'Status Thresholds'!$E:$AR,22,FALSE),IF((AND($U$4=FALSE,$U$5=TRUE,$U$6=TRUE,$U$7=FALSE)),VLOOKUP($E12,'Status Thresholds'!$E:$AR,32,FALSE),IF((AND($U$4=FALSE,$U$5=TRUE,$U$6=TRUE,$U$7=TRUE)),VLOOKUP($E12,'Status Thresholds'!$E:$AR,37,FALSE),IF((AND($U$4=FALSE,$U$5=TRUE,$U$6=FALSE,$U$7=TRUE)),VLOOKUP($E12,'Status Thresholds'!$E:$AR,27,FALSE)))))))))
))/
IF(OR($X$5=TRUE,$AC$3=TRUE
),($F$5/2), IF(OR($X$2,$X$3,$X$4,$X$6,$X$7,$X$8,$Z$2,$Z$3,$Z$4,$Z$5,$Z$6,$Z$7,$Z$8)=TRUE,$F$5)),0),"-")</f>
        <v>-</v>
      </c>
      <c r="G12" s="36" t="str">
        <f>IFERROR(
ROUNDUP(
IF(AND($U$5=FALSE,$U$4=FALSE),"-",IF(AND($U$5=TRUE,$U$4=TRUE),"-",
IF((AND($U$4=TRUE,$U$5=FALSE,$U$6=FALSE,$U$7=FALSE)),VLOOKUP($E12,'Status Thresholds'!$E:$AR,3,FALSE),IF((AND($U$4=TRUE,$U$5=FALSE,$U$6=TRUE,$U$7=FALSE)),VLOOKUP($E12,'Status Thresholds'!$E:$AR,13,FALSE),IF((AND($U$4=TRUE,$U$5=FALSE,$U$6=TRUE,$U$7=TRUE)),VLOOKUP($E12,'Status Thresholds'!$E:$AR,18,FALSE),IF((AND($U$4=TRUE,$U$5=FALSE,$U$6=FALSE,$U$7=TRUE)),VLOOKUP($E12,'Status Thresholds'!$E:$AR,8,FALSE),
IF((AND($U$4=FALSE,$U$5=TRUE,$U$6=FALSE,$U$7=FALSE)),VLOOKUP($E12,'Status Thresholds'!$E:$AR,23,FALSE),IF((AND($U$4=FALSE,$U$5=TRUE,$U$6=TRUE,$U$7=FALSE)),VLOOKUP($E12,'Status Thresholds'!$E:$AR,33,FALSE),IF((AND($U$4=FALSE,$U$5=TRUE,$U$6=TRUE,$U$7=TRUE)),VLOOKUP($E12,'Status Thresholds'!$E:$AR,38,FALSE),IF((AND($U$4=FALSE,$U$5=TRUE,$U$6=FALSE,$U$7=TRUE)),VLOOKUP($E12,'Status Thresholds'!$E:$AR,28,FALSE)))))))))
))/
IF(OR($X$5=TRUE,$AC$3=TRUE
),($F$5/2), IF(OR($X$2,$X$3,$X$4,$X$6,$X$7,$X$8,$Z$2,$Z$3,$Z$4,$Z$5,$Z$6,$Z$7,$Z$8)=TRUE,$F$5)),0),"-")</f>
        <v>-</v>
      </c>
      <c r="H12" s="36" t="str">
        <f>IFERROR(
ROUNDUP(
IF(AND($U$5=FALSE,$U$4=FALSE),"-",IF(AND($U$5=TRUE,$U$4=TRUE),"-",
IF((AND($U$4=TRUE,$U$5=FALSE,$U$6=FALSE,$U$7=FALSE)),VLOOKUP($E12,'Status Thresholds'!$E:$AR,4,FALSE),IF((AND($U$4=TRUE,$U$5=FALSE,$U$6=TRUE,$U$7=FALSE)),VLOOKUP($E12,'Status Thresholds'!$E:$AR,14,FALSE),IF((AND($U$4=TRUE,$U$5=FALSE,$U$6=TRUE,$U$7=TRUE)),VLOOKUP($E12,'Status Thresholds'!$E:$AR,19,FALSE),IF((AND($U$4=TRUE,$U$5=FALSE,$U$6=FALSE,$U$7=TRUE)),VLOOKUP($E12,'Status Thresholds'!$E:$AR,9,FALSE),
IF((AND($U$4=FALSE,$U$5=TRUE,$U$6=FALSE,$U$7=FALSE)),VLOOKUP($E12,'Status Thresholds'!$E:$AR,24,FALSE),IF((AND($U$4=FALSE,$U$5=TRUE,$U$6=TRUE,$U$7=FALSE)),VLOOKUP($E12,'Status Thresholds'!$E:$AR,34,FALSE),IF((AND($U$4=FALSE,$U$5=TRUE,$U$6=TRUE,$U$7=TRUE)),VLOOKUP($E12,'Status Thresholds'!$E:$AR,39,FALSE),IF((AND($U$4=FALSE,$U$5=TRUE,$U$6=FALSE,$U$7=TRUE)),VLOOKUP($E12,'Status Thresholds'!$E:$AR,29,FALSE)))))))))
))/
IF(OR($X$5=TRUE,$AC$3=TRUE
),($F$5/2), IF(OR($X$2,$X$3,$X$4,$X$6,$X$7,$X$8,$Z$2,$Z$3,$Z$4,$Z$5,$Z$6,$Z$7,$Z$8)=TRUE,$F$5)),0),"-")</f>
        <v>-</v>
      </c>
      <c r="I12" s="36" t="str">
        <f>IFERROR(
ROUNDUP(
IF(AND($U$5=FALSE,$U$4=FALSE),"-",IF(AND($U$5=TRUE,$U$4=TRUE),"-",
IF((AND($U$4=TRUE,$U$5=FALSE,$U$6=FALSE,$U$7=FALSE)),VLOOKUP($E12,'Status Thresholds'!$E:$AR,5,FALSE),IF((AND($U$4=TRUE,$U$5=FALSE,$U$6=TRUE,$U$7=FALSE)),VLOOKUP($E12,'Status Thresholds'!$E:$AR,15,FALSE),IF((AND($U$4=TRUE,$U$5=FALSE,$U$6=TRUE,$U$7=TRUE)),VLOOKUP($E12,'Status Thresholds'!$E:$AR,20,FALSE),IF((AND($U$4=TRUE,$U$5=FALSE,$U$6=FALSE,$U$7=TRUE)),VLOOKUP($E12,'Status Thresholds'!$E:$AR,10,FALSE),
IF((AND($U$4=FALSE,$U$5=TRUE,$U$6=FALSE,$U$7=FALSE)),VLOOKUP($E12,'Status Thresholds'!$E:$AR,25,FALSE),IF((AND($U$4=FALSE,$U$5=TRUE,$U$6=TRUE,$U$7=FALSE)),VLOOKUP($E12,'Status Thresholds'!$E:$AR,35,FALSE),IF((AND($U$4=FALSE,$U$5=TRUE,$U$6=TRUE,$U$7=TRUE)),VLOOKUP($E12,'Status Thresholds'!$E:$AR,40,FALSE),IF((AND($U$4=FALSE,$U$5=TRUE,$U$6=FALSE,$U$7=TRUE)),VLOOKUP($E12,'Status Thresholds'!$E:$AR,30,FALSE)))))))))
))/
IF(OR($X$5=TRUE,$AC$3=TRUE
),($F$5/2), IF(OR($X$2,$X$3,$X$4,$X$6,$X$7,$X$8,$Z$2,$Z$3,$Z$4,$Z$5,$Z$6,$Z$7,$Z$8)=TRUE,$F$5)),0),"-")</f>
        <v>-</v>
      </c>
      <c r="J12" s="46">
        <f>IFERROR(IF(AND($U$5=FALSE,$U$4=FALSE),"-",VLOOKUP($E12,'Status Thresholds'!$E:$AU,41,FALSE)),"-")</f>
        <v>30</v>
      </c>
      <c r="K12" s="46" t="str">
        <f>IFERROR(IF(AND($U$5=FALSE,$U$4=FALSE),"-",VLOOKUP($E12,'Status Thresholds'!$E:$AU,42,FALSE)),"-")</f>
        <v>-</v>
      </c>
      <c r="L12" s="46" t="str">
        <f>IFERROR(IF(AND($U$5=FALSE,$U$4=FALSE),"-",VLOOKUP($E12,'Status Thresholds'!$E:$AU,43,FALSE)),"-")</f>
        <v>-</v>
      </c>
    </row>
    <row r="13" spans="1:29" x14ac:dyDescent="0.25">
      <c r="A13" s="35"/>
      <c r="B13" s="64" t="str">
        <f>VLOOKUP(C13,'Status Thresholds'!B:C,2,FALSE)</f>
        <v>MHGen</v>
      </c>
      <c r="C13" s="64" t="str">
        <f>IF('Status Thresholds'!B8=0, "", 'Status Thresholds'!B8)</f>
        <v>Agnaktor</v>
      </c>
      <c r="D13" s="10" t="s">
        <v>22</v>
      </c>
      <c r="E13" s="36" t="str">
        <f t="shared" si="0"/>
        <v>AgnaktorExhaust</v>
      </c>
      <c r="F13" s="36" t="str">
        <f>IFERROR(
ROUNDUP(
IF(AND($U$5=FALSE,$U$4=FALSE),"-",IF(AND($U$5=TRUE,$U$4=TRUE),"-",
IF((AND($U$4=TRUE,$U$5=FALSE,$U$6=FALSE,$U$7=FALSE)),VLOOKUP($E13,'Status Thresholds'!$E:$AR,2,FALSE),IF((AND($U$4=TRUE,$U$5=FALSE,$U$6=TRUE,$U$7=FALSE)),VLOOKUP($E13,'Status Thresholds'!$E:$AR,12,FALSE),IF((AND($U$4=TRUE,$U$5=FALSE,$U$6=TRUE,$U$7=TRUE)),VLOOKUP($E13,'Status Thresholds'!$E:$AR,17,FALSE),IF((AND($U$4=TRUE,$U$5=FALSE,$U$6=FALSE,$U$7=TRUE)),VLOOKUP($E13,'Status Thresholds'!$E:$AR,7,FALSE),
IF((AND($U$4=FALSE,$U$5=TRUE,$U$6=FALSE,$U$7=FALSE)),VLOOKUP($E13,'Status Thresholds'!$E:$AR,22,FALSE),IF((AND($U$4=FALSE,$U$5=TRUE,$U$6=TRUE,$U$7=FALSE)),VLOOKUP($E13,'Status Thresholds'!$E:$AR,32,FALSE),IF((AND($U$4=FALSE,$U$5=TRUE,$U$6=TRUE,$U$7=TRUE)),VLOOKUP($E13,'Status Thresholds'!$E:$AR,37,FALSE),IF((AND($U$4=FALSE,$U$5=TRUE,$U$6=FALSE,$U$7=TRUE)),VLOOKUP($E13,'Status Thresholds'!$E:$AR,27,FALSE)))))))))
))/
IF(OR($X$5=TRUE,$AC$3=TRUE
),($F$6/2), IF(OR($X$2,$X$3,$X$4,$X$6,$X$7,$X$8,$Z$2,$Z$3,$Z$4,$Z$5,$Z$6,$Z$7,$Z$8)=TRUE,$F$6)),0),"-")</f>
        <v>-</v>
      </c>
      <c r="G13" s="36" t="str">
        <f>IFERROR(
ROUNDUP(
IF(AND($U$5=FALSE,$U$4=FALSE),"-",IF(AND($U$5=TRUE,$U$4=TRUE),"-",
IF((AND($U$4=TRUE,$U$5=FALSE,$U$6=FALSE,$U$7=FALSE)),VLOOKUP($E13,'Status Thresholds'!$E:$AR,3,FALSE),IF((AND($U$4=TRUE,$U$5=FALSE,$U$6=TRUE,$U$7=FALSE)),VLOOKUP($E13,'Status Thresholds'!$E:$AR,13,FALSE),IF((AND($U$4=TRUE,$U$5=FALSE,$U$6=TRUE,$U$7=TRUE)),VLOOKUP($E13,'Status Thresholds'!$E:$AR,18,FALSE),IF((AND($U$4=TRUE,$U$5=FALSE,$U$6=FALSE,$U$7=TRUE)),VLOOKUP($E13,'Status Thresholds'!$E:$AR,8,FALSE),
IF((AND($U$4=FALSE,$U$5=TRUE,$U$6=FALSE,$U$7=FALSE)),VLOOKUP($E13,'Status Thresholds'!$E:$AR,23,FALSE),IF((AND($U$4=FALSE,$U$5=TRUE,$U$6=TRUE,$U$7=FALSE)),VLOOKUP($E13,'Status Thresholds'!$E:$AR,33,FALSE),IF((AND($U$4=FALSE,$U$5=TRUE,$U$6=TRUE,$U$7=TRUE)),VLOOKUP($E13,'Status Thresholds'!$E:$AR,38,FALSE),IF((AND($U$4=FALSE,$U$5=TRUE,$U$6=FALSE,$U$7=TRUE)),VLOOKUP($E13,'Status Thresholds'!$E:$AR,28,FALSE)))))))))
))/
IF(OR($X$5=TRUE,$AC$3=TRUE
),($F$6/2), IF(OR($X$2,$X$3,$X$4,$X$6,$X$7,$X$8,$Z$2,$Z$3,$Z$4,$Z$5,$Z$6,$Z$7,$Z$8)=TRUE,$F$6)),0),"-")</f>
        <v>-</v>
      </c>
      <c r="H13" s="36" t="str">
        <f>IFERROR(
ROUNDUP(
IF(AND($U$5=FALSE,$U$4=FALSE),"-",IF(AND($U$5=TRUE,$U$4=TRUE),"-",
IF((AND($U$4=TRUE,$U$5=FALSE,$U$6=FALSE,$U$7=FALSE)),VLOOKUP($E13,'Status Thresholds'!$E:$AR,4,FALSE),IF((AND($U$4=TRUE,$U$5=FALSE,$U$6=TRUE,$U$7=FALSE)),VLOOKUP($E13,'Status Thresholds'!$E:$AR,14,FALSE),IF((AND($U$4=TRUE,$U$5=FALSE,$U$6=TRUE,$U$7=TRUE)),VLOOKUP($E13,'Status Thresholds'!$E:$AR,19,FALSE),IF((AND($U$4=TRUE,$U$5=FALSE,$U$6=FALSE,$U$7=TRUE)),VLOOKUP($E13,'Status Thresholds'!$E:$AR,9,FALSE),
IF((AND($U$4=FALSE,$U$5=TRUE,$U$6=FALSE,$U$7=FALSE)),VLOOKUP($E13,'Status Thresholds'!$E:$AR,24,FALSE),IF((AND($U$4=FALSE,$U$5=TRUE,$U$6=TRUE,$U$7=FALSE)),VLOOKUP($E13,'Status Thresholds'!$E:$AR,34,FALSE),IF((AND($U$4=FALSE,$U$5=TRUE,$U$6=TRUE,$U$7=TRUE)),VLOOKUP($E13,'Status Thresholds'!$E:$AR,39,FALSE),IF((AND($U$4=FALSE,$U$5=TRUE,$U$6=FALSE,$U$7=TRUE)),VLOOKUP($E13,'Status Thresholds'!$E:$AR,29,FALSE)))))))))
))/
IF(OR($X$5=TRUE,$AC$3=TRUE
),($F$6/2), IF(OR($X$2,$X$3,$X$4,$X$6,$X$7,$X$8,$Z$2,$Z$3,$Z$4,$Z$5,$Z$6,$Z$7,$Z$8)=TRUE,$F$6)),0),"-")</f>
        <v>-</v>
      </c>
      <c r="I13" s="36" t="str">
        <f>IFERROR(
ROUNDUP(
IF(AND($U$5=FALSE,$U$4=FALSE),"-",IF(AND($U$5=TRUE,$U$4=TRUE),"-",
IF((AND($U$4=TRUE,$U$5=FALSE,$U$6=FALSE,$U$7=FALSE)),VLOOKUP($E13,'Status Thresholds'!$E:$AR,5,FALSE),IF((AND($U$4=TRUE,$U$5=FALSE,$U$6=TRUE,$U$7=FALSE)),VLOOKUP($E13,'Status Thresholds'!$E:$AR,15,FALSE),IF((AND($U$4=TRUE,$U$5=FALSE,$U$6=TRUE,$U$7=TRUE)),VLOOKUP($E13,'Status Thresholds'!$E:$AR,20,FALSE),IF((AND($U$4=TRUE,$U$5=FALSE,$U$6=FALSE,$U$7=TRUE)),VLOOKUP($E13,'Status Thresholds'!$E:$AR,10,FALSE),
IF((AND($U$4=FALSE,$U$5=TRUE,$U$6=FALSE,$U$7=FALSE)),VLOOKUP($E13,'Status Thresholds'!$E:$AR,25,FALSE),IF((AND($U$4=FALSE,$U$5=TRUE,$U$6=TRUE,$U$7=FALSE)),VLOOKUP($E13,'Status Thresholds'!$E:$AR,35,FALSE),IF((AND($U$4=FALSE,$U$5=TRUE,$U$6=TRUE,$U$7=TRUE)),VLOOKUP($E13,'Status Thresholds'!$E:$AR,40,FALSE),IF((AND($U$4=FALSE,$U$5=TRUE,$U$6=FALSE,$U$7=TRUE)),VLOOKUP($E13,'Status Thresholds'!$E:$AR,30,FALSE)))))))))
))/
IF(OR($X$5=TRUE,$AC$3=TRUE
),($F$6/2), IF(OR($X$2,$X$3,$X$4,$X$6,$X$7,$X$8,$Z$2,$Z$3,$Z$4,$Z$5,$Z$6,$Z$7,$Z$8)=TRUE,$F$6)),0),"-")</f>
        <v>-</v>
      </c>
      <c r="J13" s="46">
        <f>IFERROR(IF(AND($U$5=FALSE,$U$4=FALSE),"-",VLOOKUP($E13,'Status Thresholds'!$E:$AU,41,FALSE)),"-")</f>
        <v>0</v>
      </c>
      <c r="K13" s="46" t="str">
        <f>IFERROR(IF(AND($U$5=FALSE,$U$4=FALSE),"-",VLOOKUP($E13,'Status Thresholds'!$E:$AU,42,FALSE)),"-")</f>
        <v>-</v>
      </c>
      <c r="L13" s="46" t="str">
        <f>IFERROR(IF(AND($U$5=FALSE,$U$4=FALSE),"-",VLOOKUP($E13,'Status Thresholds'!$E:$AU,43,FALSE)),"-")</f>
        <v>-</v>
      </c>
    </row>
    <row r="14" spans="1:29" x14ac:dyDescent="0.25">
      <c r="A14" s="35"/>
      <c r="B14" s="64" t="str">
        <f>VLOOKUP(C14,'Status Thresholds'!B:C,2,FALSE)</f>
        <v>MHGen</v>
      </c>
      <c r="C14" s="64" t="str">
        <f>IF('Status Thresholds'!B9=0, "", 'Status Thresholds'!B9)</f>
        <v>Agnaktor</v>
      </c>
      <c r="D14" s="30" t="s">
        <v>35</v>
      </c>
      <c r="E14" s="36" t="str">
        <f t="shared" si="0"/>
        <v>AgnaktorBlast</v>
      </c>
      <c r="F14" s="36" t="str">
        <f>IFERROR(
ROUNDUP(
IF(AND($U$5=FALSE,$U$4=FALSE),"-",IF(AND($U$5=TRUE,$U$4=TRUE),"-",
IF((AND($U$4=TRUE,$U$5=FALSE,$U$6=FALSE,$U$7=FALSE)),VLOOKUP($E14,'Status Thresholds'!$E:$AR,2,FALSE),IF((AND($U$4=TRUE,$U$5=FALSE,$U$6=TRUE,$U$7=FALSE)),VLOOKUP($E14,'Status Thresholds'!$E:$AR,12,FALSE),IF((AND($U$4=TRUE,$U$5=FALSE,$U$6=TRUE,$U$7=TRUE)),VLOOKUP($E14,'Status Thresholds'!$E:$AR,17,FALSE),IF((AND($U$4=TRUE,$U$5=FALSE,$U$6=FALSE,$U$7=TRUE)),VLOOKUP($E14,'Status Thresholds'!$E:$AR,7,FALSE),
IF((AND($U$4=FALSE,$U$5=TRUE,$U$6=FALSE,$U$7=FALSE)),VLOOKUP($E14,'Status Thresholds'!$E:$AR,22,FALSE),IF((AND($U$4=FALSE,$U$5=TRUE,$U$6=TRUE,$U$7=FALSE)),VLOOKUP($E14,'Status Thresholds'!$E:$AR,32,FALSE),IF((AND($U$4=FALSE,$U$5=TRUE,$U$6=TRUE,$U$7=TRUE)),VLOOKUP($E14,'Status Thresholds'!$E:$AR,37,FALSE),IF((AND($U$4=FALSE,$U$5=TRUE,$U$6=FALSE,$U$7=TRUE)),VLOOKUP($E14,'Status Thresholds'!$E:$AR,27,FALSE)))))))))
))/
IF(OR($X$5=TRUE,$AC$3=TRUE
),($F$7/2), IF(OR($X$2,$X$3,$X$4,$X$6,$X$7,$X$8,$Z$2,$Z$3,$Z$4,$Z$5,$Z$6,$Z$7,$Z$8)=TRUE,$F$7)),0),"-")</f>
        <v>-</v>
      </c>
      <c r="G14" s="36" t="str">
        <f>IFERROR(
ROUNDUP(
IF(AND($U$5=FALSE,$U$4=FALSE),"-",IF(AND($U$5=TRUE,$U$4=TRUE),"-",
IF((AND($U$4=TRUE,$U$5=FALSE,$U$6=FALSE,$U$7=FALSE)),VLOOKUP($E14,'Status Thresholds'!$E:$AR,3,FALSE),IF((AND($U$4=TRUE,$U$5=FALSE,$U$6=TRUE,$U$7=FALSE)),VLOOKUP($E14,'Status Thresholds'!$E:$AR,13,FALSE),IF((AND($U$4=TRUE,$U$5=FALSE,$U$6=TRUE,$U$7=TRUE)),VLOOKUP($E14,'Status Thresholds'!$E:$AR,18,FALSE),IF((AND($U$4=TRUE,$U$5=FALSE,$U$6=FALSE,$U$7=TRUE)),VLOOKUP($E14,'Status Thresholds'!$E:$AR,8,FALSE),
IF((AND($U$4=FALSE,$U$5=TRUE,$U$6=FALSE,$U$7=FALSE)),VLOOKUP($E14,'Status Thresholds'!$E:$AR,23,FALSE),IF((AND($U$4=FALSE,$U$5=TRUE,$U$6=TRUE,$U$7=FALSE)),VLOOKUP($E14,'Status Thresholds'!$E:$AR,33,FALSE),IF((AND($U$4=FALSE,$U$5=TRUE,$U$6=TRUE,$U$7=TRUE)),VLOOKUP($E14,'Status Thresholds'!$E:$AR,38,FALSE),IF((AND($U$4=FALSE,$U$5=TRUE,$U$6=FALSE,$U$7=TRUE)),VLOOKUP($E14,'Status Thresholds'!$E:$AR,28,FALSE)))))))))
))/
IF(OR($X$5=TRUE,$AC$3=TRUE
),($F$7/2), IF(OR($X$2,$X$3,$X$4,$X$6,$X$7,$X$8,$Z$2,$Z$3,$Z$4,$Z$5,$Z$6,$Z$7,$Z$8)=TRUE,$F$7)),0),"-")</f>
        <v>-</v>
      </c>
      <c r="H14" s="36" t="str">
        <f>IFERROR(
ROUNDUP(
IF(AND($U$5=FALSE,$U$4=FALSE),"-",IF(AND($U$5=TRUE,$U$4=TRUE),"-",
IF((AND($U$4=TRUE,$U$5=FALSE,$U$6=FALSE,$U$7=FALSE)),VLOOKUP($E14,'Status Thresholds'!$E:$AR,4,FALSE),IF((AND($U$4=TRUE,$U$5=FALSE,$U$6=TRUE,$U$7=FALSE)),VLOOKUP($E14,'Status Thresholds'!$E:$AR,14,FALSE),IF((AND($U$4=TRUE,$U$5=FALSE,$U$6=TRUE,$U$7=TRUE)),VLOOKUP($E14,'Status Thresholds'!$E:$AR,19,FALSE),IF((AND($U$4=TRUE,$U$5=FALSE,$U$6=FALSE,$U$7=TRUE)),VLOOKUP($E14,'Status Thresholds'!$E:$AR,9,FALSE),
IF((AND($U$4=FALSE,$U$5=TRUE,$U$6=FALSE,$U$7=FALSE)),VLOOKUP($E14,'Status Thresholds'!$E:$AR,24,FALSE),IF((AND($U$4=FALSE,$U$5=TRUE,$U$6=TRUE,$U$7=FALSE)),VLOOKUP($E14,'Status Thresholds'!$E:$AR,34,FALSE),IF((AND($U$4=FALSE,$U$5=TRUE,$U$6=TRUE,$U$7=TRUE)),VLOOKUP($E14,'Status Thresholds'!$E:$AR,39,FALSE),IF((AND($U$4=FALSE,$U$5=TRUE,$U$6=FALSE,$U$7=TRUE)),VLOOKUP($E14,'Status Thresholds'!$E:$AR,29,FALSE)))))))))
))/
IF(OR($X$5=TRUE,$AC$3=TRUE
),($F$7/2), IF(OR($X$2,$X$3,$X$4,$X$6,$X$7,$X$8,$Z$2,$Z$3,$Z$4,$Z$5,$Z$6,$Z$7,$Z$8)=TRUE,$F$7)),0),"-")</f>
        <v>-</v>
      </c>
      <c r="I14" s="36" t="str">
        <f>IFERROR(
ROUNDUP(
IF(AND($U$5=FALSE,$U$4=FALSE),"-",IF(AND($U$5=TRUE,$U$4=TRUE),"-",
IF((AND($U$4=TRUE,$U$5=FALSE,$U$6=FALSE,$U$7=FALSE)),VLOOKUP($E14,'Status Thresholds'!$E:$AR,5,FALSE),IF((AND($U$4=TRUE,$U$5=FALSE,$U$6=TRUE,$U$7=FALSE)),VLOOKUP($E14,'Status Thresholds'!$E:$AR,15,FALSE),IF((AND($U$4=TRUE,$U$5=FALSE,$U$6=TRUE,$U$7=TRUE)),VLOOKUP($E14,'Status Thresholds'!$E:$AR,20,FALSE),IF((AND($U$4=TRUE,$U$5=FALSE,$U$6=FALSE,$U$7=TRUE)),VLOOKUP($E14,'Status Thresholds'!$E:$AR,10,FALSE),
IF((AND($U$4=FALSE,$U$5=TRUE,$U$6=FALSE,$U$7=FALSE)),VLOOKUP($E14,'Status Thresholds'!$E:$AR,25,FALSE),IF((AND($U$4=FALSE,$U$5=TRUE,$U$6=TRUE,$U$7=FALSE)),VLOOKUP($E14,'Status Thresholds'!$E:$AR,35,FALSE),IF((AND($U$4=FALSE,$U$5=TRUE,$U$6=TRUE,$U$7=TRUE)),VLOOKUP($E14,'Status Thresholds'!$E:$AR,40,FALSE),IF((AND($U$4=FALSE,$U$5=TRUE,$U$6=FALSE,$U$7=TRUE)),VLOOKUP($E14,'Status Thresholds'!$E:$AR,30,FALSE)))))))))
))/
IF(OR($X$5=TRUE,$AC$3=TRUE
),($F$7/2), IF(OR($X$2,$X$3,$X$4,$X$6,$X$7,$X$8,$Z$2,$Z$3,$Z$4,$Z$5,$Z$6,$Z$7,$Z$8)=TRUE,$F$7)),0),"-")</f>
        <v>-</v>
      </c>
      <c r="J14" s="46">
        <f>IFERROR(IF(AND($U$5=FALSE,$U$4=FALSE),"-",VLOOKUP($E14,'Status Thresholds'!$E:$AU,41,FALSE)),"-")</f>
        <v>0</v>
      </c>
      <c r="K14" s="46" t="str">
        <f>IFERROR(IF(AND($U$5=FALSE,$U$4=FALSE),"-",VLOOKUP($E14,'Status Thresholds'!$E:$AU,42,FALSE)),"-")</f>
        <v>-</v>
      </c>
      <c r="L14" s="46" t="str">
        <f>IFERROR(IF(AND($U$5=FALSE,$U$4=FALSE),"-",VLOOKUP($E14,'Status Thresholds'!$E:$AU,43,FALSE)),"-")</f>
        <v>-</v>
      </c>
    </row>
    <row r="15" spans="1:29" ht="14.45" customHeight="1" x14ac:dyDescent="0.25">
      <c r="A15" s="35"/>
      <c r="B15" s="64" t="str">
        <f>VLOOKUP(C15,'Status Thresholds'!B:C,2,FALSE)</f>
        <v>MHGen</v>
      </c>
      <c r="C15" s="64" t="str">
        <f>IF('Status Thresholds'!B10=0, "", 'Status Thresholds'!B10)</f>
        <v>Agnaktor</v>
      </c>
      <c r="D15" s="34" t="s">
        <v>14</v>
      </c>
      <c r="E15" s="36" t="str">
        <f t="shared" si="0"/>
        <v>AgnaktorKO</v>
      </c>
      <c r="F15" s="36" t="s">
        <v>214</v>
      </c>
      <c r="G15" s="36" t="s">
        <v>214</v>
      </c>
      <c r="H15" s="36" t="s">
        <v>214</v>
      </c>
      <c r="I15" s="36" t="s">
        <v>214</v>
      </c>
      <c r="J15" s="46">
        <f>IFERROR(IF(AND($U$5=FALSE,$U$4=FALSE),"-",VLOOKUP($E15,'Status Thresholds'!$E:$AU,41,FALSE)),"-")</f>
        <v>10</v>
      </c>
      <c r="K15" s="46" t="str">
        <f>IFERROR(IF(AND($U$5=FALSE,$U$4=FALSE),"-",VLOOKUP($E15,'Status Thresholds'!$E:$AU,42,FALSE)),"-")</f>
        <v>-</v>
      </c>
      <c r="L15" s="46" t="str">
        <f>IFERROR(IF(AND($U$5=FALSE,$U$4=FALSE),"-",VLOOKUP($E15,'Status Thresholds'!$E:$AU,43,FALSE)),"-")</f>
        <v>-</v>
      </c>
    </row>
    <row r="16" spans="1:29" x14ac:dyDescent="0.25">
      <c r="A16" s="35"/>
      <c r="B16" s="64" t="str">
        <f>VLOOKUP(C16,'Status Thresholds'!B:C,2,FALSE)</f>
        <v>MHGen</v>
      </c>
      <c r="C16" s="64" t="str">
        <f>IF('Status Thresholds'!B11=0, "", 'Status Thresholds'!B11)</f>
        <v>Agnaktor</v>
      </c>
      <c r="D16" s="33" t="s">
        <v>34</v>
      </c>
      <c r="E16" s="36" t="str">
        <f t="shared" si="0"/>
        <v>AgnaktorMount</v>
      </c>
      <c r="F16" s="36" t="str">
        <f>IFERROR(
ROUNDUP(
IF(AND($U$5=FALSE,$U$4=FALSE),"-",IF(AND($U$5=TRUE,$U$4=TRUE),"-",
IF((AND($U$4=TRUE,$U$5=FALSE,$U$6=FALSE,$U$7=FALSE)),VLOOKUP($E16,'Status Thresholds'!$E:$AR,2,FALSE),IF((AND($U$4=TRUE,$U$5=FALSE,$U$6=TRUE,$U$7=FALSE)),VLOOKUP($E16,'Status Thresholds'!$E:$AR,12,FALSE),IF((AND($U$4=TRUE,$U$5=FALSE,$U$6=TRUE,$U$7=TRUE)),VLOOKUP($E16,'Status Thresholds'!$E:$AR,17,FALSE),IF((AND($U$4=TRUE,$U$5=FALSE,$U$6=FALSE,$U$7=TRUE)),VLOOKUP($E16,'Status Thresholds'!$E:$AR,7,FALSE),
IF((AND($U$4=FALSE,$U$5=TRUE,$U$6=FALSE,$U$7=FALSE)),VLOOKUP($E16,'Status Thresholds'!$E:$AR,22,FALSE),IF((AND($U$4=FALSE,$U$5=TRUE,$U$6=TRUE,$U$7=FALSE)),VLOOKUP($E16,'Status Thresholds'!$E:$AR,32,FALSE),IF((AND($U$4=FALSE,$U$5=TRUE,$U$6=TRUE,$U$7=TRUE)),VLOOKUP($E16,'Status Thresholds'!$E:$AR,37,FALSE),IF((AND($U$4=FALSE,$U$5=TRUE,$U$6=FALSE,$U$7=TRUE)),VLOOKUP($E16,'Status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16" s="36" t="str">
        <f>IFERROR(
ROUNDUP(
IF(AND($U$5=FALSE,$U$4=FALSE),"-",IF(AND($U$5=TRUE,$U$4=TRUE),"-",
IF((AND($U$4=TRUE,$U$5=FALSE,$U$6=FALSE,$U$7=FALSE)),VLOOKUP($E15,'Status Thresholds'!$E:$AR,3,FALSE),IF((AND($U$4=TRUE,$U$5=FALSE,$U$6=TRUE,$U$7=FALSE)),VLOOKUP($E15,'Status Thresholds'!$E:$AR,13,FALSE),IF((AND($U$4=TRUE,$U$5=FALSE,$U$6=TRUE,$U$7=TRUE)),VLOOKUP($E15,'Status Thresholds'!$E:$AR,18,FALSE),IF((AND($U$4=TRUE,$U$5=FALSE,$U$6=FALSE,$U$7=TRUE)),VLOOKUP($E15,'Status Thresholds'!$E:$AR,8,FALSE),
IF((AND($U$4=FALSE,$U$5=TRUE,$U$6=FALSE,$U$7=FALSE)),VLOOKUP($E15,'Status Thresholds'!$E:$AR,23,FALSE),IF((AND($U$4=FALSE,$U$5=TRUE,$U$6=TRUE,$U$7=FALSE)),VLOOKUP($E15,'Status Thresholds'!$E:$AR,33,FALSE),IF((AND($U$4=FALSE,$U$5=TRUE,$U$6=TRUE,$U$7=TRUE)),VLOOKUP($E15,'Status Thresholds'!$E:$AR,38,FALSE),IF((AND($U$4=FALSE,$U$5=TRUE,$U$6=FALSE,$U$7=TRUE)),VLOOKUP($E15,'Status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16" s="36" t="str">
        <f>IFERROR(
ROUNDUP(
IF(AND($U$5=FALSE,$U$4=FALSE),"-",IF(AND($U$5=TRUE,$U$4=TRUE),"-",
IF((AND($U$4=TRUE,$U$5=FALSE,$U$6=FALSE,$U$7=FALSE)),VLOOKUP($E15,'Status Thresholds'!$E:$AR,4,FALSE),IF((AND($U$4=TRUE,$U$5=FALSE,$U$6=TRUE,$U$7=FALSE)),VLOOKUP($E15,'Status Thresholds'!$E:$AR,14,FALSE),IF((AND($U$4=TRUE,$U$5=FALSE,$U$6=TRUE,$U$7=TRUE)),VLOOKUP($E15,'Status Thresholds'!$E:$AR,19,FALSE),IF((AND($U$4=TRUE,$U$5=FALSE,$U$6=FALSE,$U$7=TRUE)),VLOOKUP($E15,'Status Thresholds'!$E:$AR,9,FALSE),
IF((AND($U$4=FALSE,$U$5=TRUE,$U$6=FALSE,$U$7=FALSE)),VLOOKUP($E15,'Status Thresholds'!$E:$AR,24,FALSE),IF((AND($U$4=FALSE,$U$5=TRUE,$U$6=TRUE,$U$7=FALSE)),VLOOKUP($E15,'Status Thresholds'!$E:$AR,34,FALSE),IF((AND($U$4=FALSE,$U$5=TRUE,$U$6=TRUE,$U$7=TRUE)),VLOOKUP($E15,'Status Thresholds'!$E:$AR,39,FALSE),IF((AND($U$4=FALSE,$U$5=TRUE,$U$6=FALSE,$U$7=TRUE)),VLOOKUP($E15,'Status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16" s="36" t="str">
        <f>IFERROR(
ROUNDUP(
IF(AND($U$5=FALSE,$U$4=FALSE),"-",IF(AND($U$5=TRUE,$U$4=TRUE),"-",
IF((AND($U$4=TRUE,$U$5=FALSE,$U$6=FALSE,$U$7=FALSE)),VLOOKUP($E15,'Status Thresholds'!$E:$AR,5,FALSE),IF((AND($U$4=TRUE,$U$5=FALSE,$U$6=TRUE,$U$7=FALSE)),VLOOKUP($E15,'Status Thresholds'!$E:$AR,15,FALSE),IF((AND($U$4=TRUE,$U$5=FALSE,$U$6=TRUE,$U$7=TRUE)),VLOOKUP($E15,'Status Thresholds'!$E:$AR,20,FALSE),IF((AND($U$4=TRUE,$U$5=FALSE,$U$6=FALSE,$U$7=TRUE)),VLOOKUP($E15,'Status Thresholds'!$E:$AR,10,FALSE),
IF((AND($U$4=FALSE,$U$5=TRUE,$U$6=FALSE,$U$7=FALSE)),VLOOKUP($E15,'Status Thresholds'!$E:$AR,25,FALSE),IF((AND($U$4=FALSE,$U$5=TRUE,$U$6=TRUE,$U$7=FALSE)),VLOOKUP($E15,'Status Thresholds'!$E:$AR,35,FALSE),IF((AND($U$4=FALSE,$U$5=TRUE,$U$6=TRUE,$U$7=TRUE)),VLOOKUP($E15,'Status Thresholds'!$E:$AR,40,FALSE),IF((AND($U$4=FALSE,$U$5=TRUE,$U$6=FALSE,$U$7=TRUE)),VLOOKUP($E15,'Status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16" s="46">
        <f>IFERROR(IF(AND($U$5=FALSE,$U$4=FALSE),"-",VLOOKUP($E16,'Status Thresholds'!$E:$AU,41,FALSE)),"-")</f>
        <v>0</v>
      </c>
      <c r="K16" s="46" t="str">
        <f>IFERROR(IF(AND($U$5=FALSE,$U$4=FALSE),"-",VLOOKUP($E16,'Status Thresholds'!$E:$AU,42,FALSE)),"-")</f>
        <v>-</v>
      </c>
      <c r="L16" s="46" t="str">
        <f>IFERROR(IF(AND($U$5=FALSE,$U$4=FALSE),"-",VLOOKUP($E16,'Status Thresholds'!$E:$AU,43,FALSE)),"-")</f>
        <v>-</v>
      </c>
    </row>
    <row r="17" spans="1:12" ht="15" customHeight="1" x14ac:dyDescent="0.25">
      <c r="A17" s="35"/>
      <c r="B17" s="64" t="str">
        <f>VLOOKUP(C17,'Status Thresholds'!B:C,2,FALSE)</f>
        <v>MHGen</v>
      </c>
      <c r="C17" s="64" t="str">
        <f>IF('Status Thresholds'!B12=0, "", 'Status Thresholds'!B12)</f>
        <v>Agnaktor</v>
      </c>
      <c r="D17" s="77" t="s">
        <v>207</v>
      </c>
      <c r="E17" s="36" t="str">
        <f t="shared" si="0"/>
        <v>AgnaktorShock Trap</v>
      </c>
      <c r="F17" s="76" t="s">
        <v>214</v>
      </c>
      <c r="G17" s="46" t="s">
        <v>214</v>
      </c>
      <c r="H17" s="46" t="s">
        <v>214</v>
      </c>
      <c r="I17" s="46" t="s">
        <v>214</v>
      </c>
      <c r="J17" s="46">
        <f>IFERROR(IF(AND($U$5=FALSE,$U$4=FALSE),"-",VLOOKUP($E17,'Status Thresholds'!$E:$AU,43,FALSE)),"-")</f>
        <v>8</v>
      </c>
      <c r="K17" s="46">
        <f>IFERROR(IF(AND($U$5=FALSE,$U$4=FALSE),"-",VLOOKUP($E17,'Status Thresholds'!$E:$AU,41,FALSE)),"-")</f>
        <v>5</v>
      </c>
      <c r="L17" s="46">
        <f>IFERROR(IF(AND($U$5=FALSE,$U$4=FALSE),"-",VLOOKUP($E17,'Status Thresholds'!$E:$AU,42,FALSE)),"-")</f>
        <v>15</v>
      </c>
    </row>
    <row r="18" spans="1:12" x14ac:dyDescent="0.25">
      <c r="A18" s="35"/>
      <c r="B18" s="64" t="str">
        <f>VLOOKUP(C18,'Status Thresholds'!B:C,2,FALSE)</f>
        <v>MHGen</v>
      </c>
      <c r="C18" s="64" t="str">
        <f>IF('Status Thresholds'!B13=0, "", 'Status Thresholds'!B13)</f>
        <v>Agnaktor</v>
      </c>
      <c r="D18" s="77" t="s">
        <v>213</v>
      </c>
      <c r="E18" s="36" t="str">
        <f t="shared" si="0"/>
        <v>AgnaktorPitfall Trap</v>
      </c>
      <c r="F18" s="46" t="s">
        <v>214</v>
      </c>
      <c r="G18" s="46" t="s">
        <v>214</v>
      </c>
      <c r="H18" s="46" t="s">
        <v>214</v>
      </c>
      <c r="I18" s="46" t="s">
        <v>214</v>
      </c>
      <c r="J18" s="46">
        <f>IFERROR(IF(AND($U$5=FALSE,$U$4=FALSE),"-",VLOOKUP($E18,'Status Thresholds'!$E:$AU,43,FALSE)),"-")</f>
        <v>13</v>
      </c>
      <c r="K18" s="46">
        <f>IFERROR(IF(AND($U$5=FALSE,$U$4=FALSE),"-",VLOOKUP($E18,'Status Thresholds'!$E:$AU,41,FALSE)),"-")</f>
        <v>5</v>
      </c>
      <c r="L18" s="46">
        <f>IFERROR(IF(AND($U$5=FALSE,$U$4=FALSE),"-",VLOOKUP($E18,'Status Thresholds'!$E:$AU,42,FALSE)),"-")</f>
        <v>15</v>
      </c>
    </row>
    <row r="19" spans="1:12" s="36" customFormat="1" x14ac:dyDescent="0.25">
      <c r="A19" s="64"/>
      <c r="B19" s="64" t="str">
        <f>VLOOKUP(C19,'Status Thresholds'!B:C,2,FALSE)</f>
        <v>MHGU</v>
      </c>
      <c r="C19" s="64" t="str">
        <f>IF('Status Thresholds'!B14=0, "", 'Status Thresholds'!B14)</f>
        <v>Ahtal-Ka</v>
      </c>
      <c r="D19" s="37" t="s">
        <v>0</v>
      </c>
      <c r="E19" s="36" t="str">
        <f t="shared" si="0"/>
        <v>Ahtal-KaPara</v>
      </c>
      <c r="F19" s="36" t="str">
        <f>IFERROR(
ROUNDUP(
IF(AND($U$5=FALSE,$U$4=FALSE),"-",IF(AND($U$5=TRUE,$U$4=TRUE),"-",
IF((AND($U$4=TRUE,$U$5=FALSE,$U$6=FALSE,$U$7=FALSE)),VLOOKUP($E19,'Status Thresholds'!$E:$AR,2,FALSE),IF((AND($U$4=TRUE,$U$5=FALSE,$U$6=TRUE,$U$7=FALSE)),VLOOKUP($E19,'Status Thresholds'!$E:$AR,12,FALSE),IF((AND($U$4=TRUE,$U$5=FALSE,$U$6=TRUE,$U$7=TRUE)),VLOOKUP($E19,'Status Thresholds'!$E:$AR,17,FALSE),IF((AND($U$4=TRUE,$U$5=FALSE,$U$6=FALSE,$U$7=TRUE)),VLOOKUP($E19,'Status Thresholds'!$E:$AR,7,FALSE),
IF((AND($U$4=FALSE,$U$5=TRUE,$U$6=FALSE,$U$7=FALSE)),VLOOKUP($E19,'Status Thresholds'!$E:$AR,22,FALSE),IF((AND($U$4=FALSE,$U$5=TRUE,$U$6=TRUE,$U$7=FALSE)),VLOOKUP($E19,'Status Thresholds'!$E:$AR,32,FALSE),IF((AND($U$4=FALSE,$U$5=TRUE,$U$6=TRUE,$U$7=TRUE)),VLOOKUP($E19,'Status Thresholds'!$E:$AR,37,FALSE),IF((AND($U$4=FALSE,$U$5=TRUE,$U$6=FALSE,$U$7=TRUE)),VLOOKUP($E19,'Status Thresholds'!$E:$AR,27,FALSE)))))))))
))/
IF(OR($X$5=TRUE,$AC$3=TRUE
),($F$3/2), IF(OR($X$2,$X$3,$X$4,$X$6,$X$7,$X$8,$Z$2,$Z$3,$Z$4,$Z$5,$Z$6,$Z$7,$Z$8)=TRUE,$F$3)),0),"-")</f>
        <v>-</v>
      </c>
      <c r="G19" s="36" t="str">
        <f>IFERROR(
ROUNDUP(
IF(AND($U$5=FALSE,$U$4=FALSE),"-",IF(AND($U$5=TRUE,$U$4=TRUE),"-",
IF((AND($U$4=TRUE,$U$5=FALSE,$U$6=FALSE,$U$7=FALSE)),VLOOKUP($E19,'Status Thresholds'!$E:$AR,3,FALSE),IF((AND($U$4=TRUE,$U$5=FALSE,$U$6=TRUE,$U$7=FALSE)),VLOOKUP($E19,'Status Thresholds'!$E:$AR,13,FALSE),IF((AND($U$4=TRUE,$U$5=FALSE,$U$6=TRUE,$U$7=TRUE)),VLOOKUP($E19,'Status Thresholds'!$E:$AR,18,FALSE),IF((AND($U$4=TRUE,$U$5=FALSE,$U$6=FALSE,$U$7=TRUE)),VLOOKUP($E19,'Status Thresholds'!$E:$AR,8,FALSE),
IF((AND($U$4=FALSE,$U$5=TRUE,$U$6=FALSE,$U$7=FALSE)),VLOOKUP($E19,'Status Thresholds'!$E:$AR,23,FALSE),IF((AND($U$4=FALSE,$U$5=TRUE,$U$6=TRUE,$U$7=FALSE)),VLOOKUP($E19,'Status Thresholds'!$E:$AR,33,FALSE),IF((AND($U$4=FALSE,$U$5=TRUE,$U$6=TRUE,$U$7=TRUE)),VLOOKUP($E19,'Status Thresholds'!$E:$AR,38,FALSE),IF((AND($U$4=FALSE,$U$5=TRUE,$U$6=FALSE,$U$7=TRUE)),VLOOKUP($E19,'Status Thresholds'!$E:$AR,28,FALSE)))))))))
))/
IF(OR($X$5=TRUE,$AC$3=TRUE
),($F$3/2), IF(OR($X$2,$X$3,$X$4,$X$6,$X$7,$X$8,$Z$2,$Z$3,$Z$4,$Z$5,$Z$6,$Z$7,$Z$8)=TRUE,$F$3)),0),"-")</f>
        <v>-</v>
      </c>
      <c r="H19" s="36" t="str">
        <f>IFERROR(
ROUNDUP(
IF(AND($U$5=FALSE,$U$4=FALSE),"-",IF(AND($U$5=TRUE,$U$4=TRUE),"-",
IF((AND($U$4=TRUE,$U$5=FALSE,$U$6=FALSE,$U$7=FALSE)),VLOOKUP($E19,'Status Thresholds'!$E:$AR,4,FALSE),IF((AND($U$4=TRUE,$U$5=FALSE,$U$6=TRUE,$U$7=FALSE)),VLOOKUP($E19,'Status Thresholds'!$E:$AR,14,FALSE),IF((AND($U$4=TRUE,$U$5=FALSE,$U$6=TRUE,$U$7=TRUE)),VLOOKUP($E19,'Status Thresholds'!$E:$AR,19,FALSE),IF((AND($U$4=TRUE,$U$5=FALSE,$U$6=FALSE,$U$7=TRUE)),VLOOKUP($E19,'Status Thresholds'!$E:$AR,9,FALSE),
IF((AND($U$4=FALSE,$U$5=TRUE,$U$6=FALSE,$U$7=FALSE)),VLOOKUP($E19,'Status Thresholds'!$E:$AR,24,FALSE),IF((AND($U$4=FALSE,$U$5=TRUE,$U$6=TRUE,$U$7=FALSE)),VLOOKUP($E19,'Status Thresholds'!$E:$AR,34,FALSE),IF((AND($U$4=FALSE,$U$5=TRUE,$U$6=TRUE,$U$7=TRUE)),VLOOKUP($E19,'Status Thresholds'!$E:$AR,39,FALSE),IF((AND($U$4=FALSE,$U$5=TRUE,$U$6=FALSE,$U$7=TRUE)),VLOOKUP($E19,'Status Thresholds'!$E:$AR,29,FALSE)))))))))
))/
IF(OR($X$5=TRUE,$AC$3=TRUE
),($F$3/2), IF(OR($X$2,$X$3,$X$4,$X$6,$X$7,$X$8,$Z$2,$Z$3,$Z$4,$Z$5,$Z$6,$Z$7,$Z$8)=TRUE,$F$3)),0),"-")</f>
        <v>-</v>
      </c>
      <c r="I19" s="36" t="str">
        <f>IFERROR(
ROUNDUP(
IF(AND($U$5=FALSE,$U$4=FALSE),"-",IF(AND($U$5=TRUE,$U$4=TRUE),"-",
IF((AND($U$4=TRUE,$U$5=FALSE,$U$6=FALSE,$U$7=FALSE)),VLOOKUP($E19,'Status Thresholds'!$E:$AR,5,FALSE),IF((AND($U$4=TRUE,$U$5=FALSE,$U$6=TRUE,$U$7=FALSE)),VLOOKUP($E19,'Status Thresholds'!$E:$AR,15,FALSE),IF((AND($U$4=TRUE,$U$5=FALSE,$U$6=TRUE,$U$7=TRUE)),VLOOKUP($E19,'Status Thresholds'!$E:$AR,20,FALSE),IF((AND($U$4=TRUE,$U$5=FALSE,$U$6=FALSE,$U$7=TRUE)),VLOOKUP($E19,'Status Thresholds'!$E:$AR,10,FALSE),
IF((AND($U$4=FALSE,$U$5=TRUE,$U$6=FALSE,$U$7=FALSE)),VLOOKUP($E19,'Status Thresholds'!$E:$AR,25,FALSE),IF((AND($U$4=FALSE,$U$5=TRUE,$U$6=TRUE,$U$7=FALSE)),VLOOKUP($E19,'Status Thresholds'!$E:$AR,35,FALSE),IF((AND($U$4=FALSE,$U$5=TRUE,$U$6=TRUE,$U$7=TRUE)),VLOOKUP($E19,'Status Thresholds'!$E:$AR,40,FALSE),IF((AND($U$4=FALSE,$U$5=TRUE,$U$6=FALSE,$U$7=TRUE)),VLOOKUP($E19,'Status Thresholds'!$E:$AR,30,FALSE)))))))))
))/
IF(OR($X$5=TRUE,$AC$3=TRUE
),($F$3/2), IF(OR($X$2,$X$3,$X$4,$X$6,$X$7,$X$8,$Z$2,$Z$3,$Z$4,$Z$5,$Z$6,$Z$7,$Z$8)=TRUE,$F$3)),0),"-")</f>
        <v>-</v>
      </c>
      <c r="J19" s="36">
        <f>IFERROR(IF(AND($U$5=FALSE,$U$4=FALSE),"-",VLOOKUP($E19,'Status Thresholds'!$E:$AU,41,FALSE)),"-")</f>
        <v>5</v>
      </c>
      <c r="K19" s="36" t="str">
        <f>IFERROR(IF(AND($U$5=FALSE,$U$4=FALSE),"-",VLOOKUP($E19,'Status Thresholds'!$E:$AU,42,FALSE)),"-")</f>
        <v>-</v>
      </c>
      <c r="L19" s="36" t="str">
        <f>IFERROR(IF(AND($U$5=FALSE,$U$4=FALSE),"-",VLOOKUP($E19,'Status Thresholds'!$E:$AU,43,FALSE)),"-")</f>
        <v>-</v>
      </c>
    </row>
    <row r="20" spans="1:12" x14ac:dyDescent="0.25">
      <c r="A20" s="35"/>
      <c r="B20" s="64" t="str">
        <f>VLOOKUP(C20,'Status Thresholds'!B:C,2,FALSE)</f>
        <v>MHGU</v>
      </c>
      <c r="C20" s="64" t="str">
        <f>IF('Status Thresholds'!B15=0, "", 'Status Thresholds'!B15)</f>
        <v>Ahtal-Ka</v>
      </c>
      <c r="D20" s="31" t="s">
        <v>32</v>
      </c>
      <c r="E20" s="36" t="str">
        <f t="shared" si="0"/>
        <v>Ahtal-KaSleep</v>
      </c>
      <c r="F20" s="36" t="str">
        <f>IFERROR(
ROUNDUP(
IF(AND($U$5=FALSE,$U$4=FALSE),"-",IF(AND($U$5=TRUE,$U$4=TRUE),"-",
IF((AND($U$4=TRUE,$U$5=FALSE,$U$6=FALSE,$U$7=FALSE)),VLOOKUP($E20,'Status Thresholds'!$E:$AR,2,FALSE),IF((AND($U$4=TRUE,$U$5=FALSE,$U$6=TRUE,$U$7=FALSE)),VLOOKUP($E20,'Status Thresholds'!$E:$AR,12,FALSE),IF((AND($U$4=TRUE,$U$5=FALSE,$U$6=TRUE,$U$7=TRUE)),VLOOKUP($E20,'Status Thresholds'!$E:$AR,17,FALSE),IF((AND($U$4=TRUE,$U$5=FALSE,$U$6=FALSE,$U$7=TRUE)),VLOOKUP($E20,'Status Thresholds'!$E:$AR,7,FALSE),
IF((AND($U$4=FALSE,$U$5=TRUE,$U$6=FALSE,$U$7=FALSE)),VLOOKUP($E20,'Status Thresholds'!$E:$AR,22,FALSE),IF((AND($U$4=FALSE,$U$5=TRUE,$U$6=TRUE,$U$7=FALSE)),VLOOKUP($E20,'Status Thresholds'!$E:$AR,32,FALSE),IF((AND($U$4=FALSE,$U$5=TRUE,$U$6=TRUE,$U$7=TRUE)),VLOOKUP($E20,'Status Thresholds'!$E:$AR,37,FALSE),IF((AND($U$4=FALSE,$U$5=TRUE,$U$6=FALSE,$U$7=TRUE)),VLOOKUP($E20,'Status Thresholds'!$E:$AR,27,FALSE)))))))))
))/
IF(OR($X$5=TRUE,$AC$3=TRUE
),($F$4/2), IF(OR($X$2,$X$3,$X$4,$X$6,$X$7,$X$8,$Z$2,$Z$3,$Z$4,$Z$5,$Z$6,$Z$7,$Z$8)=TRUE,$F$4)),0),"-")</f>
        <v>-</v>
      </c>
      <c r="G20" s="36" t="str">
        <f>IFERROR(
ROUNDUP(
IF(AND($U$5=FALSE,$U$4=FALSE),"-",IF(AND($U$5=TRUE,$U$4=TRUE),"-",
IF((AND($U$4=TRUE,$U$5=FALSE,$U$6=FALSE,$U$7=FALSE)),VLOOKUP($E20,'Status Thresholds'!$E:$AR,3,FALSE),IF((AND($U$4=TRUE,$U$5=FALSE,$U$6=TRUE,$U$7=FALSE)),VLOOKUP($E20,'Status Thresholds'!$E:$AR,13,FALSE),IF((AND($U$4=TRUE,$U$5=FALSE,$U$6=TRUE,$U$7=TRUE)),VLOOKUP($E20,'Status Thresholds'!$E:$AR,18,FALSE),IF((AND($U$4=TRUE,$U$5=FALSE,$U$6=FALSE,$U$7=TRUE)),VLOOKUP($E20,'Status Thresholds'!$E:$AR,8,FALSE),
IF((AND($U$4=FALSE,$U$5=TRUE,$U$6=FALSE,$U$7=FALSE)),VLOOKUP($E20,'Status Thresholds'!$E:$AR,23,FALSE),IF((AND($U$4=FALSE,$U$5=TRUE,$U$6=TRUE,$U$7=FALSE)),VLOOKUP($E20,'Status Thresholds'!$E:$AR,33,FALSE),IF((AND($U$4=FALSE,$U$5=TRUE,$U$6=TRUE,$U$7=TRUE)),VLOOKUP($E20,'Status Thresholds'!$E:$AR,38,FALSE),IF((AND($U$4=FALSE,$U$5=TRUE,$U$6=FALSE,$U$7=TRUE)),VLOOKUP($E20,'Status Thresholds'!$E:$AR,28,FALSE)))))))))
))/
IF(OR($X$5=TRUE,$AC$3=TRUE
),($F$4/2), IF(OR($X$2,$X$3,$X$4,$X$6,$X$7,$X$8,$Z$2,$Z$3,$Z$4,$Z$5,$Z$6,$Z$7,$Z$8)=TRUE,$F$4)),0),"-")</f>
        <v>-</v>
      </c>
      <c r="H20" s="36" t="str">
        <f>IFERROR(
ROUNDUP(
IF(AND($U$5=FALSE,$U$4=FALSE),"-",IF(AND($U$5=TRUE,$U$4=TRUE),"-",
IF((AND($U$4=TRUE,$U$5=FALSE,$U$6=FALSE,$U$7=FALSE)),VLOOKUP($E20,'Status Thresholds'!$E:$AR,4,FALSE),IF((AND($U$4=TRUE,$U$5=FALSE,$U$6=TRUE,$U$7=FALSE)),VLOOKUP($E20,'Status Thresholds'!$E:$AR,14,FALSE),IF((AND($U$4=TRUE,$U$5=FALSE,$U$6=TRUE,$U$7=TRUE)),VLOOKUP($E20,'Status Thresholds'!$E:$AR,19,FALSE),IF((AND($U$4=TRUE,$U$5=FALSE,$U$6=FALSE,$U$7=TRUE)),VLOOKUP($E20,'Status Thresholds'!$E:$AR,9,FALSE),
IF((AND($U$4=FALSE,$U$5=TRUE,$U$6=FALSE,$U$7=FALSE)),VLOOKUP($E20,'Status Thresholds'!$E:$AR,24,FALSE),IF((AND($U$4=FALSE,$U$5=TRUE,$U$6=TRUE,$U$7=FALSE)),VLOOKUP($E20,'Status Thresholds'!$E:$AR,34,FALSE),IF((AND($U$4=FALSE,$U$5=TRUE,$U$6=TRUE,$U$7=TRUE)),VLOOKUP($E20,'Status Thresholds'!$E:$AR,39,FALSE),IF((AND($U$4=FALSE,$U$5=TRUE,$U$6=FALSE,$U$7=TRUE)),VLOOKUP($E20,'Status Thresholds'!$E:$AR,29,FALSE)))))))))
))/
IF(OR($X$5=TRUE,$AC$3=TRUE
),($F$4/2), IF(OR($X$2,$X$3,$X$4,$X$6,$X$7,$X$8,$Z$2,$Z$3,$Z$4,$Z$5,$Z$6,$Z$7,$Z$8)=TRUE,$F$4)),0),"-")</f>
        <v>-</v>
      </c>
      <c r="I20" s="36" t="str">
        <f>IFERROR(
ROUNDUP(
IF(AND($U$5=FALSE,$U$4=FALSE),"-",IF(AND($U$5=TRUE,$U$4=TRUE),"-",
IF((AND($U$4=TRUE,$U$5=FALSE,$U$6=FALSE,$U$7=FALSE)),VLOOKUP($E20,'Status Thresholds'!$E:$AR,5,FALSE),IF((AND($U$4=TRUE,$U$5=FALSE,$U$6=TRUE,$U$7=FALSE)),VLOOKUP($E20,'Status Thresholds'!$E:$AR,15,FALSE),IF((AND($U$4=TRUE,$U$5=FALSE,$U$6=TRUE,$U$7=TRUE)),VLOOKUP($E20,'Status Thresholds'!$E:$AR,20,FALSE),IF((AND($U$4=TRUE,$U$5=FALSE,$U$6=FALSE,$U$7=TRUE)),VLOOKUP($E20,'Status Thresholds'!$E:$AR,10,FALSE),
IF((AND($U$4=FALSE,$U$5=TRUE,$U$6=FALSE,$U$7=FALSE)),VLOOKUP($E20,'Status Thresholds'!$E:$AR,25,FALSE),IF((AND($U$4=FALSE,$U$5=TRUE,$U$6=TRUE,$U$7=FALSE)),VLOOKUP($E20,'Status Thresholds'!$E:$AR,35,FALSE),IF((AND($U$4=FALSE,$U$5=TRUE,$U$6=TRUE,$U$7=TRUE)),VLOOKUP($E20,'Status Thresholds'!$E:$AR,40,FALSE),IF((AND($U$4=FALSE,$U$5=TRUE,$U$6=FALSE,$U$7=TRUE)),VLOOKUP($E20,'Status Thresholds'!$E:$AR,30,FALSE)))))))))
))/
IF(OR($X$5=TRUE,$AC$3=TRUE
),($F$4/2), IF(OR($X$2,$X$3,$X$4,$X$6,$X$7,$X$8,$Z$2,$Z$3,$Z$4,$Z$5,$Z$6,$Z$7,$Z$8)=TRUE,$F$4)),0),"-")</f>
        <v>-</v>
      </c>
      <c r="J20" s="46">
        <f>IFERROR(IF(AND($U$5=FALSE,$U$4=FALSE),"-",VLOOKUP($E20,'Status Thresholds'!$E:$AU,41,FALSE)),"-")</f>
        <v>60</v>
      </c>
      <c r="K20" s="46" t="str">
        <f>IFERROR(IF(AND($U$5=FALSE,$U$4=FALSE),"-",VLOOKUP($E20,'Status Thresholds'!$E:$AU,42,FALSE)),"-")</f>
        <v>-</v>
      </c>
      <c r="L20" s="46" t="str">
        <f>IFERROR(IF(AND($U$5=FALSE,$U$4=FALSE),"-",VLOOKUP($E20,'Status Thresholds'!$E:$AU,43,FALSE)),"-")</f>
        <v>-</v>
      </c>
    </row>
    <row r="21" spans="1:12" x14ac:dyDescent="0.25">
      <c r="A21" s="35"/>
      <c r="B21" s="64" t="str">
        <f>VLOOKUP(C21,'Status Thresholds'!B:C,2,FALSE)</f>
        <v>MHGU</v>
      </c>
      <c r="C21" s="64" t="str">
        <f>IF('Status Thresholds'!B16=0, "", 'Status Thresholds'!B16)</f>
        <v>Ahtal-Ka</v>
      </c>
      <c r="D21" s="32" t="s">
        <v>33</v>
      </c>
      <c r="E21" s="36" t="str">
        <f t="shared" si="0"/>
        <v>Ahtal-KaPoison</v>
      </c>
      <c r="F21" s="36" t="str">
        <f>IFERROR(
ROUNDUP(
IF(AND($U$5=FALSE,$U$4=FALSE),"-",IF(AND($U$5=TRUE,$U$4=TRUE),"-",
IF((AND($U$4=TRUE,$U$5=FALSE,$U$6=FALSE,$U$7=FALSE)),VLOOKUP($E21,'Status Thresholds'!$E:$AR,2,FALSE),IF((AND($U$4=TRUE,$U$5=FALSE,$U$6=TRUE,$U$7=FALSE)),VLOOKUP($E21,'Status Thresholds'!$E:$AR,12,FALSE),IF((AND($U$4=TRUE,$U$5=FALSE,$U$6=TRUE,$U$7=TRUE)),VLOOKUP($E21,'Status Thresholds'!$E:$AR,17,FALSE),IF((AND($U$4=TRUE,$U$5=FALSE,$U$6=FALSE,$U$7=TRUE)),VLOOKUP($E21,'Status Thresholds'!$E:$AR,7,FALSE),
IF((AND($U$4=FALSE,$U$5=TRUE,$U$6=FALSE,$U$7=FALSE)),VLOOKUP($E21,'Status Thresholds'!$E:$AR,22,FALSE),IF((AND($U$4=FALSE,$U$5=TRUE,$U$6=TRUE,$U$7=FALSE)),VLOOKUP($E21,'Status Thresholds'!$E:$AR,32,FALSE),IF((AND($U$4=FALSE,$U$5=TRUE,$U$6=TRUE,$U$7=TRUE)),VLOOKUP($E21,'Status Thresholds'!$E:$AR,37,FALSE),IF((AND($U$4=FALSE,$U$5=TRUE,$U$6=FALSE,$U$7=TRUE)),VLOOKUP($E21,'Status Thresholds'!$E:$AR,27,FALSE)))))))))
))/
IF(OR($X$5=TRUE,$AC$3=TRUE
),($F$5/2), IF(OR($X$2,$X$3,$X$4,$X$6,$X$7,$X$8,$Z$2,$Z$3,$Z$4,$Z$5,$Z$6,$Z$7,$Z$8)=TRUE,$F$5)),0),"-")</f>
        <v>-</v>
      </c>
      <c r="G21" s="36" t="str">
        <f>IFERROR(
ROUNDUP(
IF(AND($U$5=FALSE,$U$4=FALSE),"-",IF(AND($U$5=TRUE,$U$4=TRUE),"-",
IF((AND($U$4=TRUE,$U$5=FALSE,$U$6=FALSE,$U$7=FALSE)),VLOOKUP($E21,'Status Thresholds'!$E:$AR,3,FALSE),IF((AND($U$4=TRUE,$U$5=FALSE,$U$6=TRUE,$U$7=FALSE)),VLOOKUP($E21,'Status Thresholds'!$E:$AR,13,FALSE),IF((AND($U$4=TRUE,$U$5=FALSE,$U$6=TRUE,$U$7=TRUE)),VLOOKUP($E21,'Status Thresholds'!$E:$AR,18,FALSE),IF((AND($U$4=TRUE,$U$5=FALSE,$U$6=FALSE,$U$7=TRUE)),VLOOKUP($E21,'Status Thresholds'!$E:$AR,8,FALSE),
IF((AND($U$4=FALSE,$U$5=TRUE,$U$6=FALSE,$U$7=FALSE)),VLOOKUP($E21,'Status Thresholds'!$E:$AR,23,FALSE),IF((AND($U$4=FALSE,$U$5=TRUE,$U$6=TRUE,$U$7=FALSE)),VLOOKUP($E21,'Status Thresholds'!$E:$AR,33,FALSE),IF((AND($U$4=FALSE,$U$5=TRUE,$U$6=TRUE,$U$7=TRUE)),VLOOKUP($E21,'Status Thresholds'!$E:$AR,38,FALSE),IF((AND($U$4=FALSE,$U$5=TRUE,$U$6=FALSE,$U$7=TRUE)),VLOOKUP($E21,'Status Thresholds'!$E:$AR,28,FALSE)))))))))
))/
IF(OR($X$5=TRUE,$AC$3=TRUE
),($F$5/2), IF(OR($X$2,$X$3,$X$4,$X$6,$X$7,$X$8,$Z$2,$Z$3,$Z$4,$Z$5,$Z$6,$Z$7,$Z$8)=TRUE,$F$5)),0),"-")</f>
        <v>-</v>
      </c>
      <c r="H21" s="36" t="str">
        <f>IFERROR(
ROUNDUP(
IF(AND($U$5=FALSE,$U$4=FALSE),"-",IF(AND($U$5=TRUE,$U$4=TRUE),"-",
IF((AND($U$4=TRUE,$U$5=FALSE,$U$6=FALSE,$U$7=FALSE)),VLOOKUP($E21,'Status Thresholds'!$E:$AR,4,FALSE),IF((AND($U$4=TRUE,$U$5=FALSE,$U$6=TRUE,$U$7=FALSE)),VLOOKUP($E21,'Status Thresholds'!$E:$AR,14,FALSE),IF((AND($U$4=TRUE,$U$5=FALSE,$U$6=TRUE,$U$7=TRUE)),VLOOKUP($E21,'Status Thresholds'!$E:$AR,19,FALSE),IF((AND($U$4=TRUE,$U$5=FALSE,$U$6=FALSE,$U$7=TRUE)),VLOOKUP($E21,'Status Thresholds'!$E:$AR,9,FALSE),
IF((AND($U$4=FALSE,$U$5=TRUE,$U$6=FALSE,$U$7=FALSE)),VLOOKUP($E21,'Status Thresholds'!$E:$AR,24,FALSE),IF((AND($U$4=FALSE,$U$5=TRUE,$U$6=TRUE,$U$7=FALSE)),VLOOKUP($E21,'Status Thresholds'!$E:$AR,34,FALSE),IF((AND($U$4=FALSE,$U$5=TRUE,$U$6=TRUE,$U$7=TRUE)),VLOOKUP($E21,'Status Thresholds'!$E:$AR,39,FALSE),IF((AND($U$4=FALSE,$U$5=TRUE,$U$6=FALSE,$U$7=TRUE)),VLOOKUP($E21,'Status Thresholds'!$E:$AR,29,FALSE)))))))))
))/
IF(OR($X$5=TRUE,$AC$3=TRUE
),($F$5/2), IF(OR($X$2,$X$3,$X$4,$X$6,$X$7,$X$8,$Z$2,$Z$3,$Z$4,$Z$5,$Z$6,$Z$7,$Z$8)=TRUE,$F$5)),0),"-")</f>
        <v>-</v>
      </c>
      <c r="I21" s="36" t="str">
        <f>IFERROR(
ROUNDUP(
IF(AND($U$5=FALSE,$U$4=FALSE),"-",IF(AND($U$5=TRUE,$U$4=TRUE),"-",
IF((AND($U$4=TRUE,$U$5=FALSE,$U$6=FALSE,$U$7=FALSE)),VLOOKUP($E21,'Status Thresholds'!$E:$AR,5,FALSE),IF((AND($U$4=TRUE,$U$5=FALSE,$U$6=TRUE,$U$7=FALSE)),VLOOKUP($E21,'Status Thresholds'!$E:$AR,15,FALSE),IF((AND($U$4=TRUE,$U$5=FALSE,$U$6=TRUE,$U$7=TRUE)),VLOOKUP($E21,'Status Thresholds'!$E:$AR,20,FALSE),IF((AND($U$4=TRUE,$U$5=FALSE,$U$6=FALSE,$U$7=TRUE)),VLOOKUP($E21,'Status Thresholds'!$E:$AR,10,FALSE),
IF((AND($U$4=FALSE,$U$5=TRUE,$U$6=FALSE,$U$7=FALSE)),VLOOKUP($E21,'Status Thresholds'!$E:$AR,25,FALSE),IF((AND($U$4=FALSE,$U$5=TRUE,$U$6=TRUE,$U$7=FALSE)),VLOOKUP($E21,'Status Thresholds'!$E:$AR,35,FALSE),IF((AND($U$4=FALSE,$U$5=TRUE,$U$6=TRUE,$U$7=TRUE)),VLOOKUP($E21,'Status Thresholds'!$E:$AR,40,FALSE),IF((AND($U$4=FALSE,$U$5=TRUE,$U$6=FALSE,$U$7=TRUE)),VLOOKUP($E21,'Status Thresholds'!$E:$AR,30,FALSE)))))))))
))/
IF(OR($X$5=TRUE,$AC$3=TRUE
),($F$5/2), IF(OR($X$2,$X$3,$X$4,$X$6,$X$7,$X$8,$Z$2,$Z$3,$Z$4,$Z$5,$Z$6,$Z$7,$Z$8)=TRUE,$F$5)),0),"-")</f>
        <v>-</v>
      </c>
      <c r="J21" s="46">
        <f>IFERROR(IF(AND($U$5=FALSE,$U$4=FALSE),"-",VLOOKUP($E21,'Status Thresholds'!$E:$AU,41,FALSE)),"-")</f>
        <v>30</v>
      </c>
      <c r="K21" s="46" t="str">
        <f>IFERROR(IF(AND($U$5=FALSE,$U$4=FALSE),"-",VLOOKUP($E21,'Status Thresholds'!$E:$AU,42,FALSE)),"-")</f>
        <v>-</v>
      </c>
      <c r="L21" s="46" t="str">
        <f>IFERROR(IF(AND($U$5=FALSE,$U$4=FALSE),"-",VLOOKUP($E21,'Status Thresholds'!$E:$AU,43,FALSE)),"-")</f>
        <v>-</v>
      </c>
    </row>
    <row r="22" spans="1:12" x14ac:dyDescent="0.25">
      <c r="A22" s="35"/>
      <c r="B22" s="64" t="str">
        <f>VLOOKUP(C22,'Status Thresholds'!B:C,2,FALSE)</f>
        <v>MHGU</v>
      </c>
      <c r="C22" s="64" t="str">
        <f>IF('Status Thresholds'!B17=0, "", 'Status Thresholds'!B17)</f>
        <v>Ahtal-Ka</v>
      </c>
      <c r="D22" s="10" t="s">
        <v>22</v>
      </c>
      <c r="E22" s="36" t="str">
        <f t="shared" si="0"/>
        <v>Ahtal-KaExhaust</v>
      </c>
      <c r="F22" s="36" t="str">
        <f>IFERROR(
ROUNDUP(
IF(AND($U$5=FALSE,$U$4=FALSE),"-",IF(AND($U$5=TRUE,$U$4=TRUE),"-",
IF((AND($U$4=TRUE,$U$5=FALSE,$U$6=FALSE,$U$7=FALSE)),VLOOKUP($E22,'Status Thresholds'!$E:$AR,2,FALSE),IF((AND($U$4=TRUE,$U$5=FALSE,$U$6=TRUE,$U$7=FALSE)),VLOOKUP($E22,'Status Thresholds'!$E:$AR,12,FALSE),IF((AND($U$4=TRUE,$U$5=FALSE,$U$6=TRUE,$U$7=TRUE)),VLOOKUP($E22,'Status Thresholds'!$E:$AR,17,FALSE),IF((AND($U$4=TRUE,$U$5=FALSE,$U$6=FALSE,$U$7=TRUE)),VLOOKUP($E22,'Status Thresholds'!$E:$AR,7,FALSE),
IF((AND($U$4=FALSE,$U$5=TRUE,$U$6=FALSE,$U$7=FALSE)),VLOOKUP($E22,'Status Thresholds'!$E:$AR,22,FALSE),IF((AND($U$4=FALSE,$U$5=TRUE,$U$6=TRUE,$U$7=FALSE)),VLOOKUP($E22,'Status Thresholds'!$E:$AR,32,FALSE),IF((AND($U$4=FALSE,$U$5=TRUE,$U$6=TRUE,$U$7=TRUE)),VLOOKUP($E22,'Status Thresholds'!$E:$AR,37,FALSE),IF((AND($U$4=FALSE,$U$5=TRUE,$U$6=FALSE,$U$7=TRUE)),VLOOKUP($E22,'Status Thresholds'!$E:$AR,27,FALSE)))))))))
))/
IF(OR($X$5=TRUE,$AC$3=TRUE
),($F$6/2), IF(OR($X$2,$X$3,$X$4,$X$6,$X$7,$X$8,$Z$2,$Z$3,$Z$4,$Z$5,$Z$6,$Z$7,$Z$8)=TRUE,$F$6)),0),"-")</f>
        <v>-</v>
      </c>
      <c r="G22" s="36" t="str">
        <f>IFERROR(
ROUNDUP(
IF(AND($U$5=FALSE,$U$4=FALSE),"-",IF(AND($U$5=TRUE,$U$4=TRUE),"-",
IF((AND($U$4=TRUE,$U$5=FALSE,$U$6=FALSE,$U$7=FALSE)),VLOOKUP($E22,'Status Thresholds'!$E:$AR,3,FALSE),IF((AND($U$4=TRUE,$U$5=FALSE,$U$6=TRUE,$U$7=FALSE)),VLOOKUP($E22,'Status Thresholds'!$E:$AR,13,FALSE),IF((AND($U$4=TRUE,$U$5=FALSE,$U$6=TRUE,$U$7=TRUE)),VLOOKUP($E22,'Status Thresholds'!$E:$AR,18,FALSE),IF((AND($U$4=TRUE,$U$5=FALSE,$U$6=FALSE,$U$7=TRUE)),VLOOKUP($E22,'Status Thresholds'!$E:$AR,8,FALSE),
IF((AND($U$4=FALSE,$U$5=TRUE,$U$6=FALSE,$U$7=FALSE)),VLOOKUP($E22,'Status Thresholds'!$E:$AR,23,FALSE),IF((AND($U$4=FALSE,$U$5=TRUE,$U$6=TRUE,$U$7=FALSE)),VLOOKUP($E22,'Status Thresholds'!$E:$AR,33,FALSE),IF((AND($U$4=FALSE,$U$5=TRUE,$U$6=TRUE,$U$7=TRUE)),VLOOKUP($E22,'Status Thresholds'!$E:$AR,38,FALSE),IF((AND($U$4=FALSE,$U$5=TRUE,$U$6=FALSE,$U$7=TRUE)),VLOOKUP($E22,'Status Thresholds'!$E:$AR,28,FALSE)))))))))
))/
IF(OR($X$5=TRUE,$AC$3=TRUE
),($F$6/2), IF(OR($X$2,$X$3,$X$4,$X$6,$X$7,$X$8,$Z$2,$Z$3,$Z$4,$Z$5,$Z$6,$Z$7,$Z$8)=TRUE,$F$6)),0),"-")</f>
        <v>-</v>
      </c>
      <c r="H22" s="36" t="str">
        <f>IFERROR(
ROUNDUP(
IF(AND($U$5=FALSE,$U$4=FALSE),"-",IF(AND($U$5=TRUE,$U$4=TRUE),"-",
IF((AND($U$4=TRUE,$U$5=FALSE,$U$6=FALSE,$U$7=FALSE)),VLOOKUP($E22,'Status Thresholds'!$E:$AR,4,FALSE),IF((AND($U$4=TRUE,$U$5=FALSE,$U$6=TRUE,$U$7=FALSE)),VLOOKUP($E22,'Status Thresholds'!$E:$AR,14,FALSE),IF((AND($U$4=TRUE,$U$5=FALSE,$U$6=TRUE,$U$7=TRUE)),VLOOKUP($E22,'Status Thresholds'!$E:$AR,19,FALSE),IF((AND($U$4=TRUE,$U$5=FALSE,$U$6=FALSE,$U$7=TRUE)),VLOOKUP($E22,'Status Thresholds'!$E:$AR,9,FALSE),
IF((AND($U$4=FALSE,$U$5=TRUE,$U$6=FALSE,$U$7=FALSE)),VLOOKUP($E22,'Status Thresholds'!$E:$AR,24,FALSE),IF((AND($U$4=FALSE,$U$5=TRUE,$U$6=TRUE,$U$7=FALSE)),VLOOKUP($E22,'Status Thresholds'!$E:$AR,34,FALSE),IF((AND($U$4=FALSE,$U$5=TRUE,$U$6=TRUE,$U$7=TRUE)),VLOOKUP($E22,'Status Thresholds'!$E:$AR,39,FALSE),IF((AND($U$4=FALSE,$U$5=TRUE,$U$6=FALSE,$U$7=TRUE)),VLOOKUP($E22,'Status Thresholds'!$E:$AR,29,FALSE)))))))))
))/
IF(OR($X$5=TRUE,$AC$3=TRUE
),($F$6/2), IF(OR($X$2,$X$3,$X$4,$X$6,$X$7,$X$8,$Z$2,$Z$3,$Z$4,$Z$5,$Z$6,$Z$7,$Z$8)=TRUE,$F$6)),0),"-")</f>
        <v>-</v>
      </c>
      <c r="I22" s="36" t="str">
        <f>IFERROR(
ROUNDUP(
IF(AND($U$5=FALSE,$U$4=FALSE),"-",IF(AND($U$5=TRUE,$U$4=TRUE),"-",
IF((AND($U$4=TRUE,$U$5=FALSE,$U$6=FALSE,$U$7=FALSE)),VLOOKUP($E22,'Status Thresholds'!$E:$AR,5,FALSE),IF((AND($U$4=TRUE,$U$5=FALSE,$U$6=TRUE,$U$7=FALSE)),VLOOKUP($E22,'Status Thresholds'!$E:$AR,15,FALSE),IF((AND($U$4=TRUE,$U$5=FALSE,$U$6=TRUE,$U$7=TRUE)),VLOOKUP($E22,'Status Thresholds'!$E:$AR,20,FALSE),IF((AND($U$4=TRUE,$U$5=FALSE,$U$6=FALSE,$U$7=TRUE)),VLOOKUP($E22,'Status Thresholds'!$E:$AR,10,FALSE),
IF((AND($U$4=FALSE,$U$5=TRUE,$U$6=FALSE,$U$7=FALSE)),VLOOKUP($E22,'Status Thresholds'!$E:$AR,25,FALSE),IF((AND($U$4=FALSE,$U$5=TRUE,$U$6=TRUE,$U$7=FALSE)),VLOOKUP($E22,'Status Thresholds'!$E:$AR,35,FALSE),IF((AND($U$4=FALSE,$U$5=TRUE,$U$6=TRUE,$U$7=TRUE)),VLOOKUP($E22,'Status Thresholds'!$E:$AR,40,FALSE),IF((AND($U$4=FALSE,$U$5=TRUE,$U$6=FALSE,$U$7=TRUE)),VLOOKUP($E22,'Status Thresholds'!$E:$AR,30,FALSE)))))))))
))/
IF(OR($X$5=TRUE,$AC$3=TRUE
),($F$6/2), IF(OR($X$2,$X$3,$X$4,$X$6,$X$7,$X$8,$Z$2,$Z$3,$Z$4,$Z$5,$Z$6,$Z$7,$Z$8)=TRUE,$F$6)),0),"-")</f>
        <v>-</v>
      </c>
      <c r="J22" s="46">
        <f>IFERROR(IF(AND($U$5=FALSE,$U$4=FALSE),"-",VLOOKUP($E22,'Status Thresholds'!$E:$AU,41,FALSE)),"-")</f>
        <v>0</v>
      </c>
      <c r="K22" s="46" t="str">
        <f>IFERROR(IF(AND($U$5=FALSE,$U$4=FALSE),"-",VLOOKUP($E22,'Status Thresholds'!$E:$AU,42,FALSE)),"-")</f>
        <v>-</v>
      </c>
      <c r="L22" s="46" t="str">
        <f>IFERROR(IF(AND($U$5=FALSE,$U$4=FALSE),"-",VLOOKUP($E22,'Status Thresholds'!$E:$AU,43,FALSE)),"-")</f>
        <v>-</v>
      </c>
    </row>
    <row r="23" spans="1:12" x14ac:dyDescent="0.25">
      <c r="A23" s="35"/>
      <c r="B23" s="64" t="str">
        <f>VLOOKUP(C23,'Status Thresholds'!B:C,2,FALSE)</f>
        <v>MHGU</v>
      </c>
      <c r="C23" s="64" t="str">
        <f>IF('Status Thresholds'!B18=0, "", 'Status Thresholds'!B18)</f>
        <v>Ahtal-Ka</v>
      </c>
      <c r="D23" s="30" t="s">
        <v>35</v>
      </c>
      <c r="E23" s="36" t="str">
        <f t="shared" si="0"/>
        <v>Ahtal-KaBlast</v>
      </c>
      <c r="F23" s="36" t="str">
        <f>IFERROR(
ROUNDUP(
IF(AND($U$5=FALSE,$U$4=FALSE),"-",IF(AND($U$5=TRUE,$U$4=TRUE),"-",
IF((AND($U$4=TRUE,$U$5=FALSE,$U$6=FALSE,$U$7=FALSE)),VLOOKUP($E23,'Status Thresholds'!$E:$AR,2,FALSE),IF((AND($U$4=TRUE,$U$5=FALSE,$U$6=TRUE,$U$7=FALSE)),VLOOKUP($E23,'Status Thresholds'!$E:$AR,12,FALSE),IF((AND($U$4=TRUE,$U$5=FALSE,$U$6=TRUE,$U$7=TRUE)),VLOOKUP($E23,'Status Thresholds'!$E:$AR,17,FALSE),IF((AND($U$4=TRUE,$U$5=FALSE,$U$6=FALSE,$U$7=TRUE)),VLOOKUP($E23,'Status Thresholds'!$E:$AR,7,FALSE),
IF((AND($U$4=FALSE,$U$5=TRUE,$U$6=FALSE,$U$7=FALSE)),VLOOKUP($E23,'Status Thresholds'!$E:$AR,22,FALSE),IF((AND($U$4=FALSE,$U$5=TRUE,$U$6=TRUE,$U$7=FALSE)),VLOOKUP($E23,'Status Thresholds'!$E:$AR,32,FALSE),IF((AND($U$4=FALSE,$U$5=TRUE,$U$6=TRUE,$U$7=TRUE)),VLOOKUP($E23,'Status Thresholds'!$E:$AR,37,FALSE),IF((AND($U$4=FALSE,$U$5=TRUE,$U$6=FALSE,$U$7=TRUE)),VLOOKUP($E23,'Status Thresholds'!$E:$AR,27,FALSE)))))))))
))/
IF(OR($X$5=TRUE,$AC$3=TRUE
),($F$7/2), IF(OR($X$2,$X$3,$X$4,$X$6,$X$7,$X$8,$Z$2,$Z$3,$Z$4,$Z$5,$Z$6,$Z$7,$Z$8)=TRUE,$F$7)),0),"-")</f>
        <v>-</v>
      </c>
      <c r="G23" s="36" t="str">
        <f>IFERROR(
ROUNDUP(
IF(AND($U$5=FALSE,$U$4=FALSE),"-",IF(AND($U$5=TRUE,$U$4=TRUE),"-",
IF((AND($U$4=TRUE,$U$5=FALSE,$U$6=FALSE,$U$7=FALSE)),VLOOKUP($E23,'Status Thresholds'!$E:$AR,3,FALSE),IF((AND($U$4=TRUE,$U$5=FALSE,$U$6=TRUE,$U$7=FALSE)),VLOOKUP($E23,'Status Thresholds'!$E:$AR,13,FALSE),IF((AND($U$4=TRUE,$U$5=FALSE,$U$6=TRUE,$U$7=TRUE)),VLOOKUP($E23,'Status Thresholds'!$E:$AR,18,FALSE),IF((AND($U$4=TRUE,$U$5=FALSE,$U$6=FALSE,$U$7=TRUE)),VLOOKUP($E23,'Status Thresholds'!$E:$AR,8,FALSE),
IF((AND($U$4=FALSE,$U$5=TRUE,$U$6=FALSE,$U$7=FALSE)),VLOOKUP($E23,'Status Thresholds'!$E:$AR,23,FALSE),IF((AND($U$4=FALSE,$U$5=TRUE,$U$6=TRUE,$U$7=FALSE)),VLOOKUP($E23,'Status Thresholds'!$E:$AR,33,FALSE),IF((AND($U$4=FALSE,$U$5=TRUE,$U$6=TRUE,$U$7=TRUE)),VLOOKUP($E23,'Status Thresholds'!$E:$AR,38,FALSE),IF((AND($U$4=FALSE,$U$5=TRUE,$U$6=FALSE,$U$7=TRUE)),VLOOKUP($E23,'Status Thresholds'!$E:$AR,28,FALSE)))))))))
))/
IF(OR($X$5=TRUE,$AC$3=TRUE
),($F$7/2), IF(OR($X$2,$X$3,$X$4,$X$6,$X$7,$X$8,$Z$2,$Z$3,$Z$4,$Z$5,$Z$6,$Z$7,$Z$8)=TRUE,$F$7)),0),"-")</f>
        <v>-</v>
      </c>
      <c r="H23" s="36" t="str">
        <f>IFERROR(
ROUNDUP(
IF(AND($U$5=FALSE,$U$4=FALSE),"-",IF(AND($U$5=TRUE,$U$4=TRUE),"-",
IF((AND($U$4=TRUE,$U$5=FALSE,$U$6=FALSE,$U$7=FALSE)),VLOOKUP($E23,'Status Thresholds'!$E:$AR,4,FALSE),IF((AND($U$4=TRUE,$U$5=FALSE,$U$6=TRUE,$U$7=FALSE)),VLOOKUP($E23,'Status Thresholds'!$E:$AR,14,FALSE),IF((AND($U$4=TRUE,$U$5=FALSE,$U$6=TRUE,$U$7=TRUE)),VLOOKUP($E23,'Status Thresholds'!$E:$AR,19,FALSE),IF((AND($U$4=TRUE,$U$5=FALSE,$U$6=FALSE,$U$7=TRUE)),VLOOKUP($E23,'Status Thresholds'!$E:$AR,9,FALSE),
IF((AND($U$4=FALSE,$U$5=TRUE,$U$6=FALSE,$U$7=FALSE)),VLOOKUP($E23,'Status Thresholds'!$E:$AR,24,FALSE),IF((AND($U$4=FALSE,$U$5=TRUE,$U$6=TRUE,$U$7=FALSE)),VLOOKUP($E23,'Status Thresholds'!$E:$AR,34,FALSE),IF((AND($U$4=FALSE,$U$5=TRUE,$U$6=TRUE,$U$7=TRUE)),VLOOKUP($E23,'Status Thresholds'!$E:$AR,39,FALSE),IF((AND($U$4=FALSE,$U$5=TRUE,$U$6=FALSE,$U$7=TRUE)),VLOOKUP($E23,'Status Thresholds'!$E:$AR,29,FALSE)))))))))
))/
IF(OR($X$5=TRUE,$AC$3=TRUE
),($F$7/2), IF(OR($X$2,$X$3,$X$4,$X$6,$X$7,$X$8,$Z$2,$Z$3,$Z$4,$Z$5,$Z$6,$Z$7,$Z$8)=TRUE,$F$7)),0),"-")</f>
        <v>-</v>
      </c>
      <c r="I23" s="36" t="str">
        <f>IFERROR(
ROUNDUP(
IF(AND($U$5=FALSE,$U$4=FALSE),"-",IF(AND($U$5=TRUE,$U$4=TRUE),"-",
IF((AND($U$4=TRUE,$U$5=FALSE,$U$6=FALSE,$U$7=FALSE)),VLOOKUP($E23,'Status Thresholds'!$E:$AR,5,FALSE),IF((AND($U$4=TRUE,$U$5=FALSE,$U$6=TRUE,$U$7=FALSE)),VLOOKUP($E23,'Status Thresholds'!$E:$AR,15,FALSE),IF((AND($U$4=TRUE,$U$5=FALSE,$U$6=TRUE,$U$7=TRUE)),VLOOKUP($E23,'Status Thresholds'!$E:$AR,20,FALSE),IF((AND($U$4=TRUE,$U$5=FALSE,$U$6=FALSE,$U$7=TRUE)),VLOOKUP($E23,'Status Thresholds'!$E:$AR,10,FALSE),
IF((AND($U$4=FALSE,$U$5=TRUE,$U$6=FALSE,$U$7=FALSE)),VLOOKUP($E23,'Status Thresholds'!$E:$AR,25,FALSE),IF((AND($U$4=FALSE,$U$5=TRUE,$U$6=TRUE,$U$7=FALSE)),VLOOKUP($E23,'Status Thresholds'!$E:$AR,35,FALSE),IF((AND($U$4=FALSE,$U$5=TRUE,$U$6=TRUE,$U$7=TRUE)),VLOOKUP($E23,'Status Thresholds'!$E:$AR,40,FALSE),IF((AND($U$4=FALSE,$U$5=TRUE,$U$6=FALSE,$U$7=TRUE)),VLOOKUP($E23,'Status Thresholds'!$E:$AR,30,FALSE)))))))))
))/
IF(OR($X$5=TRUE,$AC$3=TRUE
),($F$7/2), IF(OR($X$2,$X$3,$X$4,$X$6,$X$7,$X$8,$Z$2,$Z$3,$Z$4,$Z$5,$Z$6,$Z$7,$Z$8)=TRUE,$F$7)),0),"-")</f>
        <v>-</v>
      </c>
      <c r="J23" s="46">
        <f>IFERROR(IF(AND($U$5=FALSE,$U$4=FALSE),"-",VLOOKUP($E23,'Status Thresholds'!$E:$AU,41,FALSE)),"-")</f>
        <v>0</v>
      </c>
      <c r="K23" s="46" t="str">
        <f>IFERROR(IF(AND($U$5=FALSE,$U$4=FALSE),"-",VLOOKUP($E23,'Status Thresholds'!$E:$AU,42,FALSE)),"-")</f>
        <v>-</v>
      </c>
      <c r="L23" s="46" t="str">
        <f>IFERROR(IF(AND($U$5=FALSE,$U$4=FALSE),"-",VLOOKUP($E23,'Status Thresholds'!$E:$AU,43,FALSE)),"-")</f>
        <v>-</v>
      </c>
    </row>
    <row r="24" spans="1:12" ht="14.45" customHeight="1" x14ac:dyDescent="0.25">
      <c r="A24" s="35"/>
      <c r="B24" s="64" t="str">
        <f>VLOOKUP(C24,'Status Thresholds'!B:C,2,FALSE)</f>
        <v>MHGU</v>
      </c>
      <c r="C24" s="64" t="str">
        <f>IF('Status Thresholds'!B19=0, "", 'Status Thresholds'!B19)</f>
        <v>Ahtal-Ka</v>
      </c>
      <c r="D24" s="34" t="s">
        <v>14</v>
      </c>
      <c r="E24" s="36" t="str">
        <f t="shared" si="0"/>
        <v>Ahtal-KaKO</v>
      </c>
      <c r="F24" s="36" t="s">
        <v>214</v>
      </c>
      <c r="G24" s="36" t="s">
        <v>214</v>
      </c>
      <c r="H24" s="36" t="s">
        <v>214</v>
      </c>
      <c r="I24" s="36" t="s">
        <v>214</v>
      </c>
      <c r="J24" s="46">
        <f>IFERROR(IF(AND($U$5=FALSE,$U$4=FALSE),"-",VLOOKUP($E24,'Status Thresholds'!$E:$AU,41,FALSE)),"-")</f>
        <v>7</v>
      </c>
      <c r="K24" s="46" t="str">
        <f>IFERROR(IF(AND($U$5=FALSE,$U$4=FALSE),"-",VLOOKUP($E24,'Status Thresholds'!$E:$AU,42,FALSE)),"-")</f>
        <v>-</v>
      </c>
      <c r="L24" s="46" t="str">
        <f>IFERROR(IF(AND($U$5=FALSE,$U$4=FALSE),"-",VLOOKUP($E24,'Status Thresholds'!$E:$AU,43,FALSE)),"-")</f>
        <v>-</v>
      </c>
    </row>
    <row r="25" spans="1:12" x14ac:dyDescent="0.25">
      <c r="A25" s="35"/>
      <c r="B25" s="64" t="str">
        <f>VLOOKUP(C25,'Status Thresholds'!B:C,2,FALSE)</f>
        <v>MHGU</v>
      </c>
      <c r="C25" s="64" t="str">
        <f>IF('Status Thresholds'!B20=0, "", 'Status Thresholds'!B20)</f>
        <v>Ahtal-Ka</v>
      </c>
      <c r="D25" s="33" t="s">
        <v>34</v>
      </c>
      <c r="E25" s="36" t="str">
        <f t="shared" si="0"/>
        <v>Ahtal-KaMount</v>
      </c>
      <c r="F25" s="36" t="str">
        <f>IFERROR(
ROUNDUP(
IF(AND($U$5=FALSE,$U$4=FALSE),"-",IF(AND($U$5=TRUE,$U$4=TRUE),"-",
IF((AND($U$4=TRUE,$U$5=FALSE,$U$6=FALSE,$U$7=FALSE)),VLOOKUP($E25,'Status Thresholds'!$E:$AR,2,FALSE),IF((AND($U$4=TRUE,$U$5=FALSE,$U$6=TRUE,$U$7=FALSE)),VLOOKUP($E25,'Status Thresholds'!$E:$AR,12,FALSE),IF((AND($U$4=TRUE,$U$5=FALSE,$U$6=TRUE,$U$7=TRUE)),VLOOKUP($E25,'Status Thresholds'!$E:$AR,17,FALSE),IF((AND($U$4=TRUE,$U$5=FALSE,$U$6=FALSE,$U$7=TRUE)),VLOOKUP($E25,'Status Thresholds'!$E:$AR,7,FALSE),
IF((AND($U$4=FALSE,$U$5=TRUE,$U$6=FALSE,$U$7=FALSE)),VLOOKUP($E25,'Status Thresholds'!$E:$AR,22,FALSE),IF((AND($U$4=FALSE,$U$5=TRUE,$U$6=TRUE,$U$7=FALSE)),VLOOKUP($E25,'Status Thresholds'!$E:$AR,32,FALSE),IF((AND($U$4=FALSE,$U$5=TRUE,$U$6=TRUE,$U$7=TRUE)),VLOOKUP($E25,'Status Thresholds'!$E:$AR,37,FALSE),IF((AND($U$4=FALSE,$U$5=TRUE,$U$6=FALSE,$U$7=TRUE)),VLOOKUP($E25,'Status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25" s="36" t="str">
        <f>IFERROR(
ROUNDUP(
IF(AND($U$5=FALSE,$U$4=FALSE),"-",IF(AND($U$5=TRUE,$U$4=TRUE),"-",
IF((AND($U$4=TRUE,$U$5=FALSE,$U$6=FALSE,$U$7=FALSE)),VLOOKUP($E24,'Status Thresholds'!$E:$AR,3,FALSE),IF((AND($U$4=TRUE,$U$5=FALSE,$U$6=TRUE,$U$7=FALSE)),VLOOKUP($E24,'Status Thresholds'!$E:$AR,13,FALSE),IF((AND($U$4=TRUE,$U$5=FALSE,$U$6=TRUE,$U$7=TRUE)),VLOOKUP($E24,'Status Thresholds'!$E:$AR,18,FALSE),IF((AND($U$4=TRUE,$U$5=FALSE,$U$6=FALSE,$U$7=TRUE)),VLOOKUP($E24,'Status Thresholds'!$E:$AR,8,FALSE),
IF((AND($U$4=FALSE,$U$5=TRUE,$U$6=FALSE,$U$7=FALSE)),VLOOKUP($E24,'Status Thresholds'!$E:$AR,23,FALSE),IF((AND($U$4=FALSE,$U$5=TRUE,$U$6=TRUE,$U$7=FALSE)),VLOOKUP($E24,'Status Thresholds'!$E:$AR,33,FALSE),IF((AND($U$4=FALSE,$U$5=TRUE,$U$6=TRUE,$U$7=TRUE)),VLOOKUP($E24,'Status Thresholds'!$E:$AR,38,FALSE),IF((AND($U$4=FALSE,$U$5=TRUE,$U$6=FALSE,$U$7=TRUE)),VLOOKUP($E24,'Status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25" s="36" t="str">
        <f>IFERROR(
ROUNDUP(
IF(AND($U$5=FALSE,$U$4=FALSE),"-",IF(AND($U$5=TRUE,$U$4=TRUE),"-",
IF((AND($U$4=TRUE,$U$5=FALSE,$U$6=FALSE,$U$7=FALSE)),VLOOKUP($E24,'Status Thresholds'!$E:$AR,4,FALSE),IF((AND($U$4=TRUE,$U$5=FALSE,$U$6=TRUE,$U$7=FALSE)),VLOOKUP($E24,'Status Thresholds'!$E:$AR,14,FALSE),IF((AND($U$4=TRUE,$U$5=FALSE,$U$6=TRUE,$U$7=TRUE)),VLOOKUP($E24,'Status Thresholds'!$E:$AR,19,FALSE),IF((AND($U$4=TRUE,$U$5=FALSE,$U$6=FALSE,$U$7=TRUE)),VLOOKUP($E24,'Status Thresholds'!$E:$AR,9,FALSE),
IF((AND($U$4=FALSE,$U$5=TRUE,$U$6=FALSE,$U$7=FALSE)),VLOOKUP($E24,'Status Thresholds'!$E:$AR,24,FALSE),IF((AND($U$4=FALSE,$U$5=TRUE,$U$6=TRUE,$U$7=FALSE)),VLOOKUP($E24,'Status Thresholds'!$E:$AR,34,FALSE),IF((AND($U$4=FALSE,$U$5=TRUE,$U$6=TRUE,$U$7=TRUE)),VLOOKUP($E24,'Status Thresholds'!$E:$AR,39,FALSE),IF((AND($U$4=FALSE,$U$5=TRUE,$U$6=FALSE,$U$7=TRUE)),VLOOKUP($E24,'Status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25" s="36" t="str">
        <f>IFERROR(
ROUNDUP(
IF(AND($U$5=FALSE,$U$4=FALSE),"-",IF(AND($U$5=TRUE,$U$4=TRUE),"-",
IF((AND($U$4=TRUE,$U$5=FALSE,$U$6=FALSE,$U$7=FALSE)),VLOOKUP($E24,'Status Thresholds'!$E:$AR,5,FALSE),IF((AND($U$4=TRUE,$U$5=FALSE,$U$6=TRUE,$U$7=FALSE)),VLOOKUP($E24,'Status Thresholds'!$E:$AR,15,FALSE),IF((AND($U$4=TRUE,$U$5=FALSE,$U$6=TRUE,$U$7=TRUE)),VLOOKUP($E24,'Status Thresholds'!$E:$AR,20,FALSE),IF((AND($U$4=TRUE,$U$5=FALSE,$U$6=FALSE,$U$7=TRUE)),VLOOKUP($E24,'Status Thresholds'!$E:$AR,10,FALSE),
IF((AND($U$4=FALSE,$U$5=TRUE,$U$6=FALSE,$U$7=FALSE)),VLOOKUP($E24,'Status Thresholds'!$E:$AR,25,FALSE),IF((AND($U$4=FALSE,$U$5=TRUE,$U$6=TRUE,$U$7=FALSE)),VLOOKUP($E24,'Status Thresholds'!$E:$AR,35,FALSE),IF((AND($U$4=FALSE,$U$5=TRUE,$U$6=TRUE,$U$7=TRUE)),VLOOKUP($E24,'Status Thresholds'!$E:$AR,40,FALSE),IF((AND($U$4=FALSE,$U$5=TRUE,$U$6=FALSE,$U$7=TRUE)),VLOOKUP($E24,'Status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25" s="46">
        <f>IFERROR(IF(AND($U$5=FALSE,$U$4=FALSE),"-",VLOOKUP($E25,'Status Thresholds'!$E:$AU,41,FALSE)),"-")</f>
        <v>0</v>
      </c>
      <c r="K25" s="46" t="str">
        <f>IFERROR(IF(AND($U$5=FALSE,$U$4=FALSE),"-",VLOOKUP($E25,'Status Thresholds'!$E:$AU,42,FALSE)),"-")</f>
        <v>-</v>
      </c>
      <c r="L25" s="46" t="str">
        <f>IFERROR(IF(AND($U$5=FALSE,$U$4=FALSE),"-",VLOOKUP($E25,'Status Thresholds'!$E:$AU,43,FALSE)),"-")</f>
        <v>-</v>
      </c>
    </row>
    <row r="26" spans="1:12" ht="15" customHeight="1" x14ac:dyDescent="0.25">
      <c r="A26" s="35"/>
      <c r="B26" s="64" t="str">
        <f>VLOOKUP(C26,'Status Thresholds'!B:C,2,FALSE)</f>
        <v>MHGU</v>
      </c>
      <c r="C26" s="64" t="str">
        <f>IF('Status Thresholds'!B21=0, "", 'Status Thresholds'!B21)</f>
        <v>Ahtal-Ka</v>
      </c>
      <c r="D26" s="77" t="s">
        <v>207</v>
      </c>
      <c r="E26" s="36" t="str">
        <f t="shared" si="0"/>
        <v>Ahtal-KaShock Trap</v>
      </c>
      <c r="F26" s="76" t="s">
        <v>214</v>
      </c>
      <c r="G26" s="46" t="s">
        <v>214</v>
      </c>
      <c r="H26" s="46" t="s">
        <v>214</v>
      </c>
      <c r="I26" s="46" t="s">
        <v>214</v>
      </c>
      <c r="J26" s="46">
        <f>IFERROR(IF(AND($U$5=FALSE,$U$4=FALSE),"-",VLOOKUP($E26,'Status Thresholds'!$E:$AU,43,FALSE)),"-")</f>
        <v>0</v>
      </c>
      <c r="K26" s="46">
        <f>IFERROR(IF(AND($U$5=FALSE,$U$4=FALSE),"-",VLOOKUP($E26,'Status Thresholds'!$E:$AU,41,FALSE)),"-")</f>
        <v>0</v>
      </c>
      <c r="L26" s="46">
        <f>IFERROR(IF(AND($U$5=FALSE,$U$4=FALSE),"-",VLOOKUP($E26,'Status Thresholds'!$E:$AU,42,FALSE)),"-")</f>
        <v>0</v>
      </c>
    </row>
    <row r="27" spans="1:12" x14ac:dyDescent="0.25">
      <c r="A27" s="35"/>
      <c r="B27" s="64" t="str">
        <f>VLOOKUP(C27,'Status Thresholds'!B:C,2,FALSE)</f>
        <v>MHGU</v>
      </c>
      <c r="C27" s="64" t="str">
        <f>IF('Status Thresholds'!B22=0, "", 'Status Thresholds'!B22)</f>
        <v>Ahtal-Ka</v>
      </c>
      <c r="D27" s="77" t="s">
        <v>213</v>
      </c>
      <c r="E27" s="36" t="str">
        <f t="shared" si="0"/>
        <v>Ahtal-KaPitfall Trap</v>
      </c>
      <c r="F27" s="46" t="s">
        <v>214</v>
      </c>
      <c r="G27" s="46" t="s">
        <v>214</v>
      </c>
      <c r="H27" s="46" t="s">
        <v>214</v>
      </c>
      <c r="I27" s="46" t="s">
        <v>214</v>
      </c>
      <c r="J27" s="46">
        <f>IFERROR(IF(AND($U$5=FALSE,$U$4=FALSE),"-",VLOOKUP($E27,'Status Thresholds'!$E:$AU,43,FALSE)),"-")</f>
        <v>0</v>
      </c>
      <c r="K27" s="46">
        <f>IFERROR(IF(AND($U$5=FALSE,$U$4=FALSE),"-",VLOOKUP($E27,'Status Thresholds'!$E:$AU,41,FALSE)),"-")</f>
        <v>0</v>
      </c>
      <c r="L27" s="46">
        <f>IFERROR(IF(AND($U$5=FALSE,$U$4=FALSE),"-",VLOOKUP($E27,'Status Thresholds'!$E:$AU,42,FALSE)),"-")</f>
        <v>0</v>
      </c>
    </row>
    <row r="28" spans="1:12" s="36" customFormat="1" x14ac:dyDescent="0.25">
      <c r="A28" s="64"/>
      <c r="B28" s="64" t="str">
        <f>VLOOKUP(C28,'Status Thresholds'!B:C,2,FALSE)</f>
        <v>MHGU</v>
      </c>
      <c r="C28" s="64" t="str">
        <f>IF('Status Thresholds'!B23=0, "", 'Status Thresholds'!B23)</f>
        <v>Ahtal-Ka ( Fortress)</v>
      </c>
      <c r="D28" s="37" t="s">
        <v>0</v>
      </c>
      <c r="E28" s="36" t="str">
        <f t="shared" si="0"/>
        <v>Ahtal-Ka ( Fortress)Para</v>
      </c>
      <c r="F28" s="36" t="str">
        <f>IFERROR(
ROUNDUP(
IF(AND($U$5=FALSE,$U$4=FALSE),"-",IF(AND($U$5=TRUE,$U$4=TRUE),"-",
IF((AND($U$4=TRUE,$U$5=FALSE,$U$6=FALSE,$U$7=FALSE)),VLOOKUP($E28,'Status Thresholds'!$E:$AR,2,FALSE),IF((AND($U$4=TRUE,$U$5=FALSE,$U$6=TRUE,$U$7=FALSE)),VLOOKUP($E28,'Status Thresholds'!$E:$AR,12,FALSE),IF((AND($U$4=TRUE,$U$5=FALSE,$U$6=TRUE,$U$7=TRUE)),VLOOKUP($E28,'Status Thresholds'!$E:$AR,17,FALSE),IF((AND($U$4=TRUE,$U$5=FALSE,$U$6=FALSE,$U$7=TRUE)),VLOOKUP($E28,'Status Thresholds'!$E:$AR,7,FALSE),
IF((AND($U$4=FALSE,$U$5=TRUE,$U$6=FALSE,$U$7=FALSE)),VLOOKUP($E28,'Status Thresholds'!$E:$AR,22,FALSE),IF((AND($U$4=FALSE,$U$5=TRUE,$U$6=TRUE,$U$7=FALSE)),VLOOKUP($E28,'Status Thresholds'!$E:$AR,32,FALSE),IF((AND($U$4=FALSE,$U$5=TRUE,$U$6=TRUE,$U$7=TRUE)),VLOOKUP($E28,'Status Thresholds'!$E:$AR,37,FALSE),IF((AND($U$4=FALSE,$U$5=TRUE,$U$6=FALSE,$U$7=TRUE)),VLOOKUP($E28,'Status Thresholds'!$E:$AR,27,FALSE)))))))))
))/
IF(OR($X$5=TRUE,$AC$3=TRUE
),($F$3/2), IF(OR($X$2,$X$3,$X$4,$X$6,$X$7,$X$8,$Z$2,$Z$3,$Z$4,$Z$5,$Z$6,$Z$7,$Z$8)=TRUE,$F$3)),0),"-")</f>
        <v>-</v>
      </c>
      <c r="G28" s="36" t="str">
        <f>IFERROR(
ROUNDUP(
IF(AND($U$5=FALSE,$U$4=FALSE),"-",IF(AND($U$5=TRUE,$U$4=TRUE),"-",
IF((AND($U$4=TRUE,$U$5=FALSE,$U$6=FALSE,$U$7=FALSE)),VLOOKUP($E28,'Status Thresholds'!$E:$AR,3,FALSE),IF((AND($U$4=TRUE,$U$5=FALSE,$U$6=TRUE,$U$7=FALSE)),VLOOKUP($E28,'Status Thresholds'!$E:$AR,13,FALSE),IF((AND($U$4=TRUE,$U$5=FALSE,$U$6=TRUE,$U$7=TRUE)),VLOOKUP($E28,'Status Thresholds'!$E:$AR,18,FALSE),IF((AND($U$4=TRUE,$U$5=FALSE,$U$6=FALSE,$U$7=TRUE)),VLOOKUP($E28,'Status Thresholds'!$E:$AR,8,FALSE),
IF((AND($U$4=FALSE,$U$5=TRUE,$U$6=FALSE,$U$7=FALSE)),VLOOKUP($E28,'Status Thresholds'!$E:$AR,23,FALSE),IF((AND($U$4=FALSE,$U$5=TRUE,$U$6=TRUE,$U$7=FALSE)),VLOOKUP($E28,'Status Thresholds'!$E:$AR,33,FALSE),IF((AND($U$4=FALSE,$U$5=TRUE,$U$6=TRUE,$U$7=TRUE)),VLOOKUP($E28,'Status Thresholds'!$E:$AR,38,FALSE),IF((AND($U$4=FALSE,$U$5=TRUE,$U$6=FALSE,$U$7=TRUE)),VLOOKUP($E28,'Status Thresholds'!$E:$AR,28,FALSE)))))))))
))/
IF(OR($X$5=TRUE,$AC$3=TRUE
),($F$3/2), IF(OR($X$2,$X$3,$X$4,$X$6,$X$7,$X$8,$Z$2,$Z$3,$Z$4,$Z$5,$Z$6,$Z$7,$Z$8)=TRUE,$F$3)),0),"-")</f>
        <v>-</v>
      </c>
      <c r="H28" s="36" t="str">
        <f>IFERROR(
ROUNDUP(
IF(AND($U$5=FALSE,$U$4=FALSE),"-",IF(AND($U$5=TRUE,$U$4=TRUE),"-",
IF((AND($U$4=TRUE,$U$5=FALSE,$U$6=FALSE,$U$7=FALSE)),VLOOKUP($E28,'Status Thresholds'!$E:$AR,4,FALSE),IF((AND($U$4=TRUE,$U$5=FALSE,$U$6=TRUE,$U$7=FALSE)),VLOOKUP($E28,'Status Thresholds'!$E:$AR,14,FALSE),IF((AND($U$4=TRUE,$U$5=FALSE,$U$6=TRUE,$U$7=TRUE)),VLOOKUP($E28,'Status Thresholds'!$E:$AR,19,FALSE),IF((AND($U$4=TRUE,$U$5=FALSE,$U$6=FALSE,$U$7=TRUE)),VLOOKUP($E28,'Status Thresholds'!$E:$AR,9,FALSE),
IF((AND($U$4=FALSE,$U$5=TRUE,$U$6=FALSE,$U$7=FALSE)),VLOOKUP($E28,'Status Thresholds'!$E:$AR,24,FALSE),IF((AND($U$4=FALSE,$U$5=TRUE,$U$6=TRUE,$U$7=FALSE)),VLOOKUP($E28,'Status Thresholds'!$E:$AR,34,FALSE),IF((AND($U$4=FALSE,$U$5=TRUE,$U$6=TRUE,$U$7=TRUE)),VLOOKUP($E28,'Status Thresholds'!$E:$AR,39,FALSE),IF((AND($U$4=FALSE,$U$5=TRUE,$U$6=FALSE,$U$7=TRUE)),VLOOKUP($E28,'Status Thresholds'!$E:$AR,29,FALSE)))))))))
))/
IF(OR($X$5=TRUE,$AC$3=TRUE
),($F$3/2), IF(OR($X$2,$X$3,$X$4,$X$6,$X$7,$X$8,$Z$2,$Z$3,$Z$4,$Z$5,$Z$6,$Z$7,$Z$8)=TRUE,$F$3)),0),"-")</f>
        <v>-</v>
      </c>
      <c r="I28" s="36" t="str">
        <f>IFERROR(
ROUNDUP(
IF(AND($U$5=FALSE,$U$4=FALSE),"-",IF(AND($U$5=TRUE,$U$4=TRUE),"-",
IF((AND($U$4=TRUE,$U$5=FALSE,$U$6=FALSE,$U$7=FALSE)),VLOOKUP($E28,'Status Thresholds'!$E:$AR,5,FALSE),IF((AND($U$4=TRUE,$U$5=FALSE,$U$6=TRUE,$U$7=FALSE)),VLOOKUP($E28,'Status Thresholds'!$E:$AR,15,FALSE),IF((AND($U$4=TRUE,$U$5=FALSE,$U$6=TRUE,$U$7=TRUE)),VLOOKUP($E28,'Status Thresholds'!$E:$AR,20,FALSE),IF((AND($U$4=TRUE,$U$5=FALSE,$U$6=FALSE,$U$7=TRUE)),VLOOKUP($E28,'Status Thresholds'!$E:$AR,10,FALSE),
IF((AND($U$4=FALSE,$U$5=TRUE,$U$6=FALSE,$U$7=FALSE)),VLOOKUP($E28,'Status Thresholds'!$E:$AR,25,FALSE),IF((AND($U$4=FALSE,$U$5=TRUE,$U$6=TRUE,$U$7=FALSE)),VLOOKUP($E28,'Status Thresholds'!$E:$AR,35,FALSE),IF((AND($U$4=FALSE,$U$5=TRUE,$U$6=TRUE,$U$7=TRUE)),VLOOKUP($E28,'Status Thresholds'!$E:$AR,40,FALSE),IF((AND($U$4=FALSE,$U$5=TRUE,$U$6=FALSE,$U$7=TRUE)),VLOOKUP($E28,'Status Thresholds'!$E:$AR,30,FALSE)))))))))
))/
IF(OR($X$5=TRUE,$AC$3=TRUE
),($F$3/2), IF(OR($X$2,$X$3,$X$4,$X$6,$X$7,$X$8,$Z$2,$Z$3,$Z$4,$Z$5,$Z$6,$Z$7,$Z$8)=TRUE,$F$3)),0),"-")</f>
        <v>-</v>
      </c>
      <c r="J28" s="36" t="str">
        <f>IFERROR(IF(AND($U$5=FALSE,$U$4=FALSE),"-",VLOOKUP($E28,'Status Thresholds'!$E:$AU,41,FALSE)),"-")</f>
        <v>-</v>
      </c>
      <c r="K28" s="36" t="str">
        <f>IFERROR(IF(AND($U$5=FALSE,$U$4=FALSE),"-",VLOOKUP($E28,'Status Thresholds'!$E:$AU,42,FALSE)),"-")</f>
        <v>-</v>
      </c>
      <c r="L28" s="36" t="str">
        <f>IFERROR(IF(AND($U$5=FALSE,$U$4=FALSE),"-",VLOOKUP($E28,'Status Thresholds'!$E:$AU,43,FALSE)),"-")</f>
        <v>-</v>
      </c>
    </row>
    <row r="29" spans="1:12" x14ac:dyDescent="0.25">
      <c r="A29" s="35"/>
      <c r="B29" s="64" t="str">
        <f>VLOOKUP(C29,'Status Thresholds'!B:C,2,FALSE)</f>
        <v>MHGU</v>
      </c>
      <c r="C29" s="64" t="str">
        <f>IF('Status Thresholds'!B24=0, "", 'Status Thresholds'!B24)</f>
        <v>Ahtal-Ka ( Fortress)</v>
      </c>
      <c r="D29" s="31" t="s">
        <v>32</v>
      </c>
      <c r="E29" s="36" t="str">
        <f t="shared" si="0"/>
        <v>Ahtal-Ka ( Fortress)Sleep</v>
      </c>
      <c r="F29" s="36" t="str">
        <f>IFERROR(
ROUNDUP(
IF(AND($U$5=FALSE,$U$4=FALSE),"-",IF(AND($U$5=TRUE,$U$4=TRUE),"-",
IF((AND($U$4=TRUE,$U$5=FALSE,$U$6=FALSE,$U$7=FALSE)),VLOOKUP($E29,'Status Thresholds'!$E:$AR,2,FALSE),IF((AND($U$4=TRUE,$U$5=FALSE,$U$6=TRUE,$U$7=FALSE)),VLOOKUP($E29,'Status Thresholds'!$E:$AR,12,FALSE),IF((AND($U$4=TRUE,$U$5=FALSE,$U$6=TRUE,$U$7=TRUE)),VLOOKUP($E29,'Status Thresholds'!$E:$AR,17,FALSE),IF((AND($U$4=TRUE,$U$5=FALSE,$U$6=FALSE,$U$7=TRUE)),VLOOKUP($E29,'Status Thresholds'!$E:$AR,7,FALSE),
IF((AND($U$4=FALSE,$U$5=TRUE,$U$6=FALSE,$U$7=FALSE)),VLOOKUP($E29,'Status Thresholds'!$E:$AR,22,FALSE),IF((AND($U$4=FALSE,$U$5=TRUE,$U$6=TRUE,$U$7=FALSE)),VLOOKUP($E29,'Status Thresholds'!$E:$AR,32,FALSE),IF((AND($U$4=FALSE,$U$5=TRUE,$U$6=TRUE,$U$7=TRUE)),VLOOKUP($E29,'Status Thresholds'!$E:$AR,37,FALSE),IF((AND($U$4=FALSE,$U$5=TRUE,$U$6=FALSE,$U$7=TRUE)),VLOOKUP($E29,'Status Thresholds'!$E:$AR,27,FALSE)))))))))
))/
IF(OR($X$5=TRUE,$AC$3=TRUE
),($F$4/2), IF(OR($X$2,$X$3,$X$4,$X$6,$X$7,$X$8,$Z$2,$Z$3,$Z$4,$Z$5,$Z$6,$Z$7,$Z$8)=TRUE,$F$4)),0),"-")</f>
        <v>-</v>
      </c>
      <c r="G29" s="36" t="str">
        <f>IFERROR(
ROUNDUP(
IF(AND($U$5=FALSE,$U$4=FALSE),"-",IF(AND($U$5=TRUE,$U$4=TRUE),"-",
IF((AND($U$4=TRUE,$U$5=FALSE,$U$6=FALSE,$U$7=FALSE)),VLOOKUP($E29,'Status Thresholds'!$E:$AR,3,FALSE),IF((AND($U$4=TRUE,$U$5=FALSE,$U$6=TRUE,$U$7=FALSE)),VLOOKUP($E29,'Status Thresholds'!$E:$AR,13,FALSE),IF((AND($U$4=TRUE,$U$5=FALSE,$U$6=TRUE,$U$7=TRUE)),VLOOKUP($E29,'Status Thresholds'!$E:$AR,18,FALSE),IF((AND($U$4=TRUE,$U$5=FALSE,$U$6=FALSE,$U$7=TRUE)),VLOOKUP($E29,'Status Thresholds'!$E:$AR,8,FALSE),
IF((AND($U$4=FALSE,$U$5=TRUE,$U$6=FALSE,$U$7=FALSE)),VLOOKUP($E29,'Status Thresholds'!$E:$AR,23,FALSE),IF((AND($U$4=FALSE,$U$5=TRUE,$U$6=TRUE,$U$7=FALSE)),VLOOKUP($E29,'Status Thresholds'!$E:$AR,33,FALSE),IF((AND($U$4=FALSE,$U$5=TRUE,$U$6=TRUE,$U$7=TRUE)),VLOOKUP($E29,'Status Thresholds'!$E:$AR,38,FALSE),IF((AND($U$4=FALSE,$U$5=TRUE,$U$6=FALSE,$U$7=TRUE)),VLOOKUP($E29,'Status Thresholds'!$E:$AR,28,FALSE)))))))))
))/
IF(OR($X$5=TRUE,$AC$3=TRUE
),($F$4/2), IF(OR($X$2,$X$3,$X$4,$X$6,$X$7,$X$8,$Z$2,$Z$3,$Z$4,$Z$5,$Z$6,$Z$7,$Z$8)=TRUE,$F$4)),0),"-")</f>
        <v>-</v>
      </c>
      <c r="H29" s="36" t="str">
        <f>IFERROR(
ROUNDUP(
IF(AND($U$5=FALSE,$U$4=FALSE),"-",IF(AND($U$5=TRUE,$U$4=TRUE),"-",
IF((AND($U$4=TRUE,$U$5=FALSE,$U$6=FALSE,$U$7=FALSE)),VLOOKUP($E29,'Status Thresholds'!$E:$AR,4,FALSE),IF((AND($U$4=TRUE,$U$5=FALSE,$U$6=TRUE,$U$7=FALSE)),VLOOKUP($E29,'Status Thresholds'!$E:$AR,14,FALSE),IF((AND($U$4=TRUE,$U$5=FALSE,$U$6=TRUE,$U$7=TRUE)),VLOOKUP($E29,'Status Thresholds'!$E:$AR,19,FALSE),IF((AND($U$4=TRUE,$U$5=FALSE,$U$6=FALSE,$U$7=TRUE)),VLOOKUP($E29,'Status Thresholds'!$E:$AR,9,FALSE),
IF((AND($U$4=FALSE,$U$5=TRUE,$U$6=FALSE,$U$7=FALSE)),VLOOKUP($E29,'Status Thresholds'!$E:$AR,24,FALSE),IF((AND($U$4=FALSE,$U$5=TRUE,$U$6=TRUE,$U$7=FALSE)),VLOOKUP($E29,'Status Thresholds'!$E:$AR,34,FALSE),IF((AND($U$4=FALSE,$U$5=TRUE,$U$6=TRUE,$U$7=TRUE)),VLOOKUP($E29,'Status Thresholds'!$E:$AR,39,FALSE),IF((AND($U$4=FALSE,$U$5=TRUE,$U$6=FALSE,$U$7=TRUE)),VLOOKUP($E29,'Status Thresholds'!$E:$AR,29,FALSE)))))))))
))/
IF(OR($X$5=TRUE,$AC$3=TRUE
),($F$4/2), IF(OR($X$2,$X$3,$X$4,$X$6,$X$7,$X$8,$Z$2,$Z$3,$Z$4,$Z$5,$Z$6,$Z$7,$Z$8)=TRUE,$F$4)),0),"-")</f>
        <v>-</v>
      </c>
      <c r="I29" s="36" t="str">
        <f>IFERROR(
ROUNDUP(
IF(AND($U$5=FALSE,$U$4=FALSE),"-",IF(AND($U$5=TRUE,$U$4=TRUE),"-",
IF((AND($U$4=TRUE,$U$5=FALSE,$U$6=FALSE,$U$7=FALSE)),VLOOKUP($E29,'Status Thresholds'!$E:$AR,5,FALSE),IF((AND($U$4=TRUE,$U$5=FALSE,$U$6=TRUE,$U$7=FALSE)),VLOOKUP($E29,'Status Thresholds'!$E:$AR,15,FALSE),IF((AND($U$4=TRUE,$U$5=FALSE,$U$6=TRUE,$U$7=TRUE)),VLOOKUP($E29,'Status Thresholds'!$E:$AR,20,FALSE),IF((AND($U$4=TRUE,$U$5=FALSE,$U$6=FALSE,$U$7=TRUE)),VLOOKUP($E29,'Status Thresholds'!$E:$AR,10,FALSE),
IF((AND($U$4=FALSE,$U$5=TRUE,$U$6=FALSE,$U$7=FALSE)),VLOOKUP($E29,'Status Thresholds'!$E:$AR,25,FALSE),IF((AND($U$4=FALSE,$U$5=TRUE,$U$6=TRUE,$U$7=FALSE)),VLOOKUP($E29,'Status Thresholds'!$E:$AR,35,FALSE),IF((AND($U$4=FALSE,$U$5=TRUE,$U$6=TRUE,$U$7=TRUE)),VLOOKUP($E29,'Status Thresholds'!$E:$AR,40,FALSE),IF((AND($U$4=FALSE,$U$5=TRUE,$U$6=FALSE,$U$7=TRUE)),VLOOKUP($E29,'Status Thresholds'!$E:$AR,30,FALSE)))))))))
))/
IF(OR($X$5=TRUE,$AC$3=TRUE
),($F$4/2), IF(OR($X$2,$X$3,$X$4,$X$6,$X$7,$X$8,$Z$2,$Z$3,$Z$4,$Z$5,$Z$6,$Z$7,$Z$8)=TRUE,$F$4)),0),"-")</f>
        <v>-</v>
      </c>
      <c r="J29" s="46" t="str">
        <f>IFERROR(IF(AND($U$5=FALSE,$U$4=FALSE),"-",VLOOKUP($E29,'Status Thresholds'!$E:$AU,41,FALSE)),"-")</f>
        <v>-</v>
      </c>
      <c r="K29" s="46" t="str">
        <f>IFERROR(IF(AND($U$5=FALSE,$U$4=FALSE),"-",VLOOKUP($E29,'Status Thresholds'!$E:$AU,42,FALSE)),"-")</f>
        <v>-</v>
      </c>
      <c r="L29" s="46" t="str">
        <f>IFERROR(IF(AND($U$5=FALSE,$U$4=FALSE),"-",VLOOKUP($E29,'Status Thresholds'!$E:$AU,43,FALSE)),"-")</f>
        <v>-</v>
      </c>
    </row>
    <row r="30" spans="1:12" x14ac:dyDescent="0.25">
      <c r="A30" s="35"/>
      <c r="B30" s="64" t="str">
        <f>VLOOKUP(C30,'Status Thresholds'!B:C,2,FALSE)</f>
        <v>MHGU</v>
      </c>
      <c r="C30" s="64" t="str">
        <f>IF('Status Thresholds'!B25=0, "", 'Status Thresholds'!B25)</f>
        <v>Ahtal-Ka ( Fortress)</v>
      </c>
      <c r="D30" s="32" t="s">
        <v>33</v>
      </c>
      <c r="E30" s="36" t="str">
        <f t="shared" si="0"/>
        <v>Ahtal-Ka ( Fortress)Poison</v>
      </c>
      <c r="F30" s="36" t="str">
        <f>IFERROR(
ROUNDUP(
IF(AND($U$5=FALSE,$U$4=FALSE),"-",IF(AND($U$5=TRUE,$U$4=TRUE),"-",
IF((AND($U$4=TRUE,$U$5=FALSE,$U$6=FALSE,$U$7=FALSE)),VLOOKUP($E30,'Status Thresholds'!$E:$AR,2,FALSE),IF((AND($U$4=TRUE,$U$5=FALSE,$U$6=TRUE,$U$7=FALSE)),VLOOKUP($E30,'Status Thresholds'!$E:$AR,12,FALSE),IF((AND($U$4=TRUE,$U$5=FALSE,$U$6=TRUE,$U$7=TRUE)),VLOOKUP($E30,'Status Thresholds'!$E:$AR,17,FALSE),IF((AND($U$4=TRUE,$U$5=FALSE,$U$6=FALSE,$U$7=TRUE)),VLOOKUP($E30,'Status Thresholds'!$E:$AR,7,FALSE),
IF((AND($U$4=FALSE,$U$5=TRUE,$U$6=FALSE,$U$7=FALSE)),VLOOKUP($E30,'Status Thresholds'!$E:$AR,22,FALSE),IF((AND($U$4=FALSE,$U$5=TRUE,$U$6=TRUE,$U$7=FALSE)),VLOOKUP($E30,'Status Thresholds'!$E:$AR,32,FALSE),IF((AND($U$4=FALSE,$U$5=TRUE,$U$6=TRUE,$U$7=TRUE)),VLOOKUP($E30,'Status Thresholds'!$E:$AR,37,FALSE),IF((AND($U$4=FALSE,$U$5=TRUE,$U$6=FALSE,$U$7=TRUE)),VLOOKUP($E30,'Status Thresholds'!$E:$AR,27,FALSE)))))))))
))/
IF(OR($X$5=TRUE,$AC$3=TRUE
),($F$5/2), IF(OR($X$2,$X$3,$X$4,$X$6,$X$7,$X$8,$Z$2,$Z$3,$Z$4,$Z$5,$Z$6,$Z$7,$Z$8)=TRUE,$F$5)),0),"-")</f>
        <v>-</v>
      </c>
      <c r="G30" s="36" t="str">
        <f>IFERROR(
ROUNDUP(
IF(AND($U$5=FALSE,$U$4=FALSE),"-",IF(AND($U$5=TRUE,$U$4=TRUE),"-",
IF((AND($U$4=TRUE,$U$5=FALSE,$U$6=FALSE,$U$7=FALSE)),VLOOKUP($E30,'Status Thresholds'!$E:$AR,3,FALSE),IF((AND($U$4=TRUE,$U$5=FALSE,$U$6=TRUE,$U$7=FALSE)),VLOOKUP($E30,'Status Thresholds'!$E:$AR,13,FALSE),IF((AND($U$4=TRUE,$U$5=FALSE,$U$6=TRUE,$U$7=TRUE)),VLOOKUP($E30,'Status Thresholds'!$E:$AR,18,FALSE),IF((AND($U$4=TRUE,$U$5=FALSE,$U$6=FALSE,$U$7=TRUE)),VLOOKUP($E30,'Status Thresholds'!$E:$AR,8,FALSE),
IF((AND($U$4=FALSE,$U$5=TRUE,$U$6=FALSE,$U$7=FALSE)),VLOOKUP($E30,'Status Thresholds'!$E:$AR,23,FALSE),IF((AND($U$4=FALSE,$U$5=TRUE,$U$6=TRUE,$U$7=FALSE)),VLOOKUP($E30,'Status Thresholds'!$E:$AR,33,FALSE),IF((AND($U$4=FALSE,$U$5=TRUE,$U$6=TRUE,$U$7=TRUE)),VLOOKUP($E30,'Status Thresholds'!$E:$AR,38,FALSE),IF((AND($U$4=FALSE,$U$5=TRUE,$U$6=FALSE,$U$7=TRUE)),VLOOKUP($E30,'Status Thresholds'!$E:$AR,28,FALSE)))))))))
))/
IF(OR($X$5=TRUE,$AC$3=TRUE
),($F$5/2), IF(OR($X$2,$X$3,$X$4,$X$6,$X$7,$X$8,$Z$2,$Z$3,$Z$4,$Z$5,$Z$6,$Z$7,$Z$8)=TRUE,$F$5)),0),"-")</f>
        <v>-</v>
      </c>
      <c r="H30" s="36" t="str">
        <f>IFERROR(
ROUNDUP(
IF(AND($U$5=FALSE,$U$4=FALSE),"-",IF(AND($U$5=TRUE,$U$4=TRUE),"-",
IF((AND($U$4=TRUE,$U$5=FALSE,$U$6=FALSE,$U$7=FALSE)),VLOOKUP($E30,'Status Thresholds'!$E:$AR,4,FALSE),IF((AND($U$4=TRUE,$U$5=FALSE,$U$6=TRUE,$U$7=FALSE)),VLOOKUP($E30,'Status Thresholds'!$E:$AR,14,FALSE),IF((AND($U$4=TRUE,$U$5=FALSE,$U$6=TRUE,$U$7=TRUE)),VLOOKUP($E30,'Status Thresholds'!$E:$AR,19,FALSE),IF((AND($U$4=TRUE,$U$5=FALSE,$U$6=FALSE,$U$7=TRUE)),VLOOKUP($E30,'Status Thresholds'!$E:$AR,9,FALSE),
IF((AND($U$4=FALSE,$U$5=TRUE,$U$6=FALSE,$U$7=FALSE)),VLOOKUP($E30,'Status Thresholds'!$E:$AR,24,FALSE),IF((AND($U$4=FALSE,$U$5=TRUE,$U$6=TRUE,$U$7=FALSE)),VLOOKUP($E30,'Status Thresholds'!$E:$AR,34,FALSE),IF((AND($U$4=FALSE,$U$5=TRUE,$U$6=TRUE,$U$7=TRUE)),VLOOKUP($E30,'Status Thresholds'!$E:$AR,39,FALSE),IF((AND($U$4=FALSE,$U$5=TRUE,$U$6=FALSE,$U$7=TRUE)),VLOOKUP($E30,'Status Thresholds'!$E:$AR,29,FALSE)))))))))
))/
IF(OR($X$5=TRUE,$AC$3=TRUE
),($F$5/2), IF(OR($X$2,$X$3,$X$4,$X$6,$X$7,$X$8,$Z$2,$Z$3,$Z$4,$Z$5,$Z$6,$Z$7,$Z$8)=TRUE,$F$5)),0),"-")</f>
        <v>-</v>
      </c>
      <c r="I30" s="36" t="str">
        <f>IFERROR(
ROUNDUP(
IF(AND($U$5=FALSE,$U$4=FALSE),"-",IF(AND($U$5=TRUE,$U$4=TRUE),"-",
IF((AND($U$4=TRUE,$U$5=FALSE,$U$6=FALSE,$U$7=FALSE)),VLOOKUP($E30,'Status Thresholds'!$E:$AR,5,FALSE),IF((AND($U$4=TRUE,$U$5=FALSE,$U$6=TRUE,$U$7=FALSE)),VLOOKUP($E30,'Status Thresholds'!$E:$AR,15,FALSE),IF((AND($U$4=TRUE,$U$5=FALSE,$U$6=TRUE,$U$7=TRUE)),VLOOKUP($E30,'Status Thresholds'!$E:$AR,20,FALSE),IF((AND($U$4=TRUE,$U$5=FALSE,$U$6=FALSE,$U$7=TRUE)),VLOOKUP($E30,'Status Thresholds'!$E:$AR,10,FALSE),
IF((AND($U$4=FALSE,$U$5=TRUE,$U$6=FALSE,$U$7=FALSE)),VLOOKUP($E30,'Status Thresholds'!$E:$AR,25,FALSE),IF((AND($U$4=FALSE,$U$5=TRUE,$U$6=TRUE,$U$7=FALSE)),VLOOKUP($E30,'Status Thresholds'!$E:$AR,35,FALSE),IF((AND($U$4=FALSE,$U$5=TRUE,$U$6=TRUE,$U$7=TRUE)),VLOOKUP($E30,'Status Thresholds'!$E:$AR,40,FALSE),IF((AND($U$4=FALSE,$U$5=TRUE,$U$6=FALSE,$U$7=TRUE)),VLOOKUP($E30,'Status Thresholds'!$E:$AR,30,FALSE)))))))))
))/
IF(OR($X$5=TRUE,$AC$3=TRUE
),($F$5/2), IF(OR($X$2,$X$3,$X$4,$X$6,$X$7,$X$8,$Z$2,$Z$3,$Z$4,$Z$5,$Z$6,$Z$7,$Z$8)=TRUE,$F$5)),0),"-")</f>
        <v>-</v>
      </c>
      <c r="J30" s="46" t="str">
        <f>IFERROR(IF(AND($U$5=FALSE,$U$4=FALSE),"-",VLOOKUP($E30,'Status Thresholds'!$E:$AU,41,FALSE)),"-")</f>
        <v>-</v>
      </c>
      <c r="K30" s="46" t="str">
        <f>IFERROR(IF(AND($U$5=FALSE,$U$4=FALSE),"-",VLOOKUP($E30,'Status Thresholds'!$E:$AU,42,FALSE)),"-")</f>
        <v>-</v>
      </c>
      <c r="L30" s="46" t="str">
        <f>IFERROR(IF(AND($U$5=FALSE,$U$4=FALSE),"-",VLOOKUP($E30,'Status Thresholds'!$E:$AU,43,FALSE)),"-")</f>
        <v>-</v>
      </c>
    </row>
    <row r="31" spans="1:12" x14ac:dyDescent="0.25">
      <c r="A31" s="35"/>
      <c r="B31" s="64" t="str">
        <f>VLOOKUP(C31,'Status Thresholds'!B:C,2,FALSE)</f>
        <v>MHGU</v>
      </c>
      <c r="C31" s="64" t="str">
        <f>IF('Status Thresholds'!B26=0, "", 'Status Thresholds'!B26)</f>
        <v>Ahtal-Ka ( Fortress)</v>
      </c>
      <c r="D31" s="10" t="s">
        <v>22</v>
      </c>
      <c r="E31" s="36" t="str">
        <f t="shared" si="0"/>
        <v>Ahtal-Ka ( Fortress)Exhaust</v>
      </c>
      <c r="F31" s="36" t="str">
        <f>IFERROR(
ROUNDUP(
IF(AND($U$5=FALSE,$U$4=FALSE),"-",IF(AND($U$5=TRUE,$U$4=TRUE),"-",
IF((AND($U$4=TRUE,$U$5=FALSE,$U$6=FALSE,$U$7=FALSE)),VLOOKUP($E31,'Status Thresholds'!$E:$AR,2,FALSE),IF((AND($U$4=TRUE,$U$5=FALSE,$U$6=TRUE,$U$7=FALSE)),VLOOKUP($E31,'Status Thresholds'!$E:$AR,12,FALSE),IF((AND($U$4=TRUE,$U$5=FALSE,$U$6=TRUE,$U$7=TRUE)),VLOOKUP($E31,'Status Thresholds'!$E:$AR,17,FALSE),IF((AND($U$4=TRUE,$U$5=FALSE,$U$6=FALSE,$U$7=TRUE)),VLOOKUP($E31,'Status Thresholds'!$E:$AR,7,FALSE),
IF((AND($U$4=FALSE,$U$5=TRUE,$U$6=FALSE,$U$7=FALSE)),VLOOKUP($E31,'Status Thresholds'!$E:$AR,22,FALSE),IF((AND($U$4=FALSE,$U$5=TRUE,$U$6=TRUE,$U$7=FALSE)),VLOOKUP($E31,'Status Thresholds'!$E:$AR,32,FALSE),IF((AND($U$4=FALSE,$U$5=TRUE,$U$6=TRUE,$U$7=TRUE)),VLOOKUP($E31,'Status Thresholds'!$E:$AR,37,FALSE),IF((AND($U$4=FALSE,$U$5=TRUE,$U$6=FALSE,$U$7=TRUE)),VLOOKUP($E31,'Status Thresholds'!$E:$AR,27,FALSE)))))))))
))/
IF(OR($X$5=TRUE,$AC$3=TRUE
),($F$6/2), IF(OR($X$2,$X$3,$X$4,$X$6,$X$7,$X$8,$Z$2,$Z$3,$Z$4,$Z$5,$Z$6,$Z$7,$Z$8)=TRUE,$F$6)),0),"-")</f>
        <v>-</v>
      </c>
      <c r="G31" s="36" t="str">
        <f>IFERROR(
ROUNDUP(
IF(AND($U$5=FALSE,$U$4=FALSE),"-",IF(AND($U$5=TRUE,$U$4=TRUE),"-",
IF((AND($U$4=TRUE,$U$5=FALSE,$U$6=FALSE,$U$7=FALSE)),VLOOKUP($E31,'Status Thresholds'!$E:$AR,3,FALSE),IF((AND($U$4=TRUE,$U$5=FALSE,$U$6=TRUE,$U$7=FALSE)),VLOOKUP($E31,'Status Thresholds'!$E:$AR,13,FALSE),IF((AND($U$4=TRUE,$U$5=FALSE,$U$6=TRUE,$U$7=TRUE)),VLOOKUP($E31,'Status Thresholds'!$E:$AR,18,FALSE),IF((AND($U$4=TRUE,$U$5=FALSE,$U$6=FALSE,$U$7=TRUE)),VLOOKUP($E31,'Status Thresholds'!$E:$AR,8,FALSE),
IF((AND($U$4=FALSE,$U$5=TRUE,$U$6=FALSE,$U$7=FALSE)),VLOOKUP($E31,'Status Thresholds'!$E:$AR,23,FALSE),IF((AND($U$4=FALSE,$U$5=TRUE,$U$6=TRUE,$U$7=FALSE)),VLOOKUP($E31,'Status Thresholds'!$E:$AR,33,FALSE),IF((AND($U$4=FALSE,$U$5=TRUE,$U$6=TRUE,$U$7=TRUE)),VLOOKUP($E31,'Status Thresholds'!$E:$AR,38,FALSE),IF((AND($U$4=FALSE,$U$5=TRUE,$U$6=FALSE,$U$7=TRUE)),VLOOKUP($E31,'Status Thresholds'!$E:$AR,28,FALSE)))))))))
))/
IF(OR($X$5=TRUE,$AC$3=TRUE
),($F$6/2), IF(OR($X$2,$X$3,$X$4,$X$6,$X$7,$X$8,$Z$2,$Z$3,$Z$4,$Z$5,$Z$6,$Z$7,$Z$8)=TRUE,$F$6)),0),"-")</f>
        <v>-</v>
      </c>
      <c r="H31" s="36" t="str">
        <f>IFERROR(
ROUNDUP(
IF(AND($U$5=FALSE,$U$4=FALSE),"-",IF(AND($U$5=TRUE,$U$4=TRUE),"-",
IF((AND($U$4=TRUE,$U$5=FALSE,$U$6=FALSE,$U$7=FALSE)),VLOOKUP($E31,'Status Thresholds'!$E:$AR,4,FALSE),IF((AND($U$4=TRUE,$U$5=FALSE,$U$6=TRUE,$U$7=FALSE)),VLOOKUP($E31,'Status Thresholds'!$E:$AR,14,FALSE),IF((AND($U$4=TRUE,$U$5=FALSE,$U$6=TRUE,$U$7=TRUE)),VLOOKUP($E31,'Status Thresholds'!$E:$AR,19,FALSE),IF((AND($U$4=TRUE,$U$5=FALSE,$U$6=FALSE,$U$7=TRUE)),VLOOKUP($E31,'Status Thresholds'!$E:$AR,9,FALSE),
IF((AND($U$4=FALSE,$U$5=TRUE,$U$6=FALSE,$U$7=FALSE)),VLOOKUP($E31,'Status Thresholds'!$E:$AR,24,FALSE),IF((AND($U$4=FALSE,$U$5=TRUE,$U$6=TRUE,$U$7=FALSE)),VLOOKUP($E31,'Status Thresholds'!$E:$AR,34,FALSE),IF((AND($U$4=FALSE,$U$5=TRUE,$U$6=TRUE,$U$7=TRUE)),VLOOKUP($E31,'Status Thresholds'!$E:$AR,39,FALSE),IF((AND($U$4=FALSE,$U$5=TRUE,$U$6=FALSE,$U$7=TRUE)),VLOOKUP($E31,'Status Thresholds'!$E:$AR,29,FALSE)))))))))
))/
IF(OR($X$5=TRUE,$AC$3=TRUE
),($F$6/2), IF(OR($X$2,$X$3,$X$4,$X$6,$X$7,$X$8,$Z$2,$Z$3,$Z$4,$Z$5,$Z$6,$Z$7,$Z$8)=TRUE,$F$6)),0),"-")</f>
        <v>-</v>
      </c>
      <c r="I31" s="36" t="str">
        <f>IFERROR(
ROUNDUP(
IF(AND($U$5=FALSE,$U$4=FALSE),"-",IF(AND($U$5=TRUE,$U$4=TRUE),"-",
IF((AND($U$4=TRUE,$U$5=FALSE,$U$6=FALSE,$U$7=FALSE)),VLOOKUP($E31,'Status Thresholds'!$E:$AR,5,FALSE),IF((AND($U$4=TRUE,$U$5=FALSE,$U$6=TRUE,$U$7=FALSE)),VLOOKUP($E31,'Status Thresholds'!$E:$AR,15,FALSE),IF((AND($U$4=TRUE,$U$5=FALSE,$U$6=TRUE,$U$7=TRUE)),VLOOKUP($E31,'Status Thresholds'!$E:$AR,20,FALSE),IF((AND($U$4=TRUE,$U$5=FALSE,$U$6=FALSE,$U$7=TRUE)),VLOOKUP($E31,'Status Thresholds'!$E:$AR,10,FALSE),
IF((AND($U$4=FALSE,$U$5=TRUE,$U$6=FALSE,$U$7=FALSE)),VLOOKUP($E31,'Status Thresholds'!$E:$AR,25,FALSE),IF((AND($U$4=FALSE,$U$5=TRUE,$U$6=TRUE,$U$7=FALSE)),VLOOKUP($E31,'Status Thresholds'!$E:$AR,35,FALSE),IF((AND($U$4=FALSE,$U$5=TRUE,$U$6=TRUE,$U$7=TRUE)),VLOOKUP($E31,'Status Thresholds'!$E:$AR,40,FALSE),IF((AND($U$4=FALSE,$U$5=TRUE,$U$6=FALSE,$U$7=TRUE)),VLOOKUP($E31,'Status Thresholds'!$E:$AR,30,FALSE)))))))))
))/
IF(OR($X$5=TRUE,$AC$3=TRUE
),($F$6/2), IF(OR($X$2,$X$3,$X$4,$X$6,$X$7,$X$8,$Z$2,$Z$3,$Z$4,$Z$5,$Z$6,$Z$7,$Z$8)=TRUE,$F$6)),0),"-")</f>
        <v>-</v>
      </c>
      <c r="J31" s="46" t="str">
        <f>IFERROR(IF(AND($U$5=FALSE,$U$4=FALSE),"-",VLOOKUP($E31,'Status Thresholds'!$E:$AU,41,FALSE)),"-")</f>
        <v>-</v>
      </c>
      <c r="K31" s="46" t="str">
        <f>IFERROR(IF(AND($U$5=FALSE,$U$4=FALSE),"-",VLOOKUP($E31,'Status Thresholds'!$E:$AU,42,FALSE)),"-")</f>
        <v>-</v>
      </c>
      <c r="L31" s="46" t="str">
        <f>IFERROR(IF(AND($U$5=FALSE,$U$4=FALSE),"-",VLOOKUP($E31,'Status Thresholds'!$E:$AU,43,FALSE)),"-")</f>
        <v>-</v>
      </c>
    </row>
    <row r="32" spans="1:12" x14ac:dyDescent="0.25">
      <c r="A32" s="35"/>
      <c r="B32" s="64" t="str">
        <f>VLOOKUP(C32,'Status Thresholds'!B:C,2,FALSE)</f>
        <v>MHGU</v>
      </c>
      <c r="C32" s="64" t="str">
        <f>IF('Status Thresholds'!B27=0, "", 'Status Thresholds'!B27)</f>
        <v>Ahtal-Ka ( Fortress)</v>
      </c>
      <c r="D32" s="30" t="s">
        <v>35</v>
      </c>
      <c r="E32" s="36" t="str">
        <f t="shared" si="0"/>
        <v>Ahtal-Ka ( Fortress)Blast</v>
      </c>
      <c r="F32" s="36" t="str">
        <f>IFERROR(
ROUNDUP(
IF(AND($U$5=FALSE,$U$4=FALSE),"-",IF(AND($U$5=TRUE,$U$4=TRUE),"-",
IF((AND($U$4=TRUE,$U$5=FALSE,$U$6=FALSE,$U$7=FALSE)),VLOOKUP($E32,'Status Thresholds'!$E:$AR,2,FALSE),IF((AND($U$4=TRUE,$U$5=FALSE,$U$6=TRUE,$U$7=FALSE)),VLOOKUP($E32,'Status Thresholds'!$E:$AR,12,FALSE),IF((AND($U$4=TRUE,$U$5=FALSE,$U$6=TRUE,$U$7=TRUE)),VLOOKUP($E32,'Status Thresholds'!$E:$AR,17,FALSE),IF((AND($U$4=TRUE,$U$5=FALSE,$U$6=FALSE,$U$7=TRUE)),VLOOKUP($E32,'Status Thresholds'!$E:$AR,7,FALSE),
IF((AND($U$4=FALSE,$U$5=TRUE,$U$6=FALSE,$U$7=FALSE)),VLOOKUP($E32,'Status Thresholds'!$E:$AR,22,FALSE),IF((AND($U$4=FALSE,$U$5=TRUE,$U$6=TRUE,$U$7=FALSE)),VLOOKUP($E32,'Status Thresholds'!$E:$AR,32,FALSE),IF((AND($U$4=FALSE,$U$5=TRUE,$U$6=TRUE,$U$7=TRUE)),VLOOKUP($E32,'Status Thresholds'!$E:$AR,37,FALSE),IF((AND($U$4=FALSE,$U$5=TRUE,$U$6=FALSE,$U$7=TRUE)),VLOOKUP($E32,'Status Thresholds'!$E:$AR,27,FALSE)))))))))
))/
IF(OR($X$5=TRUE,$AC$3=TRUE
),($F$7/2), IF(OR($X$2,$X$3,$X$4,$X$6,$X$7,$X$8,$Z$2,$Z$3,$Z$4,$Z$5,$Z$6,$Z$7,$Z$8)=TRUE,$F$7)),0),"-")</f>
        <v>-</v>
      </c>
      <c r="G32" s="36" t="str">
        <f>IFERROR(
ROUNDUP(
IF(AND($U$5=FALSE,$U$4=FALSE),"-",IF(AND($U$5=TRUE,$U$4=TRUE),"-",
IF((AND($U$4=TRUE,$U$5=FALSE,$U$6=FALSE,$U$7=FALSE)),VLOOKUP($E32,'Status Thresholds'!$E:$AR,3,FALSE),IF((AND($U$4=TRUE,$U$5=FALSE,$U$6=TRUE,$U$7=FALSE)),VLOOKUP($E32,'Status Thresholds'!$E:$AR,13,FALSE),IF((AND($U$4=TRUE,$U$5=FALSE,$U$6=TRUE,$U$7=TRUE)),VLOOKUP($E32,'Status Thresholds'!$E:$AR,18,FALSE),IF((AND($U$4=TRUE,$U$5=FALSE,$U$6=FALSE,$U$7=TRUE)),VLOOKUP($E32,'Status Thresholds'!$E:$AR,8,FALSE),
IF((AND($U$4=FALSE,$U$5=TRUE,$U$6=FALSE,$U$7=FALSE)),VLOOKUP($E32,'Status Thresholds'!$E:$AR,23,FALSE),IF((AND($U$4=FALSE,$U$5=TRUE,$U$6=TRUE,$U$7=FALSE)),VLOOKUP($E32,'Status Thresholds'!$E:$AR,33,FALSE),IF((AND($U$4=FALSE,$U$5=TRUE,$U$6=TRUE,$U$7=TRUE)),VLOOKUP($E32,'Status Thresholds'!$E:$AR,38,FALSE),IF((AND($U$4=FALSE,$U$5=TRUE,$U$6=FALSE,$U$7=TRUE)),VLOOKUP($E32,'Status Thresholds'!$E:$AR,28,FALSE)))))))))
))/
IF(OR($X$5=TRUE,$AC$3=TRUE
),($F$7/2), IF(OR($X$2,$X$3,$X$4,$X$6,$X$7,$X$8,$Z$2,$Z$3,$Z$4,$Z$5,$Z$6,$Z$7,$Z$8)=TRUE,$F$7)),0),"-")</f>
        <v>-</v>
      </c>
      <c r="H32" s="36" t="str">
        <f>IFERROR(
ROUNDUP(
IF(AND($U$5=FALSE,$U$4=FALSE),"-",IF(AND($U$5=TRUE,$U$4=TRUE),"-",
IF((AND($U$4=TRUE,$U$5=FALSE,$U$6=FALSE,$U$7=FALSE)),VLOOKUP($E32,'Status Thresholds'!$E:$AR,4,FALSE),IF((AND($U$4=TRUE,$U$5=FALSE,$U$6=TRUE,$U$7=FALSE)),VLOOKUP($E32,'Status Thresholds'!$E:$AR,14,FALSE),IF((AND($U$4=TRUE,$U$5=FALSE,$U$6=TRUE,$U$7=TRUE)),VLOOKUP($E32,'Status Thresholds'!$E:$AR,19,FALSE),IF((AND($U$4=TRUE,$U$5=FALSE,$U$6=FALSE,$U$7=TRUE)),VLOOKUP($E32,'Status Thresholds'!$E:$AR,9,FALSE),
IF((AND($U$4=FALSE,$U$5=TRUE,$U$6=FALSE,$U$7=FALSE)),VLOOKUP($E32,'Status Thresholds'!$E:$AR,24,FALSE),IF((AND($U$4=FALSE,$U$5=TRUE,$U$6=TRUE,$U$7=FALSE)),VLOOKUP($E32,'Status Thresholds'!$E:$AR,34,FALSE),IF((AND($U$4=FALSE,$U$5=TRUE,$U$6=TRUE,$U$7=TRUE)),VLOOKUP($E32,'Status Thresholds'!$E:$AR,39,FALSE),IF((AND($U$4=FALSE,$U$5=TRUE,$U$6=FALSE,$U$7=TRUE)),VLOOKUP($E32,'Status Thresholds'!$E:$AR,29,FALSE)))))))))
))/
IF(OR($X$5=TRUE,$AC$3=TRUE
),($F$7/2), IF(OR($X$2,$X$3,$X$4,$X$6,$X$7,$X$8,$Z$2,$Z$3,$Z$4,$Z$5,$Z$6,$Z$7,$Z$8)=TRUE,$F$7)),0),"-")</f>
        <v>-</v>
      </c>
      <c r="I32" s="36" t="str">
        <f>IFERROR(
ROUNDUP(
IF(AND($U$5=FALSE,$U$4=FALSE),"-",IF(AND($U$5=TRUE,$U$4=TRUE),"-",
IF((AND($U$4=TRUE,$U$5=FALSE,$U$6=FALSE,$U$7=FALSE)),VLOOKUP($E32,'Status Thresholds'!$E:$AR,5,FALSE),IF((AND($U$4=TRUE,$U$5=FALSE,$U$6=TRUE,$U$7=FALSE)),VLOOKUP($E32,'Status Thresholds'!$E:$AR,15,FALSE),IF((AND($U$4=TRUE,$U$5=FALSE,$U$6=TRUE,$U$7=TRUE)),VLOOKUP($E32,'Status Thresholds'!$E:$AR,20,FALSE),IF((AND($U$4=TRUE,$U$5=FALSE,$U$6=FALSE,$U$7=TRUE)),VLOOKUP($E32,'Status Thresholds'!$E:$AR,10,FALSE),
IF((AND($U$4=FALSE,$U$5=TRUE,$U$6=FALSE,$U$7=FALSE)),VLOOKUP($E32,'Status Thresholds'!$E:$AR,25,FALSE),IF((AND($U$4=FALSE,$U$5=TRUE,$U$6=TRUE,$U$7=FALSE)),VLOOKUP($E32,'Status Thresholds'!$E:$AR,35,FALSE),IF((AND($U$4=FALSE,$U$5=TRUE,$U$6=TRUE,$U$7=TRUE)),VLOOKUP($E32,'Status Thresholds'!$E:$AR,40,FALSE),IF((AND($U$4=FALSE,$U$5=TRUE,$U$6=FALSE,$U$7=TRUE)),VLOOKUP($E32,'Status Thresholds'!$E:$AR,30,FALSE)))))))))
))/
IF(OR($X$5=TRUE,$AC$3=TRUE
),($F$7/2), IF(OR($X$2,$X$3,$X$4,$X$6,$X$7,$X$8,$Z$2,$Z$3,$Z$4,$Z$5,$Z$6,$Z$7,$Z$8)=TRUE,$F$7)),0),"-")</f>
        <v>-</v>
      </c>
      <c r="J32" s="46" t="str">
        <f>IFERROR(IF(AND($U$5=FALSE,$U$4=FALSE),"-",VLOOKUP($E32,'Status Thresholds'!$E:$AU,41,FALSE)),"-")</f>
        <v>-</v>
      </c>
      <c r="K32" s="46" t="str">
        <f>IFERROR(IF(AND($U$5=FALSE,$U$4=FALSE),"-",VLOOKUP($E32,'Status Thresholds'!$E:$AU,42,FALSE)),"-")</f>
        <v>-</v>
      </c>
      <c r="L32" s="46" t="str">
        <f>IFERROR(IF(AND($U$5=FALSE,$U$4=FALSE),"-",VLOOKUP($E32,'Status Thresholds'!$E:$AU,43,FALSE)),"-")</f>
        <v>-</v>
      </c>
    </row>
    <row r="33" spans="1:12" ht="14.45" customHeight="1" x14ac:dyDescent="0.25">
      <c r="A33" s="35"/>
      <c r="B33" s="64" t="str">
        <f>VLOOKUP(C33,'Status Thresholds'!B:C,2,FALSE)</f>
        <v>MHGU</v>
      </c>
      <c r="C33" s="64" t="str">
        <f>IF('Status Thresholds'!B28=0, "", 'Status Thresholds'!B28)</f>
        <v>Ahtal-Ka ( Fortress)</v>
      </c>
      <c r="D33" s="34" t="s">
        <v>14</v>
      </c>
      <c r="E33" s="36" t="str">
        <f t="shared" si="0"/>
        <v>Ahtal-Ka ( Fortress)KO</v>
      </c>
      <c r="F33" s="36" t="s">
        <v>214</v>
      </c>
      <c r="G33" s="36" t="s">
        <v>214</v>
      </c>
      <c r="H33" s="36" t="s">
        <v>214</v>
      </c>
      <c r="I33" s="36" t="s">
        <v>214</v>
      </c>
      <c r="J33" s="46" t="str">
        <f>IFERROR(IF(AND($U$5=FALSE,$U$4=FALSE),"-",VLOOKUP($E33,'Status Thresholds'!$E:$AU,41,FALSE)),"-")</f>
        <v>-</v>
      </c>
      <c r="K33" s="46" t="str">
        <f>IFERROR(IF(AND($U$5=FALSE,$U$4=FALSE),"-",VLOOKUP($E33,'Status Thresholds'!$E:$AU,42,FALSE)),"-")</f>
        <v>-</v>
      </c>
      <c r="L33" s="46" t="str">
        <f>IFERROR(IF(AND($U$5=FALSE,$U$4=FALSE),"-",VLOOKUP($E33,'Status Thresholds'!$E:$AU,43,FALSE)),"-")</f>
        <v>-</v>
      </c>
    </row>
    <row r="34" spans="1:12" x14ac:dyDescent="0.25">
      <c r="A34" s="35"/>
      <c r="B34" s="64" t="str">
        <f>VLOOKUP(C34,'Status Thresholds'!B:C,2,FALSE)</f>
        <v>MHGU</v>
      </c>
      <c r="C34" s="64" t="str">
        <f>IF('Status Thresholds'!B29=0, "", 'Status Thresholds'!B29)</f>
        <v>Ahtal-Ka ( Fortress)</v>
      </c>
      <c r="D34" s="33" t="s">
        <v>34</v>
      </c>
      <c r="E34" s="36" t="str">
        <f t="shared" si="0"/>
        <v>Ahtal-Ka ( Fortress)Mount</v>
      </c>
      <c r="F34" s="36" t="str">
        <f>IFERROR(
ROUNDUP(
IF(AND($U$5=FALSE,$U$4=FALSE),"-",IF(AND($U$5=TRUE,$U$4=TRUE),"-",
IF((AND($U$4=TRUE,$U$5=FALSE,$U$6=FALSE,$U$7=FALSE)),VLOOKUP($E34,'Status Thresholds'!$E:$AR,2,FALSE),IF((AND($U$4=TRUE,$U$5=FALSE,$U$6=TRUE,$U$7=FALSE)),VLOOKUP($E34,'Status Thresholds'!$E:$AR,12,FALSE),IF((AND($U$4=TRUE,$U$5=FALSE,$U$6=TRUE,$U$7=TRUE)),VLOOKUP($E34,'Status Thresholds'!$E:$AR,17,FALSE),IF((AND($U$4=TRUE,$U$5=FALSE,$U$6=FALSE,$U$7=TRUE)),VLOOKUP($E34,'Status Thresholds'!$E:$AR,7,FALSE),
IF((AND($U$4=FALSE,$U$5=TRUE,$U$6=FALSE,$U$7=FALSE)),VLOOKUP($E34,'Status Thresholds'!$E:$AR,22,FALSE),IF((AND($U$4=FALSE,$U$5=TRUE,$U$6=TRUE,$U$7=FALSE)),VLOOKUP($E34,'Status Thresholds'!$E:$AR,32,FALSE),IF((AND($U$4=FALSE,$U$5=TRUE,$U$6=TRUE,$U$7=TRUE)),VLOOKUP($E34,'Status Thresholds'!$E:$AR,37,FALSE),IF((AND($U$4=FALSE,$U$5=TRUE,$U$6=FALSE,$U$7=TRUE)),VLOOKUP($E34,'Status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34" s="36" t="str">
        <f>IFERROR(
ROUNDUP(
IF(AND($U$5=FALSE,$U$4=FALSE),"-",IF(AND($U$5=TRUE,$U$4=TRUE),"-",
IF((AND($U$4=TRUE,$U$5=FALSE,$U$6=FALSE,$U$7=FALSE)),VLOOKUP($E33,'Status Thresholds'!$E:$AR,3,FALSE),IF((AND($U$4=TRUE,$U$5=FALSE,$U$6=TRUE,$U$7=FALSE)),VLOOKUP($E33,'Status Thresholds'!$E:$AR,13,FALSE),IF((AND($U$4=TRUE,$U$5=FALSE,$U$6=TRUE,$U$7=TRUE)),VLOOKUP($E33,'Status Thresholds'!$E:$AR,18,FALSE),IF((AND($U$4=TRUE,$U$5=FALSE,$U$6=FALSE,$U$7=TRUE)),VLOOKUP($E33,'Status Thresholds'!$E:$AR,8,FALSE),
IF((AND($U$4=FALSE,$U$5=TRUE,$U$6=FALSE,$U$7=FALSE)),VLOOKUP($E33,'Status Thresholds'!$E:$AR,23,FALSE),IF((AND($U$4=FALSE,$U$5=TRUE,$U$6=TRUE,$U$7=FALSE)),VLOOKUP($E33,'Status Thresholds'!$E:$AR,33,FALSE),IF((AND($U$4=FALSE,$U$5=TRUE,$U$6=TRUE,$U$7=TRUE)),VLOOKUP($E33,'Status Thresholds'!$E:$AR,38,FALSE),IF((AND($U$4=FALSE,$U$5=TRUE,$U$6=FALSE,$U$7=TRUE)),VLOOKUP($E33,'Status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34" s="36" t="str">
        <f>IFERROR(
ROUNDUP(
IF(AND($U$5=FALSE,$U$4=FALSE),"-",IF(AND($U$5=TRUE,$U$4=TRUE),"-",
IF((AND($U$4=TRUE,$U$5=FALSE,$U$6=FALSE,$U$7=FALSE)),VLOOKUP($E33,'Status Thresholds'!$E:$AR,4,FALSE),IF((AND($U$4=TRUE,$U$5=FALSE,$U$6=TRUE,$U$7=FALSE)),VLOOKUP($E33,'Status Thresholds'!$E:$AR,14,FALSE),IF((AND($U$4=TRUE,$U$5=FALSE,$U$6=TRUE,$U$7=TRUE)),VLOOKUP($E33,'Status Thresholds'!$E:$AR,19,FALSE),IF((AND($U$4=TRUE,$U$5=FALSE,$U$6=FALSE,$U$7=TRUE)),VLOOKUP($E33,'Status Thresholds'!$E:$AR,9,FALSE),
IF((AND($U$4=FALSE,$U$5=TRUE,$U$6=FALSE,$U$7=FALSE)),VLOOKUP($E33,'Status Thresholds'!$E:$AR,24,FALSE),IF((AND($U$4=FALSE,$U$5=TRUE,$U$6=TRUE,$U$7=FALSE)),VLOOKUP($E33,'Status Thresholds'!$E:$AR,34,FALSE),IF((AND($U$4=FALSE,$U$5=TRUE,$U$6=TRUE,$U$7=TRUE)),VLOOKUP($E33,'Status Thresholds'!$E:$AR,39,FALSE),IF((AND($U$4=FALSE,$U$5=TRUE,$U$6=FALSE,$U$7=TRUE)),VLOOKUP($E33,'Status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34" s="36" t="str">
        <f>IFERROR(
ROUNDUP(
IF(AND($U$5=FALSE,$U$4=FALSE),"-",IF(AND($U$5=TRUE,$U$4=TRUE),"-",
IF((AND($U$4=TRUE,$U$5=FALSE,$U$6=FALSE,$U$7=FALSE)),VLOOKUP($E33,'Status Thresholds'!$E:$AR,5,FALSE),IF((AND($U$4=TRUE,$U$5=FALSE,$U$6=TRUE,$U$7=FALSE)),VLOOKUP($E33,'Status Thresholds'!$E:$AR,15,FALSE),IF((AND($U$4=TRUE,$U$5=FALSE,$U$6=TRUE,$U$7=TRUE)),VLOOKUP($E33,'Status Thresholds'!$E:$AR,20,FALSE),IF((AND($U$4=TRUE,$U$5=FALSE,$U$6=FALSE,$U$7=TRUE)),VLOOKUP($E33,'Status Thresholds'!$E:$AR,10,FALSE),
IF((AND($U$4=FALSE,$U$5=TRUE,$U$6=FALSE,$U$7=FALSE)),VLOOKUP($E33,'Status Thresholds'!$E:$AR,25,FALSE),IF((AND($U$4=FALSE,$U$5=TRUE,$U$6=TRUE,$U$7=FALSE)),VLOOKUP($E33,'Status Thresholds'!$E:$AR,35,FALSE),IF((AND($U$4=FALSE,$U$5=TRUE,$U$6=TRUE,$U$7=TRUE)),VLOOKUP($E33,'Status Thresholds'!$E:$AR,40,FALSE),IF((AND($U$4=FALSE,$U$5=TRUE,$U$6=FALSE,$U$7=TRUE)),VLOOKUP($E33,'Status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34" s="46" t="str">
        <f>IFERROR(IF(AND($U$5=FALSE,$U$4=FALSE),"-",VLOOKUP($E34,'Status Thresholds'!$E:$AU,41,FALSE)),"-")</f>
        <v>-</v>
      </c>
      <c r="K34" s="46" t="str">
        <f>IFERROR(IF(AND($U$5=FALSE,$U$4=FALSE),"-",VLOOKUP($E34,'Status Thresholds'!$E:$AU,42,FALSE)),"-")</f>
        <v>-</v>
      </c>
      <c r="L34" s="46" t="str">
        <f>IFERROR(IF(AND($U$5=FALSE,$U$4=FALSE),"-",VLOOKUP($E34,'Status Thresholds'!$E:$AU,43,FALSE)),"-")</f>
        <v>-</v>
      </c>
    </row>
    <row r="35" spans="1:12" ht="15" customHeight="1" x14ac:dyDescent="0.25">
      <c r="A35" s="35"/>
      <c r="B35" s="64" t="str">
        <f>VLOOKUP(C35,'Status Thresholds'!B:C,2,FALSE)</f>
        <v>MHGU</v>
      </c>
      <c r="C35" s="64" t="str">
        <f>IF('Status Thresholds'!B30=0, "", 'Status Thresholds'!B30)</f>
        <v>Ahtal-Ka ( Fortress)</v>
      </c>
      <c r="D35" s="77" t="s">
        <v>207</v>
      </c>
      <c r="E35" s="36" t="str">
        <f t="shared" si="0"/>
        <v>Ahtal-Ka ( Fortress)Shock Trap</v>
      </c>
      <c r="F35" s="76" t="s">
        <v>214</v>
      </c>
      <c r="G35" s="46" t="s">
        <v>214</v>
      </c>
      <c r="H35" s="46" t="s">
        <v>214</v>
      </c>
      <c r="I35" s="46" t="s">
        <v>214</v>
      </c>
      <c r="J35" s="46">
        <f>IFERROR(IF(AND($U$5=FALSE,$U$4=FALSE),"-",VLOOKUP($E35,'Status Thresholds'!$E:$AU,43,FALSE)),"-")</f>
        <v>0</v>
      </c>
      <c r="K35" s="46">
        <f>IFERROR(IF(AND($U$5=FALSE,$U$4=FALSE),"-",VLOOKUP($E35,'Status Thresholds'!$E:$AU,41,FALSE)),"-")</f>
        <v>0</v>
      </c>
      <c r="L35" s="46">
        <f>IFERROR(IF(AND($U$5=FALSE,$U$4=FALSE),"-",VLOOKUP($E35,'Status Thresholds'!$E:$AU,42,FALSE)),"-")</f>
        <v>0</v>
      </c>
    </row>
    <row r="36" spans="1:12" x14ac:dyDescent="0.25">
      <c r="A36" s="35"/>
      <c r="B36" s="64" t="str">
        <f>VLOOKUP(C36,'Status Thresholds'!B:C,2,FALSE)</f>
        <v>MHGU</v>
      </c>
      <c r="C36" s="64" t="str">
        <f>IF('Status Thresholds'!B31=0, "", 'Status Thresholds'!B31)</f>
        <v>Ahtal-Ka ( Fortress)</v>
      </c>
      <c r="D36" s="77" t="s">
        <v>213</v>
      </c>
      <c r="E36" s="36" t="str">
        <f t="shared" si="0"/>
        <v>Ahtal-Ka ( Fortress)Pitfall Trap</v>
      </c>
      <c r="F36" s="46" t="s">
        <v>214</v>
      </c>
      <c r="G36" s="46" t="s">
        <v>214</v>
      </c>
      <c r="H36" s="46" t="s">
        <v>214</v>
      </c>
      <c r="I36" s="46" t="s">
        <v>214</v>
      </c>
      <c r="J36" s="46">
        <f>IFERROR(IF(AND($U$5=FALSE,$U$4=FALSE),"-",VLOOKUP($E36,'Status Thresholds'!$E:$AU,43,FALSE)),"-")</f>
        <v>0</v>
      </c>
      <c r="K36" s="46">
        <f>IFERROR(IF(AND($U$5=FALSE,$U$4=FALSE),"-",VLOOKUP($E36,'Status Thresholds'!$E:$AU,41,FALSE)),"-")</f>
        <v>0</v>
      </c>
      <c r="L36" s="46">
        <f>IFERROR(IF(AND($U$5=FALSE,$U$4=FALSE),"-",VLOOKUP($E36,'Status Thresholds'!$E:$AU,42,FALSE)),"-")</f>
        <v>0</v>
      </c>
    </row>
    <row r="37" spans="1:12" s="36" customFormat="1" x14ac:dyDescent="0.25">
      <c r="A37" s="64"/>
      <c r="B37" s="64" t="str">
        <f>VLOOKUP(C37,'Status Thresholds'!B:C,2,FALSE)</f>
        <v>MHGen</v>
      </c>
      <c r="C37" s="64" t="str">
        <f>IF('Status Thresholds'!B32=0, "", 'Status Thresholds'!B32)</f>
        <v>Akantor</v>
      </c>
      <c r="D37" s="37" t="s">
        <v>0</v>
      </c>
      <c r="E37" s="36" t="str">
        <f t="shared" si="0"/>
        <v>AkantorPara</v>
      </c>
      <c r="F37" s="36" t="str">
        <f>IFERROR(
ROUNDUP(
IF(AND($U$5=FALSE,$U$4=FALSE),"-",IF(AND($U$5=TRUE,$U$4=TRUE),"-",
IF((AND($U$4=TRUE,$U$5=FALSE,$U$6=FALSE,$U$7=FALSE)),VLOOKUP($E37,'Status Thresholds'!$E:$AR,2,FALSE),IF((AND($U$4=TRUE,$U$5=FALSE,$U$6=TRUE,$U$7=FALSE)),VLOOKUP($E37,'Status Thresholds'!$E:$AR,12,FALSE),IF((AND($U$4=TRUE,$U$5=FALSE,$U$6=TRUE,$U$7=TRUE)),VLOOKUP($E37,'Status Thresholds'!$E:$AR,17,FALSE),IF((AND($U$4=TRUE,$U$5=FALSE,$U$6=FALSE,$U$7=TRUE)),VLOOKUP($E37,'Status Thresholds'!$E:$AR,7,FALSE),
IF((AND($U$4=FALSE,$U$5=TRUE,$U$6=FALSE,$U$7=FALSE)),VLOOKUP($E37,'Status Thresholds'!$E:$AR,22,FALSE),IF((AND($U$4=FALSE,$U$5=TRUE,$U$6=TRUE,$U$7=FALSE)),VLOOKUP($E37,'Status Thresholds'!$E:$AR,32,FALSE),IF((AND($U$4=FALSE,$U$5=TRUE,$U$6=TRUE,$U$7=TRUE)),VLOOKUP($E37,'Status Thresholds'!$E:$AR,37,FALSE),IF((AND($U$4=FALSE,$U$5=TRUE,$U$6=FALSE,$U$7=TRUE)),VLOOKUP($E37,'Status Thresholds'!$E:$AR,27,FALSE)))))))))
))/
IF(OR($X$5=TRUE,$AC$3=TRUE
),($F$3/2), IF(OR($X$2,$X$3,$X$4,$X$6,$X$7,$X$8,$Z$2,$Z$3,$Z$4,$Z$5,$Z$6,$Z$7,$Z$8)=TRUE,$F$3)),0),"-")</f>
        <v>-</v>
      </c>
      <c r="G37" s="36" t="str">
        <f>IFERROR(
ROUNDUP(
IF(AND($U$5=FALSE,$U$4=FALSE),"-",IF(AND($U$5=TRUE,$U$4=TRUE),"-",
IF((AND($U$4=TRUE,$U$5=FALSE,$U$6=FALSE,$U$7=FALSE)),VLOOKUP($E37,'Status Thresholds'!$E:$AR,3,FALSE),IF((AND($U$4=TRUE,$U$5=FALSE,$U$6=TRUE,$U$7=FALSE)),VLOOKUP($E37,'Status Thresholds'!$E:$AR,13,FALSE),IF((AND($U$4=TRUE,$U$5=FALSE,$U$6=TRUE,$U$7=TRUE)),VLOOKUP($E37,'Status Thresholds'!$E:$AR,18,FALSE),IF((AND($U$4=TRUE,$U$5=FALSE,$U$6=FALSE,$U$7=TRUE)),VLOOKUP($E37,'Status Thresholds'!$E:$AR,8,FALSE),
IF((AND($U$4=FALSE,$U$5=TRUE,$U$6=FALSE,$U$7=FALSE)),VLOOKUP($E37,'Status Thresholds'!$E:$AR,23,FALSE),IF((AND($U$4=FALSE,$U$5=TRUE,$U$6=TRUE,$U$7=FALSE)),VLOOKUP($E37,'Status Thresholds'!$E:$AR,33,FALSE),IF((AND($U$4=FALSE,$U$5=TRUE,$U$6=TRUE,$U$7=TRUE)),VLOOKUP($E37,'Status Thresholds'!$E:$AR,38,FALSE),IF((AND($U$4=FALSE,$U$5=TRUE,$U$6=FALSE,$U$7=TRUE)),VLOOKUP($E37,'Status Thresholds'!$E:$AR,28,FALSE)))))))))
))/
IF(OR($X$5=TRUE,$AC$3=TRUE
),($F$3/2), IF(OR($X$2,$X$3,$X$4,$X$6,$X$7,$X$8,$Z$2,$Z$3,$Z$4,$Z$5,$Z$6,$Z$7,$Z$8)=TRUE,$F$3)),0),"-")</f>
        <v>-</v>
      </c>
      <c r="H37" s="36" t="str">
        <f>IFERROR(
ROUNDUP(
IF(AND($U$5=FALSE,$U$4=FALSE),"-",IF(AND($U$5=TRUE,$U$4=TRUE),"-",
IF((AND($U$4=TRUE,$U$5=FALSE,$U$6=FALSE,$U$7=FALSE)),VLOOKUP($E37,'Status Thresholds'!$E:$AR,4,FALSE),IF((AND($U$4=TRUE,$U$5=FALSE,$U$6=TRUE,$U$7=FALSE)),VLOOKUP($E37,'Status Thresholds'!$E:$AR,14,FALSE),IF((AND($U$4=TRUE,$U$5=FALSE,$U$6=TRUE,$U$7=TRUE)),VLOOKUP($E37,'Status Thresholds'!$E:$AR,19,FALSE),IF((AND($U$4=TRUE,$U$5=FALSE,$U$6=FALSE,$U$7=TRUE)),VLOOKUP($E37,'Status Thresholds'!$E:$AR,9,FALSE),
IF((AND($U$4=FALSE,$U$5=TRUE,$U$6=FALSE,$U$7=FALSE)),VLOOKUP($E37,'Status Thresholds'!$E:$AR,24,FALSE),IF((AND($U$4=FALSE,$U$5=TRUE,$U$6=TRUE,$U$7=FALSE)),VLOOKUP($E37,'Status Thresholds'!$E:$AR,34,FALSE),IF((AND($U$4=FALSE,$U$5=TRUE,$U$6=TRUE,$U$7=TRUE)),VLOOKUP($E37,'Status Thresholds'!$E:$AR,39,FALSE),IF((AND($U$4=FALSE,$U$5=TRUE,$U$6=FALSE,$U$7=TRUE)),VLOOKUP($E37,'Status Thresholds'!$E:$AR,29,FALSE)))))))))
))/
IF(OR($X$5=TRUE,$AC$3=TRUE
),($F$3/2), IF(OR($X$2,$X$3,$X$4,$X$6,$X$7,$X$8,$Z$2,$Z$3,$Z$4,$Z$5,$Z$6,$Z$7,$Z$8)=TRUE,$F$3)),0),"-")</f>
        <v>-</v>
      </c>
      <c r="I37" s="36" t="str">
        <f>IFERROR(
ROUNDUP(
IF(AND($U$5=FALSE,$U$4=FALSE),"-",IF(AND($U$5=TRUE,$U$4=TRUE),"-",
IF((AND($U$4=TRUE,$U$5=FALSE,$U$6=FALSE,$U$7=FALSE)),VLOOKUP($E37,'Status Thresholds'!$E:$AR,5,FALSE),IF((AND($U$4=TRUE,$U$5=FALSE,$U$6=TRUE,$U$7=FALSE)),VLOOKUP($E37,'Status Thresholds'!$E:$AR,15,FALSE),IF((AND($U$4=TRUE,$U$5=FALSE,$U$6=TRUE,$U$7=TRUE)),VLOOKUP($E37,'Status Thresholds'!$E:$AR,20,FALSE),IF((AND($U$4=TRUE,$U$5=FALSE,$U$6=FALSE,$U$7=TRUE)),VLOOKUP($E37,'Status Thresholds'!$E:$AR,10,FALSE),
IF((AND($U$4=FALSE,$U$5=TRUE,$U$6=FALSE,$U$7=FALSE)),VLOOKUP($E37,'Status Thresholds'!$E:$AR,25,FALSE),IF((AND($U$4=FALSE,$U$5=TRUE,$U$6=TRUE,$U$7=FALSE)),VLOOKUP($E37,'Status Thresholds'!$E:$AR,35,FALSE),IF((AND($U$4=FALSE,$U$5=TRUE,$U$6=TRUE,$U$7=TRUE)),VLOOKUP($E37,'Status Thresholds'!$E:$AR,40,FALSE),IF((AND($U$4=FALSE,$U$5=TRUE,$U$6=FALSE,$U$7=TRUE)),VLOOKUP($E37,'Status Thresholds'!$E:$AR,30,FALSE)))))))))
))/
IF(OR($X$5=TRUE,$AC$3=TRUE
),($F$3/2), IF(OR($X$2,$X$3,$X$4,$X$6,$X$7,$X$8,$Z$2,$Z$3,$Z$4,$Z$5,$Z$6,$Z$7,$Z$8)=TRUE,$F$3)),0),"-")</f>
        <v>-</v>
      </c>
      <c r="J37" s="36">
        <f>IFERROR(IF(AND($U$5=FALSE,$U$4=FALSE),"-",VLOOKUP($E37,'Status Thresholds'!$E:$AU,41,FALSE)),"-")</f>
        <v>10</v>
      </c>
      <c r="K37" s="36" t="str">
        <f>IFERROR(IF(AND($U$5=FALSE,$U$4=FALSE),"-",VLOOKUP($E37,'Status Thresholds'!$E:$AU,42,FALSE)),"-")</f>
        <v>-</v>
      </c>
      <c r="L37" s="36" t="str">
        <f>IFERROR(IF(AND($U$5=FALSE,$U$4=FALSE),"-",VLOOKUP($E37,'Status Thresholds'!$E:$AU,43,FALSE)),"-")</f>
        <v>-</v>
      </c>
    </row>
    <row r="38" spans="1:12" x14ac:dyDescent="0.25">
      <c r="A38" s="35"/>
      <c r="B38" s="64" t="str">
        <f>VLOOKUP(C38,'Status Thresholds'!B:C,2,FALSE)</f>
        <v>MHGen</v>
      </c>
      <c r="C38" s="64" t="str">
        <f>IF('Status Thresholds'!B33=0, "", 'Status Thresholds'!B33)</f>
        <v>Akantor</v>
      </c>
      <c r="D38" s="31" t="s">
        <v>32</v>
      </c>
      <c r="E38" s="36" t="str">
        <f t="shared" si="0"/>
        <v>AkantorSleep</v>
      </c>
      <c r="F38" s="36" t="str">
        <f>IFERROR(
ROUNDUP(
IF(AND($U$5=FALSE,$U$4=FALSE),"-",IF(AND($U$5=TRUE,$U$4=TRUE),"-",
IF((AND($U$4=TRUE,$U$5=FALSE,$U$6=FALSE,$U$7=FALSE)),VLOOKUP($E38,'Status Thresholds'!$E:$AR,2,FALSE),IF((AND($U$4=TRUE,$U$5=FALSE,$U$6=TRUE,$U$7=FALSE)),VLOOKUP($E38,'Status Thresholds'!$E:$AR,12,FALSE),IF((AND($U$4=TRUE,$U$5=FALSE,$U$6=TRUE,$U$7=TRUE)),VLOOKUP($E38,'Status Thresholds'!$E:$AR,17,FALSE),IF((AND($U$4=TRUE,$U$5=FALSE,$U$6=FALSE,$U$7=TRUE)),VLOOKUP($E38,'Status Thresholds'!$E:$AR,7,FALSE),
IF((AND($U$4=FALSE,$U$5=TRUE,$U$6=FALSE,$U$7=FALSE)),VLOOKUP($E38,'Status Thresholds'!$E:$AR,22,FALSE),IF((AND($U$4=FALSE,$U$5=TRUE,$U$6=TRUE,$U$7=FALSE)),VLOOKUP($E38,'Status Thresholds'!$E:$AR,32,FALSE),IF((AND($U$4=FALSE,$U$5=TRUE,$U$6=TRUE,$U$7=TRUE)),VLOOKUP($E38,'Status Thresholds'!$E:$AR,37,FALSE),IF((AND($U$4=FALSE,$U$5=TRUE,$U$6=FALSE,$U$7=TRUE)),VLOOKUP($E38,'Status Thresholds'!$E:$AR,27,FALSE)))))))))
))/
IF(OR($X$5=TRUE,$AC$3=TRUE
),($F$4/2), IF(OR($X$2,$X$3,$X$4,$X$6,$X$7,$X$8,$Z$2,$Z$3,$Z$4,$Z$5,$Z$6,$Z$7,$Z$8)=TRUE,$F$4)),0),"-")</f>
        <v>-</v>
      </c>
      <c r="G38" s="36" t="str">
        <f>IFERROR(
ROUNDUP(
IF(AND($U$5=FALSE,$U$4=FALSE),"-",IF(AND($U$5=TRUE,$U$4=TRUE),"-",
IF((AND($U$4=TRUE,$U$5=FALSE,$U$6=FALSE,$U$7=FALSE)),VLOOKUP($E38,'Status Thresholds'!$E:$AR,3,FALSE),IF((AND($U$4=TRUE,$U$5=FALSE,$U$6=TRUE,$U$7=FALSE)),VLOOKUP($E38,'Status Thresholds'!$E:$AR,13,FALSE),IF((AND($U$4=TRUE,$U$5=FALSE,$U$6=TRUE,$U$7=TRUE)),VLOOKUP($E38,'Status Thresholds'!$E:$AR,18,FALSE),IF((AND($U$4=TRUE,$U$5=FALSE,$U$6=FALSE,$U$7=TRUE)),VLOOKUP($E38,'Status Thresholds'!$E:$AR,8,FALSE),
IF((AND($U$4=FALSE,$U$5=TRUE,$U$6=FALSE,$U$7=FALSE)),VLOOKUP($E38,'Status Thresholds'!$E:$AR,23,FALSE),IF((AND($U$4=FALSE,$U$5=TRUE,$U$6=TRUE,$U$7=FALSE)),VLOOKUP($E38,'Status Thresholds'!$E:$AR,33,FALSE),IF((AND($U$4=FALSE,$U$5=TRUE,$U$6=TRUE,$U$7=TRUE)),VLOOKUP($E38,'Status Thresholds'!$E:$AR,38,FALSE),IF((AND($U$4=FALSE,$U$5=TRUE,$U$6=FALSE,$U$7=TRUE)),VLOOKUP($E38,'Status Thresholds'!$E:$AR,28,FALSE)))))))))
))/
IF(OR($X$5=TRUE,$AC$3=TRUE
),($F$4/2), IF(OR($X$2,$X$3,$X$4,$X$6,$X$7,$X$8,$Z$2,$Z$3,$Z$4,$Z$5,$Z$6,$Z$7,$Z$8)=TRUE,$F$4)),0),"-")</f>
        <v>-</v>
      </c>
      <c r="H38" s="36" t="str">
        <f>IFERROR(
ROUNDUP(
IF(AND($U$5=FALSE,$U$4=FALSE),"-",IF(AND($U$5=TRUE,$U$4=TRUE),"-",
IF((AND($U$4=TRUE,$U$5=FALSE,$U$6=FALSE,$U$7=FALSE)),VLOOKUP($E38,'Status Thresholds'!$E:$AR,4,FALSE),IF((AND($U$4=TRUE,$U$5=FALSE,$U$6=TRUE,$U$7=FALSE)),VLOOKUP($E38,'Status Thresholds'!$E:$AR,14,FALSE),IF((AND($U$4=TRUE,$U$5=FALSE,$U$6=TRUE,$U$7=TRUE)),VLOOKUP($E38,'Status Thresholds'!$E:$AR,19,FALSE),IF((AND($U$4=TRUE,$U$5=FALSE,$U$6=FALSE,$U$7=TRUE)),VLOOKUP($E38,'Status Thresholds'!$E:$AR,9,FALSE),
IF((AND($U$4=FALSE,$U$5=TRUE,$U$6=FALSE,$U$7=FALSE)),VLOOKUP($E38,'Status Thresholds'!$E:$AR,24,FALSE),IF((AND($U$4=FALSE,$U$5=TRUE,$U$6=TRUE,$U$7=FALSE)),VLOOKUP($E38,'Status Thresholds'!$E:$AR,34,FALSE),IF((AND($U$4=FALSE,$U$5=TRUE,$U$6=TRUE,$U$7=TRUE)),VLOOKUP($E38,'Status Thresholds'!$E:$AR,39,FALSE),IF((AND($U$4=FALSE,$U$5=TRUE,$U$6=FALSE,$U$7=TRUE)),VLOOKUP($E38,'Status Thresholds'!$E:$AR,29,FALSE)))))))))
))/
IF(OR($X$5=TRUE,$AC$3=TRUE
),($F$4/2), IF(OR($X$2,$X$3,$X$4,$X$6,$X$7,$X$8,$Z$2,$Z$3,$Z$4,$Z$5,$Z$6,$Z$7,$Z$8)=TRUE,$F$4)),0),"-")</f>
        <v>-</v>
      </c>
      <c r="I38" s="36" t="str">
        <f>IFERROR(
ROUNDUP(
IF(AND($U$5=FALSE,$U$4=FALSE),"-",IF(AND($U$5=TRUE,$U$4=TRUE),"-",
IF((AND($U$4=TRUE,$U$5=FALSE,$U$6=FALSE,$U$7=FALSE)),VLOOKUP($E38,'Status Thresholds'!$E:$AR,5,FALSE),IF((AND($U$4=TRUE,$U$5=FALSE,$U$6=TRUE,$U$7=FALSE)),VLOOKUP($E38,'Status Thresholds'!$E:$AR,15,FALSE),IF((AND($U$4=TRUE,$U$5=FALSE,$U$6=TRUE,$U$7=TRUE)),VLOOKUP($E38,'Status Thresholds'!$E:$AR,20,FALSE),IF((AND($U$4=TRUE,$U$5=FALSE,$U$6=FALSE,$U$7=TRUE)),VLOOKUP($E38,'Status Thresholds'!$E:$AR,10,FALSE),
IF((AND($U$4=FALSE,$U$5=TRUE,$U$6=FALSE,$U$7=FALSE)),VLOOKUP($E38,'Status Thresholds'!$E:$AR,25,FALSE),IF((AND($U$4=FALSE,$U$5=TRUE,$U$6=TRUE,$U$7=FALSE)),VLOOKUP($E38,'Status Thresholds'!$E:$AR,35,FALSE),IF((AND($U$4=FALSE,$U$5=TRUE,$U$6=TRUE,$U$7=TRUE)),VLOOKUP($E38,'Status Thresholds'!$E:$AR,40,FALSE),IF((AND($U$4=FALSE,$U$5=TRUE,$U$6=FALSE,$U$7=TRUE)),VLOOKUP($E38,'Status Thresholds'!$E:$AR,30,FALSE)))))))))
))/
IF(OR($X$5=TRUE,$AC$3=TRUE
),($F$4/2), IF(OR($X$2,$X$3,$X$4,$X$6,$X$7,$X$8,$Z$2,$Z$3,$Z$4,$Z$5,$Z$6,$Z$7,$Z$8)=TRUE,$F$4)),0),"-")</f>
        <v>-</v>
      </c>
      <c r="J38" s="46">
        <f>IFERROR(IF(AND($U$5=FALSE,$U$4=FALSE),"-",VLOOKUP($E38,'Status Thresholds'!$E:$AU,41,FALSE)),"-")</f>
        <v>30</v>
      </c>
      <c r="K38" s="46" t="str">
        <f>IFERROR(IF(AND($U$5=FALSE,$U$4=FALSE),"-",VLOOKUP($E38,'Status Thresholds'!$E:$AU,42,FALSE)),"-")</f>
        <v>-</v>
      </c>
      <c r="L38" s="46" t="str">
        <f>IFERROR(IF(AND($U$5=FALSE,$U$4=FALSE),"-",VLOOKUP($E38,'Status Thresholds'!$E:$AU,43,FALSE)),"-")</f>
        <v>-</v>
      </c>
    </row>
    <row r="39" spans="1:12" x14ac:dyDescent="0.25">
      <c r="A39" s="35"/>
      <c r="B39" s="64" t="str">
        <f>VLOOKUP(C39,'Status Thresholds'!B:C,2,FALSE)</f>
        <v>MHGen</v>
      </c>
      <c r="C39" s="64" t="str">
        <f>IF('Status Thresholds'!B34=0, "", 'Status Thresholds'!B34)</f>
        <v>Akantor</v>
      </c>
      <c r="D39" s="32" t="s">
        <v>33</v>
      </c>
      <c r="E39" s="36" t="str">
        <f t="shared" si="0"/>
        <v>AkantorPoison</v>
      </c>
      <c r="F39" s="36" t="str">
        <f>IFERROR(
ROUNDUP(
IF(AND($U$5=FALSE,$U$4=FALSE),"-",IF(AND($U$5=TRUE,$U$4=TRUE),"-",
IF((AND($U$4=TRUE,$U$5=FALSE,$U$6=FALSE,$U$7=FALSE)),VLOOKUP($E39,'Status Thresholds'!$E:$AR,2,FALSE),IF((AND($U$4=TRUE,$U$5=FALSE,$U$6=TRUE,$U$7=FALSE)),VLOOKUP($E39,'Status Thresholds'!$E:$AR,12,FALSE),IF((AND($U$4=TRUE,$U$5=FALSE,$U$6=TRUE,$U$7=TRUE)),VLOOKUP($E39,'Status Thresholds'!$E:$AR,17,FALSE),IF((AND($U$4=TRUE,$U$5=FALSE,$U$6=FALSE,$U$7=TRUE)),VLOOKUP($E39,'Status Thresholds'!$E:$AR,7,FALSE),
IF((AND($U$4=FALSE,$U$5=TRUE,$U$6=FALSE,$U$7=FALSE)),VLOOKUP($E39,'Status Thresholds'!$E:$AR,22,FALSE),IF((AND($U$4=FALSE,$U$5=TRUE,$U$6=TRUE,$U$7=FALSE)),VLOOKUP($E39,'Status Thresholds'!$E:$AR,32,FALSE),IF((AND($U$4=FALSE,$U$5=TRUE,$U$6=TRUE,$U$7=TRUE)),VLOOKUP($E39,'Status Thresholds'!$E:$AR,37,FALSE),IF((AND($U$4=FALSE,$U$5=TRUE,$U$6=FALSE,$U$7=TRUE)),VLOOKUP($E39,'Status Thresholds'!$E:$AR,27,FALSE)))))))))
))/
IF(OR($X$5=TRUE,$AC$3=TRUE
),($F$5/2), IF(OR($X$2,$X$3,$X$4,$X$6,$X$7,$X$8,$Z$2,$Z$3,$Z$4,$Z$5,$Z$6,$Z$7,$Z$8)=TRUE,$F$5)),0),"-")</f>
        <v>-</v>
      </c>
      <c r="G39" s="36" t="str">
        <f>IFERROR(
ROUNDUP(
IF(AND($U$5=FALSE,$U$4=FALSE),"-",IF(AND($U$5=TRUE,$U$4=TRUE),"-",
IF((AND($U$4=TRUE,$U$5=FALSE,$U$6=FALSE,$U$7=FALSE)),VLOOKUP($E39,'Status Thresholds'!$E:$AR,3,FALSE),IF((AND($U$4=TRUE,$U$5=FALSE,$U$6=TRUE,$U$7=FALSE)),VLOOKUP($E39,'Status Thresholds'!$E:$AR,13,FALSE),IF((AND($U$4=TRUE,$U$5=FALSE,$U$6=TRUE,$U$7=TRUE)),VLOOKUP($E39,'Status Thresholds'!$E:$AR,18,FALSE),IF((AND($U$4=TRUE,$U$5=FALSE,$U$6=FALSE,$U$7=TRUE)),VLOOKUP($E39,'Status Thresholds'!$E:$AR,8,FALSE),
IF((AND($U$4=FALSE,$U$5=TRUE,$U$6=FALSE,$U$7=FALSE)),VLOOKUP($E39,'Status Thresholds'!$E:$AR,23,FALSE),IF((AND($U$4=FALSE,$U$5=TRUE,$U$6=TRUE,$U$7=FALSE)),VLOOKUP($E39,'Status Thresholds'!$E:$AR,33,FALSE),IF((AND($U$4=FALSE,$U$5=TRUE,$U$6=TRUE,$U$7=TRUE)),VLOOKUP($E39,'Status Thresholds'!$E:$AR,38,FALSE),IF((AND($U$4=FALSE,$U$5=TRUE,$U$6=FALSE,$U$7=TRUE)),VLOOKUP($E39,'Status Thresholds'!$E:$AR,28,FALSE)))))))))
))/
IF(OR($X$5=TRUE,$AC$3=TRUE
),($F$5/2), IF(OR($X$2,$X$3,$X$4,$X$6,$X$7,$X$8,$Z$2,$Z$3,$Z$4,$Z$5,$Z$6,$Z$7,$Z$8)=TRUE,$F$5)),0),"-")</f>
        <v>-</v>
      </c>
      <c r="H39" s="36" t="str">
        <f>IFERROR(
ROUNDUP(
IF(AND($U$5=FALSE,$U$4=FALSE),"-",IF(AND($U$5=TRUE,$U$4=TRUE),"-",
IF((AND($U$4=TRUE,$U$5=FALSE,$U$6=FALSE,$U$7=FALSE)),VLOOKUP($E39,'Status Thresholds'!$E:$AR,4,FALSE),IF((AND($U$4=TRUE,$U$5=FALSE,$U$6=TRUE,$U$7=FALSE)),VLOOKUP($E39,'Status Thresholds'!$E:$AR,14,FALSE),IF((AND($U$4=TRUE,$U$5=FALSE,$U$6=TRUE,$U$7=TRUE)),VLOOKUP($E39,'Status Thresholds'!$E:$AR,19,FALSE),IF((AND($U$4=TRUE,$U$5=FALSE,$U$6=FALSE,$U$7=TRUE)),VLOOKUP($E39,'Status Thresholds'!$E:$AR,9,FALSE),
IF((AND($U$4=FALSE,$U$5=TRUE,$U$6=FALSE,$U$7=FALSE)),VLOOKUP($E39,'Status Thresholds'!$E:$AR,24,FALSE),IF((AND($U$4=FALSE,$U$5=TRUE,$U$6=TRUE,$U$7=FALSE)),VLOOKUP($E39,'Status Thresholds'!$E:$AR,34,FALSE),IF((AND($U$4=FALSE,$U$5=TRUE,$U$6=TRUE,$U$7=TRUE)),VLOOKUP($E39,'Status Thresholds'!$E:$AR,39,FALSE),IF((AND($U$4=FALSE,$U$5=TRUE,$U$6=FALSE,$U$7=TRUE)),VLOOKUP($E39,'Status Thresholds'!$E:$AR,29,FALSE)))))))))
))/
IF(OR($X$5=TRUE,$AC$3=TRUE
),($F$5/2), IF(OR($X$2,$X$3,$X$4,$X$6,$X$7,$X$8,$Z$2,$Z$3,$Z$4,$Z$5,$Z$6,$Z$7,$Z$8)=TRUE,$F$5)),0),"-")</f>
        <v>-</v>
      </c>
      <c r="I39" s="36" t="str">
        <f>IFERROR(
ROUNDUP(
IF(AND($U$5=FALSE,$U$4=FALSE),"-",IF(AND($U$5=TRUE,$U$4=TRUE),"-",
IF((AND($U$4=TRUE,$U$5=FALSE,$U$6=FALSE,$U$7=FALSE)),VLOOKUP($E39,'Status Thresholds'!$E:$AR,5,FALSE),IF((AND($U$4=TRUE,$U$5=FALSE,$U$6=TRUE,$U$7=FALSE)),VLOOKUP($E39,'Status Thresholds'!$E:$AR,15,FALSE),IF((AND($U$4=TRUE,$U$5=FALSE,$U$6=TRUE,$U$7=TRUE)),VLOOKUP($E39,'Status Thresholds'!$E:$AR,20,FALSE),IF((AND($U$4=TRUE,$U$5=FALSE,$U$6=FALSE,$U$7=TRUE)),VLOOKUP($E39,'Status Thresholds'!$E:$AR,10,FALSE),
IF((AND($U$4=FALSE,$U$5=TRUE,$U$6=FALSE,$U$7=FALSE)),VLOOKUP($E39,'Status Thresholds'!$E:$AR,25,FALSE),IF((AND($U$4=FALSE,$U$5=TRUE,$U$6=TRUE,$U$7=FALSE)),VLOOKUP($E39,'Status Thresholds'!$E:$AR,35,FALSE),IF((AND($U$4=FALSE,$U$5=TRUE,$U$6=TRUE,$U$7=TRUE)),VLOOKUP($E39,'Status Thresholds'!$E:$AR,40,FALSE),IF((AND($U$4=FALSE,$U$5=TRUE,$U$6=FALSE,$U$7=TRUE)),VLOOKUP($E39,'Status Thresholds'!$E:$AR,30,FALSE)))))))))
))/
IF(OR($X$5=TRUE,$AC$3=TRUE
),($F$5/2), IF(OR($X$2,$X$3,$X$4,$X$6,$X$7,$X$8,$Z$2,$Z$3,$Z$4,$Z$5,$Z$6,$Z$7,$Z$8)=TRUE,$F$5)),0),"-")</f>
        <v>-</v>
      </c>
      <c r="J39" s="46">
        <f>IFERROR(IF(AND($U$5=FALSE,$U$4=FALSE),"-",VLOOKUP($E39,'Status Thresholds'!$E:$AU,41,FALSE)),"-")</f>
        <v>60</v>
      </c>
      <c r="K39" s="46" t="str">
        <f>IFERROR(IF(AND($U$5=FALSE,$U$4=FALSE),"-",VLOOKUP($E39,'Status Thresholds'!$E:$AU,42,FALSE)),"-")</f>
        <v>-</v>
      </c>
      <c r="L39" s="46" t="str">
        <f>IFERROR(IF(AND($U$5=FALSE,$U$4=FALSE),"-",VLOOKUP($E39,'Status Thresholds'!$E:$AU,43,FALSE)),"-")</f>
        <v>-</v>
      </c>
    </row>
    <row r="40" spans="1:12" x14ac:dyDescent="0.25">
      <c r="A40" s="35"/>
      <c r="B40" s="64" t="str">
        <f>VLOOKUP(C40,'Status Thresholds'!B:C,2,FALSE)</f>
        <v>MHGen</v>
      </c>
      <c r="C40" s="64" t="str">
        <f>IF('Status Thresholds'!B35=0, "", 'Status Thresholds'!B35)</f>
        <v>Akantor</v>
      </c>
      <c r="D40" s="10" t="s">
        <v>22</v>
      </c>
      <c r="E40" s="36" t="str">
        <f t="shared" si="0"/>
        <v>AkantorExhaust</v>
      </c>
      <c r="F40" s="36" t="str">
        <f>IFERROR(
ROUNDUP(
IF(AND($U$5=FALSE,$U$4=FALSE),"-",IF(AND($U$5=TRUE,$U$4=TRUE),"-",
IF((AND($U$4=TRUE,$U$5=FALSE,$U$6=FALSE,$U$7=FALSE)),VLOOKUP($E40,'Status Thresholds'!$E:$AR,2,FALSE),IF((AND($U$4=TRUE,$U$5=FALSE,$U$6=TRUE,$U$7=FALSE)),VLOOKUP($E40,'Status Thresholds'!$E:$AR,12,FALSE),IF((AND($U$4=TRUE,$U$5=FALSE,$U$6=TRUE,$U$7=TRUE)),VLOOKUP($E40,'Status Thresholds'!$E:$AR,17,FALSE),IF((AND($U$4=TRUE,$U$5=FALSE,$U$6=FALSE,$U$7=TRUE)),VLOOKUP($E40,'Status Thresholds'!$E:$AR,7,FALSE),
IF((AND($U$4=FALSE,$U$5=TRUE,$U$6=FALSE,$U$7=FALSE)),VLOOKUP($E40,'Status Thresholds'!$E:$AR,22,FALSE),IF((AND($U$4=FALSE,$U$5=TRUE,$U$6=TRUE,$U$7=FALSE)),VLOOKUP($E40,'Status Thresholds'!$E:$AR,32,FALSE),IF((AND($U$4=FALSE,$U$5=TRUE,$U$6=TRUE,$U$7=TRUE)),VLOOKUP($E40,'Status Thresholds'!$E:$AR,37,FALSE),IF((AND($U$4=FALSE,$U$5=TRUE,$U$6=FALSE,$U$7=TRUE)),VLOOKUP($E40,'Status Thresholds'!$E:$AR,27,FALSE)))))))))
))/
IF(OR($X$5=TRUE,$AC$3=TRUE
),($F$6/2), IF(OR($X$2,$X$3,$X$4,$X$6,$X$7,$X$8,$Z$2,$Z$3,$Z$4,$Z$5,$Z$6,$Z$7,$Z$8)=TRUE,$F$6)),0),"-")</f>
        <v>-</v>
      </c>
      <c r="G40" s="36" t="str">
        <f>IFERROR(
ROUNDUP(
IF(AND($U$5=FALSE,$U$4=FALSE),"-",IF(AND($U$5=TRUE,$U$4=TRUE),"-",
IF((AND($U$4=TRUE,$U$5=FALSE,$U$6=FALSE,$U$7=FALSE)),VLOOKUP($E40,'Status Thresholds'!$E:$AR,3,FALSE),IF((AND($U$4=TRUE,$U$5=FALSE,$U$6=TRUE,$U$7=FALSE)),VLOOKUP($E40,'Status Thresholds'!$E:$AR,13,FALSE),IF((AND($U$4=TRUE,$U$5=FALSE,$U$6=TRUE,$U$7=TRUE)),VLOOKUP($E40,'Status Thresholds'!$E:$AR,18,FALSE),IF((AND($U$4=TRUE,$U$5=FALSE,$U$6=FALSE,$U$7=TRUE)),VLOOKUP($E40,'Status Thresholds'!$E:$AR,8,FALSE),
IF((AND($U$4=FALSE,$U$5=TRUE,$U$6=FALSE,$U$7=FALSE)),VLOOKUP($E40,'Status Thresholds'!$E:$AR,23,FALSE),IF((AND($U$4=FALSE,$U$5=TRUE,$U$6=TRUE,$U$7=FALSE)),VLOOKUP($E40,'Status Thresholds'!$E:$AR,33,FALSE),IF((AND($U$4=FALSE,$U$5=TRUE,$U$6=TRUE,$U$7=TRUE)),VLOOKUP($E40,'Status Thresholds'!$E:$AR,38,FALSE),IF((AND($U$4=FALSE,$U$5=TRUE,$U$6=FALSE,$U$7=TRUE)),VLOOKUP($E40,'Status Thresholds'!$E:$AR,28,FALSE)))))))))
))/
IF(OR($X$5=TRUE,$AC$3=TRUE
),($F$6/2), IF(OR($X$2,$X$3,$X$4,$X$6,$X$7,$X$8,$Z$2,$Z$3,$Z$4,$Z$5,$Z$6,$Z$7,$Z$8)=TRUE,$F$6)),0),"-")</f>
        <v>-</v>
      </c>
      <c r="H40" s="36" t="str">
        <f>IFERROR(
ROUNDUP(
IF(AND($U$5=FALSE,$U$4=FALSE),"-",IF(AND($U$5=TRUE,$U$4=TRUE),"-",
IF((AND($U$4=TRUE,$U$5=FALSE,$U$6=FALSE,$U$7=FALSE)),VLOOKUP($E40,'Status Thresholds'!$E:$AR,4,FALSE),IF((AND($U$4=TRUE,$U$5=FALSE,$U$6=TRUE,$U$7=FALSE)),VLOOKUP($E40,'Status Thresholds'!$E:$AR,14,FALSE),IF((AND($U$4=TRUE,$U$5=FALSE,$U$6=TRUE,$U$7=TRUE)),VLOOKUP($E40,'Status Thresholds'!$E:$AR,19,FALSE),IF((AND($U$4=TRUE,$U$5=FALSE,$U$6=FALSE,$U$7=TRUE)),VLOOKUP($E40,'Status Thresholds'!$E:$AR,9,FALSE),
IF((AND($U$4=FALSE,$U$5=TRUE,$U$6=FALSE,$U$7=FALSE)),VLOOKUP($E40,'Status Thresholds'!$E:$AR,24,FALSE),IF((AND($U$4=FALSE,$U$5=TRUE,$U$6=TRUE,$U$7=FALSE)),VLOOKUP($E40,'Status Thresholds'!$E:$AR,34,FALSE),IF((AND($U$4=FALSE,$U$5=TRUE,$U$6=TRUE,$U$7=TRUE)),VLOOKUP($E40,'Status Thresholds'!$E:$AR,39,FALSE),IF((AND($U$4=FALSE,$U$5=TRUE,$U$6=FALSE,$U$7=TRUE)),VLOOKUP($E40,'Status Thresholds'!$E:$AR,29,FALSE)))))))))
))/
IF(OR($X$5=TRUE,$AC$3=TRUE
),($F$6/2), IF(OR($X$2,$X$3,$X$4,$X$6,$X$7,$X$8,$Z$2,$Z$3,$Z$4,$Z$5,$Z$6,$Z$7,$Z$8)=TRUE,$F$6)),0),"-")</f>
        <v>-</v>
      </c>
      <c r="I40" s="36" t="str">
        <f>IFERROR(
ROUNDUP(
IF(AND($U$5=FALSE,$U$4=FALSE),"-",IF(AND($U$5=TRUE,$U$4=TRUE),"-",
IF((AND($U$4=TRUE,$U$5=FALSE,$U$6=FALSE,$U$7=FALSE)),VLOOKUP($E40,'Status Thresholds'!$E:$AR,5,FALSE),IF((AND($U$4=TRUE,$U$5=FALSE,$U$6=TRUE,$U$7=FALSE)),VLOOKUP($E40,'Status Thresholds'!$E:$AR,15,FALSE),IF((AND($U$4=TRUE,$U$5=FALSE,$U$6=TRUE,$U$7=TRUE)),VLOOKUP($E40,'Status Thresholds'!$E:$AR,20,FALSE),IF((AND($U$4=TRUE,$U$5=FALSE,$U$6=FALSE,$U$7=TRUE)),VLOOKUP($E40,'Status Thresholds'!$E:$AR,10,FALSE),
IF((AND($U$4=FALSE,$U$5=TRUE,$U$6=FALSE,$U$7=FALSE)),VLOOKUP($E40,'Status Thresholds'!$E:$AR,25,FALSE),IF((AND($U$4=FALSE,$U$5=TRUE,$U$6=TRUE,$U$7=FALSE)),VLOOKUP($E40,'Status Thresholds'!$E:$AR,35,FALSE),IF((AND($U$4=FALSE,$U$5=TRUE,$U$6=TRUE,$U$7=TRUE)),VLOOKUP($E40,'Status Thresholds'!$E:$AR,40,FALSE),IF((AND($U$4=FALSE,$U$5=TRUE,$U$6=FALSE,$U$7=TRUE)),VLOOKUP($E40,'Status Thresholds'!$E:$AR,30,FALSE)))))))))
))/
IF(OR($X$5=TRUE,$AC$3=TRUE
),($F$6/2), IF(OR($X$2,$X$3,$X$4,$X$6,$X$7,$X$8,$Z$2,$Z$3,$Z$4,$Z$5,$Z$6,$Z$7,$Z$8)=TRUE,$F$6)),0),"-")</f>
        <v>-</v>
      </c>
      <c r="J40" s="46">
        <f>IFERROR(IF(AND($U$5=FALSE,$U$4=FALSE),"-",VLOOKUP($E40,'Status Thresholds'!$E:$AU,41,FALSE)),"-")</f>
        <v>0</v>
      </c>
      <c r="K40" s="46" t="str">
        <f>IFERROR(IF(AND($U$5=FALSE,$U$4=FALSE),"-",VLOOKUP($E40,'Status Thresholds'!$E:$AU,42,FALSE)),"-")</f>
        <v>-</v>
      </c>
      <c r="L40" s="46" t="str">
        <f>IFERROR(IF(AND($U$5=FALSE,$U$4=FALSE),"-",VLOOKUP($E40,'Status Thresholds'!$E:$AU,43,FALSE)),"-")</f>
        <v>-</v>
      </c>
    </row>
    <row r="41" spans="1:12" x14ac:dyDescent="0.25">
      <c r="A41" s="35"/>
      <c r="B41" s="64" t="str">
        <f>VLOOKUP(C41,'Status Thresholds'!B:C,2,FALSE)</f>
        <v>MHGen</v>
      </c>
      <c r="C41" s="64" t="str">
        <f>IF('Status Thresholds'!B36=0, "", 'Status Thresholds'!B36)</f>
        <v>Akantor</v>
      </c>
      <c r="D41" s="30" t="s">
        <v>35</v>
      </c>
      <c r="E41" s="36" t="str">
        <f t="shared" si="0"/>
        <v>AkantorBlast</v>
      </c>
      <c r="F41" s="36" t="str">
        <f>IFERROR(
ROUNDUP(
IF(AND($U$5=FALSE,$U$4=FALSE),"-",IF(AND($U$5=TRUE,$U$4=TRUE),"-",
IF((AND($U$4=TRUE,$U$5=FALSE,$U$6=FALSE,$U$7=FALSE)),VLOOKUP($E41,'Status Thresholds'!$E:$AR,2,FALSE),IF((AND($U$4=TRUE,$U$5=FALSE,$U$6=TRUE,$U$7=FALSE)),VLOOKUP($E41,'Status Thresholds'!$E:$AR,12,FALSE),IF((AND($U$4=TRUE,$U$5=FALSE,$U$6=TRUE,$U$7=TRUE)),VLOOKUP($E41,'Status Thresholds'!$E:$AR,17,FALSE),IF((AND($U$4=TRUE,$U$5=FALSE,$U$6=FALSE,$U$7=TRUE)),VLOOKUP($E41,'Status Thresholds'!$E:$AR,7,FALSE),
IF((AND($U$4=FALSE,$U$5=TRUE,$U$6=FALSE,$U$7=FALSE)),VLOOKUP($E41,'Status Thresholds'!$E:$AR,22,FALSE),IF((AND($U$4=FALSE,$U$5=TRUE,$U$6=TRUE,$U$7=FALSE)),VLOOKUP($E41,'Status Thresholds'!$E:$AR,32,FALSE),IF((AND($U$4=FALSE,$U$5=TRUE,$U$6=TRUE,$U$7=TRUE)),VLOOKUP($E41,'Status Thresholds'!$E:$AR,37,FALSE),IF((AND($U$4=FALSE,$U$5=TRUE,$U$6=FALSE,$U$7=TRUE)),VLOOKUP($E41,'Status Thresholds'!$E:$AR,27,FALSE)))))))))
))/
IF(OR($X$5=TRUE,$AC$3=TRUE
),($F$7/2), IF(OR($X$2,$X$3,$X$4,$X$6,$X$7,$X$8,$Z$2,$Z$3,$Z$4,$Z$5,$Z$6,$Z$7,$Z$8)=TRUE,$F$7)),0),"-")</f>
        <v>-</v>
      </c>
      <c r="G41" s="36" t="str">
        <f>IFERROR(
ROUNDUP(
IF(AND($U$5=FALSE,$U$4=FALSE),"-",IF(AND($U$5=TRUE,$U$4=TRUE),"-",
IF((AND($U$4=TRUE,$U$5=FALSE,$U$6=FALSE,$U$7=FALSE)),VLOOKUP($E41,'Status Thresholds'!$E:$AR,3,FALSE),IF((AND($U$4=TRUE,$U$5=FALSE,$U$6=TRUE,$U$7=FALSE)),VLOOKUP($E41,'Status Thresholds'!$E:$AR,13,FALSE),IF((AND($U$4=TRUE,$U$5=FALSE,$U$6=TRUE,$U$7=TRUE)),VLOOKUP($E41,'Status Thresholds'!$E:$AR,18,FALSE),IF((AND($U$4=TRUE,$U$5=FALSE,$U$6=FALSE,$U$7=TRUE)),VLOOKUP($E41,'Status Thresholds'!$E:$AR,8,FALSE),
IF((AND($U$4=FALSE,$U$5=TRUE,$U$6=FALSE,$U$7=FALSE)),VLOOKUP($E41,'Status Thresholds'!$E:$AR,23,FALSE),IF((AND($U$4=FALSE,$U$5=TRUE,$U$6=TRUE,$U$7=FALSE)),VLOOKUP($E41,'Status Thresholds'!$E:$AR,33,FALSE),IF((AND($U$4=FALSE,$U$5=TRUE,$U$6=TRUE,$U$7=TRUE)),VLOOKUP($E41,'Status Thresholds'!$E:$AR,38,FALSE),IF((AND($U$4=FALSE,$U$5=TRUE,$U$6=FALSE,$U$7=TRUE)),VLOOKUP($E41,'Status Thresholds'!$E:$AR,28,FALSE)))))))))
))/
IF(OR($X$5=TRUE,$AC$3=TRUE
),($F$7/2), IF(OR($X$2,$X$3,$X$4,$X$6,$X$7,$X$8,$Z$2,$Z$3,$Z$4,$Z$5,$Z$6,$Z$7,$Z$8)=TRUE,$F$7)),0),"-")</f>
        <v>-</v>
      </c>
      <c r="H41" s="36" t="str">
        <f>IFERROR(
ROUNDUP(
IF(AND($U$5=FALSE,$U$4=FALSE),"-",IF(AND($U$5=TRUE,$U$4=TRUE),"-",
IF((AND($U$4=TRUE,$U$5=FALSE,$U$6=FALSE,$U$7=FALSE)),VLOOKUP($E41,'Status Thresholds'!$E:$AR,4,FALSE),IF((AND($U$4=TRUE,$U$5=FALSE,$U$6=TRUE,$U$7=FALSE)),VLOOKUP($E41,'Status Thresholds'!$E:$AR,14,FALSE),IF((AND($U$4=TRUE,$U$5=FALSE,$U$6=TRUE,$U$7=TRUE)),VLOOKUP($E41,'Status Thresholds'!$E:$AR,19,FALSE),IF((AND($U$4=TRUE,$U$5=FALSE,$U$6=FALSE,$U$7=TRUE)),VLOOKUP($E41,'Status Thresholds'!$E:$AR,9,FALSE),
IF((AND($U$4=FALSE,$U$5=TRUE,$U$6=FALSE,$U$7=FALSE)),VLOOKUP($E41,'Status Thresholds'!$E:$AR,24,FALSE),IF((AND($U$4=FALSE,$U$5=TRUE,$U$6=TRUE,$U$7=FALSE)),VLOOKUP($E41,'Status Thresholds'!$E:$AR,34,FALSE),IF((AND($U$4=FALSE,$U$5=TRUE,$U$6=TRUE,$U$7=TRUE)),VLOOKUP($E41,'Status Thresholds'!$E:$AR,39,FALSE),IF((AND($U$4=FALSE,$U$5=TRUE,$U$6=FALSE,$U$7=TRUE)),VLOOKUP($E41,'Status Thresholds'!$E:$AR,29,FALSE)))))))))
))/
IF(OR($X$5=TRUE,$AC$3=TRUE
),($F$7/2), IF(OR($X$2,$X$3,$X$4,$X$6,$X$7,$X$8,$Z$2,$Z$3,$Z$4,$Z$5,$Z$6,$Z$7,$Z$8)=TRUE,$F$7)),0),"-")</f>
        <v>-</v>
      </c>
      <c r="I41" s="36" t="str">
        <f>IFERROR(
ROUNDUP(
IF(AND($U$5=FALSE,$U$4=FALSE),"-",IF(AND($U$5=TRUE,$U$4=TRUE),"-",
IF((AND($U$4=TRUE,$U$5=FALSE,$U$6=FALSE,$U$7=FALSE)),VLOOKUP($E41,'Status Thresholds'!$E:$AR,5,FALSE),IF((AND($U$4=TRUE,$U$5=FALSE,$U$6=TRUE,$U$7=FALSE)),VLOOKUP($E41,'Status Thresholds'!$E:$AR,15,FALSE),IF((AND($U$4=TRUE,$U$5=FALSE,$U$6=TRUE,$U$7=TRUE)),VLOOKUP($E41,'Status Thresholds'!$E:$AR,20,FALSE),IF((AND($U$4=TRUE,$U$5=FALSE,$U$6=FALSE,$U$7=TRUE)),VLOOKUP($E41,'Status Thresholds'!$E:$AR,10,FALSE),
IF((AND($U$4=FALSE,$U$5=TRUE,$U$6=FALSE,$U$7=FALSE)),VLOOKUP($E41,'Status Thresholds'!$E:$AR,25,FALSE),IF((AND($U$4=FALSE,$U$5=TRUE,$U$6=TRUE,$U$7=FALSE)),VLOOKUP($E41,'Status Thresholds'!$E:$AR,35,FALSE),IF((AND($U$4=FALSE,$U$5=TRUE,$U$6=TRUE,$U$7=TRUE)),VLOOKUP($E41,'Status Thresholds'!$E:$AR,40,FALSE),IF((AND($U$4=FALSE,$U$5=TRUE,$U$6=FALSE,$U$7=TRUE)),VLOOKUP($E41,'Status Thresholds'!$E:$AR,30,FALSE)))))))))
))/
IF(OR($X$5=TRUE,$AC$3=TRUE
),($F$7/2), IF(OR($X$2,$X$3,$X$4,$X$6,$X$7,$X$8,$Z$2,$Z$3,$Z$4,$Z$5,$Z$6,$Z$7,$Z$8)=TRUE,$F$7)),0),"-")</f>
        <v>-</v>
      </c>
      <c r="J41" s="46">
        <f>IFERROR(IF(AND($U$5=FALSE,$U$4=FALSE),"-",VLOOKUP($E41,'Status Thresholds'!$E:$AU,41,FALSE)),"-")</f>
        <v>0</v>
      </c>
      <c r="K41" s="46" t="str">
        <f>IFERROR(IF(AND($U$5=FALSE,$U$4=FALSE),"-",VLOOKUP($E41,'Status Thresholds'!$E:$AU,42,FALSE)),"-")</f>
        <v>-</v>
      </c>
      <c r="L41" s="46" t="str">
        <f>IFERROR(IF(AND($U$5=FALSE,$U$4=FALSE),"-",VLOOKUP($E41,'Status Thresholds'!$E:$AU,43,FALSE)),"-")</f>
        <v>-</v>
      </c>
    </row>
    <row r="42" spans="1:12" ht="14.45" customHeight="1" x14ac:dyDescent="0.25">
      <c r="A42" s="35"/>
      <c r="B42" s="64" t="str">
        <f>VLOOKUP(C42,'Status Thresholds'!B:C,2,FALSE)</f>
        <v>MHGen</v>
      </c>
      <c r="C42" s="64" t="str">
        <f>IF('Status Thresholds'!B37=0, "", 'Status Thresholds'!B37)</f>
        <v>Akantor</v>
      </c>
      <c r="D42" s="34" t="s">
        <v>14</v>
      </c>
      <c r="E42" s="36" t="str">
        <f t="shared" si="0"/>
        <v>AkantorKO</v>
      </c>
      <c r="F42" s="36" t="s">
        <v>214</v>
      </c>
      <c r="G42" s="36" t="s">
        <v>214</v>
      </c>
      <c r="H42" s="36" t="s">
        <v>214</v>
      </c>
      <c r="I42" s="36" t="s">
        <v>214</v>
      </c>
      <c r="J42" s="46">
        <f>IFERROR(IF(AND($U$5=FALSE,$U$4=FALSE),"-",VLOOKUP($E42,'Status Thresholds'!$E:$AU,41,FALSE)),"-")</f>
        <v>10</v>
      </c>
      <c r="K42" s="46" t="str">
        <f>IFERROR(IF(AND($U$5=FALSE,$U$4=FALSE),"-",VLOOKUP($E42,'Status Thresholds'!$E:$AU,42,FALSE)),"-")</f>
        <v>-</v>
      </c>
      <c r="L42" s="46" t="str">
        <f>IFERROR(IF(AND($U$5=FALSE,$U$4=FALSE),"-",VLOOKUP($E42,'Status Thresholds'!$E:$AU,43,FALSE)),"-")</f>
        <v>-</v>
      </c>
    </row>
    <row r="43" spans="1:12" x14ac:dyDescent="0.25">
      <c r="A43" s="35"/>
      <c r="B43" s="64" t="str">
        <f>VLOOKUP(C43,'Status Thresholds'!B:C,2,FALSE)</f>
        <v>MHGen</v>
      </c>
      <c r="C43" s="64" t="str">
        <f>IF('Status Thresholds'!B38=0, "", 'Status Thresholds'!B38)</f>
        <v>Akantor</v>
      </c>
      <c r="D43" s="33" t="s">
        <v>34</v>
      </c>
      <c r="E43" s="36" t="str">
        <f t="shared" si="0"/>
        <v>AkantorMount</v>
      </c>
      <c r="F43" s="36" t="str">
        <f>IFERROR(
ROUNDUP(
IF(AND($U$5=FALSE,$U$4=FALSE),"-",IF(AND($U$5=TRUE,$U$4=TRUE),"-",
IF((AND($U$4=TRUE,$U$5=FALSE,$U$6=FALSE,$U$7=FALSE)),VLOOKUP($E43,'Status Thresholds'!$E:$AR,2,FALSE),IF((AND($U$4=TRUE,$U$5=FALSE,$U$6=TRUE,$U$7=FALSE)),VLOOKUP($E43,'Status Thresholds'!$E:$AR,12,FALSE),IF((AND($U$4=TRUE,$U$5=FALSE,$U$6=TRUE,$U$7=TRUE)),VLOOKUP($E43,'Status Thresholds'!$E:$AR,17,FALSE),IF((AND($U$4=TRUE,$U$5=FALSE,$U$6=FALSE,$U$7=TRUE)),VLOOKUP($E43,'Status Thresholds'!$E:$AR,7,FALSE),
IF((AND($U$4=FALSE,$U$5=TRUE,$U$6=FALSE,$U$7=FALSE)),VLOOKUP($E43,'Status Thresholds'!$E:$AR,22,FALSE),IF((AND($U$4=FALSE,$U$5=TRUE,$U$6=TRUE,$U$7=FALSE)),VLOOKUP($E43,'Status Thresholds'!$E:$AR,32,FALSE),IF((AND($U$4=FALSE,$U$5=TRUE,$U$6=TRUE,$U$7=TRUE)),VLOOKUP($E43,'Status Thresholds'!$E:$AR,37,FALSE),IF((AND($U$4=FALSE,$U$5=TRUE,$U$6=FALSE,$U$7=TRUE)),VLOOKUP($E43,'Status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43" s="36" t="str">
        <f>IFERROR(
ROUNDUP(
IF(AND($U$5=FALSE,$U$4=FALSE),"-",IF(AND($U$5=TRUE,$U$4=TRUE),"-",
IF((AND($U$4=TRUE,$U$5=FALSE,$U$6=FALSE,$U$7=FALSE)),VLOOKUP($E42,'Status Thresholds'!$E:$AR,3,FALSE),IF((AND($U$4=TRUE,$U$5=FALSE,$U$6=TRUE,$U$7=FALSE)),VLOOKUP($E42,'Status Thresholds'!$E:$AR,13,FALSE),IF((AND($U$4=TRUE,$U$5=FALSE,$U$6=TRUE,$U$7=TRUE)),VLOOKUP($E42,'Status Thresholds'!$E:$AR,18,FALSE),IF((AND($U$4=TRUE,$U$5=FALSE,$U$6=FALSE,$U$7=TRUE)),VLOOKUP($E42,'Status Thresholds'!$E:$AR,8,FALSE),
IF((AND($U$4=FALSE,$U$5=TRUE,$U$6=FALSE,$U$7=FALSE)),VLOOKUP($E42,'Status Thresholds'!$E:$AR,23,FALSE),IF((AND($U$4=FALSE,$U$5=TRUE,$U$6=TRUE,$U$7=FALSE)),VLOOKUP($E42,'Status Thresholds'!$E:$AR,33,FALSE),IF((AND($U$4=FALSE,$U$5=TRUE,$U$6=TRUE,$U$7=TRUE)),VLOOKUP($E42,'Status Thresholds'!$E:$AR,38,FALSE),IF((AND($U$4=FALSE,$U$5=TRUE,$U$6=FALSE,$U$7=TRUE)),VLOOKUP($E42,'Status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43" s="36" t="str">
        <f>IFERROR(
ROUNDUP(
IF(AND($U$5=FALSE,$U$4=FALSE),"-",IF(AND($U$5=TRUE,$U$4=TRUE),"-",
IF((AND($U$4=TRUE,$U$5=FALSE,$U$6=FALSE,$U$7=FALSE)),VLOOKUP($E42,'Status Thresholds'!$E:$AR,4,FALSE),IF((AND($U$4=TRUE,$U$5=FALSE,$U$6=TRUE,$U$7=FALSE)),VLOOKUP($E42,'Status Thresholds'!$E:$AR,14,FALSE),IF((AND($U$4=TRUE,$U$5=FALSE,$U$6=TRUE,$U$7=TRUE)),VLOOKUP($E42,'Status Thresholds'!$E:$AR,19,FALSE),IF((AND($U$4=TRUE,$U$5=FALSE,$U$6=FALSE,$U$7=TRUE)),VLOOKUP($E42,'Status Thresholds'!$E:$AR,9,FALSE),
IF((AND($U$4=FALSE,$U$5=TRUE,$U$6=FALSE,$U$7=FALSE)),VLOOKUP($E42,'Status Thresholds'!$E:$AR,24,FALSE),IF((AND($U$4=FALSE,$U$5=TRUE,$U$6=TRUE,$U$7=FALSE)),VLOOKUP($E42,'Status Thresholds'!$E:$AR,34,FALSE),IF((AND($U$4=FALSE,$U$5=TRUE,$U$6=TRUE,$U$7=TRUE)),VLOOKUP($E42,'Status Thresholds'!$E:$AR,39,FALSE),IF((AND($U$4=FALSE,$U$5=TRUE,$U$6=FALSE,$U$7=TRUE)),VLOOKUP($E42,'Status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43" s="36" t="str">
        <f>IFERROR(
ROUNDUP(
IF(AND($U$5=FALSE,$U$4=FALSE),"-",IF(AND($U$5=TRUE,$U$4=TRUE),"-",
IF((AND($U$4=TRUE,$U$5=FALSE,$U$6=FALSE,$U$7=FALSE)),VLOOKUP($E42,'Status Thresholds'!$E:$AR,5,FALSE),IF((AND($U$4=TRUE,$U$5=FALSE,$U$6=TRUE,$U$7=FALSE)),VLOOKUP($E42,'Status Thresholds'!$E:$AR,15,FALSE),IF((AND($U$4=TRUE,$U$5=FALSE,$U$6=TRUE,$U$7=TRUE)),VLOOKUP($E42,'Status Thresholds'!$E:$AR,20,FALSE),IF((AND($U$4=TRUE,$U$5=FALSE,$U$6=FALSE,$U$7=TRUE)),VLOOKUP($E42,'Status Thresholds'!$E:$AR,10,FALSE),
IF((AND($U$4=FALSE,$U$5=TRUE,$U$6=FALSE,$U$7=FALSE)),VLOOKUP($E42,'Status Thresholds'!$E:$AR,25,FALSE),IF((AND($U$4=FALSE,$U$5=TRUE,$U$6=TRUE,$U$7=FALSE)),VLOOKUP($E42,'Status Thresholds'!$E:$AR,35,FALSE),IF((AND($U$4=FALSE,$U$5=TRUE,$U$6=TRUE,$U$7=TRUE)),VLOOKUP($E42,'Status Thresholds'!$E:$AR,40,FALSE),IF((AND($U$4=FALSE,$U$5=TRUE,$U$6=FALSE,$U$7=TRUE)),VLOOKUP($E42,'Status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43" s="46">
        <f>IFERROR(IF(AND($U$5=FALSE,$U$4=FALSE),"-",VLOOKUP($E43,'Status Thresholds'!$E:$AU,41,FALSE)),"-")</f>
        <v>0</v>
      </c>
      <c r="K43" s="46" t="str">
        <f>IFERROR(IF(AND($U$5=FALSE,$U$4=FALSE),"-",VLOOKUP($E43,'Status Thresholds'!$E:$AU,42,FALSE)),"-")</f>
        <v>-</v>
      </c>
      <c r="L43" s="46" t="str">
        <f>IFERROR(IF(AND($U$5=FALSE,$U$4=FALSE),"-",VLOOKUP($E43,'Status Thresholds'!$E:$AU,43,FALSE)),"-")</f>
        <v>-</v>
      </c>
    </row>
    <row r="44" spans="1:12" ht="15" customHeight="1" x14ac:dyDescent="0.25">
      <c r="A44" s="35"/>
      <c r="B44" s="64" t="str">
        <f>VLOOKUP(C44,'Status Thresholds'!B:C,2,FALSE)</f>
        <v>MHGen</v>
      </c>
      <c r="C44" s="64" t="str">
        <f>IF('Status Thresholds'!B39=0, "", 'Status Thresholds'!B39)</f>
        <v>Akantor</v>
      </c>
      <c r="D44" s="77" t="s">
        <v>207</v>
      </c>
      <c r="E44" s="36" t="str">
        <f t="shared" si="0"/>
        <v>AkantorShock Trap</v>
      </c>
      <c r="F44" s="76" t="s">
        <v>214</v>
      </c>
      <c r="G44" s="46" t="s">
        <v>214</v>
      </c>
      <c r="H44" s="46" t="s">
        <v>214</v>
      </c>
      <c r="I44" s="46" t="s">
        <v>214</v>
      </c>
      <c r="J44" s="46">
        <f>IFERROR(IF(AND($U$5=FALSE,$U$4=FALSE),"-",VLOOKUP($E44,'Status Thresholds'!$E:$AU,43,FALSE)),"-")</f>
        <v>0</v>
      </c>
      <c r="K44" s="46">
        <f>IFERROR(IF(AND($U$5=FALSE,$U$4=FALSE),"-",VLOOKUP($E44,'Status Thresholds'!$E:$AU,41,FALSE)),"-")</f>
        <v>0</v>
      </c>
      <c r="L44" s="46">
        <f>IFERROR(IF(AND($U$5=FALSE,$U$4=FALSE),"-",VLOOKUP($E44,'Status Thresholds'!$E:$AU,42,FALSE)),"-")</f>
        <v>0</v>
      </c>
    </row>
    <row r="45" spans="1:12" x14ac:dyDescent="0.25">
      <c r="A45" s="35"/>
      <c r="B45" s="64" t="str">
        <f>VLOOKUP(C45,'Status Thresholds'!B:C,2,FALSE)</f>
        <v>MHGen</v>
      </c>
      <c r="C45" s="64" t="str">
        <f>IF('Status Thresholds'!B40=0, "", 'Status Thresholds'!B40)</f>
        <v>Akantor</v>
      </c>
      <c r="D45" s="77" t="s">
        <v>213</v>
      </c>
      <c r="E45" s="36" t="str">
        <f t="shared" si="0"/>
        <v>AkantorPitfall Trap</v>
      </c>
      <c r="F45" s="46" t="s">
        <v>214</v>
      </c>
      <c r="G45" s="46" t="s">
        <v>214</v>
      </c>
      <c r="H45" s="46" t="s">
        <v>214</v>
      </c>
      <c r="I45" s="46" t="s">
        <v>214</v>
      </c>
      <c r="J45" s="46">
        <f>IFERROR(IF(AND($U$5=FALSE,$U$4=FALSE),"-",VLOOKUP($E45,'Status Thresholds'!$E:$AU,43,FALSE)),"-")</f>
        <v>0</v>
      </c>
      <c r="K45" s="46">
        <f>IFERROR(IF(AND($U$5=FALSE,$U$4=FALSE),"-",VLOOKUP($E45,'Status Thresholds'!$E:$AU,41,FALSE)),"-")</f>
        <v>0</v>
      </c>
      <c r="L45" s="46">
        <f>IFERROR(IF(AND($U$5=FALSE,$U$4=FALSE),"-",VLOOKUP($E45,'Status Thresholds'!$E:$AU,42,FALSE)),"-")</f>
        <v>0</v>
      </c>
    </row>
    <row r="46" spans="1:12" s="36" customFormat="1" x14ac:dyDescent="0.25">
      <c r="A46" s="64"/>
      <c r="B46" s="64" t="str">
        <f>VLOOKUP(C46,'Status Thresholds'!B:C,2,FALSE)</f>
        <v>MHGen</v>
      </c>
      <c r="C46" s="64" t="str">
        <f>IF('Status Thresholds'!B41=0, "", 'Status Thresholds'!B41)</f>
        <v>Alatron</v>
      </c>
      <c r="D46" s="37" t="s">
        <v>0</v>
      </c>
      <c r="E46" s="36" t="str">
        <f t="shared" si="0"/>
        <v>AlatronPara</v>
      </c>
      <c r="F46" s="36" t="str">
        <f>IFERROR(
ROUNDUP(
IF(AND($U$5=FALSE,$U$4=FALSE),"-",IF(AND($U$5=TRUE,$U$4=TRUE),"-",
IF((AND($U$4=TRUE,$U$5=FALSE,$U$6=FALSE,$U$7=FALSE)),VLOOKUP($E46,'Status Thresholds'!$E:$AR,2,FALSE),IF((AND($U$4=TRUE,$U$5=FALSE,$U$6=TRUE,$U$7=FALSE)),VLOOKUP($E46,'Status Thresholds'!$E:$AR,12,FALSE),IF((AND($U$4=TRUE,$U$5=FALSE,$U$6=TRUE,$U$7=TRUE)),VLOOKUP($E46,'Status Thresholds'!$E:$AR,17,FALSE),IF((AND($U$4=TRUE,$U$5=FALSE,$U$6=FALSE,$U$7=TRUE)),VLOOKUP($E46,'Status Thresholds'!$E:$AR,7,FALSE),
IF((AND($U$4=FALSE,$U$5=TRUE,$U$6=FALSE,$U$7=FALSE)),VLOOKUP($E46,'Status Thresholds'!$E:$AR,22,FALSE),IF((AND($U$4=FALSE,$U$5=TRUE,$U$6=TRUE,$U$7=FALSE)),VLOOKUP($E46,'Status Thresholds'!$E:$AR,32,FALSE),IF((AND($U$4=FALSE,$U$5=TRUE,$U$6=TRUE,$U$7=TRUE)),VLOOKUP($E46,'Status Thresholds'!$E:$AR,37,FALSE),IF((AND($U$4=FALSE,$U$5=TRUE,$U$6=FALSE,$U$7=TRUE)),VLOOKUP($E46,'Status Thresholds'!$E:$AR,27,FALSE)))))))))
))/
IF(OR($X$5=TRUE,$AC$3=TRUE
),($F$3/2), IF(OR($X$2,$X$3,$X$4,$X$6,$X$7,$X$8,$Z$2,$Z$3,$Z$4,$Z$5,$Z$6,$Z$7,$Z$8)=TRUE,$F$3)),0),"-")</f>
        <v>-</v>
      </c>
      <c r="G46" s="36" t="str">
        <f>IFERROR(
ROUNDUP(
IF(AND($U$5=FALSE,$U$4=FALSE),"-",IF(AND($U$5=TRUE,$U$4=TRUE),"-",
IF((AND($U$4=TRUE,$U$5=FALSE,$U$6=FALSE,$U$7=FALSE)),VLOOKUP($E46,'Status Thresholds'!$E:$AR,3,FALSE),IF((AND($U$4=TRUE,$U$5=FALSE,$U$6=TRUE,$U$7=FALSE)),VLOOKUP($E46,'Status Thresholds'!$E:$AR,13,FALSE),IF((AND($U$4=TRUE,$U$5=FALSE,$U$6=TRUE,$U$7=TRUE)),VLOOKUP($E46,'Status Thresholds'!$E:$AR,18,FALSE),IF((AND($U$4=TRUE,$U$5=FALSE,$U$6=FALSE,$U$7=TRUE)),VLOOKUP($E46,'Status Thresholds'!$E:$AR,8,FALSE),
IF((AND($U$4=FALSE,$U$5=TRUE,$U$6=FALSE,$U$7=FALSE)),VLOOKUP($E46,'Status Thresholds'!$E:$AR,23,FALSE),IF((AND($U$4=FALSE,$U$5=TRUE,$U$6=TRUE,$U$7=FALSE)),VLOOKUP($E46,'Status Thresholds'!$E:$AR,33,FALSE),IF((AND($U$4=FALSE,$U$5=TRUE,$U$6=TRUE,$U$7=TRUE)),VLOOKUP($E46,'Status Thresholds'!$E:$AR,38,FALSE),IF((AND($U$4=FALSE,$U$5=TRUE,$U$6=FALSE,$U$7=TRUE)),VLOOKUP($E46,'Status Thresholds'!$E:$AR,28,FALSE)))))))))
))/
IF(OR($X$5=TRUE,$AC$3=TRUE
),($F$3/2), IF(OR($X$2,$X$3,$X$4,$X$6,$X$7,$X$8,$Z$2,$Z$3,$Z$4,$Z$5,$Z$6,$Z$7,$Z$8)=TRUE,$F$3)),0),"-")</f>
        <v>-</v>
      </c>
      <c r="H46" s="36" t="str">
        <f>IFERROR(
ROUNDUP(
IF(AND($U$5=FALSE,$U$4=FALSE),"-",IF(AND($U$5=TRUE,$U$4=TRUE),"-",
IF((AND($U$4=TRUE,$U$5=FALSE,$U$6=FALSE,$U$7=FALSE)),VLOOKUP($E46,'Status Thresholds'!$E:$AR,4,FALSE),IF((AND($U$4=TRUE,$U$5=FALSE,$U$6=TRUE,$U$7=FALSE)),VLOOKUP($E46,'Status Thresholds'!$E:$AR,14,FALSE),IF((AND($U$4=TRUE,$U$5=FALSE,$U$6=TRUE,$U$7=TRUE)),VLOOKUP($E46,'Status Thresholds'!$E:$AR,19,FALSE),IF((AND($U$4=TRUE,$U$5=FALSE,$U$6=FALSE,$U$7=TRUE)),VLOOKUP($E46,'Status Thresholds'!$E:$AR,9,FALSE),
IF((AND($U$4=FALSE,$U$5=TRUE,$U$6=FALSE,$U$7=FALSE)),VLOOKUP($E46,'Status Thresholds'!$E:$AR,24,FALSE),IF((AND($U$4=FALSE,$U$5=TRUE,$U$6=TRUE,$U$7=FALSE)),VLOOKUP($E46,'Status Thresholds'!$E:$AR,34,FALSE),IF((AND($U$4=FALSE,$U$5=TRUE,$U$6=TRUE,$U$7=TRUE)),VLOOKUP($E46,'Status Thresholds'!$E:$AR,39,FALSE),IF((AND($U$4=FALSE,$U$5=TRUE,$U$6=FALSE,$U$7=TRUE)),VLOOKUP($E46,'Status Thresholds'!$E:$AR,29,FALSE)))))))))
))/
IF(OR($X$5=TRUE,$AC$3=TRUE
),($F$3/2), IF(OR($X$2,$X$3,$X$4,$X$6,$X$7,$X$8,$Z$2,$Z$3,$Z$4,$Z$5,$Z$6,$Z$7,$Z$8)=TRUE,$F$3)),0),"-")</f>
        <v>-</v>
      </c>
      <c r="I46" s="36" t="str">
        <f>IFERROR(
ROUNDUP(
IF(AND($U$5=FALSE,$U$4=FALSE),"-",IF(AND($U$5=TRUE,$U$4=TRUE),"-",
IF((AND($U$4=TRUE,$U$5=FALSE,$U$6=FALSE,$U$7=FALSE)),VLOOKUP($E46,'Status Thresholds'!$E:$AR,5,FALSE),IF((AND($U$4=TRUE,$U$5=FALSE,$U$6=TRUE,$U$7=FALSE)),VLOOKUP($E46,'Status Thresholds'!$E:$AR,15,FALSE),IF((AND($U$4=TRUE,$U$5=FALSE,$U$6=TRUE,$U$7=TRUE)),VLOOKUP($E46,'Status Thresholds'!$E:$AR,20,FALSE),IF((AND($U$4=TRUE,$U$5=FALSE,$U$6=FALSE,$U$7=TRUE)),VLOOKUP($E46,'Status Thresholds'!$E:$AR,10,FALSE),
IF((AND($U$4=FALSE,$U$5=TRUE,$U$6=FALSE,$U$7=FALSE)),VLOOKUP($E46,'Status Thresholds'!$E:$AR,25,FALSE),IF((AND($U$4=FALSE,$U$5=TRUE,$U$6=TRUE,$U$7=FALSE)),VLOOKUP($E46,'Status Thresholds'!$E:$AR,35,FALSE),IF((AND($U$4=FALSE,$U$5=TRUE,$U$6=TRUE,$U$7=TRUE)),VLOOKUP($E46,'Status Thresholds'!$E:$AR,40,FALSE),IF((AND($U$4=FALSE,$U$5=TRUE,$U$6=FALSE,$U$7=TRUE)),VLOOKUP($E46,'Status Thresholds'!$E:$AR,30,FALSE)))))))))
))/
IF(OR($X$5=TRUE,$AC$3=TRUE
),($F$3/2), IF(OR($X$2,$X$3,$X$4,$X$6,$X$7,$X$8,$Z$2,$Z$3,$Z$4,$Z$5,$Z$6,$Z$7,$Z$8)=TRUE,$F$3)),0),"-")</f>
        <v>-</v>
      </c>
      <c r="J46" s="36">
        <f>IFERROR(IF(AND($U$5=FALSE,$U$4=FALSE),"-",VLOOKUP($E46,'Status Thresholds'!$E:$AU,41,FALSE)),"-")</f>
        <v>15</v>
      </c>
      <c r="K46" s="36" t="str">
        <f>IFERROR(IF(AND($U$5=FALSE,$U$4=FALSE),"-",VLOOKUP($E46,'Status Thresholds'!$E:$AU,42,FALSE)),"-")</f>
        <v>-</v>
      </c>
      <c r="L46" s="36" t="str">
        <f>IFERROR(IF(AND($U$5=FALSE,$U$4=FALSE),"-",VLOOKUP($E46,'Status Thresholds'!$E:$AU,43,FALSE)),"-")</f>
        <v>-</v>
      </c>
    </row>
    <row r="47" spans="1:12" x14ac:dyDescent="0.25">
      <c r="A47" s="35"/>
      <c r="B47" s="64" t="str">
        <f>VLOOKUP(C47,'Status Thresholds'!B:C,2,FALSE)</f>
        <v>MHGen</v>
      </c>
      <c r="C47" s="64" t="str">
        <f>IF('Status Thresholds'!B42=0, "", 'Status Thresholds'!B42)</f>
        <v>Alatron</v>
      </c>
      <c r="D47" s="31" t="s">
        <v>32</v>
      </c>
      <c r="E47" s="36" t="str">
        <f t="shared" si="0"/>
        <v>AlatronSleep</v>
      </c>
      <c r="F47" s="36" t="str">
        <f>IFERROR(
ROUNDUP(
IF(AND($U$5=FALSE,$U$4=FALSE),"-",IF(AND($U$5=TRUE,$U$4=TRUE),"-",
IF((AND($U$4=TRUE,$U$5=FALSE,$U$6=FALSE,$U$7=FALSE)),VLOOKUP($E47,'Status Thresholds'!$E:$AR,2,FALSE),IF((AND($U$4=TRUE,$U$5=FALSE,$U$6=TRUE,$U$7=FALSE)),VLOOKUP($E47,'Status Thresholds'!$E:$AR,12,FALSE),IF((AND($U$4=TRUE,$U$5=FALSE,$U$6=TRUE,$U$7=TRUE)),VLOOKUP($E47,'Status Thresholds'!$E:$AR,17,FALSE),IF((AND($U$4=TRUE,$U$5=FALSE,$U$6=FALSE,$U$7=TRUE)),VLOOKUP($E47,'Status Thresholds'!$E:$AR,7,FALSE),
IF((AND($U$4=FALSE,$U$5=TRUE,$U$6=FALSE,$U$7=FALSE)),VLOOKUP($E47,'Status Thresholds'!$E:$AR,22,FALSE),IF((AND($U$4=FALSE,$U$5=TRUE,$U$6=TRUE,$U$7=FALSE)),VLOOKUP($E47,'Status Thresholds'!$E:$AR,32,FALSE),IF((AND($U$4=FALSE,$U$5=TRUE,$U$6=TRUE,$U$7=TRUE)),VLOOKUP($E47,'Status Thresholds'!$E:$AR,37,FALSE),IF((AND($U$4=FALSE,$U$5=TRUE,$U$6=FALSE,$U$7=TRUE)),VLOOKUP($E47,'Status Thresholds'!$E:$AR,27,FALSE)))))))))
))/
IF(OR($X$5=TRUE,$AC$3=TRUE
),($F$4/2), IF(OR($X$2,$X$3,$X$4,$X$6,$X$7,$X$8,$Z$2,$Z$3,$Z$4,$Z$5,$Z$6,$Z$7,$Z$8)=TRUE,$F$4)),0),"-")</f>
        <v>-</v>
      </c>
      <c r="G47" s="36" t="str">
        <f>IFERROR(
ROUNDUP(
IF(AND($U$5=FALSE,$U$4=FALSE),"-",IF(AND($U$5=TRUE,$U$4=TRUE),"-",
IF((AND($U$4=TRUE,$U$5=FALSE,$U$6=FALSE,$U$7=FALSE)),VLOOKUP($E47,'Status Thresholds'!$E:$AR,3,FALSE),IF((AND($U$4=TRUE,$U$5=FALSE,$U$6=TRUE,$U$7=FALSE)),VLOOKUP($E47,'Status Thresholds'!$E:$AR,13,FALSE),IF((AND($U$4=TRUE,$U$5=FALSE,$U$6=TRUE,$U$7=TRUE)),VLOOKUP($E47,'Status Thresholds'!$E:$AR,18,FALSE),IF((AND($U$4=TRUE,$U$5=FALSE,$U$6=FALSE,$U$7=TRUE)),VLOOKUP($E47,'Status Thresholds'!$E:$AR,8,FALSE),
IF((AND($U$4=FALSE,$U$5=TRUE,$U$6=FALSE,$U$7=FALSE)),VLOOKUP($E47,'Status Thresholds'!$E:$AR,23,FALSE),IF((AND($U$4=FALSE,$U$5=TRUE,$U$6=TRUE,$U$7=FALSE)),VLOOKUP($E47,'Status Thresholds'!$E:$AR,33,FALSE),IF((AND($U$4=FALSE,$U$5=TRUE,$U$6=TRUE,$U$7=TRUE)),VLOOKUP($E47,'Status Thresholds'!$E:$AR,38,FALSE),IF((AND($U$4=FALSE,$U$5=TRUE,$U$6=FALSE,$U$7=TRUE)),VLOOKUP($E47,'Status Thresholds'!$E:$AR,28,FALSE)))))))))
))/
IF(OR($X$5=TRUE,$AC$3=TRUE
),($F$4/2), IF(OR($X$2,$X$3,$X$4,$X$6,$X$7,$X$8,$Z$2,$Z$3,$Z$4,$Z$5,$Z$6,$Z$7,$Z$8)=TRUE,$F$4)),0),"-")</f>
        <v>-</v>
      </c>
      <c r="H47" s="36" t="str">
        <f>IFERROR(
ROUNDUP(
IF(AND($U$5=FALSE,$U$4=FALSE),"-",IF(AND($U$5=TRUE,$U$4=TRUE),"-",
IF((AND($U$4=TRUE,$U$5=FALSE,$U$6=FALSE,$U$7=FALSE)),VLOOKUP($E47,'Status Thresholds'!$E:$AR,4,FALSE),IF((AND($U$4=TRUE,$U$5=FALSE,$U$6=TRUE,$U$7=FALSE)),VLOOKUP($E47,'Status Thresholds'!$E:$AR,14,FALSE),IF((AND($U$4=TRUE,$U$5=FALSE,$U$6=TRUE,$U$7=TRUE)),VLOOKUP($E47,'Status Thresholds'!$E:$AR,19,FALSE),IF((AND($U$4=TRUE,$U$5=FALSE,$U$6=FALSE,$U$7=TRUE)),VLOOKUP($E47,'Status Thresholds'!$E:$AR,9,FALSE),
IF((AND($U$4=FALSE,$U$5=TRUE,$U$6=FALSE,$U$7=FALSE)),VLOOKUP($E47,'Status Thresholds'!$E:$AR,24,FALSE),IF((AND($U$4=FALSE,$U$5=TRUE,$U$6=TRUE,$U$7=FALSE)),VLOOKUP($E47,'Status Thresholds'!$E:$AR,34,FALSE),IF((AND($U$4=FALSE,$U$5=TRUE,$U$6=TRUE,$U$7=TRUE)),VLOOKUP($E47,'Status Thresholds'!$E:$AR,39,FALSE),IF((AND($U$4=FALSE,$U$5=TRUE,$U$6=FALSE,$U$7=TRUE)),VLOOKUP($E47,'Status Thresholds'!$E:$AR,29,FALSE)))))))))
))/
IF(OR($X$5=TRUE,$AC$3=TRUE
),($F$4/2), IF(OR($X$2,$X$3,$X$4,$X$6,$X$7,$X$8,$Z$2,$Z$3,$Z$4,$Z$5,$Z$6,$Z$7,$Z$8)=TRUE,$F$4)),0),"-")</f>
        <v>-</v>
      </c>
      <c r="I47" s="36" t="str">
        <f>IFERROR(
ROUNDUP(
IF(AND($U$5=FALSE,$U$4=FALSE),"-",IF(AND($U$5=TRUE,$U$4=TRUE),"-",
IF((AND($U$4=TRUE,$U$5=FALSE,$U$6=FALSE,$U$7=FALSE)),VLOOKUP($E47,'Status Thresholds'!$E:$AR,5,FALSE),IF((AND($U$4=TRUE,$U$5=FALSE,$U$6=TRUE,$U$7=FALSE)),VLOOKUP($E47,'Status Thresholds'!$E:$AR,15,FALSE),IF((AND($U$4=TRUE,$U$5=FALSE,$U$6=TRUE,$U$7=TRUE)),VLOOKUP($E47,'Status Thresholds'!$E:$AR,20,FALSE),IF((AND($U$4=TRUE,$U$5=FALSE,$U$6=FALSE,$U$7=TRUE)),VLOOKUP($E47,'Status Thresholds'!$E:$AR,10,FALSE),
IF((AND($U$4=FALSE,$U$5=TRUE,$U$6=FALSE,$U$7=FALSE)),VLOOKUP($E47,'Status Thresholds'!$E:$AR,25,FALSE),IF((AND($U$4=FALSE,$U$5=TRUE,$U$6=TRUE,$U$7=FALSE)),VLOOKUP($E47,'Status Thresholds'!$E:$AR,35,FALSE),IF((AND($U$4=FALSE,$U$5=TRUE,$U$6=TRUE,$U$7=TRUE)),VLOOKUP($E47,'Status Thresholds'!$E:$AR,40,FALSE),IF((AND($U$4=FALSE,$U$5=TRUE,$U$6=FALSE,$U$7=TRUE)),VLOOKUP($E47,'Status Thresholds'!$E:$AR,30,FALSE)))))))))
))/
IF(OR($X$5=TRUE,$AC$3=TRUE
),($F$4/2), IF(OR($X$2,$X$3,$X$4,$X$6,$X$7,$X$8,$Z$2,$Z$3,$Z$4,$Z$5,$Z$6,$Z$7,$Z$8)=TRUE,$F$4)),0),"-")</f>
        <v>-</v>
      </c>
      <c r="J47" s="46">
        <f>IFERROR(IF(AND($U$5=FALSE,$U$4=FALSE),"-",VLOOKUP($E47,'Status Thresholds'!$E:$AU,41,FALSE)),"-")</f>
        <v>60</v>
      </c>
      <c r="K47" s="46" t="str">
        <f>IFERROR(IF(AND($U$5=FALSE,$U$4=FALSE),"-",VLOOKUP($E47,'Status Thresholds'!$E:$AU,42,FALSE)),"-")</f>
        <v>-</v>
      </c>
      <c r="L47" s="46" t="str">
        <f>IFERROR(IF(AND($U$5=FALSE,$U$4=FALSE),"-",VLOOKUP($E47,'Status Thresholds'!$E:$AU,43,FALSE)),"-")</f>
        <v>-</v>
      </c>
    </row>
    <row r="48" spans="1:12" x14ac:dyDescent="0.25">
      <c r="A48" s="35"/>
      <c r="B48" s="64" t="str">
        <f>VLOOKUP(C48,'Status Thresholds'!B:C,2,FALSE)</f>
        <v>MHGen</v>
      </c>
      <c r="C48" s="64" t="str">
        <f>IF('Status Thresholds'!B43=0, "", 'Status Thresholds'!B43)</f>
        <v>Alatron</v>
      </c>
      <c r="D48" s="32" t="s">
        <v>33</v>
      </c>
      <c r="E48" s="36" t="str">
        <f t="shared" si="0"/>
        <v>AlatronPoison</v>
      </c>
      <c r="F48" s="36" t="str">
        <f>IFERROR(
ROUNDUP(
IF(AND($U$5=FALSE,$U$4=FALSE),"-",IF(AND($U$5=TRUE,$U$4=TRUE),"-",
IF((AND($U$4=TRUE,$U$5=FALSE,$U$6=FALSE,$U$7=FALSE)),VLOOKUP($E48,'Status Thresholds'!$E:$AR,2,FALSE),IF((AND($U$4=TRUE,$U$5=FALSE,$U$6=TRUE,$U$7=FALSE)),VLOOKUP($E48,'Status Thresholds'!$E:$AR,12,FALSE),IF((AND($U$4=TRUE,$U$5=FALSE,$U$6=TRUE,$U$7=TRUE)),VLOOKUP($E48,'Status Thresholds'!$E:$AR,17,FALSE),IF((AND($U$4=TRUE,$U$5=FALSE,$U$6=FALSE,$U$7=TRUE)),VLOOKUP($E48,'Status Thresholds'!$E:$AR,7,FALSE),
IF((AND($U$4=FALSE,$U$5=TRUE,$U$6=FALSE,$U$7=FALSE)),VLOOKUP($E48,'Status Thresholds'!$E:$AR,22,FALSE),IF((AND($U$4=FALSE,$U$5=TRUE,$U$6=TRUE,$U$7=FALSE)),VLOOKUP($E48,'Status Thresholds'!$E:$AR,32,FALSE),IF((AND($U$4=FALSE,$U$5=TRUE,$U$6=TRUE,$U$7=TRUE)),VLOOKUP($E48,'Status Thresholds'!$E:$AR,37,FALSE),IF((AND($U$4=FALSE,$U$5=TRUE,$U$6=FALSE,$U$7=TRUE)),VLOOKUP($E48,'Status Thresholds'!$E:$AR,27,FALSE)))))))))
))/
IF(OR($X$5=TRUE,$AC$3=TRUE
),($F$5/2), IF(OR($X$2,$X$3,$X$4,$X$6,$X$7,$X$8,$Z$2,$Z$3,$Z$4,$Z$5,$Z$6,$Z$7,$Z$8)=TRUE,$F$5)),0),"-")</f>
        <v>-</v>
      </c>
      <c r="G48" s="36" t="str">
        <f>IFERROR(
ROUNDUP(
IF(AND($U$5=FALSE,$U$4=FALSE),"-",IF(AND($U$5=TRUE,$U$4=TRUE),"-",
IF((AND($U$4=TRUE,$U$5=FALSE,$U$6=FALSE,$U$7=FALSE)),VLOOKUP($E48,'Status Thresholds'!$E:$AR,3,FALSE),IF((AND($U$4=TRUE,$U$5=FALSE,$U$6=TRUE,$U$7=FALSE)),VLOOKUP($E48,'Status Thresholds'!$E:$AR,13,FALSE),IF((AND($U$4=TRUE,$U$5=FALSE,$U$6=TRUE,$U$7=TRUE)),VLOOKUP($E48,'Status Thresholds'!$E:$AR,18,FALSE),IF((AND($U$4=TRUE,$U$5=FALSE,$U$6=FALSE,$U$7=TRUE)),VLOOKUP($E48,'Status Thresholds'!$E:$AR,8,FALSE),
IF((AND($U$4=FALSE,$U$5=TRUE,$U$6=FALSE,$U$7=FALSE)),VLOOKUP($E48,'Status Thresholds'!$E:$AR,23,FALSE),IF((AND($U$4=FALSE,$U$5=TRUE,$U$6=TRUE,$U$7=FALSE)),VLOOKUP($E48,'Status Thresholds'!$E:$AR,33,FALSE),IF((AND($U$4=FALSE,$U$5=TRUE,$U$6=TRUE,$U$7=TRUE)),VLOOKUP($E48,'Status Thresholds'!$E:$AR,38,FALSE),IF((AND($U$4=FALSE,$U$5=TRUE,$U$6=FALSE,$U$7=TRUE)),VLOOKUP($E48,'Status Thresholds'!$E:$AR,28,FALSE)))))))))
))/
IF(OR($X$5=TRUE,$AC$3=TRUE
),($F$5/2), IF(OR($X$2,$X$3,$X$4,$X$6,$X$7,$X$8,$Z$2,$Z$3,$Z$4,$Z$5,$Z$6,$Z$7,$Z$8)=TRUE,$F$5)),0),"-")</f>
        <v>-</v>
      </c>
      <c r="H48" s="36" t="str">
        <f>IFERROR(
ROUNDUP(
IF(AND($U$5=FALSE,$U$4=FALSE),"-",IF(AND($U$5=TRUE,$U$4=TRUE),"-",
IF((AND($U$4=TRUE,$U$5=FALSE,$U$6=FALSE,$U$7=FALSE)),VLOOKUP($E48,'Status Thresholds'!$E:$AR,4,FALSE),IF((AND($U$4=TRUE,$U$5=FALSE,$U$6=TRUE,$U$7=FALSE)),VLOOKUP($E48,'Status Thresholds'!$E:$AR,14,FALSE),IF((AND($U$4=TRUE,$U$5=FALSE,$U$6=TRUE,$U$7=TRUE)),VLOOKUP($E48,'Status Thresholds'!$E:$AR,19,FALSE),IF((AND($U$4=TRUE,$U$5=FALSE,$U$6=FALSE,$U$7=TRUE)),VLOOKUP($E48,'Status Thresholds'!$E:$AR,9,FALSE),
IF((AND($U$4=FALSE,$U$5=TRUE,$U$6=FALSE,$U$7=FALSE)),VLOOKUP($E48,'Status Thresholds'!$E:$AR,24,FALSE),IF((AND($U$4=FALSE,$U$5=TRUE,$U$6=TRUE,$U$7=FALSE)),VLOOKUP($E48,'Status Thresholds'!$E:$AR,34,FALSE),IF((AND($U$4=FALSE,$U$5=TRUE,$U$6=TRUE,$U$7=TRUE)),VLOOKUP($E48,'Status Thresholds'!$E:$AR,39,FALSE),IF((AND($U$4=FALSE,$U$5=TRUE,$U$6=FALSE,$U$7=TRUE)),VLOOKUP($E48,'Status Thresholds'!$E:$AR,29,FALSE)))))))))
))/
IF(OR($X$5=TRUE,$AC$3=TRUE
),($F$5/2), IF(OR($X$2,$X$3,$X$4,$X$6,$X$7,$X$8,$Z$2,$Z$3,$Z$4,$Z$5,$Z$6,$Z$7,$Z$8)=TRUE,$F$5)),0),"-")</f>
        <v>-</v>
      </c>
      <c r="I48" s="36" t="str">
        <f>IFERROR(
ROUNDUP(
IF(AND($U$5=FALSE,$U$4=FALSE),"-",IF(AND($U$5=TRUE,$U$4=TRUE),"-",
IF((AND($U$4=TRUE,$U$5=FALSE,$U$6=FALSE,$U$7=FALSE)),VLOOKUP($E48,'Status Thresholds'!$E:$AR,5,FALSE),IF((AND($U$4=TRUE,$U$5=FALSE,$U$6=TRUE,$U$7=FALSE)),VLOOKUP($E48,'Status Thresholds'!$E:$AR,15,FALSE),IF((AND($U$4=TRUE,$U$5=FALSE,$U$6=TRUE,$U$7=TRUE)),VLOOKUP($E48,'Status Thresholds'!$E:$AR,20,FALSE),IF((AND($U$4=TRUE,$U$5=FALSE,$U$6=FALSE,$U$7=TRUE)),VLOOKUP($E48,'Status Thresholds'!$E:$AR,10,FALSE),
IF((AND($U$4=FALSE,$U$5=TRUE,$U$6=FALSE,$U$7=FALSE)),VLOOKUP($E48,'Status Thresholds'!$E:$AR,25,FALSE),IF((AND($U$4=FALSE,$U$5=TRUE,$U$6=TRUE,$U$7=FALSE)),VLOOKUP($E48,'Status Thresholds'!$E:$AR,35,FALSE),IF((AND($U$4=FALSE,$U$5=TRUE,$U$6=TRUE,$U$7=TRUE)),VLOOKUP($E48,'Status Thresholds'!$E:$AR,40,FALSE),IF((AND($U$4=FALSE,$U$5=TRUE,$U$6=FALSE,$U$7=TRUE)),VLOOKUP($E48,'Status Thresholds'!$E:$AR,30,FALSE)))))))))
))/
IF(OR($X$5=TRUE,$AC$3=TRUE
),($F$5/2), IF(OR($X$2,$X$3,$X$4,$X$6,$X$7,$X$8,$Z$2,$Z$3,$Z$4,$Z$5,$Z$6,$Z$7,$Z$8)=TRUE,$F$5)),0),"-")</f>
        <v>-</v>
      </c>
      <c r="J48" s="46">
        <f>IFERROR(IF(AND($U$5=FALSE,$U$4=FALSE),"-",VLOOKUP($E48,'Status Thresholds'!$E:$AU,41,FALSE)),"-")</f>
        <v>15</v>
      </c>
      <c r="K48" s="46" t="str">
        <f>IFERROR(IF(AND($U$5=FALSE,$U$4=FALSE),"-",VLOOKUP($E48,'Status Thresholds'!$E:$AU,42,FALSE)),"-")</f>
        <v>-</v>
      </c>
      <c r="L48" s="46" t="str">
        <f>IFERROR(IF(AND($U$5=FALSE,$U$4=FALSE),"-",VLOOKUP($E48,'Status Thresholds'!$E:$AU,43,FALSE)),"-")</f>
        <v>-</v>
      </c>
    </row>
    <row r="49" spans="1:12" x14ac:dyDescent="0.25">
      <c r="A49" s="35"/>
      <c r="B49" s="64" t="str">
        <f>VLOOKUP(C49,'Status Thresholds'!B:C,2,FALSE)</f>
        <v>MHGen</v>
      </c>
      <c r="C49" s="64" t="str">
        <f>IF('Status Thresholds'!B44=0, "", 'Status Thresholds'!B44)</f>
        <v>Alatron</v>
      </c>
      <c r="D49" s="10" t="s">
        <v>22</v>
      </c>
      <c r="E49" s="36" t="str">
        <f t="shared" si="0"/>
        <v>AlatronExhaust</v>
      </c>
      <c r="F49" s="36" t="str">
        <f>IFERROR(
ROUNDUP(
IF(AND($U$5=FALSE,$U$4=FALSE),"-",IF(AND($U$5=TRUE,$U$4=TRUE),"-",
IF((AND($U$4=TRUE,$U$5=FALSE,$U$6=FALSE,$U$7=FALSE)),VLOOKUP($E49,'Status Thresholds'!$E:$AR,2,FALSE),IF((AND($U$4=TRUE,$U$5=FALSE,$U$6=TRUE,$U$7=FALSE)),VLOOKUP($E49,'Status Thresholds'!$E:$AR,12,FALSE),IF((AND($U$4=TRUE,$U$5=FALSE,$U$6=TRUE,$U$7=TRUE)),VLOOKUP($E49,'Status Thresholds'!$E:$AR,17,FALSE),IF((AND($U$4=TRUE,$U$5=FALSE,$U$6=FALSE,$U$7=TRUE)),VLOOKUP($E49,'Status Thresholds'!$E:$AR,7,FALSE),
IF((AND($U$4=FALSE,$U$5=TRUE,$U$6=FALSE,$U$7=FALSE)),VLOOKUP($E49,'Status Thresholds'!$E:$AR,22,FALSE),IF((AND($U$4=FALSE,$U$5=TRUE,$U$6=TRUE,$U$7=FALSE)),VLOOKUP($E49,'Status Thresholds'!$E:$AR,32,FALSE),IF((AND($U$4=FALSE,$U$5=TRUE,$U$6=TRUE,$U$7=TRUE)),VLOOKUP($E49,'Status Thresholds'!$E:$AR,37,FALSE),IF((AND($U$4=FALSE,$U$5=TRUE,$U$6=FALSE,$U$7=TRUE)),VLOOKUP($E49,'Status Thresholds'!$E:$AR,27,FALSE)))))))))
))/
IF(OR($X$5=TRUE,$AC$3=TRUE
),($F$6/2), IF(OR($X$2,$X$3,$X$4,$X$6,$X$7,$X$8,$Z$2,$Z$3,$Z$4,$Z$5,$Z$6,$Z$7,$Z$8)=TRUE,$F$6)),0),"-")</f>
        <v>-</v>
      </c>
      <c r="G49" s="36" t="str">
        <f>IFERROR(
ROUNDUP(
IF(AND($U$5=FALSE,$U$4=FALSE),"-",IF(AND($U$5=TRUE,$U$4=TRUE),"-",
IF((AND($U$4=TRUE,$U$5=FALSE,$U$6=FALSE,$U$7=FALSE)),VLOOKUP($E49,'Status Thresholds'!$E:$AR,3,FALSE),IF((AND($U$4=TRUE,$U$5=FALSE,$U$6=TRUE,$U$7=FALSE)),VLOOKUP($E49,'Status Thresholds'!$E:$AR,13,FALSE),IF((AND($U$4=TRUE,$U$5=FALSE,$U$6=TRUE,$U$7=TRUE)),VLOOKUP($E49,'Status Thresholds'!$E:$AR,18,FALSE),IF((AND($U$4=TRUE,$U$5=FALSE,$U$6=FALSE,$U$7=TRUE)),VLOOKUP($E49,'Status Thresholds'!$E:$AR,8,FALSE),
IF((AND($U$4=FALSE,$U$5=TRUE,$U$6=FALSE,$U$7=FALSE)),VLOOKUP($E49,'Status Thresholds'!$E:$AR,23,FALSE),IF((AND($U$4=FALSE,$U$5=TRUE,$U$6=TRUE,$U$7=FALSE)),VLOOKUP($E49,'Status Thresholds'!$E:$AR,33,FALSE),IF((AND($U$4=FALSE,$U$5=TRUE,$U$6=TRUE,$U$7=TRUE)),VLOOKUP($E49,'Status Thresholds'!$E:$AR,38,FALSE),IF((AND($U$4=FALSE,$U$5=TRUE,$U$6=FALSE,$U$7=TRUE)),VLOOKUP($E49,'Status Thresholds'!$E:$AR,28,FALSE)))))))))
))/
IF(OR($X$5=TRUE,$AC$3=TRUE
),($F$6/2), IF(OR($X$2,$X$3,$X$4,$X$6,$X$7,$X$8,$Z$2,$Z$3,$Z$4,$Z$5,$Z$6,$Z$7,$Z$8)=TRUE,$F$6)),0),"-")</f>
        <v>-</v>
      </c>
      <c r="H49" s="36" t="str">
        <f>IFERROR(
ROUNDUP(
IF(AND($U$5=FALSE,$U$4=FALSE),"-",IF(AND($U$5=TRUE,$U$4=TRUE),"-",
IF((AND($U$4=TRUE,$U$5=FALSE,$U$6=FALSE,$U$7=FALSE)),VLOOKUP($E49,'Status Thresholds'!$E:$AR,4,FALSE),IF((AND($U$4=TRUE,$U$5=FALSE,$U$6=TRUE,$U$7=FALSE)),VLOOKUP($E49,'Status Thresholds'!$E:$AR,14,FALSE),IF((AND($U$4=TRUE,$U$5=FALSE,$U$6=TRUE,$U$7=TRUE)),VLOOKUP($E49,'Status Thresholds'!$E:$AR,19,FALSE),IF((AND($U$4=TRUE,$U$5=FALSE,$U$6=FALSE,$U$7=TRUE)),VLOOKUP($E49,'Status Thresholds'!$E:$AR,9,FALSE),
IF((AND($U$4=FALSE,$U$5=TRUE,$U$6=FALSE,$U$7=FALSE)),VLOOKUP($E49,'Status Thresholds'!$E:$AR,24,FALSE),IF((AND($U$4=FALSE,$U$5=TRUE,$U$6=TRUE,$U$7=FALSE)),VLOOKUP($E49,'Status Thresholds'!$E:$AR,34,FALSE),IF((AND($U$4=FALSE,$U$5=TRUE,$U$6=TRUE,$U$7=TRUE)),VLOOKUP($E49,'Status Thresholds'!$E:$AR,39,FALSE),IF((AND($U$4=FALSE,$U$5=TRUE,$U$6=FALSE,$U$7=TRUE)),VLOOKUP($E49,'Status Thresholds'!$E:$AR,29,FALSE)))))))))
))/
IF(OR($X$5=TRUE,$AC$3=TRUE
),($F$6/2), IF(OR($X$2,$X$3,$X$4,$X$6,$X$7,$X$8,$Z$2,$Z$3,$Z$4,$Z$5,$Z$6,$Z$7,$Z$8)=TRUE,$F$6)),0),"-")</f>
        <v>-</v>
      </c>
      <c r="I49" s="36" t="str">
        <f>IFERROR(
ROUNDUP(
IF(AND($U$5=FALSE,$U$4=FALSE),"-",IF(AND($U$5=TRUE,$U$4=TRUE),"-",
IF((AND($U$4=TRUE,$U$5=FALSE,$U$6=FALSE,$U$7=FALSE)),VLOOKUP($E49,'Status Thresholds'!$E:$AR,5,FALSE),IF((AND($U$4=TRUE,$U$5=FALSE,$U$6=TRUE,$U$7=FALSE)),VLOOKUP($E49,'Status Thresholds'!$E:$AR,15,FALSE),IF((AND($U$4=TRUE,$U$5=FALSE,$U$6=TRUE,$U$7=TRUE)),VLOOKUP($E49,'Status Thresholds'!$E:$AR,20,FALSE),IF((AND($U$4=TRUE,$U$5=FALSE,$U$6=FALSE,$U$7=TRUE)),VLOOKUP($E49,'Status Thresholds'!$E:$AR,10,FALSE),
IF((AND($U$4=FALSE,$U$5=TRUE,$U$6=FALSE,$U$7=FALSE)),VLOOKUP($E49,'Status Thresholds'!$E:$AR,25,FALSE),IF((AND($U$4=FALSE,$U$5=TRUE,$U$6=TRUE,$U$7=FALSE)),VLOOKUP($E49,'Status Thresholds'!$E:$AR,35,FALSE),IF((AND($U$4=FALSE,$U$5=TRUE,$U$6=TRUE,$U$7=TRUE)),VLOOKUP($E49,'Status Thresholds'!$E:$AR,40,FALSE),IF((AND($U$4=FALSE,$U$5=TRUE,$U$6=FALSE,$U$7=TRUE)),VLOOKUP($E49,'Status Thresholds'!$E:$AR,30,FALSE)))))))))
))/
IF(OR($X$5=TRUE,$AC$3=TRUE
),($F$6/2), IF(OR($X$2,$X$3,$X$4,$X$6,$X$7,$X$8,$Z$2,$Z$3,$Z$4,$Z$5,$Z$6,$Z$7,$Z$8)=TRUE,$F$6)),0),"-")</f>
        <v>-</v>
      </c>
      <c r="J49" s="46">
        <f>IFERROR(IF(AND($U$5=FALSE,$U$4=FALSE),"-",VLOOKUP($E49,'Status Thresholds'!$E:$AU,41,FALSE)),"-")</f>
        <v>0</v>
      </c>
      <c r="K49" s="46" t="str">
        <f>IFERROR(IF(AND($U$5=FALSE,$U$4=FALSE),"-",VLOOKUP($E49,'Status Thresholds'!$E:$AU,42,FALSE)),"-")</f>
        <v>-</v>
      </c>
      <c r="L49" s="46" t="str">
        <f>IFERROR(IF(AND($U$5=FALSE,$U$4=FALSE),"-",VLOOKUP($E49,'Status Thresholds'!$E:$AU,43,FALSE)),"-")</f>
        <v>-</v>
      </c>
    </row>
    <row r="50" spans="1:12" x14ac:dyDescent="0.25">
      <c r="A50" s="35"/>
      <c r="B50" s="64" t="str">
        <f>VLOOKUP(C50,'Status Thresholds'!B:C,2,FALSE)</f>
        <v>MHGen</v>
      </c>
      <c r="C50" s="64" t="str">
        <f>IF('Status Thresholds'!B45=0, "", 'Status Thresholds'!B45)</f>
        <v>Alatron</v>
      </c>
      <c r="D50" s="30" t="s">
        <v>35</v>
      </c>
      <c r="E50" s="36" t="str">
        <f t="shared" si="0"/>
        <v>AlatronBlast</v>
      </c>
      <c r="F50" s="36" t="str">
        <f>IFERROR(
ROUNDUP(
IF(AND($U$5=FALSE,$U$4=FALSE),"-",IF(AND($U$5=TRUE,$U$4=TRUE),"-",
IF((AND($U$4=TRUE,$U$5=FALSE,$U$6=FALSE,$U$7=FALSE)),VLOOKUP($E50,'Status Thresholds'!$E:$AR,2,FALSE),IF((AND($U$4=TRUE,$U$5=FALSE,$U$6=TRUE,$U$7=FALSE)),VLOOKUP($E50,'Status Thresholds'!$E:$AR,12,FALSE),IF((AND($U$4=TRUE,$U$5=FALSE,$U$6=TRUE,$U$7=TRUE)),VLOOKUP($E50,'Status Thresholds'!$E:$AR,17,FALSE),IF((AND($U$4=TRUE,$U$5=FALSE,$U$6=FALSE,$U$7=TRUE)),VLOOKUP($E50,'Status Thresholds'!$E:$AR,7,FALSE),
IF((AND($U$4=FALSE,$U$5=TRUE,$U$6=FALSE,$U$7=FALSE)),VLOOKUP($E50,'Status Thresholds'!$E:$AR,22,FALSE),IF((AND($U$4=FALSE,$U$5=TRUE,$U$6=TRUE,$U$7=FALSE)),VLOOKUP($E50,'Status Thresholds'!$E:$AR,32,FALSE),IF((AND($U$4=FALSE,$U$5=TRUE,$U$6=TRUE,$U$7=TRUE)),VLOOKUP($E50,'Status Thresholds'!$E:$AR,37,FALSE),IF((AND($U$4=FALSE,$U$5=TRUE,$U$6=FALSE,$U$7=TRUE)),VLOOKUP($E50,'Status Thresholds'!$E:$AR,27,FALSE)))))))))
))/
IF(OR($X$5=TRUE,$AC$3=TRUE
),($F$7/2), IF(OR($X$2,$X$3,$X$4,$X$6,$X$7,$X$8,$Z$2,$Z$3,$Z$4,$Z$5,$Z$6,$Z$7,$Z$8)=TRUE,$F$7)),0),"-")</f>
        <v>-</v>
      </c>
      <c r="G50" s="36" t="str">
        <f>IFERROR(
ROUNDUP(
IF(AND($U$5=FALSE,$U$4=FALSE),"-",IF(AND($U$5=TRUE,$U$4=TRUE),"-",
IF((AND($U$4=TRUE,$U$5=FALSE,$U$6=FALSE,$U$7=FALSE)),VLOOKUP($E50,'Status Thresholds'!$E:$AR,3,FALSE),IF((AND($U$4=TRUE,$U$5=FALSE,$U$6=TRUE,$U$7=FALSE)),VLOOKUP($E50,'Status Thresholds'!$E:$AR,13,FALSE),IF((AND($U$4=TRUE,$U$5=FALSE,$U$6=TRUE,$U$7=TRUE)),VLOOKUP($E50,'Status Thresholds'!$E:$AR,18,FALSE),IF((AND($U$4=TRUE,$U$5=FALSE,$U$6=FALSE,$U$7=TRUE)),VLOOKUP($E50,'Status Thresholds'!$E:$AR,8,FALSE),
IF((AND($U$4=FALSE,$U$5=TRUE,$U$6=FALSE,$U$7=FALSE)),VLOOKUP($E50,'Status Thresholds'!$E:$AR,23,FALSE),IF((AND($U$4=FALSE,$U$5=TRUE,$U$6=TRUE,$U$7=FALSE)),VLOOKUP($E50,'Status Thresholds'!$E:$AR,33,FALSE),IF((AND($U$4=FALSE,$U$5=TRUE,$U$6=TRUE,$U$7=TRUE)),VLOOKUP($E50,'Status Thresholds'!$E:$AR,38,FALSE),IF((AND($U$4=FALSE,$U$5=TRUE,$U$6=FALSE,$U$7=TRUE)),VLOOKUP($E50,'Status Thresholds'!$E:$AR,28,FALSE)))))))))
))/
IF(OR($X$5=TRUE,$AC$3=TRUE
),($F$7/2), IF(OR($X$2,$X$3,$X$4,$X$6,$X$7,$X$8,$Z$2,$Z$3,$Z$4,$Z$5,$Z$6,$Z$7,$Z$8)=TRUE,$F$7)),0),"-")</f>
        <v>-</v>
      </c>
      <c r="H50" s="36" t="str">
        <f>IFERROR(
ROUNDUP(
IF(AND($U$5=FALSE,$U$4=FALSE),"-",IF(AND($U$5=TRUE,$U$4=TRUE),"-",
IF((AND($U$4=TRUE,$U$5=FALSE,$U$6=FALSE,$U$7=FALSE)),VLOOKUP($E50,'Status Thresholds'!$E:$AR,4,FALSE),IF((AND($U$4=TRUE,$U$5=FALSE,$U$6=TRUE,$U$7=FALSE)),VLOOKUP($E50,'Status Thresholds'!$E:$AR,14,FALSE),IF((AND($U$4=TRUE,$U$5=FALSE,$U$6=TRUE,$U$7=TRUE)),VLOOKUP($E50,'Status Thresholds'!$E:$AR,19,FALSE),IF((AND($U$4=TRUE,$U$5=FALSE,$U$6=FALSE,$U$7=TRUE)),VLOOKUP($E50,'Status Thresholds'!$E:$AR,9,FALSE),
IF((AND($U$4=FALSE,$U$5=TRUE,$U$6=FALSE,$U$7=FALSE)),VLOOKUP($E50,'Status Thresholds'!$E:$AR,24,FALSE),IF((AND($U$4=FALSE,$U$5=TRUE,$U$6=TRUE,$U$7=FALSE)),VLOOKUP($E50,'Status Thresholds'!$E:$AR,34,FALSE),IF((AND($U$4=FALSE,$U$5=TRUE,$U$6=TRUE,$U$7=TRUE)),VLOOKUP($E50,'Status Thresholds'!$E:$AR,39,FALSE),IF((AND($U$4=FALSE,$U$5=TRUE,$U$6=FALSE,$U$7=TRUE)),VLOOKUP($E50,'Status Thresholds'!$E:$AR,29,FALSE)))))))))
))/
IF(OR($X$5=TRUE,$AC$3=TRUE
),($F$7/2), IF(OR($X$2,$X$3,$X$4,$X$6,$X$7,$X$8,$Z$2,$Z$3,$Z$4,$Z$5,$Z$6,$Z$7,$Z$8)=TRUE,$F$7)),0),"-")</f>
        <v>-</v>
      </c>
      <c r="I50" s="36" t="str">
        <f>IFERROR(
ROUNDUP(
IF(AND($U$5=FALSE,$U$4=FALSE),"-",IF(AND($U$5=TRUE,$U$4=TRUE),"-",
IF((AND($U$4=TRUE,$U$5=FALSE,$U$6=FALSE,$U$7=FALSE)),VLOOKUP($E50,'Status Thresholds'!$E:$AR,5,FALSE),IF((AND($U$4=TRUE,$U$5=FALSE,$U$6=TRUE,$U$7=FALSE)),VLOOKUP($E50,'Status Thresholds'!$E:$AR,15,FALSE),IF((AND($U$4=TRUE,$U$5=FALSE,$U$6=TRUE,$U$7=TRUE)),VLOOKUP($E50,'Status Thresholds'!$E:$AR,20,FALSE),IF((AND($U$4=TRUE,$U$5=FALSE,$U$6=FALSE,$U$7=TRUE)),VLOOKUP($E50,'Status Thresholds'!$E:$AR,10,FALSE),
IF((AND($U$4=FALSE,$U$5=TRUE,$U$6=FALSE,$U$7=FALSE)),VLOOKUP($E50,'Status Thresholds'!$E:$AR,25,FALSE),IF((AND($U$4=FALSE,$U$5=TRUE,$U$6=TRUE,$U$7=FALSE)),VLOOKUP($E50,'Status Thresholds'!$E:$AR,35,FALSE),IF((AND($U$4=FALSE,$U$5=TRUE,$U$6=TRUE,$U$7=TRUE)),VLOOKUP($E50,'Status Thresholds'!$E:$AR,40,FALSE),IF((AND($U$4=FALSE,$U$5=TRUE,$U$6=FALSE,$U$7=TRUE)),VLOOKUP($E50,'Status Thresholds'!$E:$AR,30,FALSE)))))))))
))/
IF(OR($X$5=TRUE,$AC$3=TRUE
),($F$7/2), IF(OR($X$2,$X$3,$X$4,$X$6,$X$7,$X$8,$Z$2,$Z$3,$Z$4,$Z$5,$Z$6,$Z$7,$Z$8)=TRUE,$F$7)),0),"-")</f>
        <v>-</v>
      </c>
      <c r="J50" s="46">
        <f>IFERROR(IF(AND($U$5=FALSE,$U$4=FALSE),"-",VLOOKUP($E50,'Status Thresholds'!$E:$AU,41,FALSE)),"-")</f>
        <v>0</v>
      </c>
      <c r="K50" s="46" t="str">
        <f>IFERROR(IF(AND($U$5=FALSE,$U$4=FALSE),"-",VLOOKUP($E50,'Status Thresholds'!$E:$AU,42,FALSE)),"-")</f>
        <v>-</v>
      </c>
      <c r="L50" s="46" t="str">
        <f>IFERROR(IF(AND($U$5=FALSE,$U$4=FALSE),"-",VLOOKUP($E50,'Status Thresholds'!$E:$AU,43,FALSE)),"-")</f>
        <v>-</v>
      </c>
    </row>
    <row r="51" spans="1:12" ht="14.45" customHeight="1" x14ac:dyDescent="0.25">
      <c r="A51" s="35"/>
      <c r="B51" s="64" t="str">
        <f>VLOOKUP(C51,'Status Thresholds'!B:C,2,FALSE)</f>
        <v>MHGen</v>
      </c>
      <c r="C51" s="64" t="str">
        <f>IF('Status Thresholds'!B46=0, "", 'Status Thresholds'!B46)</f>
        <v>Alatron</v>
      </c>
      <c r="D51" s="34" t="s">
        <v>14</v>
      </c>
      <c r="E51" s="36" t="str">
        <f t="shared" si="0"/>
        <v>AlatronKO</v>
      </c>
      <c r="F51" s="36" t="s">
        <v>214</v>
      </c>
      <c r="G51" s="36" t="s">
        <v>214</v>
      </c>
      <c r="H51" s="36" t="s">
        <v>214</v>
      </c>
      <c r="I51" s="36" t="s">
        <v>214</v>
      </c>
      <c r="J51" s="46">
        <f>IFERROR(IF(AND($U$5=FALSE,$U$4=FALSE),"-",VLOOKUP($E51,'Status Thresholds'!$E:$AU,41,FALSE)),"-")</f>
        <v>10</v>
      </c>
      <c r="K51" s="46" t="str">
        <f>IFERROR(IF(AND($U$5=FALSE,$U$4=FALSE),"-",VLOOKUP($E51,'Status Thresholds'!$E:$AU,42,FALSE)),"-")</f>
        <v>-</v>
      </c>
      <c r="L51" s="46" t="str">
        <f>IFERROR(IF(AND($U$5=FALSE,$U$4=FALSE),"-",VLOOKUP($E51,'Status Thresholds'!$E:$AU,43,FALSE)),"-")</f>
        <v>-</v>
      </c>
    </row>
    <row r="52" spans="1:12" x14ac:dyDescent="0.25">
      <c r="A52" s="35"/>
      <c r="B52" s="64" t="str">
        <f>VLOOKUP(C52,'Status Thresholds'!B:C,2,FALSE)</f>
        <v>MHGen</v>
      </c>
      <c r="C52" s="64" t="str">
        <f>IF('Status Thresholds'!B47=0, "", 'Status Thresholds'!B47)</f>
        <v>Alatron</v>
      </c>
      <c r="D52" s="33" t="s">
        <v>34</v>
      </c>
      <c r="E52" s="36" t="str">
        <f t="shared" si="0"/>
        <v>AlatronMount</v>
      </c>
      <c r="F52" s="36" t="str">
        <f>IFERROR(
ROUNDUP(
IF(AND($U$5=FALSE,$U$4=FALSE),"-",IF(AND($U$5=TRUE,$U$4=TRUE),"-",
IF((AND($U$4=TRUE,$U$5=FALSE,$U$6=FALSE,$U$7=FALSE)),VLOOKUP($E52,'Status Thresholds'!$E:$AR,2,FALSE),IF((AND($U$4=TRUE,$U$5=FALSE,$U$6=TRUE,$U$7=FALSE)),VLOOKUP($E52,'Status Thresholds'!$E:$AR,12,FALSE),IF((AND($U$4=TRUE,$U$5=FALSE,$U$6=TRUE,$U$7=TRUE)),VLOOKUP($E52,'Status Thresholds'!$E:$AR,17,FALSE),IF((AND($U$4=TRUE,$U$5=FALSE,$U$6=FALSE,$U$7=TRUE)),VLOOKUP($E52,'Status Thresholds'!$E:$AR,7,FALSE),
IF((AND($U$4=FALSE,$U$5=TRUE,$U$6=FALSE,$U$7=FALSE)),VLOOKUP($E52,'Status Thresholds'!$E:$AR,22,FALSE),IF((AND($U$4=FALSE,$U$5=TRUE,$U$6=TRUE,$U$7=FALSE)),VLOOKUP($E52,'Status Thresholds'!$E:$AR,32,FALSE),IF((AND($U$4=FALSE,$U$5=TRUE,$U$6=TRUE,$U$7=TRUE)),VLOOKUP($E52,'Status Thresholds'!$E:$AR,37,FALSE),IF((AND($U$4=FALSE,$U$5=TRUE,$U$6=FALSE,$U$7=TRUE)),VLOOKUP($E52,'Status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52" s="36" t="str">
        <f>IFERROR(
ROUNDUP(
IF(AND($U$5=FALSE,$U$4=FALSE),"-",IF(AND($U$5=TRUE,$U$4=TRUE),"-",
IF((AND($U$4=TRUE,$U$5=FALSE,$U$6=FALSE,$U$7=FALSE)),VLOOKUP($E51,'Status Thresholds'!$E:$AR,3,FALSE),IF((AND($U$4=TRUE,$U$5=FALSE,$U$6=TRUE,$U$7=FALSE)),VLOOKUP($E51,'Status Thresholds'!$E:$AR,13,FALSE),IF((AND($U$4=TRUE,$U$5=FALSE,$U$6=TRUE,$U$7=TRUE)),VLOOKUP($E51,'Status Thresholds'!$E:$AR,18,FALSE),IF((AND($U$4=TRUE,$U$5=FALSE,$U$6=FALSE,$U$7=TRUE)),VLOOKUP($E51,'Status Thresholds'!$E:$AR,8,FALSE),
IF((AND($U$4=FALSE,$U$5=TRUE,$U$6=FALSE,$U$7=FALSE)),VLOOKUP($E51,'Status Thresholds'!$E:$AR,23,FALSE),IF((AND($U$4=FALSE,$U$5=TRUE,$U$6=TRUE,$U$7=FALSE)),VLOOKUP($E51,'Status Thresholds'!$E:$AR,33,FALSE),IF((AND($U$4=FALSE,$U$5=TRUE,$U$6=TRUE,$U$7=TRUE)),VLOOKUP($E51,'Status Thresholds'!$E:$AR,38,FALSE),IF((AND($U$4=FALSE,$U$5=TRUE,$U$6=FALSE,$U$7=TRUE)),VLOOKUP($E51,'Status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52" s="36" t="str">
        <f>IFERROR(
ROUNDUP(
IF(AND($U$5=FALSE,$U$4=FALSE),"-",IF(AND($U$5=TRUE,$U$4=TRUE),"-",
IF((AND($U$4=TRUE,$U$5=FALSE,$U$6=FALSE,$U$7=FALSE)),VLOOKUP($E51,'Status Thresholds'!$E:$AR,4,FALSE),IF((AND($U$4=TRUE,$U$5=FALSE,$U$6=TRUE,$U$7=FALSE)),VLOOKUP($E51,'Status Thresholds'!$E:$AR,14,FALSE),IF((AND($U$4=TRUE,$U$5=FALSE,$U$6=TRUE,$U$7=TRUE)),VLOOKUP($E51,'Status Thresholds'!$E:$AR,19,FALSE),IF((AND($U$4=TRUE,$U$5=FALSE,$U$6=FALSE,$U$7=TRUE)),VLOOKUP($E51,'Status Thresholds'!$E:$AR,9,FALSE),
IF((AND($U$4=FALSE,$U$5=TRUE,$U$6=FALSE,$U$7=FALSE)),VLOOKUP($E51,'Status Thresholds'!$E:$AR,24,FALSE),IF((AND($U$4=FALSE,$U$5=TRUE,$U$6=TRUE,$U$7=FALSE)),VLOOKUP($E51,'Status Thresholds'!$E:$AR,34,FALSE),IF((AND($U$4=FALSE,$U$5=TRUE,$U$6=TRUE,$U$7=TRUE)),VLOOKUP($E51,'Status Thresholds'!$E:$AR,39,FALSE),IF((AND($U$4=FALSE,$U$5=TRUE,$U$6=FALSE,$U$7=TRUE)),VLOOKUP($E51,'Status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52" s="36" t="str">
        <f>IFERROR(
ROUNDUP(
IF(AND($U$5=FALSE,$U$4=FALSE),"-",IF(AND($U$5=TRUE,$U$4=TRUE),"-",
IF((AND($U$4=TRUE,$U$5=FALSE,$U$6=FALSE,$U$7=FALSE)),VLOOKUP($E51,'Status Thresholds'!$E:$AR,5,FALSE),IF((AND($U$4=TRUE,$U$5=FALSE,$U$6=TRUE,$U$7=FALSE)),VLOOKUP($E51,'Status Thresholds'!$E:$AR,15,FALSE),IF((AND($U$4=TRUE,$U$5=FALSE,$U$6=TRUE,$U$7=TRUE)),VLOOKUP($E51,'Status Thresholds'!$E:$AR,20,FALSE),IF((AND($U$4=TRUE,$U$5=FALSE,$U$6=FALSE,$U$7=TRUE)),VLOOKUP($E51,'Status Thresholds'!$E:$AR,10,FALSE),
IF((AND($U$4=FALSE,$U$5=TRUE,$U$6=FALSE,$U$7=FALSE)),VLOOKUP($E51,'Status Thresholds'!$E:$AR,25,FALSE),IF((AND($U$4=FALSE,$U$5=TRUE,$U$6=TRUE,$U$7=FALSE)),VLOOKUP($E51,'Status Thresholds'!$E:$AR,35,FALSE),IF((AND($U$4=FALSE,$U$5=TRUE,$U$6=TRUE,$U$7=TRUE)),VLOOKUP($E51,'Status Thresholds'!$E:$AR,40,FALSE),IF((AND($U$4=FALSE,$U$5=TRUE,$U$6=FALSE,$U$7=TRUE)),VLOOKUP($E51,'Status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52" s="46">
        <f>IFERROR(IF(AND($U$5=FALSE,$U$4=FALSE),"-",VLOOKUP($E52,'Status Thresholds'!$E:$AU,41,FALSE)),"-")</f>
        <v>0</v>
      </c>
      <c r="K52" s="46" t="str">
        <f>IFERROR(IF(AND($U$5=FALSE,$U$4=FALSE),"-",VLOOKUP($E52,'Status Thresholds'!$E:$AU,42,FALSE)),"-")</f>
        <v>-</v>
      </c>
      <c r="L52" s="46" t="str">
        <f>IFERROR(IF(AND($U$5=FALSE,$U$4=FALSE),"-",VLOOKUP($E52,'Status Thresholds'!$E:$AU,43,FALSE)),"-")</f>
        <v>-</v>
      </c>
    </row>
    <row r="53" spans="1:12" ht="15" customHeight="1" x14ac:dyDescent="0.25">
      <c r="A53" s="35"/>
      <c r="B53" s="64" t="str">
        <f>VLOOKUP(C53,'Status Thresholds'!B:C,2,FALSE)</f>
        <v>MHGen</v>
      </c>
      <c r="C53" s="64" t="str">
        <f>IF('Status Thresholds'!B48=0, "", 'Status Thresholds'!B48)</f>
        <v>Alatron</v>
      </c>
      <c r="D53" s="77" t="s">
        <v>207</v>
      </c>
      <c r="E53" s="36" t="str">
        <f t="shared" si="0"/>
        <v>AlatronShock Trap</v>
      </c>
      <c r="F53" s="76" t="s">
        <v>214</v>
      </c>
      <c r="G53" s="46" t="s">
        <v>214</v>
      </c>
      <c r="H53" s="46" t="s">
        <v>214</v>
      </c>
      <c r="I53" s="46" t="s">
        <v>214</v>
      </c>
      <c r="J53" s="46">
        <f>IFERROR(IF(AND($U$5=FALSE,$U$4=FALSE),"-",VLOOKUP($E53,'Status Thresholds'!$E:$AU,43,FALSE)),"-")</f>
        <v>0</v>
      </c>
      <c r="K53" s="46">
        <f>IFERROR(IF(AND($U$5=FALSE,$U$4=FALSE),"-",VLOOKUP($E53,'Status Thresholds'!$E:$AU,41,FALSE)),"-")</f>
        <v>0</v>
      </c>
      <c r="L53" s="46">
        <f>IFERROR(IF(AND($U$5=FALSE,$U$4=FALSE),"-",VLOOKUP($E53,'Status Thresholds'!$E:$AU,42,FALSE)),"-")</f>
        <v>0</v>
      </c>
    </row>
    <row r="54" spans="1:12" x14ac:dyDescent="0.25">
      <c r="A54" s="35"/>
      <c r="B54" s="64" t="str">
        <f>VLOOKUP(C54,'Status Thresholds'!B:C,2,FALSE)</f>
        <v>MHGen</v>
      </c>
      <c r="C54" s="64" t="str">
        <f>IF('Status Thresholds'!B49=0, "", 'Status Thresholds'!B49)</f>
        <v>Alatron</v>
      </c>
      <c r="D54" s="77" t="s">
        <v>213</v>
      </c>
      <c r="E54" s="36" t="str">
        <f t="shared" si="0"/>
        <v>AlatronPitfall Trap</v>
      </c>
      <c r="F54" s="46" t="s">
        <v>214</v>
      </c>
      <c r="G54" s="46" t="s">
        <v>214</v>
      </c>
      <c r="H54" s="46" t="s">
        <v>214</v>
      </c>
      <c r="I54" s="46" t="s">
        <v>214</v>
      </c>
      <c r="J54" s="46">
        <f>IFERROR(IF(AND($U$5=FALSE,$U$4=FALSE),"-",VLOOKUP($E54,'Status Thresholds'!$E:$AU,43,FALSE)),"-")</f>
        <v>0</v>
      </c>
      <c r="K54" s="46">
        <f>IFERROR(IF(AND($U$5=FALSE,$U$4=FALSE),"-",VLOOKUP($E54,'Status Thresholds'!$E:$AU,41,FALSE)),"-")</f>
        <v>0</v>
      </c>
      <c r="L54" s="46">
        <f>IFERROR(IF(AND($U$5=FALSE,$U$4=FALSE),"-",VLOOKUP($E54,'Status Thresholds'!$E:$AU,42,FALSE)),"-")</f>
        <v>0</v>
      </c>
    </row>
    <row r="55" spans="1:12" s="36" customFormat="1" x14ac:dyDescent="0.25">
      <c r="A55" s="64"/>
      <c r="B55" s="64" t="str">
        <f>VLOOKUP(C55,'Status Thresholds'!B:C,2,FALSE)</f>
        <v>MHGen</v>
      </c>
      <c r="C55" s="64" t="str">
        <f>IF('Status Thresholds'!B50=0, "", 'Status Thresholds'!B50)</f>
        <v>Amatsu</v>
      </c>
      <c r="D55" s="37" t="s">
        <v>0</v>
      </c>
      <c r="E55" s="36" t="str">
        <f t="shared" si="0"/>
        <v>AmatsuPara</v>
      </c>
      <c r="F55" s="36" t="str">
        <f>IFERROR(
ROUNDUP(
IF(AND($U$5=FALSE,$U$4=FALSE),"-",IF(AND($U$5=TRUE,$U$4=TRUE),"-",
IF((AND($U$4=TRUE,$U$5=FALSE,$U$6=FALSE,$U$7=FALSE)),VLOOKUP($E55,'Status Thresholds'!$E:$AR,2,FALSE),IF((AND($U$4=TRUE,$U$5=FALSE,$U$6=TRUE,$U$7=FALSE)),VLOOKUP($E55,'Status Thresholds'!$E:$AR,12,FALSE),IF((AND($U$4=TRUE,$U$5=FALSE,$U$6=TRUE,$U$7=TRUE)),VLOOKUP($E55,'Status Thresholds'!$E:$AR,17,FALSE),IF((AND($U$4=TRUE,$U$5=FALSE,$U$6=FALSE,$U$7=TRUE)),VLOOKUP($E55,'Status Thresholds'!$E:$AR,7,FALSE),
IF((AND($U$4=FALSE,$U$5=TRUE,$U$6=FALSE,$U$7=FALSE)),VLOOKUP($E55,'Status Thresholds'!$E:$AR,22,FALSE),IF((AND($U$4=FALSE,$U$5=TRUE,$U$6=TRUE,$U$7=FALSE)),VLOOKUP($E55,'Status Thresholds'!$E:$AR,32,FALSE),IF((AND($U$4=FALSE,$U$5=TRUE,$U$6=TRUE,$U$7=TRUE)),VLOOKUP($E55,'Status Thresholds'!$E:$AR,37,FALSE),IF((AND($U$4=FALSE,$U$5=TRUE,$U$6=FALSE,$U$7=TRUE)),VLOOKUP($E55,'Status Thresholds'!$E:$AR,27,FALSE)))))))))
))/
IF(OR($X$5=TRUE,$AC$3=TRUE
),($F$3/2), IF(OR($X$2,$X$3,$X$4,$X$6,$X$7,$X$8,$Z$2,$Z$3,$Z$4,$Z$5,$Z$6,$Z$7,$Z$8)=TRUE,$F$3)),0),"-")</f>
        <v>-</v>
      </c>
      <c r="G55" s="36" t="str">
        <f>IFERROR(
ROUNDUP(
IF(AND($U$5=FALSE,$U$4=FALSE),"-",IF(AND($U$5=TRUE,$U$4=TRUE),"-",
IF((AND($U$4=TRUE,$U$5=FALSE,$U$6=FALSE,$U$7=FALSE)),VLOOKUP($E55,'Status Thresholds'!$E:$AR,3,FALSE),IF((AND($U$4=TRUE,$U$5=FALSE,$U$6=TRUE,$U$7=FALSE)),VLOOKUP($E55,'Status Thresholds'!$E:$AR,13,FALSE),IF((AND($U$4=TRUE,$U$5=FALSE,$U$6=TRUE,$U$7=TRUE)),VLOOKUP($E55,'Status Thresholds'!$E:$AR,18,FALSE),IF((AND($U$4=TRUE,$U$5=FALSE,$U$6=FALSE,$U$7=TRUE)),VLOOKUP($E55,'Status Thresholds'!$E:$AR,8,FALSE),
IF((AND($U$4=FALSE,$U$5=TRUE,$U$6=FALSE,$U$7=FALSE)),VLOOKUP($E55,'Status Thresholds'!$E:$AR,23,FALSE),IF((AND($U$4=FALSE,$U$5=TRUE,$U$6=TRUE,$U$7=FALSE)),VLOOKUP($E55,'Status Thresholds'!$E:$AR,33,FALSE),IF((AND($U$4=FALSE,$U$5=TRUE,$U$6=TRUE,$U$7=TRUE)),VLOOKUP($E55,'Status Thresholds'!$E:$AR,38,FALSE),IF((AND($U$4=FALSE,$U$5=TRUE,$U$6=FALSE,$U$7=TRUE)),VLOOKUP($E55,'Status Thresholds'!$E:$AR,28,FALSE)))))))))
))/
IF(OR($X$5=TRUE,$AC$3=TRUE
),($F$3/2), IF(OR($X$2,$X$3,$X$4,$X$6,$X$7,$X$8,$Z$2,$Z$3,$Z$4,$Z$5,$Z$6,$Z$7,$Z$8)=TRUE,$F$3)),0),"-")</f>
        <v>-</v>
      </c>
      <c r="H55" s="36" t="str">
        <f>IFERROR(
ROUNDUP(
IF(AND($U$5=FALSE,$U$4=FALSE),"-",IF(AND($U$5=TRUE,$U$4=TRUE),"-",
IF((AND($U$4=TRUE,$U$5=FALSE,$U$6=FALSE,$U$7=FALSE)),VLOOKUP($E55,'Status Thresholds'!$E:$AR,4,FALSE),IF((AND($U$4=TRUE,$U$5=FALSE,$U$6=TRUE,$U$7=FALSE)),VLOOKUP($E55,'Status Thresholds'!$E:$AR,14,FALSE),IF((AND($U$4=TRUE,$U$5=FALSE,$U$6=TRUE,$U$7=TRUE)),VLOOKUP($E55,'Status Thresholds'!$E:$AR,19,FALSE),IF((AND($U$4=TRUE,$U$5=FALSE,$U$6=FALSE,$U$7=TRUE)),VLOOKUP($E55,'Status Thresholds'!$E:$AR,9,FALSE),
IF((AND($U$4=FALSE,$U$5=TRUE,$U$6=FALSE,$U$7=FALSE)),VLOOKUP($E55,'Status Thresholds'!$E:$AR,24,FALSE),IF((AND($U$4=FALSE,$U$5=TRUE,$U$6=TRUE,$U$7=FALSE)),VLOOKUP($E55,'Status Thresholds'!$E:$AR,34,FALSE),IF((AND($U$4=FALSE,$U$5=TRUE,$U$6=TRUE,$U$7=TRUE)),VLOOKUP($E55,'Status Thresholds'!$E:$AR,39,FALSE),IF((AND($U$4=FALSE,$U$5=TRUE,$U$6=FALSE,$U$7=TRUE)),VLOOKUP($E55,'Status Thresholds'!$E:$AR,29,FALSE)))))))))
))/
IF(OR($X$5=TRUE,$AC$3=TRUE
),($F$3/2), IF(OR($X$2,$X$3,$X$4,$X$6,$X$7,$X$8,$Z$2,$Z$3,$Z$4,$Z$5,$Z$6,$Z$7,$Z$8)=TRUE,$F$3)),0),"-")</f>
        <v>-</v>
      </c>
      <c r="I55" s="36" t="str">
        <f>IFERROR(
ROUNDUP(
IF(AND($U$5=FALSE,$U$4=FALSE),"-",IF(AND($U$5=TRUE,$U$4=TRUE),"-",
IF((AND($U$4=TRUE,$U$5=FALSE,$U$6=FALSE,$U$7=FALSE)),VLOOKUP($E55,'Status Thresholds'!$E:$AR,5,FALSE),IF((AND($U$4=TRUE,$U$5=FALSE,$U$6=TRUE,$U$7=FALSE)),VLOOKUP($E55,'Status Thresholds'!$E:$AR,15,FALSE),IF((AND($U$4=TRUE,$U$5=FALSE,$U$6=TRUE,$U$7=TRUE)),VLOOKUP($E55,'Status Thresholds'!$E:$AR,20,FALSE),IF((AND($U$4=TRUE,$U$5=FALSE,$U$6=FALSE,$U$7=TRUE)),VLOOKUP($E55,'Status Thresholds'!$E:$AR,10,FALSE),
IF((AND($U$4=FALSE,$U$5=TRUE,$U$6=FALSE,$U$7=FALSE)),VLOOKUP($E55,'Status Thresholds'!$E:$AR,25,FALSE),IF((AND($U$4=FALSE,$U$5=TRUE,$U$6=TRUE,$U$7=FALSE)),VLOOKUP($E55,'Status Thresholds'!$E:$AR,35,FALSE),IF((AND($U$4=FALSE,$U$5=TRUE,$U$6=TRUE,$U$7=TRUE)),VLOOKUP($E55,'Status Thresholds'!$E:$AR,40,FALSE),IF((AND($U$4=FALSE,$U$5=TRUE,$U$6=FALSE,$U$7=TRUE)),VLOOKUP($E55,'Status Thresholds'!$E:$AR,30,FALSE)))))))))
))/
IF(OR($X$5=TRUE,$AC$3=TRUE
),($F$3/2), IF(OR($X$2,$X$3,$X$4,$X$6,$X$7,$X$8,$Z$2,$Z$3,$Z$4,$Z$5,$Z$6,$Z$7,$Z$8)=TRUE,$F$3)),0),"-")</f>
        <v>-</v>
      </c>
      <c r="J55" s="36">
        <f>IFERROR(IF(AND($U$5=FALSE,$U$4=FALSE),"-",VLOOKUP($E55,'Status Thresholds'!$E:$AU,41,FALSE)),"-")</f>
        <v>8</v>
      </c>
      <c r="K55" s="36" t="str">
        <f>IFERROR(IF(AND($U$5=FALSE,$U$4=FALSE),"-",VLOOKUP($E55,'Status Thresholds'!$E:$AU,42,FALSE)),"-")</f>
        <v>-</v>
      </c>
      <c r="L55" s="36" t="str">
        <f>IFERROR(IF(AND($U$5=FALSE,$U$4=FALSE),"-",VLOOKUP($E55,'Status Thresholds'!$E:$AU,43,FALSE)),"-")</f>
        <v>-</v>
      </c>
    </row>
    <row r="56" spans="1:12" x14ac:dyDescent="0.25">
      <c r="A56" s="35"/>
      <c r="B56" s="64" t="str">
        <f>VLOOKUP(C56,'Status Thresholds'!B:C,2,FALSE)</f>
        <v>MHGen</v>
      </c>
      <c r="C56" s="64" t="str">
        <f>IF('Status Thresholds'!B51=0, "", 'Status Thresholds'!B51)</f>
        <v>Amatsu</v>
      </c>
      <c r="D56" s="31" t="s">
        <v>32</v>
      </c>
      <c r="E56" s="36" t="str">
        <f t="shared" si="0"/>
        <v>AmatsuSleep</v>
      </c>
      <c r="F56" s="36" t="str">
        <f>IFERROR(
ROUNDUP(
IF(AND($U$5=FALSE,$U$4=FALSE),"-",IF(AND($U$5=TRUE,$U$4=TRUE),"-",
IF((AND($U$4=TRUE,$U$5=FALSE,$U$6=FALSE,$U$7=FALSE)),VLOOKUP($E56,'Status Thresholds'!$E:$AR,2,FALSE),IF((AND($U$4=TRUE,$U$5=FALSE,$U$6=TRUE,$U$7=FALSE)),VLOOKUP($E56,'Status Thresholds'!$E:$AR,12,FALSE),IF((AND($U$4=TRUE,$U$5=FALSE,$U$6=TRUE,$U$7=TRUE)),VLOOKUP($E56,'Status Thresholds'!$E:$AR,17,FALSE),IF((AND($U$4=TRUE,$U$5=FALSE,$U$6=FALSE,$U$7=TRUE)),VLOOKUP($E56,'Status Thresholds'!$E:$AR,7,FALSE),
IF((AND($U$4=FALSE,$U$5=TRUE,$U$6=FALSE,$U$7=FALSE)),VLOOKUP($E56,'Status Thresholds'!$E:$AR,22,FALSE),IF((AND($U$4=FALSE,$U$5=TRUE,$U$6=TRUE,$U$7=FALSE)),VLOOKUP($E56,'Status Thresholds'!$E:$AR,32,FALSE),IF((AND($U$4=FALSE,$U$5=TRUE,$U$6=TRUE,$U$7=TRUE)),VLOOKUP($E56,'Status Thresholds'!$E:$AR,37,FALSE),IF((AND($U$4=FALSE,$U$5=TRUE,$U$6=FALSE,$U$7=TRUE)),VLOOKUP($E56,'Status Thresholds'!$E:$AR,27,FALSE)))))))))
))/
IF(OR($X$5=TRUE,$AC$3=TRUE
),($F$4/2), IF(OR($X$2,$X$3,$X$4,$X$6,$X$7,$X$8,$Z$2,$Z$3,$Z$4,$Z$5,$Z$6,$Z$7,$Z$8)=TRUE,$F$4)),0),"-")</f>
        <v>-</v>
      </c>
      <c r="G56" s="36" t="str">
        <f>IFERROR(
ROUNDUP(
IF(AND($U$5=FALSE,$U$4=FALSE),"-",IF(AND($U$5=TRUE,$U$4=TRUE),"-",
IF((AND($U$4=TRUE,$U$5=FALSE,$U$6=FALSE,$U$7=FALSE)),VLOOKUP($E56,'Status Thresholds'!$E:$AR,3,FALSE),IF((AND($U$4=TRUE,$U$5=FALSE,$U$6=TRUE,$U$7=FALSE)),VLOOKUP($E56,'Status Thresholds'!$E:$AR,13,FALSE),IF((AND($U$4=TRUE,$U$5=FALSE,$U$6=TRUE,$U$7=TRUE)),VLOOKUP($E56,'Status Thresholds'!$E:$AR,18,FALSE),IF((AND($U$4=TRUE,$U$5=FALSE,$U$6=FALSE,$U$7=TRUE)),VLOOKUP($E56,'Status Thresholds'!$E:$AR,8,FALSE),
IF((AND($U$4=FALSE,$U$5=TRUE,$U$6=FALSE,$U$7=FALSE)),VLOOKUP($E56,'Status Thresholds'!$E:$AR,23,FALSE),IF((AND($U$4=FALSE,$U$5=TRUE,$U$6=TRUE,$U$7=FALSE)),VLOOKUP($E56,'Status Thresholds'!$E:$AR,33,FALSE),IF((AND($U$4=FALSE,$U$5=TRUE,$U$6=TRUE,$U$7=TRUE)),VLOOKUP($E56,'Status Thresholds'!$E:$AR,38,FALSE),IF((AND($U$4=FALSE,$U$5=TRUE,$U$6=FALSE,$U$7=TRUE)),VLOOKUP($E56,'Status Thresholds'!$E:$AR,28,FALSE)))))))))
))/
IF(OR($X$5=TRUE,$AC$3=TRUE
),($F$4/2), IF(OR($X$2,$X$3,$X$4,$X$6,$X$7,$X$8,$Z$2,$Z$3,$Z$4,$Z$5,$Z$6,$Z$7,$Z$8)=TRUE,$F$4)),0),"-")</f>
        <v>-</v>
      </c>
      <c r="H56" s="36" t="str">
        <f>IFERROR(
ROUNDUP(
IF(AND($U$5=FALSE,$U$4=FALSE),"-",IF(AND($U$5=TRUE,$U$4=TRUE),"-",
IF((AND($U$4=TRUE,$U$5=FALSE,$U$6=FALSE,$U$7=FALSE)),VLOOKUP($E56,'Status Thresholds'!$E:$AR,4,FALSE),IF((AND($U$4=TRUE,$U$5=FALSE,$U$6=TRUE,$U$7=FALSE)),VLOOKUP($E56,'Status Thresholds'!$E:$AR,14,FALSE),IF((AND($U$4=TRUE,$U$5=FALSE,$U$6=TRUE,$U$7=TRUE)),VLOOKUP($E56,'Status Thresholds'!$E:$AR,19,FALSE),IF((AND($U$4=TRUE,$U$5=FALSE,$U$6=FALSE,$U$7=TRUE)),VLOOKUP($E56,'Status Thresholds'!$E:$AR,9,FALSE),
IF((AND($U$4=FALSE,$U$5=TRUE,$U$6=FALSE,$U$7=FALSE)),VLOOKUP($E56,'Status Thresholds'!$E:$AR,24,FALSE),IF((AND($U$4=FALSE,$U$5=TRUE,$U$6=TRUE,$U$7=FALSE)),VLOOKUP($E56,'Status Thresholds'!$E:$AR,34,FALSE),IF((AND($U$4=FALSE,$U$5=TRUE,$U$6=TRUE,$U$7=TRUE)),VLOOKUP($E56,'Status Thresholds'!$E:$AR,39,FALSE),IF((AND($U$4=FALSE,$U$5=TRUE,$U$6=FALSE,$U$7=TRUE)),VLOOKUP($E56,'Status Thresholds'!$E:$AR,29,FALSE)))))))))
))/
IF(OR($X$5=TRUE,$AC$3=TRUE
),($F$4/2), IF(OR($X$2,$X$3,$X$4,$X$6,$X$7,$X$8,$Z$2,$Z$3,$Z$4,$Z$5,$Z$6,$Z$7,$Z$8)=TRUE,$F$4)),0),"-")</f>
        <v>-</v>
      </c>
      <c r="I56" s="36" t="str">
        <f>IFERROR(
ROUNDUP(
IF(AND($U$5=FALSE,$U$4=FALSE),"-",IF(AND($U$5=TRUE,$U$4=TRUE),"-",
IF((AND($U$4=TRUE,$U$5=FALSE,$U$6=FALSE,$U$7=FALSE)),VLOOKUP($E56,'Status Thresholds'!$E:$AR,5,FALSE),IF((AND($U$4=TRUE,$U$5=FALSE,$U$6=TRUE,$U$7=FALSE)),VLOOKUP($E56,'Status Thresholds'!$E:$AR,15,FALSE),IF((AND($U$4=TRUE,$U$5=FALSE,$U$6=TRUE,$U$7=TRUE)),VLOOKUP($E56,'Status Thresholds'!$E:$AR,20,FALSE),IF((AND($U$4=TRUE,$U$5=FALSE,$U$6=FALSE,$U$7=TRUE)),VLOOKUP($E56,'Status Thresholds'!$E:$AR,10,FALSE),
IF((AND($U$4=FALSE,$U$5=TRUE,$U$6=FALSE,$U$7=FALSE)),VLOOKUP($E56,'Status Thresholds'!$E:$AR,25,FALSE),IF((AND($U$4=FALSE,$U$5=TRUE,$U$6=TRUE,$U$7=FALSE)),VLOOKUP($E56,'Status Thresholds'!$E:$AR,35,FALSE),IF((AND($U$4=FALSE,$U$5=TRUE,$U$6=TRUE,$U$7=TRUE)),VLOOKUP($E56,'Status Thresholds'!$E:$AR,40,FALSE),IF((AND($U$4=FALSE,$U$5=TRUE,$U$6=FALSE,$U$7=TRUE)),VLOOKUP($E56,'Status Thresholds'!$E:$AR,30,FALSE)))))))))
))/
IF(OR($X$5=TRUE,$AC$3=TRUE
),($F$4/2), IF(OR($X$2,$X$3,$X$4,$X$6,$X$7,$X$8,$Z$2,$Z$3,$Z$4,$Z$5,$Z$6,$Z$7,$Z$8)=TRUE,$F$4)),0),"-")</f>
        <v>-</v>
      </c>
      <c r="J56" s="46">
        <f>IFERROR(IF(AND($U$5=FALSE,$U$4=FALSE),"-",VLOOKUP($E56,'Status Thresholds'!$E:$AU,41,FALSE)),"-")</f>
        <v>30</v>
      </c>
      <c r="K56" s="46" t="str">
        <f>IFERROR(IF(AND($U$5=FALSE,$U$4=FALSE),"-",VLOOKUP($E56,'Status Thresholds'!$E:$AU,42,FALSE)),"-")</f>
        <v>-</v>
      </c>
      <c r="L56" s="46" t="str">
        <f>IFERROR(IF(AND($U$5=FALSE,$U$4=FALSE),"-",VLOOKUP($E56,'Status Thresholds'!$E:$AU,43,FALSE)),"-")</f>
        <v>-</v>
      </c>
    </row>
    <row r="57" spans="1:12" x14ac:dyDescent="0.25">
      <c r="A57" s="35"/>
      <c r="B57" s="64" t="str">
        <f>VLOOKUP(C57,'Status Thresholds'!B:C,2,FALSE)</f>
        <v>MHGen</v>
      </c>
      <c r="C57" s="64" t="str">
        <f>IF('Status Thresholds'!B52=0, "", 'Status Thresholds'!B52)</f>
        <v>Amatsu</v>
      </c>
      <c r="D57" s="32" t="s">
        <v>33</v>
      </c>
      <c r="E57" s="36" t="str">
        <f t="shared" si="0"/>
        <v>AmatsuPoison</v>
      </c>
      <c r="F57" s="36" t="str">
        <f>IFERROR(
ROUNDUP(
IF(AND($U$5=FALSE,$U$4=FALSE),"-",IF(AND($U$5=TRUE,$U$4=TRUE),"-",
IF((AND($U$4=TRUE,$U$5=FALSE,$U$6=FALSE,$U$7=FALSE)),VLOOKUP($E57,'Status Thresholds'!$E:$AR,2,FALSE),IF((AND($U$4=TRUE,$U$5=FALSE,$U$6=TRUE,$U$7=FALSE)),VLOOKUP($E57,'Status Thresholds'!$E:$AR,12,FALSE),IF((AND($U$4=TRUE,$U$5=FALSE,$U$6=TRUE,$U$7=TRUE)),VLOOKUP($E57,'Status Thresholds'!$E:$AR,17,FALSE),IF((AND($U$4=TRUE,$U$5=FALSE,$U$6=FALSE,$U$7=TRUE)),VLOOKUP($E57,'Status Thresholds'!$E:$AR,7,FALSE),
IF((AND($U$4=FALSE,$U$5=TRUE,$U$6=FALSE,$U$7=FALSE)),VLOOKUP($E57,'Status Thresholds'!$E:$AR,22,FALSE),IF((AND($U$4=FALSE,$U$5=TRUE,$U$6=TRUE,$U$7=FALSE)),VLOOKUP($E57,'Status Thresholds'!$E:$AR,32,FALSE),IF((AND($U$4=FALSE,$U$5=TRUE,$U$6=TRUE,$U$7=TRUE)),VLOOKUP($E57,'Status Thresholds'!$E:$AR,37,FALSE),IF((AND($U$4=FALSE,$U$5=TRUE,$U$6=FALSE,$U$7=TRUE)),VLOOKUP($E57,'Status Thresholds'!$E:$AR,27,FALSE)))))))))
))/
IF(OR($X$5=TRUE,$AC$3=TRUE
),($F$5/2), IF(OR($X$2,$X$3,$X$4,$X$6,$X$7,$X$8,$Z$2,$Z$3,$Z$4,$Z$5,$Z$6,$Z$7,$Z$8)=TRUE,$F$5)),0),"-")</f>
        <v>-</v>
      </c>
      <c r="G57" s="36" t="str">
        <f>IFERROR(
ROUNDUP(
IF(AND($U$5=FALSE,$U$4=FALSE),"-",IF(AND($U$5=TRUE,$U$4=TRUE),"-",
IF((AND($U$4=TRUE,$U$5=FALSE,$U$6=FALSE,$U$7=FALSE)),VLOOKUP($E57,'Status Thresholds'!$E:$AR,3,FALSE),IF((AND($U$4=TRUE,$U$5=FALSE,$U$6=TRUE,$U$7=FALSE)),VLOOKUP($E57,'Status Thresholds'!$E:$AR,13,FALSE),IF((AND($U$4=TRUE,$U$5=FALSE,$U$6=TRUE,$U$7=TRUE)),VLOOKUP($E57,'Status Thresholds'!$E:$AR,18,FALSE),IF((AND($U$4=TRUE,$U$5=FALSE,$U$6=FALSE,$U$7=TRUE)),VLOOKUP($E57,'Status Thresholds'!$E:$AR,8,FALSE),
IF((AND($U$4=FALSE,$U$5=TRUE,$U$6=FALSE,$U$7=FALSE)),VLOOKUP($E57,'Status Thresholds'!$E:$AR,23,FALSE),IF((AND($U$4=FALSE,$U$5=TRUE,$U$6=TRUE,$U$7=FALSE)),VLOOKUP($E57,'Status Thresholds'!$E:$AR,33,FALSE),IF((AND($U$4=FALSE,$U$5=TRUE,$U$6=TRUE,$U$7=TRUE)),VLOOKUP($E57,'Status Thresholds'!$E:$AR,38,FALSE),IF((AND($U$4=FALSE,$U$5=TRUE,$U$6=FALSE,$U$7=TRUE)),VLOOKUP($E57,'Status Thresholds'!$E:$AR,28,FALSE)))))))))
))/
IF(OR($X$5=TRUE,$AC$3=TRUE
),($F$5/2), IF(OR($X$2,$X$3,$X$4,$X$6,$X$7,$X$8,$Z$2,$Z$3,$Z$4,$Z$5,$Z$6,$Z$7,$Z$8)=TRUE,$F$5)),0),"-")</f>
        <v>-</v>
      </c>
      <c r="H57" s="36" t="str">
        <f>IFERROR(
ROUNDUP(
IF(AND($U$5=FALSE,$U$4=FALSE),"-",IF(AND($U$5=TRUE,$U$4=TRUE),"-",
IF((AND($U$4=TRUE,$U$5=FALSE,$U$6=FALSE,$U$7=FALSE)),VLOOKUP($E57,'Status Thresholds'!$E:$AR,4,FALSE),IF((AND($U$4=TRUE,$U$5=FALSE,$U$6=TRUE,$U$7=FALSE)),VLOOKUP($E57,'Status Thresholds'!$E:$AR,14,FALSE),IF((AND($U$4=TRUE,$U$5=FALSE,$U$6=TRUE,$U$7=TRUE)),VLOOKUP($E57,'Status Thresholds'!$E:$AR,19,FALSE),IF((AND($U$4=TRUE,$U$5=FALSE,$U$6=FALSE,$U$7=TRUE)),VLOOKUP($E57,'Status Thresholds'!$E:$AR,9,FALSE),
IF((AND($U$4=FALSE,$U$5=TRUE,$U$6=FALSE,$U$7=FALSE)),VLOOKUP($E57,'Status Thresholds'!$E:$AR,24,FALSE),IF((AND($U$4=FALSE,$U$5=TRUE,$U$6=TRUE,$U$7=FALSE)),VLOOKUP($E57,'Status Thresholds'!$E:$AR,34,FALSE),IF((AND($U$4=FALSE,$U$5=TRUE,$U$6=TRUE,$U$7=TRUE)),VLOOKUP($E57,'Status Thresholds'!$E:$AR,39,FALSE),IF((AND($U$4=FALSE,$U$5=TRUE,$U$6=FALSE,$U$7=TRUE)),VLOOKUP($E57,'Status Thresholds'!$E:$AR,29,FALSE)))))))))
))/
IF(OR($X$5=TRUE,$AC$3=TRUE
),($F$5/2), IF(OR($X$2,$X$3,$X$4,$X$6,$X$7,$X$8,$Z$2,$Z$3,$Z$4,$Z$5,$Z$6,$Z$7,$Z$8)=TRUE,$F$5)),0),"-")</f>
        <v>-</v>
      </c>
      <c r="I57" s="36" t="str">
        <f>IFERROR(
ROUNDUP(
IF(AND($U$5=FALSE,$U$4=FALSE),"-",IF(AND($U$5=TRUE,$U$4=TRUE),"-",
IF((AND($U$4=TRUE,$U$5=FALSE,$U$6=FALSE,$U$7=FALSE)),VLOOKUP($E57,'Status Thresholds'!$E:$AR,5,FALSE),IF((AND($U$4=TRUE,$U$5=FALSE,$U$6=TRUE,$U$7=FALSE)),VLOOKUP($E57,'Status Thresholds'!$E:$AR,15,FALSE),IF((AND($U$4=TRUE,$U$5=FALSE,$U$6=TRUE,$U$7=TRUE)),VLOOKUP($E57,'Status Thresholds'!$E:$AR,20,FALSE),IF((AND($U$4=TRUE,$U$5=FALSE,$U$6=FALSE,$U$7=TRUE)),VLOOKUP($E57,'Status Thresholds'!$E:$AR,10,FALSE),
IF((AND($U$4=FALSE,$U$5=TRUE,$U$6=FALSE,$U$7=FALSE)),VLOOKUP($E57,'Status Thresholds'!$E:$AR,25,FALSE),IF((AND($U$4=FALSE,$U$5=TRUE,$U$6=TRUE,$U$7=FALSE)),VLOOKUP($E57,'Status Thresholds'!$E:$AR,35,FALSE),IF((AND($U$4=FALSE,$U$5=TRUE,$U$6=TRUE,$U$7=TRUE)),VLOOKUP($E57,'Status Thresholds'!$E:$AR,40,FALSE),IF((AND($U$4=FALSE,$U$5=TRUE,$U$6=FALSE,$U$7=TRUE)),VLOOKUP($E57,'Status Thresholds'!$E:$AR,30,FALSE)))))))))
))/
IF(OR($X$5=TRUE,$AC$3=TRUE
),($F$5/2), IF(OR($X$2,$X$3,$X$4,$X$6,$X$7,$X$8,$Z$2,$Z$3,$Z$4,$Z$5,$Z$6,$Z$7,$Z$8)=TRUE,$F$5)),0),"-")</f>
        <v>-</v>
      </c>
      <c r="J57" s="46">
        <f>IFERROR(IF(AND($U$5=FALSE,$U$4=FALSE),"-",VLOOKUP($E57,'Status Thresholds'!$E:$AU,41,FALSE)),"-")</f>
        <v>30</v>
      </c>
      <c r="K57" s="46" t="str">
        <f>IFERROR(IF(AND($U$5=FALSE,$U$4=FALSE),"-",VLOOKUP($E57,'Status Thresholds'!$E:$AU,42,FALSE)),"-")</f>
        <v>-</v>
      </c>
      <c r="L57" s="46" t="str">
        <f>IFERROR(IF(AND($U$5=FALSE,$U$4=FALSE),"-",VLOOKUP($E57,'Status Thresholds'!$E:$AU,43,FALSE)),"-")</f>
        <v>-</v>
      </c>
    </row>
    <row r="58" spans="1:12" x14ac:dyDescent="0.25">
      <c r="A58" s="35"/>
      <c r="B58" s="64" t="str">
        <f>VLOOKUP(C58,'Status Thresholds'!B:C,2,FALSE)</f>
        <v>MHGen</v>
      </c>
      <c r="C58" s="64" t="str">
        <f>IF('Status Thresholds'!B53=0, "", 'Status Thresholds'!B53)</f>
        <v>Amatsu</v>
      </c>
      <c r="D58" s="10" t="s">
        <v>22</v>
      </c>
      <c r="E58" s="36" t="str">
        <f t="shared" si="0"/>
        <v>AmatsuExhaust</v>
      </c>
      <c r="F58" s="36" t="str">
        <f>IFERROR(
ROUNDUP(
IF(AND($U$5=FALSE,$U$4=FALSE),"-",IF(AND($U$5=TRUE,$U$4=TRUE),"-",
IF((AND($U$4=TRUE,$U$5=FALSE,$U$6=FALSE,$U$7=FALSE)),VLOOKUP($E58,'Status Thresholds'!$E:$AR,2,FALSE),IF((AND($U$4=TRUE,$U$5=FALSE,$U$6=TRUE,$U$7=FALSE)),VLOOKUP($E58,'Status Thresholds'!$E:$AR,12,FALSE),IF((AND($U$4=TRUE,$U$5=FALSE,$U$6=TRUE,$U$7=TRUE)),VLOOKUP($E58,'Status Thresholds'!$E:$AR,17,FALSE),IF((AND($U$4=TRUE,$U$5=FALSE,$U$6=FALSE,$U$7=TRUE)),VLOOKUP($E58,'Status Thresholds'!$E:$AR,7,FALSE),
IF((AND($U$4=FALSE,$U$5=TRUE,$U$6=FALSE,$U$7=FALSE)),VLOOKUP($E58,'Status Thresholds'!$E:$AR,22,FALSE),IF((AND($U$4=FALSE,$U$5=TRUE,$U$6=TRUE,$U$7=FALSE)),VLOOKUP($E58,'Status Thresholds'!$E:$AR,32,FALSE),IF((AND($U$4=FALSE,$U$5=TRUE,$U$6=TRUE,$U$7=TRUE)),VLOOKUP($E58,'Status Thresholds'!$E:$AR,37,FALSE),IF((AND($U$4=FALSE,$U$5=TRUE,$U$6=FALSE,$U$7=TRUE)),VLOOKUP($E58,'Status Thresholds'!$E:$AR,27,FALSE)))))))))
))/
IF(OR($X$5=TRUE,$AC$3=TRUE
),($F$6/2), IF(OR($X$2,$X$3,$X$4,$X$6,$X$7,$X$8,$Z$2,$Z$3,$Z$4,$Z$5,$Z$6,$Z$7,$Z$8)=TRUE,$F$6)),0),"-")</f>
        <v>-</v>
      </c>
      <c r="G58" s="36" t="str">
        <f>IFERROR(
ROUNDUP(
IF(AND($U$5=FALSE,$U$4=FALSE),"-",IF(AND($U$5=TRUE,$U$4=TRUE),"-",
IF((AND($U$4=TRUE,$U$5=FALSE,$U$6=FALSE,$U$7=FALSE)),VLOOKUP($E58,'Status Thresholds'!$E:$AR,3,FALSE),IF((AND($U$4=TRUE,$U$5=FALSE,$U$6=TRUE,$U$7=FALSE)),VLOOKUP($E58,'Status Thresholds'!$E:$AR,13,FALSE),IF((AND($U$4=TRUE,$U$5=FALSE,$U$6=TRUE,$U$7=TRUE)),VLOOKUP($E58,'Status Thresholds'!$E:$AR,18,FALSE),IF((AND($U$4=TRUE,$U$5=FALSE,$U$6=FALSE,$U$7=TRUE)),VLOOKUP($E58,'Status Thresholds'!$E:$AR,8,FALSE),
IF((AND($U$4=FALSE,$U$5=TRUE,$U$6=FALSE,$U$7=FALSE)),VLOOKUP($E58,'Status Thresholds'!$E:$AR,23,FALSE),IF((AND($U$4=FALSE,$U$5=TRUE,$U$6=TRUE,$U$7=FALSE)),VLOOKUP($E58,'Status Thresholds'!$E:$AR,33,FALSE),IF((AND($U$4=FALSE,$U$5=TRUE,$U$6=TRUE,$U$7=TRUE)),VLOOKUP($E58,'Status Thresholds'!$E:$AR,38,FALSE),IF((AND($U$4=FALSE,$U$5=TRUE,$U$6=FALSE,$U$7=TRUE)),VLOOKUP($E58,'Status Thresholds'!$E:$AR,28,FALSE)))))))))
))/
IF(OR($X$5=TRUE,$AC$3=TRUE
),($F$6/2), IF(OR($X$2,$X$3,$X$4,$X$6,$X$7,$X$8,$Z$2,$Z$3,$Z$4,$Z$5,$Z$6,$Z$7,$Z$8)=TRUE,$F$6)),0),"-")</f>
        <v>-</v>
      </c>
      <c r="H58" s="36" t="str">
        <f>IFERROR(
ROUNDUP(
IF(AND($U$5=FALSE,$U$4=FALSE),"-",IF(AND($U$5=TRUE,$U$4=TRUE),"-",
IF((AND($U$4=TRUE,$U$5=FALSE,$U$6=FALSE,$U$7=FALSE)),VLOOKUP($E58,'Status Thresholds'!$E:$AR,4,FALSE),IF((AND($U$4=TRUE,$U$5=FALSE,$U$6=TRUE,$U$7=FALSE)),VLOOKUP($E58,'Status Thresholds'!$E:$AR,14,FALSE),IF((AND($U$4=TRUE,$U$5=FALSE,$U$6=TRUE,$U$7=TRUE)),VLOOKUP($E58,'Status Thresholds'!$E:$AR,19,FALSE),IF((AND($U$4=TRUE,$U$5=FALSE,$U$6=FALSE,$U$7=TRUE)),VLOOKUP($E58,'Status Thresholds'!$E:$AR,9,FALSE),
IF((AND($U$4=FALSE,$U$5=TRUE,$U$6=FALSE,$U$7=FALSE)),VLOOKUP($E58,'Status Thresholds'!$E:$AR,24,FALSE),IF((AND($U$4=FALSE,$U$5=TRUE,$U$6=TRUE,$U$7=FALSE)),VLOOKUP($E58,'Status Thresholds'!$E:$AR,34,FALSE),IF((AND($U$4=FALSE,$U$5=TRUE,$U$6=TRUE,$U$7=TRUE)),VLOOKUP($E58,'Status Thresholds'!$E:$AR,39,FALSE),IF((AND($U$4=FALSE,$U$5=TRUE,$U$6=FALSE,$U$7=TRUE)),VLOOKUP($E58,'Status Thresholds'!$E:$AR,29,FALSE)))))))))
))/
IF(OR($X$5=TRUE,$AC$3=TRUE
),($F$6/2), IF(OR($X$2,$X$3,$X$4,$X$6,$X$7,$X$8,$Z$2,$Z$3,$Z$4,$Z$5,$Z$6,$Z$7,$Z$8)=TRUE,$F$6)),0),"-")</f>
        <v>-</v>
      </c>
      <c r="I58" s="36" t="str">
        <f>IFERROR(
ROUNDUP(
IF(AND($U$5=FALSE,$U$4=FALSE),"-",IF(AND($U$5=TRUE,$U$4=TRUE),"-",
IF((AND($U$4=TRUE,$U$5=FALSE,$U$6=FALSE,$U$7=FALSE)),VLOOKUP($E58,'Status Thresholds'!$E:$AR,5,FALSE),IF((AND($U$4=TRUE,$U$5=FALSE,$U$6=TRUE,$U$7=FALSE)),VLOOKUP($E58,'Status Thresholds'!$E:$AR,15,FALSE),IF((AND($U$4=TRUE,$U$5=FALSE,$U$6=TRUE,$U$7=TRUE)),VLOOKUP($E58,'Status Thresholds'!$E:$AR,20,FALSE),IF((AND($U$4=TRUE,$U$5=FALSE,$U$6=FALSE,$U$7=TRUE)),VLOOKUP($E58,'Status Thresholds'!$E:$AR,10,FALSE),
IF((AND($U$4=FALSE,$U$5=TRUE,$U$6=FALSE,$U$7=FALSE)),VLOOKUP($E58,'Status Thresholds'!$E:$AR,25,FALSE),IF((AND($U$4=FALSE,$U$5=TRUE,$U$6=TRUE,$U$7=FALSE)),VLOOKUP($E58,'Status Thresholds'!$E:$AR,35,FALSE),IF((AND($U$4=FALSE,$U$5=TRUE,$U$6=TRUE,$U$7=TRUE)),VLOOKUP($E58,'Status Thresholds'!$E:$AR,40,FALSE),IF((AND($U$4=FALSE,$U$5=TRUE,$U$6=FALSE,$U$7=TRUE)),VLOOKUP($E58,'Status Thresholds'!$E:$AR,30,FALSE)))))))))
))/
IF(OR($X$5=TRUE,$AC$3=TRUE
),($F$6/2), IF(OR($X$2,$X$3,$X$4,$X$6,$X$7,$X$8,$Z$2,$Z$3,$Z$4,$Z$5,$Z$6,$Z$7,$Z$8)=TRUE,$F$6)),0),"-")</f>
        <v>-</v>
      </c>
      <c r="J58" s="46">
        <f>IFERROR(IF(AND($U$5=FALSE,$U$4=FALSE),"-",VLOOKUP($E58,'Status Thresholds'!$E:$AU,41,FALSE)),"-")</f>
        <v>0</v>
      </c>
      <c r="K58" s="46" t="str">
        <f>IFERROR(IF(AND($U$5=FALSE,$U$4=FALSE),"-",VLOOKUP($E58,'Status Thresholds'!$E:$AU,42,FALSE)),"-")</f>
        <v>-</v>
      </c>
      <c r="L58" s="46" t="str">
        <f>IFERROR(IF(AND($U$5=FALSE,$U$4=FALSE),"-",VLOOKUP($E58,'Status Thresholds'!$E:$AU,43,FALSE)),"-")</f>
        <v>-</v>
      </c>
    </row>
    <row r="59" spans="1:12" x14ac:dyDescent="0.25">
      <c r="A59" s="35"/>
      <c r="B59" s="64" t="str">
        <f>VLOOKUP(C59,'Status Thresholds'!B:C,2,FALSE)</f>
        <v>MHGen</v>
      </c>
      <c r="C59" s="64" t="str">
        <f>IF('Status Thresholds'!B54=0, "", 'Status Thresholds'!B54)</f>
        <v>Amatsu</v>
      </c>
      <c r="D59" s="30" t="s">
        <v>35</v>
      </c>
      <c r="E59" s="36" t="str">
        <f t="shared" si="0"/>
        <v>AmatsuBlast</v>
      </c>
      <c r="F59" s="36" t="str">
        <f>IFERROR(
ROUNDUP(
IF(AND($U$5=FALSE,$U$4=FALSE),"-",IF(AND($U$5=TRUE,$U$4=TRUE),"-",
IF((AND($U$4=TRUE,$U$5=FALSE,$U$6=FALSE,$U$7=FALSE)),VLOOKUP($E59,'Status Thresholds'!$E:$AR,2,FALSE),IF((AND($U$4=TRUE,$U$5=FALSE,$U$6=TRUE,$U$7=FALSE)),VLOOKUP($E59,'Status Thresholds'!$E:$AR,12,FALSE),IF((AND($U$4=TRUE,$U$5=FALSE,$U$6=TRUE,$U$7=TRUE)),VLOOKUP($E59,'Status Thresholds'!$E:$AR,17,FALSE),IF((AND($U$4=TRUE,$U$5=FALSE,$U$6=FALSE,$U$7=TRUE)),VLOOKUP($E59,'Status Thresholds'!$E:$AR,7,FALSE),
IF((AND($U$4=FALSE,$U$5=TRUE,$U$6=FALSE,$U$7=FALSE)),VLOOKUP($E59,'Status Thresholds'!$E:$AR,22,FALSE),IF((AND($U$4=FALSE,$U$5=TRUE,$U$6=TRUE,$U$7=FALSE)),VLOOKUP($E59,'Status Thresholds'!$E:$AR,32,FALSE),IF((AND($U$4=FALSE,$U$5=TRUE,$U$6=TRUE,$U$7=TRUE)),VLOOKUP($E59,'Status Thresholds'!$E:$AR,37,FALSE),IF((AND($U$4=FALSE,$U$5=TRUE,$U$6=FALSE,$U$7=TRUE)),VLOOKUP($E59,'Status Thresholds'!$E:$AR,27,FALSE)))))))))
))/
IF(OR($X$5=TRUE,$AC$3=TRUE
),($F$7/2), IF(OR($X$2,$X$3,$X$4,$X$6,$X$7,$X$8,$Z$2,$Z$3,$Z$4,$Z$5,$Z$6,$Z$7,$Z$8)=TRUE,$F$7)),0),"-")</f>
        <v>-</v>
      </c>
      <c r="G59" s="36" t="str">
        <f>IFERROR(
ROUNDUP(
IF(AND($U$5=FALSE,$U$4=FALSE),"-",IF(AND($U$5=TRUE,$U$4=TRUE),"-",
IF((AND($U$4=TRUE,$U$5=FALSE,$U$6=FALSE,$U$7=FALSE)),VLOOKUP($E59,'Status Thresholds'!$E:$AR,3,FALSE),IF((AND($U$4=TRUE,$U$5=FALSE,$U$6=TRUE,$U$7=FALSE)),VLOOKUP($E59,'Status Thresholds'!$E:$AR,13,FALSE),IF((AND($U$4=TRUE,$U$5=FALSE,$U$6=TRUE,$U$7=TRUE)),VLOOKUP($E59,'Status Thresholds'!$E:$AR,18,FALSE),IF((AND($U$4=TRUE,$U$5=FALSE,$U$6=FALSE,$U$7=TRUE)),VLOOKUP($E59,'Status Thresholds'!$E:$AR,8,FALSE),
IF((AND($U$4=FALSE,$U$5=TRUE,$U$6=FALSE,$U$7=FALSE)),VLOOKUP($E59,'Status Thresholds'!$E:$AR,23,FALSE),IF((AND($U$4=FALSE,$U$5=TRUE,$U$6=TRUE,$U$7=FALSE)),VLOOKUP($E59,'Status Thresholds'!$E:$AR,33,FALSE),IF((AND($U$4=FALSE,$U$5=TRUE,$U$6=TRUE,$U$7=TRUE)),VLOOKUP($E59,'Status Thresholds'!$E:$AR,38,FALSE),IF((AND($U$4=FALSE,$U$5=TRUE,$U$6=FALSE,$U$7=TRUE)),VLOOKUP($E59,'Status Thresholds'!$E:$AR,28,FALSE)))))))))
))/
IF(OR($X$5=TRUE,$AC$3=TRUE
),($F$7/2), IF(OR($X$2,$X$3,$X$4,$X$6,$X$7,$X$8,$Z$2,$Z$3,$Z$4,$Z$5,$Z$6,$Z$7,$Z$8)=TRUE,$F$7)),0),"-")</f>
        <v>-</v>
      </c>
      <c r="H59" s="36" t="str">
        <f>IFERROR(
ROUNDUP(
IF(AND($U$5=FALSE,$U$4=FALSE),"-",IF(AND($U$5=TRUE,$U$4=TRUE),"-",
IF((AND($U$4=TRUE,$U$5=FALSE,$U$6=FALSE,$U$7=FALSE)),VLOOKUP($E59,'Status Thresholds'!$E:$AR,4,FALSE),IF((AND($U$4=TRUE,$U$5=FALSE,$U$6=TRUE,$U$7=FALSE)),VLOOKUP($E59,'Status Thresholds'!$E:$AR,14,FALSE),IF((AND($U$4=TRUE,$U$5=FALSE,$U$6=TRUE,$U$7=TRUE)),VLOOKUP($E59,'Status Thresholds'!$E:$AR,19,FALSE),IF((AND($U$4=TRUE,$U$5=FALSE,$U$6=FALSE,$U$7=TRUE)),VLOOKUP($E59,'Status Thresholds'!$E:$AR,9,FALSE),
IF((AND($U$4=FALSE,$U$5=TRUE,$U$6=FALSE,$U$7=FALSE)),VLOOKUP($E59,'Status Thresholds'!$E:$AR,24,FALSE),IF((AND($U$4=FALSE,$U$5=TRUE,$U$6=TRUE,$U$7=FALSE)),VLOOKUP($E59,'Status Thresholds'!$E:$AR,34,FALSE),IF((AND($U$4=FALSE,$U$5=TRUE,$U$6=TRUE,$U$7=TRUE)),VLOOKUP($E59,'Status Thresholds'!$E:$AR,39,FALSE),IF((AND($U$4=FALSE,$U$5=TRUE,$U$6=FALSE,$U$7=TRUE)),VLOOKUP($E59,'Status Thresholds'!$E:$AR,29,FALSE)))))))))
))/
IF(OR($X$5=TRUE,$AC$3=TRUE
),($F$7/2), IF(OR($X$2,$X$3,$X$4,$X$6,$X$7,$X$8,$Z$2,$Z$3,$Z$4,$Z$5,$Z$6,$Z$7,$Z$8)=TRUE,$F$7)),0),"-")</f>
        <v>-</v>
      </c>
      <c r="I59" s="36" t="str">
        <f>IFERROR(
ROUNDUP(
IF(AND($U$5=FALSE,$U$4=FALSE),"-",IF(AND($U$5=TRUE,$U$4=TRUE),"-",
IF((AND($U$4=TRUE,$U$5=FALSE,$U$6=FALSE,$U$7=FALSE)),VLOOKUP($E59,'Status Thresholds'!$E:$AR,5,FALSE),IF((AND($U$4=TRUE,$U$5=FALSE,$U$6=TRUE,$U$7=FALSE)),VLOOKUP($E59,'Status Thresholds'!$E:$AR,15,FALSE),IF((AND($U$4=TRUE,$U$5=FALSE,$U$6=TRUE,$U$7=TRUE)),VLOOKUP($E59,'Status Thresholds'!$E:$AR,20,FALSE),IF((AND($U$4=TRUE,$U$5=FALSE,$U$6=FALSE,$U$7=TRUE)),VLOOKUP($E59,'Status Thresholds'!$E:$AR,10,FALSE),
IF((AND($U$4=FALSE,$U$5=TRUE,$U$6=FALSE,$U$7=FALSE)),VLOOKUP($E59,'Status Thresholds'!$E:$AR,25,FALSE),IF((AND($U$4=FALSE,$U$5=TRUE,$U$6=TRUE,$U$7=FALSE)),VLOOKUP($E59,'Status Thresholds'!$E:$AR,35,FALSE),IF((AND($U$4=FALSE,$U$5=TRUE,$U$6=TRUE,$U$7=TRUE)),VLOOKUP($E59,'Status Thresholds'!$E:$AR,40,FALSE),IF((AND($U$4=FALSE,$U$5=TRUE,$U$6=FALSE,$U$7=TRUE)),VLOOKUP($E59,'Status Thresholds'!$E:$AR,30,FALSE)))))))))
))/
IF(OR($X$5=TRUE,$AC$3=TRUE
),($F$7/2), IF(OR($X$2,$X$3,$X$4,$X$6,$X$7,$X$8,$Z$2,$Z$3,$Z$4,$Z$5,$Z$6,$Z$7,$Z$8)=TRUE,$F$7)),0),"-")</f>
        <v>-</v>
      </c>
      <c r="J59" s="46">
        <f>IFERROR(IF(AND($U$5=FALSE,$U$4=FALSE),"-",VLOOKUP($E59,'Status Thresholds'!$E:$AU,41,FALSE)),"-")</f>
        <v>0</v>
      </c>
      <c r="K59" s="46" t="str">
        <f>IFERROR(IF(AND($U$5=FALSE,$U$4=FALSE),"-",VLOOKUP($E59,'Status Thresholds'!$E:$AU,42,FALSE)),"-")</f>
        <v>-</v>
      </c>
      <c r="L59" s="46" t="str">
        <f>IFERROR(IF(AND($U$5=FALSE,$U$4=FALSE),"-",VLOOKUP($E59,'Status Thresholds'!$E:$AU,43,FALSE)),"-")</f>
        <v>-</v>
      </c>
    </row>
    <row r="60" spans="1:12" ht="14.45" customHeight="1" x14ac:dyDescent="0.25">
      <c r="A60" s="35"/>
      <c r="B60" s="64" t="str">
        <f>VLOOKUP(C60,'Status Thresholds'!B:C,2,FALSE)</f>
        <v>MHGen</v>
      </c>
      <c r="C60" s="64" t="str">
        <f>IF('Status Thresholds'!B55=0, "", 'Status Thresholds'!B55)</f>
        <v>Amatsu</v>
      </c>
      <c r="D60" s="34" t="s">
        <v>14</v>
      </c>
      <c r="E60" s="36" t="str">
        <f t="shared" si="0"/>
        <v>AmatsuKO</v>
      </c>
      <c r="F60" s="36" t="s">
        <v>214</v>
      </c>
      <c r="G60" s="36" t="s">
        <v>214</v>
      </c>
      <c r="H60" s="36" t="s">
        <v>214</v>
      </c>
      <c r="I60" s="36" t="s">
        <v>214</v>
      </c>
      <c r="J60" s="46">
        <f>IFERROR(IF(AND($U$5=FALSE,$U$4=FALSE),"-",VLOOKUP($E60,'Status Thresholds'!$E:$AU,41,FALSE)),"-")</f>
        <v>8</v>
      </c>
      <c r="K60" s="46" t="str">
        <f>IFERROR(IF(AND($U$5=FALSE,$U$4=FALSE),"-",VLOOKUP($E60,'Status Thresholds'!$E:$AU,42,FALSE)),"-")</f>
        <v>-</v>
      </c>
      <c r="L60" s="46" t="str">
        <f>IFERROR(IF(AND($U$5=FALSE,$U$4=FALSE),"-",VLOOKUP($E60,'Status Thresholds'!$E:$AU,43,FALSE)),"-")</f>
        <v>-</v>
      </c>
    </row>
    <row r="61" spans="1:12" x14ac:dyDescent="0.25">
      <c r="A61" s="35"/>
      <c r="B61" s="64" t="str">
        <f>VLOOKUP(C61,'Status Thresholds'!B:C,2,FALSE)</f>
        <v>MHGen</v>
      </c>
      <c r="C61" s="64" t="str">
        <f>IF('Status Thresholds'!B56=0, "", 'Status Thresholds'!B56)</f>
        <v>Amatsu</v>
      </c>
      <c r="D61" s="33" t="s">
        <v>34</v>
      </c>
      <c r="E61" s="36" t="str">
        <f t="shared" si="0"/>
        <v>AmatsuMount</v>
      </c>
      <c r="F61" s="36" t="str">
        <f>IFERROR(
ROUNDUP(
IF(AND($U$5=FALSE,$U$4=FALSE),"-",IF(AND($U$5=TRUE,$U$4=TRUE),"-",
IF((AND($U$4=TRUE,$U$5=FALSE,$U$6=FALSE,$U$7=FALSE)),VLOOKUP($E61,'Status Thresholds'!$E:$AR,2,FALSE),IF((AND($U$4=TRUE,$U$5=FALSE,$U$6=TRUE,$U$7=FALSE)),VLOOKUP($E61,'Status Thresholds'!$E:$AR,12,FALSE),IF((AND($U$4=TRUE,$U$5=FALSE,$U$6=TRUE,$U$7=TRUE)),VLOOKUP($E61,'Status Thresholds'!$E:$AR,17,FALSE),IF((AND($U$4=TRUE,$U$5=FALSE,$U$6=FALSE,$U$7=TRUE)),VLOOKUP($E61,'Status Thresholds'!$E:$AR,7,FALSE),
IF((AND($U$4=FALSE,$U$5=TRUE,$U$6=FALSE,$U$7=FALSE)),VLOOKUP($E61,'Status Thresholds'!$E:$AR,22,FALSE),IF((AND($U$4=FALSE,$U$5=TRUE,$U$6=TRUE,$U$7=FALSE)),VLOOKUP($E61,'Status Thresholds'!$E:$AR,32,FALSE),IF((AND($U$4=FALSE,$U$5=TRUE,$U$6=TRUE,$U$7=TRUE)),VLOOKUP($E61,'Status Thresholds'!$E:$AR,37,FALSE),IF((AND($U$4=FALSE,$U$5=TRUE,$U$6=FALSE,$U$7=TRUE)),VLOOKUP($E61,'Status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61" s="36" t="str">
        <f>IFERROR(
ROUNDUP(
IF(AND($U$5=FALSE,$U$4=FALSE),"-",IF(AND($U$5=TRUE,$U$4=TRUE),"-",
IF((AND($U$4=TRUE,$U$5=FALSE,$U$6=FALSE,$U$7=FALSE)),VLOOKUP($E60,'Status Thresholds'!$E:$AR,3,FALSE),IF((AND($U$4=TRUE,$U$5=FALSE,$U$6=TRUE,$U$7=FALSE)),VLOOKUP($E60,'Status Thresholds'!$E:$AR,13,FALSE),IF((AND($U$4=TRUE,$U$5=FALSE,$U$6=TRUE,$U$7=TRUE)),VLOOKUP($E60,'Status Thresholds'!$E:$AR,18,FALSE),IF((AND($U$4=TRUE,$U$5=FALSE,$U$6=FALSE,$U$7=TRUE)),VLOOKUP($E60,'Status Thresholds'!$E:$AR,8,FALSE),
IF((AND($U$4=FALSE,$U$5=TRUE,$U$6=FALSE,$U$7=FALSE)),VLOOKUP($E60,'Status Thresholds'!$E:$AR,23,FALSE),IF((AND($U$4=FALSE,$U$5=TRUE,$U$6=TRUE,$U$7=FALSE)),VLOOKUP($E60,'Status Thresholds'!$E:$AR,33,FALSE),IF((AND($U$4=FALSE,$U$5=TRUE,$U$6=TRUE,$U$7=TRUE)),VLOOKUP($E60,'Status Thresholds'!$E:$AR,38,FALSE),IF((AND($U$4=FALSE,$U$5=TRUE,$U$6=FALSE,$U$7=TRUE)),VLOOKUP($E60,'Status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61" s="36" t="str">
        <f>IFERROR(
ROUNDUP(
IF(AND($U$5=FALSE,$U$4=FALSE),"-",IF(AND($U$5=TRUE,$U$4=TRUE),"-",
IF((AND($U$4=TRUE,$U$5=FALSE,$U$6=FALSE,$U$7=FALSE)),VLOOKUP($E60,'Status Thresholds'!$E:$AR,4,FALSE),IF((AND($U$4=TRUE,$U$5=FALSE,$U$6=TRUE,$U$7=FALSE)),VLOOKUP($E60,'Status Thresholds'!$E:$AR,14,FALSE),IF((AND($U$4=TRUE,$U$5=FALSE,$U$6=TRUE,$U$7=TRUE)),VLOOKUP($E60,'Status Thresholds'!$E:$AR,19,FALSE),IF((AND($U$4=TRUE,$U$5=FALSE,$U$6=FALSE,$U$7=TRUE)),VLOOKUP($E60,'Status Thresholds'!$E:$AR,9,FALSE),
IF((AND($U$4=FALSE,$U$5=TRUE,$U$6=FALSE,$U$7=FALSE)),VLOOKUP($E60,'Status Thresholds'!$E:$AR,24,FALSE),IF((AND($U$4=FALSE,$U$5=TRUE,$U$6=TRUE,$U$7=FALSE)),VLOOKUP($E60,'Status Thresholds'!$E:$AR,34,FALSE),IF((AND($U$4=FALSE,$U$5=TRUE,$U$6=TRUE,$U$7=TRUE)),VLOOKUP($E60,'Status Thresholds'!$E:$AR,39,FALSE),IF((AND($U$4=FALSE,$U$5=TRUE,$U$6=FALSE,$U$7=TRUE)),VLOOKUP($E60,'Status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61" s="36" t="str">
        <f>IFERROR(
ROUNDUP(
IF(AND($U$5=FALSE,$U$4=FALSE),"-",IF(AND($U$5=TRUE,$U$4=TRUE),"-",
IF((AND($U$4=TRUE,$U$5=FALSE,$U$6=FALSE,$U$7=FALSE)),VLOOKUP($E60,'Status Thresholds'!$E:$AR,5,FALSE),IF((AND($U$4=TRUE,$U$5=FALSE,$U$6=TRUE,$U$7=FALSE)),VLOOKUP($E60,'Status Thresholds'!$E:$AR,15,FALSE),IF((AND($U$4=TRUE,$U$5=FALSE,$U$6=TRUE,$U$7=TRUE)),VLOOKUP($E60,'Status Thresholds'!$E:$AR,20,FALSE),IF((AND($U$4=TRUE,$U$5=FALSE,$U$6=FALSE,$U$7=TRUE)),VLOOKUP($E60,'Status Thresholds'!$E:$AR,10,FALSE),
IF((AND($U$4=FALSE,$U$5=TRUE,$U$6=FALSE,$U$7=FALSE)),VLOOKUP($E60,'Status Thresholds'!$E:$AR,25,FALSE),IF((AND($U$4=FALSE,$U$5=TRUE,$U$6=TRUE,$U$7=FALSE)),VLOOKUP($E60,'Status Thresholds'!$E:$AR,35,FALSE),IF((AND($U$4=FALSE,$U$5=TRUE,$U$6=TRUE,$U$7=TRUE)),VLOOKUP($E60,'Status Thresholds'!$E:$AR,40,FALSE),IF((AND($U$4=FALSE,$U$5=TRUE,$U$6=FALSE,$U$7=TRUE)),VLOOKUP($E60,'Status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61" s="46">
        <f>IFERROR(IF(AND($U$5=FALSE,$U$4=FALSE),"-",VLOOKUP($E61,'Status Thresholds'!$E:$AU,41,FALSE)),"-")</f>
        <v>0</v>
      </c>
      <c r="K61" s="46" t="str">
        <f>IFERROR(IF(AND($U$5=FALSE,$U$4=FALSE),"-",VLOOKUP($E61,'Status Thresholds'!$E:$AU,42,FALSE)),"-")</f>
        <v>-</v>
      </c>
      <c r="L61" s="46" t="str">
        <f>IFERROR(IF(AND($U$5=FALSE,$U$4=FALSE),"-",VLOOKUP($E61,'Status Thresholds'!$E:$AU,43,FALSE)),"-")</f>
        <v>-</v>
      </c>
    </row>
    <row r="62" spans="1:12" ht="15" customHeight="1" x14ac:dyDescent="0.25">
      <c r="A62" s="35"/>
      <c r="B62" s="64" t="str">
        <f>VLOOKUP(C62,'Status Thresholds'!B:C,2,FALSE)</f>
        <v>MHGen</v>
      </c>
      <c r="C62" s="64" t="str">
        <f>IF('Status Thresholds'!B57=0, "", 'Status Thresholds'!B57)</f>
        <v>Amatsu</v>
      </c>
      <c r="D62" s="77" t="s">
        <v>207</v>
      </c>
      <c r="E62" s="36" t="str">
        <f t="shared" si="0"/>
        <v>AmatsuShock Trap</v>
      </c>
      <c r="F62" s="76" t="s">
        <v>214</v>
      </c>
      <c r="G62" s="46" t="s">
        <v>214</v>
      </c>
      <c r="H62" s="46" t="s">
        <v>214</v>
      </c>
      <c r="I62" s="46" t="s">
        <v>214</v>
      </c>
      <c r="J62" s="46">
        <f>IFERROR(IF(AND($U$5=FALSE,$U$4=FALSE),"-",VLOOKUP($E62,'Status Thresholds'!$E:$AU,43,FALSE)),"-")</f>
        <v>0</v>
      </c>
      <c r="K62" s="46">
        <f>IFERROR(IF(AND($U$5=FALSE,$U$4=FALSE),"-",VLOOKUP($E62,'Status Thresholds'!$E:$AU,41,FALSE)),"-")</f>
        <v>0</v>
      </c>
      <c r="L62" s="46">
        <f>IFERROR(IF(AND($U$5=FALSE,$U$4=FALSE),"-",VLOOKUP($E62,'Status Thresholds'!$E:$AU,42,FALSE)),"-")</f>
        <v>0</v>
      </c>
    </row>
    <row r="63" spans="1:12" x14ac:dyDescent="0.25">
      <c r="A63" s="35"/>
      <c r="B63" s="64" t="str">
        <f>VLOOKUP(C63,'Status Thresholds'!B:C,2,FALSE)</f>
        <v>MHGen</v>
      </c>
      <c r="C63" s="64" t="str">
        <f>IF('Status Thresholds'!B58=0, "", 'Status Thresholds'!B58)</f>
        <v>Amatsu</v>
      </c>
      <c r="D63" s="77" t="s">
        <v>213</v>
      </c>
      <c r="E63" s="36" t="str">
        <f t="shared" si="0"/>
        <v>AmatsuPitfall Trap</v>
      </c>
      <c r="F63" s="46" t="s">
        <v>214</v>
      </c>
      <c r="G63" s="46" t="s">
        <v>214</v>
      </c>
      <c r="H63" s="46" t="s">
        <v>214</v>
      </c>
      <c r="I63" s="46" t="s">
        <v>214</v>
      </c>
      <c r="J63" s="46">
        <f>IFERROR(IF(AND($U$5=FALSE,$U$4=FALSE),"-",VLOOKUP($E63,'Status Thresholds'!$E:$AU,43,FALSE)),"-")</f>
        <v>0</v>
      </c>
      <c r="K63" s="46">
        <f>IFERROR(IF(AND($U$5=FALSE,$U$4=FALSE),"-",VLOOKUP($E63,'Status Thresholds'!$E:$AU,41,FALSE)),"-")</f>
        <v>0</v>
      </c>
      <c r="L63" s="46">
        <f>IFERROR(IF(AND($U$5=FALSE,$U$4=FALSE),"-",VLOOKUP($E63,'Status Thresholds'!$E:$AU,42,FALSE)),"-")</f>
        <v>0</v>
      </c>
    </row>
    <row r="64" spans="1:12" s="36" customFormat="1" x14ac:dyDescent="0.25">
      <c r="A64" s="64"/>
      <c r="B64" s="64" t="str">
        <f>VLOOKUP(C64,'Status Thresholds'!B:C,2,FALSE)</f>
        <v>MHGen</v>
      </c>
      <c r="C64" s="64" t="str">
        <f>IF('Status Thresholds'!B59=0, "", 'Status Thresholds'!B59)</f>
        <v>Arzuros</v>
      </c>
      <c r="D64" s="37" t="s">
        <v>0</v>
      </c>
      <c r="E64" s="36" t="str">
        <f t="shared" si="0"/>
        <v>ArzurosPara</v>
      </c>
      <c r="F64" s="36" t="str">
        <f>IFERROR(
ROUNDUP(
IF(AND($U$5=FALSE,$U$4=FALSE),"-",IF(AND($U$5=TRUE,$U$4=TRUE),"-",
IF((AND($U$4=TRUE,$U$5=FALSE,$U$6=FALSE,$U$7=FALSE)),VLOOKUP($E64,'Status Thresholds'!$E:$AR,2,FALSE),IF((AND($U$4=TRUE,$U$5=FALSE,$U$6=TRUE,$U$7=FALSE)),VLOOKUP($E64,'Status Thresholds'!$E:$AR,12,FALSE),IF((AND($U$4=TRUE,$U$5=FALSE,$U$6=TRUE,$U$7=TRUE)),VLOOKUP($E64,'Status Thresholds'!$E:$AR,17,FALSE),IF((AND($U$4=TRUE,$U$5=FALSE,$U$6=FALSE,$U$7=TRUE)),VLOOKUP($E64,'Status Thresholds'!$E:$AR,7,FALSE),
IF((AND($U$4=FALSE,$U$5=TRUE,$U$6=FALSE,$U$7=FALSE)),VLOOKUP($E64,'Status Thresholds'!$E:$AR,22,FALSE),IF((AND($U$4=FALSE,$U$5=TRUE,$U$6=TRUE,$U$7=FALSE)),VLOOKUP($E64,'Status Thresholds'!$E:$AR,32,FALSE),IF((AND($U$4=FALSE,$U$5=TRUE,$U$6=TRUE,$U$7=TRUE)),VLOOKUP($E64,'Status Thresholds'!$E:$AR,37,FALSE),IF((AND($U$4=FALSE,$U$5=TRUE,$U$6=FALSE,$U$7=TRUE)),VLOOKUP($E64,'Status Thresholds'!$E:$AR,27,FALSE)))))))))
))/
IF(OR($X$5=TRUE,$AC$3=TRUE
),($F$3/2), IF(OR($X$2,$X$3,$X$4,$X$6,$X$7,$X$8,$Z$2,$Z$3,$Z$4,$Z$5,$Z$6,$Z$7,$Z$8)=TRUE,$F$3)),0),"-")</f>
        <v>-</v>
      </c>
      <c r="G64" s="36" t="str">
        <f>IFERROR(
ROUNDUP(
IF(AND($U$5=FALSE,$U$4=FALSE),"-",IF(AND($U$5=TRUE,$U$4=TRUE),"-",
IF((AND($U$4=TRUE,$U$5=FALSE,$U$6=FALSE,$U$7=FALSE)),VLOOKUP($E64,'Status Thresholds'!$E:$AR,3,FALSE),IF((AND($U$4=TRUE,$U$5=FALSE,$U$6=TRUE,$U$7=FALSE)),VLOOKUP($E64,'Status Thresholds'!$E:$AR,13,FALSE),IF((AND($U$4=TRUE,$U$5=FALSE,$U$6=TRUE,$U$7=TRUE)),VLOOKUP($E64,'Status Thresholds'!$E:$AR,18,FALSE),IF((AND($U$4=TRUE,$U$5=FALSE,$U$6=FALSE,$U$7=TRUE)),VLOOKUP($E64,'Status Thresholds'!$E:$AR,8,FALSE),
IF((AND($U$4=FALSE,$U$5=TRUE,$U$6=FALSE,$U$7=FALSE)),VLOOKUP($E64,'Status Thresholds'!$E:$AR,23,FALSE),IF((AND($U$4=FALSE,$U$5=TRUE,$U$6=TRUE,$U$7=FALSE)),VLOOKUP($E64,'Status Thresholds'!$E:$AR,33,FALSE),IF((AND($U$4=FALSE,$U$5=TRUE,$U$6=TRUE,$U$7=TRUE)),VLOOKUP($E64,'Status Thresholds'!$E:$AR,38,FALSE),IF((AND($U$4=FALSE,$U$5=TRUE,$U$6=FALSE,$U$7=TRUE)),VLOOKUP($E64,'Status Thresholds'!$E:$AR,28,FALSE)))))))))
))/
IF(OR($X$5=TRUE,$AC$3=TRUE
),($F$3/2), IF(OR($X$2,$X$3,$X$4,$X$6,$X$7,$X$8,$Z$2,$Z$3,$Z$4,$Z$5,$Z$6,$Z$7,$Z$8)=TRUE,$F$3)),0),"-")</f>
        <v>-</v>
      </c>
      <c r="H64" s="36" t="str">
        <f>IFERROR(
ROUNDUP(
IF(AND($U$5=FALSE,$U$4=FALSE),"-",IF(AND($U$5=TRUE,$U$4=TRUE),"-",
IF((AND($U$4=TRUE,$U$5=FALSE,$U$6=FALSE,$U$7=FALSE)),VLOOKUP($E64,'Status Thresholds'!$E:$AR,4,FALSE),IF((AND($U$4=TRUE,$U$5=FALSE,$U$6=TRUE,$U$7=FALSE)),VLOOKUP($E64,'Status Thresholds'!$E:$AR,14,FALSE),IF((AND($U$4=TRUE,$U$5=FALSE,$U$6=TRUE,$U$7=TRUE)),VLOOKUP($E64,'Status Thresholds'!$E:$AR,19,FALSE),IF((AND($U$4=TRUE,$U$5=FALSE,$U$6=FALSE,$U$7=TRUE)),VLOOKUP($E64,'Status Thresholds'!$E:$AR,9,FALSE),
IF((AND($U$4=FALSE,$U$5=TRUE,$U$6=FALSE,$U$7=FALSE)),VLOOKUP($E64,'Status Thresholds'!$E:$AR,24,FALSE),IF((AND($U$4=FALSE,$U$5=TRUE,$U$6=TRUE,$U$7=FALSE)),VLOOKUP($E64,'Status Thresholds'!$E:$AR,34,FALSE),IF((AND($U$4=FALSE,$U$5=TRUE,$U$6=TRUE,$U$7=TRUE)),VLOOKUP($E64,'Status Thresholds'!$E:$AR,39,FALSE),IF((AND($U$4=FALSE,$U$5=TRUE,$U$6=FALSE,$U$7=TRUE)),VLOOKUP($E64,'Status Thresholds'!$E:$AR,29,FALSE)))))))))
))/
IF(OR($X$5=TRUE,$AC$3=TRUE
),($F$3/2), IF(OR($X$2,$X$3,$X$4,$X$6,$X$7,$X$8,$Z$2,$Z$3,$Z$4,$Z$5,$Z$6,$Z$7,$Z$8)=TRUE,$F$3)),0),"-")</f>
        <v>-</v>
      </c>
      <c r="I64" s="36" t="str">
        <f>IFERROR(
ROUNDUP(
IF(AND($U$5=FALSE,$U$4=FALSE),"-",IF(AND($U$5=TRUE,$U$4=TRUE),"-",
IF((AND($U$4=TRUE,$U$5=FALSE,$U$6=FALSE,$U$7=FALSE)),VLOOKUP($E64,'Status Thresholds'!$E:$AR,5,FALSE),IF((AND($U$4=TRUE,$U$5=FALSE,$U$6=TRUE,$U$7=FALSE)),VLOOKUP($E64,'Status Thresholds'!$E:$AR,15,FALSE),IF((AND($U$4=TRUE,$U$5=FALSE,$U$6=TRUE,$U$7=TRUE)),VLOOKUP($E64,'Status Thresholds'!$E:$AR,20,FALSE),IF((AND($U$4=TRUE,$U$5=FALSE,$U$6=FALSE,$U$7=TRUE)),VLOOKUP($E64,'Status Thresholds'!$E:$AR,10,FALSE),
IF((AND($U$4=FALSE,$U$5=TRUE,$U$6=FALSE,$U$7=FALSE)),VLOOKUP($E64,'Status Thresholds'!$E:$AR,25,FALSE),IF((AND($U$4=FALSE,$U$5=TRUE,$U$6=TRUE,$U$7=FALSE)),VLOOKUP($E64,'Status Thresholds'!$E:$AR,35,FALSE),IF((AND($U$4=FALSE,$U$5=TRUE,$U$6=TRUE,$U$7=TRUE)),VLOOKUP($E64,'Status Thresholds'!$E:$AR,40,FALSE),IF((AND($U$4=FALSE,$U$5=TRUE,$U$6=FALSE,$U$7=TRUE)),VLOOKUP($E64,'Status Thresholds'!$E:$AR,30,FALSE)))))))))
))/
IF(OR($X$5=TRUE,$AC$3=TRUE
),($F$3/2), IF(OR($X$2,$X$3,$X$4,$X$6,$X$7,$X$8,$Z$2,$Z$3,$Z$4,$Z$5,$Z$6,$Z$7,$Z$8)=TRUE,$F$3)),0),"-")</f>
        <v>-</v>
      </c>
      <c r="J64" s="36">
        <f>IFERROR(IF(AND($U$5=FALSE,$U$4=FALSE),"-",VLOOKUP($E64,'Status Thresholds'!$E:$AU,41,FALSE)),"-")</f>
        <v>12</v>
      </c>
      <c r="K64" s="36" t="str">
        <f>IFERROR(IF(AND($U$5=FALSE,$U$4=FALSE),"-",VLOOKUP($E64,'Status Thresholds'!$E:$AU,42,FALSE)),"-")</f>
        <v>-</v>
      </c>
      <c r="L64" s="36" t="str">
        <f>IFERROR(IF(AND($U$5=FALSE,$U$4=FALSE),"-",VLOOKUP($E64,'Status Thresholds'!$E:$AU,43,FALSE)),"-")</f>
        <v>-</v>
      </c>
    </row>
    <row r="65" spans="1:12" x14ac:dyDescent="0.25">
      <c r="A65" s="35"/>
      <c r="B65" s="64" t="str">
        <f>VLOOKUP(C65,'Status Thresholds'!B:C,2,FALSE)</f>
        <v>MHGen</v>
      </c>
      <c r="C65" s="64" t="str">
        <f>IF('Status Thresholds'!B60=0, "", 'Status Thresholds'!B60)</f>
        <v>Arzuros</v>
      </c>
      <c r="D65" s="31" t="s">
        <v>32</v>
      </c>
      <c r="E65" s="36" t="str">
        <f t="shared" si="0"/>
        <v>ArzurosSleep</v>
      </c>
      <c r="F65" s="36" t="str">
        <f>IFERROR(
ROUNDUP(
IF(AND($U$5=FALSE,$U$4=FALSE),"-",IF(AND($U$5=TRUE,$U$4=TRUE),"-",
IF((AND($U$4=TRUE,$U$5=FALSE,$U$6=FALSE,$U$7=FALSE)),VLOOKUP($E65,'Status Thresholds'!$E:$AR,2,FALSE),IF((AND($U$4=TRUE,$U$5=FALSE,$U$6=TRUE,$U$7=FALSE)),VLOOKUP($E65,'Status Thresholds'!$E:$AR,12,FALSE),IF((AND($U$4=TRUE,$U$5=FALSE,$U$6=TRUE,$U$7=TRUE)),VLOOKUP($E65,'Status Thresholds'!$E:$AR,17,FALSE),IF((AND($U$4=TRUE,$U$5=FALSE,$U$6=FALSE,$U$7=TRUE)),VLOOKUP($E65,'Status Thresholds'!$E:$AR,7,FALSE),
IF((AND($U$4=FALSE,$U$5=TRUE,$U$6=FALSE,$U$7=FALSE)),VLOOKUP($E65,'Status Thresholds'!$E:$AR,22,FALSE),IF((AND($U$4=FALSE,$U$5=TRUE,$U$6=TRUE,$U$7=FALSE)),VLOOKUP($E65,'Status Thresholds'!$E:$AR,32,FALSE),IF((AND($U$4=FALSE,$U$5=TRUE,$U$6=TRUE,$U$7=TRUE)),VLOOKUP($E65,'Status Thresholds'!$E:$AR,37,FALSE),IF((AND($U$4=FALSE,$U$5=TRUE,$U$6=FALSE,$U$7=TRUE)),VLOOKUP($E65,'Status Thresholds'!$E:$AR,27,FALSE)))))))))
))/
IF(OR($X$5=TRUE,$AC$3=TRUE
),($F$4/2), IF(OR($X$2,$X$3,$X$4,$X$6,$X$7,$X$8,$Z$2,$Z$3,$Z$4,$Z$5,$Z$6,$Z$7,$Z$8)=TRUE,$F$4)),0),"-")</f>
        <v>-</v>
      </c>
      <c r="G65" s="36" t="str">
        <f>IFERROR(
ROUNDUP(
IF(AND($U$5=FALSE,$U$4=FALSE),"-",IF(AND($U$5=TRUE,$U$4=TRUE),"-",
IF((AND($U$4=TRUE,$U$5=FALSE,$U$6=FALSE,$U$7=FALSE)),VLOOKUP($E65,'Status Thresholds'!$E:$AR,3,FALSE),IF((AND($U$4=TRUE,$U$5=FALSE,$U$6=TRUE,$U$7=FALSE)),VLOOKUP($E65,'Status Thresholds'!$E:$AR,13,FALSE),IF((AND($U$4=TRUE,$U$5=FALSE,$U$6=TRUE,$U$7=TRUE)),VLOOKUP($E65,'Status Thresholds'!$E:$AR,18,FALSE),IF((AND($U$4=TRUE,$U$5=FALSE,$U$6=FALSE,$U$7=TRUE)),VLOOKUP($E65,'Status Thresholds'!$E:$AR,8,FALSE),
IF((AND($U$4=FALSE,$U$5=TRUE,$U$6=FALSE,$U$7=FALSE)),VLOOKUP($E65,'Status Thresholds'!$E:$AR,23,FALSE),IF((AND($U$4=FALSE,$U$5=TRUE,$U$6=TRUE,$U$7=FALSE)),VLOOKUP($E65,'Status Thresholds'!$E:$AR,33,FALSE),IF((AND($U$4=FALSE,$U$5=TRUE,$U$6=TRUE,$U$7=TRUE)),VLOOKUP($E65,'Status Thresholds'!$E:$AR,38,FALSE),IF((AND($U$4=FALSE,$U$5=TRUE,$U$6=FALSE,$U$7=TRUE)),VLOOKUP($E65,'Status Thresholds'!$E:$AR,28,FALSE)))))))))
))/
IF(OR($X$5=TRUE,$AC$3=TRUE
),($F$4/2), IF(OR($X$2,$X$3,$X$4,$X$6,$X$7,$X$8,$Z$2,$Z$3,$Z$4,$Z$5,$Z$6,$Z$7,$Z$8)=TRUE,$F$4)),0),"-")</f>
        <v>-</v>
      </c>
      <c r="H65" s="36" t="str">
        <f>IFERROR(
ROUNDUP(
IF(AND($U$5=FALSE,$U$4=FALSE),"-",IF(AND($U$5=TRUE,$U$4=TRUE),"-",
IF((AND($U$4=TRUE,$U$5=FALSE,$U$6=FALSE,$U$7=FALSE)),VLOOKUP($E65,'Status Thresholds'!$E:$AR,4,FALSE),IF((AND($U$4=TRUE,$U$5=FALSE,$U$6=TRUE,$U$7=FALSE)),VLOOKUP($E65,'Status Thresholds'!$E:$AR,14,FALSE),IF((AND($U$4=TRUE,$U$5=FALSE,$U$6=TRUE,$U$7=TRUE)),VLOOKUP($E65,'Status Thresholds'!$E:$AR,19,FALSE),IF((AND($U$4=TRUE,$U$5=FALSE,$U$6=FALSE,$U$7=TRUE)),VLOOKUP($E65,'Status Thresholds'!$E:$AR,9,FALSE),
IF((AND($U$4=FALSE,$U$5=TRUE,$U$6=FALSE,$U$7=FALSE)),VLOOKUP($E65,'Status Thresholds'!$E:$AR,24,FALSE),IF((AND($U$4=FALSE,$U$5=TRUE,$U$6=TRUE,$U$7=FALSE)),VLOOKUP($E65,'Status Thresholds'!$E:$AR,34,FALSE),IF((AND($U$4=FALSE,$U$5=TRUE,$U$6=TRUE,$U$7=TRUE)),VLOOKUP($E65,'Status Thresholds'!$E:$AR,39,FALSE),IF((AND($U$4=FALSE,$U$5=TRUE,$U$6=FALSE,$U$7=TRUE)),VLOOKUP($E65,'Status Thresholds'!$E:$AR,29,FALSE)))))))))
))/
IF(OR($X$5=TRUE,$AC$3=TRUE
),($F$4/2), IF(OR($X$2,$X$3,$X$4,$X$6,$X$7,$X$8,$Z$2,$Z$3,$Z$4,$Z$5,$Z$6,$Z$7,$Z$8)=TRUE,$F$4)),0),"-")</f>
        <v>-</v>
      </c>
      <c r="I65" s="36" t="str">
        <f>IFERROR(
ROUNDUP(
IF(AND($U$5=FALSE,$U$4=FALSE),"-",IF(AND($U$5=TRUE,$U$4=TRUE),"-",
IF((AND($U$4=TRUE,$U$5=FALSE,$U$6=FALSE,$U$7=FALSE)),VLOOKUP($E65,'Status Thresholds'!$E:$AR,5,FALSE),IF((AND($U$4=TRUE,$U$5=FALSE,$U$6=TRUE,$U$7=FALSE)),VLOOKUP($E65,'Status Thresholds'!$E:$AR,15,FALSE),IF((AND($U$4=TRUE,$U$5=FALSE,$U$6=TRUE,$U$7=TRUE)),VLOOKUP($E65,'Status Thresholds'!$E:$AR,20,FALSE),IF((AND($U$4=TRUE,$U$5=FALSE,$U$6=FALSE,$U$7=TRUE)),VLOOKUP($E65,'Status Thresholds'!$E:$AR,10,FALSE),
IF((AND($U$4=FALSE,$U$5=TRUE,$U$6=FALSE,$U$7=FALSE)),VLOOKUP($E65,'Status Thresholds'!$E:$AR,25,FALSE),IF((AND($U$4=FALSE,$U$5=TRUE,$U$6=TRUE,$U$7=FALSE)),VLOOKUP($E65,'Status Thresholds'!$E:$AR,35,FALSE),IF((AND($U$4=FALSE,$U$5=TRUE,$U$6=TRUE,$U$7=TRUE)),VLOOKUP($E65,'Status Thresholds'!$E:$AR,40,FALSE),IF((AND($U$4=FALSE,$U$5=TRUE,$U$6=FALSE,$U$7=TRUE)),VLOOKUP($E65,'Status Thresholds'!$E:$AR,30,FALSE)))))))))
))/
IF(OR($X$5=TRUE,$AC$3=TRUE
),($F$4/2), IF(OR($X$2,$X$3,$X$4,$X$6,$X$7,$X$8,$Z$2,$Z$3,$Z$4,$Z$5,$Z$6,$Z$7,$Z$8)=TRUE,$F$4)),0),"-")</f>
        <v>-</v>
      </c>
      <c r="J65" s="46">
        <f>IFERROR(IF(AND($U$5=FALSE,$U$4=FALSE),"-",VLOOKUP($E65,'Status Thresholds'!$E:$AU,41,FALSE)),"-")</f>
        <v>60</v>
      </c>
      <c r="K65" s="46" t="str">
        <f>IFERROR(IF(AND($U$5=FALSE,$U$4=FALSE),"-",VLOOKUP($E65,'Status Thresholds'!$E:$AU,42,FALSE)),"-")</f>
        <v>-</v>
      </c>
      <c r="L65" s="46" t="str">
        <f>IFERROR(IF(AND($U$5=FALSE,$U$4=FALSE),"-",VLOOKUP($E65,'Status Thresholds'!$E:$AU,43,FALSE)),"-")</f>
        <v>-</v>
      </c>
    </row>
    <row r="66" spans="1:12" x14ac:dyDescent="0.25">
      <c r="A66" s="35"/>
      <c r="B66" s="64" t="str">
        <f>VLOOKUP(C66,'Status Thresholds'!B:C,2,FALSE)</f>
        <v>MHGen</v>
      </c>
      <c r="C66" s="64" t="str">
        <f>IF('Status Thresholds'!B61=0, "", 'Status Thresholds'!B61)</f>
        <v>Arzuros</v>
      </c>
      <c r="D66" s="32" t="s">
        <v>33</v>
      </c>
      <c r="E66" s="36" t="str">
        <f t="shared" si="0"/>
        <v>ArzurosPoison</v>
      </c>
      <c r="F66" s="36" t="str">
        <f>IFERROR(
ROUNDUP(
IF(AND($U$5=FALSE,$U$4=FALSE),"-",IF(AND($U$5=TRUE,$U$4=TRUE),"-",
IF((AND($U$4=TRUE,$U$5=FALSE,$U$6=FALSE,$U$7=FALSE)),VLOOKUP($E66,'Status Thresholds'!$E:$AR,2,FALSE),IF((AND($U$4=TRUE,$U$5=FALSE,$U$6=TRUE,$U$7=FALSE)),VLOOKUP($E66,'Status Thresholds'!$E:$AR,12,FALSE),IF((AND($U$4=TRUE,$U$5=FALSE,$U$6=TRUE,$U$7=TRUE)),VLOOKUP($E66,'Status Thresholds'!$E:$AR,17,FALSE),IF((AND($U$4=TRUE,$U$5=FALSE,$U$6=FALSE,$U$7=TRUE)),VLOOKUP($E66,'Status Thresholds'!$E:$AR,7,FALSE),
IF((AND($U$4=FALSE,$U$5=TRUE,$U$6=FALSE,$U$7=FALSE)),VLOOKUP($E66,'Status Thresholds'!$E:$AR,22,FALSE),IF((AND($U$4=FALSE,$U$5=TRUE,$U$6=TRUE,$U$7=FALSE)),VLOOKUP($E66,'Status Thresholds'!$E:$AR,32,FALSE),IF((AND($U$4=FALSE,$U$5=TRUE,$U$6=TRUE,$U$7=TRUE)),VLOOKUP($E66,'Status Thresholds'!$E:$AR,37,FALSE),IF((AND($U$4=FALSE,$U$5=TRUE,$U$6=FALSE,$U$7=TRUE)),VLOOKUP($E66,'Status Thresholds'!$E:$AR,27,FALSE)))))))))
))/
IF(OR($X$5=TRUE,$AC$3=TRUE
),($F$5/2), IF(OR($X$2,$X$3,$X$4,$X$6,$X$7,$X$8,$Z$2,$Z$3,$Z$4,$Z$5,$Z$6,$Z$7,$Z$8)=TRUE,$F$5)),0),"-")</f>
        <v>-</v>
      </c>
      <c r="G66" s="36" t="str">
        <f>IFERROR(
ROUNDUP(
IF(AND($U$5=FALSE,$U$4=FALSE),"-",IF(AND($U$5=TRUE,$U$4=TRUE),"-",
IF((AND($U$4=TRUE,$U$5=FALSE,$U$6=FALSE,$U$7=FALSE)),VLOOKUP($E66,'Status Thresholds'!$E:$AR,3,FALSE),IF((AND($U$4=TRUE,$U$5=FALSE,$U$6=TRUE,$U$7=FALSE)),VLOOKUP($E66,'Status Thresholds'!$E:$AR,13,FALSE),IF((AND($U$4=TRUE,$U$5=FALSE,$U$6=TRUE,$U$7=TRUE)),VLOOKUP($E66,'Status Thresholds'!$E:$AR,18,FALSE),IF((AND($U$4=TRUE,$U$5=FALSE,$U$6=FALSE,$U$7=TRUE)),VLOOKUP($E66,'Status Thresholds'!$E:$AR,8,FALSE),
IF((AND($U$4=FALSE,$U$5=TRUE,$U$6=FALSE,$U$7=FALSE)),VLOOKUP($E66,'Status Thresholds'!$E:$AR,23,FALSE),IF((AND($U$4=FALSE,$U$5=TRUE,$U$6=TRUE,$U$7=FALSE)),VLOOKUP($E66,'Status Thresholds'!$E:$AR,33,FALSE),IF((AND($U$4=FALSE,$U$5=TRUE,$U$6=TRUE,$U$7=TRUE)),VLOOKUP($E66,'Status Thresholds'!$E:$AR,38,FALSE),IF((AND($U$4=FALSE,$U$5=TRUE,$U$6=FALSE,$U$7=TRUE)),VLOOKUP($E66,'Status Thresholds'!$E:$AR,28,FALSE)))))))))
))/
IF(OR($X$5=TRUE,$AC$3=TRUE
),($F$5/2), IF(OR($X$2,$X$3,$X$4,$X$6,$X$7,$X$8,$Z$2,$Z$3,$Z$4,$Z$5,$Z$6,$Z$7,$Z$8)=TRUE,$F$5)),0),"-")</f>
        <v>-</v>
      </c>
      <c r="H66" s="36" t="str">
        <f>IFERROR(
ROUNDUP(
IF(AND($U$5=FALSE,$U$4=FALSE),"-",IF(AND($U$5=TRUE,$U$4=TRUE),"-",
IF((AND($U$4=TRUE,$U$5=FALSE,$U$6=FALSE,$U$7=FALSE)),VLOOKUP($E66,'Status Thresholds'!$E:$AR,4,FALSE),IF((AND($U$4=TRUE,$U$5=FALSE,$U$6=TRUE,$U$7=FALSE)),VLOOKUP($E66,'Status Thresholds'!$E:$AR,14,FALSE),IF((AND($U$4=TRUE,$U$5=FALSE,$U$6=TRUE,$U$7=TRUE)),VLOOKUP($E66,'Status Thresholds'!$E:$AR,19,FALSE),IF((AND($U$4=TRUE,$U$5=FALSE,$U$6=FALSE,$U$7=TRUE)),VLOOKUP($E66,'Status Thresholds'!$E:$AR,9,FALSE),
IF((AND($U$4=FALSE,$U$5=TRUE,$U$6=FALSE,$U$7=FALSE)),VLOOKUP($E66,'Status Thresholds'!$E:$AR,24,FALSE),IF((AND($U$4=FALSE,$U$5=TRUE,$U$6=TRUE,$U$7=FALSE)),VLOOKUP($E66,'Status Thresholds'!$E:$AR,34,FALSE),IF((AND($U$4=FALSE,$U$5=TRUE,$U$6=TRUE,$U$7=TRUE)),VLOOKUP($E66,'Status Thresholds'!$E:$AR,39,FALSE),IF((AND($U$4=FALSE,$U$5=TRUE,$U$6=FALSE,$U$7=TRUE)),VLOOKUP($E66,'Status Thresholds'!$E:$AR,29,FALSE)))))))))
))/
IF(OR($X$5=TRUE,$AC$3=TRUE
),($F$5/2), IF(OR($X$2,$X$3,$X$4,$X$6,$X$7,$X$8,$Z$2,$Z$3,$Z$4,$Z$5,$Z$6,$Z$7,$Z$8)=TRUE,$F$5)),0),"-")</f>
        <v>-</v>
      </c>
      <c r="I66" s="36" t="str">
        <f>IFERROR(
ROUNDUP(
IF(AND($U$5=FALSE,$U$4=FALSE),"-",IF(AND($U$5=TRUE,$U$4=TRUE),"-",
IF((AND($U$4=TRUE,$U$5=FALSE,$U$6=FALSE,$U$7=FALSE)),VLOOKUP($E66,'Status Thresholds'!$E:$AR,5,FALSE),IF((AND($U$4=TRUE,$U$5=FALSE,$U$6=TRUE,$U$7=FALSE)),VLOOKUP($E66,'Status Thresholds'!$E:$AR,15,FALSE),IF((AND($U$4=TRUE,$U$5=FALSE,$U$6=TRUE,$U$7=TRUE)),VLOOKUP($E66,'Status Thresholds'!$E:$AR,20,FALSE),IF((AND($U$4=TRUE,$U$5=FALSE,$U$6=FALSE,$U$7=TRUE)),VLOOKUP($E66,'Status Thresholds'!$E:$AR,10,FALSE),
IF((AND($U$4=FALSE,$U$5=TRUE,$U$6=FALSE,$U$7=FALSE)),VLOOKUP($E66,'Status Thresholds'!$E:$AR,25,FALSE),IF((AND($U$4=FALSE,$U$5=TRUE,$U$6=TRUE,$U$7=FALSE)),VLOOKUP($E66,'Status Thresholds'!$E:$AR,35,FALSE),IF((AND($U$4=FALSE,$U$5=TRUE,$U$6=TRUE,$U$7=TRUE)),VLOOKUP($E66,'Status Thresholds'!$E:$AR,40,FALSE),IF((AND($U$4=FALSE,$U$5=TRUE,$U$6=FALSE,$U$7=TRUE)),VLOOKUP($E66,'Status Thresholds'!$E:$AR,30,FALSE)))))))))
))/
IF(OR($X$5=TRUE,$AC$3=TRUE
),($F$5/2), IF(OR($X$2,$X$3,$X$4,$X$6,$X$7,$X$8,$Z$2,$Z$3,$Z$4,$Z$5,$Z$6,$Z$7,$Z$8)=TRUE,$F$5)),0),"-")</f>
        <v>-</v>
      </c>
      <c r="J66" s="46">
        <f>IFERROR(IF(AND($U$5=FALSE,$U$4=FALSE),"-",VLOOKUP($E66,'Status Thresholds'!$E:$AU,41,FALSE)),"-")</f>
        <v>60</v>
      </c>
      <c r="K66" s="46" t="str">
        <f>IFERROR(IF(AND($U$5=FALSE,$U$4=FALSE),"-",VLOOKUP($E66,'Status Thresholds'!$E:$AU,42,FALSE)),"-")</f>
        <v>-</v>
      </c>
      <c r="L66" s="46" t="str">
        <f>IFERROR(IF(AND($U$5=FALSE,$U$4=FALSE),"-",VLOOKUP($E66,'Status Thresholds'!$E:$AU,43,FALSE)),"-")</f>
        <v>-</v>
      </c>
    </row>
    <row r="67" spans="1:12" x14ac:dyDescent="0.25">
      <c r="A67" s="35"/>
      <c r="B67" s="64" t="str">
        <f>VLOOKUP(C67,'Status Thresholds'!B:C,2,FALSE)</f>
        <v>MHGen</v>
      </c>
      <c r="C67" s="64" t="str">
        <f>IF('Status Thresholds'!B62=0, "", 'Status Thresholds'!B62)</f>
        <v>Arzuros</v>
      </c>
      <c r="D67" s="10" t="s">
        <v>22</v>
      </c>
      <c r="E67" s="36" t="str">
        <f t="shared" si="0"/>
        <v>ArzurosExhaust</v>
      </c>
      <c r="F67" s="36" t="str">
        <f>IFERROR(
ROUNDUP(
IF(AND($U$5=FALSE,$U$4=FALSE),"-",IF(AND($U$5=TRUE,$U$4=TRUE),"-",
IF((AND($U$4=TRUE,$U$5=FALSE,$U$6=FALSE,$U$7=FALSE)),VLOOKUP($E67,'Status Thresholds'!$E:$AR,2,FALSE),IF((AND($U$4=TRUE,$U$5=FALSE,$U$6=TRUE,$U$7=FALSE)),VLOOKUP($E67,'Status Thresholds'!$E:$AR,12,FALSE),IF((AND($U$4=TRUE,$U$5=FALSE,$U$6=TRUE,$U$7=TRUE)),VLOOKUP($E67,'Status Thresholds'!$E:$AR,17,FALSE),IF((AND($U$4=TRUE,$U$5=FALSE,$U$6=FALSE,$U$7=TRUE)),VLOOKUP($E67,'Status Thresholds'!$E:$AR,7,FALSE),
IF((AND($U$4=FALSE,$U$5=TRUE,$U$6=FALSE,$U$7=FALSE)),VLOOKUP($E67,'Status Thresholds'!$E:$AR,22,FALSE),IF((AND($U$4=FALSE,$U$5=TRUE,$U$6=TRUE,$U$7=FALSE)),VLOOKUP($E67,'Status Thresholds'!$E:$AR,32,FALSE),IF((AND($U$4=FALSE,$U$5=TRUE,$U$6=TRUE,$U$7=TRUE)),VLOOKUP($E67,'Status Thresholds'!$E:$AR,37,FALSE),IF((AND($U$4=FALSE,$U$5=TRUE,$U$6=FALSE,$U$7=TRUE)),VLOOKUP($E67,'Status Thresholds'!$E:$AR,27,FALSE)))))))))
))/
IF(OR($X$5=TRUE,$AC$3=TRUE
),($F$6/2), IF(OR($X$2,$X$3,$X$4,$X$6,$X$7,$X$8,$Z$2,$Z$3,$Z$4,$Z$5,$Z$6,$Z$7,$Z$8)=TRUE,$F$6)),0),"-")</f>
        <v>-</v>
      </c>
      <c r="G67" s="36" t="str">
        <f>IFERROR(
ROUNDUP(
IF(AND($U$5=FALSE,$U$4=FALSE),"-",IF(AND($U$5=TRUE,$U$4=TRUE),"-",
IF((AND($U$4=TRUE,$U$5=FALSE,$U$6=FALSE,$U$7=FALSE)),VLOOKUP($E67,'Status Thresholds'!$E:$AR,3,FALSE),IF((AND($U$4=TRUE,$U$5=FALSE,$U$6=TRUE,$U$7=FALSE)),VLOOKUP($E67,'Status Thresholds'!$E:$AR,13,FALSE),IF((AND($U$4=TRUE,$U$5=FALSE,$U$6=TRUE,$U$7=TRUE)),VLOOKUP($E67,'Status Thresholds'!$E:$AR,18,FALSE),IF((AND($U$4=TRUE,$U$5=FALSE,$U$6=FALSE,$U$7=TRUE)),VLOOKUP($E67,'Status Thresholds'!$E:$AR,8,FALSE),
IF((AND($U$4=FALSE,$U$5=TRUE,$U$6=FALSE,$U$7=FALSE)),VLOOKUP($E67,'Status Thresholds'!$E:$AR,23,FALSE),IF((AND($U$4=FALSE,$U$5=TRUE,$U$6=TRUE,$U$7=FALSE)),VLOOKUP($E67,'Status Thresholds'!$E:$AR,33,FALSE),IF((AND($U$4=FALSE,$U$5=TRUE,$U$6=TRUE,$U$7=TRUE)),VLOOKUP($E67,'Status Thresholds'!$E:$AR,38,FALSE),IF((AND($U$4=FALSE,$U$5=TRUE,$U$6=FALSE,$U$7=TRUE)),VLOOKUP($E67,'Status Thresholds'!$E:$AR,28,FALSE)))))))))
))/
IF(OR($X$5=TRUE,$AC$3=TRUE
),($F$6/2), IF(OR($X$2,$X$3,$X$4,$X$6,$X$7,$X$8,$Z$2,$Z$3,$Z$4,$Z$5,$Z$6,$Z$7,$Z$8)=TRUE,$F$6)),0),"-")</f>
        <v>-</v>
      </c>
      <c r="H67" s="36" t="str">
        <f>IFERROR(
ROUNDUP(
IF(AND($U$5=FALSE,$U$4=FALSE),"-",IF(AND($U$5=TRUE,$U$4=TRUE),"-",
IF((AND($U$4=TRUE,$U$5=FALSE,$U$6=FALSE,$U$7=FALSE)),VLOOKUP($E67,'Status Thresholds'!$E:$AR,4,FALSE),IF((AND($U$4=TRUE,$U$5=FALSE,$U$6=TRUE,$U$7=FALSE)),VLOOKUP($E67,'Status Thresholds'!$E:$AR,14,FALSE),IF((AND($U$4=TRUE,$U$5=FALSE,$U$6=TRUE,$U$7=TRUE)),VLOOKUP($E67,'Status Thresholds'!$E:$AR,19,FALSE),IF((AND($U$4=TRUE,$U$5=FALSE,$U$6=FALSE,$U$7=TRUE)),VLOOKUP($E67,'Status Thresholds'!$E:$AR,9,FALSE),
IF((AND($U$4=FALSE,$U$5=TRUE,$U$6=FALSE,$U$7=FALSE)),VLOOKUP($E67,'Status Thresholds'!$E:$AR,24,FALSE),IF((AND($U$4=FALSE,$U$5=TRUE,$U$6=TRUE,$U$7=FALSE)),VLOOKUP($E67,'Status Thresholds'!$E:$AR,34,FALSE),IF((AND($U$4=FALSE,$U$5=TRUE,$U$6=TRUE,$U$7=TRUE)),VLOOKUP($E67,'Status Thresholds'!$E:$AR,39,FALSE),IF((AND($U$4=FALSE,$U$5=TRUE,$U$6=FALSE,$U$7=TRUE)),VLOOKUP($E67,'Status Thresholds'!$E:$AR,29,FALSE)))))))))
))/
IF(OR($X$5=TRUE,$AC$3=TRUE
),($F$6/2), IF(OR($X$2,$X$3,$X$4,$X$6,$X$7,$X$8,$Z$2,$Z$3,$Z$4,$Z$5,$Z$6,$Z$7,$Z$8)=TRUE,$F$6)),0),"-")</f>
        <v>-</v>
      </c>
      <c r="I67" s="36" t="str">
        <f>IFERROR(
ROUNDUP(
IF(AND($U$5=FALSE,$U$4=FALSE),"-",IF(AND($U$5=TRUE,$U$4=TRUE),"-",
IF((AND($U$4=TRUE,$U$5=FALSE,$U$6=FALSE,$U$7=FALSE)),VLOOKUP($E67,'Status Thresholds'!$E:$AR,5,FALSE),IF((AND($U$4=TRUE,$U$5=FALSE,$U$6=TRUE,$U$7=FALSE)),VLOOKUP($E67,'Status Thresholds'!$E:$AR,15,FALSE),IF((AND($U$4=TRUE,$U$5=FALSE,$U$6=TRUE,$U$7=TRUE)),VLOOKUP($E67,'Status Thresholds'!$E:$AR,20,FALSE),IF((AND($U$4=TRUE,$U$5=FALSE,$U$6=FALSE,$U$7=TRUE)),VLOOKUP($E67,'Status Thresholds'!$E:$AR,10,FALSE),
IF((AND($U$4=FALSE,$U$5=TRUE,$U$6=FALSE,$U$7=FALSE)),VLOOKUP($E67,'Status Thresholds'!$E:$AR,25,FALSE),IF((AND($U$4=FALSE,$U$5=TRUE,$U$6=TRUE,$U$7=FALSE)),VLOOKUP($E67,'Status Thresholds'!$E:$AR,35,FALSE),IF((AND($U$4=FALSE,$U$5=TRUE,$U$6=TRUE,$U$7=TRUE)),VLOOKUP($E67,'Status Thresholds'!$E:$AR,40,FALSE),IF((AND($U$4=FALSE,$U$5=TRUE,$U$6=FALSE,$U$7=TRUE)),VLOOKUP($E67,'Status Thresholds'!$E:$AR,30,FALSE)))))))))
))/
IF(OR($X$5=TRUE,$AC$3=TRUE
),($F$6/2), IF(OR($X$2,$X$3,$X$4,$X$6,$X$7,$X$8,$Z$2,$Z$3,$Z$4,$Z$5,$Z$6,$Z$7,$Z$8)=TRUE,$F$6)),0),"-")</f>
        <v>-</v>
      </c>
      <c r="J67" s="46">
        <f>IFERROR(IF(AND($U$5=FALSE,$U$4=FALSE),"-",VLOOKUP($E67,'Status Thresholds'!$E:$AU,41,FALSE)),"-")</f>
        <v>0</v>
      </c>
      <c r="K67" s="46" t="str">
        <f>IFERROR(IF(AND($U$5=FALSE,$U$4=FALSE),"-",VLOOKUP($E67,'Status Thresholds'!$E:$AU,42,FALSE)),"-")</f>
        <v>-</v>
      </c>
      <c r="L67" s="46" t="str">
        <f>IFERROR(IF(AND($U$5=FALSE,$U$4=FALSE),"-",VLOOKUP($E67,'Status Thresholds'!$E:$AU,43,FALSE)),"-")</f>
        <v>-</v>
      </c>
    </row>
    <row r="68" spans="1:12" x14ac:dyDescent="0.25">
      <c r="A68" s="35"/>
      <c r="B68" s="64" t="str">
        <f>VLOOKUP(C68,'Status Thresholds'!B:C,2,FALSE)</f>
        <v>MHGen</v>
      </c>
      <c r="C68" s="64" t="str">
        <f>IF('Status Thresholds'!B63=0, "", 'Status Thresholds'!B63)</f>
        <v>Arzuros</v>
      </c>
      <c r="D68" s="30" t="s">
        <v>35</v>
      </c>
      <c r="E68" s="36" t="str">
        <f t="shared" si="0"/>
        <v>ArzurosBlast</v>
      </c>
      <c r="F68" s="36" t="str">
        <f>IFERROR(
ROUNDUP(
IF(AND($U$5=FALSE,$U$4=FALSE),"-",IF(AND($U$5=TRUE,$U$4=TRUE),"-",
IF((AND($U$4=TRUE,$U$5=FALSE,$U$6=FALSE,$U$7=FALSE)),VLOOKUP($E68,'Status Thresholds'!$E:$AR,2,FALSE),IF((AND($U$4=TRUE,$U$5=FALSE,$U$6=TRUE,$U$7=FALSE)),VLOOKUP($E68,'Status Thresholds'!$E:$AR,12,FALSE),IF((AND($U$4=TRUE,$U$5=FALSE,$U$6=TRUE,$U$7=TRUE)),VLOOKUP($E68,'Status Thresholds'!$E:$AR,17,FALSE),IF((AND($U$4=TRUE,$U$5=FALSE,$U$6=FALSE,$U$7=TRUE)),VLOOKUP($E68,'Status Thresholds'!$E:$AR,7,FALSE),
IF((AND($U$4=FALSE,$U$5=TRUE,$U$6=FALSE,$U$7=FALSE)),VLOOKUP($E68,'Status Thresholds'!$E:$AR,22,FALSE),IF((AND($U$4=FALSE,$U$5=TRUE,$U$6=TRUE,$U$7=FALSE)),VLOOKUP($E68,'Status Thresholds'!$E:$AR,32,FALSE),IF((AND($U$4=FALSE,$U$5=TRUE,$U$6=TRUE,$U$7=TRUE)),VLOOKUP($E68,'Status Thresholds'!$E:$AR,37,FALSE),IF((AND($U$4=FALSE,$U$5=TRUE,$U$6=FALSE,$U$7=TRUE)),VLOOKUP($E68,'Status Thresholds'!$E:$AR,27,FALSE)))))))))
))/
IF(OR($X$5=TRUE,$AC$3=TRUE
),($F$7/2), IF(OR($X$2,$X$3,$X$4,$X$6,$X$7,$X$8,$Z$2,$Z$3,$Z$4,$Z$5,$Z$6,$Z$7,$Z$8)=TRUE,$F$7)),0),"-")</f>
        <v>-</v>
      </c>
      <c r="G68" s="36" t="str">
        <f>IFERROR(
ROUNDUP(
IF(AND($U$5=FALSE,$U$4=FALSE),"-",IF(AND($U$5=TRUE,$U$4=TRUE),"-",
IF((AND($U$4=TRUE,$U$5=FALSE,$U$6=FALSE,$U$7=FALSE)),VLOOKUP($E68,'Status Thresholds'!$E:$AR,3,FALSE),IF((AND($U$4=TRUE,$U$5=FALSE,$U$6=TRUE,$U$7=FALSE)),VLOOKUP($E68,'Status Thresholds'!$E:$AR,13,FALSE),IF((AND($U$4=TRUE,$U$5=FALSE,$U$6=TRUE,$U$7=TRUE)),VLOOKUP($E68,'Status Thresholds'!$E:$AR,18,FALSE),IF((AND($U$4=TRUE,$U$5=FALSE,$U$6=FALSE,$U$7=TRUE)),VLOOKUP($E68,'Status Thresholds'!$E:$AR,8,FALSE),
IF((AND($U$4=FALSE,$U$5=TRUE,$U$6=FALSE,$U$7=FALSE)),VLOOKUP($E68,'Status Thresholds'!$E:$AR,23,FALSE),IF((AND($U$4=FALSE,$U$5=TRUE,$U$6=TRUE,$U$7=FALSE)),VLOOKUP($E68,'Status Thresholds'!$E:$AR,33,FALSE),IF((AND($U$4=FALSE,$U$5=TRUE,$U$6=TRUE,$U$7=TRUE)),VLOOKUP($E68,'Status Thresholds'!$E:$AR,38,FALSE),IF((AND($U$4=FALSE,$U$5=TRUE,$U$6=FALSE,$U$7=TRUE)),VLOOKUP($E68,'Status Thresholds'!$E:$AR,28,FALSE)))))))))
))/
IF(OR($X$5=TRUE,$AC$3=TRUE
),($F$7/2), IF(OR($X$2,$X$3,$X$4,$X$6,$X$7,$X$8,$Z$2,$Z$3,$Z$4,$Z$5,$Z$6,$Z$7,$Z$8)=TRUE,$F$7)),0),"-")</f>
        <v>-</v>
      </c>
      <c r="H68" s="36" t="str">
        <f>IFERROR(
ROUNDUP(
IF(AND($U$5=FALSE,$U$4=FALSE),"-",IF(AND($U$5=TRUE,$U$4=TRUE),"-",
IF((AND($U$4=TRUE,$U$5=FALSE,$U$6=FALSE,$U$7=FALSE)),VLOOKUP($E68,'Status Thresholds'!$E:$AR,4,FALSE),IF((AND($U$4=TRUE,$U$5=FALSE,$U$6=TRUE,$U$7=FALSE)),VLOOKUP($E68,'Status Thresholds'!$E:$AR,14,FALSE),IF((AND($U$4=TRUE,$U$5=FALSE,$U$6=TRUE,$U$7=TRUE)),VLOOKUP($E68,'Status Thresholds'!$E:$AR,19,FALSE),IF((AND($U$4=TRUE,$U$5=FALSE,$U$6=FALSE,$U$7=TRUE)),VLOOKUP($E68,'Status Thresholds'!$E:$AR,9,FALSE),
IF((AND($U$4=FALSE,$U$5=TRUE,$U$6=FALSE,$U$7=FALSE)),VLOOKUP($E68,'Status Thresholds'!$E:$AR,24,FALSE),IF((AND($U$4=FALSE,$U$5=TRUE,$U$6=TRUE,$U$7=FALSE)),VLOOKUP($E68,'Status Thresholds'!$E:$AR,34,FALSE),IF((AND($U$4=FALSE,$U$5=TRUE,$U$6=TRUE,$U$7=TRUE)),VLOOKUP($E68,'Status Thresholds'!$E:$AR,39,FALSE),IF((AND($U$4=FALSE,$U$5=TRUE,$U$6=FALSE,$U$7=TRUE)),VLOOKUP($E68,'Status Thresholds'!$E:$AR,29,FALSE)))))))))
))/
IF(OR($X$5=TRUE,$AC$3=TRUE
),($F$7/2), IF(OR($X$2,$X$3,$X$4,$X$6,$X$7,$X$8,$Z$2,$Z$3,$Z$4,$Z$5,$Z$6,$Z$7,$Z$8)=TRUE,$F$7)),0),"-")</f>
        <v>-</v>
      </c>
      <c r="I68" s="36" t="str">
        <f>IFERROR(
ROUNDUP(
IF(AND($U$5=FALSE,$U$4=FALSE),"-",IF(AND($U$5=TRUE,$U$4=TRUE),"-",
IF((AND($U$4=TRUE,$U$5=FALSE,$U$6=FALSE,$U$7=FALSE)),VLOOKUP($E68,'Status Thresholds'!$E:$AR,5,FALSE),IF((AND($U$4=TRUE,$U$5=FALSE,$U$6=TRUE,$U$7=FALSE)),VLOOKUP($E68,'Status Thresholds'!$E:$AR,15,FALSE),IF((AND($U$4=TRUE,$U$5=FALSE,$U$6=TRUE,$U$7=TRUE)),VLOOKUP($E68,'Status Thresholds'!$E:$AR,20,FALSE),IF((AND($U$4=TRUE,$U$5=FALSE,$U$6=FALSE,$U$7=TRUE)),VLOOKUP($E68,'Status Thresholds'!$E:$AR,10,FALSE),
IF((AND($U$4=FALSE,$U$5=TRUE,$U$6=FALSE,$U$7=FALSE)),VLOOKUP($E68,'Status Thresholds'!$E:$AR,25,FALSE),IF((AND($U$4=FALSE,$U$5=TRUE,$U$6=TRUE,$U$7=FALSE)),VLOOKUP($E68,'Status Thresholds'!$E:$AR,35,FALSE),IF((AND($U$4=FALSE,$U$5=TRUE,$U$6=TRUE,$U$7=TRUE)),VLOOKUP($E68,'Status Thresholds'!$E:$AR,40,FALSE),IF((AND($U$4=FALSE,$U$5=TRUE,$U$6=FALSE,$U$7=TRUE)),VLOOKUP($E68,'Status Thresholds'!$E:$AR,30,FALSE)))))))))
))/
IF(OR($X$5=TRUE,$AC$3=TRUE
),($F$7/2), IF(OR($X$2,$X$3,$X$4,$X$6,$X$7,$X$8,$Z$2,$Z$3,$Z$4,$Z$5,$Z$6,$Z$7,$Z$8)=TRUE,$F$7)),0),"-")</f>
        <v>-</v>
      </c>
      <c r="J68" s="46">
        <f>IFERROR(IF(AND($U$5=FALSE,$U$4=FALSE),"-",VLOOKUP($E68,'Status Thresholds'!$E:$AU,41,FALSE)),"-")</f>
        <v>0</v>
      </c>
      <c r="K68" s="46" t="str">
        <f>IFERROR(IF(AND($U$5=FALSE,$U$4=FALSE),"-",VLOOKUP($E68,'Status Thresholds'!$E:$AU,42,FALSE)),"-")</f>
        <v>-</v>
      </c>
      <c r="L68" s="46" t="str">
        <f>IFERROR(IF(AND($U$5=FALSE,$U$4=FALSE),"-",VLOOKUP($E68,'Status Thresholds'!$E:$AU,43,FALSE)),"-")</f>
        <v>-</v>
      </c>
    </row>
    <row r="69" spans="1:12" ht="14.45" customHeight="1" x14ac:dyDescent="0.25">
      <c r="A69" s="35"/>
      <c r="B69" s="64" t="str">
        <f>VLOOKUP(C69,'Status Thresholds'!B:C,2,FALSE)</f>
        <v>MHGen</v>
      </c>
      <c r="C69" s="64" t="str">
        <f>IF('Status Thresholds'!B64=0, "", 'Status Thresholds'!B64)</f>
        <v>Arzuros</v>
      </c>
      <c r="D69" s="34" t="s">
        <v>14</v>
      </c>
      <c r="E69" s="36" t="str">
        <f t="shared" si="0"/>
        <v>ArzurosKO</v>
      </c>
      <c r="F69" s="36" t="s">
        <v>214</v>
      </c>
      <c r="G69" s="36" t="s">
        <v>214</v>
      </c>
      <c r="H69" s="36" t="s">
        <v>214</v>
      </c>
      <c r="I69" s="36" t="s">
        <v>214</v>
      </c>
      <c r="J69" s="46">
        <f>IFERROR(IF(AND($U$5=FALSE,$U$4=FALSE),"-",VLOOKUP($E69,'Status Thresholds'!$E:$AU,41,FALSE)),"-")</f>
        <v>10</v>
      </c>
      <c r="K69" s="46" t="str">
        <f>IFERROR(IF(AND($U$5=FALSE,$U$4=FALSE),"-",VLOOKUP($E69,'Status Thresholds'!$E:$AU,42,FALSE)),"-")</f>
        <v>-</v>
      </c>
      <c r="L69" s="46" t="str">
        <f>IFERROR(IF(AND($U$5=FALSE,$U$4=FALSE),"-",VLOOKUP($E69,'Status Thresholds'!$E:$AU,43,FALSE)),"-")</f>
        <v>-</v>
      </c>
    </row>
    <row r="70" spans="1:12" x14ac:dyDescent="0.25">
      <c r="A70" s="35"/>
      <c r="B70" s="64" t="str">
        <f>VLOOKUP(C70,'Status Thresholds'!B:C,2,FALSE)</f>
        <v>MHGen</v>
      </c>
      <c r="C70" s="64" t="str">
        <f>IF('Status Thresholds'!B65=0, "", 'Status Thresholds'!B65)</f>
        <v>Arzuros</v>
      </c>
      <c r="D70" s="33" t="s">
        <v>34</v>
      </c>
      <c r="E70" s="36" t="str">
        <f t="shared" si="0"/>
        <v>ArzurosMount</v>
      </c>
      <c r="F70" s="36" t="str">
        <f>IFERROR(
ROUNDUP(
IF(AND($U$5=FALSE,$U$4=FALSE),"-",IF(AND($U$5=TRUE,$U$4=TRUE),"-",
IF((AND($U$4=TRUE,$U$5=FALSE,$U$6=FALSE,$U$7=FALSE)),VLOOKUP($E70,'Status Thresholds'!$E:$AR,2,FALSE),IF((AND($U$4=TRUE,$U$5=FALSE,$U$6=TRUE,$U$7=FALSE)),VLOOKUP($E70,'Status Thresholds'!$E:$AR,12,FALSE),IF((AND($U$4=TRUE,$U$5=FALSE,$U$6=TRUE,$U$7=TRUE)),VLOOKUP($E70,'Status Thresholds'!$E:$AR,17,FALSE),IF((AND($U$4=TRUE,$U$5=FALSE,$U$6=FALSE,$U$7=TRUE)),VLOOKUP($E70,'Status Thresholds'!$E:$AR,7,FALSE),
IF((AND($U$4=FALSE,$U$5=TRUE,$U$6=FALSE,$U$7=FALSE)),VLOOKUP($E70,'Status Thresholds'!$E:$AR,22,FALSE),IF((AND($U$4=FALSE,$U$5=TRUE,$U$6=TRUE,$U$7=FALSE)),VLOOKUP($E70,'Status Thresholds'!$E:$AR,32,FALSE),IF((AND($U$4=FALSE,$U$5=TRUE,$U$6=TRUE,$U$7=TRUE)),VLOOKUP($E70,'Status Thresholds'!$E:$AR,37,FALSE),IF((AND($U$4=FALSE,$U$5=TRUE,$U$6=FALSE,$U$7=TRUE)),VLOOKUP($E70,'Status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70" s="36" t="str">
        <f>IFERROR(
ROUNDUP(
IF(AND($U$5=FALSE,$U$4=FALSE),"-",IF(AND($U$5=TRUE,$U$4=TRUE),"-",
IF((AND($U$4=TRUE,$U$5=FALSE,$U$6=FALSE,$U$7=FALSE)),VLOOKUP($E69,'Status Thresholds'!$E:$AR,3,FALSE),IF((AND($U$4=TRUE,$U$5=FALSE,$U$6=TRUE,$U$7=FALSE)),VLOOKUP($E69,'Status Thresholds'!$E:$AR,13,FALSE),IF((AND($U$4=TRUE,$U$5=FALSE,$U$6=TRUE,$U$7=TRUE)),VLOOKUP($E69,'Status Thresholds'!$E:$AR,18,FALSE),IF((AND($U$4=TRUE,$U$5=FALSE,$U$6=FALSE,$U$7=TRUE)),VLOOKUP($E69,'Status Thresholds'!$E:$AR,8,FALSE),
IF((AND($U$4=FALSE,$U$5=TRUE,$U$6=FALSE,$U$7=FALSE)),VLOOKUP($E69,'Status Thresholds'!$E:$AR,23,FALSE),IF((AND($U$4=FALSE,$U$5=TRUE,$U$6=TRUE,$U$7=FALSE)),VLOOKUP($E69,'Status Thresholds'!$E:$AR,33,FALSE),IF((AND($U$4=FALSE,$U$5=TRUE,$U$6=TRUE,$U$7=TRUE)),VLOOKUP($E69,'Status Thresholds'!$E:$AR,38,FALSE),IF((AND($U$4=FALSE,$U$5=TRUE,$U$6=FALSE,$U$7=TRUE)),VLOOKUP($E69,'Status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70" s="36" t="str">
        <f>IFERROR(
ROUNDUP(
IF(AND($U$5=FALSE,$U$4=FALSE),"-",IF(AND($U$5=TRUE,$U$4=TRUE),"-",
IF((AND($U$4=TRUE,$U$5=FALSE,$U$6=FALSE,$U$7=FALSE)),VLOOKUP($E69,'Status Thresholds'!$E:$AR,4,FALSE),IF((AND($U$4=TRUE,$U$5=FALSE,$U$6=TRUE,$U$7=FALSE)),VLOOKUP($E69,'Status Thresholds'!$E:$AR,14,FALSE),IF((AND($U$4=TRUE,$U$5=FALSE,$U$6=TRUE,$U$7=TRUE)),VLOOKUP($E69,'Status Thresholds'!$E:$AR,19,FALSE),IF((AND($U$4=TRUE,$U$5=FALSE,$U$6=FALSE,$U$7=TRUE)),VLOOKUP($E69,'Status Thresholds'!$E:$AR,9,FALSE),
IF((AND($U$4=FALSE,$U$5=TRUE,$U$6=FALSE,$U$7=FALSE)),VLOOKUP($E69,'Status Thresholds'!$E:$AR,24,FALSE),IF((AND($U$4=FALSE,$U$5=TRUE,$U$6=TRUE,$U$7=FALSE)),VLOOKUP($E69,'Status Thresholds'!$E:$AR,34,FALSE),IF((AND($U$4=FALSE,$U$5=TRUE,$U$6=TRUE,$U$7=TRUE)),VLOOKUP($E69,'Status Thresholds'!$E:$AR,39,FALSE),IF((AND($U$4=FALSE,$U$5=TRUE,$U$6=FALSE,$U$7=TRUE)),VLOOKUP($E69,'Status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70" s="36" t="str">
        <f>IFERROR(
ROUNDUP(
IF(AND($U$5=FALSE,$U$4=FALSE),"-",IF(AND($U$5=TRUE,$U$4=TRUE),"-",
IF((AND($U$4=TRUE,$U$5=FALSE,$U$6=FALSE,$U$7=FALSE)),VLOOKUP($E69,'Status Thresholds'!$E:$AR,5,FALSE),IF((AND($U$4=TRUE,$U$5=FALSE,$U$6=TRUE,$U$7=FALSE)),VLOOKUP($E69,'Status Thresholds'!$E:$AR,15,FALSE),IF((AND($U$4=TRUE,$U$5=FALSE,$U$6=TRUE,$U$7=TRUE)),VLOOKUP($E69,'Status Thresholds'!$E:$AR,20,FALSE),IF((AND($U$4=TRUE,$U$5=FALSE,$U$6=FALSE,$U$7=TRUE)),VLOOKUP($E69,'Status Thresholds'!$E:$AR,10,FALSE),
IF((AND($U$4=FALSE,$U$5=TRUE,$U$6=FALSE,$U$7=FALSE)),VLOOKUP($E69,'Status Thresholds'!$E:$AR,25,FALSE),IF((AND($U$4=FALSE,$U$5=TRUE,$U$6=TRUE,$U$7=FALSE)),VLOOKUP($E69,'Status Thresholds'!$E:$AR,35,FALSE),IF((AND($U$4=FALSE,$U$5=TRUE,$U$6=TRUE,$U$7=TRUE)),VLOOKUP($E69,'Status Thresholds'!$E:$AR,40,FALSE),IF((AND($U$4=FALSE,$U$5=TRUE,$U$6=FALSE,$U$7=TRUE)),VLOOKUP($E69,'Status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70" s="46">
        <f>IFERROR(IF(AND($U$5=FALSE,$U$4=FALSE),"-",VLOOKUP($E70,'Status Thresholds'!$E:$AU,41,FALSE)),"-")</f>
        <v>0</v>
      </c>
      <c r="K70" s="46" t="str">
        <f>IFERROR(IF(AND($U$5=FALSE,$U$4=FALSE),"-",VLOOKUP($E70,'Status Thresholds'!$E:$AU,42,FALSE)),"-")</f>
        <v>-</v>
      </c>
      <c r="L70" s="46" t="str">
        <f>IFERROR(IF(AND($U$5=FALSE,$U$4=FALSE),"-",VLOOKUP($E70,'Status Thresholds'!$E:$AU,43,FALSE)),"-")</f>
        <v>-</v>
      </c>
    </row>
    <row r="71" spans="1:12" ht="15" customHeight="1" x14ac:dyDescent="0.25">
      <c r="A71" s="35"/>
      <c r="B71" s="64" t="str">
        <f>VLOOKUP(C71,'Status Thresholds'!B:C,2,FALSE)</f>
        <v>MHGen</v>
      </c>
      <c r="C71" s="64" t="str">
        <f>IF('Status Thresholds'!B66=0, "", 'Status Thresholds'!B66)</f>
        <v>Arzuros</v>
      </c>
      <c r="D71" s="77" t="s">
        <v>207</v>
      </c>
      <c r="E71" s="36" t="str">
        <f t="shared" si="0"/>
        <v>ArzurosShock Trap</v>
      </c>
      <c r="F71" s="76" t="s">
        <v>214</v>
      </c>
      <c r="G71" s="46" t="s">
        <v>214</v>
      </c>
      <c r="H71" s="46" t="s">
        <v>214</v>
      </c>
      <c r="I71" s="46" t="s">
        <v>214</v>
      </c>
      <c r="J71" s="46">
        <f>IFERROR(IF(AND($U$5=FALSE,$U$4=FALSE),"-",VLOOKUP($E71,'Status Thresholds'!$E:$AU,43,FALSE)),"-")</f>
        <v>12</v>
      </c>
      <c r="K71" s="46">
        <f>IFERROR(IF(AND($U$5=FALSE,$U$4=FALSE),"-",VLOOKUP($E71,'Status Thresholds'!$E:$AU,41,FALSE)),"-")</f>
        <v>12</v>
      </c>
      <c r="L71" s="46">
        <f>IFERROR(IF(AND($U$5=FALSE,$U$4=FALSE),"-",VLOOKUP($E71,'Status Thresholds'!$E:$AU,42,FALSE)),"-")</f>
        <v>20</v>
      </c>
    </row>
    <row r="72" spans="1:12" x14ac:dyDescent="0.25">
      <c r="A72" s="35"/>
      <c r="B72" s="64" t="str">
        <f>VLOOKUP(C72,'Status Thresholds'!B:C,2,FALSE)</f>
        <v>MHGen</v>
      </c>
      <c r="C72" s="64" t="str">
        <f>IF('Status Thresholds'!B67=0, "", 'Status Thresholds'!B67)</f>
        <v>Arzuros</v>
      </c>
      <c r="D72" s="77" t="s">
        <v>213</v>
      </c>
      <c r="E72" s="36" t="str">
        <f t="shared" si="0"/>
        <v>ArzurosPitfall Trap</v>
      </c>
      <c r="F72" s="46" t="s">
        <v>214</v>
      </c>
      <c r="G72" s="46" t="s">
        <v>214</v>
      </c>
      <c r="H72" s="46" t="s">
        <v>214</v>
      </c>
      <c r="I72" s="46" t="s">
        <v>214</v>
      </c>
      <c r="J72" s="46">
        <f>IFERROR(IF(AND($U$5=FALSE,$U$4=FALSE),"-",VLOOKUP($E72,'Status Thresholds'!$E:$AU,43,FALSE)),"-")</f>
        <v>15</v>
      </c>
      <c r="K72" s="46">
        <f>IFERROR(IF(AND($U$5=FALSE,$U$4=FALSE),"-",VLOOKUP($E72,'Status Thresholds'!$E:$AU,41,FALSE)),"-")</f>
        <v>15</v>
      </c>
      <c r="L72" s="46">
        <f>IFERROR(IF(AND($U$5=FALSE,$U$4=FALSE),"-",VLOOKUP($E72,'Status Thresholds'!$E:$AU,42,FALSE)),"-")</f>
        <v>20</v>
      </c>
    </row>
    <row r="73" spans="1:12" s="36" customFormat="1" x14ac:dyDescent="0.25">
      <c r="A73" s="64"/>
      <c r="B73" s="64" t="str">
        <f>VLOOKUP(C73,'Status Thresholds'!B:C,2,FALSE)</f>
        <v>MHGen</v>
      </c>
      <c r="C73" s="64" t="str">
        <f>IF('Status Thresholds'!B68=0, "", 'Status Thresholds'!B68)</f>
        <v>Astalos</v>
      </c>
      <c r="D73" s="37" t="s">
        <v>0</v>
      </c>
      <c r="E73" s="36" t="str">
        <f t="shared" si="0"/>
        <v>AstalosPara</v>
      </c>
      <c r="F73" s="36" t="str">
        <f>IFERROR(
ROUNDUP(
IF(AND($U$5=FALSE,$U$4=FALSE),"-",IF(AND($U$5=TRUE,$U$4=TRUE),"-",
IF((AND($U$4=TRUE,$U$5=FALSE,$U$6=FALSE,$U$7=FALSE)),VLOOKUP($E73,'Status Thresholds'!$E:$AR,2,FALSE),IF((AND($U$4=TRUE,$U$5=FALSE,$U$6=TRUE,$U$7=FALSE)),VLOOKUP($E73,'Status Thresholds'!$E:$AR,12,FALSE),IF((AND($U$4=TRUE,$U$5=FALSE,$U$6=TRUE,$U$7=TRUE)),VLOOKUP($E73,'Status Thresholds'!$E:$AR,17,FALSE),IF((AND($U$4=TRUE,$U$5=FALSE,$U$6=FALSE,$U$7=TRUE)),VLOOKUP($E73,'Status Thresholds'!$E:$AR,7,FALSE),
IF((AND($U$4=FALSE,$U$5=TRUE,$U$6=FALSE,$U$7=FALSE)),VLOOKUP($E73,'Status Thresholds'!$E:$AR,22,FALSE),IF((AND($U$4=FALSE,$U$5=TRUE,$U$6=TRUE,$U$7=FALSE)),VLOOKUP($E73,'Status Thresholds'!$E:$AR,32,FALSE),IF((AND($U$4=FALSE,$U$5=TRUE,$U$6=TRUE,$U$7=TRUE)),VLOOKUP($E73,'Status Thresholds'!$E:$AR,37,FALSE),IF((AND($U$4=FALSE,$U$5=TRUE,$U$6=FALSE,$U$7=TRUE)),VLOOKUP($E73,'Status Thresholds'!$E:$AR,27,FALSE)))))))))
))/
IF(OR($X$5=TRUE,$AC$3=TRUE
),($F$3/2), IF(OR($X$2,$X$3,$X$4,$X$6,$X$7,$X$8,$Z$2,$Z$3,$Z$4,$Z$5,$Z$6,$Z$7,$Z$8)=TRUE,$F$3)),0),"-")</f>
        <v>-</v>
      </c>
      <c r="G73" s="36" t="str">
        <f>IFERROR(
ROUNDUP(
IF(AND($U$5=FALSE,$U$4=FALSE),"-",IF(AND($U$5=TRUE,$U$4=TRUE),"-",
IF((AND($U$4=TRUE,$U$5=FALSE,$U$6=FALSE,$U$7=FALSE)),VLOOKUP($E73,'Status Thresholds'!$E:$AR,3,FALSE),IF((AND($U$4=TRUE,$U$5=FALSE,$U$6=TRUE,$U$7=FALSE)),VLOOKUP($E73,'Status Thresholds'!$E:$AR,13,FALSE),IF((AND($U$4=TRUE,$U$5=FALSE,$U$6=TRUE,$U$7=TRUE)),VLOOKUP($E73,'Status Thresholds'!$E:$AR,18,FALSE),IF((AND($U$4=TRUE,$U$5=FALSE,$U$6=FALSE,$U$7=TRUE)),VLOOKUP($E73,'Status Thresholds'!$E:$AR,8,FALSE),
IF((AND($U$4=FALSE,$U$5=TRUE,$U$6=FALSE,$U$7=FALSE)),VLOOKUP($E73,'Status Thresholds'!$E:$AR,23,FALSE),IF((AND($U$4=FALSE,$U$5=TRUE,$U$6=TRUE,$U$7=FALSE)),VLOOKUP($E73,'Status Thresholds'!$E:$AR,33,FALSE),IF((AND($U$4=FALSE,$U$5=TRUE,$U$6=TRUE,$U$7=TRUE)),VLOOKUP($E73,'Status Thresholds'!$E:$AR,38,FALSE),IF((AND($U$4=FALSE,$U$5=TRUE,$U$6=FALSE,$U$7=TRUE)),VLOOKUP($E73,'Status Thresholds'!$E:$AR,28,FALSE)))))))))
))/
IF(OR($X$5=TRUE,$AC$3=TRUE
),($F$3/2), IF(OR($X$2,$X$3,$X$4,$X$6,$X$7,$X$8,$Z$2,$Z$3,$Z$4,$Z$5,$Z$6,$Z$7,$Z$8)=TRUE,$F$3)),0),"-")</f>
        <v>-</v>
      </c>
      <c r="H73" s="36" t="str">
        <f>IFERROR(
ROUNDUP(
IF(AND($U$5=FALSE,$U$4=FALSE),"-",IF(AND($U$5=TRUE,$U$4=TRUE),"-",
IF((AND($U$4=TRUE,$U$5=FALSE,$U$6=FALSE,$U$7=FALSE)),VLOOKUP($E73,'Status Thresholds'!$E:$AR,4,FALSE),IF((AND($U$4=TRUE,$U$5=FALSE,$U$6=TRUE,$U$7=FALSE)),VLOOKUP($E73,'Status Thresholds'!$E:$AR,14,FALSE),IF((AND($U$4=TRUE,$U$5=FALSE,$U$6=TRUE,$U$7=TRUE)),VLOOKUP($E73,'Status Thresholds'!$E:$AR,19,FALSE),IF((AND($U$4=TRUE,$U$5=FALSE,$U$6=FALSE,$U$7=TRUE)),VLOOKUP($E73,'Status Thresholds'!$E:$AR,9,FALSE),
IF((AND($U$4=FALSE,$U$5=TRUE,$U$6=FALSE,$U$7=FALSE)),VLOOKUP($E73,'Status Thresholds'!$E:$AR,24,FALSE),IF((AND($U$4=FALSE,$U$5=TRUE,$U$6=TRUE,$U$7=FALSE)),VLOOKUP($E73,'Status Thresholds'!$E:$AR,34,FALSE),IF((AND($U$4=FALSE,$U$5=TRUE,$U$6=TRUE,$U$7=TRUE)),VLOOKUP($E73,'Status Thresholds'!$E:$AR,39,FALSE),IF((AND($U$4=FALSE,$U$5=TRUE,$U$6=FALSE,$U$7=TRUE)),VLOOKUP($E73,'Status Thresholds'!$E:$AR,29,FALSE)))))))))
))/
IF(OR($X$5=TRUE,$AC$3=TRUE
),($F$3/2), IF(OR($X$2,$X$3,$X$4,$X$6,$X$7,$X$8,$Z$2,$Z$3,$Z$4,$Z$5,$Z$6,$Z$7,$Z$8)=TRUE,$F$3)),0),"-")</f>
        <v>-</v>
      </c>
      <c r="I73" s="36" t="str">
        <f>IFERROR(
ROUNDUP(
IF(AND($U$5=FALSE,$U$4=FALSE),"-",IF(AND($U$5=TRUE,$U$4=TRUE),"-",
IF((AND($U$4=TRUE,$U$5=FALSE,$U$6=FALSE,$U$7=FALSE)),VLOOKUP($E73,'Status Thresholds'!$E:$AR,5,FALSE),IF((AND($U$4=TRUE,$U$5=FALSE,$U$6=TRUE,$U$7=FALSE)),VLOOKUP($E73,'Status Thresholds'!$E:$AR,15,FALSE),IF((AND($U$4=TRUE,$U$5=FALSE,$U$6=TRUE,$U$7=TRUE)),VLOOKUP($E73,'Status Thresholds'!$E:$AR,20,FALSE),IF((AND($U$4=TRUE,$U$5=FALSE,$U$6=FALSE,$U$7=TRUE)),VLOOKUP($E73,'Status Thresholds'!$E:$AR,10,FALSE),
IF((AND($U$4=FALSE,$U$5=TRUE,$U$6=FALSE,$U$7=FALSE)),VLOOKUP($E73,'Status Thresholds'!$E:$AR,25,FALSE),IF((AND($U$4=FALSE,$U$5=TRUE,$U$6=TRUE,$U$7=FALSE)),VLOOKUP($E73,'Status Thresholds'!$E:$AR,35,FALSE),IF((AND($U$4=FALSE,$U$5=TRUE,$U$6=TRUE,$U$7=TRUE)),VLOOKUP($E73,'Status Thresholds'!$E:$AR,40,FALSE),IF((AND($U$4=FALSE,$U$5=TRUE,$U$6=FALSE,$U$7=TRUE)),VLOOKUP($E73,'Status Thresholds'!$E:$AR,30,FALSE)))))))))
))/
IF(OR($X$5=TRUE,$AC$3=TRUE
),($F$3/2), IF(OR($X$2,$X$3,$X$4,$X$6,$X$7,$X$8,$Z$2,$Z$3,$Z$4,$Z$5,$Z$6,$Z$7,$Z$8)=TRUE,$F$3)),0),"-")</f>
        <v>-</v>
      </c>
      <c r="J73" s="36">
        <f>IFERROR(IF(AND($U$5=FALSE,$U$4=FALSE),"-",VLOOKUP($E73,'Status Thresholds'!$E:$AU,41,FALSE)),"-")</f>
        <v>10</v>
      </c>
      <c r="K73" s="36" t="str">
        <f>IFERROR(IF(AND($U$5=FALSE,$U$4=FALSE),"-",VLOOKUP($E73,'Status Thresholds'!$E:$AU,42,FALSE)),"-")</f>
        <v>-</v>
      </c>
      <c r="L73" s="36" t="str">
        <f>IFERROR(IF(AND($U$5=FALSE,$U$4=FALSE),"-",VLOOKUP($E73,'Status Thresholds'!$E:$AU,43,FALSE)),"-")</f>
        <v>-</v>
      </c>
    </row>
    <row r="74" spans="1:12" x14ac:dyDescent="0.25">
      <c r="A74" s="35"/>
      <c r="B74" s="64" t="str">
        <f>VLOOKUP(C74,'Status Thresholds'!B:C,2,FALSE)</f>
        <v>MHGen</v>
      </c>
      <c r="C74" s="64" t="str">
        <f>IF('Status Thresholds'!B69=0, "", 'Status Thresholds'!B69)</f>
        <v>Astalos</v>
      </c>
      <c r="D74" s="31" t="s">
        <v>32</v>
      </c>
      <c r="E74" s="36" t="str">
        <f t="shared" si="0"/>
        <v>AstalosSleep</v>
      </c>
      <c r="F74" s="36" t="str">
        <f>IFERROR(
ROUNDUP(
IF(AND($U$5=FALSE,$U$4=FALSE),"-",IF(AND($U$5=TRUE,$U$4=TRUE),"-",
IF((AND($U$4=TRUE,$U$5=FALSE,$U$6=FALSE,$U$7=FALSE)),VLOOKUP($E74,'Status Thresholds'!$E:$AR,2,FALSE),IF((AND($U$4=TRUE,$U$5=FALSE,$U$6=TRUE,$U$7=FALSE)),VLOOKUP($E74,'Status Thresholds'!$E:$AR,12,FALSE),IF((AND($U$4=TRUE,$U$5=FALSE,$U$6=TRUE,$U$7=TRUE)),VLOOKUP($E74,'Status Thresholds'!$E:$AR,17,FALSE),IF((AND($U$4=TRUE,$U$5=FALSE,$U$6=FALSE,$U$7=TRUE)),VLOOKUP($E74,'Status Thresholds'!$E:$AR,7,FALSE),
IF((AND($U$4=FALSE,$U$5=TRUE,$U$6=FALSE,$U$7=FALSE)),VLOOKUP($E74,'Status Thresholds'!$E:$AR,22,FALSE),IF((AND($U$4=FALSE,$U$5=TRUE,$U$6=TRUE,$U$7=FALSE)),VLOOKUP($E74,'Status Thresholds'!$E:$AR,32,FALSE),IF((AND($U$4=FALSE,$U$5=TRUE,$U$6=TRUE,$U$7=TRUE)),VLOOKUP($E74,'Status Thresholds'!$E:$AR,37,FALSE),IF((AND($U$4=FALSE,$U$5=TRUE,$U$6=FALSE,$U$7=TRUE)),VLOOKUP($E74,'Status Thresholds'!$E:$AR,27,FALSE)))))))))
))/
IF(OR($X$5=TRUE,$AC$3=TRUE
),($F$4/2), IF(OR($X$2,$X$3,$X$4,$X$6,$X$7,$X$8,$Z$2,$Z$3,$Z$4,$Z$5,$Z$6,$Z$7,$Z$8)=TRUE,$F$4)),0),"-")</f>
        <v>-</v>
      </c>
      <c r="G74" s="36" t="str">
        <f>IFERROR(
ROUNDUP(
IF(AND($U$5=FALSE,$U$4=FALSE),"-",IF(AND($U$5=TRUE,$U$4=TRUE),"-",
IF((AND($U$4=TRUE,$U$5=FALSE,$U$6=FALSE,$U$7=FALSE)),VLOOKUP($E74,'Status Thresholds'!$E:$AR,3,FALSE),IF((AND($U$4=TRUE,$U$5=FALSE,$U$6=TRUE,$U$7=FALSE)),VLOOKUP($E74,'Status Thresholds'!$E:$AR,13,FALSE),IF((AND($U$4=TRUE,$U$5=FALSE,$U$6=TRUE,$U$7=TRUE)),VLOOKUP($E74,'Status Thresholds'!$E:$AR,18,FALSE),IF((AND($U$4=TRUE,$U$5=FALSE,$U$6=FALSE,$U$7=TRUE)),VLOOKUP($E74,'Status Thresholds'!$E:$AR,8,FALSE),
IF((AND($U$4=FALSE,$U$5=TRUE,$U$6=FALSE,$U$7=FALSE)),VLOOKUP($E74,'Status Thresholds'!$E:$AR,23,FALSE),IF((AND($U$4=FALSE,$U$5=TRUE,$U$6=TRUE,$U$7=FALSE)),VLOOKUP($E74,'Status Thresholds'!$E:$AR,33,FALSE),IF((AND($U$4=FALSE,$U$5=TRUE,$U$6=TRUE,$U$7=TRUE)),VLOOKUP($E74,'Status Thresholds'!$E:$AR,38,FALSE),IF((AND($U$4=FALSE,$U$5=TRUE,$U$6=FALSE,$U$7=TRUE)),VLOOKUP($E74,'Status Thresholds'!$E:$AR,28,FALSE)))))))))
))/
IF(OR($X$5=TRUE,$AC$3=TRUE
),($F$4/2), IF(OR($X$2,$X$3,$X$4,$X$6,$X$7,$X$8,$Z$2,$Z$3,$Z$4,$Z$5,$Z$6,$Z$7,$Z$8)=TRUE,$F$4)),0),"-")</f>
        <v>-</v>
      </c>
      <c r="H74" s="36" t="str">
        <f>IFERROR(
ROUNDUP(
IF(AND($U$5=FALSE,$U$4=FALSE),"-",IF(AND($U$5=TRUE,$U$4=TRUE),"-",
IF((AND($U$4=TRUE,$U$5=FALSE,$U$6=FALSE,$U$7=FALSE)),VLOOKUP($E74,'Status Thresholds'!$E:$AR,4,FALSE),IF((AND($U$4=TRUE,$U$5=FALSE,$U$6=TRUE,$U$7=FALSE)),VLOOKUP($E74,'Status Thresholds'!$E:$AR,14,FALSE),IF((AND($U$4=TRUE,$U$5=FALSE,$U$6=TRUE,$U$7=TRUE)),VLOOKUP($E74,'Status Thresholds'!$E:$AR,19,FALSE),IF((AND($U$4=TRUE,$U$5=FALSE,$U$6=FALSE,$U$7=TRUE)),VLOOKUP($E74,'Status Thresholds'!$E:$AR,9,FALSE),
IF((AND($U$4=FALSE,$U$5=TRUE,$U$6=FALSE,$U$7=FALSE)),VLOOKUP($E74,'Status Thresholds'!$E:$AR,24,FALSE),IF((AND($U$4=FALSE,$U$5=TRUE,$U$6=TRUE,$U$7=FALSE)),VLOOKUP($E74,'Status Thresholds'!$E:$AR,34,FALSE),IF((AND($U$4=FALSE,$U$5=TRUE,$U$6=TRUE,$U$7=TRUE)),VLOOKUP($E74,'Status Thresholds'!$E:$AR,39,FALSE),IF((AND($U$4=FALSE,$U$5=TRUE,$U$6=FALSE,$U$7=TRUE)),VLOOKUP($E74,'Status Thresholds'!$E:$AR,29,FALSE)))))))))
))/
IF(OR($X$5=TRUE,$AC$3=TRUE
),($F$4/2), IF(OR($X$2,$X$3,$X$4,$X$6,$X$7,$X$8,$Z$2,$Z$3,$Z$4,$Z$5,$Z$6,$Z$7,$Z$8)=TRUE,$F$4)),0),"-")</f>
        <v>-</v>
      </c>
      <c r="I74" s="36" t="str">
        <f>IFERROR(
ROUNDUP(
IF(AND($U$5=FALSE,$U$4=FALSE),"-",IF(AND($U$5=TRUE,$U$4=TRUE),"-",
IF((AND($U$4=TRUE,$U$5=FALSE,$U$6=FALSE,$U$7=FALSE)),VLOOKUP($E74,'Status Thresholds'!$E:$AR,5,FALSE),IF((AND($U$4=TRUE,$U$5=FALSE,$U$6=TRUE,$U$7=FALSE)),VLOOKUP($E74,'Status Thresholds'!$E:$AR,15,FALSE),IF((AND($U$4=TRUE,$U$5=FALSE,$U$6=TRUE,$U$7=TRUE)),VLOOKUP($E74,'Status Thresholds'!$E:$AR,20,FALSE),IF((AND($U$4=TRUE,$U$5=FALSE,$U$6=FALSE,$U$7=TRUE)),VLOOKUP($E74,'Status Thresholds'!$E:$AR,10,FALSE),
IF((AND($U$4=FALSE,$U$5=TRUE,$U$6=FALSE,$U$7=FALSE)),VLOOKUP($E74,'Status Thresholds'!$E:$AR,25,FALSE),IF((AND($U$4=FALSE,$U$5=TRUE,$U$6=TRUE,$U$7=FALSE)),VLOOKUP($E74,'Status Thresholds'!$E:$AR,35,FALSE),IF((AND($U$4=FALSE,$U$5=TRUE,$U$6=TRUE,$U$7=TRUE)),VLOOKUP($E74,'Status Thresholds'!$E:$AR,40,FALSE),IF((AND($U$4=FALSE,$U$5=TRUE,$U$6=FALSE,$U$7=TRUE)),VLOOKUP($E74,'Status Thresholds'!$E:$AR,30,FALSE)))))))))
))/
IF(OR($X$5=TRUE,$AC$3=TRUE
),($F$4/2), IF(OR($X$2,$X$3,$X$4,$X$6,$X$7,$X$8,$Z$2,$Z$3,$Z$4,$Z$5,$Z$6,$Z$7,$Z$8)=TRUE,$F$4)),0),"-")</f>
        <v>-</v>
      </c>
      <c r="J74" s="46">
        <f>IFERROR(IF(AND($U$5=FALSE,$U$4=FALSE),"-",VLOOKUP($E74,'Status Thresholds'!$E:$AU,41,FALSE)),"-")</f>
        <v>46</v>
      </c>
      <c r="K74" s="46" t="str">
        <f>IFERROR(IF(AND($U$5=FALSE,$U$4=FALSE),"-",VLOOKUP($E74,'Status Thresholds'!$E:$AU,42,FALSE)),"-")</f>
        <v>-</v>
      </c>
      <c r="L74" s="46" t="str">
        <f>IFERROR(IF(AND($U$5=FALSE,$U$4=FALSE),"-",VLOOKUP($E74,'Status Thresholds'!$E:$AU,43,FALSE)),"-")</f>
        <v>-</v>
      </c>
    </row>
    <row r="75" spans="1:12" x14ac:dyDescent="0.25">
      <c r="A75" s="35"/>
      <c r="B75" s="64" t="str">
        <f>VLOOKUP(C75,'Status Thresholds'!B:C,2,FALSE)</f>
        <v>MHGen</v>
      </c>
      <c r="C75" s="64" t="str">
        <f>IF('Status Thresholds'!B70=0, "", 'Status Thresholds'!B70)</f>
        <v>Astalos</v>
      </c>
      <c r="D75" s="32" t="s">
        <v>33</v>
      </c>
      <c r="E75" s="36" t="str">
        <f t="shared" si="0"/>
        <v>AstalosPoison</v>
      </c>
      <c r="F75" s="36" t="str">
        <f>IFERROR(
ROUNDUP(
IF(AND($U$5=FALSE,$U$4=FALSE),"-",IF(AND($U$5=TRUE,$U$4=TRUE),"-",
IF((AND($U$4=TRUE,$U$5=FALSE,$U$6=FALSE,$U$7=FALSE)),VLOOKUP($E75,'Status Thresholds'!$E:$AR,2,FALSE),IF((AND($U$4=TRUE,$U$5=FALSE,$U$6=TRUE,$U$7=FALSE)),VLOOKUP($E75,'Status Thresholds'!$E:$AR,12,FALSE),IF((AND($U$4=TRUE,$U$5=FALSE,$U$6=TRUE,$U$7=TRUE)),VLOOKUP($E75,'Status Thresholds'!$E:$AR,17,FALSE),IF((AND($U$4=TRUE,$U$5=FALSE,$U$6=FALSE,$U$7=TRUE)),VLOOKUP($E75,'Status Thresholds'!$E:$AR,7,FALSE),
IF((AND($U$4=FALSE,$U$5=TRUE,$U$6=FALSE,$U$7=FALSE)),VLOOKUP($E75,'Status Thresholds'!$E:$AR,22,FALSE),IF((AND($U$4=FALSE,$U$5=TRUE,$U$6=TRUE,$U$7=FALSE)),VLOOKUP($E75,'Status Thresholds'!$E:$AR,32,FALSE),IF((AND($U$4=FALSE,$U$5=TRUE,$U$6=TRUE,$U$7=TRUE)),VLOOKUP($E75,'Status Thresholds'!$E:$AR,37,FALSE),IF((AND($U$4=FALSE,$U$5=TRUE,$U$6=FALSE,$U$7=TRUE)),VLOOKUP($E75,'Status Thresholds'!$E:$AR,27,FALSE)))))))))
))/
IF(OR($X$5=TRUE,$AC$3=TRUE
),($F$5/2), IF(OR($X$2,$X$3,$X$4,$X$6,$X$7,$X$8,$Z$2,$Z$3,$Z$4,$Z$5,$Z$6,$Z$7,$Z$8)=TRUE,$F$5)),0),"-")</f>
        <v>-</v>
      </c>
      <c r="G75" s="36" t="str">
        <f>IFERROR(
ROUNDUP(
IF(AND($U$5=FALSE,$U$4=FALSE),"-",IF(AND($U$5=TRUE,$U$4=TRUE),"-",
IF((AND($U$4=TRUE,$U$5=FALSE,$U$6=FALSE,$U$7=FALSE)),VLOOKUP($E75,'Status Thresholds'!$E:$AR,3,FALSE),IF((AND($U$4=TRUE,$U$5=FALSE,$U$6=TRUE,$U$7=FALSE)),VLOOKUP($E75,'Status Thresholds'!$E:$AR,13,FALSE),IF((AND($U$4=TRUE,$U$5=FALSE,$U$6=TRUE,$U$7=TRUE)),VLOOKUP($E75,'Status Thresholds'!$E:$AR,18,FALSE),IF((AND($U$4=TRUE,$U$5=FALSE,$U$6=FALSE,$U$7=TRUE)),VLOOKUP($E75,'Status Thresholds'!$E:$AR,8,FALSE),
IF((AND($U$4=FALSE,$U$5=TRUE,$U$6=FALSE,$U$7=FALSE)),VLOOKUP($E75,'Status Thresholds'!$E:$AR,23,FALSE),IF((AND($U$4=FALSE,$U$5=TRUE,$U$6=TRUE,$U$7=FALSE)),VLOOKUP($E75,'Status Thresholds'!$E:$AR,33,FALSE),IF((AND($U$4=FALSE,$U$5=TRUE,$U$6=TRUE,$U$7=TRUE)),VLOOKUP($E75,'Status Thresholds'!$E:$AR,38,FALSE),IF((AND($U$4=FALSE,$U$5=TRUE,$U$6=FALSE,$U$7=TRUE)),VLOOKUP($E75,'Status Thresholds'!$E:$AR,28,FALSE)))))))))
))/
IF(OR($X$5=TRUE,$AC$3=TRUE
),($F$5/2), IF(OR($X$2,$X$3,$X$4,$X$6,$X$7,$X$8,$Z$2,$Z$3,$Z$4,$Z$5,$Z$6,$Z$7,$Z$8)=TRUE,$F$5)),0),"-")</f>
        <v>-</v>
      </c>
      <c r="H75" s="36" t="str">
        <f>IFERROR(
ROUNDUP(
IF(AND($U$5=FALSE,$U$4=FALSE),"-",IF(AND($U$5=TRUE,$U$4=TRUE),"-",
IF((AND($U$4=TRUE,$U$5=FALSE,$U$6=FALSE,$U$7=FALSE)),VLOOKUP($E75,'Status Thresholds'!$E:$AR,4,FALSE),IF((AND($U$4=TRUE,$U$5=FALSE,$U$6=TRUE,$U$7=FALSE)),VLOOKUP($E75,'Status Thresholds'!$E:$AR,14,FALSE),IF((AND($U$4=TRUE,$U$5=FALSE,$U$6=TRUE,$U$7=TRUE)),VLOOKUP($E75,'Status Thresholds'!$E:$AR,19,FALSE),IF((AND($U$4=TRUE,$U$5=FALSE,$U$6=FALSE,$U$7=TRUE)),VLOOKUP($E75,'Status Thresholds'!$E:$AR,9,FALSE),
IF((AND($U$4=FALSE,$U$5=TRUE,$U$6=FALSE,$U$7=FALSE)),VLOOKUP($E75,'Status Thresholds'!$E:$AR,24,FALSE),IF((AND($U$4=FALSE,$U$5=TRUE,$U$6=TRUE,$U$7=FALSE)),VLOOKUP($E75,'Status Thresholds'!$E:$AR,34,FALSE),IF((AND($U$4=FALSE,$U$5=TRUE,$U$6=TRUE,$U$7=TRUE)),VLOOKUP($E75,'Status Thresholds'!$E:$AR,39,FALSE),IF((AND($U$4=FALSE,$U$5=TRUE,$U$6=FALSE,$U$7=TRUE)),VLOOKUP($E75,'Status Thresholds'!$E:$AR,29,FALSE)))))))))
))/
IF(OR($X$5=TRUE,$AC$3=TRUE
),($F$5/2), IF(OR($X$2,$X$3,$X$4,$X$6,$X$7,$X$8,$Z$2,$Z$3,$Z$4,$Z$5,$Z$6,$Z$7,$Z$8)=TRUE,$F$5)),0),"-")</f>
        <v>-</v>
      </c>
      <c r="I75" s="36" t="str">
        <f>IFERROR(
ROUNDUP(
IF(AND($U$5=FALSE,$U$4=FALSE),"-",IF(AND($U$5=TRUE,$U$4=TRUE),"-",
IF((AND($U$4=TRUE,$U$5=FALSE,$U$6=FALSE,$U$7=FALSE)),VLOOKUP($E75,'Status Thresholds'!$E:$AR,5,FALSE),IF((AND($U$4=TRUE,$U$5=FALSE,$U$6=TRUE,$U$7=FALSE)),VLOOKUP($E75,'Status Thresholds'!$E:$AR,15,FALSE),IF((AND($U$4=TRUE,$U$5=FALSE,$U$6=TRUE,$U$7=TRUE)),VLOOKUP($E75,'Status Thresholds'!$E:$AR,20,FALSE),IF((AND($U$4=TRUE,$U$5=FALSE,$U$6=FALSE,$U$7=TRUE)),VLOOKUP($E75,'Status Thresholds'!$E:$AR,10,FALSE),
IF((AND($U$4=FALSE,$U$5=TRUE,$U$6=FALSE,$U$7=FALSE)),VLOOKUP($E75,'Status Thresholds'!$E:$AR,25,FALSE),IF((AND($U$4=FALSE,$U$5=TRUE,$U$6=TRUE,$U$7=FALSE)),VLOOKUP($E75,'Status Thresholds'!$E:$AR,35,FALSE),IF((AND($U$4=FALSE,$U$5=TRUE,$U$6=TRUE,$U$7=TRUE)),VLOOKUP($E75,'Status Thresholds'!$E:$AR,40,FALSE),IF((AND($U$4=FALSE,$U$5=TRUE,$U$6=FALSE,$U$7=TRUE)),VLOOKUP($E75,'Status Thresholds'!$E:$AR,30,FALSE)))))))))
))/
IF(OR($X$5=TRUE,$AC$3=TRUE
),($F$5/2), IF(OR($X$2,$X$3,$X$4,$X$6,$X$7,$X$8,$Z$2,$Z$3,$Z$4,$Z$5,$Z$6,$Z$7,$Z$8)=TRUE,$F$5)),0),"-")</f>
        <v>-</v>
      </c>
      <c r="J75" s="46">
        <f>IFERROR(IF(AND($U$5=FALSE,$U$4=FALSE),"-",VLOOKUP($E75,'Status Thresholds'!$E:$AU,41,FALSE)),"-")</f>
        <v>60</v>
      </c>
      <c r="K75" s="46" t="str">
        <f>IFERROR(IF(AND($U$5=FALSE,$U$4=FALSE),"-",VLOOKUP($E75,'Status Thresholds'!$E:$AU,42,FALSE)),"-")</f>
        <v>-</v>
      </c>
      <c r="L75" s="46" t="str">
        <f>IFERROR(IF(AND($U$5=FALSE,$U$4=FALSE),"-",VLOOKUP($E75,'Status Thresholds'!$E:$AU,43,FALSE)),"-")</f>
        <v>-</v>
      </c>
    </row>
    <row r="76" spans="1:12" x14ac:dyDescent="0.25">
      <c r="A76" s="35"/>
      <c r="B76" s="64" t="str">
        <f>VLOOKUP(C76,'Status Thresholds'!B:C,2,FALSE)</f>
        <v>MHGen</v>
      </c>
      <c r="C76" s="64" t="str">
        <f>IF('Status Thresholds'!B71=0, "", 'Status Thresholds'!B71)</f>
        <v>Astalos</v>
      </c>
      <c r="D76" s="10" t="s">
        <v>22</v>
      </c>
      <c r="E76" s="36" t="str">
        <f t="shared" si="0"/>
        <v>AstalosExhaust</v>
      </c>
      <c r="F76" s="36" t="str">
        <f>IFERROR(
ROUNDUP(
IF(AND($U$5=FALSE,$U$4=FALSE),"-",IF(AND($U$5=TRUE,$U$4=TRUE),"-",
IF((AND($U$4=TRUE,$U$5=FALSE,$U$6=FALSE,$U$7=FALSE)),VLOOKUP($E76,'Status Thresholds'!$E:$AR,2,FALSE),IF((AND($U$4=TRUE,$U$5=FALSE,$U$6=TRUE,$U$7=FALSE)),VLOOKUP($E76,'Status Thresholds'!$E:$AR,12,FALSE),IF((AND($U$4=TRUE,$U$5=FALSE,$U$6=TRUE,$U$7=TRUE)),VLOOKUP($E76,'Status Thresholds'!$E:$AR,17,FALSE),IF((AND($U$4=TRUE,$U$5=FALSE,$U$6=FALSE,$U$7=TRUE)),VLOOKUP($E76,'Status Thresholds'!$E:$AR,7,FALSE),
IF((AND($U$4=FALSE,$U$5=TRUE,$U$6=FALSE,$U$7=FALSE)),VLOOKUP($E76,'Status Thresholds'!$E:$AR,22,FALSE),IF((AND($U$4=FALSE,$U$5=TRUE,$U$6=TRUE,$U$7=FALSE)),VLOOKUP($E76,'Status Thresholds'!$E:$AR,32,FALSE),IF((AND($U$4=FALSE,$U$5=TRUE,$U$6=TRUE,$U$7=TRUE)),VLOOKUP($E76,'Status Thresholds'!$E:$AR,37,FALSE),IF((AND($U$4=FALSE,$U$5=TRUE,$U$6=FALSE,$U$7=TRUE)),VLOOKUP($E76,'Status Thresholds'!$E:$AR,27,FALSE)))))))))
))/
IF(OR($X$5=TRUE,$AC$3=TRUE
),($F$6/2), IF(OR($X$2,$X$3,$X$4,$X$6,$X$7,$X$8,$Z$2,$Z$3,$Z$4,$Z$5,$Z$6,$Z$7,$Z$8)=TRUE,$F$6)),0),"-")</f>
        <v>-</v>
      </c>
      <c r="G76" s="36" t="str">
        <f>IFERROR(
ROUNDUP(
IF(AND($U$5=FALSE,$U$4=FALSE),"-",IF(AND($U$5=TRUE,$U$4=TRUE),"-",
IF((AND($U$4=TRUE,$U$5=FALSE,$U$6=FALSE,$U$7=FALSE)),VLOOKUP($E76,'Status Thresholds'!$E:$AR,3,FALSE),IF((AND($U$4=TRUE,$U$5=FALSE,$U$6=TRUE,$U$7=FALSE)),VLOOKUP($E76,'Status Thresholds'!$E:$AR,13,FALSE),IF((AND($U$4=TRUE,$U$5=FALSE,$U$6=TRUE,$U$7=TRUE)),VLOOKUP($E76,'Status Thresholds'!$E:$AR,18,FALSE),IF((AND($U$4=TRUE,$U$5=FALSE,$U$6=FALSE,$U$7=TRUE)),VLOOKUP($E76,'Status Thresholds'!$E:$AR,8,FALSE),
IF((AND($U$4=FALSE,$U$5=TRUE,$U$6=FALSE,$U$7=FALSE)),VLOOKUP($E76,'Status Thresholds'!$E:$AR,23,FALSE),IF((AND($U$4=FALSE,$U$5=TRUE,$U$6=TRUE,$U$7=FALSE)),VLOOKUP($E76,'Status Thresholds'!$E:$AR,33,FALSE),IF((AND($U$4=FALSE,$U$5=TRUE,$U$6=TRUE,$U$7=TRUE)),VLOOKUP($E76,'Status Thresholds'!$E:$AR,38,FALSE),IF((AND($U$4=FALSE,$U$5=TRUE,$U$6=FALSE,$U$7=TRUE)),VLOOKUP($E76,'Status Thresholds'!$E:$AR,28,FALSE)))))))))
))/
IF(OR($X$5=TRUE,$AC$3=TRUE
),($F$6/2), IF(OR($X$2,$X$3,$X$4,$X$6,$X$7,$X$8,$Z$2,$Z$3,$Z$4,$Z$5,$Z$6,$Z$7,$Z$8)=TRUE,$F$6)),0),"-")</f>
        <v>-</v>
      </c>
      <c r="H76" s="36" t="str">
        <f>IFERROR(
ROUNDUP(
IF(AND($U$5=FALSE,$U$4=FALSE),"-",IF(AND($U$5=TRUE,$U$4=TRUE),"-",
IF((AND($U$4=TRUE,$U$5=FALSE,$U$6=FALSE,$U$7=FALSE)),VLOOKUP($E76,'Status Thresholds'!$E:$AR,4,FALSE),IF((AND($U$4=TRUE,$U$5=FALSE,$U$6=TRUE,$U$7=FALSE)),VLOOKUP($E76,'Status Thresholds'!$E:$AR,14,FALSE),IF((AND($U$4=TRUE,$U$5=FALSE,$U$6=TRUE,$U$7=TRUE)),VLOOKUP($E76,'Status Thresholds'!$E:$AR,19,FALSE),IF((AND($U$4=TRUE,$U$5=FALSE,$U$6=FALSE,$U$7=TRUE)),VLOOKUP($E76,'Status Thresholds'!$E:$AR,9,FALSE),
IF((AND($U$4=FALSE,$U$5=TRUE,$U$6=FALSE,$U$7=FALSE)),VLOOKUP($E76,'Status Thresholds'!$E:$AR,24,FALSE),IF((AND($U$4=FALSE,$U$5=TRUE,$U$6=TRUE,$U$7=FALSE)),VLOOKUP($E76,'Status Thresholds'!$E:$AR,34,FALSE),IF((AND($U$4=FALSE,$U$5=TRUE,$U$6=TRUE,$U$7=TRUE)),VLOOKUP($E76,'Status Thresholds'!$E:$AR,39,FALSE),IF((AND($U$4=FALSE,$U$5=TRUE,$U$6=FALSE,$U$7=TRUE)),VLOOKUP($E76,'Status Thresholds'!$E:$AR,29,FALSE)))))))))
))/
IF(OR($X$5=TRUE,$AC$3=TRUE
),($F$6/2), IF(OR($X$2,$X$3,$X$4,$X$6,$X$7,$X$8,$Z$2,$Z$3,$Z$4,$Z$5,$Z$6,$Z$7,$Z$8)=TRUE,$F$6)),0),"-")</f>
        <v>-</v>
      </c>
      <c r="I76" s="36" t="str">
        <f>IFERROR(
ROUNDUP(
IF(AND($U$5=FALSE,$U$4=FALSE),"-",IF(AND($U$5=TRUE,$U$4=TRUE),"-",
IF((AND($U$4=TRUE,$U$5=FALSE,$U$6=FALSE,$U$7=FALSE)),VLOOKUP($E76,'Status Thresholds'!$E:$AR,5,FALSE),IF((AND($U$4=TRUE,$U$5=FALSE,$U$6=TRUE,$U$7=FALSE)),VLOOKUP($E76,'Status Thresholds'!$E:$AR,15,FALSE),IF((AND($U$4=TRUE,$U$5=FALSE,$U$6=TRUE,$U$7=TRUE)),VLOOKUP($E76,'Status Thresholds'!$E:$AR,20,FALSE),IF((AND($U$4=TRUE,$U$5=FALSE,$U$6=FALSE,$U$7=TRUE)),VLOOKUP($E76,'Status Thresholds'!$E:$AR,10,FALSE),
IF((AND($U$4=FALSE,$U$5=TRUE,$U$6=FALSE,$U$7=FALSE)),VLOOKUP($E76,'Status Thresholds'!$E:$AR,25,FALSE),IF((AND($U$4=FALSE,$U$5=TRUE,$U$6=TRUE,$U$7=FALSE)),VLOOKUP($E76,'Status Thresholds'!$E:$AR,35,FALSE),IF((AND($U$4=FALSE,$U$5=TRUE,$U$6=TRUE,$U$7=TRUE)),VLOOKUP($E76,'Status Thresholds'!$E:$AR,40,FALSE),IF((AND($U$4=FALSE,$U$5=TRUE,$U$6=FALSE,$U$7=TRUE)),VLOOKUP($E76,'Status Thresholds'!$E:$AR,30,FALSE)))))))))
))/
IF(OR($X$5=TRUE,$AC$3=TRUE
),($F$6/2), IF(OR($X$2,$X$3,$X$4,$X$6,$X$7,$X$8,$Z$2,$Z$3,$Z$4,$Z$5,$Z$6,$Z$7,$Z$8)=TRUE,$F$6)),0),"-")</f>
        <v>-</v>
      </c>
      <c r="J76" s="46">
        <f>IFERROR(IF(AND($U$5=FALSE,$U$4=FALSE),"-",VLOOKUP($E76,'Status Thresholds'!$E:$AU,41,FALSE)),"-")</f>
        <v>0</v>
      </c>
      <c r="K76" s="46" t="str">
        <f>IFERROR(IF(AND($U$5=FALSE,$U$4=FALSE),"-",VLOOKUP($E76,'Status Thresholds'!$E:$AU,42,FALSE)),"-")</f>
        <v>-</v>
      </c>
      <c r="L76" s="46" t="str">
        <f>IFERROR(IF(AND($U$5=FALSE,$U$4=FALSE),"-",VLOOKUP($E76,'Status Thresholds'!$E:$AU,43,FALSE)),"-")</f>
        <v>-</v>
      </c>
    </row>
    <row r="77" spans="1:12" x14ac:dyDescent="0.25">
      <c r="A77" s="35"/>
      <c r="B77" s="64" t="str">
        <f>VLOOKUP(C77,'Status Thresholds'!B:C,2,FALSE)</f>
        <v>MHGen</v>
      </c>
      <c r="C77" s="64" t="str">
        <f>IF('Status Thresholds'!B72=0, "", 'Status Thresholds'!B72)</f>
        <v>Astalos</v>
      </c>
      <c r="D77" s="30" t="s">
        <v>35</v>
      </c>
      <c r="E77" s="36" t="str">
        <f t="shared" si="0"/>
        <v>AstalosBlast</v>
      </c>
      <c r="F77" s="36" t="str">
        <f>IFERROR(
ROUNDUP(
IF(AND($U$5=FALSE,$U$4=FALSE),"-",IF(AND($U$5=TRUE,$U$4=TRUE),"-",
IF((AND($U$4=TRUE,$U$5=FALSE,$U$6=FALSE,$U$7=FALSE)),VLOOKUP($E77,'Status Thresholds'!$E:$AR,2,FALSE),IF((AND($U$4=TRUE,$U$5=FALSE,$U$6=TRUE,$U$7=FALSE)),VLOOKUP($E77,'Status Thresholds'!$E:$AR,12,FALSE),IF((AND($U$4=TRUE,$U$5=FALSE,$U$6=TRUE,$U$7=TRUE)),VLOOKUP($E77,'Status Thresholds'!$E:$AR,17,FALSE),IF((AND($U$4=TRUE,$U$5=FALSE,$U$6=FALSE,$U$7=TRUE)),VLOOKUP($E77,'Status Thresholds'!$E:$AR,7,FALSE),
IF((AND($U$4=FALSE,$U$5=TRUE,$U$6=FALSE,$U$7=FALSE)),VLOOKUP($E77,'Status Thresholds'!$E:$AR,22,FALSE),IF((AND($U$4=FALSE,$U$5=TRUE,$U$6=TRUE,$U$7=FALSE)),VLOOKUP($E77,'Status Thresholds'!$E:$AR,32,FALSE),IF((AND($U$4=FALSE,$U$5=TRUE,$U$6=TRUE,$U$7=TRUE)),VLOOKUP($E77,'Status Thresholds'!$E:$AR,37,FALSE),IF((AND($U$4=FALSE,$U$5=TRUE,$U$6=FALSE,$U$7=TRUE)),VLOOKUP($E77,'Status Thresholds'!$E:$AR,27,FALSE)))))))))
))/
IF(OR($X$5=TRUE,$AC$3=TRUE
),($F$7/2), IF(OR($X$2,$X$3,$X$4,$X$6,$X$7,$X$8,$Z$2,$Z$3,$Z$4,$Z$5,$Z$6,$Z$7,$Z$8)=TRUE,$F$7)),0),"-")</f>
        <v>-</v>
      </c>
      <c r="G77" s="36" t="str">
        <f>IFERROR(
ROUNDUP(
IF(AND($U$5=FALSE,$U$4=FALSE),"-",IF(AND($U$5=TRUE,$U$4=TRUE),"-",
IF((AND($U$4=TRUE,$U$5=FALSE,$U$6=FALSE,$U$7=FALSE)),VLOOKUP($E77,'Status Thresholds'!$E:$AR,3,FALSE),IF((AND($U$4=TRUE,$U$5=FALSE,$U$6=TRUE,$U$7=FALSE)),VLOOKUP($E77,'Status Thresholds'!$E:$AR,13,FALSE),IF((AND($U$4=TRUE,$U$5=FALSE,$U$6=TRUE,$U$7=TRUE)),VLOOKUP($E77,'Status Thresholds'!$E:$AR,18,FALSE),IF((AND($U$4=TRUE,$U$5=FALSE,$U$6=FALSE,$U$7=TRUE)),VLOOKUP($E77,'Status Thresholds'!$E:$AR,8,FALSE),
IF((AND($U$4=FALSE,$U$5=TRUE,$U$6=FALSE,$U$7=FALSE)),VLOOKUP($E77,'Status Thresholds'!$E:$AR,23,FALSE),IF((AND($U$4=FALSE,$U$5=TRUE,$U$6=TRUE,$U$7=FALSE)),VLOOKUP($E77,'Status Thresholds'!$E:$AR,33,FALSE),IF((AND($U$4=FALSE,$U$5=TRUE,$U$6=TRUE,$U$7=TRUE)),VLOOKUP($E77,'Status Thresholds'!$E:$AR,38,FALSE),IF((AND($U$4=FALSE,$U$5=TRUE,$U$6=FALSE,$U$7=TRUE)),VLOOKUP($E77,'Status Thresholds'!$E:$AR,28,FALSE)))))))))
))/
IF(OR($X$5=TRUE,$AC$3=TRUE
),($F$7/2), IF(OR($X$2,$X$3,$X$4,$X$6,$X$7,$X$8,$Z$2,$Z$3,$Z$4,$Z$5,$Z$6,$Z$7,$Z$8)=TRUE,$F$7)),0),"-")</f>
        <v>-</v>
      </c>
      <c r="H77" s="36" t="str">
        <f>IFERROR(
ROUNDUP(
IF(AND($U$5=FALSE,$U$4=FALSE),"-",IF(AND($U$5=TRUE,$U$4=TRUE),"-",
IF((AND($U$4=TRUE,$U$5=FALSE,$U$6=FALSE,$U$7=FALSE)),VLOOKUP($E77,'Status Thresholds'!$E:$AR,4,FALSE),IF((AND($U$4=TRUE,$U$5=FALSE,$U$6=TRUE,$U$7=FALSE)),VLOOKUP($E77,'Status Thresholds'!$E:$AR,14,FALSE),IF((AND($U$4=TRUE,$U$5=FALSE,$U$6=TRUE,$U$7=TRUE)),VLOOKUP($E77,'Status Thresholds'!$E:$AR,19,FALSE),IF((AND($U$4=TRUE,$U$5=FALSE,$U$6=FALSE,$U$7=TRUE)),VLOOKUP($E77,'Status Thresholds'!$E:$AR,9,FALSE),
IF((AND($U$4=FALSE,$U$5=TRUE,$U$6=FALSE,$U$7=FALSE)),VLOOKUP($E77,'Status Thresholds'!$E:$AR,24,FALSE),IF((AND($U$4=FALSE,$U$5=TRUE,$U$6=TRUE,$U$7=FALSE)),VLOOKUP($E77,'Status Thresholds'!$E:$AR,34,FALSE),IF((AND($U$4=FALSE,$U$5=TRUE,$U$6=TRUE,$U$7=TRUE)),VLOOKUP($E77,'Status Thresholds'!$E:$AR,39,FALSE),IF((AND($U$4=FALSE,$U$5=TRUE,$U$6=FALSE,$U$7=TRUE)),VLOOKUP($E77,'Status Thresholds'!$E:$AR,29,FALSE)))))))))
))/
IF(OR($X$5=TRUE,$AC$3=TRUE
),($F$7/2), IF(OR($X$2,$X$3,$X$4,$X$6,$X$7,$X$8,$Z$2,$Z$3,$Z$4,$Z$5,$Z$6,$Z$7,$Z$8)=TRUE,$F$7)),0),"-")</f>
        <v>-</v>
      </c>
      <c r="I77" s="36" t="str">
        <f>IFERROR(
ROUNDUP(
IF(AND($U$5=FALSE,$U$4=FALSE),"-",IF(AND($U$5=TRUE,$U$4=TRUE),"-",
IF((AND($U$4=TRUE,$U$5=FALSE,$U$6=FALSE,$U$7=FALSE)),VLOOKUP($E77,'Status Thresholds'!$E:$AR,5,FALSE),IF((AND($U$4=TRUE,$U$5=FALSE,$U$6=TRUE,$U$7=FALSE)),VLOOKUP($E77,'Status Thresholds'!$E:$AR,15,FALSE),IF((AND($U$4=TRUE,$U$5=FALSE,$U$6=TRUE,$U$7=TRUE)),VLOOKUP($E77,'Status Thresholds'!$E:$AR,20,FALSE),IF((AND($U$4=TRUE,$U$5=FALSE,$U$6=FALSE,$U$7=TRUE)),VLOOKUP($E77,'Status Thresholds'!$E:$AR,10,FALSE),
IF((AND($U$4=FALSE,$U$5=TRUE,$U$6=FALSE,$U$7=FALSE)),VLOOKUP($E77,'Status Thresholds'!$E:$AR,25,FALSE),IF((AND($U$4=FALSE,$U$5=TRUE,$U$6=TRUE,$U$7=FALSE)),VLOOKUP($E77,'Status Thresholds'!$E:$AR,35,FALSE),IF((AND($U$4=FALSE,$U$5=TRUE,$U$6=TRUE,$U$7=TRUE)),VLOOKUP($E77,'Status Thresholds'!$E:$AR,40,FALSE),IF((AND($U$4=FALSE,$U$5=TRUE,$U$6=FALSE,$U$7=TRUE)),VLOOKUP($E77,'Status Thresholds'!$E:$AR,30,FALSE)))))))))
))/
IF(OR($X$5=TRUE,$AC$3=TRUE
),($F$7/2), IF(OR($X$2,$X$3,$X$4,$X$6,$X$7,$X$8,$Z$2,$Z$3,$Z$4,$Z$5,$Z$6,$Z$7,$Z$8)=TRUE,$F$7)),0),"-")</f>
        <v>-</v>
      </c>
      <c r="J77" s="46">
        <f>IFERROR(IF(AND($U$5=FALSE,$U$4=FALSE),"-",VLOOKUP($E77,'Status Thresholds'!$E:$AU,41,FALSE)),"-")</f>
        <v>0</v>
      </c>
      <c r="K77" s="46" t="str">
        <f>IFERROR(IF(AND($U$5=FALSE,$U$4=FALSE),"-",VLOOKUP($E77,'Status Thresholds'!$E:$AU,42,FALSE)),"-")</f>
        <v>-</v>
      </c>
      <c r="L77" s="46" t="str">
        <f>IFERROR(IF(AND($U$5=FALSE,$U$4=FALSE),"-",VLOOKUP($E77,'Status Thresholds'!$E:$AU,43,FALSE)),"-")</f>
        <v>-</v>
      </c>
    </row>
    <row r="78" spans="1:12" ht="14.45" customHeight="1" x14ac:dyDescent="0.25">
      <c r="A78" s="35"/>
      <c r="B78" s="64" t="str">
        <f>VLOOKUP(C78,'Status Thresholds'!B:C,2,FALSE)</f>
        <v>MHGen</v>
      </c>
      <c r="C78" s="64" t="str">
        <f>IF('Status Thresholds'!B73=0, "", 'Status Thresholds'!B73)</f>
        <v>Astalos</v>
      </c>
      <c r="D78" s="34" t="s">
        <v>14</v>
      </c>
      <c r="E78" s="36" t="str">
        <f t="shared" si="0"/>
        <v>AstalosKO</v>
      </c>
      <c r="F78" s="36" t="s">
        <v>214</v>
      </c>
      <c r="G78" s="36" t="s">
        <v>214</v>
      </c>
      <c r="H78" s="36" t="s">
        <v>214</v>
      </c>
      <c r="I78" s="36" t="s">
        <v>214</v>
      </c>
      <c r="J78" s="46">
        <f>IFERROR(IF(AND($U$5=FALSE,$U$4=FALSE),"-",VLOOKUP($E78,'Status Thresholds'!$E:$AU,41,FALSE)),"-")</f>
        <v>10</v>
      </c>
      <c r="K78" s="46" t="str">
        <f>IFERROR(IF(AND($U$5=FALSE,$U$4=FALSE),"-",VLOOKUP($E78,'Status Thresholds'!$E:$AU,42,FALSE)),"-")</f>
        <v>-</v>
      </c>
      <c r="L78" s="46" t="str">
        <f>IFERROR(IF(AND($U$5=FALSE,$U$4=FALSE),"-",VLOOKUP($E78,'Status Thresholds'!$E:$AU,43,FALSE)),"-")</f>
        <v>-</v>
      </c>
    </row>
    <row r="79" spans="1:12" x14ac:dyDescent="0.25">
      <c r="A79" s="35"/>
      <c r="B79" s="64" t="str">
        <f>VLOOKUP(C79,'Status Thresholds'!B:C,2,FALSE)</f>
        <v>MHGen</v>
      </c>
      <c r="C79" s="64" t="str">
        <f>IF('Status Thresholds'!B74=0, "", 'Status Thresholds'!B74)</f>
        <v>Astalos</v>
      </c>
      <c r="D79" s="33" t="s">
        <v>34</v>
      </c>
      <c r="E79" s="36" t="str">
        <f t="shared" si="0"/>
        <v>AstalosMount</v>
      </c>
      <c r="F79" s="36" t="str">
        <f>IFERROR(
ROUNDUP(
IF(AND($U$5=FALSE,$U$4=FALSE),"-",IF(AND($U$5=TRUE,$U$4=TRUE),"-",
IF((AND($U$4=TRUE,$U$5=FALSE,$U$6=FALSE,$U$7=FALSE)),VLOOKUP($E79,'Status Thresholds'!$E:$AR,2,FALSE),IF((AND($U$4=TRUE,$U$5=FALSE,$U$6=TRUE,$U$7=FALSE)),VLOOKUP($E79,'Status Thresholds'!$E:$AR,12,FALSE),IF((AND($U$4=TRUE,$U$5=FALSE,$U$6=TRUE,$U$7=TRUE)),VLOOKUP($E79,'Status Thresholds'!$E:$AR,17,FALSE),IF((AND($U$4=TRUE,$U$5=FALSE,$U$6=FALSE,$U$7=TRUE)),VLOOKUP($E79,'Status Thresholds'!$E:$AR,7,FALSE),
IF((AND($U$4=FALSE,$U$5=TRUE,$U$6=FALSE,$U$7=FALSE)),VLOOKUP($E79,'Status Thresholds'!$E:$AR,22,FALSE),IF((AND($U$4=FALSE,$U$5=TRUE,$U$6=TRUE,$U$7=FALSE)),VLOOKUP($E79,'Status Thresholds'!$E:$AR,32,FALSE),IF((AND($U$4=FALSE,$U$5=TRUE,$U$6=TRUE,$U$7=TRUE)),VLOOKUP($E79,'Status Thresholds'!$E:$AR,37,FALSE),IF((AND($U$4=FALSE,$U$5=TRUE,$U$6=FALSE,$U$7=TRUE)),VLOOKUP($E79,'Status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79" s="36" t="str">
        <f>IFERROR(
ROUNDUP(
IF(AND($U$5=FALSE,$U$4=FALSE),"-",IF(AND($U$5=TRUE,$U$4=TRUE),"-",
IF((AND($U$4=TRUE,$U$5=FALSE,$U$6=FALSE,$U$7=FALSE)),VLOOKUP($E78,'Status Thresholds'!$E:$AR,3,FALSE),IF((AND($U$4=TRUE,$U$5=FALSE,$U$6=TRUE,$U$7=FALSE)),VLOOKUP($E78,'Status Thresholds'!$E:$AR,13,FALSE),IF((AND($U$4=TRUE,$U$5=FALSE,$U$6=TRUE,$U$7=TRUE)),VLOOKUP($E78,'Status Thresholds'!$E:$AR,18,FALSE),IF((AND($U$4=TRUE,$U$5=FALSE,$U$6=FALSE,$U$7=TRUE)),VLOOKUP($E78,'Status Thresholds'!$E:$AR,8,FALSE),
IF((AND($U$4=FALSE,$U$5=TRUE,$U$6=FALSE,$U$7=FALSE)),VLOOKUP($E78,'Status Thresholds'!$E:$AR,23,FALSE),IF((AND($U$4=FALSE,$U$5=TRUE,$U$6=TRUE,$U$7=FALSE)),VLOOKUP($E78,'Status Thresholds'!$E:$AR,33,FALSE),IF((AND($U$4=FALSE,$U$5=TRUE,$U$6=TRUE,$U$7=TRUE)),VLOOKUP($E78,'Status Thresholds'!$E:$AR,38,FALSE),IF((AND($U$4=FALSE,$U$5=TRUE,$U$6=FALSE,$U$7=TRUE)),VLOOKUP($E78,'Status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79" s="36" t="str">
        <f>IFERROR(
ROUNDUP(
IF(AND($U$5=FALSE,$U$4=FALSE),"-",IF(AND($U$5=TRUE,$U$4=TRUE),"-",
IF((AND($U$4=TRUE,$U$5=FALSE,$U$6=FALSE,$U$7=FALSE)),VLOOKUP($E78,'Status Thresholds'!$E:$AR,4,FALSE),IF((AND($U$4=TRUE,$U$5=FALSE,$U$6=TRUE,$U$7=FALSE)),VLOOKUP($E78,'Status Thresholds'!$E:$AR,14,FALSE),IF((AND($U$4=TRUE,$U$5=FALSE,$U$6=TRUE,$U$7=TRUE)),VLOOKUP($E78,'Status Thresholds'!$E:$AR,19,FALSE),IF((AND($U$4=TRUE,$U$5=FALSE,$U$6=FALSE,$U$7=TRUE)),VLOOKUP($E78,'Status Thresholds'!$E:$AR,9,FALSE),
IF((AND($U$4=FALSE,$U$5=TRUE,$U$6=FALSE,$U$7=FALSE)),VLOOKUP($E78,'Status Thresholds'!$E:$AR,24,FALSE),IF((AND($U$4=FALSE,$U$5=TRUE,$U$6=TRUE,$U$7=FALSE)),VLOOKUP($E78,'Status Thresholds'!$E:$AR,34,FALSE),IF((AND($U$4=FALSE,$U$5=TRUE,$U$6=TRUE,$U$7=TRUE)),VLOOKUP($E78,'Status Thresholds'!$E:$AR,39,FALSE),IF((AND($U$4=FALSE,$U$5=TRUE,$U$6=FALSE,$U$7=TRUE)),VLOOKUP($E78,'Status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79" s="36" t="str">
        <f>IFERROR(
ROUNDUP(
IF(AND($U$5=FALSE,$U$4=FALSE),"-",IF(AND($U$5=TRUE,$U$4=TRUE),"-",
IF((AND($U$4=TRUE,$U$5=FALSE,$U$6=FALSE,$U$7=FALSE)),VLOOKUP($E78,'Status Thresholds'!$E:$AR,5,FALSE),IF((AND($U$4=TRUE,$U$5=FALSE,$U$6=TRUE,$U$7=FALSE)),VLOOKUP($E78,'Status Thresholds'!$E:$AR,15,FALSE),IF((AND($U$4=TRUE,$U$5=FALSE,$U$6=TRUE,$U$7=TRUE)),VLOOKUP($E78,'Status Thresholds'!$E:$AR,20,FALSE),IF((AND($U$4=TRUE,$U$5=FALSE,$U$6=FALSE,$U$7=TRUE)),VLOOKUP($E78,'Status Thresholds'!$E:$AR,10,FALSE),
IF((AND($U$4=FALSE,$U$5=TRUE,$U$6=FALSE,$U$7=FALSE)),VLOOKUP($E78,'Status Thresholds'!$E:$AR,25,FALSE),IF((AND($U$4=FALSE,$U$5=TRUE,$U$6=TRUE,$U$7=FALSE)),VLOOKUP($E78,'Status Thresholds'!$E:$AR,35,FALSE),IF((AND($U$4=FALSE,$U$5=TRUE,$U$6=TRUE,$U$7=TRUE)),VLOOKUP($E78,'Status Thresholds'!$E:$AR,40,FALSE),IF((AND($U$4=FALSE,$U$5=TRUE,$U$6=FALSE,$U$7=TRUE)),VLOOKUP($E78,'Status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79" s="46">
        <f>IFERROR(IF(AND($U$5=FALSE,$U$4=FALSE),"-",VLOOKUP($E79,'Status Thresholds'!$E:$AU,41,FALSE)),"-")</f>
        <v>0</v>
      </c>
      <c r="K79" s="46" t="str">
        <f>IFERROR(IF(AND($U$5=FALSE,$U$4=FALSE),"-",VLOOKUP($E79,'Status Thresholds'!$E:$AU,42,FALSE)),"-")</f>
        <v>-</v>
      </c>
      <c r="L79" s="46" t="str">
        <f>IFERROR(IF(AND($U$5=FALSE,$U$4=FALSE),"-",VLOOKUP($E79,'Status Thresholds'!$E:$AU,43,FALSE)),"-")</f>
        <v>-</v>
      </c>
    </row>
    <row r="80" spans="1:12" ht="15" customHeight="1" x14ac:dyDescent="0.25">
      <c r="A80" s="35"/>
      <c r="B80" s="64" t="str">
        <f>VLOOKUP(C80,'Status Thresholds'!B:C,2,FALSE)</f>
        <v>MHGen</v>
      </c>
      <c r="C80" s="64" t="str">
        <f>IF('Status Thresholds'!B75=0, "", 'Status Thresholds'!B75)</f>
        <v>Astalos</v>
      </c>
      <c r="D80" s="77" t="s">
        <v>207</v>
      </c>
      <c r="E80" s="36" t="str">
        <f t="shared" si="0"/>
        <v>AstalosShock Trap</v>
      </c>
      <c r="F80" s="76" t="s">
        <v>214</v>
      </c>
      <c r="G80" s="46" t="s">
        <v>214</v>
      </c>
      <c r="H80" s="46" t="s">
        <v>214</v>
      </c>
      <c r="I80" s="46" t="s">
        <v>214</v>
      </c>
      <c r="J80" s="46">
        <f>IFERROR(IF(AND($U$5=FALSE,$U$4=FALSE),"-",VLOOKUP($E80,'Status Thresholds'!$E:$AU,43,FALSE)),"-")</f>
        <v>4</v>
      </c>
      <c r="K80" s="46">
        <f>IFERROR(IF(AND($U$5=FALSE,$U$4=FALSE),"-",VLOOKUP($E80,'Status Thresholds'!$E:$AU,41,FALSE)),"-")</f>
        <v>3</v>
      </c>
      <c r="L80" s="46">
        <f>IFERROR(IF(AND($U$5=FALSE,$U$4=FALSE),"-",VLOOKUP($E80,'Status Thresholds'!$E:$AU,42,FALSE)),"-")</f>
        <v>15</v>
      </c>
    </row>
    <row r="81" spans="1:12" x14ac:dyDescent="0.25">
      <c r="A81" s="35"/>
      <c r="B81" s="64" t="str">
        <f>VLOOKUP(C81,'Status Thresholds'!B:C,2,FALSE)</f>
        <v>MHGen</v>
      </c>
      <c r="C81" s="64" t="str">
        <f>IF('Status Thresholds'!B76=0, "", 'Status Thresholds'!B76)</f>
        <v>Astalos</v>
      </c>
      <c r="D81" s="77" t="s">
        <v>213</v>
      </c>
      <c r="E81" s="36" t="str">
        <f t="shared" si="0"/>
        <v>AstalosPitfall Trap</v>
      </c>
      <c r="F81" s="46" t="s">
        <v>214</v>
      </c>
      <c r="G81" s="46" t="s">
        <v>214</v>
      </c>
      <c r="H81" s="46" t="s">
        <v>214</v>
      </c>
      <c r="I81" s="46" t="s">
        <v>214</v>
      </c>
      <c r="J81" s="46">
        <f>IFERROR(IF(AND($U$5=FALSE,$U$4=FALSE),"-",VLOOKUP($E81,'Status Thresholds'!$E:$AU,43,FALSE)),"-")</f>
        <v>12</v>
      </c>
      <c r="K81" s="46">
        <f>IFERROR(IF(AND($U$5=FALSE,$U$4=FALSE),"-",VLOOKUP($E81,'Status Thresholds'!$E:$AU,41,FALSE)),"-")</f>
        <v>12</v>
      </c>
      <c r="L81" s="46">
        <f>IFERROR(IF(AND($U$5=FALSE,$U$4=FALSE),"-",VLOOKUP($E81,'Status Thresholds'!$E:$AU,42,FALSE)),"-")</f>
        <v>25</v>
      </c>
    </row>
    <row r="82" spans="1:12" s="36" customFormat="1" x14ac:dyDescent="0.25">
      <c r="A82" s="64"/>
      <c r="B82" s="64" t="str">
        <f>VLOOKUP(C82,'Status Thresholds'!B:C,2,FALSE)</f>
        <v>MHGU</v>
      </c>
      <c r="C82" s="64" t="str">
        <f>IF('Status Thresholds'!B77=0, "", 'Status Thresholds'!B77)</f>
        <v>Barioth</v>
      </c>
      <c r="D82" s="37" t="s">
        <v>0</v>
      </c>
      <c r="E82" s="36" t="str">
        <f t="shared" si="0"/>
        <v>BariothPara</v>
      </c>
      <c r="F82" s="36" t="str">
        <f>IFERROR(
ROUNDUP(
IF(AND($U$5=FALSE,$U$4=FALSE),"-",IF(AND($U$5=TRUE,$U$4=TRUE),"-",
IF((AND($U$4=TRUE,$U$5=FALSE,$U$6=FALSE,$U$7=FALSE)),VLOOKUP($E82,'Status Thresholds'!$E:$AR,2,FALSE),IF((AND($U$4=TRUE,$U$5=FALSE,$U$6=TRUE,$U$7=FALSE)),VLOOKUP($E82,'Status Thresholds'!$E:$AR,12,FALSE),IF((AND($U$4=TRUE,$U$5=FALSE,$U$6=TRUE,$U$7=TRUE)),VLOOKUP($E82,'Status Thresholds'!$E:$AR,17,FALSE),IF((AND($U$4=TRUE,$U$5=FALSE,$U$6=FALSE,$U$7=TRUE)),VLOOKUP($E82,'Status Thresholds'!$E:$AR,7,FALSE),
IF((AND($U$4=FALSE,$U$5=TRUE,$U$6=FALSE,$U$7=FALSE)),VLOOKUP($E82,'Status Thresholds'!$E:$AR,22,FALSE),IF((AND($U$4=FALSE,$U$5=TRUE,$U$6=TRUE,$U$7=FALSE)),VLOOKUP($E82,'Status Thresholds'!$E:$AR,32,FALSE),IF((AND($U$4=FALSE,$U$5=TRUE,$U$6=TRUE,$U$7=TRUE)),VLOOKUP($E82,'Status Thresholds'!$E:$AR,37,FALSE),IF((AND($U$4=FALSE,$U$5=TRUE,$U$6=FALSE,$U$7=TRUE)),VLOOKUP($E82,'Status Thresholds'!$E:$AR,27,FALSE)))))))))
))/
IF(OR($X$5=TRUE,$AC$3=TRUE
),($F$3/2), IF(OR($X$2,$X$3,$X$4,$X$6,$X$7,$X$8,$Z$2,$Z$3,$Z$4,$Z$5,$Z$6,$Z$7,$Z$8)=TRUE,$F$3)),0),"-")</f>
        <v>-</v>
      </c>
      <c r="G82" s="36" t="str">
        <f>IFERROR(
ROUNDUP(
IF(AND($U$5=FALSE,$U$4=FALSE),"-",IF(AND($U$5=TRUE,$U$4=TRUE),"-",
IF((AND($U$4=TRUE,$U$5=FALSE,$U$6=FALSE,$U$7=FALSE)),VLOOKUP($E82,'Status Thresholds'!$E:$AR,3,FALSE),IF((AND($U$4=TRUE,$U$5=FALSE,$U$6=TRUE,$U$7=FALSE)),VLOOKUP($E82,'Status Thresholds'!$E:$AR,13,FALSE),IF((AND($U$4=TRUE,$U$5=FALSE,$U$6=TRUE,$U$7=TRUE)),VLOOKUP($E82,'Status Thresholds'!$E:$AR,18,FALSE),IF((AND($U$4=TRUE,$U$5=FALSE,$U$6=FALSE,$U$7=TRUE)),VLOOKUP($E82,'Status Thresholds'!$E:$AR,8,FALSE),
IF((AND($U$4=FALSE,$U$5=TRUE,$U$6=FALSE,$U$7=FALSE)),VLOOKUP($E82,'Status Thresholds'!$E:$AR,23,FALSE),IF((AND($U$4=FALSE,$U$5=TRUE,$U$6=TRUE,$U$7=FALSE)),VLOOKUP($E82,'Status Thresholds'!$E:$AR,33,FALSE),IF((AND($U$4=FALSE,$U$5=TRUE,$U$6=TRUE,$U$7=TRUE)),VLOOKUP($E82,'Status Thresholds'!$E:$AR,38,FALSE),IF((AND($U$4=FALSE,$U$5=TRUE,$U$6=FALSE,$U$7=TRUE)),VLOOKUP($E82,'Status Thresholds'!$E:$AR,28,FALSE)))))))))
))/
IF(OR($X$5=TRUE,$AC$3=TRUE
),($F$3/2), IF(OR($X$2,$X$3,$X$4,$X$6,$X$7,$X$8,$Z$2,$Z$3,$Z$4,$Z$5,$Z$6,$Z$7,$Z$8)=TRUE,$F$3)),0),"-")</f>
        <v>-</v>
      </c>
      <c r="H82" s="36" t="str">
        <f>IFERROR(
ROUNDUP(
IF(AND($U$5=FALSE,$U$4=FALSE),"-",IF(AND($U$5=TRUE,$U$4=TRUE),"-",
IF((AND($U$4=TRUE,$U$5=FALSE,$U$6=FALSE,$U$7=FALSE)),VLOOKUP($E82,'Status Thresholds'!$E:$AR,4,FALSE),IF((AND($U$4=TRUE,$U$5=FALSE,$U$6=TRUE,$U$7=FALSE)),VLOOKUP($E82,'Status Thresholds'!$E:$AR,14,FALSE),IF((AND($U$4=TRUE,$U$5=FALSE,$U$6=TRUE,$U$7=TRUE)),VLOOKUP($E82,'Status Thresholds'!$E:$AR,19,FALSE),IF((AND($U$4=TRUE,$U$5=FALSE,$U$6=FALSE,$U$7=TRUE)),VLOOKUP($E82,'Status Thresholds'!$E:$AR,9,FALSE),
IF((AND($U$4=FALSE,$U$5=TRUE,$U$6=FALSE,$U$7=FALSE)),VLOOKUP($E82,'Status Thresholds'!$E:$AR,24,FALSE),IF((AND($U$4=FALSE,$U$5=TRUE,$U$6=TRUE,$U$7=FALSE)),VLOOKUP($E82,'Status Thresholds'!$E:$AR,34,FALSE),IF((AND($U$4=FALSE,$U$5=TRUE,$U$6=TRUE,$U$7=TRUE)),VLOOKUP($E82,'Status Thresholds'!$E:$AR,39,FALSE),IF((AND($U$4=FALSE,$U$5=TRUE,$U$6=FALSE,$U$7=TRUE)),VLOOKUP($E82,'Status Thresholds'!$E:$AR,29,FALSE)))))))))
))/
IF(OR($X$5=TRUE,$AC$3=TRUE
),($F$3/2), IF(OR($X$2,$X$3,$X$4,$X$6,$X$7,$X$8,$Z$2,$Z$3,$Z$4,$Z$5,$Z$6,$Z$7,$Z$8)=TRUE,$F$3)),0),"-")</f>
        <v>-</v>
      </c>
      <c r="I82" s="36" t="str">
        <f>IFERROR(
ROUNDUP(
IF(AND($U$5=FALSE,$U$4=FALSE),"-",IF(AND($U$5=TRUE,$U$4=TRUE),"-",
IF((AND($U$4=TRUE,$U$5=FALSE,$U$6=FALSE,$U$7=FALSE)),VLOOKUP($E82,'Status Thresholds'!$E:$AR,5,FALSE),IF((AND($U$4=TRUE,$U$5=FALSE,$U$6=TRUE,$U$7=FALSE)),VLOOKUP($E82,'Status Thresholds'!$E:$AR,15,FALSE),IF((AND($U$4=TRUE,$U$5=FALSE,$U$6=TRUE,$U$7=TRUE)),VLOOKUP($E82,'Status Thresholds'!$E:$AR,20,FALSE),IF((AND($U$4=TRUE,$U$5=FALSE,$U$6=FALSE,$U$7=TRUE)),VLOOKUP($E82,'Status Thresholds'!$E:$AR,10,FALSE),
IF((AND($U$4=FALSE,$U$5=TRUE,$U$6=FALSE,$U$7=FALSE)),VLOOKUP($E82,'Status Thresholds'!$E:$AR,25,FALSE),IF((AND($U$4=FALSE,$U$5=TRUE,$U$6=TRUE,$U$7=FALSE)),VLOOKUP($E82,'Status Thresholds'!$E:$AR,35,FALSE),IF((AND($U$4=FALSE,$U$5=TRUE,$U$6=TRUE,$U$7=TRUE)),VLOOKUP($E82,'Status Thresholds'!$E:$AR,40,FALSE),IF((AND($U$4=FALSE,$U$5=TRUE,$U$6=FALSE,$U$7=TRUE)),VLOOKUP($E82,'Status Thresholds'!$E:$AR,30,FALSE)))))))))
))/
IF(OR($X$5=TRUE,$AC$3=TRUE
),($F$3/2), IF(OR($X$2,$X$3,$X$4,$X$6,$X$7,$X$8,$Z$2,$Z$3,$Z$4,$Z$5,$Z$6,$Z$7,$Z$8)=TRUE,$F$3)),0),"-")</f>
        <v>-</v>
      </c>
      <c r="J82" s="36">
        <f>IFERROR(IF(AND($U$5=FALSE,$U$4=FALSE),"-",VLOOKUP($E82,'Status Thresholds'!$E:$AU,41,FALSE)),"-")</f>
        <v>10</v>
      </c>
      <c r="K82" s="36" t="str">
        <f>IFERROR(IF(AND($U$5=FALSE,$U$4=FALSE),"-",VLOOKUP($E82,'Status Thresholds'!$E:$AU,42,FALSE)),"-")</f>
        <v>-</v>
      </c>
      <c r="L82" s="36" t="str">
        <f>IFERROR(IF(AND($U$5=FALSE,$U$4=FALSE),"-",VLOOKUP($E82,'Status Thresholds'!$E:$AU,43,FALSE)),"-")</f>
        <v>-</v>
      </c>
    </row>
    <row r="83" spans="1:12" x14ac:dyDescent="0.25">
      <c r="A83" s="35"/>
      <c r="B83" s="64" t="str">
        <f>VLOOKUP(C83,'Status Thresholds'!B:C,2,FALSE)</f>
        <v>MHGU</v>
      </c>
      <c r="C83" s="64" t="str">
        <f>IF('Status Thresholds'!B78=0, "", 'Status Thresholds'!B78)</f>
        <v>Barioth</v>
      </c>
      <c r="D83" s="31" t="s">
        <v>32</v>
      </c>
      <c r="E83" s="36" t="str">
        <f t="shared" si="0"/>
        <v>BariothSleep</v>
      </c>
      <c r="F83" s="36" t="str">
        <f>IFERROR(
ROUNDUP(
IF(AND($U$5=FALSE,$U$4=FALSE),"-",IF(AND($U$5=TRUE,$U$4=TRUE),"-",
IF((AND($U$4=TRUE,$U$5=FALSE,$U$6=FALSE,$U$7=FALSE)),VLOOKUP($E83,'Status Thresholds'!$E:$AR,2,FALSE),IF((AND($U$4=TRUE,$U$5=FALSE,$U$6=TRUE,$U$7=FALSE)),VLOOKUP($E83,'Status Thresholds'!$E:$AR,12,FALSE),IF((AND($U$4=TRUE,$U$5=FALSE,$U$6=TRUE,$U$7=TRUE)),VLOOKUP($E83,'Status Thresholds'!$E:$AR,17,FALSE),IF((AND($U$4=TRUE,$U$5=FALSE,$U$6=FALSE,$U$7=TRUE)),VLOOKUP($E83,'Status Thresholds'!$E:$AR,7,FALSE),
IF((AND($U$4=FALSE,$U$5=TRUE,$U$6=FALSE,$U$7=FALSE)),VLOOKUP($E83,'Status Thresholds'!$E:$AR,22,FALSE),IF((AND($U$4=FALSE,$U$5=TRUE,$U$6=TRUE,$U$7=FALSE)),VLOOKUP($E83,'Status Thresholds'!$E:$AR,32,FALSE),IF((AND($U$4=FALSE,$U$5=TRUE,$U$6=TRUE,$U$7=TRUE)),VLOOKUP($E83,'Status Thresholds'!$E:$AR,37,FALSE),IF((AND($U$4=FALSE,$U$5=TRUE,$U$6=FALSE,$U$7=TRUE)),VLOOKUP($E83,'Status Thresholds'!$E:$AR,27,FALSE)))))))))
))/
IF(OR($X$5=TRUE,$AC$3=TRUE
),($F$4/2), IF(OR($X$2,$X$3,$X$4,$X$6,$X$7,$X$8,$Z$2,$Z$3,$Z$4,$Z$5,$Z$6,$Z$7,$Z$8)=TRUE,$F$4)),0),"-")</f>
        <v>-</v>
      </c>
      <c r="G83" s="36" t="str">
        <f>IFERROR(
ROUNDUP(
IF(AND($U$5=FALSE,$U$4=FALSE),"-",IF(AND($U$5=TRUE,$U$4=TRUE),"-",
IF((AND($U$4=TRUE,$U$5=FALSE,$U$6=FALSE,$U$7=FALSE)),VLOOKUP($E83,'Status Thresholds'!$E:$AR,3,FALSE),IF((AND($U$4=TRUE,$U$5=FALSE,$U$6=TRUE,$U$7=FALSE)),VLOOKUP($E83,'Status Thresholds'!$E:$AR,13,FALSE),IF((AND($U$4=TRUE,$U$5=FALSE,$U$6=TRUE,$U$7=TRUE)),VLOOKUP($E83,'Status Thresholds'!$E:$AR,18,FALSE),IF((AND($U$4=TRUE,$U$5=FALSE,$U$6=FALSE,$U$7=TRUE)),VLOOKUP($E83,'Status Thresholds'!$E:$AR,8,FALSE),
IF((AND($U$4=FALSE,$U$5=TRUE,$U$6=FALSE,$U$7=FALSE)),VLOOKUP($E83,'Status Thresholds'!$E:$AR,23,FALSE),IF((AND($U$4=FALSE,$U$5=TRUE,$U$6=TRUE,$U$7=FALSE)),VLOOKUP($E83,'Status Thresholds'!$E:$AR,33,FALSE),IF((AND($U$4=FALSE,$U$5=TRUE,$U$6=TRUE,$U$7=TRUE)),VLOOKUP($E83,'Status Thresholds'!$E:$AR,38,FALSE),IF((AND($U$4=FALSE,$U$5=TRUE,$U$6=FALSE,$U$7=TRUE)),VLOOKUP($E83,'Status Thresholds'!$E:$AR,28,FALSE)))))))))
))/
IF(OR($X$5=TRUE,$AC$3=TRUE
),($F$4/2), IF(OR($X$2,$X$3,$X$4,$X$6,$X$7,$X$8,$Z$2,$Z$3,$Z$4,$Z$5,$Z$6,$Z$7,$Z$8)=TRUE,$F$4)),0),"-")</f>
        <v>-</v>
      </c>
      <c r="H83" s="36" t="str">
        <f>IFERROR(
ROUNDUP(
IF(AND($U$5=FALSE,$U$4=FALSE),"-",IF(AND($U$5=TRUE,$U$4=TRUE),"-",
IF((AND($U$4=TRUE,$U$5=FALSE,$U$6=FALSE,$U$7=FALSE)),VLOOKUP($E83,'Status Thresholds'!$E:$AR,4,FALSE),IF((AND($U$4=TRUE,$U$5=FALSE,$U$6=TRUE,$U$7=FALSE)),VLOOKUP($E83,'Status Thresholds'!$E:$AR,14,FALSE),IF((AND($U$4=TRUE,$U$5=FALSE,$U$6=TRUE,$U$7=TRUE)),VLOOKUP($E83,'Status Thresholds'!$E:$AR,19,FALSE),IF((AND($U$4=TRUE,$U$5=FALSE,$U$6=FALSE,$U$7=TRUE)),VLOOKUP($E83,'Status Thresholds'!$E:$AR,9,FALSE),
IF((AND($U$4=FALSE,$U$5=TRUE,$U$6=FALSE,$U$7=FALSE)),VLOOKUP($E83,'Status Thresholds'!$E:$AR,24,FALSE),IF((AND($U$4=FALSE,$U$5=TRUE,$U$6=TRUE,$U$7=FALSE)),VLOOKUP($E83,'Status Thresholds'!$E:$AR,34,FALSE),IF((AND($U$4=FALSE,$U$5=TRUE,$U$6=TRUE,$U$7=TRUE)),VLOOKUP($E83,'Status Thresholds'!$E:$AR,39,FALSE),IF((AND($U$4=FALSE,$U$5=TRUE,$U$6=FALSE,$U$7=TRUE)),VLOOKUP($E83,'Status Thresholds'!$E:$AR,29,FALSE)))))))))
))/
IF(OR($X$5=TRUE,$AC$3=TRUE
),($F$4/2), IF(OR($X$2,$X$3,$X$4,$X$6,$X$7,$X$8,$Z$2,$Z$3,$Z$4,$Z$5,$Z$6,$Z$7,$Z$8)=TRUE,$F$4)),0),"-")</f>
        <v>-</v>
      </c>
      <c r="I83" s="36" t="str">
        <f>IFERROR(
ROUNDUP(
IF(AND($U$5=FALSE,$U$4=FALSE),"-",IF(AND($U$5=TRUE,$U$4=TRUE),"-",
IF((AND($U$4=TRUE,$U$5=FALSE,$U$6=FALSE,$U$7=FALSE)),VLOOKUP($E83,'Status Thresholds'!$E:$AR,5,FALSE),IF((AND($U$4=TRUE,$U$5=FALSE,$U$6=TRUE,$U$7=FALSE)),VLOOKUP($E83,'Status Thresholds'!$E:$AR,15,FALSE),IF((AND($U$4=TRUE,$U$5=FALSE,$U$6=TRUE,$U$7=TRUE)),VLOOKUP($E83,'Status Thresholds'!$E:$AR,20,FALSE),IF((AND($U$4=TRUE,$U$5=FALSE,$U$6=FALSE,$U$7=TRUE)),VLOOKUP($E83,'Status Thresholds'!$E:$AR,10,FALSE),
IF((AND($U$4=FALSE,$U$5=TRUE,$U$6=FALSE,$U$7=FALSE)),VLOOKUP($E83,'Status Thresholds'!$E:$AR,25,FALSE),IF((AND($U$4=FALSE,$U$5=TRUE,$U$6=TRUE,$U$7=FALSE)),VLOOKUP($E83,'Status Thresholds'!$E:$AR,35,FALSE),IF((AND($U$4=FALSE,$U$5=TRUE,$U$6=TRUE,$U$7=TRUE)),VLOOKUP($E83,'Status Thresholds'!$E:$AR,40,FALSE),IF((AND($U$4=FALSE,$U$5=TRUE,$U$6=FALSE,$U$7=TRUE)),VLOOKUP($E83,'Status Thresholds'!$E:$AR,30,FALSE)))))))))
))/
IF(OR($X$5=TRUE,$AC$3=TRUE
),($F$4/2), IF(OR($X$2,$X$3,$X$4,$X$6,$X$7,$X$8,$Z$2,$Z$3,$Z$4,$Z$5,$Z$6,$Z$7,$Z$8)=TRUE,$F$4)),0),"-")</f>
        <v>-</v>
      </c>
      <c r="J83" s="46">
        <f>IFERROR(IF(AND($U$5=FALSE,$U$4=FALSE),"-",VLOOKUP($E83,'Status Thresholds'!$E:$AU,41,FALSE)),"-")</f>
        <v>30</v>
      </c>
      <c r="K83" s="46" t="str">
        <f>IFERROR(IF(AND($U$5=FALSE,$U$4=FALSE),"-",VLOOKUP($E83,'Status Thresholds'!$E:$AU,42,FALSE)),"-")</f>
        <v>-</v>
      </c>
      <c r="L83" s="46" t="str">
        <f>IFERROR(IF(AND($U$5=FALSE,$U$4=FALSE),"-",VLOOKUP($E83,'Status Thresholds'!$E:$AU,43,FALSE)),"-")</f>
        <v>-</v>
      </c>
    </row>
    <row r="84" spans="1:12" x14ac:dyDescent="0.25">
      <c r="A84" s="35"/>
      <c r="B84" s="64" t="str">
        <f>VLOOKUP(C84,'Status Thresholds'!B:C,2,FALSE)</f>
        <v>MHGU</v>
      </c>
      <c r="C84" s="64" t="str">
        <f>IF('Status Thresholds'!B79=0, "", 'Status Thresholds'!B79)</f>
        <v>Barioth</v>
      </c>
      <c r="D84" s="32" t="s">
        <v>33</v>
      </c>
      <c r="E84" s="36" t="str">
        <f t="shared" si="0"/>
        <v>BariothPoison</v>
      </c>
      <c r="F84" s="36" t="str">
        <f>IFERROR(
ROUNDUP(
IF(AND($U$5=FALSE,$U$4=FALSE),"-",IF(AND($U$5=TRUE,$U$4=TRUE),"-",
IF((AND($U$4=TRUE,$U$5=FALSE,$U$6=FALSE,$U$7=FALSE)),VLOOKUP($E84,'Status Thresholds'!$E:$AR,2,FALSE),IF((AND($U$4=TRUE,$U$5=FALSE,$U$6=TRUE,$U$7=FALSE)),VLOOKUP($E84,'Status Thresholds'!$E:$AR,12,FALSE),IF((AND($U$4=TRUE,$U$5=FALSE,$U$6=TRUE,$U$7=TRUE)),VLOOKUP($E84,'Status Thresholds'!$E:$AR,17,FALSE),IF((AND($U$4=TRUE,$U$5=FALSE,$U$6=FALSE,$U$7=TRUE)),VLOOKUP($E84,'Status Thresholds'!$E:$AR,7,FALSE),
IF((AND($U$4=FALSE,$U$5=TRUE,$U$6=FALSE,$U$7=FALSE)),VLOOKUP($E84,'Status Thresholds'!$E:$AR,22,FALSE),IF((AND($U$4=FALSE,$U$5=TRUE,$U$6=TRUE,$U$7=FALSE)),VLOOKUP($E84,'Status Thresholds'!$E:$AR,32,FALSE),IF((AND($U$4=FALSE,$U$5=TRUE,$U$6=TRUE,$U$7=TRUE)),VLOOKUP($E84,'Status Thresholds'!$E:$AR,37,FALSE),IF((AND($U$4=FALSE,$U$5=TRUE,$U$6=FALSE,$U$7=TRUE)),VLOOKUP($E84,'Status Thresholds'!$E:$AR,27,FALSE)))))))))
))/
IF(OR($X$5=TRUE,$AC$3=TRUE
),($F$5/2), IF(OR($X$2,$X$3,$X$4,$X$6,$X$7,$X$8,$Z$2,$Z$3,$Z$4,$Z$5,$Z$6,$Z$7,$Z$8)=TRUE,$F$5)),0),"-")</f>
        <v>-</v>
      </c>
      <c r="G84" s="36" t="str">
        <f>IFERROR(
ROUNDUP(
IF(AND($U$5=FALSE,$U$4=FALSE),"-",IF(AND($U$5=TRUE,$U$4=TRUE),"-",
IF((AND($U$4=TRUE,$U$5=FALSE,$U$6=FALSE,$U$7=FALSE)),VLOOKUP($E84,'Status Thresholds'!$E:$AR,3,FALSE),IF((AND($U$4=TRUE,$U$5=FALSE,$U$6=TRUE,$U$7=FALSE)),VLOOKUP($E84,'Status Thresholds'!$E:$AR,13,FALSE),IF((AND($U$4=TRUE,$U$5=FALSE,$U$6=TRUE,$U$7=TRUE)),VLOOKUP($E84,'Status Thresholds'!$E:$AR,18,FALSE),IF((AND($U$4=TRUE,$U$5=FALSE,$U$6=FALSE,$U$7=TRUE)),VLOOKUP($E84,'Status Thresholds'!$E:$AR,8,FALSE),
IF((AND($U$4=FALSE,$U$5=TRUE,$U$6=FALSE,$U$7=FALSE)),VLOOKUP($E84,'Status Thresholds'!$E:$AR,23,FALSE),IF((AND($U$4=FALSE,$U$5=TRUE,$U$6=TRUE,$U$7=FALSE)),VLOOKUP($E84,'Status Thresholds'!$E:$AR,33,FALSE),IF((AND($U$4=FALSE,$U$5=TRUE,$U$6=TRUE,$U$7=TRUE)),VLOOKUP($E84,'Status Thresholds'!$E:$AR,38,FALSE),IF((AND($U$4=FALSE,$U$5=TRUE,$U$6=FALSE,$U$7=TRUE)),VLOOKUP($E84,'Status Thresholds'!$E:$AR,28,FALSE)))))))))
))/
IF(OR($X$5=TRUE,$AC$3=TRUE
),($F$5/2), IF(OR($X$2,$X$3,$X$4,$X$6,$X$7,$X$8,$Z$2,$Z$3,$Z$4,$Z$5,$Z$6,$Z$7,$Z$8)=TRUE,$F$5)),0),"-")</f>
        <v>-</v>
      </c>
      <c r="H84" s="36" t="str">
        <f>IFERROR(
ROUNDUP(
IF(AND($U$5=FALSE,$U$4=FALSE),"-",IF(AND($U$5=TRUE,$U$4=TRUE),"-",
IF((AND($U$4=TRUE,$U$5=FALSE,$U$6=FALSE,$U$7=FALSE)),VLOOKUP($E84,'Status Thresholds'!$E:$AR,4,FALSE),IF((AND($U$4=TRUE,$U$5=FALSE,$U$6=TRUE,$U$7=FALSE)),VLOOKUP($E84,'Status Thresholds'!$E:$AR,14,FALSE),IF((AND($U$4=TRUE,$U$5=FALSE,$U$6=TRUE,$U$7=TRUE)),VLOOKUP($E84,'Status Thresholds'!$E:$AR,19,FALSE),IF((AND($U$4=TRUE,$U$5=FALSE,$U$6=FALSE,$U$7=TRUE)),VLOOKUP($E84,'Status Thresholds'!$E:$AR,9,FALSE),
IF((AND($U$4=FALSE,$U$5=TRUE,$U$6=FALSE,$U$7=FALSE)),VLOOKUP($E84,'Status Thresholds'!$E:$AR,24,FALSE),IF((AND($U$4=FALSE,$U$5=TRUE,$U$6=TRUE,$U$7=FALSE)),VLOOKUP($E84,'Status Thresholds'!$E:$AR,34,FALSE),IF((AND($U$4=FALSE,$U$5=TRUE,$U$6=TRUE,$U$7=TRUE)),VLOOKUP($E84,'Status Thresholds'!$E:$AR,39,FALSE),IF((AND($U$4=FALSE,$U$5=TRUE,$U$6=FALSE,$U$7=TRUE)),VLOOKUP($E84,'Status Thresholds'!$E:$AR,29,FALSE)))))))))
))/
IF(OR($X$5=TRUE,$AC$3=TRUE
),($F$5/2), IF(OR($X$2,$X$3,$X$4,$X$6,$X$7,$X$8,$Z$2,$Z$3,$Z$4,$Z$5,$Z$6,$Z$7,$Z$8)=TRUE,$F$5)),0),"-")</f>
        <v>-</v>
      </c>
      <c r="I84" s="36" t="str">
        <f>IFERROR(
ROUNDUP(
IF(AND($U$5=FALSE,$U$4=FALSE),"-",IF(AND($U$5=TRUE,$U$4=TRUE),"-",
IF((AND($U$4=TRUE,$U$5=FALSE,$U$6=FALSE,$U$7=FALSE)),VLOOKUP($E84,'Status Thresholds'!$E:$AR,5,FALSE),IF((AND($U$4=TRUE,$U$5=FALSE,$U$6=TRUE,$U$7=FALSE)),VLOOKUP($E84,'Status Thresholds'!$E:$AR,15,FALSE),IF((AND($U$4=TRUE,$U$5=FALSE,$U$6=TRUE,$U$7=TRUE)),VLOOKUP($E84,'Status Thresholds'!$E:$AR,20,FALSE),IF((AND($U$4=TRUE,$U$5=FALSE,$U$6=FALSE,$U$7=TRUE)),VLOOKUP($E84,'Status Thresholds'!$E:$AR,10,FALSE),
IF((AND($U$4=FALSE,$U$5=TRUE,$U$6=FALSE,$U$7=FALSE)),VLOOKUP($E84,'Status Thresholds'!$E:$AR,25,FALSE),IF((AND($U$4=FALSE,$U$5=TRUE,$U$6=TRUE,$U$7=FALSE)),VLOOKUP($E84,'Status Thresholds'!$E:$AR,35,FALSE),IF((AND($U$4=FALSE,$U$5=TRUE,$U$6=TRUE,$U$7=TRUE)),VLOOKUP($E84,'Status Thresholds'!$E:$AR,40,FALSE),IF((AND($U$4=FALSE,$U$5=TRUE,$U$6=FALSE,$U$7=TRUE)),VLOOKUP($E84,'Status Thresholds'!$E:$AR,30,FALSE)))))))))
))/
IF(OR($X$5=TRUE,$AC$3=TRUE
),($F$5/2), IF(OR($X$2,$X$3,$X$4,$X$6,$X$7,$X$8,$Z$2,$Z$3,$Z$4,$Z$5,$Z$6,$Z$7,$Z$8)=TRUE,$F$5)),0),"-")</f>
        <v>-</v>
      </c>
      <c r="J84" s="46">
        <f>IFERROR(IF(AND($U$5=FALSE,$U$4=FALSE),"-",VLOOKUP($E84,'Status Thresholds'!$E:$AU,41,FALSE)),"-")</f>
        <v>60</v>
      </c>
      <c r="K84" s="46" t="str">
        <f>IFERROR(IF(AND($U$5=FALSE,$U$4=FALSE),"-",VLOOKUP($E84,'Status Thresholds'!$E:$AU,42,FALSE)),"-")</f>
        <v>-</v>
      </c>
      <c r="L84" s="46" t="str">
        <f>IFERROR(IF(AND($U$5=FALSE,$U$4=FALSE),"-",VLOOKUP($E84,'Status Thresholds'!$E:$AU,43,FALSE)),"-")</f>
        <v>-</v>
      </c>
    </row>
    <row r="85" spans="1:12" x14ac:dyDescent="0.25">
      <c r="A85" s="35"/>
      <c r="B85" s="64" t="str">
        <f>VLOOKUP(C85,'Status Thresholds'!B:C,2,FALSE)</f>
        <v>MHGU</v>
      </c>
      <c r="C85" s="64" t="str">
        <f>IF('Status Thresholds'!B80=0, "", 'Status Thresholds'!B80)</f>
        <v>Barioth</v>
      </c>
      <c r="D85" s="10" t="s">
        <v>22</v>
      </c>
      <c r="E85" s="36" t="str">
        <f t="shared" si="0"/>
        <v>BariothExhaust</v>
      </c>
      <c r="F85" s="36" t="str">
        <f>IFERROR(
ROUNDUP(
IF(AND($U$5=FALSE,$U$4=FALSE),"-",IF(AND($U$5=TRUE,$U$4=TRUE),"-",
IF((AND($U$4=TRUE,$U$5=FALSE,$U$6=FALSE,$U$7=FALSE)),VLOOKUP($E85,'Status Thresholds'!$E:$AR,2,FALSE),IF((AND($U$4=TRUE,$U$5=FALSE,$U$6=TRUE,$U$7=FALSE)),VLOOKUP($E85,'Status Thresholds'!$E:$AR,12,FALSE),IF((AND($U$4=TRUE,$U$5=FALSE,$U$6=TRUE,$U$7=TRUE)),VLOOKUP($E85,'Status Thresholds'!$E:$AR,17,FALSE),IF((AND($U$4=TRUE,$U$5=FALSE,$U$6=FALSE,$U$7=TRUE)),VLOOKUP($E85,'Status Thresholds'!$E:$AR,7,FALSE),
IF((AND($U$4=FALSE,$U$5=TRUE,$U$6=FALSE,$U$7=FALSE)),VLOOKUP($E85,'Status Thresholds'!$E:$AR,22,FALSE),IF((AND($U$4=FALSE,$U$5=TRUE,$U$6=TRUE,$U$7=FALSE)),VLOOKUP($E85,'Status Thresholds'!$E:$AR,32,FALSE),IF((AND($U$4=FALSE,$U$5=TRUE,$U$6=TRUE,$U$7=TRUE)),VLOOKUP($E85,'Status Thresholds'!$E:$AR,37,FALSE),IF((AND($U$4=FALSE,$U$5=TRUE,$U$6=FALSE,$U$7=TRUE)),VLOOKUP($E85,'Status Thresholds'!$E:$AR,27,FALSE)))))))))
))/
IF(OR($X$5=TRUE,$AC$3=TRUE
),($F$6/2), IF(OR($X$2,$X$3,$X$4,$X$6,$X$7,$X$8,$Z$2,$Z$3,$Z$4,$Z$5,$Z$6,$Z$7,$Z$8)=TRUE,$F$6)),0),"-")</f>
        <v>-</v>
      </c>
      <c r="G85" s="36" t="str">
        <f>IFERROR(
ROUNDUP(
IF(AND($U$5=FALSE,$U$4=FALSE),"-",IF(AND($U$5=TRUE,$U$4=TRUE),"-",
IF((AND($U$4=TRUE,$U$5=FALSE,$U$6=FALSE,$U$7=FALSE)),VLOOKUP($E85,'Status Thresholds'!$E:$AR,3,FALSE),IF((AND($U$4=TRUE,$U$5=FALSE,$U$6=TRUE,$U$7=FALSE)),VLOOKUP($E85,'Status Thresholds'!$E:$AR,13,FALSE),IF((AND($U$4=TRUE,$U$5=FALSE,$U$6=TRUE,$U$7=TRUE)),VLOOKUP($E85,'Status Thresholds'!$E:$AR,18,FALSE),IF((AND($U$4=TRUE,$U$5=FALSE,$U$6=FALSE,$U$7=TRUE)),VLOOKUP($E85,'Status Thresholds'!$E:$AR,8,FALSE),
IF((AND($U$4=FALSE,$U$5=TRUE,$U$6=FALSE,$U$7=FALSE)),VLOOKUP($E85,'Status Thresholds'!$E:$AR,23,FALSE),IF((AND($U$4=FALSE,$U$5=TRUE,$U$6=TRUE,$U$7=FALSE)),VLOOKUP($E85,'Status Thresholds'!$E:$AR,33,FALSE),IF((AND($U$4=FALSE,$U$5=TRUE,$U$6=TRUE,$U$7=TRUE)),VLOOKUP($E85,'Status Thresholds'!$E:$AR,38,FALSE),IF((AND($U$4=FALSE,$U$5=TRUE,$U$6=FALSE,$U$7=TRUE)),VLOOKUP($E85,'Status Thresholds'!$E:$AR,28,FALSE)))))))))
))/
IF(OR($X$5=TRUE,$AC$3=TRUE
),($F$6/2), IF(OR($X$2,$X$3,$X$4,$X$6,$X$7,$X$8,$Z$2,$Z$3,$Z$4,$Z$5,$Z$6,$Z$7,$Z$8)=TRUE,$F$6)),0),"-")</f>
        <v>-</v>
      </c>
      <c r="H85" s="36" t="str">
        <f>IFERROR(
ROUNDUP(
IF(AND($U$5=FALSE,$U$4=FALSE),"-",IF(AND($U$5=TRUE,$U$4=TRUE),"-",
IF((AND($U$4=TRUE,$U$5=FALSE,$U$6=FALSE,$U$7=FALSE)),VLOOKUP($E85,'Status Thresholds'!$E:$AR,4,FALSE),IF((AND($U$4=TRUE,$U$5=FALSE,$U$6=TRUE,$U$7=FALSE)),VLOOKUP($E85,'Status Thresholds'!$E:$AR,14,FALSE),IF((AND($U$4=TRUE,$U$5=FALSE,$U$6=TRUE,$U$7=TRUE)),VLOOKUP($E85,'Status Thresholds'!$E:$AR,19,FALSE),IF((AND($U$4=TRUE,$U$5=FALSE,$U$6=FALSE,$U$7=TRUE)),VLOOKUP($E85,'Status Thresholds'!$E:$AR,9,FALSE),
IF((AND($U$4=FALSE,$U$5=TRUE,$U$6=FALSE,$U$7=FALSE)),VLOOKUP($E85,'Status Thresholds'!$E:$AR,24,FALSE),IF((AND($U$4=FALSE,$U$5=TRUE,$U$6=TRUE,$U$7=FALSE)),VLOOKUP($E85,'Status Thresholds'!$E:$AR,34,FALSE),IF((AND($U$4=FALSE,$U$5=TRUE,$U$6=TRUE,$U$7=TRUE)),VLOOKUP($E85,'Status Thresholds'!$E:$AR,39,FALSE),IF((AND($U$4=FALSE,$U$5=TRUE,$U$6=FALSE,$U$7=TRUE)),VLOOKUP($E85,'Status Thresholds'!$E:$AR,29,FALSE)))))))))
))/
IF(OR($X$5=TRUE,$AC$3=TRUE
),($F$6/2), IF(OR($X$2,$X$3,$X$4,$X$6,$X$7,$X$8,$Z$2,$Z$3,$Z$4,$Z$5,$Z$6,$Z$7,$Z$8)=TRUE,$F$6)),0),"-")</f>
        <v>-</v>
      </c>
      <c r="I85" s="36" t="str">
        <f>IFERROR(
ROUNDUP(
IF(AND($U$5=FALSE,$U$4=FALSE),"-",IF(AND($U$5=TRUE,$U$4=TRUE),"-",
IF((AND($U$4=TRUE,$U$5=FALSE,$U$6=FALSE,$U$7=FALSE)),VLOOKUP($E85,'Status Thresholds'!$E:$AR,5,FALSE),IF((AND($U$4=TRUE,$U$5=FALSE,$U$6=TRUE,$U$7=FALSE)),VLOOKUP($E85,'Status Thresholds'!$E:$AR,15,FALSE),IF((AND($U$4=TRUE,$U$5=FALSE,$U$6=TRUE,$U$7=TRUE)),VLOOKUP($E85,'Status Thresholds'!$E:$AR,20,FALSE),IF((AND($U$4=TRUE,$U$5=FALSE,$U$6=FALSE,$U$7=TRUE)),VLOOKUP($E85,'Status Thresholds'!$E:$AR,10,FALSE),
IF((AND($U$4=FALSE,$U$5=TRUE,$U$6=FALSE,$U$7=FALSE)),VLOOKUP($E85,'Status Thresholds'!$E:$AR,25,FALSE),IF((AND($U$4=FALSE,$U$5=TRUE,$U$6=TRUE,$U$7=FALSE)),VLOOKUP($E85,'Status Thresholds'!$E:$AR,35,FALSE),IF((AND($U$4=FALSE,$U$5=TRUE,$U$6=TRUE,$U$7=TRUE)),VLOOKUP($E85,'Status Thresholds'!$E:$AR,40,FALSE),IF((AND($U$4=FALSE,$U$5=TRUE,$U$6=FALSE,$U$7=TRUE)),VLOOKUP($E85,'Status Thresholds'!$E:$AR,30,FALSE)))))))))
))/
IF(OR($X$5=TRUE,$AC$3=TRUE
),($F$6/2), IF(OR($X$2,$X$3,$X$4,$X$6,$X$7,$X$8,$Z$2,$Z$3,$Z$4,$Z$5,$Z$6,$Z$7,$Z$8)=TRUE,$F$6)),0),"-")</f>
        <v>-</v>
      </c>
      <c r="J85" s="46">
        <f>IFERROR(IF(AND($U$5=FALSE,$U$4=FALSE),"-",VLOOKUP($E85,'Status Thresholds'!$E:$AU,41,FALSE)),"-")</f>
        <v>0</v>
      </c>
      <c r="K85" s="46" t="str">
        <f>IFERROR(IF(AND($U$5=FALSE,$U$4=FALSE),"-",VLOOKUP($E85,'Status Thresholds'!$E:$AU,42,FALSE)),"-")</f>
        <v>-</v>
      </c>
      <c r="L85" s="46" t="str">
        <f>IFERROR(IF(AND($U$5=FALSE,$U$4=FALSE),"-",VLOOKUP($E85,'Status Thresholds'!$E:$AU,43,FALSE)),"-")</f>
        <v>-</v>
      </c>
    </row>
    <row r="86" spans="1:12" x14ac:dyDescent="0.25">
      <c r="A86" s="35"/>
      <c r="B86" s="64" t="str">
        <f>VLOOKUP(C86,'Status Thresholds'!B:C,2,FALSE)</f>
        <v>MHGU</v>
      </c>
      <c r="C86" s="64" t="str">
        <f>IF('Status Thresholds'!B81=0, "", 'Status Thresholds'!B81)</f>
        <v>Barioth</v>
      </c>
      <c r="D86" s="30" t="s">
        <v>35</v>
      </c>
      <c r="E86" s="36" t="str">
        <f t="shared" si="0"/>
        <v>BariothBlast</v>
      </c>
      <c r="F86" s="36" t="str">
        <f>IFERROR(
ROUNDUP(
IF(AND($U$5=FALSE,$U$4=FALSE),"-",IF(AND($U$5=TRUE,$U$4=TRUE),"-",
IF((AND($U$4=TRUE,$U$5=FALSE,$U$6=FALSE,$U$7=FALSE)),VLOOKUP($E86,'Status Thresholds'!$E:$AR,2,FALSE),IF((AND($U$4=TRUE,$U$5=FALSE,$U$6=TRUE,$U$7=FALSE)),VLOOKUP($E86,'Status Thresholds'!$E:$AR,12,FALSE),IF((AND($U$4=TRUE,$U$5=FALSE,$U$6=TRUE,$U$7=TRUE)),VLOOKUP($E86,'Status Thresholds'!$E:$AR,17,FALSE),IF((AND($U$4=TRUE,$U$5=FALSE,$U$6=FALSE,$U$7=TRUE)),VLOOKUP($E86,'Status Thresholds'!$E:$AR,7,FALSE),
IF((AND($U$4=FALSE,$U$5=TRUE,$U$6=FALSE,$U$7=FALSE)),VLOOKUP($E86,'Status Thresholds'!$E:$AR,22,FALSE),IF((AND($U$4=FALSE,$U$5=TRUE,$U$6=TRUE,$U$7=FALSE)),VLOOKUP($E86,'Status Thresholds'!$E:$AR,32,FALSE),IF((AND($U$4=FALSE,$U$5=TRUE,$U$6=TRUE,$U$7=TRUE)),VLOOKUP($E86,'Status Thresholds'!$E:$AR,37,FALSE),IF((AND($U$4=FALSE,$U$5=TRUE,$U$6=FALSE,$U$7=TRUE)),VLOOKUP($E86,'Status Thresholds'!$E:$AR,27,FALSE)))))))))
))/
IF(OR($X$5=TRUE,$AC$3=TRUE
),($F$7/2), IF(OR($X$2,$X$3,$X$4,$X$6,$X$7,$X$8,$Z$2,$Z$3,$Z$4,$Z$5,$Z$6,$Z$7,$Z$8)=TRUE,$F$7)),0),"-")</f>
        <v>-</v>
      </c>
      <c r="G86" s="36" t="str">
        <f>IFERROR(
ROUNDUP(
IF(AND($U$5=FALSE,$U$4=FALSE),"-",IF(AND($U$5=TRUE,$U$4=TRUE),"-",
IF((AND($U$4=TRUE,$U$5=FALSE,$U$6=FALSE,$U$7=FALSE)),VLOOKUP($E86,'Status Thresholds'!$E:$AR,3,FALSE),IF((AND($U$4=TRUE,$U$5=FALSE,$U$6=TRUE,$U$7=FALSE)),VLOOKUP($E86,'Status Thresholds'!$E:$AR,13,FALSE),IF((AND($U$4=TRUE,$U$5=FALSE,$U$6=TRUE,$U$7=TRUE)),VLOOKUP($E86,'Status Thresholds'!$E:$AR,18,FALSE),IF((AND($U$4=TRUE,$U$5=FALSE,$U$6=FALSE,$U$7=TRUE)),VLOOKUP($E86,'Status Thresholds'!$E:$AR,8,FALSE),
IF((AND($U$4=FALSE,$U$5=TRUE,$U$6=FALSE,$U$7=FALSE)),VLOOKUP($E86,'Status Thresholds'!$E:$AR,23,FALSE),IF((AND($U$4=FALSE,$U$5=TRUE,$U$6=TRUE,$U$7=FALSE)),VLOOKUP($E86,'Status Thresholds'!$E:$AR,33,FALSE),IF((AND($U$4=FALSE,$U$5=TRUE,$U$6=TRUE,$U$7=TRUE)),VLOOKUP($E86,'Status Thresholds'!$E:$AR,38,FALSE),IF((AND($U$4=FALSE,$U$5=TRUE,$U$6=FALSE,$U$7=TRUE)),VLOOKUP($E86,'Status Thresholds'!$E:$AR,28,FALSE)))))))))
))/
IF(OR($X$5=TRUE,$AC$3=TRUE
),($F$7/2), IF(OR($X$2,$X$3,$X$4,$X$6,$X$7,$X$8,$Z$2,$Z$3,$Z$4,$Z$5,$Z$6,$Z$7,$Z$8)=TRUE,$F$7)),0),"-")</f>
        <v>-</v>
      </c>
      <c r="H86" s="36" t="str">
        <f>IFERROR(
ROUNDUP(
IF(AND($U$5=FALSE,$U$4=FALSE),"-",IF(AND($U$5=TRUE,$U$4=TRUE),"-",
IF((AND($U$4=TRUE,$U$5=FALSE,$U$6=FALSE,$U$7=FALSE)),VLOOKUP($E86,'Status Thresholds'!$E:$AR,4,FALSE),IF((AND($U$4=TRUE,$U$5=FALSE,$U$6=TRUE,$U$7=FALSE)),VLOOKUP($E86,'Status Thresholds'!$E:$AR,14,FALSE),IF((AND($U$4=TRUE,$U$5=FALSE,$U$6=TRUE,$U$7=TRUE)),VLOOKUP($E86,'Status Thresholds'!$E:$AR,19,FALSE),IF((AND($U$4=TRUE,$U$5=FALSE,$U$6=FALSE,$U$7=TRUE)),VLOOKUP($E86,'Status Thresholds'!$E:$AR,9,FALSE),
IF((AND($U$4=FALSE,$U$5=TRUE,$U$6=FALSE,$U$7=FALSE)),VLOOKUP($E86,'Status Thresholds'!$E:$AR,24,FALSE),IF((AND($U$4=FALSE,$U$5=TRUE,$U$6=TRUE,$U$7=FALSE)),VLOOKUP($E86,'Status Thresholds'!$E:$AR,34,FALSE),IF((AND($U$4=FALSE,$U$5=TRUE,$U$6=TRUE,$U$7=TRUE)),VLOOKUP($E86,'Status Thresholds'!$E:$AR,39,FALSE),IF((AND($U$4=FALSE,$U$5=TRUE,$U$6=FALSE,$U$7=TRUE)),VLOOKUP($E86,'Status Thresholds'!$E:$AR,29,FALSE)))))))))
))/
IF(OR($X$5=TRUE,$AC$3=TRUE
),($F$7/2), IF(OR($X$2,$X$3,$X$4,$X$6,$X$7,$X$8,$Z$2,$Z$3,$Z$4,$Z$5,$Z$6,$Z$7,$Z$8)=TRUE,$F$7)),0),"-")</f>
        <v>-</v>
      </c>
      <c r="I86" s="36" t="str">
        <f>IFERROR(
ROUNDUP(
IF(AND($U$5=FALSE,$U$4=FALSE),"-",IF(AND($U$5=TRUE,$U$4=TRUE),"-",
IF((AND($U$4=TRUE,$U$5=FALSE,$U$6=FALSE,$U$7=FALSE)),VLOOKUP($E86,'Status Thresholds'!$E:$AR,5,FALSE),IF((AND($U$4=TRUE,$U$5=FALSE,$U$6=TRUE,$U$7=FALSE)),VLOOKUP($E86,'Status Thresholds'!$E:$AR,15,FALSE),IF((AND($U$4=TRUE,$U$5=FALSE,$U$6=TRUE,$U$7=TRUE)),VLOOKUP($E86,'Status Thresholds'!$E:$AR,20,FALSE),IF((AND($U$4=TRUE,$U$5=FALSE,$U$6=FALSE,$U$7=TRUE)),VLOOKUP($E86,'Status Thresholds'!$E:$AR,10,FALSE),
IF((AND($U$4=FALSE,$U$5=TRUE,$U$6=FALSE,$U$7=FALSE)),VLOOKUP($E86,'Status Thresholds'!$E:$AR,25,FALSE),IF((AND($U$4=FALSE,$U$5=TRUE,$U$6=TRUE,$U$7=FALSE)),VLOOKUP($E86,'Status Thresholds'!$E:$AR,35,FALSE),IF((AND($U$4=FALSE,$U$5=TRUE,$U$6=TRUE,$U$7=TRUE)),VLOOKUP($E86,'Status Thresholds'!$E:$AR,40,FALSE),IF((AND($U$4=FALSE,$U$5=TRUE,$U$6=FALSE,$U$7=TRUE)),VLOOKUP($E86,'Status Thresholds'!$E:$AR,30,FALSE)))))))))
))/
IF(OR($X$5=TRUE,$AC$3=TRUE
),($F$7/2), IF(OR($X$2,$X$3,$X$4,$X$6,$X$7,$X$8,$Z$2,$Z$3,$Z$4,$Z$5,$Z$6,$Z$7,$Z$8)=TRUE,$F$7)),0),"-")</f>
        <v>-</v>
      </c>
      <c r="J86" s="46">
        <f>IFERROR(IF(AND($U$5=FALSE,$U$4=FALSE),"-",VLOOKUP($E86,'Status Thresholds'!$E:$AU,41,FALSE)),"-")</f>
        <v>0</v>
      </c>
      <c r="K86" s="46" t="str">
        <f>IFERROR(IF(AND($U$5=FALSE,$U$4=FALSE),"-",VLOOKUP($E86,'Status Thresholds'!$E:$AU,42,FALSE)),"-")</f>
        <v>-</v>
      </c>
      <c r="L86" s="46" t="str">
        <f>IFERROR(IF(AND($U$5=FALSE,$U$4=FALSE),"-",VLOOKUP($E86,'Status Thresholds'!$E:$AU,43,FALSE)),"-")</f>
        <v>-</v>
      </c>
    </row>
    <row r="87" spans="1:12" ht="14.45" customHeight="1" x14ac:dyDescent="0.25">
      <c r="A87" s="35"/>
      <c r="B87" s="64" t="str">
        <f>VLOOKUP(C87,'Status Thresholds'!B:C,2,FALSE)</f>
        <v>MHGU</v>
      </c>
      <c r="C87" s="64" t="str">
        <f>IF('Status Thresholds'!B82=0, "", 'Status Thresholds'!B82)</f>
        <v>Barioth</v>
      </c>
      <c r="D87" s="34" t="s">
        <v>14</v>
      </c>
      <c r="E87" s="36" t="str">
        <f t="shared" si="0"/>
        <v>BariothKO</v>
      </c>
      <c r="F87" s="36" t="s">
        <v>214</v>
      </c>
      <c r="G87" s="36" t="s">
        <v>214</v>
      </c>
      <c r="H87" s="36" t="s">
        <v>214</v>
      </c>
      <c r="I87" s="36" t="s">
        <v>214</v>
      </c>
      <c r="J87" s="46">
        <f>IFERROR(IF(AND($U$5=FALSE,$U$4=FALSE),"-",VLOOKUP($E87,'Status Thresholds'!$E:$AU,41,FALSE)),"-")</f>
        <v>10</v>
      </c>
      <c r="K87" s="46" t="str">
        <f>IFERROR(IF(AND($U$5=FALSE,$U$4=FALSE),"-",VLOOKUP($E87,'Status Thresholds'!$E:$AU,42,FALSE)),"-")</f>
        <v>-</v>
      </c>
      <c r="L87" s="46" t="str">
        <f>IFERROR(IF(AND($U$5=FALSE,$U$4=FALSE),"-",VLOOKUP($E87,'Status Thresholds'!$E:$AU,43,FALSE)),"-")</f>
        <v>-</v>
      </c>
    </row>
    <row r="88" spans="1:12" x14ac:dyDescent="0.25">
      <c r="A88" s="35"/>
      <c r="B88" s="64" t="str">
        <f>VLOOKUP(C88,'Status Thresholds'!B:C,2,FALSE)</f>
        <v>MHGU</v>
      </c>
      <c r="C88" s="64" t="str">
        <f>IF('Status Thresholds'!B83=0, "", 'Status Thresholds'!B83)</f>
        <v>Barioth</v>
      </c>
      <c r="D88" s="33" t="s">
        <v>34</v>
      </c>
      <c r="E88" s="36" t="str">
        <f t="shared" si="0"/>
        <v>BariothMount</v>
      </c>
      <c r="F88" s="36" t="str">
        <f>IFERROR(
ROUNDUP(
IF(AND($U$5=FALSE,$U$4=FALSE),"-",IF(AND($U$5=TRUE,$U$4=TRUE),"-",
IF((AND($U$4=TRUE,$U$5=FALSE,$U$6=FALSE,$U$7=FALSE)),VLOOKUP($E88,'Status Thresholds'!$E:$AR,2,FALSE),IF((AND($U$4=TRUE,$U$5=FALSE,$U$6=TRUE,$U$7=FALSE)),VLOOKUP($E88,'Status Thresholds'!$E:$AR,12,FALSE),IF((AND($U$4=TRUE,$U$5=FALSE,$U$6=TRUE,$U$7=TRUE)),VLOOKUP($E88,'Status Thresholds'!$E:$AR,17,FALSE),IF((AND($U$4=TRUE,$U$5=FALSE,$U$6=FALSE,$U$7=TRUE)),VLOOKUP($E88,'Status Thresholds'!$E:$AR,7,FALSE),
IF((AND($U$4=FALSE,$U$5=TRUE,$U$6=FALSE,$U$7=FALSE)),VLOOKUP($E88,'Status Thresholds'!$E:$AR,22,FALSE),IF((AND($U$4=FALSE,$U$5=TRUE,$U$6=TRUE,$U$7=FALSE)),VLOOKUP($E88,'Status Thresholds'!$E:$AR,32,FALSE),IF((AND($U$4=FALSE,$U$5=TRUE,$U$6=TRUE,$U$7=TRUE)),VLOOKUP($E88,'Status Thresholds'!$E:$AR,37,FALSE),IF((AND($U$4=FALSE,$U$5=TRUE,$U$6=FALSE,$U$7=TRUE)),VLOOKUP($E88,'Status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88" s="36" t="str">
        <f>IFERROR(
ROUNDUP(
IF(AND($U$5=FALSE,$U$4=FALSE),"-",IF(AND($U$5=TRUE,$U$4=TRUE),"-",
IF((AND($U$4=TRUE,$U$5=FALSE,$U$6=FALSE,$U$7=FALSE)),VLOOKUP($E87,'Status Thresholds'!$E:$AR,3,FALSE),IF((AND($U$4=TRUE,$U$5=FALSE,$U$6=TRUE,$U$7=FALSE)),VLOOKUP($E87,'Status Thresholds'!$E:$AR,13,FALSE),IF((AND($U$4=TRUE,$U$5=FALSE,$U$6=TRUE,$U$7=TRUE)),VLOOKUP($E87,'Status Thresholds'!$E:$AR,18,FALSE),IF((AND($U$4=TRUE,$U$5=FALSE,$U$6=FALSE,$U$7=TRUE)),VLOOKUP($E87,'Status Thresholds'!$E:$AR,8,FALSE),
IF((AND($U$4=FALSE,$U$5=TRUE,$U$6=FALSE,$U$7=FALSE)),VLOOKUP($E87,'Status Thresholds'!$E:$AR,23,FALSE),IF((AND($U$4=FALSE,$U$5=TRUE,$U$6=TRUE,$U$7=FALSE)),VLOOKUP($E87,'Status Thresholds'!$E:$AR,33,FALSE),IF((AND($U$4=FALSE,$U$5=TRUE,$U$6=TRUE,$U$7=TRUE)),VLOOKUP($E87,'Status Thresholds'!$E:$AR,38,FALSE),IF((AND($U$4=FALSE,$U$5=TRUE,$U$6=FALSE,$U$7=TRUE)),VLOOKUP($E87,'Status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88" s="36" t="str">
        <f>IFERROR(
ROUNDUP(
IF(AND($U$5=FALSE,$U$4=FALSE),"-",IF(AND($U$5=TRUE,$U$4=TRUE),"-",
IF((AND($U$4=TRUE,$U$5=FALSE,$U$6=FALSE,$U$7=FALSE)),VLOOKUP($E87,'Status Thresholds'!$E:$AR,4,FALSE),IF((AND($U$4=TRUE,$U$5=FALSE,$U$6=TRUE,$U$7=FALSE)),VLOOKUP($E87,'Status Thresholds'!$E:$AR,14,FALSE),IF((AND($U$4=TRUE,$U$5=FALSE,$U$6=TRUE,$U$7=TRUE)),VLOOKUP($E87,'Status Thresholds'!$E:$AR,19,FALSE),IF((AND($U$4=TRUE,$U$5=FALSE,$U$6=FALSE,$U$7=TRUE)),VLOOKUP($E87,'Status Thresholds'!$E:$AR,9,FALSE),
IF((AND($U$4=FALSE,$U$5=TRUE,$U$6=FALSE,$U$7=FALSE)),VLOOKUP($E87,'Status Thresholds'!$E:$AR,24,FALSE),IF((AND($U$4=FALSE,$U$5=TRUE,$U$6=TRUE,$U$7=FALSE)),VLOOKUP($E87,'Status Thresholds'!$E:$AR,34,FALSE),IF((AND($U$4=FALSE,$U$5=TRUE,$U$6=TRUE,$U$7=TRUE)),VLOOKUP($E87,'Status Thresholds'!$E:$AR,39,FALSE),IF((AND($U$4=FALSE,$U$5=TRUE,$U$6=FALSE,$U$7=TRUE)),VLOOKUP($E87,'Status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88" s="36" t="str">
        <f>IFERROR(
ROUNDUP(
IF(AND($U$5=FALSE,$U$4=FALSE),"-",IF(AND($U$5=TRUE,$U$4=TRUE),"-",
IF((AND($U$4=TRUE,$U$5=FALSE,$U$6=FALSE,$U$7=FALSE)),VLOOKUP($E87,'Status Thresholds'!$E:$AR,5,FALSE),IF((AND($U$4=TRUE,$U$5=FALSE,$U$6=TRUE,$U$7=FALSE)),VLOOKUP($E87,'Status Thresholds'!$E:$AR,15,FALSE),IF((AND($U$4=TRUE,$U$5=FALSE,$U$6=TRUE,$U$7=TRUE)),VLOOKUP($E87,'Status Thresholds'!$E:$AR,20,FALSE),IF((AND($U$4=TRUE,$U$5=FALSE,$U$6=FALSE,$U$7=TRUE)),VLOOKUP($E87,'Status Thresholds'!$E:$AR,10,FALSE),
IF((AND($U$4=FALSE,$U$5=TRUE,$U$6=FALSE,$U$7=FALSE)),VLOOKUP($E87,'Status Thresholds'!$E:$AR,25,FALSE),IF((AND($U$4=FALSE,$U$5=TRUE,$U$6=TRUE,$U$7=FALSE)),VLOOKUP($E87,'Status Thresholds'!$E:$AR,35,FALSE),IF((AND($U$4=FALSE,$U$5=TRUE,$U$6=TRUE,$U$7=TRUE)),VLOOKUP($E87,'Status Thresholds'!$E:$AR,40,FALSE),IF((AND($U$4=FALSE,$U$5=TRUE,$U$6=FALSE,$U$7=TRUE)),VLOOKUP($E87,'Status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88" s="46">
        <f>IFERROR(IF(AND($U$5=FALSE,$U$4=FALSE),"-",VLOOKUP($E88,'Status Thresholds'!$E:$AU,41,FALSE)),"-")</f>
        <v>0</v>
      </c>
      <c r="K88" s="46" t="str">
        <f>IFERROR(IF(AND($U$5=FALSE,$U$4=FALSE),"-",VLOOKUP($E88,'Status Thresholds'!$E:$AU,42,FALSE)),"-")</f>
        <v>-</v>
      </c>
      <c r="L88" s="46" t="str">
        <f>IFERROR(IF(AND($U$5=FALSE,$U$4=FALSE),"-",VLOOKUP($E88,'Status Thresholds'!$E:$AU,43,FALSE)),"-")</f>
        <v>-</v>
      </c>
    </row>
    <row r="89" spans="1:12" ht="15" customHeight="1" x14ac:dyDescent="0.25">
      <c r="A89" s="35"/>
      <c r="B89" s="64" t="str">
        <f>VLOOKUP(C89,'Status Thresholds'!B:C,2,FALSE)</f>
        <v>MHGU</v>
      </c>
      <c r="C89" s="64" t="str">
        <f>IF('Status Thresholds'!B84=0, "", 'Status Thresholds'!B84)</f>
        <v>Barioth</v>
      </c>
      <c r="D89" s="77" t="s">
        <v>207</v>
      </c>
      <c r="E89" s="36" t="str">
        <f t="shared" si="0"/>
        <v>BariothShock Trap</v>
      </c>
      <c r="F89" s="76" t="s">
        <v>214</v>
      </c>
      <c r="G89" s="46" t="s">
        <v>214</v>
      </c>
      <c r="H89" s="46" t="s">
        <v>214</v>
      </c>
      <c r="I89" s="46" t="s">
        <v>214</v>
      </c>
      <c r="J89" s="46">
        <f>IFERROR(IF(AND($U$5=FALSE,$U$4=FALSE),"-",VLOOKUP($E89,'Status Thresholds'!$E:$AU,43,FALSE)),"-")</f>
        <v>0</v>
      </c>
      <c r="K89" s="46">
        <f>IFERROR(IF(AND($U$5=FALSE,$U$4=FALSE),"-",VLOOKUP($E89,'Status Thresholds'!$E:$AU,41,FALSE)),"-")</f>
        <v>0</v>
      </c>
      <c r="L89" s="46">
        <f>IFERROR(IF(AND($U$5=FALSE,$U$4=FALSE),"-",VLOOKUP($E89,'Status Thresholds'!$E:$AU,42,FALSE)),"-")</f>
        <v>0</v>
      </c>
    </row>
    <row r="90" spans="1:12" x14ac:dyDescent="0.25">
      <c r="A90" s="35"/>
      <c r="B90" s="64" t="str">
        <f>VLOOKUP(C90,'Status Thresholds'!B:C,2,FALSE)</f>
        <v>MHGU</v>
      </c>
      <c r="C90" s="64" t="str">
        <f>IF('Status Thresholds'!B85=0, "", 'Status Thresholds'!B85)</f>
        <v>Barioth</v>
      </c>
      <c r="D90" s="77" t="s">
        <v>213</v>
      </c>
      <c r="E90" s="36" t="str">
        <f t="shared" si="0"/>
        <v>BariothPitfall Trap</v>
      </c>
      <c r="F90" s="46" t="s">
        <v>214</v>
      </c>
      <c r="G90" s="46" t="s">
        <v>214</v>
      </c>
      <c r="H90" s="46" t="s">
        <v>214</v>
      </c>
      <c r="I90" s="46" t="s">
        <v>214</v>
      </c>
      <c r="J90" s="46">
        <f>IFERROR(IF(AND($U$5=FALSE,$U$4=FALSE),"-",VLOOKUP($E90,'Status Thresholds'!$E:$AU,43,FALSE)),"-")</f>
        <v>0</v>
      </c>
      <c r="K90" s="46">
        <f>IFERROR(IF(AND($U$5=FALSE,$U$4=FALSE),"-",VLOOKUP($E90,'Status Thresholds'!$E:$AU,41,FALSE)),"-")</f>
        <v>0</v>
      </c>
      <c r="L90" s="46">
        <f>IFERROR(IF(AND($U$5=FALSE,$U$4=FALSE),"-",VLOOKUP($E90,'Status Thresholds'!$E:$AU,42,FALSE)),"-")</f>
        <v>0</v>
      </c>
    </row>
    <row r="91" spans="1:12" s="36" customFormat="1" x14ac:dyDescent="0.25">
      <c r="A91" s="64"/>
      <c r="B91" s="64" t="str">
        <f>VLOOKUP(C91,'Status Thresholds'!B:C,2,FALSE)</f>
        <v>MHGU</v>
      </c>
      <c r="C91" s="64" t="str">
        <f>IF('Status Thresholds'!B86=0, "", 'Status Thresholds'!B86)</f>
        <v>Barroth</v>
      </c>
      <c r="D91" s="37" t="s">
        <v>0</v>
      </c>
      <c r="E91" s="36" t="str">
        <f t="shared" si="0"/>
        <v>BarrothPara</v>
      </c>
      <c r="F91" s="36" t="str">
        <f>IFERROR(
ROUNDUP(
IF(AND($U$5=FALSE,$U$4=FALSE),"-",IF(AND($U$5=TRUE,$U$4=TRUE),"-",
IF((AND($U$4=TRUE,$U$5=FALSE,$U$6=FALSE,$U$7=FALSE)),VLOOKUP($E91,'Status Thresholds'!$E:$AR,2,FALSE),IF((AND($U$4=TRUE,$U$5=FALSE,$U$6=TRUE,$U$7=FALSE)),VLOOKUP($E91,'Status Thresholds'!$E:$AR,12,FALSE),IF((AND($U$4=TRUE,$U$5=FALSE,$U$6=TRUE,$U$7=TRUE)),VLOOKUP($E91,'Status Thresholds'!$E:$AR,17,FALSE),IF((AND($U$4=TRUE,$U$5=FALSE,$U$6=FALSE,$U$7=TRUE)),VLOOKUP($E91,'Status Thresholds'!$E:$AR,7,FALSE),
IF((AND($U$4=FALSE,$U$5=TRUE,$U$6=FALSE,$U$7=FALSE)),VLOOKUP($E91,'Status Thresholds'!$E:$AR,22,FALSE),IF((AND($U$4=FALSE,$U$5=TRUE,$U$6=TRUE,$U$7=FALSE)),VLOOKUP($E91,'Status Thresholds'!$E:$AR,32,FALSE),IF((AND($U$4=FALSE,$U$5=TRUE,$U$6=TRUE,$U$7=TRUE)),VLOOKUP($E91,'Status Thresholds'!$E:$AR,37,FALSE),IF((AND($U$4=FALSE,$U$5=TRUE,$U$6=FALSE,$U$7=TRUE)),VLOOKUP($E91,'Status Thresholds'!$E:$AR,27,FALSE)))))))))
))/
IF(OR($X$5=TRUE,$AC$3=TRUE
),($F$3/2), IF(OR($X$2,$X$3,$X$4,$X$6,$X$7,$X$8,$Z$2,$Z$3,$Z$4,$Z$5,$Z$6,$Z$7,$Z$8)=TRUE,$F$3)),0),"-")</f>
        <v>-</v>
      </c>
      <c r="G91" s="36" t="str">
        <f>IFERROR(
ROUNDUP(
IF(AND($U$5=FALSE,$U$4=FALSE),"-",IF(AND($U$5=TRUE,$U$4=TRUE),"-",
IF((AND($U$4=TRUE,$U$5=FALSE,$U$6=FALSE,$U$7=FALSE)),VLOOKUP($E91,'Status Thresholds'!$E:$AR,3,FALSE),IF((AND($U$4=TRUE,$U$5=FALSE,$U$6=TRUE,$U$7=FALSE)),VLOOKUP($E91,'Status Thresholds'!$E:$AR,13,FALSE),IF((AND($U$4=TRUE,$U$5=FALSE,$U$6=TRUE,$U$7=TRUE)),VLOOKUP($E91,'Status Thresholds'!$E:$AR,18,FALSE),IF((AND($U$4=TRUE,$U$5=FALSE,$U$6=FALSE,$U$7=TRUE)),VLOOKUP($E91,'Status Thresholds'!$E:$AR,8,FALSE),
IF((AND($U$4=FALSE,$U$5=TRUE,$U$6=FALSE,$U$7=FALSE)),VLOOKUP($E91,'Status Thresholds'!$E:$AR,23,FALSE),IF((AND($U$4=FALSE,$U$5=TRUE,$U$6=TRUE,$U$7=FALSE)),VLOOKUP($E91,'Status Thresholds'!$E:$AR,33,FALSE),IF((AND($U$4=FALSE,$U$5=TRUE,$U$6=TRUE,$U$7=TRUE)),VLOOKUP($E91,'Status Thresholds'!$E:$AR,38,FALSE),IF((AND($U$4=FALSE,$U$5=TRUE,$U$6=FALSE,$U$7=TRUE)),VLOOKUP($E91,'Status Thresholds'!$E:$AR,28,FALSE)))))))))
))/
IF(OR($X$5=TRUE,$AC$3=TRUE
),($F$3/2), IF(OR($X$2,$X$3,$X$4,$X$6,$X$7,$X$8,$Z$2,$Z$3,$Z$4,$Z$5,$Z$6,$Z$7,$Z$8)=TRUE,$F$3)),0),"-")</f>
        <v>-</v>
      </c>
      <c r="H91" s="36" t="str">
        <f>IFERROR(
ROUNDUP(
IF(AND($U$5=FALSE,$U$4=FALSE),"-",IF(AND($U$5=TRUE,$U$4=TRUE),"-",
IF((AND($U$4=TRUE,$U$5=FALSE,$U$6=FALSE,$U$7=FALSE)),VLOOKUP($E91,'Status Thresholds'!$E:$AR,4,FALSE),IF((AND($U$4=TRUE,$U$5=FALSE,$U$6=TRUE,$U$7=FALSE)),VLOOKUP($E91,'Status Thresholds'!$E:$AR,14,FALSE),IF((AND($U$4=TRUE,$U$5=FALSE,$U$6=TRUE,$U$7=TRUE)),VLOOKUP($E91,'Status Thresholds'!$E:$AR,19,FALSE),IF((AND($U$4=TRUE,$U$5=FALSE,$U$6=FALSE,$U$7=TRUE)),VLOOKUP($E91,'Status Thresholds'!$E:$AR,9,FALSE),
IF((AND($U$4=FALSE,$U$5=TRUE,$U$6=FALSE,$U$7=FALSE)),VLOOKUP($E91,'Status Thresholds'!$E:$AR,24,FALSE),IF((AND($U$4=FALSE,$U$5=TRUE,$U$6=TRUE,$U$7=FALSE)),VLOOKUP($E91,'Status Thresholds'!$E:$AR,34,FALSE),IF((AND($U$4=FALSE,$U$5=TRUE,$U$6=TRUE,$U$7=TRUE)),VLOOKUP($E91,'Status Thresholds'!$E:$AR,39,FALSE),IF((AND($U$4=FALSE,$U$5=TRUE,$U$6=FALSE,$U$7=TRUE)),VLOOKUP($E91,'Status Thresholds'!$E:$AR,29,FALSE)))))))))
))/
IF(OR($X$5=TRUE,$AC$3=TRUE
),($F$3/2), IF(OR($X$2,$X$3,$X$4,$X$6,$X$7,$X$8,$Z$2,$Z$3,$Z$4,$Z$5,$Z$6,$Z$7,$Z$8)=TRUE,$F$3)),0),"-")</f>
        <v>-</v>
      </c>
      <c r="I91" s="36" t="str">
        <f>IFERROR(
ROUNDUP(
IF(AND($U$5=FALSE,$U$4=FALSE),"-",IF(AND($U$5=TRUE,$U$4=TRUE),"-",
IF((AND($U$4=TRUE,$U$5=FALSE,$U$6=FALSE,$U$7=FALSE)),VLOOKUP($E91,'Status Thresholds'!$E:$AR,5,FALSE),IF((AND($U$4=TRUE,$U$5=FALSE,$U$6=TRUE,$U$7=FALSE)),VLOOKUP($E91,'Status Thresholds'!$E:$AR,15,FALSE),IF((AND($U$4=TRUE,$U$5=FALSE,$U$6=TRUE,$U$7=TRUE)),VLOOKUP($E91,'Status Thresholds'!$E:$AR,20,FALSE),IF((AND($U$4=TRUE,$U$5=FALSE,$U$6=FALSE,$U$7=TRUE)),VLOOKUP($E91,'Status Thresholds'!$E:$AR,10,FALSE),
IF((AND($U$4=FALSE,$U$5=TRUE,$U$6=FALSE,$U$7=FALSE)),VLOOKUP($E91,'Status Thresholds'!$E:$AR,25,FALSE),IF((AND($U$4=FALSE,$U$5=TRUE,$U$6=TRUE,$U$7=FALSE)),VLOOKUP($E91,'Status Thresholds'!$E:$AR,35,FALSE),IF((AND($U$4=FALSE,$U$5=TRUE,$U$6=TRUE,$U$7=TRUE)),VLOOKUP($E91,'Status Thresholds'!$E:$AR,40,FALSE),IF((AND($U$4=FALSE,$U$5=TRUE,$U$6=FALSE,$U$7=TRUE)),VLOOKUP($E91,'Status Thresholds'!$E:$AR,30,FALSE)))))))))
))/
IF(OR($X$5=TRUE,$AC$3=TRUE
),($F$3/2), IF(OR($X$2,$X$3,$X$4,$X$6,$X$7,$X$8,$Z$2,$Z$3,$Z$4,$Z$5,$Z$6,$Z$7,$Z$8)=TRUE,$F$3)),0),"-")</f>
        <v>-</v>
      </c>
      <c r="J91" s="36">
        <f>IFERROR(IF(AND($U$5=FALSE,$U$4=FALSE),"-",VLOOKUP($E91,'Status Thresholds'!$E:$AU,41,FALSE)),"-")</f>
        <v>10</v>
      </c>
      <c r="K91" s="36" t="str">
        <f>IFERROR(IF(AND($U$5=FALSE,$U$4=FALSE),"-",VLOOKUP($E91,'Status Thresholds'!$E:$AU,42,FALSE)),"-")</f>
        <v>-</v>
      </c>
      <c r="L91" s="36" t="str">
        <f>IFERROR(IF(AND($U$5=FALSE,$U$4=FALSE),"-",VLOOKUP($E91,'Status Thresholds'!$E:$AU,43,FALSE)),"-")</f>
        <v>-</v>
      </c>
    </row>
    <row r="92" spans="1:12" x14ac:dyDescent="0.25">
      <c r="A92" s="35"/>
      <c r="B92" s="64" t="str">
        <f>VLOOKUP(C92,'Status Thresholds'!B:C,2,FALSE)</f>
        <v>MHGU</v>
      </c>
      <c r="C92" s="64" t="str">
        <f>IF('Status Thresholds'!B87=0, "", 'Status Thresholds'!B87)</f>
        <v>Barroth</v>
      </c>
      <c r="D92" s="31" t="s">
        <v>32</v>
      </c>
      <c r="E92" s="36" t="str">
        <f t="shared" ref="E92:E155" si="1">$C92&amp;$D92</f>
        <v>BarrothSleep</v>
      </c>
      <c r="F92" s="36" t="str">
        <f>IFERROR(
ROUNDUP(
IF(AND($U$5=FALSE,$U$4=FALSE),"-",IF(AND($U$5=TRUE,$U$4=TRUE),"-",
IF((AND($U$4=TRUE,$U$5=FALSE,$U$6=FALSE,$U$7=FALSE)),VLOOKUP($E92,'Status Thresholds'!$E:$AR,2,FALSE),IF((AND($U$4=TRUE,$U$5=FALSE,$U$6=TRUE,$U$7=FALSE)),VLOOKUP($E92,'Status Thresholds'!$E:$AR,12,FALSE),IF((AND($U$4=TRUE,$U$5=FALSE,$U$6=TRUE,$U$7=TRUE)),VLOOKUP($E92,'Status Thresholds'!$E:$AR,17,FALSE),IF((AND($U$4=TRUE,$U$5=FALSE,$U$6=FALSE,$U$7=TRUE)),VLOOKUP($E92,'Status Thresholds'!$E:$AR,7,FALSE),
IF((AND($U$4=FALSE,$U$5=TRUE,$U$6=FALSE,$U$7=FALSE)),VLOOKUP($E92,'Status Thresholds'!$E:$AR,22,FALSE),IF((AND($U$4=FALSE,$U$5=TRUE,$U$6=TRUE,$U$7=FALSE)),VLOOKUP($E92,'Status Thresholds'!$E:$AR,32,FALSE),IF((AND($U$4=FALSE,$U$5=TRUE,$U$6=TRUE,$U$7=TRUE)),VLOOKUP($E92,'Status Thresholds'!$E:$AR,37,FALSE),IF((AND($U$4=FALSE,$U$5=TRUE,$U$6=FALSE,$U$7=TRUE)),VLOOKUP($E92,'Status Thresholds'!$E:$AR,27,FALSE)))))))))
))/
IF(OR($X$5=TRUE,$AC$3=TRUE
),($F$4/2), IF(OR($X$2,$X$3,$X$4,$X$6,$X$7,$X$8,$Z$2,$Z$3,$Z$4,$Z$5,$Z$6,$Z$7,$Z$8)=TRUE,$F$4)),0),"-")</f>
        <v>-</v>
      </c>
      <c r="G92" s="36" t="str">
        <f>IFERROR(
ROUNDUP(
IF(AND($U$5=FALSE,$U$4=FALSE),"-",IF(AND($U$5=TRUE,$U$4=TRUE),"-",
IF((AND($U$4=TRUE,$U$5=FALSE,$U$6=FALSE,$U$7=FALSE)),VLOOKUP($E92,'Status Thresholds'!$E:$AR,3,FALSE),IF((AND($U$4=TRUE,$U$5=FALSE,$U$6=TRUE,$U$7=FALSE)),VLOOKUP($E92,'Status Thresholds'!$E:$AR,13,FALSE),IF((AND($U$4=TRUE,$U$5=FALSE,$U$6=TRUE,$U$7=TRUE)),VLOOKUP($E92,'Status Thresholds'!$E:$AR,18,FALSE),IF((AND($U$4=TRUE,$U$5=FALSE,$U$6=FALSE,$U$7=TRUE)),VLOOKUP($E92,'Status Thresholds'!$E:$AR,8,FALSE),
IF((AND($U$4=FALSE,$U$5=TRUE,$U$6=FALSE,$U$7=FALSE)),VLOOKUP($E92,'Status Thresholds'!$E:$AR,23,FALSE),IF((AND($U$4=FALSE,$U$5=TRUE,$U$6=TRUE,$U$7=FALSE)),VLOOKUP($E92,'Status Thresholds'!$E:$AR,33,FALSE),IF((AND($U$4=FALSE,$U$5=TRUE,$U$6=TRUE,$U$7=TRUE)),VLOOKUP($E92,'Status Thresholds'!$E:$AR,38,FALSE),IF((AND($U$4=FALSE,$U$5=TRUE,$U$6=FALSE,$U$7=TRUE)),VLOOKUP($E92,'Status Thresholds'!$E:$AR,28,FALSE)))))))))
))/
IF(OR($X$5=TRUE,$AC$3=TRUE
),($F$4/2), IF(OR($X$2,$X$3,$X$4,$X$6,$X$7,$X$8,$Z$2,$Z$3,$Z$4,$Z$5,$Z$6,$Z$7,$Z$8)=TRUE,$F$4)),0),"-")</f>
        <v>-</v>
      </c>
      <c r="H92" s="36" t="str">
        <f>IFERROR(
ROUNDUP(
IF(AND($U$5=FALSE,$U$4=FALSE),"-",IF(AND($U$5=TRUE,$U$4=TRUE),"-",
IF((AND($U$4=TRUE,$U$5=FALSE,$U$6=FALSE,$U$7=FALSE)),VLOOKUP($E92,'Status Thresholds'!$E:$AR,4,FALSE),IF((AND($U$4=TRUE,$U$5=FALSE,$U$6=TRUE,$U$7=FALSE)),VLOOKUP($E92,'Status Thresholds'!$E:$AR,14,FALSE),IF((AND($U$4=TRUE,$U$5=FALSE,$U$6=TRUE,$U$7=TRUE)),VLOOKUP($E92,'Status Thresholds'!$E:$AR,19,FALSE),IF((AND($U$4=TRUE,$U$5=FALSE,$U$6=FALSE,$U$7=TRUE)),VLOOKUP($E92,'Status Thresholds'!$E:$AR,9,FALSE),
IF((AND($U$4=FALSE,$U$5=TRUE,$U$6=FALSE,$U$7=FALSE)),VLOOKUP($E92,'Status Thresholds'!$E:$AR,24,FALSE),IF((AND($U$4=FALSE,$U$5=TRUE,$U$6=TRUE,$U$7=FALSE)),VLOOKUP($E92,'Status Thresholds'!$E:$AR,34,FALSE),IF((AND($U$4=FALSE,$U$5=TRUE,$U$6=TRUE,$U$7=TRUE)),VLOOKUP($E92,'Status Thresholds'!$E:$AR,39,FALSE),IF((AND($U$4=FALSE,$U$5=TRUE,$U$6=FALSE,$U$7=TRUE)),VLOOKUP($E92,'Status Thresholds'!$E:$AR,29,FALSE)))))))))
))/
IF(OR($X$5=TRUE,$AC$3=TRUE
),($F$4/2), IF(OR($X$2,$X$3,$X$4,$X$6,$X$7,$X$8,$Z$2,$Z$3,$Z$4,$Z$5,$Z$6,$Z$7,$Z$8)=TRUE,$F$4)),0),"-")</f>
        <v>-</v>
      </c>
      <c r="I92" s="36" t="str">
        <f>IFERROR(
ROUNDUP(
IF(AND($U$5=FALSE,$U$4=FALSE),"-",IF(AND($U$5=TRUE,$U$4=TRUE),"-",
IF((AND($U$4=TRUE,$U$5=FALSE,$U$6=FALSE,$U$7=FALSE)),VLOOKUP($E92,'Status Thresholds'!$E:$AR,5,FALSE),IF((AND($U$4=TRUE,$U$5=FALSE,$U$6=TRUE,$U$7=FALSE)),VLOOKUP($E92,'Status Thresholds'!$E:$AR,15,FALSE),IF((AND($U$4=TRUE,$U$5=FALSE,$U$6=TRUE,$U$7=TRUE)),VLOOKUP($E92,'Status Thresholds'!$E:$AR,20,FALSE),IF((AND($U$4=TRUE,$U$5=FALSE,$U$6=FALSE,$U$7=TRUE)),VLOOKUP($E92,'Status Thresholds'!$E:$AR,10,FALSE),
IF((AND($U$4=FALSE,$U$5=TRUE,$U$6=FALSE,$U$7=FALSE)),VLOOKUP($E92,'Status Thresholds'!$E:$AR,25,FALSE),IF((AND($U$4=FALSE,$U$5=TRUE,$U$6=TRUE,$U$7=FALSE)),VLOOKUP($E92,'Status Thresholds'!$E:$AR,35,FALSE),IF((AND($U$4=FALSE,$U$5=TRUE,$U$6=TRUE,$U$7=TRUE)),VLOOKUP($E92,'Status Thresholds'!$E:$AR,40,FALSE),IF((AND($U$4=FALSE,$U$5=TRUE,$U$6=FALSE,$U$7=TRUE)),VLOOKUP($E92,'Status Thresholds'!$E:$AR,30,FALSE)))))))))
))/
IF(OR($X$5=TRUE,$AC$3=TRUE
),($F$4/2), IF(OR($X$2,$X$3,$X$4,$X$6,$X$7,$X$8,$Z$2,$Z$3,$Z$4,$Z$5,$Z$6,$Z$7,$Z$8)=TRUE,$F$4)),0),"-")</f>
        <v>-</v>
      </c>
      <c r="J92" s="46">
        <f>IFERROR(IF(AND($U$5=FALSE,$U$4=FALSE),"-",VLOOKUP($E92,'Status Thresholds'!$E:$AU,41,FALSE)),"-")</f>
        <v>30</v>
      </c>
      <c r="K92" s="46" t="str">
        <f>IFERROR(IF(AND($U$5=FALSE,$U$4=FALSE),"-",VLOOKUP($E92,'Status Thresholds'!$E:$AU,42,FALSE)),"-")</f>
        <v>-</v>
      </c>
      <c r="L92" s="46" t="str">
        <f>IFERROR(IF(AND($U$5=FALSE,$U$4=FALSE),"-",VLOOKUP($E92,'Status Thresholds'!$E:$AU,43,FALSE)),"-")</f>
        <v>-</v>
      </c>
    </row>
    <row r="93" spans="1:12" x14ac:dyDescent="0.25">
      <c r="A93" s="35"/>
      <c r="B93" s="64" t="str">
        <f>VLOOKUP(C93,'Status Thresholds'!B:C,2,FALSE)</f>
        <v>MHGU</v>
      </c>
      <c r="C93" s="64" t="str">
        <f>IF('Status Thresholds'!B88=0, "", 'Status Thresholds'!B88)</f>
        <v>Barroth</v>
      </c>
      <c r="D93" s="32" t="s">
        <v>33</v>
      </c>
      <c r="E93" s="36" t="str">
        <f t="shared" si="1"/>
        <v>BarrothPoison</v>
      </c>
      <c r="F93" s="36" t="str">
        <f>IFERROR(
ROUNDUP(
IF(AND($U$5=FALSE,$U$4=FALSE),"-",IF(AND($U$5=TRUE,$U$4=TRUE),"-",
IF((AND($U$4=TRUE,$U$5=FALSE,$U$6=FALSE,$U$7=FALSE)),VLOOKUP($E93,'Status Thresholds'!$E:$AR,2,FALSE),IF((AND($U$4=TRUE,$U$5=FALSE,$U$6=TRUE,$U$7=FALSE)),VLOOKUP($E93,'Status Thresholds'!$E:$AR,12,FALSE),IF((AND($U$4=TRUE,$U$5=FALSE,$U$6=TRUE,$U$7=TRUE)),VLOOKUP($E93,'Status Thresholds'!$E:$AR,17,FALSE),IF((AND($U$4=TRUE,$U$5=FALSE,$U$6=FALSE,$U$7=TRUE)),VLOOKUP($E93,'Status Thresholds'!$E:$AR,7,FALSE),
IF((AND($U$4=FALSE,$U$5=TRUE,$U$6=FALSE,$U$7=FALSE)),VLOOKUP($E93,'Status Thresholds'!$E:$AR,22,FALSE),IF((AND($U$4=FALSE,$U$5=TRUE,$U$6=TRUE,$U$7=FALSE)),VLOOKUP($E93,'Status Thresholds'!$E:$AR,32,FALSE),IF((AND($U$4=FALSE,$U$5=TRUE,$U$6=TRUE,$U$7=TRUE)),VLOOKUP($E93,'Status Thresholds'!$E:$AR,37,FALSE),IF((AND($U$4=FALSE,$U$5=TRUE,$U$6=FALSE,$U$7=TRUE)),VLOOKUP($E93,'Status Thresholds'!$E:$AR,27,FALSE)))))))))
))/
IF(OR($X$5=TRUE,$AC$3=TRUE
),($F$5/2), IF(OR($X$2,$X$3,$X$4,$X$6,$X$7,$X$8,$Z$2,$Z$3,$Z$4,$Z$5,$Z$6,$Z$7,$Z$8)=TRUE,$F$5)),0),"-")</f>
        <v>-</v>
      </c>
      <c r="G93" s="36" t="str">
        <f>IFERROR(
ROUNDUP(
IF(AND($U$5=FALSE,$U$4=FALSE),"-",IF(AND($U$5=TRUE,$U$4=TRUE),"-",
IF((AND($U$4=TRUE,$U$5=FALSE,$U$6=FALSE,$U$7=FALSE)),VLOOKUP($E93,'Status Thresholds'!$E:$AR,3,FALSE),IF((AND($U$4=TRUE,$U$5=FALSE,$U$6=TRUE,$U$7=FALSE)),VLOOKUP($E93,'Status Thresholds'!$E:$AR,13,FALSE),IF((AND($U$4=TRUE,$U$5=FALSE,$U$6=TRUE,$U$7=TRUE)),VLOOKUP($E93,'Status Thresholds'!$E:$AR,18,FALSE),IF((AND($U$4=TRUE,$U$5=FALSE,$U$6=FALSE,$U$7=TRUE)),VLOOKUP($E93,'Status Thresholds'!$E:$AR,8,FALSE),
IF((AND($U$4=FALSE,$U$5=TRUE,$U$6=FALSE,$U$7=FALSE)),VLOOKUP($E93,'Status Thresholds'!$E:$AR,23,FALSE),IF((AND($U$4=FALSE,$U$5=TRUE,$U$6=TRUE,$U$7=FALSE)),VLOOKUP($E93,'Status Thresholds'!$E:$AR,33,FALSE),IF((AND($U$4=FALSE,$U$5=TRUE,$U$6=TRUE,$U$7=TRUE)),VLOOKUP($E93,'Status Thresholds'!$E:$AR,38,FALSE),IF((AND($U$4=FALSE,$U$5=TRUE,$U$6=FALSE,$U$7=TRUE)),VLOOKUP($E93,'Status Thresholds'!$E:$AR,28,FALSE)))))))))
))/
IF(OR($X$5=TRUE,$AC$3=TRUE
),($F$5/2), IF(OR($X$2,$X$3,$X$4,$X$6,$X$7,$X$8,$Z$2,$Z$3,$Z$4,$Z$5,$Z$6,$Z$7,$Z$8)=TRUE,$F$5)),0),"-")</f>
        <v>-</v>
      </c>
      <c r="H93" s="36" t="str">
        <f>IFERROR(
ROUNDUP(
IF(AND($U$5=FALSE,$U$4=FALSE),"-",IF(AND($U$5=TRUE,$U$4=TRUE),"-",
IF((AND($U$4=TRUE,$U$5=FALSE,$U$6=FALSE,$U$7=FALSE)),VLOOKUP($E93,'Status Thresholds'!$E:$AR,4,FALSE),IF((AND($U$4=TRUE,$U$5=FALSE,$U$6=TRUE,$U$7=FALSE)),VLOOKUP($E93,'Status Thresholds'!$E:$AR,14,FALSE),IF((AND($U$4=TRUE,$U$5=FALSE,$U$6=TRUE,$U$7=TRUE)),VLOOKUP($E93,'Status Thresholds'!$E:$AR,19,FALSE),IF((AND($U$4=TRUE,$U$5=FALSE,$U$6=FALSE,$U$7=TRUE)),VLOOKUP($E93,'Status Thresholds'!$E:$AR,9,FALSE),
IF((AND($U$4=FALSE,$U$5=TRUE,$U$6=FALSE,$U$7=FALSE)),VLOOKUP($E93,'Status Thresholds'!$E:$AR,24,FALSE),IF((AND($U$4=FALSE,$U$5=TRUE,$U$6=TRUE,$U$7=FALSE)),VLOOKUP($E93,'Status Thresholds'!$E:$AR,34,FALSE),IF((AND($U$4=FALSE,$U$5=TRUE,$U$6=TRUE,$U$7=TRUE)),VLOOKUP($E93,'Status Thresholds'!$E:$AR,39,FALSE),IF((AND($U$4=FALSE,$U$5=TRUE,$U$6=FALSE,$U$7=TRUE)),VLOOKUP($E93,'Status Thresholds'!$E:$AR,29,FALSE)))))))))
))/
IF(OR($X$5=TRUE,$AC$3=TRUE
),($F$5/2), IF(OR($X$2,$X$3,$X$4,$X$6,$X$7,$X$8,$Z$2,$Z$3,$Z$4,$Z$5,$Z$6,$Z$7,$Z$8)=TRUE,$F$5)),0),"-")</f>
        <v>-</v>
      </c>
      <c r="I93" s="36" t="str">
        <f>IFERROR(
ROUNDUP(
IF(AND($U$5=FALSE,$U$4=FALSE),"-",IF(AND($U$5=TRUE,$U$4=TRUE),"-",
IF((AND($U$4=TRUE,$U$5=FALSE,$U$6=FALSE,$U$7=FALSE)),VLOOKUP($E93,'Status Thresholds'!$E:$AR,5,FALSE),IF((AND($U$4=TRUE,$U$5=FALSE,$U$6=TRUE,$U$7=FALSE)),VLOOKUP($E93,'Status Thresholds'!$E:$AR,15,FALSE),IF((AND($U$4=TRUE,$U$5=FALSE,$U$6=TRUE,$U$7=TRUE)),VLOOKUP($E93,'Status Thresholds'!$E:$AR,20,FALSE),IF((AND($U$4=TRUE,$U$5=FALSE,$U$6=FALSE,$U$7=TRUE)),VLOOKUP($E93,'Status Thresholds'!$E:$AR,10,FALSE),
IF((AND($U$4=FALSE,$U$5=TRUE,$U$6=FALSE,$U$7=FALSE)),VLOOKUP($E93,'Status Thresholds'!$E:$AR,25,FALSE),IF((AND($U$4=FALSE,$U$5=TRUE,$U$6=TRUE,$U$7=FALSE)),VLOOKUP($E93,'Status Thresholds'!$E:$AR,35,FALSE),IF((AND($U$4=FALSE,$U$5=TRUE,$U$6=TRUE,$U$7=TRUE)),VLOOKUP($E93,'Status Thresholds'!$E:$AR,40,FALSE),IF((AND($U$4=FALSE,$U$5=TRUE,$U$6=FALSE,$U$7=TRUE)),VLOOKUP($E93,'Status Thresholds'!$E:$AR,30,FALSE)))))))))
))/
IF(OR($X$5=TRUE,$AC$3=TRUE
),($F$5/2), IF(OR($X$2,$X$3,$X$4,$X$6,$X$7,$X$8,$Z$2,$Z$3,$Z$4,$Z$5,$Z$6,$Z$7,$Z$8)=TRUE,$F$5)),0),"-")</f>
        <v>-</v>
      </c>
      <c r="J93" s="46">
        <f>IFERROR(IF(AND($U$5=FALSE,$U$4=FALSE),"-",VLOOKUP($E93,'Status Thresholds'!$E:$AU,41,FALSE)),"-")</f>
        <v>40</v>
      </c>
      <c r="K93" s="46" t="str">
        <f>IFERROR(IF(AND($U$5=FALSE,$U$4=FALSE),"-",VLOOKUP($E93,'Status Thresholds'!$E:$AU,42,FALSE)),"-")</f>
        <v>-</v>
      </c>
      <c r="L93" s="46" t="str">
        <f>IFERROR(IF(AND($U$5=FALSE,$U$4=FALSE),"-",VLOOKUP($E93,'Status Thresholds'!$E:$AU,43,FALSE)),"-")</f>
        <v>-</v>
      </c>
    </row>
    <row r="94" spans="1:12" x14ac:dyDescent="0.25">
      <c r="A94" s="35"/>
      <c r="B94" s="64" t="str">
        <f>VLOOKUP(C94,'Status Thresholds'!B:C,2,FALSE)</f>
        <v>MHGU</v>
      </c>
      <c r="C94" s="64" t="str">
        <f>IF('Status Thresholds'!B89=0, "", 'Status Thresholds'!B89)</f>
        <v>Barroth</v>
      </c>
      <c r="D94" s="10" t="s">
        <v>22</v>
      </c>
      <c r="E94" s="36" t="str">
        <f t="shared" si="1"/>
        <v>BarrothExhaust</v>
      </c>
      <c r="F94" s="36" t="str">
        <f>IFERROR(
ROUNDUP(
IF(AND($U$5=FALSE,$U$4=FALSE),"-",IF(AND($U$5=TRUE,$U$4=TRUE),"-",
IF((AND($U$4=TRUE,$U$5=FALSE,$U$6=FALSE,$U$7=FALSE)),VLOOKUP($E94,'Status Thresholds'!$E:$AR,2,FALSE),IF((AND($U$4=TRUE,$U$5=FALSE,$U$6=TRUE,$U$7=FALSE)),VLOOKUP($E94,'Status Thresholds'!$E:$AR,12,FALSE),IF((AND($U$4=TRUE,$U$5=FALSE,$U$6=TRUE,$U$7=TRUE)),VLOOKUP($E94,'Status Thresholds'!$E:$AR,17,FALSE),IF((AND($U$4=TRUE,$U$5=FALSE,$U$6=FALSE,$U$7=TRUE)),VLOOKUP($E94,'Status Thresholds'!$E:$AR,7,FALSE),
IF((AND($U$4=FALSE,$U$5=TRUE,$U$6=FALSE,$U$7=FALSE)),VLOOKUP($E94,'Status Thresholds'!$E:$AR,22,FALSE),IF((AND($U$4=FALSE,$U$5=TRUE,$U$6=TRUE,$U$7=FALSE)),VLOOKUP($E94,'Status Thresholds'!$E:$AR,32,FALSE),IF((AND($U$4=FALSE,$U$5=TRUE,$U$6=TRUE,$U$7=TRUE)),VLOOKUP($E94,'Status Thresholds'!$E:$AR,37,FALSE),IF((AND($U$4=FALSE,$U$5=TRUE,$U$6=FALSE,$U$7=TRUE)),VLOOKUP($E94,'Status Thresholds'!$E:$AR,27,FALSE)))))))))
))/
IF(OR($X$5=TRUE,$AC$3=TRUE
),($F$6/2), IF(OR($X$2,$X$3,$X$4,$X$6,$X$7,$X$8,$Z$2,$Z$3,$Z$4,$Z$5,$Z$6,$Z$7,$Z$8)=TRUE,$F$6)),0),"-")</f>
        <v>-</v>
      </c>
      <c r="G94" s="36" t="str">
        <f>IFERROR(
ROUNDUP(
IF(AND($U$5=FALSE,$U$4=FALSE),"-",IF(AND($U$5=TRUE,$U$4=TRUE),"-",
IF((AND($U$4=TRUE,$U$5=FALSE,$U$6=FALSE,$U$7=FALSE)),VLOOKUP($E94,'Status Thresholds'!$E:$AR,3,FALSE),IF((AND($U$4=TRUE,$U$5=FALSE,$U$6=TRUE,$U$7=FALSE)),VLOOKUP($E94,'Status Thresholds'!$E:$AR,13,FALSE),IF((AND($U$4=TRUE,$U$5=FALSE,$U$6=TRUE,$U$7=TRUE)),VLOOKUP($E94,'Status Thresholds'!$E:$AR,18,FALSE),IF((AND($U$4=TRUE,$U$5=FALSE,$U$6=FALSE,$U$7=TRUE)),VLOOKUP($E94,'Status Thresholds'!$E:$AR,8,FALSE),
IF((AND($U$4=FALSE,$U$5=TRUE,$U$6=FALSE,$U$7=FALSE)),VLOOKUP($E94,'Status Thresholds'!$E:$AR,23,FALSE),IF((AND($U$4=FALSE,$U$5=TRUE,$U$6=TRUE,$U$7=FALSE)),VLOOKUP($E94,'Status Thresholds'!$E:$AR,33,FALSE),IF((AND($U$4=FALSE,$U$5=TRUE,$U$6=TRUE,$U$7=TRUE)),VLOOKUP($E94,'Status Thresholds'!$E:$AR,38,FALSE),IF((AND($U$4=FALSE,$U$5=TRUE,$U$6=FALSE,$U$7=TRUE)),VLOOKUP($E94,'Status Thresholds'!$E:$AR,28,FALSE)))))))))
))/
IF(OR($X$5=TRUE,$AC$3=TRUE
),($F$6/2), IF(OR($X$2,$X$3,$X$4,$X$6,$X$7,$X$8,$Z$2,$Z$3,$Z$4,$Z$5,$Z$6,$Z$7,$Z$8)=TRUE,$F$6)),0),"-")</f>
        <v>-</v>
      </c>
      <c r="H94" s="36" t="str">
        <f>IFERROR(
ROUNDUP(
IF(AND($U$5=FALSE,$U$4=FALSE),"-",IF(AND($U$5=TRUE,$U$4=TRUE),"-",
IF((AND($U$4=TRUE,$U$5=FALSE,$U$6=FALSE,$U$7=FALSE)),VLOOKUP($E94,'Status Thresholds'!$E:$AR,4,FALSE),IF((AND($U$4=TRUE,$U$5=FALSE,$U$6=TRUE,$U$7=FALSE)),VLOOKUP($E94,'Status Thresholds'!$E:$AR,14,FALSE),IF((AND($U$4=TRUE,$U$5=FALSE,$U$6=TRUE,$U$7=TRUE)),VLOOKUP($E94,'Status Thresholds'!$E:$AR,19,FALSE),IF((AND($U$4=TRUE,$U$5=FALSE,$U$6=FALSE,$U$7=TRUE)),VLOOKUP($E94,'Status Thresholds'!$E:$AR,9,FALSE),
IF((AND($U$4=FALSE,$U$5=TRUE,$U$6=FALSE,$U$7=FALSE)),VLOOKUP($E94,'Status Thresholds'!$E:$AR,24,FALSE),IF((AND($U$4=FALSE,$U$5=TRUE,$U$6=TRUE,$U$7=FALSE)),VLOOKUP($E94,'Status Thresholds'!$E:$AR,34,FALSE),IF((AND($U$4=FALSE,$U$5=TRUE,$U$6=TRUE,$U$7=TRUE)),VLOOKUP($E94,'Status Thresholds'!$E:$AR,39,FALSE),IF((AND($U$4=FALSE,$U$5=TRUE,$U$6=FALSE,$U$7=TRUE)),VLOOKUP($E94,'Status Thresholds'!$E:$AR,29,FALSE)))))))))
))/
IF(OR($X$5=TRUE,$AC$3=TRUE
),($F$6/2), IF(OR($X$2,$X$3,$X$4,$X$6,$X$7,$X$8,$Z$2,$Z$3,$Z$4,$Z$5,$Z$6,$Z$7,$Z$8)=TRUE,$F$6)),0),"-")</f>
        <v>-</v>
      </c>
      <c r="I94" s="36" t="str">
        <f>IFERROR(
ROUNDUP(
IF(AND($U$5=FALSE,$U$4=FALSE),"-",IF(AND($U$5=TRUE,$U$4=TRUE),"-",
IF((AND($U$4=TRUE,$U$5=FALSE,$U$6=FALSE,$U$7=FALSE)),VLOOKUP($E94,'Status Thresholds'!$E:$AR,5,FALSE),IF((AND($U$4=TRUE,$U$5=FALSE,$U$6=TRUE,$U$7=FALSE)),VLOOKUP($E94,'Status Thresholds'!$E:$AR,15,FALSE),IF((AND($U$4=TRUE,$U$5=FALSE,$U$6=TRUE,$U$7=TRUE)),VLOOKUP($E94,'Status Thresholds'!$E:$AR,20,FALSE),IF((AND($U$4=TRUE,$U$5=FALSE,$U$6=FALSE,$U$7=TRUE)),VLOOKUP($E94,'Status Thresholds'!$E:$AR,10,FALSE),
IF((AND($U$4=FALSE,$U$5=TRUE,$U$6=FALSE,$U$7=FALSE)),VLOOKUP($E94,'Status Thresholds'!$E:$AR,25,FALSE),IF((AND($U$4=FALSE,$U$5=TRUE,$U$6=TRUE,$U$7=FALSE)),VLOOKUP($E94,'Status Thresholds'!$E:$AR,35,FALSE),IF((AND($U$4=FALSE,$U$5=TRUE,$U$6=TRUE,$U$7=TRUE)),VLOOKUP($E94,'Status Thresholds'!$E:$AR,40,FALSE),IF((AND($U$4=FALSE,$U$5=TRUE,$U$6=FALSE,$U$7=TRUE)),VLOOKUP($E94,'Status Thresholds'!$E:$AR,30,FALSE)))))))))
))/
IF(OR($X$5=TRUE,$AC$3=TRUE
),($F$6/2), IF(OR($X$2,$X$3,$X$4,$X$6,$X$7,$X$8,$Z$2,$Z$3,$Z$4,$Z$5,$Z$6,$Z$7,$Z$8)=TRUE,$F$6)),0),"-")</f>
        <v>-</v>
      </c>
      <c r="J94" s="46">
        <f>IFERROR(IF(AND($U$5=FALSE,$U$4=FALSE),"-",VLOOKUP($E94,'Status Thresholds'!$E:$AU,41,FALSE)),"-")</f>
        <v>0</v>
      </c>
      <c r="K94" s="46" t="str">
        <f>IFERROR(IF(AND($U$5=FALSE,$U$4=FALSE),"-",VLOOKUP($E94,'Status Thresholds'!$E:$AU,42,FALSE)),"-")</f>
        <v>-</v>
      </c>
      <c r="L94" s="46" t="str">
        <f>IFERROR(IF(AND($U$5=FALSE,$U$4=FALSE),"-",VLOOKUP($E94,'Status Thresholds'!$E:$AU,43,FALSE)),"-")</f>
        <v>-</v>
      </c>
    </row>
    <row r="95" spans="1:12" x14ac:dyDescent="0.25">
      <c r="A95" s="35"/>
      <c r="B95" s="64" t="str">
        <f>VLOOKUP(C95,'Status Thresholds'!B:C,2,FALSE)</f>
        <v>MHGU</v>
      </c>
      <c r="C95" s="64" t="str">
        <f>IF('Status Thresholds'!B90=0, "", 'Status Thresholds'!B90)</f>
        <v>Barroth</v>
      </c>
      <c r="D95" s="30" t="s">
        <v>35</v>
      </c>
      <c r="E95" s="36" t="str">
        <f t="shared" si="1"/>
        <v>BarrothBlast</v>
      </c>
      <c r="F95" s="36" t="str">
        <f>IFERROR(
ROUNDUP(
IF(AND($U$5=FALSE,$U$4=FALSE),"-",IF(AND($U$5=TRUE,$U$4=TRUE),"-",
IF((AND($U$4=TRUE,$U$5=FALSE,$U$6=FALSE,$U$7=FALSE)),VLOOKUP($E95,'Status Thresholds'!$E:$AR,2,FALSE),IF((AND($U$4=TRUE,$U$5=FALSE,$U$6=TRUE,$U$7=FALSE)),VLOOKUP($E95,'Status Thresholds'!$E:$AR,12,FALSE),IF((AND($U$4=TRUE,$U$5=FALSE,$U$6=TRUE,$U$7=TRUE)),VLOOKUP($E95,'Status Thresholds'!$E:$AR,17,FALSE),IF((AND($U$4=TRUE,$U$5=FALSE,$U$6=FALSE,$U$7=TRUE)),VLOOKUP($E95,'Status Thresholds'!$E:$AR,7,FALSE),
IF((AND($U$4=FALSE,$U$5=TRUE,$U$6=FALSE,$U$7=FALSE)),VLOOKUP($E95,'Status Thresholds'!$E:$AR,22,FALSE),IF((AND($U$4=FALSE,$U$5=TRUE,$U$6=TRUE,$U$7=FALSE)),VLOOKUP($E95,'Status Thresholds'!$E:$AR,32,FALSE),IF((AND($U$4=FALSE,$U$5=TRUE,$U$6=TRUE,$U$7=TRUE)),VLOOKUP($E95,'Status Thresholds'!$E:$AR,37,FALSE),IF((AND($U$4=FALSE,$U$5=TRUE,$U$6=FALSE,$U$7=TRUE)),VLOOKUP($E95,'Status Thresholds'!$E:$AR,27,FALSE)))))))))
))/
IF(OR($X$5=TRUE,$AC$3=TRUE
),($F$7/2), IF(OR($X$2,$X$3,$X$4,$X$6,$X$7,$X$8,$Z$2,$Z$3,$Z$4,$Z$5,$Z$6,$Z$7,$Z$8)=TRUE,$F$7)),0),"-")</f>
        <v>-</v>
      </c>
      <c r="G95" s="36" t="str">
        <f>IFERROR(
ROUNDUP(
IF(AND($U$5=FALSE,$U$4=FALSE),"-",IF(AND($U$5=TRUE,$U$4=TRUE),"-",
IF((AND($U$4=TRUE,$U$5=FALSE,$U$6=FALSE,$U$7=FALSE)),VLOOKUP($E95,'Status Thresholds'!$E:$AR,3,FALSE),IF((AND($U$4=TRUE,$U$5=FALSE,$U$6=TRUE,$U$7=FALSE)),VLOOKUP($E95,'Status Thresholds'!$E:$AR,13,FALSE),IF((AND($U$4=TRUE,$U$5=FALSE,$U$6=TRUE,$U$7=TRUE)),VLOOKUP($E95,'Status Thresholds'!$E:$AR,18,FALSE),IF((AND($U$4=TRUE,$U$5=FALSE,$U$6=FALSE,$U$7=TRUE)),VLOOKUP($E95,'Status Thresholds'!$E:$AR,8,FALSE),
IF((AND($U$4=FALSE,$U$5=TRUE,$U$6=FALSE,$U$7=FALSE)),VLOOKUP($E95,'Status Thresholds'!$E:$AR,23,FALSE),IF((AND($U$4=FALSE,$U$5=TRUE,$U$6=TRUE,$U$7=FALSE)),VLOOKUP($E95,'Status Thresholds'!$E:$AR,33,FALSE),IF((AND($U$4=FALSE,$U$5=TRUE,$U$6=TRUE,$U$7=TRUE)),VLOOKUP($E95,'Status Thresholds'!$E:$AR,38,FALSE),IF((AND($U$4=FALSE,$U$5=TRUE,$U$6=FALSE,$U$7=TRUE)),VLOOKUP($E95,'Status Thresholds'!$E:$AR,28,FALSE)))))))))
))/
IF(OR($X$5=TRUE,$AC$3=TRUE
),($F$7/2), IF(OR($X$2,$X$3,$X$4,$X$6,$X$7,$X$8,$Z$2,$Z$3,$Z$4,$Z$5,$Z$6,$Z$7,$Z$8)=TRUE,$F$7)),0),"-")</f>
        <v>-</v>
      </c>
      <c r="H95" s="36" t="str">
        <f>IFERROR(
ROUNDUP(
IF(AND($U$5=FALSE,$U$4=FALSE),"-",IF(AND($U$5=TRUE,$U$4=TRUE),"-",
IF((AND($U$4=TRUE,$U$5=FALSE,$U$6=FALSE,$U$7=FALSE)),VLOOKUP($E95,'Status Thresholds'!$E:$AR,4,FALSE),IF((AND($U$4=TRUE,$U$5=FALSE,$U$6=TRUE,$U$7=FALSE)),VLOOKUP($E95,'Status Thresholds'!$E:$AR,14,FALSE),IF((AND($U$4=TRUE,$U$5=FALSE,$U$6=TRUE,$U$7=TRUE)),VLOOKUP($E95,'Status Thresholds'!$E:$AR,19,FALSE),IF((AND($U$4=TRUE,$U$5=FALSE,$U$6=FALSE,$U$7=TRUE)),VLOOKUP($E95,'Status Thresholds'!$E:$AR,9,FALSE),
IF((AND($U$4=FALSE,$U$5=TRUE,$U$6=FALSE,$U$7=FALSE)),VLOOKUP($E95,'Status Thresholds'!$E:$AR,24,FALSE),IF((AND($U$4=FALSE,$U$5=TRUE,$U$6=TRUE,$U$7=FALSE)),VLOOKUP($E95,'Status Thresholds'!$E:$AR,34,FALSE),IF((AND($U$4=FALSE,$U$5=TRUE,$U$6=TRUE,$U$7=TRUE)),VLOOKUP($E95,'Status Thresholds'!$E:$AR,39,FALSE),IF((AND($U$4=FALSE,$U$5=TRUE,$U$6=FALSE,$U$7=TRUE)),VLOOKUP($E95,'Status Thresholds'!$E:$AR,29,FALSE)))))))))
))/
IF(OR($X$5=TRUE,$AC$3=TRUE
),($F$7/2), IF(OR($X$2,$X$3,$X$4,$X$6,$X$7,$X$8,$Z$2,$Z$3,$Z$4,$Z$5,$Z$6,$Z$7,$Z$8)=TRUE,$F$7)),0),"-")</f>
        <v>-</v>
      </c>
      <c r="I95" s="36" t="str">
        <f>IFERROR(
ROUNDUP(
IF(AND($U$5=FALSE,$U$4=FALSE),"-",IF(AND($U$5=TRUE,$U$4=TRUE),"-",
IF((AND($U$4=TRUE,$U$5=FALSE,$U$6=FALSE,$U$7=FALSE)),VLOOKUP($E95,'Status Thresholds'!$E:$AR,5,FALSE),IF((AND($U$4=TRUE,$U$5=FALSE,$U$6=TRUE,$U$7=FALSE)),VLOOKUP($E95,'Status Thresholds'!$E:$AR,15,FALSE),IF((AND($U$4=TRUE,$U$5=FALSE,$U$6=TRUE,$U$7=TRUE)),VLOOKUP($E95,'Status Thresholds'!$E:$AR,20,FALSE),IF((AND($U$4=TRUE,$U$5=FALSE,$U$6=FALSE,$U$7=TRUE)),VLOOKUP($E95,'Status Thresholds'!$E:$AR,10,FALSE),
IF((AND($U$4=FALSE,$U$5=TRUE,$U$6=FALSE,$U$7=FALSE)),VLOOKUP($E95,'Status Thresholds'!$E:$AR,25,FALSE),IF((AND($U$4=FALSE,$U$5=TRUE,$U$6=TRUE,$U$7=FALSE)),VLOOKUP($E95,'Status Thresholds'!$E:$AR,35,FALSE),IF((AND($U$4=FALSE,$U$5=TRUE,$U$6=TRUE,$U$7=TRUE)),VLOOKUP($E95,'Status Thresholds'!$E:$AR,40,FALSE),IF((AND($U$4=FALSE,$U$5=TRUE,$U$6=FALSE,$U$7=TRUE)),VLOOKUP($E95,'Status Thresholds'!$E:$AR,30,FALSE)))))))))
))/
IF(OR($X$5=TRUE,$AC$3=TRUE
),($F$7/2), IF(OR($X$2,$X$3,$X$4,$X$6,$X$7,$X$8,$Z$2,$Z$3,$Z$4,$Z$5,$Z$6,$Z$7,$Z$8)=TRUE,$F$7)),0),"-")</f>
        <v>-</v>
      </c>
      <c r="J95" s="46">
        <f>IFERROR(IF(AND($U$5=FALSE,$U$4=FALSE),"-",VLOOKUP($E95,'Status Thresholds'!$E:$AU,41,FALSE)),"-")</f>
        <v>0</v>
      </c>
      <c r="K95" s="46" t="str">
        <f>IFERROR(IF(AND($U$5=FALSE,$U$4=FALSE),"-",VLOOKUP($E95,'Status Thresholds'!$E:$AU,42,FALSE)),"-")</f>
        <v>-</v>
      </c>
      <c r="L95" s="46" t="str">
        <f>IFERROR(IF(AND($U$5=FALSE,$U$4=FALSE),"-",VLOOKUP($E95,'Status Thresholds'!$E:$AU,43,FALSE)),"-")</f>
        <v>-</v>
      </c>
    </row>
    <row r="96" spans="1:12" ht="14.45" customHeight="1" x14ac:dyDescent="0.25">
      <c r="A96" s="35"/>
      <c r="B96" s="64" t="str">
        <f>VLOOKUP(C96,'Status Thresholds'!B:C,2,FALSE)</f>
        <v>MHGU</v>
      </c>
      <c r="C96" s="64" t="str">
        <f>IF('Status Thresholds'!B91=0, "", 'Status Thresholds'!B91)</f>
        <v>Barroth</v>
      </c>
      <c r="D96" s="34" t="s">
        <v>14</v>
      </c>
      <c r="E96" s="36" t="str">
        <f t="shared" si="1"/>
        <v>BarrothKO</v>
      </c>
      <c r="F96" s="36" t="s">
        <v>214</v>
      </c>
      <c r="G96" s="36" t="s">
        <v>214</v>
      </c>
      <c r="H96" s="36" t="s">
        <v>214</v>
      </c>
      <c r="I96" s="36" t="s">
        <v>214</v>
      </c>
      <c r="J96" s="46">
        <f>IFERROR(IF(AND($U$5=FALSE,$U$4=FALSE),"-",VLOOKUP($E96,'Status Thresholds'!$E:$AU,41,FALSE)),"-")</f>
        <v>10</v>
      </c>
      <c r="K96" s="46" t="str">
        <f>IFERROR(IF(AND($U$5=FALSE,$U$4=FALSE),"-",VLOOKUP($E96,'Status Thresholds'!$E:$AU,42,FALSE)),"-")</f>
        <v>-</v>
      </c>
      <c r="L96" s="46" t="str">
        <f>IFERROR(IF(AND($U$5=FALSE,$U$4=FALSE),"-",VLOOKUP($E96,'Status Thresholds'!$E:$AU,43,FALSE)),"-")</f>
        <v>-</v>
      </c>
    </row>
    <row r="97" spans="1:12" x14ac:dyDescent="0.25">
      <c r="A97" s="35"/>
      <c r="B97" s="64" t="str">
        <f>VLOOKUP(C97,'Status Thresholds'!B:C,2,FALSE)</f>
        <v>MHGU</v>
      </c>
      <c r="C97" s="64" t="str">
        <f>IF('Status Thresholds'!B92=0, "", 'Status Thresholds'!B92)</f>
        <v>Barroth</v>
      </c>
      <c r="D97" s="33" t="s">
        <v>34</v>
      </c>
      <c r="E97" s="36" t="str">
        <f t="shared" si="1"/>
        <v>BarrothMount</v>
      </c>
      <c r="F97" s="36" t="str">
        <f>IFERROR(
ROUNDUP(
IF(AND($U$5=FALSE,$U$4=FALSE),"-",IF(AND($U$5=TRUE,$U$4=TRUE),"-",
IF((AND($U$4=TRUE,$U$5=FALSE,$U$6=FALSE,$U$7=FALSE)),VLOOKUP($E97,'Status Thresholds'!$E:$AR,2,FALSE),IF((AND($U$4=TRUE,$U$5=FALSE,$U$6=TRUE,$U$7=FALSE)),VLOOKUP($E97,'Status Thresholds'!$E:$AR,12,FALSE),IF((AND($U$4=TRUE,$U$5=FALSE,$U$6=TRUE,$U$7=TRUE)),VLOOKUP($E97,'Status Thresholds'!$E:$AR,17,FALSE),IF((AND($U$4=TRUE,$U$5=FALSE,$U$6=FALSE,$U$7=TRUE)),VLOOKUP($E97,'Status Thresholds'!$E:$AR,7,FALSE),
IF((AND($U$4=FALSE,$U$5=TRUE,$U$6=FALSE,$U$7=FALSE)),VLOOKUP($E97,'Status Thresholds'!$E:$AR,22,FALSE),IF((AND($U$4=FALSE,$U$5=TRUE,$U$6=TRUE,$U$7=FALSE)),VLOOKUP($E97,'Status Thresholds'!$E:$AR,32,FALSE),IF((AND($U$4=FALSE,$U$5=TRUE,$U$6=TRUE,$U$7=TRUE)),VLOOKUP($E97,'Status Thresholds'!$E:$AR,37,FALSE),IF((AND($U$4=FALSE,$U$5=TRUE,$U$6=FALSE,$U$7=TRUE)),VLOOKUP($E97,'Status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97" s="36" t="str">
        <f>IFERROR(
ROUNDUP(
IF(AND($U$5=FALSE,$U$4=FALSE),"-",IF(AND($U$5=TRUE,$U$4=TRUE),"-",
IF((AND($U$4=TRUE,$U$5=FALSE,$U$6=FALSE,$U$7=FALSE)),VLOOKUP($E96,'Status Thresholds'!$E:$AR,3,FALSE),IF((AND($U$4=TRUE,$U$5=FALSE,$U$6=TRUE,$U$7=FALSE)),VLOOKUP($E96,'Status Thresholds'!$E:$AR,13,FALSE),IF((AND($U$4=TRUE,$U$5=FALSE,$U$6=TRUE,$U$7=TRUE)),VLOOKUP($E96,'Status Thresholds'!$E:$AR,18,FALSE),IF((AND($U$4=TRUE,$U$5=FALSE,$U$6=FALSE,$U$7=TRUE)),VLOOKUP($E96,'Status Thresholds'!$E:$AR,8,FALSE),
IF((AND($U$4=FALSE,$U$5=TRUE,$U$6=FALSE,$U$7=FALSE)),VLOOKUP($E96,'Status Thresholds'!$E:$AR,23,FALSE),IF((AND($U$4=FALSE,$U$5=TRUE,$U$6=TRUE,$U$7=FALSE)),VLOOKUP($E96,'Status Thresholds'!$E:$AR,33,FALSE),IF((AND($U$4=FALSE,$U$5=TRUE,$U$6=TRUE,$U$7=TRUE)),VLOOKUP($E96,'Status Thresholds'!$E:$AR,38,FALSE),IF((AND($U$4=FALSE,$U$5=TRUE,$U$6=FALSE,$U$7=TRUE)),VLOOKUP($E96,'Status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97" s="36" t="str">
        <f>IFERROR(
ROUNDUP(
IF(AND($U$5=FALSE,$U$4=FALSE),"-",IF(AND($U$5=TRUE,$U$4=TRUE),"-",
IF((AND($U$4=TRUE,$U$5=FALSE,$U$6=FALSE,$U$7=FALSE)),VLOOKUP($E96,'Status Thresholds'!$E:$AR,4,FALSE),IF((AND($U$4=TRUE,$U$5=FALSE,$U$6=TRUE,$U$7=FALSE)),VLOOKUP($E96,'Status Thresholds'!$E:$AR,14,FALSE),IF((AND($U$4=TRUE,$U$5=FALSE,$U$6=TRUE,$U$7=TRUE)),VLOOKUP($E96,'Status Thresholds'!$E:$AR,19,FALSE),IF((AND($U$4=TRUE,$U$5=FALSE,$U$6=FALSE,$U$7=TRUE)),VLOOKUP($E96,'Status Thresholds'!$E:$AR,9,FALSE),
IF((AND($U$4=FALSE,$U$5=TRUE,$U$6=FALSE,$U$7=FALSE)),VLOOKUP($E96,'Status Thresholds'!$E:$AR,24,FALSE),IF((AND($U$4=FALSE,$U$5=TRUE,$U$6=TRUE,$U$7=FALSE)),VLOOKUP($E96,'Status Thresholds'!$E:$AR,34,FALSE),IF((AND($U$4=FALSE,$U$5=TRUE,$U$6=TRUE,$U$7=TRUE)),VLOOKUP($E96,'Status Thresholds'!$E:$AR,39,FALSE),IF((AND($U$4=FALSE,$U$5=TRUE,$U$6=FALSE,$U$7=TRUE)),VLOOKUP($E96,'Status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97" s="36" t="str">
        <f>IFERROR(
ROUNDUP(
IF(AND($U$5=FALSE,$U$4=FALSE),"-",IF(AND($U$5=TRUE,$U$4=TRUE),"-",
IF((AND($U$4=TRUE,$U$5=FALSE,$U$6=FALSE,$U$7=FALSE)),VLOOKUP($E96,'Status Thresholds'!$E:$AR,5,FALSE),IF((AND($U$4=TRUE,$U$5=FALSE,$U$6=TRUE,$U$7=FALSE)),VLOOKUP($E96,'Status Thresholds'!$E:$AR,15,FALSE),IF((AND($U$4=TRUE,$U$5=FALSE,$U$6=TRUE,$U$7=TRUE)),VLOOKUP($E96,'Status Thresholds'!$E:$AR,20,FALSE),IF((AND($U$4=TRUE,$U$5=FALSE,$U$6=FALSE,$U$7=TRUE)),VLOOKUP($E96,'Status Thresholds'!$E:$AR,10,FALSE),
IF((AND($U$4=FALSE,$U$5=TRUE,$U$6=FALSE,$U$7=FALSE)),VLOOKUP($E96,'Status Thresholds'!$E:$AR,25,FALSE),IF((AND($U$4=FALSE,$U$5=TRUE,$U$6=TRUE,$U$7=FALSE)),VLOOKUP($E96,'Status Thresholds'!$E:$AR,35,FALSE),IF((AND($U$4=FALSE,$U$5=TRUE,$U$6=TRUE,$U$7=TRUE)),VLOOKUP($E96,'Status Thresholds'!$E:$AR,40,FALSE),IF((AND($U$4=FALSE,$U$5=TRUE,$U$6=FALSE,$U$7=TRUE)),VLOOKUP($E96,'Status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97" s="46">
        <f>IFERROR(IF(AND($U$5=FALSE,$U$4=FALSE),"-",VLOOKUP($E97,'Status Thresholds'!$E:$AU,41,FALSE)),"-")</f>
        <v>0</v>
      </c>
      <c r="K97" s="46" t="str">
        <f>IFERROR(IF(AND($U$5=FALSE,$U$4=FALSE),"-",VLOOKUP($E97,'Status Thresholds'!$E:$AU,42,FALSE)),"-")</f>
        <v>-</v>
      </c>
      <c r="L97" s="46" t="str">
        <f>IFERROR(IF(AND($U$5=FALSE,$U$4=FALSE),"-",VLOOKUP($E97,'Status Thresholds'!$E:$AU,43,FALSE)),"-")</f>
        <v>-</v>
      </c>
    </row>
    <row r="98" spans="1:12" ht="15" customHeight="1" x14ac:dyDescent="0.25">
      <c r="A98" s="35"/>
      <c r="B98" s="64" t="str">
        <f>VLOOKUP(C98,'Status Thresholds'!B:C,2,FALSE)</f>
        <v>MHGU</v>
      </c>
      <c r="C98" s="64" t="str">
        <f>IF('Status Thresholds'!B93=0, "", 'Status Thresholds'!B93)</f>
        <v>Barroth</v>
      </c>
      <c r="D98" s="77" t="s">
        <v>207</v>
      </c>
      <c r="E98" s="36" t="str">
        <f t="shared" si="1"/>
        <v>BarrothShock Trap</v>
      </c>
      <c r="F98" s="76" t="s">
        <v>214</v>
      </c>
      <c r="G98" s="46" t="s">
        <v>214</v>
      </c>
      <c r="H98" s="46" t="s">
        <v>214</v>
      </c>
      <c r="I98" s="46" t="s">
        <v>214</v>
      </c>
      <c r="J98" s="46">
        <f>IFERROR(IF(AND($U$5=FALSE,$U$4=FALSE),"-",VLOOKUP($E98,'Status Thresholds'!$E:$AU,43,FALSE)),"-")</f>
        <v>0</v>
      </c>
      <c r="K98" s="46">
        <f>IFERROR(IF(AND($U$5=FALSE,$U$4=FALSE),"-",VLOOKUP($E98,'Status Thresholds'!$E:$AU,41,FALSE)),"-")</f>
        <v>0</v>
      </c>
      <c r="L98" s="46">
        <f>IFERROR(IF(AND($U$5=FALSE,$U$4=FALSE),"-",VLOOKUP($E98,'Status Thresholds'!$E:$AU,42,FALSE)),"-")</f>
        <v>0</v>
      </c>
    </row>
    <row r="99" spans="1:12" x14ac:dyDescent="0.25">
      <c r="A99" s="35"/>
      <c r="B99" s="64" t="str">
        <f>VLOOKUP(C99,'Status Thresholds'!B:C,2,FALSE)</f>
        <v>MHGU</v>
      </c>
      <c r="C99" s="64" t="str">
        <f>IF('Status Thresholds'!B94=0, "", 'Status Thresholds'!B94)</f>
        <v>Barroth</v>
      </c>
      <c r="D99" s="77" t="s">
        <v>213</v>
      </c>
      <c r="E99" s="36" t="str">
        <f t="shared" si="1"/>
        <v>BarrothPitfall Trap</v>
      </c>
      <c r="F99" s="46" t="s">
        <v>214</v>
      </c>
      <c r="G99" s="46" t="s">
        <v>214</v>
      </c>
      <c r="H99" s="46" t="s">
        <v>214</v>
      </c>
      <c r="I99" s="46" t="s">
        <v>214</v>
      </c>
      <c r="J99" s="46">
        <f>IFERROR(IF(AND($U$5=FALSE,$U$4=FALSE),"-",VLOOKUP($E99,'Status Thresholds'!$E:$AU,43,FALSE)),"-")</f>
        <v>0</v>
      </c>
      <c r="K99" s="46">
        <f>IFERROR(IF(AND($U$5=FALSE,$U$4=FALSE),"-",VLOOKUP($E99,'Status Thresholds'!$E:$AU,41,FALSE)),"-")</f>
        <v>0</v>
      </c>
      <c r="L99" s="46">
        <f>IFERROR(IF(AND($U$5=FALSE,$U$4=FALSE),"-",VLOOKUP($E99,'Status Thresholds'!$E:$AU,42,FALSE)),"-")</f>
        <v>0</v>
      </c>
    </row>
    <row r="100" spans="1:12" s="36" customFormat="1" x14ac:dyDescent="0.25">
      <c r="A100" s="64"/>
      <c r="B100" s="64" t="str">
        <f>VLOOKUP(C100,'Status Thresholds'!B:C,2,FALSE)</f>
        <v>MHGU</v>
      </c>
      <c r="C100" s="64" t="str">
        <f>IF('Status Thresholds'!B95=0, "", 'Status Thresholds'!B95)</f>
        <v>Basarios</v>
      </c>
      <c r="D100" s="37" t="s">
        <v>0</v>
      </c>
      <c r="E100" s="36" t="str">
        <f t="shared" si="1"/>
        <v>BasariosPara</v>
      </c>
      <c r="F100" s="36" t="str">
        <f>IFERROR(
ROUNDUP(
IF(AND($U$5=FALSE,$U$4=FALSE),"-",IF(AND($U$5=TRUE,$U$4=TRUE),"-",
IF((AND($U$4=TRUE,$U$5=FALSE,$U$6=FALSE,$U$7=FALSE)),VLOOKUP($E100,'Status Thresholds'!$E:$AR,2,FALSE),IF((AND($U$4=TRUE,$U$5=FALSE,$U$6=TRUE,$U$7=FALSE)),VLOOKUP($E100,'Status Thresholds'!$E:$AR,12,FALSE),IF((AND($U$4=TRUE,$U$5=FALSE,$U$6=TRUE,$U$7=TRUE)),VLOOKUP($E100,'Status Thresholds'!$E:$AR,17,FALSE),IF((AND($U$4=TRUE,$U$5=FALSE,$U$6=FALSE,$U$7=TRUE)),VLOOKUP($E100,'Status Thresholds'!$E:$AR,7,FALSE),
IF((AND($U$4=FALSE,$U$5=TRUE,$U$6=FALSE,$U$7=FALSE)),VLOOKUP($E100,'Status Thresholds'!$E:$AR,22,FALSE),IF((AND($U$4=FALSE,$U$5=TRUE,$U$6=TRUE,$U$7=FALSE)),VLOOKUP($E100,'Status Thresholds'!$E:$AR,32,FALSE),IF((AND($U$4=FALSE,$U$5=TRUE,$U$6=TRUE,$U$7=TRUE)),VLOOKUP($E100,'Status Thresholds'!$E:$AR,37,FALSE),IF((AND($U$4=FALSE,$U$5=TRUE,$U$6=FALSE,$U$7=TRUE)),VLOOKUP($E100,'Status Thresholds'!$E:$AR,27,FALSE)))))))))
))/
IF(OR($X$5=TRUE,$AC$3=TRUE
),($F$3/2), IF(OR($X$2,$X$3,$X$4,$X$6,$X$7,$X$8,$Z$2,$Z$3,$Z$4,$Z$5,$Z$6,$Z$7,$Z$8)=TRUE,$F$3)),0),"-")</f>
        <v>-</v>
      </c>
      <c r="G100" s="36" t="str">
        <f>IFERROR(
ROUNDUP(
IF(AND($U$5=FALSE,$U$4=FALSE),"-",IF(AND($U$5=TRUE,$U$4=TRUE),"-",
IF((AND($U$4=TRUE,$U$5=FALSE,$U$6=FALSE,$U$7=FALSE)),VLOOKUP($E100,'Status Thresholds'!$E:$AR,3,FALSE),IF((AND($U$4=TRUE,$U$5=FALSE,$U$6=TRUE,$U$7=FALSE)),VLOOKUP($E100,'Status Thresholds'!$E:$AR,13,FALSE),IF((AND($U$4=TRUE,$U$5=FALSE,$U$6=TRUE,$U$7=TRUE)),VLOOKUP($E100,'Status Thresholds'!$E:$AR,18,FALSE),IF((AND($U$4=TRUE,$U$5=FALSE,$U$6=FALSE,$U$7=TRUE)),VLOOKUP($E100,'Status Thresholds'!$E:$AR,8,FALSE),
IF((AND($U$4=FALSE,$U$5=TRUE,$U$6=FALSE,$U$7=FALSE)),VLOOKUP($E100,'Status Thresholds'!$E:$AR,23,FALSE),IF((AND($U$4=FALSE,$U$5=TRUE,$U$6=TRUE,$U$7=FALSE)),VLOOKUP($E100,'Status Thresholds'!$E:$AR,33,FALSE),IF((AND($U$4=FALSE,$U$5=TRUE,$U$6=TRUE,$U$7=TRUE)),VLOOKUP($E100,'Status Thresholds'!$E:$AR,38,FALSE),IF((AND($U$4=FALSE,$U$5=TRUE,$U$6=FALSE,$U$7=TRUE)),VLOOKUP($E100,'Status Thresholds'!$E:$AR,28,FALSE)))))))))
))/
IF(OR($X$5=TRUE,$AC$3=TRUE
),($F$3/2), IF(OR($X$2,$X$3,$X$4,$X$6,$X$7,$X$8,$Z$2,$Z$3,$Z$4,$Z$5,$Z$6,$Z$7,$Z$8)=TRUE,$F$3)),0),"-")</f>
        <v>-</v>
      </c>
      <c r="H100" s="36" t="str">
        <f>IFERROR(
ROUNDUP(
IF(AND($U$5=FALSE,$U$4=FALSE),"-",IF(AND($U$5=TRUE,$U$4=TRUE),"-",
IF((AND($U$4=TRUE,$U$5=FALSE,$U$6=FALSE,$U$7=FALSE)),VLOOKUP($E100,'Status Thresholds'!$E:$AR,4,FALSE),IF((AND($U$4=TRUE,$U$5=FALSE,$U$6=TRUE,$U$7=FALSE)),VLOOKUP($E100,'Status Thresholds'!$E:$AR,14,FALSE),IF((AND($U$4=TRUE,$U$5=FALSE,$U$6=TRUE,$U$7=TRUE)),VLOOKUP($E100,'Status Thresholds'!$E:$AR,19,FALSE),IF((AND($U$4=TRUE,$U$5=FALSE,$U$6=FALSE,$U$7=TRUE)),VLOOKUP($E100,'Status Thresholds'!$E:$AR,9,FALSE),
IF((AND($U$4=FALSE,$U$5=TRUE,$U$6=FALSE,$U$7=FALSE)),VLOOKUP($E100,'Status Thresholds'!$E:$AR,24,FALSE),IF((AND($U$4=FALSE,$U$5=TRUE,$U$6=TRUE,$U$7=FALSE)),VLOOKUP($E100,'Status Thresholds'!$E:$AR,34,FALSE),IF((AND($U$4=FALSE,$U$5=TRUE,$U$6=TRUE,$U$7=TRUE)),VLOOKUP($E100,'Status Thresholds'!$E:$AR,39,FALSE),IF((AND($U$4=FALSE,$U$5=TRUE,$U$6=FALSE,$U$7=TRUE)),VLOOKUP($E100,'Status Thresholds'!$E:$AR,29,FALSE)))))))))
))/
IF(OR($X$5=TRUE,$AC$3=TRUE
),($F$3/2), IF(OR($X$2,$X$3,$X$4,$X$6,$X$7,$X$8,$Z$2,$Z$3,$Z$4,$Z$5,$Z$6,$Z$7,$Z$8)=TRUE,$F$3)),0),"-")</f>
        <v>-</v>
      </c>
      <c r="I100" s="36" t="str">
        <f>IFERROR(
ROUNDUP(
IF(AND($U$5=FALSE,$U$4=FALSE),"-",IF(AND($U$5=TRUE,$U$4=TRUE),"-",
IF((AND($U$4=TRUE,$U$5=FALSE,$U$6=FALSE,$U$7=FALSE)),VLOOKUP($E100,'Status Thresholds'!$E:$AR,5,FALSE),IF((AND($U$4=TRUE,$U$5=FALSE,$U$6=TRUE,$U$7=FALSE)),VLOOKUP($E100,'Status Thresholds'!$E:$AR,15,FALSE),IF((AND($U$4=TRUE,$U$5=FALSE,$U$6=TRUE,$U$7=TRUE)),VLOOKUP($E100,'Status Thresholds'!$E:$AR,20,FALSE),IF((AND($U$4=TRUE,$U$5=FALSE,$U$6=FALSE,$U$7=TRUE)),VLOOKUP($E100,'Status Thresholds'!$E:$AR,10,FALSE),
IF((AND($U$4=FALSE,$U$5=TRUE,$U$6=FALSE,$U$7=FALSE)),VLOOKUP($E100,'Status Thresholds'!$E:$AR,25,FALSE),IF((AND($U$4=FALSE,$U$5=TRUE,$U$6=TRUE,$U$7=FALSE)),VLOOKUP($E100,'Status Thresholds'!$E:$AR,35,FALSE),IF((AND($U$4=FALSE,$U$5=TRUE,$U$6=TRUE,$U$7=TRUE)),VLOOKUP($E100,'Status Thresholds'!$E:$AR,40,FALSE),IF((AND($U$4=FALSE,$U$5=TRUE,$U$6=FALSE,$U$7=TRUE)),VLOOKUP($E100,'Status Thresholds'!$E:$AR,30,FALSE)))))))))
))/
IF(OR($X$5=TRUE,$AC$3=TRUE
),($F$3/2), IF(OR($X$2,$X$3,$X$4,$X$6,$X$7,$X$8,$Z$2,$Z$3,$Z$4,$Z$5,$Z$6,$Z$7,$Z$8)=TRUE,$F$3)),0),"-")</f>
        <v>-</v>
      </c>
      <c r="J100" s="36">
        <f>IFERROR(IF(AND($U$5=FALSE,$U$4=FALSE),"-",VLOOKUP($E100,'Status Thresholds'!$E:$AU,41,FALSE)),"-")</f>
        <v>10</v>
      </c>
      <c r="K100" s="36" t="str">
        <f>IFERROR(IF(AND($U$5=FALSE,$U$4=FALSE),"-",VLOOKUP($E100,'Status Thresholds'!$E:$AU,42,FALSE)),"-")</f>
        <v>-</v>
      </c>
      <c r="L100" s="36" t="str">
        <f>IFERROR(IF(AND($U$5=FALSE,$U$4=FALSE),"-",VLOOKUP($E100,'Status Thresholds'!$E:$AU,43,FALSE)),"-")</f>
        <v>-</v>
      </c>
    </row>
    <row r="101" spans="1:12" x14ac:dyDescent="0.25">
      <c r="A101" s="35"/>
      <c r="B101" s="64" t="str">
        <f>VLOOKUP(C101,'Status Thresholds'!B:C,2,FALSE)</f>
        <v>MHGU</v>
      </c>
      <c r="C101" s="64" t="str">
        <f>IF('Status Thresholds'!B96=0, "", 'Status Thresholds'!B96)</f>
        <v>Basarios</v>
      </c>
      <c r="D101" s="31" t="s">
        <v>32</v>
      </c>
      <c r="E101" s="36" t="str">
        <f t="shared" si="1"/>
        <v>BasariosSleep</v>
      </c>
      <c r="F101" s="36" t="str">
        <f>IFERROR(
ROUNDUP(
IF(AND($U$5=FALSE,$U$4=FALSE),"-",IF(AND($U$5=TRUE,$U$4=TRUE),"-",
IF((AND($U$4=TRUE,$U$5=FALSE,$U$6=FALSE,$U$7=FALSE)),VLOOKUP($E101,'Status Thresholds'!$E:$AR,2,FALSE),IF((AND($U$4=TRUE,$U$5=FALSE,$U$6=TRUE,$U$7=FALSE)),VLOOKUP($E101,'Status Thresholds'!$E:$AR,12,FALSE),IF((AND($U$4=TRUE,$U$5=FALSE,$U$6=TRUE,$U$7=TRUE)),VLOOKUP($E101,'Status Thresholds'!$E:$AR,17,FALSE),IF((AND($U$4=TRUE,$U$5=FALSE,$U$6=FALSE,$U$7=TRUE)),VLOOKUP($E101,'Status Thresholds'!$E:$AR,7,FALSE),
IF((AND($U$4=FALSE,$U$5=TRUE,$U$6=FALSE,$U$7=FALSE)),VLOOKUP($E101,'Status Thresholds'!$E:$AR,22,FALSE),IF((AND($U$4=FALSE,$U$5=TRUE,$U$6=TRUE,$U$7=FALSE)),VLOOKUP($E101,'Status Thresholds'!$E:$AR,32,FALSE),IF((AND($U$4=FALSE,$U$5=TRUE,$U$6=TRUE,$U$7=TRUE)),VLOOKUP($E101,'Status Thresholds'!$E:$AR,37,FALSE),IF((AND($U$4=FALSE,$U$5=TRUE,$U$6=FALSE,$U$7=TRUE)),VLOOKUP($E101,'Status Thresholds'!$E:$AR,27,FALSE)))))))))
))/
IF(OR($X$5=TRUE,$AC$3=TRUE
),($F$4/2), IF(OR($X$2,$X$3,$X$4,$X$6,$X$7,$X$8,$Z$2,$Z$3,$Z$4,$Z$5,$Z$6,$Z$7,$Z$8)=TRUE,$F$4)),0),"-")</f>
        <v>-</v>
      </c>
      <c r="G101" s="36" t="str">
        <f>IFERROR(
ROUNDUP(
IF(AND($U$5=FALSE,$U$4=FALSE),"-",IF(AND($U$5=TRUE,$U$4=TRUE),"-",
IF((AND($U$4=TRUE,$U$5=FALSE,$U$6=FALSE,$U$7=FALSE)),VLOOKUP($E101,'Status Thresholds'!$E:$AR,3,FALSE),IF((AND($U$4=TRUE,$U$5=FALSE,$U$6=TRUE,$U$7=FALSE)),VLOOKUP($E101,'Status Thresholds'!$E:$AR,13,FALSE),IF((AND($U$4=TRUE,$U$5=FALSE,$U$6=TRUE,$U$7=TRUE)),VLOOKUP($E101,'Status Thresholds'!$E:$AR,18,FALSE),IF((AND($U$4=TRUE,$U$5=FALSE,$U$6=FALSE,$U$7=TRUE)),VLOOKUP($E101,'Status Thresholds'!$E:$AR,8,FALSE),
IF((AND($U$4=FALSE,$U$5=TRUE,$U$6=FALSE,$U$7=FALSE)),VLOOKUP($E101,'Status Thresholds'!$E:$AR,23,FALSE),IF((AND($U$4=FALSE,$U$5=TRUE,$U$6=TRUE,$U$7=FALSE)),VLOOKUP($E101,'Status Thresholds'!$E:$AR,33,FALSE),IF((AND($U$4=FALSE,$U$5=TRUE,$U$6=TRUE,$U$7=TRUE)),VLOOKUP($E101,'Status Thresholds'!$E:$AR,38,FALSE),IF((AND($U$4=FALSE,$U$5=TRUE,$U$6=FALSE,$U$7=TRUE)),VLOOKUP($E101,'Status Thresholds'!$E:$AR,28,FALSE)))))))))
))/
IF(OR($X$5=TRUE,$AC$3=TRUE
),($F$4/2), IF(OR($X$2,$X$3,$X$4,$X$6,$X$7,$X$8,$Z$2,$Z$3,$Z$4,$Z$5,$Z$6,$Z$7,$Z$8)=TRUE,$F$4)),0),"-")</f>
        <v>-</v>
      </c>
      <c r="H101" s="36" t="str">
        <f>IFERROR(
ROUNDUP(
IF(AND($U$5=FALSE,$U$4=FALSE),"-",IF(AND($U$5=TRUE,$U$4=TRUE),"-",
IF((AND($U$4=TRUE,$U$5=FALSE,$U$6=FALSE,$U$7=FALSE)),VLOOKUP($E101,'Status Thresholds'!$E:$AR,4,FALSE),IF((AND($U$4=TRUE,$U$5=FALSE,$U$6=TRUE,$U$7=FALSE)),VLOOKUP($E101,'Status Thresholds'!$E:$AR,14,FALSE),IF((AND($U$4=TRUE,$U$5=FALSE,$U$6=TRUE,$U$7=TRUE)),VLOOKUP($E101,'Status Thresholds'!$E:$AR,19,FALSE),IF((AND($U$4=TRUE,$U$5=FALSE,$U$6=FALSE,$U$7=TRUE)),VLOOKUP($E101,'Status Thresholds'!$E:$AR,9,FALSE),
IF((AND($U$4=FALSE,$U$5=TRUE,$U$6=FALSE,$U$7=FALSE)),VLOOKUP($E101,'Status Thresholds'!$E:$AR,24,FALSE),IF((AND($U$4=FALSE,$U$5=TRUE,$U$6=TRUE,$U$7=FALSE)),VLOOKUP($E101,'Status Thresholds'!$E:$AR,34,FALSE),IF((AND($U$4=FALSE,$U$5=TRUE,$U$6=TRUE,$U$7=TRUE)),VLOOKUP($E101,'Status Thresholds'!$E:$AR,39,FALSE),IF((AND($U$4=FALSE,$U$5=TRUE,$U$6=FALSE,$U$7=TRUE)),VLOOKUP($E101,'Status Thresholds'!$E:$AR,29,FALSE)))))))))
))/
IF(OR($X$5=TRUE,$AC$3=TRUE
),($F$4/2), IF(OR($X$2,$X$3,$X$4,$X$6,$X$7,$X$8,$Z$2,$Z$3,$Z$4,$Z$5,$Z$6,$Z$7,$Z$8)=TRUE,$F$4)),0),"-")</f>
        <v>-</v>
      </c>
      <c r="I101" s="36" t="str">
        <f>IFERROR(
ROUNDUP(
IF(AND($U$5=FALSE,$U$4=FALSE),"-",IF(AND($U$5=TRUE,$U$4=TRUE),"-",
IF((AND($U$4=TRUE,$U$5=FALSE,$U$6=FALSE,$U$7=FALSE)),VLOOKUP($E101,'Status Thresholds'!$E:$AR,5,FALSE),IF((AND($U$4=TRUE,$U$5=FALSE,$U$6=TRUE,$U$7=FALSE)),VLOOKUP($E101,'Status Thresholds'!$E:$AR,15,FALSE),IF((AND($U$4=TRUE,$U$5=FALSE,$U$6=TRUE,$U$7=TRUE)),VLOOKUP($E101,'Status Thresholds'!$E:$AR,20,FALSE),IF((AND($U$4=TRUE,$U$5=FALSE,$U$6=FALSE,$U$7=TRUE)),VLOOKUP($E101,'Status Thresholds'!$E:$AR,10,FALSE),
IF((AND($U$4=FALSE,$U$5=TRUE,$U$6=FALSE,$U$7=FALSE)),VLOOKUP($E101,'Status Thresholds'!$E:$AR,25,FALSE),IF((AND($U$4=FALSE,$U$5=TRUE,$U$6=TRUE,$U$7=FALSE)),VLOOKUP($E101,'Status Thresholds'!$E:$AR,35,FALSE),IF((AND($U$4=FALSE,$U$5=TRUE,$U$6=TRUE,$U$7=TRUE)),VLOOKUP($E101,'Status Thresholds'!$E:$AR,40,FALSE),IF((AND($U$4=FALSE,$U$5=TRUE,$U$6=FALSE,$U$7=TRUE)),VLOOKUP($E101,'Status Thresholds'!$E:$AR,30,FALSE)))))))))
))/
IF(OR($X$5=TRUE,$AC$3=TRUE
),($F$4/2), IF(OR($X$2,$X$3,$X$4,$X$6,$X$7,$X$8,$Z$2,$Z$3,$Z$4,$Z$5,$Z$6,$Z$7,$Z$8)=TRUE,$F$4)),0),"-")</f>
        <v>-</v>
      </c>
      <c r="J101" s="46">
        <f>IFERROR(IF(AND($U$5=FALSE,$U$4=FALSE),"-",VLOOKUP($E101,'Status Thresholds'!$E:$AU,41,FALSE)),"-")</f>
        <v>40</v>
      </c>
      <c r="K101" s="46" t="str">
        <f>IFERROR(IF(AND($U$5=FALSE,$U$4=FALSE),"-",VLOOKUP($E101,'Status Thresholds'!$E:$AU,42,FALSE)),"-")</f>
        <v>-</v>
      </c>
      <c r="L101" s="46" t="str">
        <f>IFERROR(IF(AND($U$5=FALSE,$U$4=FALSE),"-",VLOOKUP($E101,'Status Thresholds'!$E:$AU,43,FALSE)),"-")</f>
        <v>-</v>
      </c>
    </row>
    <row r="102" spans="1:12" x14ac:dyDescent="0.25">
      <c r="A102" s="35"/>
      <c r="B102" s="64" t="str">
        <f>VLOOKUP(C102,'Status Thresholds'!B:C,2,FALSE)</f>
        <v>MHGU</v>
      </c>
      <c r="C102" s="64" t="str">
        <f>IF('Status Thresholds'!B97=0, "", 'Status Thresholds'!B97)</f>
        <v>Basarios</v>
      </c>
      <c r="D102" s="32" t="s">
        <v>33</v>
      </c>
      <c r="E102" s="36" t="str">
        <f t="shared" si="1"/>
        <v>BasariosPoison</v>
      </c>
      <c r="F102" s="36" t="str">
        <f>IFERROR(
ROUNDUP(
IF(AND($U$5=FALSE,$U$4=FALSE),"-",IF(AND($U$5=TRUE,$U$4=TRUE),"-",
IF((AND($U$4=TRUE,$U$5=FALSE,$U$6=FALSE,$U$7=FALSE)),VLOOKUP($E102,'Status Thresholds'!$E:$AR,2,FALSE),IF((AND($U$4=TRUE,$U$5=FALSE,$U$6=TRUE,$U$7=FALSE)),VLOOKUP($E102,'Status Thresholds'!$E:$AR,12,FALSE),IF((AND($U$4=TRUE,$U$5=FALSE,$U$6=TRUE,$U$7=TRUE)),VLOOKUP($E102,'Status Thresholds'!$E:$AR,17,FALSE),IF((AND($U$4=TRUE,$U$5=FALSE,$U$6=FALSE,$U$7=TRUE)),VLOOKUP($E102,'Status Thresholds'!$E:$AR,7,FALSE),
IF((AND($U$4=FALSE,$U$5=TRUE,$U$6=FALSE,$U$7=FALSE)),VLOOKUP($E102,'Status Thresholds'!$E:$AR,22,FALSE),IF((AND($U$4=FALSE,$U$5=TRUE,$U$6=TRUE,$U$7=FALSE)),VLOOKUP($E102,'Status Thresholds'!$E:$AR,32,FALSE),IF((AND($U$4=FALSE,$U$5=TRUE,$U$6=TRUE,$U$7=TRUE)),VLOOKUP($E102,'Status Thresholds'!$E:$AR,37,FALSE),IF((AND($U$4=FALSE,$U$5=TRUE,$U$6=FALSE,$U$7=TRUE)),VLOOKUP($E102,'Status Thresholds'!$E:$AR,27,FALSE)))))))))
))/
IF(OR($X$5=TRUE,$AC$3=TRUE
),($F$5/2), IF(OR($X$2,$X$3,$X$4,$X$6,$X$7,$X$8,$Z$2,$Z$3,$Z$4,$Z$5,$Z$6,$Z$7,$Z$8)=TRUE,$F$5)),0),"-")</f>
        <v>-</v>
      </c>
      <c r="G102" s="36" t="str">
        <f>IFERROR(
ROUNDUP(
IF(AND($U$5=FALSE,$U$4=FALSE),"-",IF(AND($U$5=TRUE,$U$4=TRUE),"-",
IF((AND($U$4=TRUE,$U$5=FALSE,$U$6=FALSE,$U$7=FALSE)),VLOOKUP($E102,'Status Thresholds'!$E:$AR,3,FALSE),IF((AND($U$4=TRUE,$U$5=FALSE,$U$6=TRUE,$U$7=FALSE)),VLOOKUP($E102,'Status Thresholds'!$E:$AR,13,FALSE),IF((AND($U$4=TRUE,$U$5=FALSE,$U$6=TRUE,$U$7=TRUE)),VLOOKUP($E102,'Status Thresholds'!$E:$AR,18,FALSE),IF((AND($U$4=TRUE,$U$5=FALSE,$U$6=FALSE,$U$7=TRUE)),VLOOKUP($E102,'Status Thresholds'!$E:$AR,8,FALSE),
IF((AND($U$4=FALSE,$U$5=TRUE,$U$6=FALSE,$U$7=FALSE)),VLOOKUP($E102,'Status Thresholds'!$E:$AR,23,FALSE),IF((AND($U$4=FALSE,$U$5=TRUE,$U$6=TRUE,$U$7=FALSE)),VLOOKUP($E102,'Status Thresholds'!$E:$AR,33,FALSE),IF((AND($U$4=FALSE,$U$5=TRUE,$U$6=TRUE,$U$7=TRUE)),VLOOKUP($E102,'Status Thresholds'!$E:$AR,38,FALSE),IF((AND($U$4=FALSE,$U$5=TRUE,$U$6=FALSE,$U$7=TRUE)),VLOOKUP($E102,'Status Thresholds'!$E:$AR,28,FALSE)))))))))
))/
IF(OR($X$5=TRUE,$AC$3=TRUE
),($F$5/2), IF(OR($X$2,$X$3,$X$4,$X$6,$X$7,$X$8,$Z$2,$Z$3,$Z$4,$Z$5,$Z$6,$Z$7,$Z$8)=TRUE,$F$5)),0),"-")</f>
        <v>-</v>
      </c>
      <c r="H102" s="36" t="str">
        <f>IFERROR(
ROUNDUP(
IF(AND($U$5=FALSE,$U$4=FALSE),"-",IF(AND($U$5=TRUE,$U$4=TRUE),"-",
IF((AND($U$4=TRUE,$U$5=FALSE,$U$6=FALSE,$U$7=FALSE)),VLOOKUP($E102,'Status Thresholds'!$E:$AR,4,FALSE),IF((AND($U$4=TRUE,$U$5=FALSE,$U$6=TRUE,$U$7=FALSE)),VLOOKUP($E102,'Status Thresholds'!$E:$AR,14,FALSE),IF((AND($U$4=TRUE,$U$5=FALSE,$U$6=TRUE,$U$7=TRUE)),VLOOKUP($E102,'Status Thresholds'!$E:$AR,19,FALSE),IF((AND($U$4=TRUE,$U$5=FALSE,$U$6=FALSE,$U$7=TRUE)),VLOOKUP($E102,'Status Thresholds'!$E:$AR,9,FALSE),
IF((AND($U$4=FALSE,$U$5=TRUE,$U$6=FALSE,$U$7=FALSE)),VLOOKUP($E102,'Status Thresholds'!$E:$AR,24,FALSE),IF((AND($U$4=FALSE,$U$5=TRUE,$U$6=TRUE,$U$7=FALSE)),VLOOKUP($E102,'Status Thresholds'!$E:$AR,34,FALSE),IF((AND($U$4=FALSE,$U$5=TRUE,$U$6=TRUE,$U$7=TRUE)),VLOOKUP($E102,'Status Thresholds'!$E:$AR,39,FALSE),IF((AND($U$4=FALSE,$U$5=TRUE,$U$6=FALSE,$U$7=TRUE)),VLOOKUP($E102,'Status Thresholds'!$E:$AR,29,FALSE)))))))))
))/
IF(OR($X$5=TRUE,$AC$3=TRUE
),($F$5/2), IF(OR($X$2,$X$3,$X$4,$X$6,$X$7,$X$8,$Z$2,$Z$3,$Z$4,$Z$5,$Z$6,$Z$7,$Z$8)=TRUE,$F$5)),0),"-")</f>
        <v>-</v>
      </c>
      <c r="I102" s="36" t="str">
        <f>IFERROR(
ROUNDUP(
IF(AND($U$5=FALSE,$U$4=FALSE),"-",IF(AND($U$5=TRUE,$U$4=TRUE),"-",
IF((AND($U$4=TRUE,$U$5=FALSE,$U$6=FALSE,$U$7=FALSE)),VLOOKUP($E102,'Status Thresholds'!$E:$AR,5,FALSE),IF((AND($U$4=TRUE,$U$5=FALSE,$U$6=TRUE,$U$7=FALSE)),VLOOKUP($E102,'Status Thresholds'!$E:$AR,15,FALSE),IF((AND($U$4=TRUE,$U$5=FALSE,$U$6=TRUE,$U$7=TRUE)),VLOOKUP($E102,'Status Thresholds'!$E:$AR,20,FALSE),IF((AND($U$4=TRUE,$U$5=FALSE,$U$6=FALSE,$U$7=TRUE)),VLOOKUP($E102,'Status Thresholds'!$E:$AR,10,FALSE),
IF((AND($U$4=FALSE,$U$5=TRUE,$U$6=FALSE,$U$7=FALSE)),VLOOKUP($E102,'Status Thresholds'!$E:$AR,25,FALSE),IF((AND($U$4=FALSE,$U$5=TRUE,$U$6=TRUE,$U$7=FALSE)),VLOOKUP($E102,'Status Thresholds'!$E:$AR,35,FALSE),IF((AND($U$4=FALSE,$U$5=TRUE,$U$6=TRUE,$U$7=TRUE)),VLOOKUP($E102,'Status Thresholds'!$E:$AR,40,FALSE),IF((AND($U$4=FALSE,$U$5=TRUE,$U$6=FALSE,$U$7=TRUE)),VLOOKUP($E102,'Status Thresholds'!$E:$AR,30,FALSE)))))))))
))/
IF(OR($X$5=TRUE,$AC$3=TRUE
),($F$5/2), IF(OR($X$2,$X$3,$X$4,$X$6,$X$7,$X$8,$Z$2,$Z$3,$Z$4,$Z$5,$Z$6,$Z$7,$Z$8)=TRUE,$F$5)),0),"-")</f>
        <v>-</v>
      </c>
      <c r="J102" s="46">
        <f>IFERROR(IF(AND($U$5=FALSE,$U$4=FALSE),"-",VLOOKUP($E102,'Status Thresholds'!$E:$AU,41,FALSE)),"-")</f>
        <v>60</v>
      </c>
      <c r="K102" s="46" t="str">
        <f>IFERROR(IF(AND($U$5=FALSE,$U$4=FALSE),"-",VLOOKUP($E102,'Status Thresholds'!$E:$AU,42,FALSE)),"-")</f>
        <v>-</v>
      </c>
      <c r="L102" s="46" t="str">
        <f>IFERROR(IF(AND($U$5=FALSE,$U$4=FALSE),"-",VLOOKUP($E102,'Status Thresholds'!$E:$AU,43,FALSE)),"-")</f>
        <v>-</v>
      </c>
    </row>
    <row r="103" spans="1:12" x14ac:dyDescent="0.25">
      <c r="A103" s="35"/>
      <c r="B103" s="64" t="str">
        <f>VLOOKUP(C103,'Status Thresholds'!B:C,2,FALSE)</f>
        <v>MHGU</v>
      </c>
      <c r="C103" s="64" t="str">
        <f>IF('Status Thresholds'!B98=0, "", 'Status Thresholds'!B98)</f>
        <v>Basarios</v>
      </c>
      <c r="D103" s="10" t="s">
        <v>22</v>
      </c>
      <c r="E103" s="36" t="str">
        <f t="shared" si="1"/>
        <v>BasariosExhaust</v>
      </c>
      <c r="F103" s="36" t="str">
        <f>IFERROR(
ROUNDUP(
IF(AND($U$5=FALSE,$U$4=FALSE),"-",IF(AND($U$5=TRUE,$U$4=TRUE),"-",
IF((AND($U$4=TRUE,$U$5=FALSE,$U$6=FALSE,$U$7=FALSE)),VLOOKUP($E103,'Status Thresholds'!$E:$AR,2,FALSE),IF((AND($U$4=TRUE,$U$5=FALSE,$U$6=TRUE,$U$7=FALSE)),VLOOKUP($E103,'Status Thresholds'!$E:$AR,12,FALSE),IF((AND($U$4=TRUE,$U$5=FALSE,$U$6=TRUE,$U$7=TRUE)),VLOOKUP($E103,'Status Thresholds'!$E:$AR,17,FALSE),IF((AND($U$4=TRUE,$U$5=FALSE,$U$6=FALSE,$U$7=TRUE)),VLOOKUP($E103,'Status Thresholds'!$E:$AR,7,FALSE),
IF((AND($U$4=FALSE,$U$5=TRUE,$U$6=FALSE,$U$7=FALSE)),VLOOKUP($E103,'Status Thresholds'!$E:$AR,22,FALSE),IF((AND($U$4=FALSE,$U$5=TRUE,$U$6=TRUE,$U$7=FALSE)),VLOOKUP($E103,'Status Thresholds'!$E:$AR,32,FALSE),IF((AND($U$4=FALSE,$U$5=TRUE,$U$6=TRUE,$U$7=TRUE)),VLOOKUP($E103,'Status Thresholds'!$E:$AR,37,FALSE),IF((AND($U$4=FALSE,$U$5=TRUE,$U$6=FALSE,$U$7=TRUE)),VLOOKUP($E103,'Status Thresholds'!$E:$AR,27,FALSE)))))))))
))/
IF(OR($X$5=TRUE,$AC$3=TRUE
),($F$6/2), IF(OR($X$2,$X$3,$X$4,$X$6,$X$7,$X$8,$Z$2,$Z$3,$Z$4,$Z$5,$Z$6,$Z$7,$Z$8)=TRUE,$F$6)),0),"-")</f>
        <v>-</v>
      </c>
      <c r="G103" s="36" t="str">
        <f>IFERROR(
ROUNDUP(
IF(AND($U$5=FALSE,$U$4=FALSE),"-",IF(AND($U$5=TRUE,$U$4=TRUE),"-",
IF((AND($U$4=TRUE,$U$5=FALSE,$U$6=FALSE,$U$7=FALSE)),VLOOKUP($E103,'Status Thresholds'!$E:$AR,3,FALSE),IF((AND($U$4=TRUE,$U$5=FALSE,$U$6=TRUE,$U$7=FALSE)),VLOOKUP($E103,'Status Thresholds'!$E:$AR,13,FALSE),IF((AND($U$4=TRUE,$U$5=FALSE,$U$6=TRUE,$U$7=TRUE)),VLOOKUP($E103,'Status Thresholds'!$E:$AR,18,FALSE),IF((AND($U$4=TRUE,$U$5=FALSE,$U$6=FALSE,$U$7=TRUE)),VLOOKUP($E103,'Status Thresholds'!$E:$AR,8,FALSE),
IF((AND($U$4=FALSE,$U$5=TRUE,$U$6=FALSE,$U$7=FALSE)),VLOOKUP($E103,'Status Thresholds'!$E:$AR,23,FALSE),IF((AND($U$4=FALSE,$U$5=TRUE,$U$6=TRUE,$U$7=FALSE)),VLOOKUP($E103,'Status Thresholds'!$E:$AR,33,FALSE),IF((AND($U$4=FALSE,$U$5=TRUE,$U$6=TRUE,$U$7=TRUE)),VLOOKUP($E103,'Status Thresholds'!$E:$AR,38,FALSE),IF((AND($U$4=FALSE,$U$5=TRUE,$U$6=FALSE,$U$7=TRUE)),VLOOKUP($E103,'Status Thresholds'!$E:$AR,28,FALSE)))))))))
))/
IF(OR($X$5=TRUE,$AC$3=TRUE
),($F$6/2), IF(OR($X$2,$X$3,$X$4,$X$6,$X$7,$X$8,$Z$2,$Z$3,$Z$4,$Z$5,$Z$6,$Z$7,$Z$8)=TRUE,$F$6)),0),"-")</f>
        <v>-</v>
      </c>
      <c r="H103" s="36" t="str">
        <f>IFERROR(
ROUNDUP(
IF(AND($U$5=FALSE,$U$4=FALSE),"-",IF(AND($U$5=TRUE,$U$4=TRUE),"-",
IF((AND($U$4=TRUE,$U$5=FALSE,$U$6=FALSE,$U$7=FALSE)),VLOOKUP($E103,'Status Thresholds'!$E:$AR,4,FALSE),IF((AND($U$4=TRUE,$U$5=FALSE,$U$6=TRUE,$U$7=FALSE)),VLOOKUP($E103,'Status Thresholds'!$E:$AR,14,FALSE),IF((AND($U$4=TRUE,$U$5=FALSE,$U$6=TRUE,$U$7=TRUE)),VLOOKUP($E103,'Status Thresholds'!$E:$AR,19,FALSE),IF((AND($U$4=TRUE,$U$5=FALSE,$U$6=FALSE,$U$7=TRUE)),VLOOKUP($E103,'Status Thresholds'!$E:$AR,9,FALSE),
IF((AND($U$4=FALSE,$U$5=TRUE,$U$6=FALSE,$U$7=FALSE)),VLOOKUP($E103,'Status Thresholds'!$E:$AR,24,FALSE),IF((AND($U$4=FALSE,$U$5=TRUE,$U$6=TRUE,$U$7=FALSE)),VLOOKUP($E103,'Status Thresholds'!$E:$AR,34,FALSE),IF((AND($U$4=FALSE,$U$5=TRUE,$U$6=TRUE,$U$7=TRUE)),VLOOKUP($E103,'Status Thresholds'!$E:$AR,39,FALSE),IF((AND($U$4=FALSE,$U$5=TRUE,$U$6=FALSE,$U$7=TRUE)),VLOOKUP($E103,'Status Thresholds'!$E:$AR,29,FALSE)))))))))
))/
IF(OR($X$5=TRUE,$AC$3=TRUE
),($F$6/2), IF(OR($X$2,$X$3,$X$4,$X$6,$X$7,$X$8,$Z$2,$Z$3,$Z$4,$Z$5,$Z$6,$Z$7,$Z$8)=TRUE,$F$6)),0),"-")</f>
        <v>-</v>
      </c>
      <c r="I103" s="36" t="str">
        <f>IFERROR(
ROUNDUP(
IF(AND($U$5=FALSE,$U$4=FALSE),"-",IF(AND($U$5=TRUE,$U$4=TRUE),"-",
IF((AND($U$4=TRUE,$U$5=FALSE,$U$6=FALSE,$U$7=FALSE)),VLOOKUP($E103,'Status Thresholds'!$E:$AR,5,FALSE),IF((AND($U$4=TRUE,$U$5=FALSE,$U$6=TRUE,$U$7=FALSE)),VLOOKUP($E103,'Status Thresholds'!$E:$AR,15,FALSE),IF((AND($U$4=TRUE,$U$5=FALSE,$U$6=TRUE,$U$7=TRUE)),VLOOKUP($E103,'Status Thresholds'!$E:$AR,20,FALSE),IF((AND($U$4=TRUE,$U$5=FALSE,$U$6=FALSE,$U$7=TRUE)),VLOOKUP($E103,'Status Thresholds'!$E:$AR,10,FALSE),
IF((AND($U$4=FALSE,$U$5=TRUE,$U$6=FALSE,$U$7=FALSE)),VLOOKUP($E103,'Status Thresholds'!$E:$AR,25,FALSE),IF((AND($U$4=FALSE,$U$5=TRUE,$U$6=TRUE,$U$7=FALSE)),VLOOKUP($E103,'Status Thresholds'!$E:$AR,35,FALSE),IF((AND($U$4=FALSE,$U$5=TRUE,$U$6=TRUE,$U$7=TRUE)),VLOOKUP($E103,'Status Thresholds'!$E:$AR,40,FALSE),IF((AND($U$4=FALSE,$U$5=TRUE,$U$6=FALSE,$U$7=TRUE)),VLOOKUP($E103,'Status Thresholds'!$E:$AR,30,FALSE)))))))))
))/
IF(OR($X$5=TRUE,$AC$3=TRUE
),($F$6/2), IF(OR($X$2,$X$3,$X$4,$X$6,$X$7,$X$8,$Z$2,$Z$3,$Z$4,$Z$5,$Z$6,$Z$7,$Z$8)=TRUE,$F$6)),0),"-")</f>
        <v>-</v>
      </c>
      <c r="J103" s="46">
        <f>IFERROR(IF(AND($U$5=FALSE,$U$4=FALSE),"-",VLOOKUP($E103,'Status Thresholds'!$E:$AU,41,FALSE)),"-")</f>
        <v>0</v>
      </c>
      <c r="K103" s="46" t="str">
        <f>IFERROR(IF(AND($U$5=FALSE,$U$4=FALSE),"-",VLOOKUP($E103,'Status Thresholds'!$E:$AU,42,FALSE)),"-")</f>
        <v>-</v>
      </c>
      <c r="L103" s="46" t="str">
        <f>IFERROR(IF(AND($U$5=FALSE,$U$4=FALSE),"-",VLOOKUP($E103,'Status Thresholds'!$E:$AU,43,FALSE)),"-")</f>
        <v>-</v>
      </c>
    </row>
    <row r="104" spans="1:12" x14ac:dyDescent="0.25">
      <c r="A104" s="35"/>
      <c r="B104" s="64" t="str">
        <f>VLOOKUP(C104,'Status Thresholds'!B:C,2,FALSE)</f>
        <v>MHGU</v>
      </c>
      <c r="C104" s="64" t="str">
        <f>IF('Status Thresholds'!B99=0, "", 'Status Thresholds'!B99)</f>
        <v>Basarios</v>
      </c>
      <c r="D104" s="30" t="s">
        <v>35</v>
      </c>
      <c r="E104" s="36" t="str">
        <f t="shared" si="1"/>
        <v>BasariosBlast</v>
      </c>
      <c r="F104" s="36" t="str">
        <f>IFERROR(
ROUNDUP(
IF(AND($U$5=FALSE,$U$4=FALSE),"-",IF(AND($U$5=TRUE,$U$4=TRUE),"-",
IF((AND($U$4=TRUE,$U$5=FALSE,$U$6=FALSE,$U$7=FALSE)),VLOOKUP($E104,'Status Thresholds'!$E:$AR,2,FALSE),IF((AND($U$4=TRUE,$U$5=FALSE,$U$6=TRUE,$U$7=FALSE)),VLOOKUP($E104,'Status Thresholds'!$E:$AR,12,FALSE),IF((AND($U$4=TRUE,$U$5=FALSE,$U$6=TRUE,$U$7=TRUE)),VLOOKUP($E104,'Status Thresholds'!$E:$AR,17,FALSE),IF((AND($U$4=TRUE,$U$5=FALSE,$U$6=FALSE,$U$7=TRUE)),VLOOKUP($E104,'Status Thresholds'!$E:$AR,7,FALSE),
IF((AND($U$4=FALSE,$U$5=TRUE,$U$6=FALSE,$U$7=FALSE)),VLOOKUP($E104,'Status Thresholds'!$E:$AR,22,FALSE),IF((AND($U$4=FALSE,$U$5=TRUE,$U$6=TRUE,$U$7=FALSE)),VLOOKUP($E104,'Status Thresholds'!$E:$AR,32,FALSE),IF((AND($U$4=FALSE,$U$5=TRUE,$U$6=TRUE,$U$7=TRUE)),VLOOKUP($E104,'Status Thresholds'!$E:$AR,37,FALSE),IF((AND($U$4=FALSE,$U$5=TRUE,$U$6=FALSE,$U$7=TRUE)),VLOOKUP($E104,'Status Thresholds'!$E:$AR,27,FALSE)))))))))
))/
IF(OR($X$5=TRUE,$AC$3=TRUE
),($F$7/2), IF(OR($X$2,$X$3,$X$4,$X$6,$X$7,$X$8,$Z$2,$Z$3,$Z$4,$Z$5,$Z$6,$Z$7,$Z$8)=TRUE,$F$7)),0),"-")</f>
        <v>-</v>
      </c>
      <c r="G104" s="36" t="str">
        <f>IFERROR(
ROUNDUP(
IF(AND($U$5=FALSE,$U$4=FALSE),"-",IF(AND($U$5=TRUE,$U$4=TRUE),"-",
IF((AND($U$4=TRUE,$U$5=FALSE,$U$6=FALSE,$U$7=FALSE)),VLOOKUP($E104,'Status Thresholds'!$E:$AR,3,FALSE),IF((AND($U$4=TRUE,$U$5=FALSE,$U$6=TRUE,$U$7=FALSE)),VLOOKUP($E104,'Status Thresholds'!$E:$AR,13,FALSE),IF((AND($U$4=TRUE,$U$5=FALSE,$U$6=TRUE,$U$7=TRUE)),VLOOKUP($E104,'Status Thresholds'!$E:$AR,18,FALSE),IF((AND($U$4=TRUE,$U$5=FALSE,$U$6=FALSE,$U$7=TRUE)),VLOOKUP($E104,'Status Thresholds'!$E:$AR,8,FALSE),
IF((AND($U$4=FALSE,$U$5=TRUE,$U$6=FALSE,$U$7=FALSE)),VLOOKUP($E104,'Status Thresholds'!$E:$AR,23,FALSE),IF((AND($U$4=FALSE,$U$5=TRUE,$U$6=TRUE,$U$7=FALSE)),VLOOKUP($E104,'Status Thresholds'!$E:$AR,33,FALSE),IF((AND($U$4=FALSE,$U$5=TRUE,$U$6=TRUE,$U$7=TRUE)),VLOOKUP($E104,'Status Thresholds'!$E:$AR,38,FALSE),IF((AND($U$4=FALSE,$U$5=TRUE,$U$6=FALSE,$U$7=TRUE)),VLOOKUP($E104,'Status Thresholds'!$E:$AR,28,FALSE)))))))))
))/
IF(OR($X$5=TRUE,$AC$3=TRUE
),($F$7/2), IF(OR($X$2,$X$3,$X$4,$X$6,$X$7,$X$8,$Z$2,$Z$3,$Z$4,$Z$5,$Z$6,$Z$7,$Z$8)=TRUE,$F$7)),0),"-")</f>
        <v>-</v>
      </c>
      <c r="H104" s="36" t="str">
        <f>IFERROR(
ROUNDUP(
IF(AND($U$5=FALSE,$U$4=FALSE),"-",IF(AND($U$5=TRUE,$U$4=TRUE),"-",
IF((AND($U$4=TRUE,$U$5=FALSE,$U$6=FALSE,$U$7=FALSE)),VLOOKUP($E104,'Status Thresholds'!$E:$AR,4,FALSE),IF((AND($U$4=TRUE,$U$5=FALSE,$U$6=TRUE,$U$7=FALSE)),VLOOKUP($E104,'Status Thresholds'!$E:$AR,14,FALSE),IF((AND($U$4=TRUE,$U$5=FALSE,$U$6=TRUE,$U$7=TRUE)),VLOOKUP($E104,'Status Thresholds'!$E:$AR,19,FALSE),IF((AND($U$4=TRUE,$U$5=FALSE,$U$6=FALSE,$U$7=TRUE)),VLOOKUP($E104,'Status Thresholds'!$E:$AR,9,FALSE),
IF((AND($U$4=FALSE,$U$5=TRUE,$U$6=FALSE,$U$7=FALSE)),VLOOKUP($E104,'Status Thresholds'!$E:$AR,24,FALSE),IF((AND($U$4=FALSE,$U$5=TRUE,$U$6=TRUE,$U$7=FALSE)),VLOOKUP($E104,'Status Thresholds'!$E:$AR,34,FALSE),IF((AND($U$4=FALSE,$U$5=TRUE,$U$6=TRUE,$U$7=TRUE)),VLOOKUP($E104,'Status Thresholds'!$E:$AR,39,FALSE),IF((AND($U$4=FALSE,$U$5=TRUE,$U$6=FALSE,$U$7=TRUE)),VLOOKUP($E104,'Status Thresholds'!$E:$AR,29,FALSE)))))))))
))/
IF(OR($X$5=TRUE,$AC$3=TRUE
),($F$7/2), IF(OR($X$2,$X$3,$X$4,$X$6,$X$7,$X$8,$Z$2,$Z$3,$Z$4,$Z$5,$Z$6,$Z$7,$Z$8)=TRUE,$F$7)),0),"-")</f>
        <v>-</v>
      </c>
      <c r="I104" s="36" t="str">
        <f>IFERROR(
ROUNDUP(
IF(AND($U$5=FALSE,$U$4=FALSE),"-",IF(AND($U$5=TRUE,$U$4=TRUE),"-",
IF((AND($U$4=TRUE,$U$5=FALSE,$U$6=FALSE,$U$7=FALSE)),VLOOKUP($E104,'Status Thresholds'!$E:$AR,5,FALSE),IF((AND($U$4=TRUE,$U$5=FALSE,$U$6=TRUE,$U$7=FALSE)),VLOOKUP($E104,'Status Thresholds'!$E:$AR,15,FALSE),IF((AND($U$4=TRUE,$U$5=FALSE,$U$6=TRUE,$U$7=TRUE)),VLOOKUP($E104,'Status Thresholds'!$E:$AR,20,FALSE),IF((AND($U$4=TRUE,$U$5=FALSE,$U$6=FALSE,$U$7=TRUE)),VLOOKUP($E104,'Status Thresholds'!$E:$AR,10,FALSE),
IF((AND($U$4=FALSE,$U$5=TRUE,$U$6=FALSE,$U$7=FALSE)),VLOOKUP($E104,'Status Thresholds'!$E:$AR,25,FALSE),IF((AND($U$4=FALSE,$U$5=TRUE,$U$6=TRUE,$U$7=FALSE)),VLOOKUP($E104,'Status Thresholds'!$E:$AR,35,FALSE),IF((AND($U$4=FALSE,$U$5=TRUE,$U$6=TRUE,$U$7=TRUE)),VLOOKUP($E104,'Status Thresholds'!$E:$AR,40,FALSE),IF((AND($U$4=FALSE,$U$5=TRUE,$U$6=FALSE,$U$7=TRUE)),VLOOKUP($E104,'Status Thresholds'!$E:$AR,30,FALSE)))))))))
))/
IF(OR($X$5=TRUE,$AC$3=TRUE
),($F$7/2), IF(OR($X$2,$X$3,$X$4,$X$6,$X$7,$X$8,$Z$2,$Z$3,$Z$4,$Z$5,$Z$6,$Z$7,$Z$8)=TRUE,$F$7)),0),"-")</f>
        <v>-</v>
      </c>
      <c r="J104" s="46">
        <f>IFERROR(IF(AND($U$5=FALSE,$U$4=FALSE),"-",VLOOKUP($E104,'Status Thresholds'!$E:$AU,41,FALSE)),"-")</f>
        <v>0</v>
      </c>
      <c r="K104" s="46" t="str">
        <f>IFERROR(IF(AND($U$5=FALSE,$U$4=FALSE),"-",VLOOKUP($E104,'Status Thresholds'!$E:$AU,42,FALSE)),"-")</f>
        <v>-</v>
      </c>
      <c r="L104" s="46" t="str">
        <f>IFERROR(IF(AND($U$5=FALSE,$U$4=FALSE),"-",VLOOKUP($E104,'Status Thresholds'!$E:$AU,43,FALSE)),"-")</f>
        <v>-</v>
      </c>
    </row>
    <row r="105" spans="1:12" ht="14.45" customHeight="1" x14ac:dyDescent="0.25">
      <c r="A105" s="35"/>
      <c r="B105" s="64" t="str">
        <f>VLOOKUP(C105,'Status Thresholds'!B:C,2,FALSE)</f>
        <v>MHGU</v>
      </c>
      <c r="C105" s="64" t="str">
        <f>IF('Status Thresholds'!B100=0, "", 'Status Thresholds'!B100)</f>
        <v>Basarios</v>
      </c>
      <c r="D105" s="34" t="s">
        <v>14</v>
      </c>
      <c r="E105" s="36" t="str">
        <f t="shared" si="1"/>
        <v>BasariosKO</v>
      </c>
      <c r="F105" s="36" t="s">
        <v>214</v>
      </c>
      <c r="G105" s="36" t="s">
        <v>214</v>
      </c>
      <c r="H105" s="36" t="s">
        <v>214</v>
      </c>
      <c r="I105" s="36" t="s">
        <v>214</v>
      </c>
      <c r="J105" s="46">
        <f>IFERROR(IF(AND($U$5=FALSE,$U$4=FALSE),"-",VLOOKUP($E105,'Status Thresholds'!$E:$AU,41,FALSE)),"-")</f>
        <v>10</v>
      </c>
      <c r="K105" s="46" t="str">
        <f>IFERROR(IF(AND($U$5=FALSE,$U$4=FALSE),"-",VLOOKUP($E105,'Status Thresholds'!$E:$AU,42,FALSE)),"-")</f>
        <v>-</v>
      </c>
      <c r="L105" s="46" t="str">
        <f>IFERROR(IF(AND($U$5=FALSE,$U$4=FALSE),"-",VLOOKUP($E105,'Status Thresholds'!$E:$AU,43,FALSE)),"-")</f>
        <v>-</v>
      </c>
    </row>
    <row r="106" spans="1:12" x14ac:dyDescent="0.25">
      <c r="A106" s="35"/>
      <c r="B106" s="64" t="str">
        <f>VLOOKUP(C106,'Status Thresholds'!B:C,2,FALSE)</f>
        <v>MHGU</v>
      </c>
      <c r="C106" s="64" t="str">
        <f>IF('Status Thresholds'!B101=0, "", 'Status Thresholds'!B101)</f>
        <v>Basarios</v>
      </c>
      <c r="D106" s="33" t="s">
        <v>34</v>
      </c>
      <c r="E106" s="36" t="str">
        <f t="shared" si="1"/>
        <v>BasariosMount</v>
      </c>
      <c r="F106" s="36" t="str">
        <f>IFERROR(
ROUNDUP(
IF(AND($U$5=FALSE,$U$4=FALSE),"-",IF(AND($U$5=TRUE,$U$4=TRUE),"-",
IF((AND($U$4=TRUE,$U$5=FALSE,$U$6=FALSE,$U$7=FALSE)),VLOOKUP($E106,'Status Thresholds'!$E:$AR,2,FALSE),IF((AND($U$4=TRUE,$U$5=FALSE,$U$6=TRUE,$U$7=FALSE)),VLOOKUP($E106,'Status Thresholds'!$E:$AR,12,FALSE),IF((AND($U$4=TRUE,$U$5=FALSE,$U$6=TRUE,$U$7=TRUE)),VLOOKUP($E106,'Status Thresholds'!$E:$AR,17,FALSE),IF((AND($U$4=TRUE,$U$5=FALSE,$U$6=FALSE,$U$7=TRUE)),VLOOKUP($E106,'Status Thresholds'!$E:$AR,7,FALSE),
IF((AND($U$4=FALSE,$U$5=TRUE,$U$6=FALSE,$U$7=FALSE)),VLOOKUP($E106,'Status Thresholds'!$E:$AR,22,FALSE),IF((AND($U$4=FALSE,$U$5=TRUE,$U$6=TRUE,$U$7=FALSE)),VLOOKUP($E106,'Status Thresholds'!$E:$AR,32,FALSE),IF((AND($U$4=FALSE,$U$5=TRUE,$U$6=TRUE,$U$7=TRUE)),VLOOKUP($E106,'Status Thresholds'!$E:$AR,37,FALSE),IF((AND($U$4=FALSE,$U$5=TRUE,$U$6=FALSE,$U$7=TRUE)),VLOOKUP($E106,'Status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106" s="36" t="str">
        <f>IFERROR(
ROUNDUP(
IF(AND($U$5=FALSE,$U$4=FALSE),"-",IF(AND($U$5=TRUE,$U$4=TRUE),"-",
IF((AND($U$4=TRUE,$U$5=FALSE,$U$6=FALSE,$U$7=FALSE)),VLOOKUP($E105,'Status Thresholds'!$E:$AR,3,FALSE),IF((AND($U$4=TRUE,$U$5=FALSE,$U$6=TRUE,$U$7=FALSE)),VLOOKUP($E105,'Status Thresholds'!$E:$AR,13,FALSE),IF((AND($U$4=TRUE,$U$5=FALSE,$U$6=TRUE,$U$7=TRUE)),VLOOKUP($E105,'Status Thresholds'!$E:$AR,18,FALSE),IF((AND($U$4=TRUE,$U$5=FALSE,$U$6=FALSE,$U$7=TRUE)),VLOOKUP($E105,'Status Thresholds'!$E:$AR,8,FALSE),
IF((AND($U$4=FALSE,$U$5=TRUE,$U$6=FALSE,$U$7=FALSE)),VLOOKUP($E105,'Status Thresholds'!$E:$AR,23,FALSE),IF((AND($U$4=FALSE,$U$5=TRUE,$U$6=TRUE,$U$7=FALSE)),VLOOKUP($E105,'Status Thresholds'!$E:$AR,33,FALSE),IF((AND($U$4=FALSE,$U$5=TRUE,$U$6=TRUE,$U$7=TRUE)),VLOOKUP($E105,'Status Thresholds'!$E:$AR,38,FALSE),IF((AND($U$4=FALSE,$U$5=TRUE,$U$6=FALSE,$U$7=TRUE)),VLOOKUP($E105,'Status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106" s="36" t="str">
        <f>IFERROR(
ROUNDUP(
IF(AND($U$5=FALSE,$U$4=FALSE),"-",IF(AND($U$5=TRUE,$U$4=TRUE),"-",
IF((AND($U$4=TRUE,$U$5=FALSE,$U$6=FALSE,$U$7=FALSE)),VLOOKUP($E105,'Status Thresholds'!$E:$AR,4,FALSE),IF((AND($U$4=TRUE,$U$5=FALSE,$U$6=TRUE,$U$7=FALSE)),VLOOKUP($E105,'Status Thresholds'!$E:$AR,14,FALSE),IF((AND($U$4=TRUE,$U$5=FALSE,$U$6=TRUE,$U$7=TRUE)),VLOOKUP($E105,'Status Thresholds'!$E:$AR,19,FALSE),IF((AND($U$4=TRUE,$U$5=FALSE,$U$6=FALSE,$U$7=TRUE)),VLOOKUP($E105,'Status Thresholds'!$E:$AR,9,FALSE),
IF((AND($U$4=FALSE,$U$5=TRUE,$U$6=FALSE,$U$7=FALSE)),VLOOKUP($E105,'Status Thresholds'!$E:$AR,24,FALSE),IF((AND($U$4=FALSE,$U$5=TRUE,$U$6=TRUE,$U$7=FALSE)),VLOOKUP($E105,'Status Thresholds'!$E:$AR,34,FALSE),IF((AND($U$4=FALSE,$U$5=TRUE,$U$6=TRUE,$U$7=TRUE)),VLOOKUP($E105,'Status Thresholds'!$E:$AR,39,FALSE),IF((AND($U$4=FALSE,$U$5=TRUE,$U$6=FALSE,$U$7=TRUE)),VLOOKUP($E105,'Status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106" s="36" t="str">
        <f>IFERROR(
ROUNDUP(
IF(AND($U$5=FALSE,$U$4=FALSE),"-",IF(AND($U$5=TRUE,$U$4=TRUE),"-",
IF((AND($U$4=TRUE,$U$5=FALSE,$U$6=FALSE,$U$7=FALSE)),VLOOKUP($E105,'Status Thresholds'!$E:$AR,5,FALSE),IF((AND($U$4=TRUE,$U$5=FALSE,$U$6=TRUE,$U$7=FALSE)),VLOOKUP($E105,'Status Thresholds'!$E:$AR,15,FALSE),IF((AND($U$4=TRUE,$U$5=FALSE,$U$6=TRUE,$U$7=TRUE)),VLOOKUP($E105,'Status Thresholds'!$E:$AR,20,FALSE),IF((AND($U$4=TRUE,$U$5=FALSE,$U$6=FALSE,$U$7=TRUE)),VLOOKUP($E105,'Status Thresholds'!$E:$AR,10,FALSE),
IF((AND($U$4=FALSE,$U$5=TRUE,$U$6=FALSE,$U$7=FALSE)),VLOOKUP($E105,'Status Thresholds'!$E:$AR,25,FALSE),IF((AND($U$4=FALSE,$U$5=TRUE,$U$6=TRUE,$U$7=FALSE)),VLOOKUP($E105,'Status Thresholds'!$E:$AR,35,FALSE),IF((AND($U$4=FALSE,$U$5=TRUE,$U$6=TRUE,$U$7=TRUE)),VLOOKUP($E105,'Status Thresholds'!$E:$AR,40,FALSE),IF((AND($U$4=FALSE,$U$5=TRUE,$U$6=FALSE,$U$7=TRUE)),VLOOKUP($E105,'Status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106" s="46">
        <f>IFERROR(IF(AND($U$5=FALSE,$U$4=FALSE),"-",VLOOKUP($E106,'Status Thresholds'!$E:$AU,41,FALSE)),"-")</f>
        <v>0</v>
      </c>
      <c r="K106" s="46" t="str">
        <f>IFERROR(IF(AND($U$5=FALSE,$U$4=FALSE),"-",VLOOKUP($E106,'Status Thresholds'!$E:$AU,42,FALSE)),"-")</f>
        <v>-</v>
      </c>
      <c r="L106" s="46" t="str">
        <f>IFERROR(IF(AND($U$5=FALSE,$U$4=FALSE),"-",VLOOKUP($E106,'Status Thresholds'!$E:$AU,43,FALSE)),"-")</f>
        <v>-</v>
      </c>
    </row>
    <row r="107" spans="1:12" ht="15" customHeight="1" x14ac:dyDescent="0.25">
      <c r="A107" s="35"/>
      <c r="B107" s="64" t="str">
        <f>VLOOKUP(C107,'Status Thresholds'!B:C,2,FALSE)</f>
        <v>MHGU</v>
      </c>
      <c r="C107" s="64" t="str">
        <f>IF('Status Thresholds'!B102=0, "", 'Status Thresholds'!B102)</f>
        <v>Basarios</v>
      </c>
      <c r="D107" s="77" t="s">
        <v>207</v>
      </c>
      <c r="E107" s="36" t="str">
        <f t="shared" si="1"/>
        <v>BasariosShock Trap</v>
      </c>
      <c r="F107" s="76" t="s">
        <v>214</v>
      </c>
      <c r="G107" s="46" t="s">
        <v>214</v>
      </c>
      <c r="H107" s="46" t="s">
        <v>214</v>
      </c>
      <c r="I107" s="46" t="s">
        <v>214</v>
      </c>
      <c r="J107" s="46">
        <f>IFERROR(IF(AND($U$5=FALSE,$U$4=FALSE),"-",VLOOKUP($E107,'Status Thresholds'!$E:$AU,43,FALSE)),"-")</f>
        <v>8</v>
      </c>
      <c r="K107" s="46">
        <f>IFERROR(IF(AND($U$5=FALSE,$U$4=FALSE),"-",VLOOKUP($E107,'Status Thresholds'!$E:$AU,41,FALSE)),"-")</f>
        <v>8</v>
      </c>
      <c r="L107" s="46">
        <f>IFERROR(IF(AND($U$5=FALSE,$U$4=FALSE),"-",VLOOKUP($E107,'Status Thresholds'!$E:$AU,42,FALSE)),"-")</f>
        <v>15</v>
      </c>
    </row>
    <row r="108" spans="1:12" x14ac:dyDescent="0.25">
      <c r="A108" s="35"/>
      <c r="B108" s="64" t="str">
        <f>VLOOKUP(C108,'Status Thresholds'!B:C,2,FALSE)</f>
        <v>MHGU</v>
      </c>
      <c r="C108" s="64" t="str">
        <f>IF('Status Thresholds'!B103=0, "", 'Status Thresholds'!B103)</f>
        <v>Basarios</v>
      </c>
      <c r="D108" s="77" t="s">
        <v>213</v>
      </c>
      <c r="E108" s="36" t="str">
        <f t="shared" si="1"/>
        <v>BasariosPitfall Trap</v>
      </c>
      <c r="F108" s="46" t="s">
        <v>214</v>
      </c>
      <c r="G108" s="46" t="s">
        <v>214</v>
      </c>
      <c r="H108" s="46" t="s">
        <v>214</v>
      </c>
      <c r="I108" s="46" t="s">
        <v>214</v>
      </c>
      <c r="J108" s="46">
        <f>IFERROR(IF(AND($U$5=FALSE,$U$4=FALSE),"-",VLOOKUP($E108,'Status Thresholds'!$E:$AU,43,FALSE)),"-")</f>
        <v>10</v>
      </c>
      <c r="K108" s="46">
        <f>IFERROR(IF(AND($U$5=FALSE,$U$4=FALSE),"-",VLOOKUP($E108,'Status Thresholds'!$E:$AU,41,FALSE)),"-")</f>
        <v>10</v>
      </c>
      <c r="L108" s="46">
        <f>IFERROR(IF(AND($U$5=FALSE,$U$4=FALSE),"-",VLOOKUP($E108,'Status Thresholds'!$E:$AU,42,FALSE)),"-")</f>
        <v>20</v>
      </c>
    </row>
    <row r="109" spans="1:12" s="36" customFormat="1" x14ac:dyDescent="0.25">
      <c r="A109" s="64"/>
      <c r="B109" s="64" t="str">
        <f>VLOOKUP(C109,'Status Thresholds'!B:C,2,FALSE)</f>
        <v>MHGen</v>
      </c>
      <c r="C109" s="64" t="str">
        <f>IF('Status Thresholds'!B104=0, "", 'Status Thresholds'!B104)</f>
        <v>Blangonga</v>
      </c>
      <c r="D109" s="37" t="s">
        <v>0</v>
      </c>
      <c r="E109" s="36" t="str">
        <f t="shared" si="1"/>
        <v>BlangongaPara</v>
      </c>
      <c r="F109" s="36" t="str">
        <f>IFERROR(
ROUNDUP(
IF(AND($U$5=FALSE,$U$4=FALSE),"-",IF(AND($U$5=TRUE,$U$4=TRUE),"-",
IF((AND($U$4=TRUE,$U$5=FALSE,$U$6=FALSE,$U$7=FALSE)),VLOOKUP($E109,'Status Thresholds'!$E:$AR,2,FALSE),IF((AND($U$4=TRUE,$U$5=FALSE,$U$6=TRUE,$U$7=FALSE)),VLOOKUP($E109,'Status Thresholds'!$E:$AR,12,FALSE),IF((AND($U$4=TRUE,$U$5=FALSE,$U$6=TRUE,$U$7=TRUE)),VLOOKUP($E109,'Status Thresholds'!$E:$AR,17,FALSE),IF((AND($U$4=TRUE,$U$5=FALSE,$U$6=FALSE,$U$7=TRUE)),VLOOKUP($E109,'Status Thresholds'!$E:$AR,7,FALSE),
IF((AND($U$4=FALSE,$U$5=TRUE,$U$6=FALSE,$U$7=FALSE)),VLOOKUP($E109,'Status Thresholds'!$E:$AR,22,FALSE),IF((AND($U$4=FALSE,$U$5=TRUE,$U$6=TRUE,$U$7=FALSE)),VLOOKUP($E109,'Status Thresholds'!$E:$AR,32,FALSE),IF((AND($U$4=FALSE,$U$5=TRUE,$U$6=TRUE,$U$7=TRUE)),VLOOKUP($E109,'Status Thresholds'!$E:$AR,37,FALSE),IF((AND($U$4=FALSE,$U$5=TRUE,$U$6=FALSE,$U$7=TRUE)),VLOOKUP($E109,'Status Thresholds'!$E:$AR,27,FALSE)))))))))
))/
IF(OR($X$5=TRUE,$AC$3=TRUE
),($F$3/2), IF(OR($X$2,$X$3,$X$4,$X$6,$X$7,$X$8,$Z$2,$Z$3,$Z$4,$Z$5,$Z$6,$Z$7,$Z$8)=TRUE,$F$3)),0),"-")</f>
        <v>-</v>
      </c>
      <c r="G109" s="36" t="str">
        <f>IFERROR(
ROUNDUP(
IF(AND($U$5=FALSE,$U$4=FALSE),"-",IF(AND($U$5=TRUE,$U$4=TRUE),"-",
IF((AND($U$4=TRUE,$U$5=FALSE,$U$6=FALSE,$U$7=FALSE)),VLOOKUP($E109,'Status Thresholds'!$E:$AR,3,FALSE),IF((AND($U$4=TRUE,$U$5=FALSE,$U$6=TRUE,$U$7=FALSE)),VLOOKUP($E109,'Status Thresholds'!$E:$AR,13,FALSE),IF((AND($U$4=TRUE,$U$5=FALSE,$U$6=TRUE,$U$7=TRUE)),VLOOKUP($E109,'Status Thresholds'!$E:$AR,18,FALSE),IF((AND($U$4=TRUE,$U$5=FALSE,$U$6=FALSE,$U$7=TRUE)),VLOOKUP($E109,'Status Thresholds'!$E:$AR,8,FALSE),
IF((AND($U$4=FALSE,$U$5=TRUE,$U$6=FALSE,$U$7=FALSE)),VLOOKUP($E109,'Status Thresholds'!$E:$AR,23,FALSE),IF((AND($U$4=FALSE,$U$5=TRUE,$U$6=TRUE,$U$7=FALSE)),VLOOKUP($E109,'Status Thresholds'!$E:$AR,33,FALSE),IF((AND($U$4=FALSE,$U$5=TRUE,$U$6=TRUE,$U$7=TRUE)),VLOOKUP($E109,'Status Thresholds'!$E:$AR,38,FALSE),IF((AND($U$4=FALSE,$U$5=TRUE,$U$6=FALSE,$U$7=TRUE)),VLOOKUP($E109,'Status Thresholds'!$E:$AR,28,FALSE)))))))))
))/
IF(OR($X$5=TRUE,$AC$3=TRUE
),($F$3/2), IF(OR($X$2,$X$3,$X$4,$X$6,$X$7,$X$8,$Z$2,$Z$3,$Z$4,$Z$5,$Z$6,$Z$7,$Z$8)=TRUE,$F$3)),0),"-")</f>
        <v>-</v>
      </c>
      <c r="H109" s="36" t="str">
        <f>IFERROR(
ROUNDUP(
IF(AND($U$5=FALSE,$U$4=FALSE),"-",IF(AND($U$5=TRUE,$U$4=TRUE),"-",
IF((AND($U$4=TRUE,$U$5=FALSE,$U$6=FALSE,$U$7=FALSE)),VLOOKUP($E109,'Status Thresholds'!$E:$AR,4,FALSE),IF((AND($U$4=TRUE,$U$5=FALSE,$U$6=TRUE,$U$7=FALSE)),VLOOKUP($E109,'Status Thresholds'!$E:$AR,14,FALSE),IF((AND($U$4=TRUE,$U$5=FALSE,$U$6=TRUE,$U$7=TRUE)),VLOOKUP($E109,'Status Thresholds'!$E:$AR,19,FALSE),IF((AND($U$4=TRUE,$U$5=FALSE,$U$6=FALSE,$U$7=TRUE)),VLOOKUP($E109,'Status Thresholds'!$E:$AR,9,FALSE),
IF((AND($U$4=FALSE,$U$5=TRUE,$U$6=FALSE,$U$7=FALSE)),VLOOKUP($E109,'Status Thresholds'!$E:$AR,24,FALSE),IF((AND($U$4=FALSE,$U$5=TRUE,$U$6=TRUE,$U$7=FALSE)),VLOOKUP($E109,'Status Thresholds'!$E:$AR,34,FALSE),IF((AND($U$4=FALSE,$U$5=TRUE,$U$6=TRUE,$U$7=TRUE)),VLOOKUP($E109,'Status Thresholds'!$E:$AR,39,FALSE),IF((AND($U$4=FALSE,$U$5=TRUE,$U$6=FALSE,$U$7=TRUE)),VLOOKUP($E109,'Status Thresholds'!$E:$AR,29,FALSE)))))))))
))/
IF(OR($X$5=TRUE,$AC$3=TRUE
),($F$3/2), IF(OR($X$2,$X$3,$X$4,$X$6,$X$7,$X$8,$Z$2,$Z$3,$Z$4,$Z$5,$Z$6,$Z$7,$Z$8)=TRUE,$F$3)),0),"-")</f>
        <v>-</v>
      </c>
      <c r="I109" s="36" t="str">
        <f>IFERROR(
ROUNDUP(
IF(AND($U$5=FALSE,$U$4=FALSE),"-",IF(AND($U$5=TRUE,$U$4=TRUE),"-",
IF((AND($U$4=TRUE,$U$5=FALSE,$U$6=FALSE,$U$7=FALSE)),VLOOKUP($E109,'Status Thresholds'!$E:$AR,5,FALSE),IF((AND($U$4=TRUE,$U$5=FALSE,$U$6=TRUE,$U$7=FALSE)),VLOOKUP($E109,'Status Thresholds'!$E:$AR,15,FALSE),IF((AND($U$4=TRUE,$U$5=FALSE,$U$6=TRUE,$U$7=TRUE)),VLOOKUP($E109,'Status Thresholds'!$E:$AR,20,FALSE),IF((AND($U$4=TRUE,$U$5=FALSE,$U$6=FALSE,$U$7=TRUE)),VLOOKUP($E109,'Status Thresholds'!$E:$AR,10,FALSE),
IF((AND($U$4=FALSE,$U$5=TRUE,$U$6=FALSE,$U$7=FALSE)),VLOOKUP($E109,'Status Thresholds'!$E:$AR,25,FALSE),IF((AND($U$4=FALSE,$U$5=TRUE,$U$6=TRUE,$U$7=FALSE)),VLOOKUP($E109,'Status Thresholds'!$E:$AR,35,FALSE),IF((AND($U$4=FALSE,$U$5=TRUE,$U$6=TRUE,$U$7=TRUE)),VLOOKUP($E109,'Status Thresholds'!$E:$AR,40,FALSE),IF((AND($U$4=FALSE,$U$5=TRUE,$U$6=FALSE,$U$7=TRUE)),VLOOKUP($E109,'Status Thresholds'!$E:$AR,30,FALSE)))))))))
))/
IF(OR($X$5=TRUE,$AC$3=TRUE
),($F$3/2), IF(OR($X$2,$X$3,$X$4,$X$6,$X$7,$X$8,$Z$2,$Z$3,$Z$4,$Z$5,$Z$6,$Z$7,$Z$8)=TRUE,$F$3)),0),"-")</f>
        <v>-</v>
      </c>
      <c r="J109" s="36">
        <f>IFERROR(IF(AND($U$5=FALSE,$U$4=FALSE),"-",VLOOKUP($E109,'Status Thresholds'!$E:$AU,41,FALSE)),"-")</f>
        <v>10</v>
      </c>
      <c r="K109" s="36" t="str">
        <f>IFERROR(IF(AND($U$5=FALSE,$U$4=FALSE),"-",VLOOKUP($E109,'Status Thresholds'!$E:$AU,42,FALSE)),"-")</f>
        <v>-</v>
      </c>
      <c r="L109" s="36" t="str">
        <f>IFERROR(IF(AND($U$5=FALSE,$U$4=FALSE),"-",VLOOKUP($E109,'Status Thresholds'!$E:$AU,43,FALSE)),"-")</f>
        <v>-</v>
      </c>
    </row>
    <row r="110" spans="1:12" x14ac:dyDescent="0.25">
      <c r="A110" s="35"/>
      <c r="B110" s="64" t="str">
        <f>VLOOKUP(C110,'Status Thresholds'!B:C,2,FALSE)</f>
        <v>MHGen</v>
      </c>
      <c r="C110" s="64" t="str">
        <f>IF('Status Thresholds'!B105=0, "", 'Status Thresholds'!B105)</f>
        <v>Blangonga</v>
      </c>
      <c r="D110" s="31" t="s">
        <v>32</v>
      </c>
      <c r="E110" s="36" t="str">
        <f t="shared" si="1"/>
        <v>BlangongaSleep</v>
      </c>
      <c r="F110" s="36" t="str">
        <f>IFERROR(
ROUNDUP(
IF(AND($U$5=FALSE,$U$4=FALSE),"-",IF(AND($U$5=TRUE,$U$4=TRUE),"-",
IF((AND($U$4=TRUE,$U$5=FALSE,$U$6=FALSE,$U$7=FALSE)),VLOOKUP($E110,'Status Thresholds'!$E:$AR,2,FALSE),IF((AND($U$4=TRUE,$U$5=FALSE,$U$6=TRUE,$U$7=FALSE)),VLOOKUP($E110,'Status Thresholds'!$E:$AR,12,FALSE),IF((AND($U$4=TRUE,$U$5=FALSE,$U$6=TRUE,$U$7=TRUE)),VLOOKUP($E110,'Status Thresholds'!$E:$AR,17,FALSE),IF((AND($U$4=TRUE,$U$5=FALSE,$U$6=FALSE,$U$7=TRUE)),VLOOKUP($E110,'Status Thresholds'!$E:$AR,7,FALSE),
IF((AND($U$4=FALSE,$U$5=TRUE,$U$6=FALSE,$U$7=FALSE)),VLOOKUP($E110,'Status Thresholds'!$E:$AR,22,FALSE),IF((AND($U$4=FALSE,$U$5=TRUE,$U$6=TRUE,$U$7=FALSE)),VLOOKUP($E110,'Status Thresholds'!$E:$AR,32,FALSE),IF((AND($U$4=FALSE,$U$5=TRUE,$U$6=TRUE,$U$7=TRUE)),VLOOKUP($E110,'Status Thresholds'!$E:$AR,37,FALSE),IF((AND($U$4=FALSE,$U$5=TRUE,$U$6=FALSE,$U$7=TRUE)),VLOOKUP($E110,'Status Thresholds'!$E:$AR,27,FALSE)))))))))
))/
IF(OR($X$5=TRUE,$AC$3=TRUE
),($F$4/2), IF(OR($X$2,$X$3,$X$4,$X$6,$X$7,$X$8,$Z$2,$Z$3,$Z$4,$Z$5,$Z$6,$Z$7,$Z$8)=TRUE,$F$4)),0),"-")</f>
        <v>-</v>
      </c>
      <c r="G110" s="36" t="str">
        <f>IFERROR(
ROUNDUP(
IF(AND($U$5=FALSE,$U$4=FALSE),"-",IF(AND($U$5=TRUE,$U$4=TRUE),"-",
IF((AND($U$4=TRUE,$U$5=FALSE,$U$6=FALSE,$U$7=FALSE)),VLOOKUP($E110,'Status Thresholds'!$E:$AR,3,FALSE),IF((AND($U$4=TRUE,$U$5=FALSE,$U$6=TRUE,$U$7=FALSE)),VLOOKUP($E110,'Status Thresholds'!$E:$AR,13,FALSE),IF((AND($U$4=TRUE,$U$5=FALSE,$U$6=TRUE,$U$7=TRUE)),VLOOKUP($E110,'Status Thresholds'!$E:$AR,18,FALSE),IF((AND($U$4=TRUE,$U$5=FALSE,$U$6=FALSE,$U$7=TRUE)),VLOOKUP($E110,'Status Thresholds'!$E:$AR,8,FALSE),
IF((AND($U$4=FALSE,$U$5=TRUE,$U$6=FALSE,$U$7=FALSE)),VLOOKUP($E110,'Status Thresholds'!$E:$AR,23,FALSE),IF((AND($U$4=FALSE,$U$5=TRUE,$U$6=TRUE,$U$7=FALSE)),VLOOKUP($E110,'Status Thresholds'!$E:$AR,33,FALSE),IF((AND($U$4=FALSE,$U$5=TRUE,$U$6=TRUE,$U$7=TRUE)),VLOOKUP($E110,'Status Thresholds'!$E:$AR,38,FALSE),IF((AND($U$4=FALSE,$U$5=TRUE,$U$6=FALSE,$U$7=TRUE)),VLOOKUP($E110,'Status Thresholds'!$E:$AR,28,FALSE)))))))))
))/
IF(OR($X$5=TRUE,$AC$3=TRUE
),($F$4/2), IF(OR($X$2,$X$3,$X$4,$X$6,$X$7,$X$8,$Z$2,$Z$3,$Z$4,$Z$5,$Z$6,$Z$7,$Z$8)=TRUE,$F$4)),0),"-")</f>
        <v>-</v>
      </c>
      <c r="H110" s="36" t="str">
        <f>IFERROR(
ROUNDUP(
IF(AND($U$5=FALSE,$U$4=FALSE),"-",IF(AND($U$5=TRUE,$U$4=TRUE),"-",
IF((AND($U$4=TRUE,$U$5=FALSE,$U$6=FALSE,$U$7=FALSE)),VLOOKUP($E110,'Status Thresholds'!$E:$AR,4,FALSE),IF((AND($U$4=TRUE,$U$5=FALSE,$U$6=TRUE,$U$7=FALSE)),VLOOKUP($E110,'Status Thresholds'!$E:$AR,14,FALSE),IF((AND($U$4=TRUE,$U$5=FALSE,$U$6=TRUE,$U$7=TRUE)),VLOOKUP($E110,'Status Thresholds'!$E:$AR,19,FALSE),IF((AND($U$4=TRUE,$U$5=FALSE,$U$6=FALSE,$U$7=TRUE)),VLOOKUP($E110,'Status Thresholds'!$E:$AR,9,FALSE),
IF((AND($U$4=FALSE,$U$5=TRUE,$U$6=FALSE,$U$7=FALSE)),VLOOKUP($E110,'Status Thresholds'!$E:$AR,24,FALSE),IF((AND($U$4=FALSE,$U$5=TRUE,$U$6=TRUE,$U$7=FALSE)),VLOOKUP($E110,'Status Thresholds'!$E:$AR,34,FALSE),IF((AND($U$4=FALSE,$U$5=TRUE,$U$6=TRUE,$U$7=TRUE)),VLOOKUP($E110,'Status Thresholds'!$E:$AR,39,FALSE),IF((AND($U$4=FALSE,$U$5=TRUE,$U$6=FALSE,$U$7=TRUE)),VLOOKUP($E110,'Status Thresholds'!$E:$AR,29,FALSE)))))))))
))/
IF(OR($X$5=TRUE,$AC$3=TRUE
),($F$4/2), IF(OR($X$2,$X$3,$X$4,$X$6,$X$7,$X$8,$Z$2,$Z$3,$Z$4,$Z$5,$Z$6,$Z$7,$Z$8)=TRUE,$F$4)),0),"-")</f>
        <v>-</v>
      </c>
      <c r="I110" s="36" t="str">
        <f>IFERROR(
ROUNDUP(
IF(AND($U$5=FALSE,$U$4=FALSE),"-",IF(AND($U$5=TRUE,$U$4=TRUE),"-",
IF((AND($U$4=TRUE,$U$5=FALSE,$U$6=FALSE,$U$7=FALSE)),VLOOKUP($E110,'Status Thresholds'!$E:$AR,5,FALSE),IF((AND($U$4=TRUE,$U$5=FALSE,$U$6=TRUE,$U$7=FALSE)),VLOOKUP($E110,'Status Thresholds'!$E:$AR,15,FALSE),IF((AND($U$4=TRUE,$U$5=FALSE,$U$6=TRUE,$U$7=TRUE)),VLOOKUP($E110,'Status Thresholds'!$E:$AR,20,FALSE),IF((AND($U$4=TRUE,$U$5=FALSE,$U$6=FALSE,$U$7=TRUE)),VLOOKUP($E110,'Status Thresholds'!$E:$AR,10,FALSE),
IF((AND($U$4=FALSE,$U$5=TRUE,$U$6=FALSE,$U$7=FALSE)),VLOOKUP($E110,'Status Thresholds'!$E:$AR,25,FALSE),IF((AND($U$4=FALSE,$U$5=TRUE,$U$6=TRUE,$U$7=FALSE)),VLOOKUP($E110,'Status Thresholds'!$E:$AR,35,FALSE),IF((AND($U$4=FALSE,$U$5=TRUE,$U$6=TRUE,$U$7=TRUE)),VLOOKUP($E110,'Status Thresholds'!$E:$AR,40,FALSE),IF((AND($U$4=FALSE,$U$5=TRUE,$U$6=FALSE,$U$7=TRUE)),VLOOKUP($E110,'Status Thresholds'!$E:$AR,30,FALSE)))))))))
))/
IF(OR($X$5=TRUE,$AC$3=TRUE
),($F$4/2), IF(OR($X$2,$X$3,$X$4,$X$6,$X$7,$X$8,$Z$2,$Z$3,$Z$4,$Z$5,$Z$6,$Z$7,$Z$8)=TRUE,$F$4)),0),"-")</f>
        <v>-</v>
      </c>
      <c r="J110" s="46">
        <f>IFERROR(IF(AND($U$5=FALSE,$U$4=FALSE),"-",VLOOKUP($E110,'Status Thresholds'!$E:$AU,41,FALSE)),"-")</f>
        <v>40</v>
      </c>
      <c r="K110" s="46" t="str">
        <f>IFERROR(IF(AND($U$5=FALSE,$U$4=FALSE),"-",VLOOKUP($E110,'Status Thresholds'!$E:$AU,42,FALSE)),"-")</f>
        <v>-</v>
      </c>
      <c r="L110" s="46" t="str">
        <f>IFERROR(IF(AND($U$5=FALSE,$U$4=FALSE),"-",VLOOKUP($E110,'Status Thresholds'!$E:$AU,43,FALSE)),"-")</f>
        <v>-</v>
      </c>
    </row>
    <row r="111" spans="1:12" x14ac:dyDescent="0.25">
      <c r="A111" s="35"/>
      <c r="B111" s="64" t="str">
        <f>VLOOKUP(C111,'Status Thresholds'!B:C,2,FALSE)</f>
        <v>MHGen</v>
      </c>
      <c r="C111" s="64" t="str">
        <f>IF('Status Thresholds'!B106=0, "", 'Status Thresholds'!B106)</f>
        <v>Blangonga</v>
      </c>
      <c r="D111" s="32" t="s">
        <v>33</v>
      </c>
      <c r="E111" s="36" t="str">
        <f t="shared" si="1"/>
        <v>BlangongaPoison</v>
      </c>
      <c r="F111" s="36" t="str">
        <f>IFERROR(
ROUNDUP(
IF(AND($U$5=FALSE,$U$4=FALSE),"-",IF(AND($U$5=TRUE,$U$4=TRUE),"-",
IF((AND($U$4=TRUE,$U$5=FALSE,$U$6=FALSE,$U$7=FALSE)),VLOOKUP($E111,'Status Thresholds'!$E:$AR,2,FALSE),IF((AND($U$4=TRUE,$U$5=FALSE,$U$6=TRUE,$U$7=FALSE)),VLOOKUP($E111,'Status Thresholds'!$E:$AR,12,FALSE),IF((AND($U$4=TRUE,$U$5=FALSE,$U$6=TRUE,$U$7=TRUE)),VLOOKUP($E111,'Status Thresholds'!$E:$AR,17,FALSE),IF((AND($U$4=TRUE,$U$5=FALSE,$U$6=FALSE,$U$7=TRUE)),VLOOKUP($E111,'Status Thresholds'!$E:$AR,7,FALSE),
IF((AND($U$4=FALSE,$U$5=TRUE,$U$6=FALSE,$U$7=FALSE)),VLOOKUP($E111,'Status Thresholds'!$E:$AR,22,FALSE),IF((AND($U$4=FALSE,$U$5=TRUE,$U$6=TRUE,$U$7=FALSE)),VLOOKUP($E111,'Status Thresholds'!$E:$AR,32,FALSE),IF((AND($U$4=FALSE,$U$5=TRUE,$U$6=TRUE,$U$7=TRUE)),VLOOKUP($E111,'Status Thresholds'!$E:$AR,37,FALSE),IF((AND($U$4=FALSE,$U$5=TRUE,$U$6=FALSE,$U$7=TRUE)),VLOOKUP($E111,'Status Thresholds'!$E:$AR,27,FALSE)))))))))
))/
IF(OR($X$5=TRUE,$AC$3=TRUE
),($F$5/2), IF(OR($X$2,$X$3,$X$4,$X$6,$X$7,$X$8,$Z$2,$Z$3,$Z$4,$Z$5,$Z$6,$Z$7,$Z$8)=TRUE,$F$5)),0),"-")</f>
        <v>-</v>
      </c>
      <c r="G111" s="36" t="str">
        <f>IFERROR(
ROUNDUP(
IF(AND($U$5=FALSE,$U$4=FALSE),"-",IF(AND($U$5=TRUE,$U$4=TRUE),"-",
IF((AND($U$4=TRUE,$U$5=FALSE,$U$6=FALSE,$U$7=FALSE)),VLOOKUP($E111,'Status Thresholds'!$E:$AR,3,FALSE),IF((AND($U$4=TRUE,$U$5=FALSE,$U$6=TRUE,$U$7=FALSE)),VLOOKUP($E111,'Status Thresholds'!$E:$AR,13,FALSE),IF((AND($U$4=TRUE,$U$5=FALSE,$U$6=TRUE,$U$7=TRUE)),VLOOKUP($E111,'Status Thresholds'!$E:$AR,18,FALSE),IF((AND($U$4=TRUE,$U$5=FALSE,$U$6=FALSE,$U$7=TRUE)),VLOOKUP($E111,'Status Thresholds'!$E:$AR,8,FALSE),
IF((AND($U$4=FALSE,$U$5=TRUE,$U$6=FALSE,$U$7=FALSE)),VLOOKUP($E111,'Status Thresholds'!$E:$AR,23,FALSE),IF((AND($U$4=FALSE,$U$5=TRUE,$U$6=TRUE,$U$7=FALSE)),VLOOKUP($E111,'Status Thresholds'!$E:$AR,33,FALSE),IF((AND($U$4=FALSE,$U$5=TRUE,$U$6=TRUE,$U$7=TRUE)),VLOOKUP($E111,'Status Thresholds'!$E:$AR,38,FALSE),IF((AND($U$4=FALSE,$U$5=TRUE,$U$6=FALSE,$U$7=TRUE)),VLOOKUP($E111,'Status Thresholds'!$E:$AR,28,FALSE)))))))))
))/
IF(OR($X$5=TRUE,$AC$3=TRUE
),($F$5/2), IF(OR($X$2,$X$3,$X$4,$X$6,$X$7,$X$8,$Z$2,$Z$3,$Z$4,$Z$5,$Z$6,$Z$7,$Z$8)=TRUE,$F$5)),0),"-")</f>
        <v>-</v>
      </c>
      <c r="H111" s="36" t="str">
        <f>IFERROR(
ROUNDUP(
IF(AND($U$5=FALSE,$U$4=FALSE),"-",IF(AND($U$5=TRUE,$U$4=TRUE),"-",
IF((AND($U$4=TRUE,$U$5=FALSE,$U$6=FALSE,$U$7=FALSE)),VLOOKUP($E111,'Status Thresholds'!$E:$AR,4,FALSE),IF((AND($U$4=TRUE,$U$5=FALSE,$U$6=TRUE,$U$7=FALSE)),VLOOKUP($E111,'Status Thresholds'!$E:$AR,14,FALSE),IF((AND($U$4=TRUE,$U$5=FALSE,$U$6=TRUE,$U$7=TRUE)),VLOOKUP($E111,'Status Thresholds'!$E:$AR,19,FALSE),IF((AND($U$4=TRUE,$U$5=FALSE,$U$6=FALSE,$U$7=TRUE)),VLOOKUP($E111,'Status Thresholds'!$E:$AR,9,FALSE),
IF((AND($U$4=FALSE,$U$5=TRUE,$U$6=FALSE,$U$7=FALSE)),VLOOKUP($E111,'Status Thresholds'!$E:$AR,24,FALSE),IF((AND($U$4=FALSE,$U$5=TRUE,$U$6=TRUE,$U$7=FALSE)),VLOOKUP($E111,'Status Thresholds'!$E:$AR,34,FALSE),IF((AND($U$4=FALSE,$U$5=TRUE,$U$6=TRUE,$U$7=TRUE)),VLOOKUP($E111,'Status Thresholds'!$E:$AR,39,FALSE),IF((AND($U$4=FALSE,$U$5=TRUE,$U$6=FALSE,$U$7=TRUE)),VLOOKUP($E111,'Status Thresholds'!$E:$AR,29,FALSE)))))))))
))/
IF(OR($X$5=TRUE,$AC$3=TRUE
),($F$5/2), IF(OR($X$2,$X$3,$X$4,$X$6,$X$7,$X$8,$Z$2,$Z$3,$Z$4,$Z$5,$Z$6,$Z$7,$Z$8)=TRUE,$F$5)),0),"-")</f>
        <v>-</v>
      </c>
      <c r="I111" s="36" t="str">
        <f>IFERROR(
ROUNDUP(
IF(AND($U$5=FALSE,$U$4=FALSE),"-",IF(AND($U$5=TRUE,$U$4=TRUE),"-",
IF((AND($U$4=TRUE,$U$5=FALSE,$U$6=FALSE,$U$7=FALSE)),VLOOKUP($E111,'Status Thresholds'!$E:$AR,5,FALSE),IF((AND($U$4=TRUE,$U$5=FALSE,$U$6=TRUE,$U$7=FALSE)),VLOOKUP($E111,'Status Thresholds'!$E:$AR,15,FALSE),IF((AND($U$4=TRUE,$U$5=FALSE,$U$6=TRUE,$U$7=TRUE)),VLOOKUP($E111,'Status Thresholds'!$E:$AR,20,FALSE),IF((AND($U$4=TRUE,$U$5=FALSE,$U$6=FALSE,$U$7=TRUE)),VLOOKUP($E111,'Status Thresholds'!$E:$AR,10,FALSE),
IF((AND($U$4=FALSE,$U$5=TRUE,$U$6=FALSE,$U$7=FALSE)),VLOOKUP($E111,'Status Thresholds'!$E:$AR,25,FALSE),IF((AND($U$4=FALSE,$U$5=TRUE,$U$6=TRUE,$U$7=FALSE)),VLOOKUP($E111,'Status Thresholds'!$E:$AR,35,FALSE),IF((AND($U$4=FALSE,$U$5=TRUE,$U$6=TRUE,$U$7=TRUE)),VLOOKUP($E111,'Status Thresholds'!$E:$AR,40,FALSE),IF((AND($U$4=FALSE,$U$5=TRUE,$U$6=FALSE,$U$7=TRUE)),VLOOKUP($E111,'Status Thresholds'!$E:$AR,30,FALSE)))))))))
))/
IF(OR($X$5=TRUE,$AC$3=TRUE
),($F$5/2), IF(OR($X$2,$X$3,$X$4,$X$6,$X$7,$X$8,$Z$2,$Z$3,$Z$4,$Z$5,$Z$6,$Z$7,$Z$8)=TRUE,$F$5)),0),"-")</f>
        <v>-</v>
      </c>
      <c r="J111" s="46">
        <f>IFERROR(IF(AND($U$5=FALSE,$U$4=FALSE),"-",VLOOKUP($E111,'Status Thresholds'!$E:$AU,41,FALSE)),"-")</f>
        <v>60</v>
      </c>
      <c r="K111" s="46" t="str">
        <f>IFERROR(IF(AND($U$5=FALSE,$U$4=FALSE),"-",VLOOKUP($E111,'Status Thresholds'!$E:$AU,42,FALSE)),"-")</f>
        <v>-</v>
      </c>
      <c r="L111" s="46" t="str">
        <f>IFERROR(IF(AND($U$5=FALSE,$U$4=FALSE),"-",VLOOKUP($E111,'Status Thresholds'!$E:$AU,43,FALSE)),"-")</f>
        <v>-</v>
      </c>
    </row>
    <row r="112" spans="1:12" x14ac:dyDescent="0.25">
      <c r="A112" s="35"/>
      <c r="B112" s="64" t="str">
        <f>VLOOKUP(C112,'Status Thresholds'!B:C,2,FALSE)</f>
        <v>MHGen</v>
      </c>
      <c r="C112" s="64" t="str">
        <f>IF('Status Thresholds'!B107=0, "", 'Status Thresholds'!B107)</f>
        <v>Blangonga</v>
      </c>
      <c r="D112" s="10" t="s">
        <v>22</v>
      </c>
      <c r="E112" s="36" t="str">
        <f t="shared" si="1"/>
        <v>BlangongaExhaust</v>
      </c>
      <c r="F112" s="36" t="str">
        <f>IFERROR(
ROUNDUP(
IF(AND($U$5=FALSE,$U$4=FALSE),"-",IF(AND($U$5=TRUE,$U$4=TRUE),"-",
IF((AND($U$4=TRUE,$U$5=FALSE,$U$6=FALSE,$U$7=FALSE)),VLOOKUP($E112,'Status Thresholds'!$E:$AR,2,FALSE),IF((AND($U$4=TRUE,$U$5=FALSE,$U$6=TRUE,$U$7=FALSE)),VLOOKUP($E112,'Status Thresholds'!$E:$AR,12,FALSE),IF((AND($U$4=TRUE,$U$5=FALSE,$U$6=TRUE,$U$7=TRUE)),VLOOKUP($E112,'Status Thresholds'!$E:$AR,17,FALSE),IF((AND($U$4=TRUE,$U$5=FALSE,$U$6=FALSE,$U$7=TRUE)),VLOOKUP($E112,'Status Thresholds'!$E:$AR,7,FALSE),
IF((AND($U$4=FALSE,$U$5=TRUE,$U$6=FALSE,$U$7=FALSE)),VLOOKUP($E112,'Status Thresholds'!$E:$AR,22,FALSE),IF((AND($U$4=FALSE,$U$5=TRUE,$U$6=TRUE,$U$7=FALSE)),VLOOKUP($E112,'Status Thresholds'!$E:$AR,32,FALSE),IF((AND($U$4=FALSE,$U$5=TRUE,$U$6=TRUE,$U$7=TRUE)),VLOOKUP($E112,'Status Thresholds'!$E:$AR,37,FALSE),IF((AND($U$4=FALSE,$U$5=TRUE,$U$6=FALSE,$U$7=TRUE)),VLOOKUP($E112,'Status Thresholds'!$E:$AR,27,FALSE)))))))))
))/
IF(OR($X$5=TRUE,$AC$3=TRUE
),($F$6/2), IF(OR($X$2,$X$3,$X$4,$X$6,$X$7,$X$8,$Z$2,$Z$3,$Z$4,$Z$5,$Z$6,$Z$7,$Z$8)=TRUE,$F$6)),0),"-")</f>
        <v>-</v>
      </c>
      <c r="G112" s="36" t="str">
        <f>IFERROR(
ROUNDUP(
IF(AND($U$5=FALSE,$U$4=FALSE),"-",IF(AND($U$5=TRUE,$U$4=TRUE),"-",
IF((AND($U$4=TRUE,$U$5=FALSE,$U$6=FALSE,$U$7=FALSE)),VLOOKUP($E112,'Status Thresholds'!$E:$AR,3,FALSE),IF((AND($U$4=TRUE,$U$5=FALSE,$U$6=TRUE,$U$7=FALSE)),VLOOKUP($E112,'Status Thresholds'!$E:$AR,13,FALSE),IF((AND($U$4=TRUE,$U$5=FALSE,$U$6=TRUE,$U$7=TRUE)),VLOOKUP($E112,'Status Thresholds'!$E:$AR,18,FALSE),IF((AND($U$4=TRUE,$U$5=FALSE,$U$6=FALSE,$U$7=TRUE)),VLOOKUP($E112,'Status Thresholds'!$E:$AR,8,FALSE),
IF((AND($U$4=FALSE,$U$5=TRUE,$U$6=FALSE,$U$7=FALSE)),VLOOKUP($E112,'Status Thresholds'!$E:$AR,23,FALSE),IF((AND($U$4=FALSE,$U$5=TRUE,$U$6=TRUE,$U$7=FALSE)),VLOOKUP($E112,'Status Thresholds'!$E:$AR,33,FALSE),IF((AND($U$4=FALSE,$U$5=TRUE,$U$6=TRUE,$U$7=TRUE)),VLOOKUP($E112,'Status Thresholds'!$E:$AR,38,FALSE),IF((AND($U$4=FALSE,$U$5=TRUE,$U$6=FALSE,$U$7=TRUE)),VLOOKUP($E112,'Status Thresholds'!$E:$AR,28,FALSE)))))))))
))/
IF(OR($X$5=TRUE,$AC$3=TRUE
),($F$6/2), IF(OR($X$2,$X$3,$X$4,$X$6,$X$7,$X$8,$Z$2,$Z$3,$Z$4,$Z$5,$Z$6,$Z$7,$Z$8)=TRUE,$F$6)),0),"-")</f>
        <v>-</v>
      </c>
      <c r="H112" s="36" t="str">
        <f>IFERROR(
ROUNDUP(
IF(AND($U$5=FALSE,$U$4=FALSE),"-",IF(AND($U$5=TRUE,$U$4=TRUE),"-",
IF((AND($U$4=TRUE,$U$5=FALSE,$U$6=FALSE,$U$7=FALSE)),VLOOKUP($E112,'Status Thresholds'!$E:$AR,4,FALSE),IF((AND($U$4=TRUE,$U$5=FALSE,$U$6=TRUE,$U$7=FALSE)),VLOOKUP($E112,'Status Thresholds'!$E:$AR,14,FALSE),IF((AND($U$4=TRUE,$U$5=FALSE,$U$6=TRUE,$U$7=TRUE)),VLOOKUP($E112,'Status Thresholds'!$E:$AR,19,FALSE),IF((AND($U$4=TRUE,$U$5=FALSE,$U$6=FALSE,$U$7=TRUE)),VLOOKUP($E112,'Status Thresholds'!$E:$AR,9,FALSE),
IF((AND($U$4=FALSE,$U$5=TRUE,$U$6=FALSE,$U$7=FALSE)),VLOOKUP($E112,'Status Thresholds'!$E:$AR,24,FALSE),IF((AND($U$4=FALSE,$U$5=TRUE,$U$6=TRUE,$U$7=FALSE)),VLOOKUP($E112,'Status Thresholds'!$E:$AR,34,FALSE),IF((AND($U$4=FALSE,$U$5=TRUE,$U$6=TRUE,$U$7=TRUE)),VLOOKUP($E112,'Status Thresholds'!$E:$AR,39,FALSE),IF((AND($U$4=FALSE,$U$5=TRUE,$U$6=FALSE,$U$7=TRUE)),VLOOKUP($E112,'Status Thresholds'!$E:$AR,29,FALSE)))))))))
))/
IF(OR($X$5=TRUE,$AC$3=TRUE
),($F$6/2), IF(OR($X$2,$X$3,$X$4,$X$6,$X$7,$X$8,$Z$2,$Z$3,$Z$4,$Z$5,$Z$6,$Z$7,$Z$8)=TRUE,$F$6)),0),"-")</f>
        <v>-</v>
      </c>
      <c r="I112" s="36" t="str">
        <f>IFERROR(
ROUNDUP(
IF(AND($U$5=FALSE,$U$4=FALSE),"-",IF(AND($U$5=TRUE,$U$4=TRUE),"-",
IF((AND($U$4=TRUE,$U$5=FALSE,$U$6=FALSE,$U$7=FALSE)),VLOOKUP($E112,'Status Thresholds'!$E:$AR,5,FALSE),IF((AND($U$4=TRUE,$U$5=FALSE,$U$6=TRUE,$U$7=FALSE)),VLOOKUP($E112,'Status Thresholds'!$E:$AR,15,FALSE),IF((AND($U$4=TRUE,$U$5=FALSE,$U$6=TRUE,$U$7=TRUE)),VLOOKUP($E112,'Status Thresholds'!$E:$AR,20,FALSE),IF((AND($U$4=TRUE,$U$5=FALSE,$U$6=FALSE,$U$7=TRUE)),VLOOKUP($E112,'Status Thresholds'!$E:$AR,10,FALSE),
IF((AND($U$4=FALSE,$U$5=TRUE,$U$6=FALSE,$U$7=FALSE)),VLOOKUP($E112,'Status Thresholds'!$E:$AR,25,FALSE),IF((AND($U$4=FALSE,$U$5=TRUE,$U$6=TRUE,$U$7=FALSE)),VLOOKUP($E112,'Status Thresholds'!$E:$AR,35,FALSE),IF((AND($U$4=FALSE,$U$5=TRUE,$U$6=TRUE,$U$7=TRUE)),VLOOKUP($E112,'Status Thresholds'!$E:$AR,40,FALSE),IF((AND($U$4=FALSE,$U$5=TRUE,$U$6=FALSE,$U$7=TRUE)),VLOOKUP($E112,'Status Thresholds'!$E:$AR,30,FALSE)))))))))
))/
IF(OR($X$5=TRUE,$AC$3=TRUE
),($F$6/2), IF(OR($X$2,$X$3,$X$4,$X$6,$X$7,$X$8,$Z$2,$Z$3,$Z$4,$Z$5,$Z$6,$Z$7,$Z$8)=TRUE,$F$6)),0),"-")</f>
        <v>-</v>
      </c>
      <c r="J112" s="46">
        <f>IFERROR(IF(AND($U$5=FALSE,$U$4=FALSE),"-",VLOOKUP($E112,'Status Thresholds'!$E:$AU,41,FALSE)),"-")</f>
        <v>0</v>
      </c>
      <c r="K112" s="46" t="str">
        <f>IFERROR(IF(AND($U$5=FALSE,$U$4=FALSE),"-",VLOOKUP($E112,'Status Thresholds'!$E:$AU,42,FALSE)),"-")</f>
        <v>-</v>
      </c>
      <c r="L112" s="46" t="str">
        <f>IFERROR(IF(AND($U$5=FALSE,$U$4=FALSE),"-",VLOOKUP($E112,'Status Thresholds'!$E:$AU,43,FALSE)),"-")</f>
        <v>-</v>
      </c>
    </row>
    <row r="113" spans="1:12" x14ac:dyDescent="0.25">
      <c r="A113" s="35"/>
      <c r="B113" s="64" t="str">
        <f>VLOOKUP(C113,'Status Thresholds'!B:C,2,FALSE)</f>
        <v>MHGen</v>
      </c>
      <c r="C113" s="64" t="str">
        <f>IF('Status Thresholds'!B108=0, "", 'Status Thresholds'!B108)</f>
        <v>Blangonga</v>
      </c>
      <c r="D113" s="30" t="s">
        <v>35</v>
      </c>
      <c r="E113" s="36" t="str">
        <f t="shared" si="1"/>
        <v>BlangongaBlast</v>
      </c>
      <c r="F113" s="36" t="str">
        <f>IFERROR(
ROUNDUP(
IF(AND($U$5=FALSE,$U$4=FALSE),"-",IF(AND($U$5=TRUE,$U$4=TRUE),"-",
IF((AND($U$4=TRUE,$U$5=FALSE,$U$6=FALSE,$U$7=FALSE)),VLOOKUP($E113,'Status Thresholds'!$E:$AR,2,FALSE),IF((AND($U$4=TRUE,$U$5=FALSE,$U$6=TRUE,$U$7=FALSE)),VLOOKUP($E113,'Status Thresholds'!$E:$AR,12,FALSE),IF((AND($U$4=TRUE,$U$5=FALSE,$U$6=TRUE,$U$7=TRUE)),VLOOKUP($E113,'Status Thresholds'!$E:$AR,17,FALSE),IF((AND($U$4=TRUE,$U$5=FALSE,$U$6=FALSE,$U$7=TRUE)),VLOOKUP($E113,'Status Thresholds'!$E:$AR,7,FALSE),
IF((AND($U$4=FALSE,$U$5=TRUE,$U$6=FALSE,$U$7=FALSE)),VLOOKUP($E113,'Status Thresholds'!$E:$AR,22,FALSE),IF((AND($U$4=FALSE,$U$5=TRUE,$U$6=TRUE,$U$7=FALSE)),VLOOKUP($E113,'Status Thresholds'!$E:$AR,32,FALSE),IF((AND($U$4=FALSE,$U$5=TRUE,$U$6=TRUE,$U$7=TRUE)),VLOOKUP($E113,'Status Thresholds'!$E:$AR,37,FALSE),IF((AND($U$4=FALSE,$U$5=TRUE,$U$6=FALSE,$U$7=TRUE)),VLOOKUP($E113,'Status Thresholds'!$E:$AR,27,FALSE)))))))))
))/
IF(OR($X$5=TRUE,$AC$3=TRUE
),($F$7/2), IF(OR($X$2,$X$3,$X$4,$X$6,$X$7,$X$8,$Z$2,$Z$3,$Z$4,$Z$5,$Z$6,$Z$7,$Z$8)=TRUE,$F$7)),0),"-")</f>
        <v>-</v>
      </c>
      <c r="G113" s="36" t="str">
        <f>IFERROR(
ROUNDUP(
IF(AND($U$5=FALSE,$U$4=FALSE),"-",IF(AND($U$5=TRUE,$U$4=TRUE),"-",
IF((AND($U$4=TRUE,$U$5=FALSE,$U$6=FALSE,$U$7=FALSE)),VLOOKUP($E113,'Status Thresholds'!$E:$AR,3,FALSE),IF((AND($U$4=TRUE,$U$5=FALSE,$U$6=TRUE,$U$7=FALSE)),VLOOKUP($E113,'Status Thresholds'!$E:$AR,13,FALSE),IF((AND($U$4=TRUE,$U$5=FALSE,$U$6=TRUE,$U$7=TRUE)),VLOOKUP($E113,'Status Thresholds'!$E:$AR,18,FALSE),IF((AND($U$4=TRUE,$U$5=FALSE,$U$6=FALSE,$U$7=TRUE)),VLOOKUP($E113,'Status Thresholds'!$E:$AR,8,FALSE),
IF((AND($U$4=FALSE,$U$5=TRUE,$U$6=FALSE,$U$7=FALSE)),VLOOKUP($E113,'Status Thresholds'!$E:$AR,23,FALSE),IF((AND($U$4=FALSE,$U$5=TRUE,$U$6=TRUE,$U$7=FALSE)),VLOOKUP($E113,'Status Thresholds'!$E:$AR,33,FALSE),IF((AND($U$4=FALSE,$U$5=TRUE,$U$6=TRUE,$U$7=TRUE)),VLOOKUP($E113,'Status Thresholds'!$E:$AR,38,FALSE),IF((AND($U$4=FALSE,$U$5=TRUE,$U$6=FALSE,$U$7=TRUE)),VLOOKUP($E113,'Status Thresholds'!$E:$AR,28,FALSE)))))))))
))/
IF(OR($X$5=TRUE,$AC$3=TRUE
),($F$7/2), IF(OR($X$2,$X$3,$X$4,$X$6,$X$7,$X$8,$Z$2,$Z$3,$Z$4,$Z$5,$Z$6,$Z$7,$Z$8)=TRUE,$F$7)),0),"-")</f>
        <v>-</v>
      </c>
      <c r="H113" s="36" t="str">
        <f>IFERROR(
ROUNDUP(
IF(AND($U$5=FALSE,$U$4=FALSE),"-",IF(AND($U$5=TRUE,$U$4=TRUE),"-",
IF((AND($U$4=TRUE,$U$5=FALSE,$U$6=FALSE,$U$7=FALSE)),VLOOKUP($E113,'Status Thresholds'!$E:$AR,4,FALSE),IF((AND($U$4=TRUE,$U$5=FALSE,$U$6=TRUE,$U$7=FALSE)),VLOOKUP($E113,'Status Thresholds'!$E:$AR,14,FALSE),IF((AND($U$4=TRUE,$U$5=FALSE,$U$6=TRUE,$U$7=TRUE)),VLOOKUP($E113,'Status Thresholds'!$E:$AR,19,FALSE),IF((AND($U$4=TRUE,$U$5=FALSE,$U$6=FALSE,$U$7=TRUE)),VLOOKUP($E113,'Status Thresholds'!$E:$AR,9,FALSE),
IF((AND($U$4=FALSE,$U$5=TRUE,$U$6=FALSE,$U$7=FALSE)),VLOOKUP($E113,'Status Thresholds'!$E:$AR,24,FALSE),IF((AND($U$4=FALSE,$U$5=TRUE,$U$6=TRUE,$U$7=FALSE)),VLOOKUP($E113,'Status Thresholds'!$E:$AR,34,FALSE),IF((AND($U$4=FALSE,$U$5=TRUE,$U$6=TRUE,$U$7=TRUE)),VLOOKUP($E113,'Status Thresholds'!$E:$AR,39,FALSE),IF((AND($U$4=FALSE,$U$5=TRUE,$U$6=FALSE,$U$7=TRUE)),VLOOKUP($E113,'Status Thresholds'!$E:$AR,29,FALSE)))))))))
))/
IF(OR($X$5=TRUE,$AC$3=TRUE
),($F$7/2), IF(OR($X$2,$X$3,$X$4,$X$6,$X$7,$X$8,$Z$2,$Z$3,$Z$4,$Z$5,$Z$6,$Z$7,$Z$8)=TRUE,$F$7)),0),"-")</f>
        <v>-</v>
      </c>
      <c r="I113" s="36" t="str">
        <f>IFERROR(
ROUNDUP(
IF(AND($U$5=FALSE,$U$4=FALSE),"-",IF(AND($U$5=TRUE,$U$4=TRUE),"-",
IF((AND($U$4=TRUE,$U$5=FALSE,$U$6=FALSE,$U$7=FALSE)),VLOOKUP($E113,'Status Thresholds'!$E:$AR,5,FALSE),IF((AND($U$4=TRUE,$U$5=FALSE,$U$6=TRUE,$U$7=FALSE)),VLOOKUP($E113,'Status Thresholds'!$E:$AR,15,FALSE),IF((AND($U$4=TRUE,$U$5=FALSE,$U$6=TRUE,$U$7=TRUE)),VLOOKUP($E113,'Status Thresholds'!$E:$AR,20,FALSE),IF((AND($U$4=TRUE,$U$5=FALSE,$U$6=FALSE,$U$7=TRUE)),VLOOKUP($E113,'Status Thresholds'!$E:$AR,10,FALSE),
IF((AND($U$4=FALSE,$U$5=TRUE,$U$6=FALSE,$U$7=FALSE)),VLOOKUP($E113,'Status Thresholds'!$E:$AR,25,FALSE),IF((AND($U$4=FALSE,$U$5=TRUE,$U$6=TRUE,$U$7=FALSE)),VLOOKUP($E113,'Status Thresholds'!$E:$AR,35,FALSE),IF((AND($U$4=FALSE,$U$5=TRUE,$U$6=TRUE,$U$7=TRUE)),VLOOKUP($E113,'Status Thresholds'!$E:$AR,40,FALSE),IF((AND($U$4=FALSE,$U$5=TRUE,$U$6=FALSE,$U$7=TRUE)),VLOOKUP($E113,'Status Thresholds'!$E:$AR,30,FALSE)))))))))
))/
IF(OR($X$5=TRUE,$AC$3=TRUE
),($F$7/2), IF(OR($X$2,$X$3,$X$4,$X$6,$X$7,$X$8,$Z$2,$Z$3,$Z$4,$Z$5,$Z$6,$Z$7,$Z$8)=TRUE,$F$7)),0),"-")</f>
        <v>-</v>
      </c>
      <c r="J113" s="46">
        <f>IFERROR(IF(AND($U$5=FALSE,$U$4=FALSE),"-",VLOOKUP($E113,'Status Thresholds'!$E:$AU,41,FALSE)),"-")</f>
        <v>0</v>
      </c>
      <c r="K113" s="46" t="str">
        <f>IFERROR(IF(AND($U$5=FALSE,$U$4=FALSE),"-",VLOOKUP($E113,'Status Thresholds'!$E:$AU,42,FALSE)),"-")</f>
        <v>-</v>
      </c>
      <c r="L113" s="46" t="str">
        <f>IFERROR(IF(AND($U$5=FALSE,$U$4=FALSE),"-",VLOOKUP($E113,'Status Thresholds'!$E:$AU,43,FALSE)),"-")</f>
        <v>-</v>
      </c>
    </row>
    <row r="114" spans="1:12" ht="14.45" customHeight="1" x14ac:dyDescent="0.25">
      <c r="A114" s="35"/>
      <c r="B114" s="64" t="str">
        <f>VLOOKUP(C114,'Status Thresholds'!B:C,2,FALSE)</f>
        <v>MHGen</v>
      </c>
      <c r="C114" s="64" t="str">
        <f>IF('Status Thresholds'!B109=0, "", 'Status Thresholds'!B109)</f>
        <v>Blangonga</v>
      </c>
      <c r="D114" s="34" t="s">
        <v>14</v>
      </c>
      <c r="E114" s="36" t="str">
        <f t="shared" si="1"/>
        <v>BlangongaKO</v>
      </c>
      <c r="F114" s="36" t="s">
        <v>214</v>
      </c>
      <c r="G114" s="36" t="s">
        <v>214</v>
      </c>
      <c r="H114" s="36" t="s">
        <v>214</v>
      </c>
      <c r="I114" s="36" t="s">
        <v>214</v>
      </c>
      <c r="J114" s="46">
        <f>IFERROR(IF(AND($U$5=FALSE,$U$4=FALSE),"-",VLOOKUP($E114,'Status Thresholds'!$E:$AU,41,FALSE)),"-")</f>
        <v>10</v>
      </c>
      <c r="K114" s="46" t="str">
        <f>IFERROR(IF(AND($U$5=FALSE,$U$4=FALSE),"-",VLOOKUP($E114,'Status Thresholds'!$E:$AU,42,FALSE)),"-")</f>
        <v>-</v>
      </c>
      <c r="L114" s="46" t="str">
        <f>IFERROR(IF(AND($U$5=FALSE,$U$4=FALSE),"-",VLOOKUP($E114,'Status Thresholds'!$E:$AU,43,FALSE)),"-")</f>
        <v>-</v>
      </c>
    </row>
    <row r="115" spans="1:12" x14ac:dyDescent="0.25">
      <c r="A115" s="35"/>
      <c r="B115" s="64" t="str">
        <f>VLOOKUP(C115,'Status Thresholds'!B:C,2,FALSE)</f>
        <v>MHGen</v>
      </c>
      <c r="C115" s="64" t="str">
        <f>IF('Status Thresholds'!B110=0, "", 'Status Thresholds'!B110)</f>
        <v>Blangonga</v>
      </c>
      <c r="D115" s="33" t="s">
        <v>34</v>
      </c>
      <c r="E115" s="36" t="str">
        <f t="shared" si="1"/>
        <v>BlangongaMount</v>
      </c>
      <c r="F115" s="36" t="str">
        <f>IFERROR(
ROUNDUP(
IF(AND($U$5=FALSE,$U$4=FALSE),"-",IF(AND($U$5=TRUE,$U$4=TRUE),"-",
IF((AND($U$4=TRUE,$U$5=FALSE,$U$6=FALSE,$U$7=FALSE)),VLOOKUP($E115,'Status Thresholds'!$E:$AR,2,FALSE),IF((AND($U$4=TRUE,$U$5=FALSE,$U$6=TRUE,$U$7=FALSE)),VLOOKUP($E115,'Status Thresholds'!$E:$AR,12,FALSE),IF((AND($U$4=TRUE,$U$5=FALSE,$U$6=TRUE,$U$7=TRUE)),VLOOKUP($E115,'Status Thresholds'!$E:$AR,17,FALSE),IF((AND($U$4=TRUE,$U$5=FALSE,$U$6=FALSE,$U$7=TRUE)),VLOOKUP($E115,'Status Thresholds'!$E:$AR,7,FALSE),
IF((AND($U$4=FALSE,$U$5=TRUE,$U$6=FALSE,$U$7=FALSE)),VLOOKUP($E115,'Status Thresholds'!$E:$AR,22,FALSE),IF((AND($U$4=FALSE,$U$5=TRUE,$U$6=TRUE,$U$7=FALSE)),VLOOKUP($E115,'Status Thresholds'!$E:$AR,32,FALSE),IF((AND($U$4=FALSE,$U$5=TRUE,$U$6=TRUE,$U$7=TRUE)),VLOOKUP($E115,'Status Thresholds'!$E:$AR,37,FALSE),IF((AND($U$4=FALSE,$U$5=TRUE,$U$6=FALSE,$U$7=TRUE)),VLOOKUP($E115,'Status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115" s="36" t="str">
        <f>IFERROR(
ROUNDUP(
IF(AND($U$5=FALSE,$U$4=FALSE),"-",IF(AND($U$5=TRUE,$U$4=TRUE),"-",
IF((AND($U$4=TRUE,$U$5=FALSE,$U$6=FALSE,$U$7=FALSE)),VLOOKUP($E114,'Status Thresholds'!$E:$AR,3,FALSE),IF((AND($U$4=TRUE,$U$5=FALSE,$U$6=TRUE,$U$7=FALSE)),VLOOKUP($E114,'Status Thresholds'!$E:$AR,13,FALSE),IF((AND($U$4=TRUE,$U$5=FALSE,$U$6=TRUE,$U$7=TRUE)),VLOOKUP($E114,'Status Thresholds'!$E:$AR,18,FALSE),IF((AND($U$4=TRUE,$U$5=FALSE,$U$6=FALSE,$U$7=TRUE)),VLOOKUP($E114,'Status Thresholds'!$E:$AR,8,FALSE),
IF((AND($U$4=FALSE,$U$5=TRUE,$U$6=FALSE,$U$7=FALSE)),VLOOKUP($E114,'Status Thresholds'!$E:$AR,23,FALSE),IF((AND($U$4=FALSE,$U$5=TRUE,$U$6=TRUE,$U$7=FALSE)),VLOOKUP($E114,'Status Thresholds'!$E:$AR,33,FALSE),IF((AND($U$4=FALSE,$U$5=TRUE,$U$6=TRUE,$U$7=TRUE)),VLOOKUP($E114,'Status Thresholds'!$E:$AR,38,FALSE),IF((AND($U$4=FALSE,$U$5=TRUE,$U$6=FALSE,$U$7=TRUE)),VLOOKUP($E114,'Status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115" s="36" t="str">
        <f>IFERROR(
ROUNDUP(
IF(AND($U$5=FALSE,$U$4=FALSE),"-",IF(AND($U$5=TRUE,$U$4=TRUE),"-",
IF((AND($U$4=TRUE,$U$5=FALSE,$U$6=FALSE,$U$7=FALSE)),VLOOKUP($E114,'Status Thresholds'!$E:$AR,4,FALSE),IF((AND($U$4=TRUE,$U$5=FALSE,$U$6=TRUE,$U$7=FALSE)),VLOOKUP($E114,'Status Thresholds'!$E:$AR,14,FALSE),IF((AND($U$4=TRUE,$U$5=FALSE,$U$6=TRUE,$U$7=TRUE)),VLOOKUP($E114,'Status Thresholds'!$E:$AR,19,FALSE),IF((AND($U$4=TRUE,$U$5=FALSE,$U$6=FALSE,$U$7=TRUE)),VLOOKUP($E114,'Status Thresholds'!$E:$AR,9,FALSE),
IF((AND($U$4=FALSE,$U$5=TRUE,$U$6=FALSE,$U$7=FALSE)),VLOOKUP($E114,'Status Thresholds'!$E:$AR,24,FALSE),IF((AND($U$4=FALSE,$U$5=TRUE,$U$6=TRUE,$U$7=FALSE)),VLOOKUP($E114,'Status Thresholds'!$E:$AR,34,FALSE),IF((AND($U$4=FALSE,$U$5=TRUE,$U$6=TRUE,$U$7=TRUE)),VLOOKUP($E114,'Status Thresholds'!$E:$AR,39,FALSE),IF((AND($U$4=FALSE,$U$5=TRUE,$U$6=FALSE,$U$7=TRUE)),VLOOKUP($E114,'Status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115" s="36" t="str">
        <f>IFERROR(
ROUNDUP(
IF(AND($U$5=FALSE,$U$4=FALSE),"-",IF(AND($U$5=TRUE,$U$4=TRUE),"-",
IF((AND($U$4=TRUE,$U$5=FALSE,$U$6=FALSE,$U$7=FALSE)),VLOOKUP($E114,'Status Thresholds'!$E:$AR,5,FALSE),IF((AND($U$4=TRUE,$U$5=FALSE,$U$6=TRUE,$U$7=FALSE)),VLOOKUP($E114,'Status Thresholds'!$E:$AR,15,FALSE),IF((AND($U$4=TRUE,$U$5=FALSE,$U$6=TRUE,$U$7=TRUE)),VLOOKUP($E114,'Status Thresholds'!$E:$AR,20,FALSE),IF((AND($U$4=TRUE,$U$5=FALSE,$U$6=FALSE,$U$7=TRUE)),VLOOKUP($E114,'Status Thresholds'!$E:$AR,10,FALSE),
IF((AND($U$4=FALSE,$U$5=TRUE,$U$6=FALSE,$U$7=FALSE)),VLOOKUP($E114,'Status Thresholds'!$E:$AR,25,FALSE),IF((AND($U$4=FALSE,$U$5=TRUE,$U$6=TRUE,$U$7=FALSE)),VLOOKUP($E114,'Status Thresholds'!$E:$AR,35,FALSE),IF((AND($U$4=FALSE,$U$5=TRUE,$U$6=TRUE,$U$7=TRUE)),VLOOKUP($E114,'Status Thresholds'!$E:$AR,40,FALSE),IF((AND($U$4=FALSE,$U$5=TRUE,$U$6=FALSE,$U$7=TRUE)),VLOOKUP($E114,'Status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115" s="46">
        <f>IFERROR(IF(AND($U$5=FALSE,$U$4=FALSE),"-",VLOOKUP($E115,'Status Thresholds'!$E:$AU,41,FALSE)),"-")</f>
        <v>0</v>
      </c>
      <c r="K115" s="46" t="str">
        <f>IFERROR(IF(AND($U$5=FALSE,$U$4=FALSE),"-",VLOOKUP($E115,'Status Thresholds'!$E:$AU,42,FALSE)),"-")</f>
        <v>-</v>
      </c>
      <c r="L115" s="46" t="str">
        <f>IFERROR(IF(AND($U$5=FALSE,$U$4=FALSE),"-",VLOOKUP($E115,'Status Thresholds'!$E:$AU,43,FALSE)),"-")</f>
        <v>-</v>
      </c>
    </row>
    <row r="116" spans="1:12" ht="15" customHeight="1" x14ac:dyDescent="0.25">
      <c r="A116" s="35"/>
      <c r="B116" s="64" t="str">
        <f>VLOOKUP(C116,'Status Thresholds'!B:C,2,FALSE)</f>
        <v>MHGen</v>
      </c>
      <c r="C116" s="64" t="str">
        <f>IF('Status Thresholds'!B111=0, "", 'Status Thresholds'!B111)</f>
        <v>Blangonga</v>
      </c>
      <c r="D116" s="77" t="s">
        <v>207</v>
      </c>
      <c r="E116" s="36" t="str">
        <f t="shared" si="1"/>
        <v>BlangongaShock Trap</v>
      </c>
      <c r="F116" s="76" t="s">
        <v>214</v>
      </c>
      <c r="G116" s="46" t="s">
        <v>214</v>
      </c>
      <c r="H116" s="46" t="s">
        <v>214</v>
      </c>
      <c r="I116" s="46" t="s">
        <v>214</v>
      </c>
      <c r="J116" s="46">
        <f>IFERROR(IF(AND($U$5=FALSE,$U$4=FALSE),"-",VLOOKUP($E116,'Status Thresholds'!$E:$AU,43,FALSE)),"-")</f>
        <v>8</v>
      </c>
      <c r="K116" s="46">
        <f>IFERROR(IF(AND($U$5=FALSE,$U$4=FALSE),"-",VLOOKUP($E116,'Status Thresholds'!$E:$AU,41,FALSE)),"-")</f>
        <v>8</v>
      </c>
      <c r="L116" s="46">
        <f>IFERROR(IF(AND($U$5=FALSE,$U$4=FALSE),"-",VLOOKUP($E116,'Status Thresholds'!$E:$AU,42,FALSE)),"-")</f>
        <v>15</v>
      </c>
    </row>
    <row r="117" spans="1:12" x14ac:dyDescent="0.25">
      <c r="A117" s="35"/>
      <c r="B117" s="64" t="str">
        <f>VLOOKUP(C117,'Status Thresholds'!B:C,2,FALSE)</f>
        <v>MHGen</v>
      </c>
      <c r="C117" s="64" t="str">
        <f>IF('Status Thresholds'!B112=0, "", 'Status Thresholds'!B112)</f>
        <v>Blangonga</v>
      </c>
      <c r="D117" s="77" t="s">
        <v>213</v>
      </c>
      <c r="E117" s="36" t="str">
        <f t="shared" si="1"/>
        <v>BlangongaPitfall Trap</v>
      </c>
      <c r="F117" s="46" t="s">
        <v>214</v>
      </c>
      <c r="G117" s="46" t="s">
        <v>214</v>
      </c>
      <c r="H117" s="46" t="s">
        <v>214</v>
      </c>
      <c r="I117" s="46" t="s">
        <v>214</v>
      </c>
      <c r="J117" s="46">
        <f>IFERROR(IF(AND($U$5=FALSE,$U$4=FALSE),"-",VLOOKUP($E117,'Status Thresholds'!$E:$AU,43,FALSE)),"-")</f>
        <v>18</v>
      </c>
      <c r="K117" s="46">
        <f>IFERROR(IF(AND($U$5=FALSE,$U$4=FALSE),"-",VLOOKUP($E117,'Status Thresholds'!$E:$AU,41,FALSE)),"-")</f>
        <v>18</v>
      </c>
      <c r="L117" s="46">
        <f>IFERROR(IF(AND($U$5=FALSE,$U$4=FALSE),"-",VLOOKUP($E117,'Status Thresholds'!$E:$AU,42,FALSE)),"-")</f>
        <v>20</v>
      </c>
    </row>
    <row r="118" spans="1:12" s="36" customFormat="1" hidden="1" x14ac:dyDescent="0.25">
      <c r="A118" s="64"/>
      <c r="B118" s="64" t="str">
        <f>IF('Status Thresholds'!A113=0, "", 'Status Thresholds'!A113)</f>
        <v>Deviant</v>
      </c>
      <c r="C118" s="64" t="str">
        <f>IF('Status Thresholds'!B113=0, "", 'Status Thresholds'!B113)</f>
        <v>Bloodbath Diablos</v>
      </c>
      <c r="D118" s="37" t="s">
        <v>0</v>
      </c>
      <c r="E118" s="36" t="str">
        <f t="shared" si="1"/>
        <v>Bloodbath DiablosPara</v>
      </c>
      <c r="F118" s="36" t="str">
        <f>IFERROR(
ROUNDUP(
IF(AND($U$5=FALSE,$U$4=FALSE),"-",IF(AND($U$5=TRUE,$U$4=TRUE),"-",
IF((AND($U$4=TRUE,$U$5=FALSE,$U$6=FALSE,$U$7=FALSE)),VLOOKUP($E118,'Status Thresholds'!$E:$AR,2,FALSE),IF((AND($U$4=TRUE,$U$5=FALSE,$U$6=TRUE,$U$7=FALSE)),VLOOKUP($E118,'Status Thresholds'!$E:$AR,12,FALSE),IF((AND($U$4=TRUE,$U$5=FALSE,$U$6=TRUE,$U$7=TRUE)),VLOOKUP($E118,'Status Thresholds'!$E:$AR,17,FALSE),IF((AND($U$4=TRUE,$U$5=FALSE,$U$6=FALSE,$U$7=TRUE)),VLOOKUP($E118,'Status Thresholds'!$E:$AR,7,FALSE),
IF((AND($U$4=FALSE,$U$5=TRUE,$U$6=FALSE,$U$7=FALSE)),VLOOKUP($E118,'Status Thresholds'!$E:$AR,22,FALSE),IF((AND($U$4=FALSE,$U$5=TRUE,$U$6=TRUE,$U$7=FALSE)),VLOOKUP($E118,'Status Thresholds'!$E:$AR,32,FALSE),IF((AND($U$4=FALSE,$U$5=TRUE,$U$6=TRUE,$U$7=TRUE)),VLOOKUP($E118,'Status Thresholds'!$E:$AR,37,FALSE),IF((AND($U$4=FALSE,$U$5=TRUE,$U$6=FALSE,$U$7=TRUE)),VLOOKUP($E118,'Status Thresholds'!$E:$AR,27,FALSE)))))))))
))/
IF(OR($X$5=TRUE,$AC$3=TRUE
),($F$3/2), IF(OR($X$2,$X$3,$X$4,$X$6,$X$7,$X$8,$Z$2,$Z$3,$Z$4,$Z$5,$Z$6,$Z$7,$Z$8)=TRUE,$F$3)),0),"-")</f>
        <v>-</v>
      </c>
      <c r="G118" s="36" t="str">
        <f>IFERROR(
ROUNDUP(
IF(AND($U$5=FALSE,$U$4=FALSE),"-",IF(AND($U$5=TRUE,$U$4=TRUE),"-",
IF((AND($U$4=TRUE,$U$5=FALSE,$U$6=FALSE,$U$7=FALSE)),VLOOKUP($E118,'Status Thresholds'!$E:$AR,3,FALSE),IF((AND($U$4=TRUE,$U$5=FALSE,$U$6=TRUE,$U$7=FALSE)),VLOOKUP($E118,'Status Thresholds'!$E:$AR,13,FALSE),IF((AND($U$4=TRUE,$U$5=FALSE,$U$6=TRUE,$U$7=TRUE)),VLOOKUP($E118,'Status Thresholds'!$E:$AR,18,FALSE),IF((AND($U$4=TRUE,$U$5=FALSE,$U$6=FALSE,$U$7=TRUE)),VLOOKUP($E118,'Status Thresholds'!$E:$AR,8,FALSE),
IF((AND($U$4=FALSE,$U$5=TRUE,$U$6=FALSE,$U$7=FALSE)),VLOOKUP($E118,'Status Thresholds'!$E:$AR,23,FALSE),IF((AND($U$4=FALSE,$U$5=TRUE,$U$6=TRUE,$U$7=FALSE)),VLOOKUP($E118,'Status Thresholds'!$E:$AR,33,FALSE),IF((AND($U$4=FALSE,$U$5=TRUE,$U$6=TRUE,$U$7=TRUE)),VLOOKUP($E118,'Status Thresholds'!$E:$AR,38,FALSE),IF((AND($U$4=FALSE,$U$5=TRUE,$U$6=FALSE,$U$7=TRUE)),VLOOKUP($E118,'Status Thresholds'!$E:$AR,28,FALSE)))))))))
))/
IF(OR($X$5=TRUE,$AC$3=TRUE
),($F$3/2), IF(OR($X$2,$X$3,$X$4,$X$6,$X$7,$X$8,$Z$2,$Z$3,$Z$4,$Z$5,$Z$6,$Z$7,$Z$8)=TRUE,$F$3)),0),"-")</f>
        <v>-</v>
      </c>
      <c r="H118" s="36" t="str">
        <f>IFERROR(
ROUNDUP(
IF(AND($U$5=FALSE,$U$4=FALSE),"-",IF(AND($U$5=TRUE,$U$4=TRUE),"-",
IF((AND($U$4=TRUE,$U$5=FALSE,$U$6=FALSE,$U$7=FALSE)),VLOOKUP($E118,'Status Thresholds'!$E:$AR,4,FALSE),IF((AND($U$4=TRUE,$U$5=FALSE,$U$6=TRUE,$U$7=FALSE)),VLOOKUP($E118,'Status Thresholds'!$E:$AR,14,FALSE),IF((AND($U$4=TRUE,$U$5=FALSE,$U$6=TRUE,$U$7=TRUE)),VLOOKUP($E118,'Status Thresholds'!$E:$AR,19,FALSE),IF((AND($U$4=TRUE,$U$5=FALSE,$U$6=FALSE,$U$7=TRUE)),VLOOKUP($E118,'Status Thresholds'!$E:$AR,9,FALSE),
IF((AND($U$4=FALSE,$U$5=TRUE,$U$6=FALSE,$U$7=FALSE)),VLOOKUP($E118,'Status Thresholds'!$E:$AR,24,FALSE),IF((AND($U$4=FALSE,$U$5=TRUE,$U$6=TRUE,$U$7=FALSE)),VLOOKUP($E118,'Status Thresholds'!$E:$AR,34,FALSE),IF((AND($U$4=FALSE,$U$5=TRUE,$U$6=TRUE,$U$7=TRUE)),VLOOKUP($E118,'Status Thresholds'!$E:$AR,39,FALSE),IF((AND($U$4=FALSE,$U$5=TRUE,$U$6=FALSE,$U$7=TRUE)),VLOOKUP($E118,'Status Thresholds'!$E:$AR,29,FALSE)))))))))
))/
IF(OR($X$5=TRUE,$AC$3=TRUE
),($F$3/2), IF(OR($X$2,$X$3,$X$4,$X$6,$X$7,$X$8,$Z$2,$Z$3,$Z$4,$Z$5,$Z$6,$Z$7,$Z$8)=TRUE,$F$3)),0),"-")</f>
        <v>-</v>
      </c>
      <c r="I118" s="36" t="str">
        <f>IFERROR(
ROUNDUP(
IF(AND($U$5=FALSE,$U$4=FALSE),"-",IF(AND($U$5=TRUE,$U$4=TRUE),"-",
IF((AND($U$4=TRUE,$U$5=FALSE,$U$6=FALSE,$U$7=FALSE)),VLOOKUP($E118,'Status Thresholds'!$E:$AR,5,FALSE),IF((AND($U$4=TRUE,$U$5=FALSE,$U$6=TRUE,$U$7=FALSE)),VLOOKUP($E118,'Status Thresholds'!$E:$AR,15,FALSE),IF((AND($U$4=TRUE,$U$5=FALSE,$U$6=TRUE,$U$7=TRUE)),VLOOKUP($E118,'Status Thresholds'!$E:$AR,20,FALSE),IF((AND($U$4=TRUE,$U$5=FALSE,$U$6=FALSE,$U$7=TRUE)),VLOOKUP($E118,'Status Thresholds'!$E:$AR,10,FALSE),
IF((AND($U$4=FALSE,$U$5=TRUE,$U$6=FALSE,$U$7=FALSE)),VLOOKUP($E118,'Status Thresholds'!$E:$AR,25,FALSE),IF((AND($U$4=FALSE,$U$5=TRUE,$U$6=TRUE,$U$7=FALSE)),VLOOKUP($E118,'Status Thresholds'!$E:$AR,35,FALSE),IF((AND($U$4=FALSE,$U$5=TRUE,$U$6=TRUE,$U$7=TRUE)),VLOOKUP($E118,'Status Thresholds'!$E:$AR,40,FALSE),IF((AND($U$4=FALSE,$U$5=TRUE,$U$6=FALSE,$U$7=TRUE)),VLOOKUP($E118,'Status Thresholds'!$E:$AR,30,FALSE)))))))))
))/
IF(OR($X$5=TRUE,$AC$3=TRUE
),($F$3/2), IF(OR($X$2,$X$3,$X$4,$X$6,$X$7,$X$8,$Z$2,$Z$3,$Z$4,$Z$5,$Z$6,$Z$7,$Z$8)=TRUE,$F$3)),0),"-")</f>
        <v>-</v>
      </c>
      <c r="J118" s="36">
        <f>IFERROR(IF(AND($U$5=FALSE,$U$4=FALSE),"-",VLOOKUP($E118,'Status Thresholds'!$E:$AU,41,FALSE)),"-")</f>
        <v>12</v>
      </c>
      <c r="K118" s="36" t="str">
        <f>IFERROR(IF(AND($U$5=FALSE,$U$4=FALSE),"-",VLOOKUP($E118,'Status Thresholds'!$E:$AU,42,FALSE)),"-")</f>
        <v>-</v>
      </c>
      <c r="L118" s="36" t="str">
        <f>IFERROR(IF(AND($U$5=FALSE,$U$4=FALSE),"-",VLOOKUP($E118,'Status Thresholds'!$E:$AU,43,FALSE)),"-")</f>
        <v>-</v>
      </c>
    </row>
    <row r="119" spans="1:12" hidden="1" x14ac:dyDescent="0.25">
      <c r="A119" s="35"/>
      <c r="B119" s="64" t="str">
        <f>IF('Status Thresholds'!A114=0, "", 'Status Thresholds'!A114)</f>
        <v>Deviant</v>
      </c>
      <c r="C119" s="64" t="str">
        <f>IF('Status Thresholds'!B114=0, "", 'Status Thresholds'!B114)</f>
        <v>Bloodbath Diablos</v>
      </c>
      <c r="D119" s="31" t="s">
        <v>32</v>
      </c>
      <c r="E119" s="36" t="str">
        <f t="shared" si="1"/>
        <v>Bloodbath DiablosSleep</v>
      </c>
      <c r="F119" s="36" t="str">
        <f>IFERROR(
ROUNDUP(
IF(AND($U$5=FALSE,$U$4=FALSE),"-",IF(AND($U$5=TRUE,$U$4=TRUE),"-",
IF((AND($U$4=TRUE,$U$5=FALSE,$U$6=FALSE,$U$7=FALSE)),VLOOKUP($E119,'Status Thresholds'!$E:$AR,2,FALSE),IF((AND($U$4=TRUE,$U$5=FALSE,$U$6=TRUE,$U$7=FALSE)),VLOOKUP($E119,'Status Thresholds'!$E:$AR,12,FALSE),IF((AND($U$4=TRUE,$U$5=FALSE,$U$6=TRUE,$U$7=TRUE)),VLOOKUP($E119,'Status Thresholds'!$E:$AR,17,FALSE),IF((AND($U$4=TRUE,$U$5=FALSE,$U$6=FALSE,$U$7=TRUE)),VLOOKUP($E119,'Status Thresholds'!$E:$AR,7,FALSE),
IF((AND($U$4=FALSE,$U$5=TRUE,$U$6=FALSE,$U$7=FALSE)),VLOOKUP($E119,'Status Thresholds'!$E:$AR,22,FALSE),IF((AND($U$4=FALSE,$U$5=TRUE,$U$6=TRUE,$U$7=FALSE)),VLOOKUP($E119,'Status Thresholds'!$E:$AR,32,FALSE),IF((AND($U$4=FALSE,$U$5=TRUE,$U$6=TRUE,$U$7=TRUE)),VLOOKUP($E119,'Status Thresholds'!$E:$AR,37,FALSE),IF((AND($U$4=FALSE,$U$5=TRUE,$U$6=FALSE,$U$7=TRUE)),VLOOKUP($E119,'Status Thresholds'!$E:$AR,27,FALSE)))))))))
))/
IF(OR($X$5=TRUE,$AC$3=TRUE
),($F$4/2), IF(OR($X$2,$X$3,$X$4,$X$6,$X$7,$X$8,$Z$2,$Z$3,$Z$4,$Z$5,$Z$6,$Z$7,$Z$8)=TRUE,$F$4)),0),"-")</f>
        <v>-</v>
      </c>
      <c r="G119" s="36" t="str">
        <f>IFERROR(
ROUNDUP(
IF(AND($U$5=FALSE,$U$4=FALSE),"-",IF(AND($U$5=TRUE,$U$4=TRUE),"-",
IF((AND($U$4=TRUE,$U$5=FALSE,$U$6=FALSE,$U$7=FALSE)),VLOOKUP($E119,'Status Thresholds'!$E:$AR,3,FALSE),IF((AND($U$4=TRUE,$U$5=FALSE,$U$6=TRUE,$U$7=FALSE)),VLOOKUP($E119,'Status Thresholds'!$E:$AR,13,FALSE),IF((AND($U$4=TRUE,$U$5=FALSE,$U$6=TRUE,$U$7=TRUE)),VLOOKUP($E119,'Status Thresholds'!$E:$AR,18,FALSE),IF((AND($U$4=TRUE,$U$5=FALSE,$U$6=FALSE,$U$7=TRUE)),VLOOKUP($E119,'Status Thresholds'!$E:$AR,8,FALSE),
IF((AND($U$4=FALSE,$U$5=TRUE,$U$6=FALSE,$U$7=FALSE)),VLOOKUP($E119,'Status Thresholds'!$E:$AR,23,FALSE),IF((AND($U$4=FALSE,$U$5=TRUE,$U$6=TRUE,$U$7=FALSE)),VLOOKUP($E119,'Status Thresholds'!$E:$AR,33,FALSE),IF((AND($U$4=FALSE,$U$5=TRUE,$U$6=TRUE,$U$7=TRUE)),VLOOKUP($E119,'Status Thresholds'!$E:$AR,38,FALSE),IF((AND($U$4=FALSE,$U$5=TRUE,$U$6=FALSE,$U$7=TRUE)),VLOOKUP($E119,'Status Thresholds'!$E:$AR,28,FALSE)))))))))
))/
IF(OR($X$5=TRUE,$AC$3=TRUE
),($F$4/2), IF(OR($X$2,$X$3,$X$4,$X$6,$X$7,$X$8,$Z$2,$Z$3,$Z$4,$Z$5,$Z$6,$Z$7,$Z$8)=TRUE,$F$4)),0),"-")</f>
        <v>-</v>
      </c>
      <c r="H119" s="36" t="str">
        <f>IFERROR(
ROUNDUP(
IF(AND($U$5=FALSE,$U$4=FALSE),"-",IF(AND($U$5=TRUE,$U$4=TRUE),"-",
IF((AND($U$4=TRUE,$U$5=FALSE,$U$6=FALSE,$U$7=FALSE)),VLOOKUP($E119,'Status Thresholds'!$E:$AR,4,FALSE),IF((AND($U$4=TRUE,$U$5=FALSE,$U$6=TRUE,$U$7=FALSE)),VLOOKUP($E119,'Status Thresholds'!$E:$AR,14,FALSE),IF((AND($U$4=TRUE,$U$5=FALSE,$U$6=TRUE,$U$7=TRUE)),VLOOKUP($E119,'Status Thresholds'!$E:$AR,19,FALSE),IF((AND($U$4=TRUE,$U$5=FALSE,$U$6=FALSE,$U$7=TRUE)),VLOOKUP($E119,'Status Thresholds'!$E:$AR,9,FALSE),
IF((AND($U$4=FALSE,$U$5=TRUE,$U$6=FALSE,$U$7=FALSE)),VLOOKUP($E119,'Status Thresholds'!$E:$AR,24,FALSE),IF((AND($U$4=FALSE,$U$5=TRUE,$U$6=TRUE,$U$7=FALSE)),VLOOKUP($E119,'Status Thresholds'!$E:$AR,34,FALSE),IF((AND($U$4=FALSE,$U$5=TRUE,$U$6=TRUE,$U$7=TRUE)),VLOOKUP($E119,'Status Thresholds'!$E:$AR,39,FALSE),IF((AND($U$4=FALSE,$U$5=TRUE,$U$6=FALSE,$U$7=TRUE)),VLOOKUP($E119,'Status Thresholds'!$E:$AR,29,FALSE)))))))))
))/
IF(OR($X$5=TRUE,$AC$3=TRUE
),($F$4/2), IF(OR($X$2,$X$3,$X$4,$X$6,$X$7,$X$8,$Z$2,$Z$3,$Z$4,$Z$5,$Z$6,$Z$7,$Z$8)=TRUE,$F$4)),0),"-")</f>
        <v>-</v>
      </c>
      <c r="I119" s="36" t="str">
        <f>IFERROR(
ROUNDUP(
IF(AND($U$5=FALSE,$U$4=FALSE),"-",IF(AND($U$5=TRUE,$U$4=TRUE),"-",
IF((AND($U$4=TRUE,$U$5=FALSE,$U$6=FALSE,$U$7=FALSE)),VLOOKUP($E119,'Status Thresholds'!$E:$AR,5,FALSE),IF((AND($U$4=TRUE,$U$5=FALSE,$U$6=TRUE,$U$7=FALSE)),VLOOKUP($E119,'Status Thresholds'!$E:$AR,15,FALSE),IF((AND($U$4=TRUE,$U$5=FALSE,$U$6=TRUE,$U$7=TRUE)),VLOOKUP($E119,'Status Thresholds'!$E:$AR,20,FALSE),IF((AND($U$4=TRUE,$U$5=FALSE,$U$6=FALSE,$U$7=TRUE)),VLOOKUP($E119,'Status Thresholds'!$E:$AR,10,FALSE),
IF((AND($U$4=FALSE,$U$5=TRUE,$U$6=FALSE,$U$7=FALSE)),VLOOKUP($E119,'Status Thresholds'!$E:$AR,25,FALSE),IF((AND($U$4=FALSE,$U$5=TRUE,$U$6=TRUE,$U$7=FALSE)),VLOOKUP($E119,'Status Thresholds'!$E:$AR,35,FALSE),IF((AND($U$4=FALSE,$U$5=TRUE,$U$6=TRUE,$U$7=TRUE)),VLOOKUP($E119,'Status Thresholds'!$E:$AR,40,FALSE),IF((AND($U$4=FALSE,$U$5=TRUE,$U$6=FALSE,$U$7=TRUE)),VLOOKUP($E119,'Status Thresholds'!$E:$AR,30,FALSE)))))))))
))/
IF(OR($X$5=TRUE,$AC$3=TRUE
),($F$4/2), IF(OR($X$2,$X$3,$X$4,$X$6,$X$7,$X$8,$Z$2,$Z$3,$Z$4,$Z$5,$Z$6,$Z$7,$Z$8)=TRUE,$F$4)),0),"-")</f>
        <v>-</v>
      </c>
      <c r="J119" s="46">
        <f>IFERROR(IF(AND($U$5=FALSE,$U$4=FALSE),"-",VLOOKUP($E119,'Status Thresholds'!$E:$AU,41,FALSE)),"-")</f>
        <v>40</v>
      </c>
      <c r="K119" s="46" t="str">
        <f>IFERROR(IF(AND($U$5=FALSE,$U$4=FALSE),"-",VLOOKUP($E119,'Status Thresholds'!$E:$AU,42,FALSE)),"-")</f>
        <v>-</v>
      </c>
      <c r="L119" s="46" t="str">
        <f>IFERROR(IF(AND($U$5=FALSE,$U$4=FALSE),"-",VLOOKUP($E119,'Status Thresholds'!$E:$AU,43,FALSE)),"-")</f>
        <v>-</v>
      </c>
    </row>
    <row r="120" spans="1:12" hidden="1" x14ac:dyDescent="0.25">
      <c r="A120" s="35"/>
      <c r="B120" s="64" t="str">
        <f>IF('Status Thresholds'!A115=0, "", 'Status Thresholds'!A115)</f>
        <v>Deviant</v>
      </c>
      <c r="C120" s="64" t="str">
        <f>IF('Status Thresholds'!B115=0, "", 'Status Thresholds'!B115)</f>
        <v>Bloodbath Diablos</v>
      </c>
      <c r="D120" s="32" t="s">
        <v>33</v>
      </c>
      <c r="E120" s="36" t="str">
        <f t="shared" si="1"/>
        <v>Bloodbath DiablosPoison</v>
      </c>
      <c r="F120" s="36" t="str">
        <f>IFERROR(
ROUNDUP(
IF(AND($U$5=FALSE,$U$4=FALSE),"-",IF(AND($U$5=TRUE,$U$4=TRUE),"-",
IF((AND($U$4=TRUE,$U$5=FALSE,$U$6=FALSE,$U$7=FALSE)),VLOOKUP($E120,'Status Thresholds'!$E:$AR,2,FALSE),IF((AND($U$4=TRUE,$U$5=FALSE,$U$6=TRUE,$U$7=FALSE)),VLOOKUP($E120,'Status Thresholds'!$E:$AR,12,FALSE),IF((AND($U$4=TRUE,$U$5=FALSE,$U$6=TRUE,$U$7=TRUE)),VLOOKUP($E120,'Status Thresholds'!$E:$AR,17,FALSE),IF((AND($U$4=TRUE,$U$5=FALSE,$U$6=FALSE,$U$7=TRUE)),VLOOKUP($E120,'Status Thresholds'!$E:$AR,7,FALSE),
IF((AND($U$4=FALSE,$U$5=TRUE,$U$6=FALSE,$U$7=FALSE)),VLOOKUP($E120,'Status Thresholds'!$E:$AR,22,FALSE),IF((AND($U$4=FALSE,$U$5=TRUE,$U$6=TRUE,$U$7=FALSE)),VLOOKUP($E120,'Status Thresholds'!$E:$AR,32,FALSE),IF((AND($U$4=FALSE,$U$5=TRUE,$U$6=TRUE,$U$7=TRUE)),VLOOKUP($E120,'Status Thresholds'!$E:$AR,37,FALSE),IF((AND($U$4=FALSE,$U$5=TRUE,$U$6=FALSE,$U$7=TRUE)),VLOOKUP($E120,'Status Thresholds'!$E:$AR,27,FALSE)))))))))
))/
IF(OR($X$5=TRUE,$AC$3=TRUE
),($F$5/2), IF(OR($X$2,$X$3,$X$4,$X$6,$X$7,$X$8,$Z$2,$Z$3,$Z$4,$Z$5,$Z$6,$Z$7,$Z$8)=TRUE,$F$5)),0),"-")</f>
        <v>-</v>
      </c>
      <c r="G120" s="36" t="str">
        <f>IFERROR(
ROUNDUP(
IF(AND($U$5=FALSE,$U$4=FALSE),"-",IF(AND($U$5=TRUE,$U$4=TRUE),"-",
IF((AND($U$4=TRUE,$U$5=FALSE,$U$6=FALSE,$U$7=FALSE)),VLOOKUP($E120,'Status Thresholds'!$E:$AR,3,FALSE),IF((AND($U$4=TRUE,$U$5=FALSE,$U$6=TRUE,$U$7=FALSE)),VLOOKUP($E120,'Status Thresholds'!$E:$AR,13,FALSE),IF((AND($U$4=TRUE,$U$5=FALSE,$U$6=TRUE,$U$7=TRUE)),VLOOKUP($E120,'Status Thresholds'!$E:$AR,18,FALSE),IF((AND($U$4=TRUE,$U$5=FALSE,$U$6=FALSE,$U$7=TRUE)),VLOOKUP($E120,'Status Thresholds'!$E:$AR,8,FALSE),
IF((AND($U$4=FALSE,$U$5=TRUE,$U$6=FALSE,$U$7=FALSE)),VLOOKUP($E120,'Status Thresholds'!$E:$AR,23,FALSE),IF((AND($U$4=FALSE,$U$5=TRUE,$U$6=TRUE,$U$7=FALSE)),VLOOKUP($E120,'Status Thresholds'!$E:$AR,33,FALSE),IF((AND($U$4=FALSE,$U$5=TRUE,$U$6=TRUE,$U$7=TRUE)),VLOOKUP($E120,'Status Thresholds'!$E:$AR,38,FALSE),IF((AND($U$4=FALSE,$U$5=TRUE,$U$6=FALSE,$U$7=TRUE)),VLOOKUP($E120,'Status Thresholds'!$E:$AR,28,FALSE)))))))))
))/
IF(OR($X$5=TRUE,$AC$3=TRUE
),($F$5/2), IF(OR($X$2,$X$3,$X$4,$X$6,$X$7,$X$8,$Z$2,$Z$3,$Z$4,$Z$5,$Z$6,$Z$7,$Z$8)=TRUE,$F$5)),0),"-")</f>
        <v>-</v>
      </c>
      <c r="H120" s="36" t="str">
        <f>IFERROR(
ROUNDUP(
IF(AND($U$5=FALSE,$U$4=FALSE),"-",IF(AND($U$5=TRUE,$U$4=TRUE),"-",
IF((AND($U$4=TRUE,$U$5=FALSE,$U$6=FALSE,$U$7=FALSE)),VLOOKUP($E120,'Status Thresholds'!$E:$AR,4,FALSE),IF((AND($U$4=TRUE,$U$5=FALSE,$U$6=TRUE,$U$7=FALSE)),VLOOKUP($E120,'Status Thresholds'!$E:$AR,14,FALSE),IF((AND($U$4=TRUE,$U$5=FALSE,$U$6=TRUE,$U$7=TRUE)),VLOOKUP($E120,'Status Thresholds'!$E:$AR,19,FALSE),IF((AND($U$4=TRUE,$U$5=FALSE,$U$6=FALSE,$U$7=TRUE)),VLOOKUP($E120,'Status Thresholds'!$E:$AR,9,FALSE),
IF((AND($U$4=FALSE,$U$5=TRUE,$U$6=FALSE,$U$7=FALSE)),VLOOKUP($E120,'Status Thresholds'!$E:$AR,24,FALSE),IF((AND($U$4=FALSE,$U$5=TRUE,$U$6=TRUE,$U$7=FALSE)),VLOOKUP($E120,'Status Thresholds'!$E:$AR,34,FALSE),IF((AND($U$4=FALSE,$U$5=TRUE,$U$6=TRUE,$U$7=TRUE)),VLOOKUP($E120,'Status Thresholds'!$E:$AR,39,FALSE),IF((AND($U$4=FALSE,$U$5=TRUE,$U$6=FALSE,$U$7=TRUE)),VLOOKUP($E120,'Status Thresholds'!$E:$AR,29,FALSE)))))))))
))/
IF(OR($X$5=TRUE,$AC$3=TRUE
),($F$5/2), IF(OR($X$2,$X$3,$X$4,$X$6,$X$7,$X$8,$Z$2,$Z$3,$Z$4,$Z$5,$Z$6,$Z$7,$Z$8)=TRUE,$F$5)),0),"-")</f>
        <v>-</v>
      </c>
      <c r="I120" s="36" t="str">
        <f>IFERROR(
ROUNDUP(
IF(AND($U$5=FALSE,$U$4=FALSE),"-",IF(AND($U$5=TRUE,$U$4=TRUE),"-",
IF((AND($U$4=TRUE,$U$5=FALSE,$U$6=FALSE,$U$7=FALSE)),VLOOKUP($E120,'Status Thresholds'!$E:$AR,5,FALSE),IF((AND($U$4=TRUE,$U$5=FALSE,$U$6=TRUE,$U$7=FALSE)),VLOOKUP($E120,'Status Thresholds'!$E:$AR,15,FALSE),IF((AND($U$4=TRUE,$U$5=FALSE,$U$6=TRUE,$U$7=TRUE)),VLOOKUP($E120,'Status Thresholds'!$E:$AR,20,FALSE),IF((AND($U$4=TRUE,$U$5=FALSE,$U$6=FALSE,$U$7=TRUE)),VLOOKUP($E120,'Status Thresholds'!$E:$AR,10,FALSE),
IF((AND($U$4=FALSE,$U$5=TRUE,$U$6=FALSE,$U$7=FALSE)),VLOOKUP($E120,'Status Thresholds'!$E:$AR,25,FALSE),IF((AND($U$4=FALSE,$U$5=TRUE,$U$6=TRUE,$U$7=FALSE)),VLOOKUP($E120,'Status Thresholds'!$E:$AR,35,FALSE),IF((AND($U$4=FALSE,$U$5=TRUE,$U$6=TRUE,$U$7=TRUE)),VLOOKUP($E120,'Status Thresholds'!$E:$AR,40,FALSE),IF((AND($U$4=FALSE,$U$5=TRUE,$U$6=FALSE,$U$7=TRUE)),VLOOKUP($E120,'Status Thresholds'!$E:$AR,30,FALSE)))))))))
))/
IF(OR($X$5=TRUE,$AC$3=TRUE
),($F$5/2), IF(OR($X$2,$X$3,$X$4,$X$6,$X$7,$X$8,$Z$2,$Z$3,$Z$4,$Z$5,$Z$6,$Z$7,$Z$8)=TRUE,$F$5)),0),"-")</f>
        <v>-</v>
      </c>
      <c r="J120" s="46">
        <f>IFERROR(IF(AND($U$5=FALSE,$U$4=FALSE),"-",VLOOKUP($E120,'Status Thresholds'!$E:$AU,41,FALSE)),"-")</f>
        <v>50</v>
      </c>
      <c r="K120" s="46" t="str">
        <f>IFERROR(IF(AND($U$5=FALSE,$U$4=FALSE),"-",VLOOKUP($E120,'Status Thresholds'!$E:$AU,42,FALSE)),"-")</f>
        <v>-</v>
      </c>
      <c r="L120" s="46" t="str">
        <f>IFERROR(IF(AND($U$5=FALSE,$U$4=FALSE),"-",VLOOKUP($E120,'Status Thresholds'!$E:$AU,43,FALSE)),"-")</f>
        <v>-</v>
      </c>
    </row>
    <row r="121" spans="1:12" hidden="1" x14ac:dyDescent="0.25">
      <c r="A121" s="35"/>
      <c r="B121" s="64" t="str">
        <f>IF('Status Thresholds'!A116=0, "", 'Status Thresholds'!A116)</f>
        <v>Deviant</v>
      </c>
      <c r="C121" s="64" t="str">
        <f>IF('Status Thresholds'!B116=0, "", 'Status Thresholds'!B116)</f>
        <v>Bloodbath Diablos</v>
      </c>
      <c r="D121" s="10" t="s">
        <v>22</v>
      </c>
      <c r="E121" s="36" t="str">
        <f t="shared" si="1"/>
        <v>Bloodbath DiablosExhaust</v>
      </c>
      <c r="F121" s="36" t="str">
        <f>IFERROR(
ROUNDUP(
IF(AND($U$5=FALSE,$U$4=FALSE),"-",IF(AND($U$5=TRUE,$U$4=TRUE),"-",
IF((AND($U$4=TRUE,$U$5=FALSE,$U$6=FALSE,$U$7=FALSE)),VLOOKUP($E121,'Status Thresholds'!$E:$AR,2,FALSE),IF((AND($U$4=TRUE,$U$5=FALSE,$U$6=TRUE,$U$7=FALSE)),VLOOKUP($E121,'Status Thresholds'!$E:$AR,12,FALSE),IF((AND($U$4=TRUE,$U$5=FALSE,$U$6=TRUE,$U$7=TRUE)),VLOOKUP($E121,'Status Thresholds'!$E:$AR,17,FALSE),IF((AND($U$4=TRUE,$U$5=FALSE,$U$6=FALSE,$U$7=TRUE)),VLOOKUP($E121,'Status Thresholds'!$E:$AR,7,FALSE),
IF((AND($U$4=FALSE,$U$5=TRUE,$U$6=FALSE,$U$7=FALSE)),VLOOKUP($E121,'Status Thresholds'!$E:$AR,22,FALSE),IF((AND($U$4=FALSE,$U$5=TRUE,$U$6=TRUE,$U$7=FALSE)),VLOOKUP($E121,'Status Thresholds'!$E:$AR,32,FALSE),IF((AND($U$4=FALSE,$U$5=TRUE,$U$6=TRUE,$U$7=TRUE)),VLOOKUP($E121,'Status Thresholds'!$E:$AR,37,FALSE),IF((AND($U$4=FALSE,$U$5=TRUE,$U$6=FALSE,$U$7=TRUE)),VLOOKUP($E121,'Status Thresholds'!$E:$AR,27,FALSE)))))))))
))/
IF(OR($X$5=TRUE,$AC$3=TRUE
),($F$6/2), IF(OR($X$2,$X$3,$X$4,$X$6,$X$7,$X$8,$Z$2,$Z$3,$Z$4,$Z$5,$Z$6,$Z$7,$Z$8)=TRUE,$F$6)),0),"-")</f>
        <v>-</v>
      </c>
      <c r="G121" s="36" t="str">
        <f>IFERROR(
ROUNDUP(
IF(AND($U$5=FALSE,$U$4=FALSE),"-",IF(AND($U$5=TRUE,$U$4=TRUE),"-",
IF((AND($U$4=TRUE,$U$5=FALSE,$U$6=FALSE,$U$7=FALSE)),VLOOKUP($E121,'Status Thresholds'!$E:$AR,3,FALSE),IF((AND($U$4=TRUE,$U$5=FALSE,$U$6=TRUE,$U$7=FALSE)),VLOOKUP($E121,'Status Thresholds'!$E:$AR,13,FALSE),IF((AND($U$4=TRUE,$U$5=FALSE,$U$6=TRUE,$U$7=TRUE)),VLOOKUP($E121,'Status Thresholds'!$E:$AR,18,FALSE),IF((AND($U$4=TRUE,$U$5=FALSE,$U$6=FALSE,$U$7=TRUE)),VLOOKUP($E121,'Status Thresholds'!$E:$AR,8,FALSE),
IF((AND($U$4=FALSE,$U$5=TRUE,$U$6=FALSE,$U$7=FALSE)),VLOOKUP($E121,'Status Thresholds'!$E:$AR,23,FALSE),IF((AND($U$4=FALSE,$U$5=TRUE,$U$6=TRUE,$U$7=FALSE)),VLOOKUP($E121,'Status Thresholds'!$E:$AR,33,FALSE),IF((AND($U$4=FALSE,$U$5=TRUE,$U$6=TRUE,$U$7=TRUE)),VLOOKUP($E121,'Status Thresholds'!$E:$AR,38,FALSE),IF((AND($U$4=FALSE,$U$5=TRUE,$U$6=FALSE,$U$7=TRUE)),VLOOKUP($E121,'Status Thresholds'!$E:$AR,28,FALSE)))))))))
))/
IF(OR($X$5=TRUE,$AC$3=TRUE
),($F$6/2), IF(OR($X$2,$X$3,$X$4,$X$6,$X$7,$X$8,$Z$2,$Z$3,$Z$4,$Z$5,$Z$6,$Z$7,$Z$8)=TRUE,$F$6)),0),"-")</f>
        <v>-</v>
      </c>
      <c r="H121" s="36" t="str">
        <f>IFERROR(
ROUNDUP(
IF(AND($U$5=FALSE,$U$4=FALSE),"-",IF(AND($U$5=TRUE,$U$4=TRUE),"-",
IF((AND($U$4=TRUE,$U$5=FALSE,$U$6=FALSE,$U$7=FALSE)),VLOOKUP($E121,'Status Thresholds'!$E:$AR,4,FALSE),IF((AND($U$4=TRUE,$U$5=FALSE,$U$6=TRUE,$U$7=FALSE)),VLOOKUP($E121,'Status Thresholds'!$E:$AR,14,FALSE),IF((AND($U$4=TRUE,$U$5=FALSE,$U$6=TRUE,$U$7=TRUE)),VLOOKUP($E121,'Status Thresholds'!$E:$AR,19,FALSE),IF((AND($U$4=TRUE,$U$5=FALSE,$U$6=FALSE,$U$7=TRUE)),VLOOKUP($E121,'Status Thresholds'!$E:$AR,9,FALSE),
IF((AND($U$4=FALSE,$U$5=TRUE,$U$6=FALSE,$U$7=FALSE)),VLOOKUP($E121,'Status Thresholds'!$E:$AR,24,FALSE),IF((AND($U$4=FALSE,$U$5=TRUE,$U$6=TRUE,$U$7=FALSE)),VLOOKUP($E121,'Status Thresholds'!$E:$AR,34,FALSE),IF((AND($U$4=FALSE,$U$5=TRUE,$U$6=TRUE,$U$7=TRUE)),VLOOKUP($E121,'Status Thresholds'!$E:$AR,39,FALSE),IF((AND($U$4=FALSE,$U$5=TRUE,$U$6=FALSE,$U$7=TRUE)),VLOOKUP($E121,'Status Thresholds'!$E:$AR,29,FALSE)))))))))
))/
IF(OR($X$5=TRUE,$AC$3=TRUE
),($F$6/2), IF(OR($X$2,$X$3,$X$4,$X$6,$X$7,$X$8,$Z$2,$Z$3,$Z$4,$Z$5,$Z$6,$Z$7,$Z$8)=TRUE,$F$6)),0),"-")</f>
        <v>-</v>
      </c>
      <c r="I121" s="36" t="str">
        <f>IFERROR(
ROUNDUP(
IF(AND($U$5=FALSE,$U$4=FALSE),"-",IF(AND($U$5=TRUE,$U$4=TRUE),"-",
IF((AND($U$4=TRUE,$U$5=FALSE,$U$6=FALSE,$U$7=FALSE)),VLOOKUP($E121,'Status Thresholds'!$E:$AR,5,FALSE),IF((AND($U$4=TRUE,$U$5=FALSE,$U$6=TRUE,$U$7=FALSE)),VLOOKUP($E121,'Status Thresholds'!$E:$AR,15,FALSE),IF((AND($U$4=TRUE,$U$5=FALSE,$U$6=TRUE,$U$7=TRUE)),VLOOKUP($E121,'Status Thresholds'!$E:$AR,20,FALSE),IF((AND($U$4=TRUE,$U$5=FALSE,$U$6=FALSE,$U$7=TRUE)),VLOOKUP($E121,'Status Thresholds'!$E:$AR,10,FALSE),
IF((AND($U$4=FALSE,$U$5=TRUE,$U$6=FALSE,$U$7=FALSE)),VLOOKUP($E121,'Status Thresholds'!$E:$AR,25,FALSE),IF((AND($U$4=FALSE,$U$5=TRUE,$U$6=TRUE,$U$7=FALSE)),VLOOKUP($E121,'Status Thresholds'!$E:$AR,35,FALSE),IF((AND($U$4=FALSE,$U$5=TRUE,$U$6=TRUE,$U$7=TRUE)),VLOOKUP($E121,'Status Thresholds'!$E:$AR,40,FALSE),IF((AND($U$4=FALSE,$U$5=TRUE,$U$6=FALSE,$U$7=TRUE)),VLOOKUP($E121,'Status Thresholds'!$E:$AR,30,FALSE)))))))))
))/
IF(OR($X$5=TRUE,$AC$3=TRUE
),($F$6/2), IF(OR($X$2,$X$3,$X$4,$X$6,$X$7,$X$8,$Z$2,$Z$3,$Z$4,$Z$5,$Z$6,$Z$7,$Z$8)=TRUE,$F$6)),0),"-")</f>
        <v>-</v>
      </c>
      <c r="J121" s="46">
        <f>IFERROR(IF(AND($U$5=FALSE,$U$4=FALSE),"-",VLOOKUP($E121,'Status Thresholds'!$E:$AU,41,FALSE)),"-")</f>
        <v>10</v>
      </c>
      <c r="K121" s="46" t="str">
        <f>IFERROR(IF(AND($U$5=FALSE,$U$4=FALSE),"-",VLOOKUP($E121,'Status Thresholds'!$E:$AU,42,FALSE)),"-")</f>
        <v>-</v>
      </c>
      <c r="L121" s="46" t="str">
        <f>IFERROR(IF(AND($U$5=FALSE,$U$4=FALSE),"-",VLOOKUP($E121,'Status Thresholds'!$E:$AU,43,FALSE)),"-")</f>
        <v>-</v>
      </c>
    </row>
    <row r="122" spans="1:12" hidden="1" x14ac:dyDescent="0.25">
      <c r="A122" s="35"/>
      <c r="B122" s="64" t="str">
        <f>IF('Status Thresholds'!A117=0, "", 'Status Thresholds'!A117)</f>
        <v>Deviant</v>
      </c>
      <c r="C122" s="64" t="str">
        <f>IF('Status Thresholds'!B117=0, "", 'Status Thresholds'!B117)</f>
        <v>Bloodbath Diablos</v>
      </c>
      <c r="D122" s="30" t="s">
        <v>35</v>
      </c>
      <c r="E122" s="36" t="str">
        <f t="shared" si="1"/>
        <v>Bloodbath DiablosBlast</v>
      </c>
      <c r="F122" s="36" t="str">
        <f>IFERROR(
ROUNDUP(
IF(AND($U$5=FALSE,$U$4=FALSE),"-",IF(AND($U$5=TRUE,$U$4=TRUE),"-",
IF((AND($U$4=TRUE,$U$5=FALSE,$U$6=FALSE,$U$7=FALSE)),VLOOKUP($E122,'Status Thresholds'!$E:$AR,2,FALSE),IF((AND($U$4=TRUE,$U$5=FALSE,$U$6=TRUE,$U$7=FALSE)),VLOOKUP($E122,'Status Thresholds'!$E:$AR,12,FALSE),IF((AND($U$4=TRUE,$U$5=FALSE,$U$6=TRUE,$U$7=TRUE)),VLOOKUP($E122,'Status Thresholds'!$E:$AR,17,FALSE),IF((AND($U$4=TRUE,$U$5=FALSE,$U$6=FALSE,$U$7=TRUE)),VLOOKUP($E122,'Status Thresholds'!$E:$AR,7,FALSE),
IF((AND($U$4=FALSE,$U$5=TRUE,$U$6=FALSE,$U$7=FALSE)),VLOOKUP($E122,'Status Thresholds'!$E:$AR,22,FALSE),IF((AND($U$4=FALSE,$U$5=TRUE,$U$6=TRUE,$U$7=FALSE)),VLOOKUP($E122,'Status Thresholds'!$E:$AR,32,FALSE),IF((AND($U$4=FALSE,$U$5=TRUE,$U$6=TRUE,$U$7=TRUE)),VLOOKUP($E122,'Status Thresholds'!$E:$AR,37,FALSE),IF((AND($U$4=FALSE,$U$5=TRUE,$U$6=FALSE,$U$7=TRUE)),VLOOKUP($E122,'Status Thresholds'!$E:$AR,27,FALSE)))))))))
))/
IF(OR($X$5=TRUE,$AC$3=TRUE
),($F$7/2), IF(OR($X$2,$X$3,$X$4,$X$6,$X$7,$X$8,$Z$2,$Z$3,$Z$4,$Z$5,$Z$6,$Z$7,$Z$8)=TRUE,$F$7)),0),"-")</f>
        <v>-</v>
      </c>
      <c r="G122" s="36" t="str">
        <f>IFERROR(
ROUNDUP(
IF(AND($U$5=FALSE,$U$4=FALSE),"-",IF(AND($U$5=TRUE,$U$4=TRUE),"-",
IF((AND($U$4=TRUE,$U$5=FALSE,$U$6=FALSE,$U$7=FALSE)),VLOOKUP($E122,'Status Thresholds'!$E:$AR,3,FALSE),IF((AND($U$4=TRUE,$U$5=FALSE,$U$6=TRUE,$U$7=FALSE)),VLOOKUP($E122,'Status Thresholds'!$E:$AR,13,FALSE),IF((AND($U$4=TRUE,$U$5=FALSE,$U$6=TRUE,$U$7=TRUE)),VLOOKUP($E122,'Status Thresholds'!$E:$AR,18,FALSE),IF((AND($U$4=TRUE,$U$5=FALSE,$U$6=FALSE,$U$7=TRUE)),VLOOKUP($E122,'Status Thresholds'!$E:$AR,8,FALSE),
IF((AND($U$4=FALSE,$U$5=TRUE,$U$6=FALSE,$U$7=FALSE)),VLOOKUP($E122,'Status Thresholds'!$E:$AR,23,FALSE),IF((AND($U$4=FALSE,$U$5=TRUE,$U$6=TRUE,$U$7=FALSE)),VLOOKUP($E122,'Status Thresholds'!$E:$AR,33,FALSE),IF((AND($U$4=FALSE,$U$5=TRUE,$U$6=TRUE,$U$7=TRUE)),VLOOKUP($E122,'Status Thresholds'!$E:$AR,38,FALSE),IF((AND($U$4=FALSE,$U$5=TRUE,$U$6=FALSE,$U$7=TRUE)),VLOOKUP($E122,'Status Thresholds'!$E:$AR,28,FALSE)))))))))
))/
IF(OR($X$5=TRUE,$AC$3=TRUE
),($F$7/2), IF(OR($X$2,$X$3,$X$4,$X$6,$X$7,$X$8,$Z$2,$Z$3,$Z$4,$Z$5,$Z$6,$Z$7,$Z$8)=TRUE,$F$7)),0),"-")</f>
        <v>-</v>
      </c>
      <c r="H122" s="36" t="str">
        <f>IFERROR(
ROUNDUP(
IF(AND($U$5=FALSE,$U$4=FALSE),"-",IF(AND($U$5=TRUE,$U$4=TRUE),"-",
IF((AND($U$4=TRUE,$U$5=FALSE,$U$6=FALSE,$U$7=FALSE)),VLOOKUP($E122,'Status Thresholds'!$E:$AR,4,FALSE),IF((AND($U$4=TRUE,$U$5=FALSE,$U$6=TRUE,$U$7=FALSE)),VLOOKUP($E122,'Status Thresholds'!$E:$AR,14,FALSE),IF((AND($U$4=TRUE,$U$5=FALSE,$U$6=TRUE,$U$7=TRUE)),VLOOKUP($E122,'Status Thresholds'!$E:$AR,19,FALSE),IF((AND($U$4=TRUE,$U$5=FALSE,$U$6=FALSE,$U$7=TRUE)),VLOOKUP($E122,'Status Thresholds'!$E:$AR,9,FALSE),
IF((AND($U$4=FALSE,$U$5=TRUE,$U$6=FALSE,$U$7=FALSE)),VLOOKUP($E122,'Status Thresholds'!$E:$AR,24,FALSE),IF((AND($U$4=FALSE,$U$5=TRUE,$U$6=TRUE,$U$7=FALSE)),VLOOKUP($E122,'Status Thresholds'!$E:$AR,34,FALSE),IF((AND($U$4=FALSE,$U$5=TRUE,$U$6=TRUE,$U$7=TRUE)),VLOOKUP($E122,'Status Thresholds'!$E:$AR,39,FALSE),IF((AND($U$4=FALSE,$U$5=TRUE,$U$6=FALSE,$U$7=TRUE)),VLOOKUP($E122,'Status Thresholds'!$E:$AR,29,FALSE)))))))))
))/
IF(OR($X$5=TRUE,$AC$3=TRUE
),($F$7/2), IF(OR($X$2,$X$3,$X$4,$X$6,$X$7,$X$8,$Z$2,$Z$3,$Z$4,$Z$5,$Z$6,$Z$7,$Z$8)=TRUE,$F$7)),0),"-")</f>
        <v>-</v>
      </c>
      <c r="I122" s="36" t="str">
        <f>IFERROR(
ROUNDUP(
IF(AND($U$5=FALSE,$U$4=FALSE),"-",IF(AND($U$5=TRUE,$U$4=TRUE),"-",
IF((AND($U$4=TRUE,$U$5=FALSE,$U$6=FALSE,$U$7=FALSE)),VLOOKUP($E122,'Status Thresholds'!$E:$AR,5,FALSE),IF((AND($U$4=TRUE,$U$5=FALSE,$U$6=TRUE,$U$7=FALSE)),VLOOKUP($E122,'Status Thresholds'!$E:$AR,15,FALSE),IF((AND($U$4=TRUE,$U$5=FALSE,$U$6=TRUE,$U$7=TRUE)),VLOOKUP($E122,'Status Thresholds'!$E:$AR,20,FALSE),IF((AND($U$4=TRUE,$U$5=FALSE,$U$6=FALSE,$U$7=TRUE)),VLOOKUP($E122,'Status Thresholds'!$E:$AR,10,FALSE),
IF((AND($U$4=FALSE,$U$5=TRUE,$U$6=FALSE,$U$7=FALSE)),VLOOKUP($E122,'Status Thresholds'!$E:$AR,25,FALSE),IF((AND($U$4=FALSE,$U$5=TRUE,$U$6=TRUE,$U$7=FALSE)),VLOOKUP($E122,'Status Thresholds'!$E:$AR,35,FALSE),IF((AND($U$4=FALSE,$U$5=TRUE,$U$6=TRUE,$U$7=TRUE)),VLOOKUP($E122,'Status Thresholds'!$E:$AR,40,FALSE),IF((AND($U$4=FALSE,$U$5=TRUE,$U$6=FALSE,$U$7=TRUE)),VLOOKUP($E122,'Status Thresholds'!$E:$AR,30,FALSE)))))))))
))/
IF(OR($X$5=TRUE,$AC$3=TRUE
),($F$7/2), IF(OR($X$2,$X$3,$X$4,$X$6,$X$7,$X$8,$Z$2,$Z$3,$Z$4,$Z$5,$Z$6,$Z$7,$Z$8)=TRUE,$F$7)),0),"-")</f>
        <v>-</v>
      </c>
      <c r="J122" s="46">
        <f>IFERROR(IF(AND($U$5=FALSE,$U$4=FALSE),"-",VLOOKUP($E122,'Status Thresholds'!$E:$AU,41,FALSE)),"-")</f>
        <v>0</v>
      </c>
      <c r="K122" s="46" t="str">
        <f>IFERROR(IF(AND($U$5=FALSE,$U$4=FALSE),"-",VLOOKUP($E122,'Status Thresholds'!$E:$AU,42,FALSE)),"-")</f>
        <v>-</v>
      </c>
      <c r="L122" s="46" t="str">
        <f>IFERROR(IF(AND($U$5=FALSE,$U$4=FALSE),"-",VLOOKUP($E122,'Status Thresholds'!$E:$AU,43,FALSE)),"-")</f>
        <v>-</v>
      </c>
    </row>
    <row r="123" spans="1:12" ht="14.45" hidden="1" customHeight="1" x14ac:dyDescent="0.25">
      <c r="A123" s="35"/>
      <c r="B123" s="64" t="str">
        <f>IF('Status Thresholds'!A118=0, "", 'Status Thresholds'!A118)</f>
        <v>Deviant</v>
      </c>
      <c r="C123" s="64" t="str">
        <f>IF('Status Thresholds'!B118=0, "", 'Status Thresholds'!B118)</f>
        <v>Bloodbath Diablos</v>
      </c>
      <c r="D123" s="34" t="s">
        <v>14</v>
      </c>
      <c r="E123" s="36" t="str">
        <f t="shared" si="1"/>
        <v>Bloodbath DiablosKO</v>
      </c>
      <c r="F123" s="36" t="s">
        <v>214</v>
      </c>
      <c r="G123" s="36" t="s">
        <v>214</v>
      </c>
      <c r="H123" s="36" t="s">
        <v>214</v>
      </c>
      <c r="I123" s="36" t="s">
        <v>214</v>
      </c>
      <c r="J123" s="46">
        <f>IFERROR(IF(AND($U$5=FALSE,$U$4=FALSE),"-",VLOOKUP($E123,'Status Thresholds'!$E:$AU,41,FALSE)),"-")</f>
        <v>10</v>
      </c>
      <c r="K123" s="46" t="str">
        <f>IFERROR(IF(AND($U$5=FALSE,$U$4=FALSE),"-",VLOOKUP($E123,'Status Thresholds'!$E:$AU,42,FALSE)),"-")</f>
        <v>-</v>
      </c>
      <c r="L123" s="46" t="str">
        <f>IFERROR(IF(AND($U$5=FALSE,$U$4=FALSE),"-",VLOOKUP($E123,'Status Thresholds'!$E:$AU,43,FALSE)),"-")</f>
        <v>-</v>
      </c>
    </row>
    <row r="124" spans="1:12" hidden="1" x14ac:dyDescent="0.25">
      <c r="A124" s="35"/>
      <c r="B124" s="64" t="str">
        <f>IF('Status Thresholds'!A119=0, "", 'Status Thresholds'!A119)</f>
        <v>Deviant</v>
      </c>
      <c r="C124" s="64" t="str">
        <f>IF('Status Thresholds'!B119=0, "", 'Status Thresholds'!B119)</f>
        <v>Bloodbath Diablos</v>
      </c>
      <c r="D124" s="33" t="s">
        <v>34</v>
      </c>
      <c r="E124" s="36" t="str">
        <f t="shared" si="1"/>
        <v>Bloodbath DiablosMount</v>
      </c>
      <c r="F124" s="36" t="str">
        <f>IFERROR(
ROUNDUP(
IF(AND($U$5=FALSE,$U$4=FALSE),"-",IF(AND($U$5=TRUE,$U$4=TRUE),"-",
IF((AND($U$4=TRUE,$U$5=FALSE,$U$6=FALSE,$U$7=FALSE)),VLOOKUP($E124,'Status Thresholds'!$E:$AR,2,FALSE),IF((AND($U$4=TRUE,$U$5=FALSE,$U$6=TRUE,$U$7=FALSE)),VLOOKUP($E124,'Status Thresholds'!$E:$AR,12,FALSE),IF((AND($U$4=TRUE,$U$5=FALSE,$U$6=TRUE,$U$7=TRUE)),VLOOKUP($E124,'Status Thresholds'!$E:$AR,17,FALSE),IF((AND($U$4=TRUE,$U$5=FALSE,$U$6=FALSE,$U$7=TRUE)),VLOOKUP($E124,'Status Thresholds'!$E:$AR,7,FALSE),
IF((AND($U$4=FALSE,$U$5=TRUE,$U$6=FALSE,$U$7=FALSE)),VLOOKUP($E124,'Status Thresholds'!$E:$AR,22,FALSE),IF((AND($U$4=FALSE,$U$5=TRUE,$U$6=TRUE,$U$7=FALSE)),VLOOKUP($E124,'Status Thresholds'!$E:$AR,32,FALSE),IF((AND($U$4=FALSE,$U$5=TRUE,$U$6=TRUE,$U$7=TRUE)),VLOOKUP($E124,'Status Thresholds'!$E:$AR,37,FALSE),IF((AND($U$4=FALSE,$U$5=TRUE,$U$6=FALSE,$U$7=TRUE)),VLOOKUP($E124,'Status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124" s="36" t="str">
        <f>IFERROR(
ROUNDUP(
IF(AND($U$5=FALSE,$U$4=FALSE),"-",IF(AND($U$5=TRUE,$U$4=TRUE),"-",
IF((AND($U$4=TRUE,$U$5=FALSE,$U$6=FALSE,$U$7=FALSE)),VLOOKUP($E123,'Status Thresholds'!$E:$AR,3,FALSE),IF((AND($U$4=TRUE,$U$5=FALSE,$U$6=TRUE,$U$7=FALSE)),VLOOKUP($E123,'Status Thresholds'!$E:$AR,13,FALSE),IF((AND($U$4=TRUE,$U$5=FALSE,$U$6=TRUE,$U$7=TRUE)),VLOOKUP($E123,'Status Thresholds'!$E:$AR,18,FALSE),IF((AND($U$4=TRUE,$U$5=FALSE,$U$6=FALSE,$U$7=TRUE)),VLOOKUP($E123,'Status Thresholds'!$E:$AR,8,FALSE),
IF((AND($U$4=FALSE,$U$5=TRUE,$U$6=FALSE,$U$7=FALSE)),VLOOKUP($E123,'Status Thresholds'!$E:$AR,23,FALSE),IF((AND($U$4=FALSE,$U$5=TRUE,$U$6=TRUE,$U$7=FALSE)),VLOOKUP($E123,'Status Thresholds'!$E:$AR,33,FALSE),IF((AND($U$4=FALSE,$U$5=TRUE,$U$6=TRUE,$U$7=TRUE)),VLOOKUP($E123,'Status Thresholds'!$E:$AR,38,FALSE),IF((AND($U$4=FALSE,$U$5=TRUE,$U$6=FALSE,$U$7=TRUE)),VLOOKUP($E123,'Status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124" s="36" t="str">
        <f>IFERROR(
ROUNDUP(
IF(AND($U$5=FALSE,$U$4=FALSE),"-",IF(AND($U$5=TRUE,$U$4=TRUE),"-",
IF((AND($U$4=TRUE,$U$5=FALSE,$U$6=FALSE,$U$7=FALSE)),VLOOKUP($E123,'Status Thresholds'!$E:$AR,4,FALSE),IF((AND($U$4=TRUE,$U$5=FALSE,$U$6=TRUE,$U$7=FALSE)),VLOOKUP($E123,'Status Thresholds'!$E:$AR,14,FALSE),IF((AND($U$4=TRUE,$U$5=FALSE,$U$6=TRUE,$U$7=TRUE)),VLOOKUP($E123,'Status Thresholds'!$E:$AR,19,FALSE),IF((AND($U$4=TRUE,$U$5=FALSE,$U$6=FALSE,$U$7=TRUE)),VLOOKUP($E123,'Status Thresholds'!$E:$AR,9,FALSE),
IF((AND($U$4=FALSE,$U$5=TRUE,$U$6=FALSE,$U$7=FALSE)),VLOOKUP($E123,'Status Thresholds'!$E:$AR,24,FALSE),IF((AND($U$4=FALSE,$U$5=TRUE,$U$6=TRUE,$U$7=FALSE)),VLOOKUP($E123,'Status Thresholds'!$E:$AR,34,FALSE),IF((AND($U$4=FALSE,$U$5=TRUE,$U$6=TRUE,$U$7=TRUE)),VLOOKUP($E123,'Status Thresholds'!$E:$AR,39,FALSE),IF((AND($U$4=FALSE,$U$5=TRUE,$U$6=FALSE,$U$7=TRUE)),VLOOKUP($E123,'Status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124" s="36" t="str">
        <f>IFERROR(
ROUNDUP(
IF(AND($U$5=FALSE,$U$4=FALSE),"-",IF(AND($U$5=TRUE,$U$4=TRUE),"-",
IF((AND($U$4=TRUE,$U$5=FALSE,$U$6=FALSE,$U$7=FALSE)),VLOOKUP($E123,'Status Thresholds'!$E:$AR,5,FALSE),IF((AND($U$4=TRUE,$U$5=FALSE,$U$6=TRUE,$U$7=FALSE)),VLOOKUP($E123,'Status Thresholds'!$E:$AR,15,FALSE),IF((AND($U$4=TRUE,$U$5=FALSE,$U$6=TRUE,$U$7=TRUE)),VLOOKUP($E123,'Status Thresholds'!$E:$AR,20,FALSE),IF((AND($U$4=TRUE,$U$5=FALSE,$U$6=FALSE,$U$7=TRUE)),VLOOKUP($E123,'Status Thresholds'!$E:$AR,10,FALSE),
IF((AND($U$4=FALSE,$U$5=TRUE,$U$6=FALSE,$U$7=FALSE)),VLOOKUP($E123,'Status Thresholds'!$E:$AR,25,FALSE),IF((AND($U$4=FALSE,$U$5=TRUE,$U$6=TRUE,$U$7=FALSE)),VLOOKUP($E123,'Status Thresholds'!$E:$AR,35,FALSE),IF((AND($U$4=FALSE,$U$5=TRUE,$U$6=TRUE,$U$7=TRUE)),VLOOKUP($E123,'Status Thresholds'!$E:$AR,40,FALSE),IF((AND($U$4=FALSE,$U$5=TRUE,$U$6=FALSE,$U$7=TRUE)),VLOOKUP($E123,'Status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124" s="46">
        <f>IFERROR(IF(AND($U$5=FALSE,$U$4=FALSE),"-",VLOOKUP($E124,'Status Thresholds'!$E:$AU,41,FALSE)),"-")</f>
        <v>0</v>
      </c>
      <c r="K124" s="46" t="str">
        <f>IFERROR(IF(AND($U$5=FALSE,$U$4=FALSE),"-",VLOOKUP($E124,'Status Thresholds'!$E:$AU,42,FALSE)),"-")</f>
        <v>-</v>
      </c>
      <c r="L124" s="46" t="str">
        <f>IFERROR(IF(AND($U$5=FALSE,$U$4=FALSE),"-",VLOOKUP($E124,'Status Thresholds'!$E:$AU,43,FALSE)),"-")</f>
        <v>-</v>
      </c>
    </row>
    <row r="125" spans="1:12" ht="15" hidden="1" customHeight="1" x14ac:dyDescent="0.25">
      <c r="A125" s="35"/>
      <c r="B125" s="64" t="str">
        <f>IF('Status Thresholds'!A120=0, "", 'Status Thresholds'!A120)</f>
        <v>Deviant</v>
      </c>
      <c r="C125" s="64" t="str">
        <f>IF('Status Thresholds'!B120=0, "", 'Status Thresholds'!B120)</f>
        <v>Bloodbath Diablos</v>
      </c>
      <c r="D125" s="77" t="s">
        <v>207</v>
      </c>
      <c r="E125" s="36" t="str">
        <f t="shared" si="1"/>
        <v>Bloodbath DiablosShock Trap</v>
      </c>
      <c r="F125" s="76" t="s">
        <v>214</v>
      </c>
      <c r="G125" s="46" t="s">
        <v>214</v>
      </c>
      <c r="H125" s="46" t="s">
        <v>214</v>
      </c>
      <c r="I125" s="46" t="s">
        <v>214</v>
      </c>
      <c r="J125" s="46">
        <f>IFERROR(IF(AND($U$5=FALSE,$U$4=FALSE),"-",VLOOKUP($E125,'Status Thresholds'!$E:$AU,43,FALSE)),"-")</f>
        <v>0</v>
      </c>
      <c r="K125" s="46">
        <f>IFERROR(IF(AND($U$5=FALSE,$U$4=FALSE),"-",VLOOKUP($E125,'Status Thresholds'!$E:$AU,41,FALSE)),"-")</f>
        <v>0</v>
      </c>
      <c r="L125" s="46">
        <f>IFERROR(IF(AND($U$5=FALSE,$U$4=FALSE),"-",VLOOKUP($E125,'Status Thresholds'!$E:$AU,42,FALSE)),"-")</f>
        <v>0</v>
      </c>
    </row>
    <row r="126" spans="1:12" hidden="1" x14ac:dyDescent="0.25">
      <c r="A126" s="35"/>
      <c r="B126" s="64" t="str">
        <f>IF('Status Thresholds'!A121=0, "", 'Status Thresholds'!A121)</f>
        <v>Deviant</v>
      </c>
      <c r="C126" s="64" t="str">
        <f>IF('Status Thresholds'!B121=0, "", 'Status Thresholds'!B121)</f>
        <v>Bloodbath Diablos</v>
      </c>
      <c r="D126" s="77" t="s">
        <v>213</v>
      </c>
      <c r="E126" s="36" t="str">
        <f t="shared" si="1"/>
        <v>Bloodbath DiablosPitfall Trap</v>
      </c>
      <c r="F126" s="46" t="s">
        <v>214</v>
      </c>
      <c r="G126" s="46" t="s">
        <v>214</v>
      </c>
      <c r="H126" s="46" t="s">
        <v>214</v>
      </c>
      <c r="I126" s="46" t="s">
        <v>214</v>
      </c>
      <c r="J126" s="46">
        <f>IFERROR(IF(AND($U$5=FALSE,$U$4=FALSE),"-",VLOOKUP($E126,'Status Thresholds'!$E:$AU,43,FALSE)),"-")</f>
        <v>0</v>
      </c>
      <c r="K126" s="46">
        <f>IFERROR(IF(AND($U$5=FALSE,$U$4=FALSE),"-",VLOOKUP($E126,'Status Thresholds'!$E:$AU,41,FALSE)),"-")</f>
        <v>0</v>
      </c>
      <c r="L126" s="46">
        <f>IFERROR(IF(AND($U$5=FALSE,$U$4=FALSE),"-",VLOOKUP($E126,'Status Thresholds'!$E:$AU,42,FALSE)),"-")</f>
        <v>0</v>
      </c>
    </row>
    <row r="127" spans="1:12" s="36" customFormat="1" hidden="1" x14ac:dyDescent="0.25">
      <c r="A127" s="64"/>
      <c r="B127" s="64" t="str">
        <f>IF('Status Thresholds'!A122=0, "", 'Status Thresholds'!A122)</f>
        <v>Deviant</v>
      </c>
      <c r="C127" s="64" t="str">
        <f>IF('Status Thresholds'!B122=0, "", 'Status Thresholds'!B122)</f>
        <v>Boltreaver Astalos</v>
      </c>
      <c r="D127" s="37" t="s">
        <v>0</v>
      </c>
      <c r="E127" s="36" t="str">
        <f t="shared" si="1"/>
        <v>Boltreaver AstalosPara</v>
      </c>
      <c r="F127" s="36" t="str">
        <f>IFERROR(
ROUNDUP(
IF(AND($U$5=FALSE,$U$4=FALSE),"-",IF(AND($U$5=TRUE,$U$4=TRUE),"-",
IF((AND($U$4=TRUE,$U$5=FALSE,$U$6=FALSE,$U$7=FALSE)),VLOOKUP($E127,'Status Thresholds'!$E:$AR,2,FALSE),IF((AND($U$4=TRUE,$U$5=FALSE,$U$6=TRUE,$U$7=FALSE)),VLOOKUP($E127,'Status Thresholds'!$E:$AR,12,FALSE),IF((AND($U$4=TRUE,$U$5=FALSE,$U$6=TRUE,$U$7=TRUE)),VLOOKUP($E127,'Status Thresholds'!$E:$AR,17,FALSE),IF((AND($U$4=TRUE,$U$5=FALSE,$U$6=FALSE,$U$7=TRUE)),VLOOKUP($E127,'Status Thresholds'!$E:$AR,7,FALSE),
IF((AND($U$4=FALSE,$U$5=TRUE,$U$6=FALSE,$U$7=FALSE)),VLOOKUP($E127,'Status Thresholds'!$E:$AR,22,FALSE),IF((AND($U$4=FALSE,$U$5=TRUE,$U$6=TRUE,$U$7=FALSE)),VLOOKUP($E127,'Status Thresholds'!$E:$AR,32,FALSE),IF((AND($U$4=FALSE,$U$5=TRUE,$U$6=TRUE,$U$7=TRUE)),VLOOKUP($E127,'Status Thresholds'!$E:$AR,37,FALSE),IF((AND($U$4=FALSE,$U$5=TRUE,$U$6=FALSE,$U$7=TRUE)),VLOOKUP($E127,'Status Thresholds'!$E:$AR,27,FALSE)))))))))
))/
IF(OR($X$5=TRUE,$AC$3=TRUE
),($F$3/2), IF(OR($X$2,$X$3,$X$4,$X$6,$X$7,$X$8,$Z$2,$Z$3,$Z$4,$Z$5,$Z$6,$Z$7,$Z$8)=TRUE,$F$3)),0),"-")</f>
        <v>-</v>
      </c>
      <c r="G127" s="36" t="str">
        <f>IFERROR(
ROUNDUP(
IF(AND($U$5=FALSE,$U$4=FALSE),"-",IF(AND($U$5=TRUE,$U$4=TRUE),"-",
IF((AND($U$4=TRUE,$U$5=FALSE,$U$6=FALSE,$U$7=FALSE)),VLOOKUP($E127,'Status Thresholds'!$E:$AR,3,FALSE),IF((AND($U$4=TRUE,$U$5=FALSE,$U$6=TRUE,$U$7=FALSE)),VLOOKUP($E127,'Status Thresholds'!$E:$AR,13,FALSE),IF((AND($U$4=TRUE,$U$5=FALSE,$U$6=TRUE,$U$7=TRUE)),VLOOKUP($E127,'Status Thresholds'!$E:$AR,18,FALSE),IF((AND($U$4=TRUE,$U$5=FALSE,$U$6=FALSE,$U$7=TRUE)),VLOOKUP($E127,'Status Thresholds'!$E:$AR,8,FALSE),
IF((AND($U$4=FALSE,$U$5=TRUE,$U$6=FALSE,$U$7=FALSE)),VLOOKUP($E127,'Status Thresholds'!$E:$AR,23,FALSE),IF((AND($U$4=FALSE,$U$5=TRUE,$U$6=TRUE,$U$7=FALSE)),VLOOKUP($E127,'Status Thresholds'!$E:$AR,33,FALSE),IF((AND($U$4=FALSE,$U$5=TRUE,$U$6=TRUE,$U$7=TRUE)),VLOOKUP($E127,'Status Thresholds'!$E:$AR,38,FALSE),IF((AND($U$4=FALSE,$U$5=TRUE,$U$6=FALSE,$U$7=TRUE)),VLOOKUP($E127,'Status Thresholds'!$E:$AR,28,FALSE)))))))))
))/
IF(OR($X$5=TRUE,$AC$3=TRUE
),($F$3/2), IF(OR($X$2,$X$3,$X$4,$X$6,$X$7,$X$8,$Z$2,$Z$3,$Z$4,$Z$5,$Z$6,$Z$7,$Z$8)=TRUE,$F$3)),0),"-")</f>
        <v>-</v>
      </c>
      <c r="H127" s="36" t="str">
        <f>IFERROR(
ROUNDUP(
IF(AND($U$5=FALSE,$U$4=FALSE),"-",IF(AND($U$5=TRUE,$U$4=TRUE),"-",
IF((AND($U$4=TRUE,$U$5=FALSE,$U$6=FALSE,$U$7=FALSE)),VLOOKUP($E127,'Status Thresholds'!$E:$AR,4,FALSE),IF((AND($U$4=TRUE,$U$5=FALSE,$U$6=TRUE,$U$7=FALSE)),VLOOKUP($E127,'Status Thresholds'!$E:$AR,14,FALSE),IF((AND($U$4=TRUE,$U$5=FALSE,$U$6=TRUE,$U$7=TRUE)),VLOOKUP($E127,'Status Thresholds'!$E:$AR,19,FALSE),IF((AND($U$4=TRUE,$U$5=FALSE,$U$6=FALSE,$U$7=TRUE)),VLOOKUP($E127,'Status Thresholds'!$E:$AR,9,FALSE),
IF((AND($U$4=FALSE,$U$5=TRUE,$U$6=FALSE,$U$7=FALSE)),VLOOKUP($E127,'Status Thresholds'!$E:$AR,24,FALSE),IF((AND($U$4=FALSE,$U$5=TRUE,$U$6=TRUE,$U$7=FALSE)),VLOOKUP($E127,'Status Thresholds'!$E:$AR,34,FALSE),IF((AND($U$4=FALSE,$U$5=TRUE,$U$6=TRUE,$U$7=TRUE)),VLOOKUP($E127,'Status Thresholds'!$E:$AR,39,FALSE),IF((AND($U$4=FALSE,$U$5=TRUE,$U$6=FALSE,$U$7=TRUE)),VLOOKUP($E127,'Status Thresholds'!$E:$AR,29,FALSE)))))))))
))/
IF(OR($X$5=TRUE,$AC$3=TRUE
),($F$3/2), IF(OR($X$2,$X$3,$X$4,$X$6,$X$7,$X$8,$Z$2,$Z$3,$Z$4,$Z$5,$Z$6,$Z$7,$Z$8)=TRUE,$F$3)),0),"-")</f>
        <v>-</v>
      </c>
      <c r="I127" s="36" t="str">
        <f>IFERROR(
ROUNDUP(
IF(AND($U$5=FALSE,$U$4=FALSE),"-",IF(AND($U$5=TRUE,$U$4=TRUE),"-",
IF((AND($U$4=TRUE,$U$5=FALSE,$U$6=FALSE,$U$7=FALSE)),VLOOKUP($E127,'Status Thresholds'!$E:$AR,5,FALSE),IF((AND($U$4=TRUE,$U$5=FALSE,$U$6=TRUE,$U$7=FALSE)),VLOOKUP($E127,'Status Thresholds'!$E:$AR,15,FALSE),IF((AND($U$4=TRUE,$U$5=FALSE,$U$6=TRUE,$U$7=TRUE)),VLOOKUP($E127,'Status Thresholds'!$E:$AR,20,FALSE),IF((AND($U$4=TRUE,$U$5=FALSE,$U$6=FALSE,$U$7=TRUE)),VLOOKUP($E127,'Status Thresholds'!$E:$AR,10,FALSE),
IF((AND($U$4=FALSE,$U$5=TRUE,$U$6=FALSE,$U$7=FALSE)),VLOOKUP($E127,'Status Thresholds'!$E:$AR,25,FALSE),IF((AND($U$4=FALSE,$U$5=TRUE,$U$6=TRUE,$U$7=FALSE)),VLOOKUP($E127,'Status Thresholds'!$E:$AR,35,FALSE),IF((AND($U$4=FALSE,$U$5=TRUE,$U$6=TRUE,$U$7=TRUE)),VLOOKUP($E127,'Status Thresholds'!$E:$AR,40,FALSE),IF((AND($U$4=FALSE,$U$5=TRUE,$U$6=FALSE,$U$7=TRUE)),VLOOKUP($E127,'Status Thresholds'!$E:$AR,30,FALSE)))))))))
))/
IF(OR($X$5=TRUE,$AC$3=TRUE
),($F$3/2), IF(OR($X$2,$X$3,$X$4,$X$6,$X$7,$X$8,$Z$2,$Z$3,$Z$4,$Z$5,$Z$6,$Z$7,$Z$8)=TRUE,$F$3)),0),"-")</f>
        <v>-</v>
      </c>
      <c r="J127" s="36">
        <f>IFERROR(IF(AND($U$5=FALSE,$U$4=FALSE),"-",VLOOKUP($E127,'Status Thresholds'!$E:$AU,41,FALSE)),"-")</f>
        <v>10</v>
      </c>
      <c r="K127" s="36" t="str">
        <f>IFERROR(IF(AND($U$5=FALSE,$U$4=FALSE),"-",VLOOKUP($E127,'Status Thresholds'!$E:$AU,42,FALSE)),"-")</f>
        <v>-</v>
      </c>
      <c r="L127" s="36" t="str">
        <f>IFERROR(IF(AND($U$5=FALSE,$U$4=FALSE),"-",VLOOKUP($E127,'Status Thresholds'!$E:$AU,43,FALSE)),"-")</f>
        <v>-</v>
      </c>
    </row>
    <row r="128" spans="1:12" hidden="1" x14ac:dyDescent="0.25">
      <c r="A128" s="35"/>
      <c r="B128" s="64" t="str">
        <f>IF('Status Thresholds'!A123=0, "", 'Status Thresholds'!A123)</f>
        <v>Deviant</v>
      </c>
      <c r="C128" s="64" t="str">
        <f>IF('Status Thresholds'!B123=0, "", 'Status Thresholds'!B123)</f>
        <v>Boltreaver Astalos</v>
      </c>
      <c r="D128" s="31" t="s">
        <v>32</v>
      </c>
      <c r="E128" s="36" t="str">
        <f t="shared" si="1"/>
        <v>Boltreaver AstalosSleep</v>
      </c>
      <c r="F128" s="36" t="str">
        <f>IFERROR(
ROUNDUP(
IF(AND($U$5=FALSE,$U$4=FALSE),"-",IF(AND($U$5=TRUE,$U$4=TRUE),"-",
IF((AND($U$4=TRUE,$U$5=FALSE,$U$6=FALSE,$U$7=FALSE)),VLOOKUP($E128,'Status Thresholds'!$E:$AR,2,FALSE),IF((AND($U$4=TRUE,$U$5=FALSE,$U$6=TRUE,$U$7=FALSE)),VLOOKUP($E128,'Status Thresholds'!$E:$AR,12,FALSE),IF((AND($U$4=TRUE,$U$5=FALSE,$U$6=TRUE,$U$7=TRUE)),VLOOKUP($E128,'Status Thresholds'!$E:$AR,17,FALSE),IF((AND($U$4=TRUE,$U$5=FALSE,$U$6=FALSE,$U$7=TRUE)),VLOOKUP($E128,'Status Thresholds'!$E:$AR,7,FALSE),
IF((AND($U$4=FALSE,$U$5=TRUE,$U$6=FALSE,$U$7=FALSE)),VLOOKUP($E128,'Status Thresholds'!$E:$AR,22,FALSE),IF((AND($U$4=FALSE,$U$5=TRUE,$U$6=TRUE,$U$7=FALSE)),VLOOKUP($E128,'Status Thresholds'!$E:$AR,32,FALSE),IF((AND($U$4=FALSE,$U$5=TRUE,$U$6=TRUE,$U$7=TRUE)),VLOOKUP($E128,'Status Thresholds'!$E:$AR,37,FALSE),IF((AND($U$4=FALSE,$U$5=TRUE,$U$6=FALSE,$U$7=TRUE)),VLOOKUP($E128,'Status Thresholds'!$E:$AR,27,FALSE)))))))))
))/
IF(OR($X$5=TRUE,$AC$3=TRUE
),($F$4/2), IF(OR($X$2,$X$3,$X$4,$X$6,$X$7,$X$8,$Z$2,$Z$3,$Z$4,$Z$5,$Z$6,$Z$7,$Z$8)=TRUE,$F$4)),0),"-")</f>
        <v>-</v>
      </c>
      <c r="G128" s="36" t="str">
        <f>IFERROR(
ROUNDUP(
IF(AND($U$5=FALSE,$U$4=FALSE),"-",IF(AND($U$5=TRUE,$U$4=TRUE),"-",
IF((AND($U$4=TRUE,$U$5=FALSE,$U$6=FALSE,$U$7=FALSE)),VLOOKUP($E128,'Status Thresholds'!$E:$AR,3,FALSE),IF((AND($U$4=TRUE,$U$5=FALSE,$U$6=TRUE,$U$7=FALSE)),VLOOKUP($E128,'Status Thresholds'!$E:$AR,13,FALSE),IF((AND($U$4=TRUE,$U$5=FALSE,$U$6=TRUE,$U$7=TRUE)),VLOOKUP($E128,'Status Thresholds'!$E:$AR,18,FALSE),IF((AND($U$4=TRUE,$U$5=FALSE,$U$6=FALSE,$U$7=TRUE)),VLOOKUP($E128,'Status Thresholds'!$E:$AR,8,FALSE),
IF((AND($U$4=FALSE,$U$5=TRUE,$U$6=FALSE,$U$7=FALSE)),VLOOKUP($E128,'Status Thresholds'!$E:$AR,23,FALSE),IF((AND($U$4=FALSE,$U$5=TRUE,$U$6=TRUE,$U$7=FALSE)),VLOOKUP($E128,'Status Thresholds'!$E:$AR,33,FALSE),IF((AND($U$4=FALSE,$U$5=TRUE,$U$6=TRUE,$U$7=TRUE)),VLOOKUP($E128,'Status Thresholds'!$E:$AR,38,FALSE),IF((AND($U$4=FALSE,$U$5=TRUE,$U$6=FALSE,$U$7=TRUE)),VLOOKUP($E128,'Status Thresholds'!$E:$AR,28,FALSE)))))))))
))/
IF(OR($X$5=TRUE,$AC$3=TRUE
),($F$4/2), IF(OR($X$2,$X$3,$X$4,$X$6,$X$7,$X$8,$Z$2,$Z$3,$Z$4,$Z$5,$Z$6,$Z$7,$Z$8)=TRUE,$F$4)),0),"-")</f>
        <v>-</v>
      </c>
      <c r="H128" s="36" t="str">
        <f>IFERROR(
ROUNDUP(
IF(AND($U$5=FALSE,$U$4=FALSE),"-",IF(AND($U$5=TRUE,$U$4=TRUE),"-",
IF((AND($U$4=TRUE,$U$5=FALSE,$U$6=FALSE,$U$7=FALSE)),VLOOKUP($E128,'Status Thresholds'!$E:$AR,4,FALSE),IF((AND($U$4=TRUE,$U$5=FALSE,$U$6=TRUE,$U$7=FALSE)),VLOOKUP($E128,'Status Thresholds'!$E:$AR,14,FALSE),IF((AND($U$4=TRUE,$U$5=FALSE,$U$6=TRUE,$U$7=TRUE)),VLOOKUP($E128,'Status Thresholds'!$E:$AR,19,FALSE),IF((AND($U$4=TRUE,$U$5=FALSE,$U$6=FALSE,$U$7=TRUE)),VLOOKUP($E128,'Status Thresholds'!$E:$AR,9,FALSE),
IF((AND($U$4=FALSE,$U$5=TRUE,$U$6=FALSE,$U$7=FALSE)),VLOOKUP($E128,'Status Thresholds'!$E:$AR,24,FALSE),IF((AND($U$4=FALSE,$U$5=TRUE,$U$6=TRUE,$U$7=FALSE)),VLOOKUP($E128,'Status Thresholds'!$E:$AR,34,FALSE),IF((AND($U$4=FALSE,$U$5=TRUE,$U$6=TRUE,$U$7=TRUE)),VLOOKUP($E128,'Status Thresholds'!$E:$AR,39,FALSE),IF((AND($U$4=FALSE,$U$5=TRUE,$U$6=FALSE,$U$7=TRUE)),VLOOKUP($E128,'Status Thresholds'!$E:$AR,29,FALSE)))))))))
))/
IF(OR($X$5=TRUE,$AC$3=TRUE
),($F$4/2), IF(OR($X$2,$X$3,$X$4,$X$6,$X$7,$X$8,$Z$2,$Z$3,$Z$4,$Z$5,$Z$6,$Z$7,$Z$8)=TRUE,$F$4)),0),"-")</f>
        <v>-</v>
      </c>
      <c r="I128" s="36" t="str">
        <f>IFERROR(
ROUNDUP(
IF(AND($U$5=FALSE,$U$4=FALSE),"-",IF(AND($U$5=TRUE,$U$4=TRUE),"-",
IF((AND($U$4=TRUE,$U$5=FALSE,$U$6=FALSE,$U$7=FALSE)),VLOOKUP($E128,'Status Thresholds'!$E:$AR,5,FALSE),IF((AND($U$4=TRUE,$U$5=FALSE,$U$6=TRUE,$U$7=FALSE)),VLOOKUP($E128,'Status Thresholds'!$E:$AR,15,FALSE),IF((AND($U$4=TRUE,$U$5=FALSE,$U$6=TRUE,$U$7=TRUE)),VLOOKUP($E128,'Status Thresholds'!$E:$AR,20,FALSE),IF((AND($U$4=TRUE,$U$5=FALSE,$U$6=FALSE,$U$7=TRUE)),VLOOKUP($E128,'Status Thresholds'!$E:$AR,10,FALSE),
IF((AND($U$4=FALSE,$U$5=TRUE,$U$6=FALSE,$U$7=FALSE)),VLOOKUP($E128,'Status Thresholds'!$E:$AR,25,FALSE),IF((AND($U$4=FALSE,$U$5=TRUE,$U$6=TRUE,$U$7=FALSE)),VLOOKUP($E128,'Status Thresholds'!$E:$AR,35,FALSE),IF((AND($U$4=FALSE,$U$5=TRUE,$U$6=TRUE,$U$7=TRUE)),VLOOKUP($E128,'Status Thresholds'!$E:$AR,40,FALSE),IF((AND($U$4=FALSE,$U$5=TRUE,$U$6=FALSE,$U$7=TRUE)),VLOOKUP($E128,'Status Thresholds'!$E:$AR,30,FALSE)))))))))
))/
IF(OR($X$5=TRUE,$AC$3=TRUE
),($F$4/2), IF(OR($X$2,$X$3,$X$4,$X$6,$X$7,$X$8,$Z$2,$Z$3,$Z$4,$Z$5,$Z$6,$Z$7,$Z$8)=TRUE,$F$4)),0),"-")</f>
        <v>-</v>
      </c>
      <c r="J128" s="46">
        <f>IFERROR(IF(AND($U$5=FALSE,$U$4=FALSE),"-",VLOOKUP($E128,'Status Thresholds'!$E:$AU,41,FALSE)),"-")</f>
        <v>47</v>
      </c>
      <c r="K128" s="46" t="str">
        <f>IFERROR(IF(AND($U$5=FALSE,$U$4=FALSE),"-",VLOOKUP($E128,'Status Thresholds'!$E:$AU,42,FALSE)),"-")</f>
        <v>-</v>
      </c>
      <c r="L128" s="46" t="str">
        <f>IFERROR(IF(AND($U$5=FALSE,$U$4=FALSE),"-",VLOOKUP($E128,'Status Thresholds'!$E:$AU,43,FALSE)),"-")</f>
        <v>-</v>
      </c>
    </row>
    <row r="129" spans="1:12" hidden="1" x14ac:dyDescent="0.25">
      <c r="A129" s="35"/>
      <c r="B129" s="64" t="str">
        <f>IF('Status Thresholds'!A124=0, "", 'Status Thresholds'!A124)</f>
        <v>Deviant</v>
      </c>
      <c r="C129" s="64" t="str">
        <f>IF('Status Thresholds'!B124=0, "", 'Status Thresholds'!B124)</f>
        <v>Boltreaver Astalos</v>
      </c>
      <c r="D129" s="32" t="s">
        <v>33</v>
      </c>
      <c r="E129" s="36" t="str">
        <f t="shared" si="1"/>
        <v>Boltreaver AstalosPoison</v>
      </c>
      <c r="F129" s="36" t="str">
        <f>IFERROR(
ROUNDUP(
IF(AND($U$5=FALSE,$U$4=FALSE),"-",IF(AND($U$5=TRUE,$U$4=TRUE),"-",
IF((AND($U$4=TRUE,$U$5=FALSE,$U$6=FALSE,$U$7=FALSE)),VLOOKUP($E129,'Status Thresholds'!$E:$AR,2,FALSE),IF((AND($U$4=TRUE,$U$5=FALSE,$U$6=TRUE,$U$7=FALSE)),VLOOKUP($E129,'Status Thresholds'!$E:$AR,12,FALSE),IF((AND($U$4=TRUE,$U$5=FALSE,$U$6=TRUE,$U$7=TRUE)),VLOOKUP($E129,'Status Thresholds'!$E:$AR,17,FALSE),IF((AND($U$4=TRUE,$U$5=FALSE,$U$6=FALSE,$U$7=TRUE)),VLOOKUP($E129,'Status Thresholds'!$E:$AR,7,FALSE),
IF((AND($U$4=FALSE,$U$5=TRUE,$U$6=FALSE,$U$7=FALSE)),VLOOKUP($E129,'Status Thresholds'!$E:$AR,22,FALSE),IF((AND($U$4=FALSE,$U$5=TRUE,$U$6=TRUE,$U$7=FALSE)),VLOOKUP($E129,'Status Thresholds'!$E:$AR,32,FALSE),IF((AND($U$4=FALSE,$U$5=TRUE,$U$6=TRUE,$U$7=TRUE)),VLOOKUP($E129,'Status Thresholds'!$E:$AR,37,FALSE),IF((AND($U$4=FALSE,$U$5=TRUE,$U$6=FALSE,$U$7=TRUE)),VLOOKUP($E129,'Status Thresholds'!$E:$AR,27,FALSE)))))))))
))/
IF(OR($X$5=TRUE,$AC$3=TRUE
),($F$5/2), IF(OR($X$2,$X$3,$X$4,$X$6,$X$7,$X$8,$Z$2,$Z$3,$Z$4,$Z$5,$Z$6,$Z$7,$Z$8)=TRUE,$F$5)),0),"-")</f>
        <v>-</v>
      </c>
      <c r="G129" s="36" t="str">
        <f>IFERROR(
ROUNDUP(
IF(AND($U$5=FALSE,$U$4=FALSE),"-",IF(AND($U$5=TRUE,$U$4=TRUE),"-",
IF((AND($U$4=TRUE,$U$5=FALSE,$U$6=FALSE,$U$7=FALSE)),VLOOKUP($E129,'Status Thresholds'!$E:$AR,3,FALSE),IF((AND($U$4=TRUE,$U$5=FALSE,$U$6=TRUE,$U$7=FALSE)),VLOOKUP($E129,'Status Thresholds'!$E:$AR,13,FALSE),IF((AND($U$4=TRUE,$U$5=FALSE,$U$6=TRUE,$U$7=TRUE)),VLOOKUP($E129,'Status Thresholds'!$E:$AR,18,FALSE),IF((AND($U$4=TRUE,$U$5=FALSE,$U$6=FALSE,$U$7=TRUE)),VLOOKUP($E129,'Status Thresholds'!$E:$AR,8,FALSE),
IF((AND($U$4=FALSE,$U$5=TRUE,$U$6=FALSE,$U$7=FALSE)),VLOOKUP($E129,'Status Thresholds'!$E:$AR,23,FALSE),IF((AND($U$4=FALSE,$U$5=TRUE,$U$6=TRUE,$U$7=FALSE)),VLOOKUP($E129,'Status Thresholds'!$E:$AR,33,FALSE),IF((AND($U$4=FALSE,$U$5=TRUE,$U$6=TRUE,$U$7=TRUE)),VLOOKUP($E129,'Status Thresholds'!$E:$AR,38,FALSE),IF((AND($U$4=FALSE,$U$5=TRUE,$U$6=FALSE,$U$7=TRUE)),VLOOKUP($E129,'Status Thresholds'!$E:$AR,28,FALSE)))))))))
))/
IF(OR($X$5=TRUE,$AC$3=TRUE
),($F$5/2), IF(OR($X$2,$X$3,$X$4,$X$6,$X$7,$X$8,$Z$2,$Z$3,$Z$4,$Z$5,$Z$6,$Z$7,$Z$8)=TRUE,$F$5)),0),"-")</f>
        <v>-</v>
      </c>
      <c r="H129" s="36" t="str">
        <f>IFERROR(
ROUNDUP(
IF(AND($U$5=FALSE,$U$4=FALSE),"-",IF(AND($U$5=TRUE,$U$4=TRUE),"-",
IF((AND($U$4=TRUE,$U$5=FALSE,$U$6=FALSE,$U$7=FALSE)),VLOOKUP($E129,'Status Thresholds'!$E:$AR,4,FALSE),IF((AND($U$4=TRUE,$U$5=FALSE,$U$6=TRUE,$U$7=FALSE)),VLOOKUP($E129,'Status Thresholds'!$E:$AR,14,FALSE),IF((AND($U$4=TRUE,$U$5=FALSE,$U$6=TRUE,$U$7=TRUE)),VLOOKUP($E129,'Status Thresholds'!$E:$AR,19,FALSE),IF((AND($U$4=TRUE,$U$5=FALSE,$U$6=FALSE,$U$7=TRUE)),VLOOKUP($E129,'Status Thresholds'!$E:$AR,9,FALSE),
IF((AND($U$4=FALSE,$U$5=TRUE,$U$6=FALSE,$U$7=FALSE)),VLOOKUP($E129,'Status Thresholds'!$E:$AR,24,FALSE),IF((AND($U$4=FALSE,$U$5=TRUE,$U$6=TRUE,$U$7=FALSE)),VLOOKUP($E129,'Status Thresholds'!$E:$AR,34,FALSE),IF((AND($U$4=FALSE,$U$5=TRUE,$U$6=TRUE,$U$7=TRUE)),VLOOKUP($E129,'Status Thresholds'!$E:$AR,39,FALSE),IF((AND($U$4=FALSE,$U$5=TRUE,$U$6=FALSE,$U$7=TRUE)),VLOOKUP($E129,'Status Thresholds'!$E:$AR,29,FALSE)))))))))
))/
IF(OR($X$5=TRUE,$AC$3=TRUE
),($F$5/2), IF(OR($X$2,$X$3,$X$4,$X$6,$X$7,$X$8,$Z$2,$Z$3,$Z$4,$Z$5,$Z$6,$Z$7,$Z$8)=TRUE,$F$5)),0),"-")</f>
        <v>-</v>
      </c>
      <c r="I129" s="36" t="str">
        <f>IFERROR(
ROUNDUP(
IF(AND($U$5=FALSE,$U$4=FALSE),"-",IF(AND($U$5=TRUE,$U$4=TRUE),"-",
IF((AND($U$4=TRUE,$U$5=FALSE,$U$6=FALSE,$U$7=FALSE)),VLOOKUP($E129,'Status Thresholds'!$E:$AR,5,FALSE),IF((AND($U$4=TRUE,$U$5=FALSE,$U$6=TRUE,$U$7=FALSE)),VLOOKUP($E129,'Status Thresholds'!$E:$AR,15,FALSE),IF((AND($U$4=TRUE,$U$5=FALSE,$U$6=TRUE,$U$7=TRUE)),VLOOKUP($E129,'Status Thresholds'!$E:$AR,20,FALSE),IF((AND($U$4=TRUE,$U$5=FALSE,$U$6=FALSE,$U$7=TRUE)),VLOOKUP($E129,'Status Thresholds'!$E:$AR,10,FALSE),
IF((AND($U$4=FALSE,$U$5=TRUE,$U$6=FALSE,$U$7=FALSE)),VLOOKUP($E129,'Status Thresholds'!$E:$AR,25,FALSE),IF((AND($U$4=FALSE,$U$5=TRUE,$U$6=TRUE,$U$7=FALSE)),VLOOKUP($E129,'Status Thresholds'!$E:$AR,35,FALSE),IF((AND($U$4=FALSE,$U$5=TRUE,$U$6=TRUE,$U$7=TRUE)),VLOOKUP($E129,'Status Thresholds'!$E:$AR,40,FALSE),IF((AND($U$4=FALSE,$U$5=TRUE,$U$6=FALSE,$U$7=TRUE)),VLOOKUP($E129,'Status Thresholds'!$E:$AR,30,FALSE)))))))))
))/
IF(OR($X$5=TRUE,$AC$3=TRUE
),($F$5/2), IF(OR($X$2,$X$3,$X$4,$X$6,$X$7,$X$8,$Z$2,$Z$3,$Z$4,$Z$5,$Z$6,$Z$7,$Z$8)=TRUE,$F$5)),0),"-")</f>
        <v>-</v>
      </c>
      <c r="J129" s="46">
        <f>IFERROR(IF(AND($U$5=FALSE,$U$4=FALSE),"-",VLOOKUP($E129,'Status Thresholds'!$E:$AU,41,FALSE)),"-")</f>
        <v>60</v>
      </c>
      <c r="K129" s="46" t="str">
        <f>IFERROR(IF(AND($U$5=FALSE,$U$4=FALSE),"-",VLOOKUP($E129,'Status Thresholds'!$E:$AU,42,FALSE)),"-")</f>
        <v>-</v>
      </c>
      <c r="L129" s="46" t="str">
        <f>IFERROR(IF(AND($U$5=FALSE,$U$4=FALSE),"-",VLOOKUP($E129,'Status Thresholds'!$E:$AU,43,FALSE)),"-")</f>
        <v>-</v>
      </c>
    </row>
    <row r="130" spans="1:12" hidden="1" x14ac:dyDescent="0.25">
      <c r="A130" s="35"/>
      <c r="B130" s="64" t="str">
        <f>IF('Status Thresholds'!A125=0, "", 'Status Thresholds'!A125)</f>
        <v>Deviant</v>
      </c>
      <c r="C130" s="64" t="str">
        <f>IF('Status Thresholds'!B125=0, "", 'Status Thresholds'!B125)</f>
        <v>Boltreaver Astalos</v>
      </c>
      <c r="D130" s="10" t="s">
        <v>22</v>
      </c>
      <c r="E130" s="36" t="str">
        <f t="shared" si="1"/>
        <v>Boltreaver AstalosExhaust</v>
      </c>
      <c r="F130" s="36" t="str">
        <f>IFERROR(
ROUNDUP(
IF(AND($U$5=FALSE,$U$4=FALSE),"-",IF(AND($U$5=TRUE,$U$4=TRUE),"-",
IF((AND($U$4=TRUE,$U$5=FALSE,$U$6=FALSE,$U$7=FALSE)),VLOOKUP($E130,'Status Thresholds'!$E:$AR,2,FALSE),IF((AND($U$4=TRUE,$U$5=FALSE,$U$6=TRUE,$U$7=FALSE)),VLOOKUP($E130,'Status Thresholds'!$E:$AR,12,FALSE),IF((AND($U$4=TRUE,$U$5=FALSE,$U$6=TRUE,$U$7=TRUE)),VLOOKUP($E130,'Status Thresholds'!$E:$AR,17,FALSE),IF((AND($U$4=TRUE,$U$5=FALSE,$U$6=FALSE,$U$7=TRUE)),VLOOKUP($E130,'Status Thresholds'!$E:$AR,7,FALSE),
IF((AND($U$4=FALSE,$U$5=TRUE,$U$6=FALSE,$U$7=FALSE)),VLOOKUP($E130,'Status Thresholds'!$E:$AR,22,FALSE),IF((AND($U$4=FALSE,$U$5=TRUE,$U$6=TRUE,$U$7=FALSE)),VLOOKUP($E130,'Status Thresholds'!$E:$AR,32,FALSE),IF((AND($U$4=FALSE,$U$5=TRUE,$U$6=TRUE,$U$7=TRUE)),VLOOKUP($E130,'Status Thresholds'!$E:$AR,37,FALSE),IF((AND($U$4=FALSE,$U$5=TRUE,$U$6=FALSE,$U$7=TRUE)),VLOOKUP($E130,'Status Thresholds'!$E:$AR,27,FALSE)))))))))
))/
IF(OR($X$5=TRUE,$AC$3=TRUE
),($F$6/2), IF(OR($X$2,$X$3,$X$4,$X$6,$X$7,$X$8,$Z$2,$Z$3,$Z$4,$Z$5,$Z$6,$Z$7,$Z$8)=TRUE,$F$6)),0),"-")</f>
        <v>-</v>
      </c>
      <c r="G130" s="36" t="str">
        <f>IFERROR(
ROUNDUP(
IF(AND($U$5=FALSE,$U$4=FALSE),"-",IF(AND($U$5=TRUE,$U$4=TRUE),"-",
IF((AND($U$4=TRUE,$U$5=FALSE,$U$6=FALSE,$U$7=FALSE)),VLOOKUP($E130,'Status Thresholds'!$E:$AR,3,FALSE),IF((AND($U$4=TRUE,$U$5=FALSE,$U$6=TRUE,$U$7=FALSE)),VLOOKUP($E130,'Status Thresholds'!$E:$AR,13,FALSE),IF((AND($U$4=TRUE,$U$5=FALSE,$U$6=TRUE,$U$7=TRUE)),VLOOKUP($E130,'Status Thresholds'!$E:$AR,18,FALSE),IF((AND($U$4=TRUE,$U$5=FALSE,$U$6=FALSE,$U$7=TRUE)),VLOOKUP($E130,'Status Thresholds'!$E:$AR,8,FALSE),
IF((AND($U$4=FALSE,$U$5=TRUE,$U$6=FALSE,$U$7=FALSE)),VLOOKUP($E130,'Status Thresholds'!$E:$AR,23,FALSE),IF((AND($U$4=FALSE,$U$5=TRUE,$U$6=TRUE,$U$7=FALSE)),VLOOKUP($E130,'Status Thresholds'!$E:$AR,33,FALSE),IF((AND($U$4=FALSE,$U$5=TRUE,$U$6=TRUE,$U$7=TRUE)),VLOOKUP($E130,'Status Thresholds'!$E:$AR,38,FALSE),IF((AND($U$4=FALSE,$U$5=TRUE,$U$6=FALSE,$U$7=TRUE)),VLOOKUP($E130,'Status Thresholds'!$E:$AR,28,FALSE)))))))))
))/
IF(OR($X$5=TRUE,$AC$3=TRUE
),($F$6/2), IF(OR($X$2,$X$3,$X$4,$X$6,$X$7,$X$8,$Z$2,$Z$3,$Z$4,$Z$5,$Z$6,$Z$7,$Z$8)=TRUE,$F$6)),0),"-")</f>
        <v>-</v>
      </c>
      <c r="H130" s="36" t="str">
        <f>IFERROR(
ROUNDUP(
IF(AND($U$5=FALSE,$U$4=FALSE),"-",IF(AND($U$5=TRUE,$U$4=TRUE),"-",
IF((AND($U$4=TRUE,$U$5=FALSE,$U$6=FALSE,$U$7=FALSE)),VLOOKUP($E130,'Status Thresholds'!$E:$AR,4,FALSE),IF((AND($U$4=TRUE,$U$5=FALSE,$U$6=TRUE,$U$7=FALSE)),VLOOKUP($E130,'Status Thresholds'!$E:$AR,14,FALSE),IF((AND($U$4=TRUE,$U$5=FALSE,$U$6=TRUE,$U$7=TRUE)),VLOOKUP($E130,'Status Thresholds'!$E:$AR,19,FALSE),IF((AND($U$4=TRUE,$U$5=FALSE,$U$6=FALSE,$U$7=TRUE)),VLOOKUP($E130,'Status Thresholds'!$E:$AR,9,FALSE),
IF((AND($U$4=FALSE,$U$5=TRUE,$U$6=FALSE,$U$7=FALSE)),VLOOKUP($E130,'Status Thresholds'!$E:$AR,24,FALSE),IF((AND($U$4=FALSE,$U$5=TRUE,$U$6=TRUE,$U$7=FALSE)),VLOOKUP($E130,'Status Thresholds'!$E:$AR,34,FALSE),IF((AND($U$4=FALSE,$U$5=TRUE,$U$6=TRUE,$U$7=TRUE)),VLOOKUP($E130,'Status Thresholds'!$E:$AR,39,FALSE),IF((AND($U$4=FALSE,$U$5=TRUE,$U$6=FALSE,$U$7=TRUE)),VLOOKUP($E130,'Status Thresholds'!$E:$AR,29,FALSE)))))))))
))/
IF(OR($X$5=TRUE,$AC$3=TRUE
),($F$6/2), IF(OR($X$2,$X$3,$X$4,$X$6,$X$7,$X$8,$Z$2,$Z$3,$Z$4,$Z$5,$Z$6,$Z$7,$Z$8)=TRUE,$F$6)),0),"-")</f>
        <v>-</v>
      </c>
      <c r="I130" s="36" t="str">
        <f>IFERROR(
ROUNDUP(
IF(AND($U$5=FALSE,$U$4=FALSE),"-",IF(AND($U$5=TRUE,$U$4=TRUE),"-",
IF((AND($U$4=TRUE,$U$5=FALSE,$U$6=FALSE,$U$7=FALSE)),VLOOKUP($E130,'Status Thresholds'!$E:$AR,5,FALSE),IF((AND($U$4=TRUE,$U$5=FALSE,$U$6=TRUE,$U$7=FALSE)),VLOOKUP($E130,'Status Thresholds'!$E:$AR,15,FALSE),IF((AND($U$4=TRUE,$U$5=FALSE,$U$6=TRUE,$U$7=TRUE)),VLOOKUP($E130,'Status Thresholds'!$E:$AR,20,FALSE),IF((AND($U$4=TRUE,$U$5=FALSE,$U$6=FALSE,$U$7=TRUE)),VLOOKUP($E130,'Status Thresholds'!$E:$AR,10,FALSE),
IF((AND($U$4=FALSE,$U$5=TRUE,$U$6=FALSE,$U$7=FALSE)),VLOOKUP($E130,'Status Thresholds'!$E:$AR,25,FALSE),IF((AND($U$4=FALSE,$U$5=TRUE,$U$6=TRUE,$U$7=FALSE)),VLOOKUP($E130,'Status Thresholds'!$E:$AR,35,FALSE),IF((AND($U$4=FALSE,$U$5=TRUE,$U$6=TRUE,$U$7=TRUE)),VLOOKUP($E130,'Status Thresholds'!$E:$AR,40,FALSE),IF((AND($U$4=FALSE,$U$5=TRUE,$U$6=FALSE,$U$7=TRUE)),VLOOKUP($E130,'Status Thresholds'!$E:$AR,30,FALSE)))))))))
))/
IF(OR($X$5=TRUE,$AC$3=TRUE
),($F$6/2), IF(OR($X$2,$X$3,$X$4,$X$6,$X$7,$X$8,$Z$2,$Z$3,$Z$4,$Z$5,$Z$6,$Z$7,$Z$8)=TRUE,$F$6)),0),"-")</f>
        <v>-</v>
      </c>
      <c r="J130" s="46">
        <f>IFERROR(IF(AND($U$5=FALSE,$U$4=FALSE),"-",VLOOKUP($E130,'Status Thresholds'!$E:$AU,41,FALSE)),"-")</f>
        <v>0</v>
      </c>
      <c r="K130" s="46" t="str">
        <f>IFERROR(IF(AND($U$5=FALSE,$U$4=FALSE),"-",VLOOKUP($E130,'Status Thresholds'!$E:$AU,42,FALSE)),"-")</f>
        <v>-</v>
      </c>
      <c r="L130" s="46" t="str">
        <f>IFERROR(IF(AND($U$5=FALSE,$U$4=FALSE),"-",VLOOKUP($E130,'Status Thresholds'!$E:$AU,43,FALSE)),"-")</f>
        <v>-</v>
      </c>
    </row>
    <row r="131" spans="1:12" hidden="1" x14ac:dyDescent="0.25">
      <c r="A131" s="35"/>
      <c r="B131" s="64" t="str">
        <f>IF('Status Thresholds'!A126=0, "", 'Status Thresholds'!A126)</f>
        <v>Deviant</v>
      </c>
      <c r="C131" s="64" t="str">
        <f>IF('Status Thresholds'!B126=0, "", 'Status Thresholds'!B126)</f>
        <v>Boltreaver Astalos</v>
      </c>
      <c r="D131" s="30" t="s">
        <v>35</v>
      </c>
      <c r="E131" s="36" t="str">
        <f t="shared" si="1"/>
        <v>Boltreaver AstalosBlast</v>
      </c>
      <c r="F131" s="36" t="str">
        <f>IFERROR(
ROUNDUP(
IF(AND($U$5=FALSE,$U$4=FALSE),"-",IF(AND($U$5=TRUE,$U$4=TRUE),"-",
IF((AND($U$4=TRUE,$U$5=FALSE,$U$6=FALSE,$U$7=FALSE)),VLOOKUP($E131,'Status Thresholds'!$E:$AR,2,FALSE),IF((AND($U$4=TRUE,$U$5=FALSE,$U$6=TRUE,$U$7=FALSE)),VLOOKUP($E131,'Status Thresholds'!$E:$AR,12,FALSE),IF((AND($U$4=TRUE,$U$5=FALSE,$U$6=TRUE,$U$7=TRUE)),VLOOKUP($E131,'Status Thresholds'!$E:$AR,17,FALSE),IF((AND($U$4=TRUE,$U$5=FALSE,$U$6=FALSE,$U$7=TRUE)),VLOOKUP($E131,'Status Thresholds'!$E:$AR,7,FALSE),
IF((AND($U$4=FALSE,$U$5=TRUE,$U$6=FALSE,$U$7=FALSE)),VLOOKUP($E131,'Status Thresholds'!$E:$AR,22,FALSE),IF((AND($U$4=FALSE,$U$5=TRUE,$U$6=TRUE,$U$7=FALSE)),VLOOKUP($E131,'Status Thresholds'!$E:$AR,32,FALSE),IF((AND($U$4=FALSE,$U$5=TRUE,$U$6=TRUE,$U$7=TRUE)),VLOOKUP($E131,'Status Thresholds'!$E:$AR,37,FALSE),IF((AND($U$4=FALSE,$U$5=TRUE,$U$6=FALSE,$U$7=TRUE)),VLOOKUP($E131,'Status Thresholds'!$E:$AR,27,FALSE)))))))))
))/
IF(OR($X$5=TRUE,$AC$3=TRUE
),($F$7/2), IF(OR($X$2,$X$3,$X$4,$X$6,$X$7,$X$8,$Z$2,$Z$3,$Z$4,$Z$5,$Z$6,$Z$7,$Z$8)=TRUE,$F$7)),0),"-")</f>
        <v>-</v>
      </c>
      <c r="G131" s="36" t="str">
        <f>IFERROR(
ROUNDUP(
IF(AND($U$5=FALSE,$U$4=FALSE),"-",IF(AND($U$5=TRUE,$U$4=TRUE),"-",
IF((AND($U$4=TRUE,$U$5=FALSE,$U$6=FALSE,$U$7=FALSE)),VLOOKUP($E131,'Status Thresholds'!$E:$AR,3,FALSE),IF((AND($U$4=TRUE,$U$5=FALSE,$U$6=TRUE,$U$7=FALSE)),VLOOKUP($E131,'Status Thresholds'!$E:$AR,13,FALSE),IF((AND($U$4=TRUE,$U$5=FALSE,$U$6=TRUE,$U$7=TRUE)),VLOOKUP($E131,'Status Thresholds'!$E:$AR,18,FALSE),IF((AND($U$4=TRUE,$U$5=FALSE,$U$6=FALSE,$U$7=TRUE)),VLOOKUP($E131,'Status Thresholds'!$E:$AR,8,FALSE),
IF((AND($U$4=FALSE,$U$5=TRUE,$U$6=FALSE,$U$7=FALSE)),VLOOKUP($E131,'Status Thresholds'!$E:$AR,23,FALSE),IF((AND($U$4=FALSE,$U$5=TRUE,$U$6=TRUE,$U$7=FALSE)),VLOOKUP($E131,'Status Thresholds'!$E:$AR,33,FALSE),IF((AND($U$4=FALSE,$U$5=TRUE,$U$6=TRUE,$U$7=TRUE)),VLOOKUP($E131,'Status Thresholds'!$E:$AR,38,FALSE),IF((AND($U$4=FALSE,$U$5=TRUE,$U$6=FALSE,$U$7=TRUE)),VLOOKUP($E131,'Status Thresholds'!$E:$AR,28,FALSE)))))))))
))/
IF(OR($X$5=TRUE,$AC$3=TRUE
),($F$7/2), IF(OR($X$2,$X$3,$X$4,$X$6,$X$7,$X$8,$Z$2,$Z$3,$Z$4,$Z$5,$Z$6,$Z$7,$Z$8)=TRUE,$F$7)),0),"-")</f>
        <v>-</v>
      </c>
      <c r="H131" s="36" t="str">
        <f>IFERROR(
ROUNDUP(
IF(AND($U$5=FALSE,$U$4=FALSE),"-",IF(AND($U$5=TRUE,$U$4=TRUE),"-",
IF((AND($U$4=TRUE,$U$5=FALSE,$U$6=FALSE,$U$7=FALSE)),VLOOKUP($E131,'Status Thresholds'!$E:$AR,4,FALSE),IF((AND($U$4=TRUE,$U$5=FALSE,$U$6=TRUE,$U$7=FALSE)),VLOOKUP($E131,'Status Thresholds'!$E:$AR,14,FALSE),IF((AND($U$4=TRUE,$U$5=FALSE,$U$6=TRUE,$U$7=TRUE)),VLOOKUP($E131,'Status Thresholds'!$E:$AR,19,FALSE),IF((AND($U$4=TRUE,$U$5=FALSE,$U$6=FALSE,$U$7=TRUE)),VLOOKUP($E131,'Status Thresholds'!$E:$AR,9,FALSE),
IF((AND($U$4=FALSE,$U$5=TRUE,$U$6=FALSE,$U$7=FALSE)),VLOOKUP($E131,'Status Thresholds'!$E:$AR,24,FALSE),IF((AND($U$4=FALSE,$U$5=TRUE,$U$6=TRUE,$U$7=FALSE)),VLOOKUP($E131,'Status Thresholds'!$E:$AR,34,FALSE),IF((AND($U$4=FALSE,$U$5=TRUE,$U$6=TRUE,$U$7=TRUE)),VLOOKUP($E131,'Status Thresholds'!$E:$AR,39,FALSE),IF((AND($U$4=FALSE,$U$5=TRUE,$U$6=FALSE,$U$7=TRUE)),VLOOKUP($E131,'Status Thresholds'!$E:$AR,29,FALSE)))))))))
))/
IF(OR($X$5=TRUE,$AC$3=TRUE
),($F$7/2), IF(OR($X$2,$X$3,$X$4,$X$6,$X$7,$X$8,$Z$2,$Z$3,$Z$4,$Z$5,$Z$6,$Z$7,$Z$8)=TRUE,$F$7)),0),"-")</f>
        <v>-</v>
      </c>
      <c r="I131" s="36" t="str">
        <f>IFERROR(
ROUNDUP(
IF(AND($U$5=FALSE,$U$4=FALSE),"-",IF(AND($U$5=TRUE,$U$4=TRUE),"-",
IF((AND($U$4=TRUE,$U$5=FALSE,$U$6=FALSE,$U$7=FALSE)),VLOOKUP($E131,'Status Thresholds'!$E:$AR,5,FALSE),IF((AND($U$4=TRUE,$U$5=FALSE,$U$6=TRUE,$U$7=FALSE)),VLOOKUP($E131,'Status Thresholds'!$E:$AR,15,FALSE),IF((AND($U$4=TRUE,$U$5=FALSE,$U$6=TRUE,$U$7=TRUE)),VLOOKUP($E131,'Status Thresholds'!$E:$AR,20,FALSE),IF((AND($U$4=TRUE,$U$5=FALSE,$U$6=FALSE,$U$7=TRUE)),VLOOKUP($E131,'Status Thresholds'!$E:$AR,10,FALSE),
IF((AND($U$4=FALSE,$U$5=TRUE,$U$6=FALSE,$U$7=FALSE)),VLOOKUP($E131,'Status Thresholds'!$E:$AR,25,FALSE),IF((AND($U$4=FALSE,$U$5=TRUE,$U$6=TRUE,$U$7=FALSE)),VLOOKUP($E131,'Status Thresholds'!$E:$AR,35,FALSE),IF((AND($U$4=FALSE,$U$5=TRUE,$U$6=TRUE,$U$7=TRUE)),VLOOKUP($E131,'Status Thresholds'!$E:$AR,40,FALSE),IF((AND($U$4=FALSE,$U$5=TRUE,$U$6=FALSE,$U$7=TRUE)),VLOOKUP($E131,'Status Thresholds'!$E:$AR,30,FALSE)))))))))
))/
IF(OR($X$5=TRUE,$AC$3=TRUE
),($F$7/2), IF(OR($X$2,$X$3,$X$4,$X$6,$X$7,$X$8,$Z$2,$Z$3,$Z$4,$Z$5,$Z$6,$Z$7,$Z$8)=TRUE,$F$7)),0),"-")</f>
        <v>-</v>
      </c>
      <c r="J131" s="46">
        <f>IFERROR(IF(AND($U$5=FALSE,$U$4=FALSE),"-",VLOOKUP($E131,'Status Thresholds'!$E:$AU,41,FALSE)),"-")</f>
        <v>0</v>
      </c>
      <c r="K131" s="46" t="str">
        <f>IFERROR(IF(AND($U$5=FALSE,$U$4=FALSE),"-",VLOOKUP($E131,'Status Thresholds'!$E:$AU,42,FALSE)),"-")</f>
        <v>-</v>
      </c>
      <c r="L131" s="46" t="str">
        <f>IFERROR(IF(AND($U$5=FALSE,$U$4=FALSE),"-",VLOOKUP($E131,'Status Thresholds'!$E:$AU,43,FALSE)),"-")</f>
        <v>-</v>
      </c>
    </row>
    <row r="132" spans="1:12" ht="14.45" hidden="1" customHeight="1" x14ac:dyDescent="0.25">
      <c r="A132" s="35"/>
      <c r="B132" s="64" t="str">
        <f>IF('Status Thresholds'!A127=0, "", 'Status Thresholds'!A127)</f>
        <v>Deviant</v>
      </c>
      <c r="C132" s="64" t="str">
        <f>IF('Status Thresholds'!B127=0, "", 'Status Thresholds'!B127)</f>
        <v>Boltreaver Astalos</v>
      </c>
      <c r="D132" s="34" t="s">
        <v>14</v>
      </c>
      <c r="E132" s="36" t="str">
        <f t="shared" si="1"/>
        <v>Boltreaver AstalosKO</v>
      </c>
      <c r="F132" s="36" t="s">
        <v>214</v>
      </c>
      <c r="G132" s="36" t="s">
        <v>214</v>
      </c>
      <c r="H132" s="36" t="s">
        <v>214</v>
      </c>
      <c r="I132" s="36" t="s">
        <v>214</v>
      </c>
      <c r="J132" s="46">
        <f>IFERROR(IF(AND($U$5=FALSE,$U$4=FALSE),"-",VLOOKUP($E132,'Status Thresholds'!$E:$AU,41,FALSE)),"-")</f>
        <v>10</v>
      </c>
      <c r="K132" s="46" t="str">
        <f>IFERROR(IF(AND($U$5=FALSE,$U$4=FALSE),"-",VLOOKUP($E132,'Status Thresholds'!$E:$AU,42,FALSE)),"-")</f>
        <v>-</v>
      </c>
      <c r="L132" s="46" t="str">
        <f>IFERROR(IF(AND($U$5=FALSE,$U$4=FALSE),"-",VLOOKUP($E132,'Status Thresholds'!$E:$AU,43,FALSE)),"-")</f>
        <v>-</v>
      </c>
    </row>
    <row r="133" spans="1:12" hidden="1" x14ac:dyDescent="0.25">
      <c r="A133" s="35"/>
      <c r="B133" s="64" t="str">
        <f>IF('Status Thresholds'!A128=0, "", 'Status Thresholds'!A128)</f>
        <v>Deviant</v>
      </c>
      <c r="C133" s="64" t="str">
        <f>IF('Status Thresholds'!B128=0, "", 'Status Thresholds'!B128)</f>
        <v>Boltreaver Astalos</v>
      </c>
      <c r="D133" s="33" t="s">
        <v>34</v>
      </c>
      <c r="E133" s="36" t="str">
        <f t="shared" si="1"/>
        <v>Boltreaver AstalosMount</v>
      </c>
      <c r="F133" s="36" t="str">
        <f>IFERROR(
ROUNDUP(
IF(AND($U$5=FALSE,$U$4=FALSE),"-",IF(AND($U$5=TRUE,$U$4=TRUE),"-",
IF((AND($U$4=TRUE,$U$5=FALSE,$U$6=FALSE,$U$7=FALSE)),VLOOKUP($E133,'Status Thresholds'!$E:$AR,2,FALSE),IF((AND($U$4=TRUE,$U$5=FALSE,$U$6=TRUE,$U$7=FALSE)),VLOOKUP($E133,'Status Thresholds'!$E:$AR,12,FALSE),IF((AND($U$4=TRUE,$U$5=FALSE,$U$6=TRUE,$U$7=TRUE)),VLOOKUP($E133,'Status Thresholds'!$E:$AR,17,FALSE),IF((AND($U$4=TRUE,$U$5=FALSE,$U$6=FALSE,$U$7=TRUE)),VLOOKUP($E133,'Status Thresholds'!$E:$AR,7,FALSE),
IF((AND($U$4=FALSE,$U$5=TRUE,$U$6=FALSE,$U$7=FALSE)),VLOOKUP($E133,'Status Thresholds'!$E:$AR,22,FALSE),IF((AND($U$4=FALSE,$U$5=TRUE,$U$6=TRUE,$U$7=FALSE)),VLOOKUP($E133,'Status Thresholds'!$E:$AR,32,FALSE),IF((AND($U$4=FALSE,$U$5=TRUE,$U$6=TRUE,$U$7=TRUE)),VLOOKUP($E133,'Status Thresholds'!$E:$AR,37,FALSE),IF((AND($U$4=FALSE,$U$5=TRUE,$U$6=FALSE,$U$7=TRUE)),VLOOKUP($E133,'Status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133" s="36" t="str">
        <f>IFERROR(
ROUNDUP(
IF(AND($U$5=FALSE,$U$4=FALSE),"-",IF(AND($U$5=TRUE,$U$4=TRUE),"-",
IF((AND($U$4=TRUE,$U$5=FALSE,$U$6=FALSE,$U$7=FALSE)),VLOOKUP($E132,'Status Thresholds'!$E:$AR,3,FALSE),IF((AND($U$4=TRUE,$U$5=FALSE,$U$6=TRUE,$U$7=FALSE)),VLOOKUP($E132,'Status Thresholds'!$E:$AR,13,FALSE),IF((AND($U$4=TRUE,$U$5=FALSE,$U$6=TRUE,$U$7=TRUE)),VLOOKUP($E132,'Status Thresholds'!$E:$AR,18,FALSE),IF((AND($U$4=TRUE,$U$5=FALSE,$U$6=FALSE,$U$7=TRUE)),VLOOKUP($E132,'Status Thresholds'!$E:$AR,8,FALSE),
IF((AND($U$4=FALSE,$U$5=TRUE,$U$6=FALSE,$U$7=FALSE)),VLOOKUP($E132,'Status Thresholds'!$E:$AR,23,FALSE),IF((AND($U$4=FALSE,$U$5=TRUE,$U$6=TRUE,$U$7=FALSE)),VLOOKUP($E132,'Status Thresholds'!$E:$AR,33,FALSE),IF((AND($U$4=FALSE,$U$5=TRUE,$U$6=TRUE,$U$7=TRUE)),VLOOKUP($E132,'Status Thresholds'!$E:$AR,38,FALSE),IF((AND($U$4=FALSE,$U$5=TRUE,$U$6=FALSE,$U$7=TRUE)),VLOOKUP($E132,'Status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133" s="36" t="str">
        <f>IFERROR(
ROUNDUP(
IF(AND($U$5=FALSE,$U$4=FALSE),"-",IF(AND($U$5=TRUE,$U$4=TRUE),"-",
IF((AND($U$4=TRUE,$U$5=FALSE,$U$6=FALSE,$U$7=FALSE)),VLOOKUP($E132,'Status Thresholds'!$E:$AR,4,FALSE),IF((AND($U$4=TRUE,$U$5=FALSE,$U$6=TRUE,$U$7=FALSE)),VLOOKUP($E132,'Status Thresholds'!$E:$AR,14,FALSE),IF((AND($U$4=TRUE,$U$5=FALSE,$U$6=TRUE,$U$7=TRUE)),VLOOKUP($E132,'Status Thresholds'!$E:$AR,19,FALSE),IF((AND($U$4=TRUE,$U$5=FALSE,$U$6=FALSE,$U$7=TRUE)),VLOOKUP($E132,'Status Thresholds'!$E:$AR,9,FALSE),
IF((AND($U$4=FALSE,$U$5=TRUE,$U$6=FALSE,$U$7=FALSE)),VLOOKUP($E132,'Status Thresholds'!$E:$AR,24,FALSE),IF((AND($U$4=FALSE,$U$5=TRUE,$U$6=TRUE,$U$7=FALSE)),VLOOKUP($E132,'Status Thresholds'!$E:$AR,34,FALSE),IF((AND($U$4=FALSE,$U$5=TRUE,$U$6=TRUE,$U$7=TRUE)),VLOOKUP($E132,'Status Thresholds'!$E:$AR,39,FALSE),IF((AND($U$4=FALSE,$U$5=TRUE,$U$6=FALSE,$U$7=TRUE)),VLOOKUP($E132,'Status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133" s="36" t="str">
        <f>IFERROR(
ROUNDUP(
IF(AND($U$5=FALSE,$U$4=FALSE),"-",IF(AND($U$5=TRUE,$U$4=TRUE),"-",
IF((AND($U$4=TRUE,$U$5=FALSE,$U$6=FALSE,$U$7=FALSE)),VLOOKUP($E132,'Status Thresholds'!$E:$AR,5,FALSE),IF((AND($U$4=TRUE,$U$5=FALSE,$U$6=TRUE,$U$7=FALSE)),VLOOKUP($E132,'Status Thresholds'!$E:$AR,15,FALSE),IF((AND($U$4=TRUE,$U$5=FALSE,$U$6=TRUE,$U$7=TRUE)),VLOOKUP($E132,'Status Thresholds'!$E:$AR,20,FALSE),IF((AND($U$4=TRUE,$U$5=FALSE,$U$6=FALSE,$U$7=TRUE)),VLOOKUP($E132,'Status Thresholds'!$E:$AR,10,FALSE),
IF((AND($U$4=FALSE,$U$5=TRUE,$U$6=FALSE,$U$7=FALSE)),VLOOKUP($E132,'Status Thresholds'!$E:$AR,25,FALSE),IF((AND($U$4=FALSE,$U$5=TRUE,$U$6=TRUE,$U$7=FALSE)),VLOOKUP($E132,'Status Thresholds'!$E:$AR,35,FALSE),IF((AND($U$4=FALSE,$U$5=TRUE,$U$6=TRUE,$U$7=TRUE)),VLOOKUP($E132,'Status Thresholds'!$E:$AR,40,FALSE),IF((AND($U$4=FALSE,$U$5=TRUE,$U$6=FALSE,$U$7=TRUE)),VLOOKUP($E132,'Status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133" s="46">
        <f>IFERROR(IF(AND($U$5=FALSE,$U$4=FALSE),"-",VLOOKUP($E133,'Status Thresholds'!$E:$AU,41,FALSE)),"-")</f>
        <v>0</v>
      </c>
      <c r="K133" s="46" t="str">
        <f>IFERROR(IF(AND($U$5=FALSE,$U$4=FALSE),"-",VLOOKUP($E133,'Status Thresholds'!$E:$AU,42,FALSE)),"-")</f>
        <v>-</v>
      </c>
      <c r="L133" s="46" t="str">
        <f>IFERROR(IF(AND($U$5=FALSE,$U$4=FALSE),"-",VLOOKUP($E133,'Status Thresholds'!$E:$AU,43,FALSE)),"-")</f>
        <v>-</v>
      </c>
    </row>
    <row r="134" spans="1:12" ht="15" hidden="1" customHeight="1" x14ac:dyDescent="0.25">
      <c r="A134" s="35"/>
      <c r="B134" s="64" t="str">
        <f>IF('Status Thresholds'!A129=0, "", 'Status Thresholds'!A129)</f>
        <v>Deviant</v>
      </c>
      <c r="C134" s="64" t="str">
        <f>IF('Status Thresholds'!B129=0, "", 'Status Thresholds'!B129)</f>
        <v>Boltreaver Astalos</v>
      </c>
      <c r="D134" s="77" t="s">
        <v>207</v>
      </c>
      <c r="E134" s="36" t="str">
        <f t="shared" si="1"/>
        <v>Boltreaver AstalosShock Trap</v>
      </c>
      <c r="F134" s="76" t="s">
        <v>214</v>
      </c>
      <c r="G134" s="46" t="s">
        <v>214</v>
      </c>
      <c r="H134" s="46" t="s">
        <v>214</v>
      </c>
      <c r="I134" s="46" t="s">
        <v>214</v>
      </c>
      <c r="J134" s="46">
        <f>IFERROR(IF(AND($U$5=FALSE,$U$4=FALSE),"-",VLOOKUP($E134,'Status Thresholds'!$E:$AU,43,FALSE)),"-")</f>
        <v>0</v>
      </c>
      <c r="K134" s="46">
        <f>IFERROR(IF(AND($U$5=FALSE,$U$4=FALSE),"-",VLOOKUP($E134,'Status Thresholds'!$E:$AU,41,FALSE)),"-")</f>
        <v>0</v>
      </c>
      <c r="L134" s="46">
        <f>IFERROR(IF(AND($U$5=FALSE,$U$4=FALSE),"-",VLOOKUP($E134,'Status Thresholds'!$E:$AU,42,FALSE)),"-")</f>
        <v>0</v>
      </c>
    </row>
    <row r="135" spans="1:12" hidden="1" x14ac:dyDescent="0.25">
      <c r="A135" s="35"/>
      <c r="B135" s="64" t="str">
        <f>IF('Status Thresholds'!A130=0, "", 'Status Thresholds'!A130)</f>
        <v>Deviant</v>
      </c>
      <c r="C135" s="64" t="str">
        <f>IF('Status Thresholds'!B130=0, "", 'Status Thresholds'!B130)</f>
        <v>Boltreaver Astalos</v>
      </c>
      <c r="D135" s="77" t="s">
        <v>213</v>
      </c>
      <c r="E135" s="36" t="str">
        <f t="shared" si="1"/>
        <v>Boltreaver AstalosPitfall Trap</v>
      </c>
      <c r="F135" s="46" t="s">
        <v>214</v>
      </c>
      <c r="G135" s="46" t="s">
        <v>214</v>
      </c>
      <c r="H135" s="46" t="s">
        <v>214</v>
      </c>
      <c r="I135" s="46" t="s">
        <v>214</v>
      </c>
      <c r="J135" s="46">
        <f>IFERROR(IF(AND($U$5=FALSE,$U$4=FALSE),"-",VLOOKUP($E135,'Status Thresholds'!$E:$AU,43,FALSE)),"-")</f>
        <v>0</v>
      </c>
      <c r="K135" s="46">
        <f>IFERROR(IF(AND($U$5=FALSE,$U$4=FALSE),"-",VLOOKUP($E135,'Status Thresholds'!$E:$AU,41,FALSE)),"-")</f>
        <v>0</v>
      </c>
      <c r="L135" s="46">
        <f>IFERROR(IF(AND($U$5=FALSE,$U$4=FALSE),"-",VLOOKUP($E135,'Status Thresholds'!$E:$AU,42,FALSE)),"-")</f>
        <v>0</v>
      </c>
    </row>
    <row r="136" spans="1:12" s="36" customFormat="1" x14ac:dyDescent="0.25">
      <c r="A136" s="64"/>
      <c r="B136" s="64" t="str">
        <f>VLOOKUP(C136,'Status Thresholds'!B:C,2,FALSE)</f>
        <v>MHGen</v>
      </c>
      <c r="C136" s="64" t="str">
        <f>IF('Status Thresholds'!B131=0, "", 'Status Thresholds'!B131)</f>
        <v>Brachydios</v>
      </c>
      <c r="D136" s="37" t="s">
        <v>0</v>
      </c>
      <c r="E136" s="36" t="str">
        <f t="shared" si="1"/>
        <v>BrachydiosPara</v>
      </c>
      <c r="F136" s="36" t="str">
        <f>IFERROR(
ROUNDUP(
IF(AND($U$5=FALSE,$U$4=FALSE),"-",IF(AND($U$5=TRUE,$U$4=TRUE),"-",
IF((AND($U$4=TRUE,$U$5=FALSE,$U$6=FALSE,$U$7=FALSE)),VLOOKUP($E136,'Status Thresholds'!$E:$AR,2,FALSE),IF((AND($U$4=TRUE,$U$5=FALSE,$U$6=TRUE,$U$7=FALSE)),VLOOKUP($E136,'Status Thresholds'!$E:$AR,12,FALSE),IF((AND($U$4=TRUE,$U$5=FALSE,$U$6=TRUE,$U$7=TRUE)),VLOOKUP($E136,'Status Thresholds'!$E:$AR,17,FALSE),IF((AND($U$4=TRUE,$U$5=FALSE,$U$6=FALSE,$U$7=TRUE)),VLOOKUP($E136,'Status Thresholds'!$E:$AR,7,FALSE),
IF((AND($U$4=FALSE,$U$5=TRUE,$U$6=FALSE,$U$7=FALSE)),VLOOKUP($E136,'Status Thresholds'!$E:$AR,22,FALSE),IF((AND($U$4=FALSE,$U$5=TRUE,$U$6=TRUE,$U$7=FALSE)),VLOOKUP($E136,'Status Thresholds'!$E:$AR,32,FALSE),IF((AND($U$4=FALSE,$U$5=TRUE,$U$6=TRUE,$U$7=TRUE)),VLOOKUP($E136,'Status Thresholds'!$E:$AR,37,FALSE),IF((AND($U$4=FALSE,$U$5=TRUE,$U$6=FALSE,$U$7=TRUE)),VLOOKUP($E136,'Status Thresholds'!$E:$AR,27,FALSE)))))))))
))/
IF(OR($X$5=TRUE,$AC$3=TRUE
),($F$3/2), IF(OR($X$2,$X$3,$X$4,$X$6,$X$7,$X$8,$Z$2,$Z$3,$Z$4,$Z$5,$Z$6,$Z$7,$Z$8)=TRUE,$F$3)),0),"-")</f>
        <v>-</v>
      </c>
      <c r="G136" s="36" t="str">
        <f>IFERROR(
ROUNDUP(
IF(AND($U$5=FALSE,$U$4=FALSE),"-",IF(AND($U$5=TRUE,$U$4=TRUE),"-",
IF((AND($U$4=TRUE,$U$5=FALSE,$U$6=FALSE,$U$7=FALSE)),VLOOKUP($E136,'Status Thresholds'!$E:$AR,3,FALSE),IF((AND($U$4=TRUE,$U$5=FALSE,$U$6=TRUE,$U$7=FALSE)),VLOOKUP($E136,'Status Thresholds'!$E:$AR,13,FALSE),IF((AND($U$4=TRUE,$U$5=FALSE,$U$6=TRUE,$U$7=TRUE)),VLOOKUP($E136,'Status Thresholds'!$E:$AR,18,FALSE),IF((AND($U$4=TRUE,$U$5=FALSE,$U$6=FALSE,$U$7=TRUE)),VLOOKUP($E136,'Status Thresholds'!$E:$AR,8,FALSE),
IF((AND($U$4=FALSE,$U$5=TRUE,$U$6=FALSE,$U$7=FALSE)),VLOOKUP($E136,'Status Thresholds'!$E:$AR,23,FALSE),IF((AND($U$4=FALSE,$U$5=TRUE,$U$6=TRUE,$U$7=FALSE)),VLOOKUP($E136,'Status Thresholds'!$E:$AR,33,FALSE),IF((AND($U$4=FALSE,$U$5=TRUE,$U$6=TRUE,$U$7=TRUE)),VLOOKUP($E136,'Status Thresholds'!$E:$AR,38,FALSE),IF((AND($U$4=FALSE,$U$5=TRUE,$U$6=FALSE,$U$7=TRUE)),VLOOKUP($E136,'Status Thresholds'!$E:$AR,28,FALSE)))))))))
))/
IF(OR($X$5=TRUE,$AC$3=TRUE
),($F$3/2), IF(OR($X$2,$X$3,$X$4,$X$6,$X$7,$X$8,$Z$2,$Z$3,$Z$4,$Z$5,$Z$6,$Z$7,$Z$8)=TRUE,$F$3)),0),"-")</f>
        <v>-</v>
      </c>
      <c r="H136" s="36" t="str">
        <f>IFERROR(
ROUNDUP(
IF(AND($U$5=FALSE,$U$4=FALSE),"-",IF(AND($U$5=TRUE,$U$4=TRUE),"-",
IF((AND($U$4=TRUE,$U$5=FALSE,$U$6=FALSE,$U$7=FALSE)),VLOOKUP($E136,'Status Thresholds'!$E:$AR,4,FALSE),IF((AND($U$4=TRUE,$U$5=FALSE,$U$6=TRUE,$U$7=FALSE)),VLOOKUP($E136,'Status Thresholds'!$E:$AR,14,FALSE),IF((AND($U$4=TRUE,$U$5=FALSE,$U$6=TRUE,$U$7=TRUE)),VLOOKUP($E136,'Status Thresholds'!$E:$AR,19,FALSE),IF((AND($U$4=TRUE,$U$5=FALSE,$U$6=FALSE,$U$7=TRUE)),VLOOKUP($E136,'Status Thresholds'!$E:$AR,9,FALSE),
IF((AND($U$4=FALSE,$U$5=TRUE,$U$6=FALSE,$U$7=FALSE)),VLOOKUP($E136,'Status Thresholds'!$E:$AR,24,FALSE),IF((AND($U$4=FALSE,$U$5=TRUE,$U$6=TRUE,$U$7=FALSE)),VLOOKUP($E136,'Status Thresholds'!$E:$AR,34,FALSE),IF((AND($U$4=FALSE,$U$5=TRUE,$U$6=TRUE,$U$7=TRUE)),VLOOKUP($E136,'Status Thresholds'!$E:$AR,39,FALSE),IF((AND($U$4=FALSE,$U$5=TRUE,$U$6=FALSE,$U$7=TRUE)),VLOOKUP($E136,'Status Thresholds'!$E:$AR,29,FALSE)))))))))
))/
IF(OR($X$5=TRUE,$AC$3=TRUE
),($F$3/2), IF(OR($X$2,$X$3,$X$4,$X$6,$X$7,$X$8,$Z$2,$Z$3,$Z$4,$Z$5,$Z$6,$Z$7,$Z$8)=TRUE,$F$3)),0),"-")</f>
        <v>-</v>
      </c>
      <c r="I136" s="36" t="str">
        <f>IFERROR(
ROUNDUP(
IF(AND($U$5=FALSE,$U$4=FALSE),"-",IF(AND($U$5=TRUE,$U$4=TRUE),"-",
IF((AND($U$4=TRUE,$U$5=FALSE,$U$6=FALSE,$U$7=FALSE)),VLOOKUP($E136,'Status Thresholds'!$E:$AR,5,FALSE),IF((AND($U$4=TRUE,$U$5=FALSE,$U$6=TRUE,$U$7=FALSE)),VLOOKUP($E136,'Status Thresholds'!$E:$AR,15,FALSE),IF((AND($U$4=TRUE,$U$5=FALSE,$U$6=TRUE,$U$7=TRUE)),VLOOKUP($E136,'Status Thresholds'!$E:$AR,20,FALSE),IF((AND($U$4=TRUE,$U$5=FALSE,$U$6=FALSE,$U$7=TRUE)),VLOOKUP($E136,'Status Thresholds'!$E:$AR,10,FALSE),
IF((AND($U$4=FALSE,$U$5=TRUE,$U$6=FALSE,$U$7=FALSE)),VLOOKUP($E136,'Status Thresholds'!$E:$AR,25,FALSE),IF((AND($U$4=FALSE,$U$5=TRUE,$U$6=TRUE,$U$7=FALSE)),VLOOKUP($E136,'Status Thresholds'!$E:$AR,35,FALSE),IF((AND($U$4=FALSE,$U$5=TRUE,$U$6=TRUE,$U$7=TRUE)),VLOOKUP($E136,'Status Thresholds'!$E:$AR,40,FALSE),IF((AND($U$4=FALSE,$U$5=TRUE,$U$6=FALSE,$U$7=TRUE)),VLOOKUP($E136,'Status Thresholds'!$E:$AR,30,FALSE)))))))))
))/
IF(OR($X$5=TRUE,$AC$3=TRUE
),($F$3/2), IF(OR($X$2,$X$3,$X$4,$X$6,$X$7,$X$8,$Z$2,$Z$3,$Z$4,$Z$5,$Z$6,$Z$7,$Z$8)=TRUE,$F$3)),0),"-")</f>
        <v>-</v>
      </c>
      <c r="J136" s="36">
        <f>IFERROR(IF(AND($U$5=FALSE,$U$4=FALSE),"-",VLOOKUP($E136,'Status Thresholds'!$E:$AU,41,FALSE)),"-")</f>
        <v>10</v>
      </c>
      <c r="K136" s="36" t="str">
        <f>IFERROR(IF(AND($U$5=FALSE,$U$4=FALSE),"-",VLOOKUP($E136,'Status Thresholds'!$E:$AU,42,FALSE)),"-")</f>
        <v>-</v>
      </c>
      <c r="L136" s="36" t="str">
        <f>IFERROR(IF(AND($U$5=FALSE,$U$4=FALSE),"-",VLOOKUP($E136,'Status Thresholds'!$E:$AU,43,FALSE)),"-")</f>
        <v>-</v>
      </c>
    </row>
    <row r="137" spans="1:12" x14ac:dyDescent="0.25">
      <c r="A137" s="35"/>
      <c r="B137" s="64" t="str">
        <f>VLOOKUP(C137,'Status Thresholds'!B:C,2,FALSE)</f>
        <v>MHGen</v>
      </c>
      <c r="C137" s="64" t="str">
        <f>IF('Status Thresholds'!B132=0, "", 'Status Thresholds'!B132)</f>
        <v>Brachydios</v>
      </c>
      <c r="D137" s="31" t="s">
        <v>32</v>
      </c>
      <c r="E137" s="36" t="str">
        <f t="shared" si="1"/>
        <v>BrachydiosSleep</v>
      </c>
      <c r="F137" s="36" t="str">
        <f>IFERROR(
ROUNDUP(
IF(AND($U$5=FALSE,$U$4=FALSE),"-",IF(AND($U$5=TRUE,$U$4=TRUE),"-",
IF((AND($U$4=TRUE,$U$5=FALSE,$U$6=FALSE,$U$7=FALSE)),VLOOKUP($E137,'Status Thresholds'!$E:$AR,2,FALSE),IF((AND($U$4=TRUE,$U$5=FALSE,$U$6=TRUE,$U$7=FALSE)),VLOOKUP($E137,'Status Thresholds'!$E:$AR,12,FALSE),IF((AND($U$4=TRUE,$U$5=FALSE,$U$6=TRUE,$U$7=TRUE)),VLOOKUP($E137,'Status Thresholds'!$E:$AR,17,FALSE),IF((AND($U$4=TRUE,$U$5=FALSE,$U$6=FALSE,$U$7=TRUE)),VLOOKUP($E137,'Status Thresholds'!$E:$AR,7,FALSE),
IF((AND($U$4=FALSE,$U$5=TRUE,$U$6=FALSE,$U$7=FALSE)),VLOOKUP($E137,'Status Thresholds'!$E:$AR,22,FALSE),IF((AND($U$4=FALSE,$U$5=TRUE,$U$6=TRUE,$U$7=FALSE)),VLOOKUP($E137,'Status Thresholds'!$E:$AR,32,FALSE),IF((AND($U$4=FALSE,$U$5=TRUE,$U$6=TRUE,$U$7=TRUE)),VLOOKUP($E137,'Status Thresholds'!$E:$AR,37,FALSE),IF((AND($U$4=FALSE,$U$5=TRUE,$U$6=FALSE,$U$7=TRUE)),VLOOKUP($E137,'Status Thresholds'!$E:$AR,27,FALSE)))))))))
))/
IF(OR($X$5=TRUE,$AC$3=TRUE
),($F$4/2), IF(OR($X$2,$X$3,$X$4,$X$6,$X$7,$X$8,$Z$2,$Z$3,$Z$4,$Z$5,$Z$6,$Z$7,$Z$8)=TRUE,$F$4)),0),"-")</f>
        <v>-</v>
      </c>
      <c r="G137" s="36" t="str">
        <f>IFERROR(
ROUNDUP(
IF(AND($U$5=FALSE,$U$4=FALSE),"-",IF(AND($U$5=TRUE,$U$4=TRUE),"-",
IF((AND($U$4=TRUE,$U$5=FALSE,$U$6=FALSE,$U$7=FALSE)),VLOOKUP($E137,'Status Thresholds'!$E:$AR,3,FALSE),IF((AND($U$4=TRUE,$U$5=FALSE,$U$6=TRUE,$U$7=FALSE)),VLOOKUP($E137,'Status Thresholds'!$E:$AR,13,FALSE),IF((AND($U$4=TRUE,$U$5=FALSE,$U$6=TRUE,$U$7=TRUE)),VLOOKUP($E137,'Status Thresholds'!$E:$AR,18,FALSE),IF((AND($U$4=TRUE,$U$5=FALSE,$U$6=FALSE,$U$7=TRUE)),VLOOKUP($E137,'Status Thresholds'!$E:$AR,8,FALSE),
IF((AND($U$4=FALSE,$U$5=TRUE,$U$6=FALSE,$U$7=FALSE)),VLOOKUP($E137,'Status Thresholds'!$E:$AR,23,FALSE),IF((AND($U$4=FALSE,$U$5=TRUE,$U$6=TRUE,$U$7=FALSE)),VLOOKUP($E137,'Status Thresholds'!$E:$AR,33,FALSE),IF((AND($U$4=FALSE,$U$5=TRUE,$U$6=TRUE,$U$7=TRUE)),VLOOKUP($E137,'Status Thresholds'!$E:$AR,38,FALSE),IF((AND($U$4=FALSE,$U$5=TRUE,$U$6=FALSE,$U$7=TRUE)),VLOOKUP($E137,'Status Thresholds'!$E:$AR,28,FALSE)))))))))
))/
IF(OR($X$5=TRUE,$AC$3=TRUE
),($F$4/2), IF(OR($X$2,$X$3,$X$4,$X$6,$X$7,$X$8,$Z$2,$Z$3,$Z$4,$Z$5,$Z$6,$Z$7,$Z$8)=TRUE,$F$4)),0),"-")</f>
        <v>-</v>
      </c>
      <c r="H137" s="36" t="str">
        <f>IFERROR(
ROUNDUP(
IF(AND($U$5=FALSE,$U$4=FALSE),"-",IF(AND($U$5=TRUE,$U$4=TRUE),"-",
IF((AND($U$4=TRUE,$U$5=FALSE,$U$6=FALSE,$U$7=FALSE)),VLOOKUP($E137,'Status Thresholds'!$E:$AR,4,FALSE),IF((AND($U$4=TRUE,$U$5=FALSE,$U$6=TRUE,$U$7=FALSE)),VLOOKUP($E137,'Status Thresholds'!$E:$AR,14,FALSE),IF((AND($U$4=TRUE,$U$5=FALSE,$U$6=TRUE,$U$7=TRUE)),VLOOKUP($E137,'Status Thresholds'!$E:$AR,19,FALSE),IF((AND($U$4=TRUE,$U$5=FALSE,$U$6=FALSE,$U$7=TRUE)),VLOOKUP($E137,'Status Thresholds'!$E:$AR,9,FALSE),
IF((AND($U$4=FALSE,$U$5=TRUE,$U$6=FALSE,$U$7=FALSE)),VLOOKUP($E137,'Status Thresholds'!$E:$AR,24,FALSE),IF((AND($U$4=FALSE,$U$5=TRUE,$U$6=TRUE,$U$7=FALSE)),VLOOKUP($E137,'Status Thresholds'!$E:$AR,34,FALSE),IF((AND($U$4=FALSE,$U$5=TRUE,$U$6=TRUE,$U$7=TRUE)),VLOOKUP($E137,'Status Thresholds'!$E:$AR,39,FALSE),IF((AND($U$4=FALSE,$U$5=TRUE,$U$6=FALSE,$U$7=TRUE)),VLOOKUP($E137,'Status Thresholds'!$E:$AR,29,FALSE)))))))))
))/
IF(OR($X$5=TRUE,$AC$3=TRUE
),($F$4/2), IF(OR($X$2,$X$3,$X$4,$X$6,$X$7,$X$8,$Z$2,$Z$3,$Z$4,$Z$5,$Z$6,$Z$7,$Z$8)=TRUE,$F$4)),0),"-")</f>
        <v>-</v>
      </c>
      <c r="I137" s="36" t="str">
        <f>IFERROR(
ROUNDUP(
IF(AND($U$5=FALSE,$U$4=FALSE),"-",IF(AND($U$5=TRUE,$U$4=TRUE),"-",
IF((AND($U$4=TRUE,$U$5=FALSE,$U$6=FALSE,$U$7=FALSE)),VLOOKUP($E137,'Status Thresholds'!$E:$AR,5,FALSE),IF((AND($U$4=TRUE,$U$5=FALSE,$U$6=TRUE,$U$7=FALSE)),VLOOKUP($E137,'Status Thresholds'!$E:$AR,15,FALSE),IF((AND($U$4=TRUE,$U$5=FALSE,$U$6=TRUE,$U$7=TRUE)),VLOOKUP($E137,'Status Thresholds'!$E:$AR,20,FALSE),IF((AND($U$4=TRUE,$U$5=FALSE,$U$6=FALSE,$U$7=TRUE)),VLOOKUP($E137,'Status Thresholds'!$E:$AR,10,FALSE),
IF((AND($U$4=FALSE,$U$5=TRUE,$U$6=FALSE,$U$7=FALSE)),VLOOKUP($E137,'Status Thresholds'!$E:$AR,25,FALSE),IF((AND($U$4=FALSE,$U$5=TRUE,$U$6=TRUE,$U$7=FALSE)),VLOOKUP($E137,'Status Thresholds'!$E:$AR,35,FALSE),IF((AND($U$4=FALSE,$U$5=TRUE,$U$6=TRUE,$U$7=TRUE)),VLOOKUP($E137,'Status Thresholds'!$E:$AR,40,FALSE),IF((AND($U$4=FALSE,$U$5=TRUE,$U$6=FALSE,$U$7=TRUE)),VLOOKUP($E137,'Status Thresholds'!$E:$AR,30,FALSE)))))))))
))/
IF(OR($X$5=TRUE,$AC$3=TRUE
),($F$4/2), IF(OR($X$2,$X$3,$X$4,$X$6,$X$7,$X$8,$Z$2,$Z$3,$Z$4,$Z$5,$Z$6,$Z$7,$Z$8)=TRUE,$F$4)),0),"-")</f>
        <v>-</v>
      </c>
      <c r="J137" s="46">
        <f>IFERROR(IF(AND($U$5=FALSE,$U$4=FALSE),"-",VLOOKUP($E137,'Status Thresholds'!$E:$AU,41,FALSE)),"-")</f>
        <v>40</v>
      </c>
      <c r="K137" s="46" t="str">
        <f>IFERROR(IF(AND($U$5=FALSE,$U$4=FALSE),"-",VLOOKUP($E137,'Status Thresholds'!$E:$AU,42,FALSE)),"-")</f>
        <v>-</v>
      </c>
      <c r="L137" s="46" t="str">
        <f>IFERROR(IF(AND($U$5=FALSE,$U$4=FALSE),"-",VLOOKUP($E137,'Status Thresholds'!$E:$AU,43,FALSE)),"-")</f>
        <v>-</v>
      </c>
    </row>
    <row r="138" spans="1:12" x14ac:dyDescent="0.25">
      <c r="A138" s="35"/>
      <c r="B138" s="64" t="str">
        <f>VLOOKUP(C138,'Status Thresholds'!B:C,2,FALSE)</f>
        <v>MHGen</v>
      </c>
      <c r="C138" s="64" t="str">
        <f>IF('Status Thresholds'!B133=0, "", 'Status Thresholds'!B133)</f>
        <v>Brachydios</v>
      </c>
      <c r="D138" s="32" t="s">
        <v>33</v>
      </c>
      <c r="E138" s="36" t="str">
        <f t="shared" si="1"/>
        <v>BrachydiosPoison</v>
      </c>
      <c r="F138" s="36" t="str">
        <f>IFERROR(
ROUNDUP(
IF(AND($U$5=FALSE,$U$4=FALSE),"-",IF(AND($U$5=TRUE,$U$4=TRUE),"-",
IF((AND($U$4=TRUE,$U$5=FALSE,$U$6=FALSE,$U$7=FALSE)),VLOOKUP($E138,'Status Thresholds'!$E:$AR,2,FALSE),IF((AND($U$4=TRUE,$U$5=FALSE,$U$6=TRUE,$U$7=FALSE)),VLOOKUP($E138,'Status Thresholds'!$E:$AR,12,FALSE),IF((AND($U$4=TRUE,$U$5=FALSE,$U$6=TRUE,$U$7=TRUE)),VLOOKUP($E138,'Status Thresholds'!$E:$AR,17,FALSE),IF((AND($U$4=TRUE,$U$5=FALSE,$U$6=FALSE,$U$7=TRUE)),VLOOKUP($E138,'Status Thresholds'!$E:$AR,7,FALSE),
IF((AND($U$4=FALSE,$U$5=TRUE,$U$6=FALSE,$U$7=FALSE)),VLOOKUP($E138,'Status Thresholds'!$E:$AR,22,FALSE),IF((AND($U$4=FALSE,$U$5=TRUE,$U$6=TRUE,$U$7=FALSE)),VLOOKUP($E138,'Status Thresholds'!$E:$AR,32,FALSE),IF((AND($U$4=FALSE,$U$5=TRUE,$U$6=TRUE,$U$7=TRUE)),VLOOKUP($E138,'Status Thresholds'!$E:$AR,37,FALSE),IF((AND($U$4=FALSE,$U$5=TRUE,$U$6=FALSE,$U$7=TRUE)),VLOOKUP($E138,'Status Thresholds'!$E:$AR,27,FALSE)))))))))
))/
IF(OR($X$5=TRUE,$AC$3=TRUE
),($F$5/2), IF(OR($X$2,$X$3,$X$4,$X$6,$X$7,$X$8,$Z$2,$Z$3,$Z$4,$Z$5,$Z$6,$Z$7,$Z$8)=TRUE,$F$5)),0),"-")</f>
        <v>-</v>
      </c>
      <c r="G138" s="36" t="str">
        <f>IFERROR(
ROUNDUP(
IF(AND($U$5=FALSE,$U$4=FALSE),"-",IF(AND($U$5=TRUE,$U$4=TRUE),"-",
IF((AND($U$4=TRUE,$U$5=FALSE,$U$6=FALSE,$U$7=FALSE)),VLOOKUP($E138,'Status Thresholds'!$E:$AR,3,FALSE),IF((AND($U$4=TRUE,$U$5=FALSE,$U$6=TRUE,$U$7=FALSE)),VLOOKUP($E138,'Status Thresholds'!$E:$AR,13,FALSE),IF((AND($U$4=TRUE,$U$5=FALSE,$U$6=TRUE,$U$7=TRUE)),VLOOKUP($E138,'Status Thresholds'!$E:$AR,18,FALSE),IF((AND($U$4=TRUE,$U$5=FALSE,$U$6=FALSE,$U$7=TRUE)),VLOOKUP($E138,'Status Thresholds'!$E:$AR,8,FALSE),
IF((AND($U$4=FALSE,$U$5=TRUE,$U$6=FALSE,$U$7=FALSE)),VLOOKUP($E138,'Status Thresholds'!$E:$AR,23,FALSE),IF((AND($U$4=FALSE,$U$5=TRUE,$U$6=TRUE,$U$7=FALSE)),VLOOKUP($E138,'Status Thresholds'!$E:$AR,33,FALSE),IF((AND($U$4=FALSE,$U$5=TRUE,$U$6=TRUE,$U$7=TRUE)),VLOOKUP($E138,'Status Thresholds'!$E:$AR,38,FALSE),IF((AND($U$4=FALSE,$U$5=TRUE,$U$6=FALSE,$U$7=TRUE)),VLOOKUP($E138,'Status Thresholds'!$E:$AR,28,FALSE)))))))))
))/
IF(OR($X$5=TRUE,$AC$3=TRUE
),($F$5/2), IF(OR($X$2,$X$3,$X$4,$X$6,$X$7,$X$8,$Z$2,$Z$3,$Z$4,$Z$5,$Z$6,$Z$7,$Z$8)=TRUE,$F$5)),0),"-")</f>
        <v>-</v>
      </c>
      <c r="H138" s="36" t="str">
        <f>IFERROR(
ROUNDUP(
IF(AND($U$5=FALSE,$U$4=FALSE),"-",IF(AND($U$5=TRUE,$U$4=TRUE),"-",
IF((AND($U$4=TRUE,$U$5=FALSE,$U$6=FALSE,$U$7=FALSE)),VLOOKUP($E138,'Status Thresholds'!$E:$AR,4,FALSE),IF((AND($U$4=TRUE,$U$5=FALSE,$U$6=TRUE,$U$7=FALSE)),VLOOKUP($E138,'Status Thresholds'!$E:$AR,14,FALSE),IF((AND($U$4=TRUE,$U$5=FALSE,$U$6=TRUE,$U$7=TRUE)),VLOOKUP($E138,'Status Thresholds'!$E:$AR,19,FALSE),IF((AND($U$4=TRUE,$U$5=FALSE,$U$6=FALSE,$U$7=TRUE)),VLOOKUP($E138,'Status Thresholds'!$E:$AR,9,FALSE),
IF((AND($U$4=FALSE,$U$5=TRUE,$U$6=FALSE,$U$7=FALSE)),VLOOKUP($E138,'Status Thresholds'!$E:$AR,24,FALSE),IF((AND($U$4=FALSE,$U$5=TRUE,$U$6=TRUE,$U$7=FALSE)),VLOOKUP($E138,'Status Thresholds'!$E:$AR,34,FALSE),IF((AND($U$4=FALSE,$U$5=TRUE,$U$6=TRUE,$U$7=TRUE)),VLOOKUP($E138,'Status Thresholds'!$E:$AR,39,FALSE),IF((AND($U$4=FALSE,$U$5=TRUE,$U$6=FALSE,$U$7=TRUE)),VLOOKUP($E138,'Status Thresholds'!$E:$AR,29,FALSE)))))))))
))/
IF(OR($X$5=TRUE,$AC$3=TRUE
),($F$5/2), IF(OR($X$2,$X$3,$X$4,$X$6,$X$7,$X$8,$Z$2,$Z$3,$Z$4,$Z$5,$Z$6,$Z$7,$Z$8)=TRUE,$F$5)),0),"-")</f>
        <v>-</v>
      </c>
      <c r="I138" s="36" t="str">
        <f>IFERROR(
ROUNDUP(
IF(AND($U$5=FALSE,$U$4=FALSE),"-",IF(AND($U$5=TRUE,$U$4=TRUE),"-",
IF((AND($U$4=TRUE,$U$5=FALSE,$U$6=FALSE,$U$7=FALSE)),VLOOKUP($E138,'Status Thresholds'!$E:$AR,5,FALSE),IF((AND($U$4=TRUE,$U$5=FALSE,$U$6=TRUE,$U$7=FALSE)),VLOOKUP($E138,'Status Thresholds'!$E:$AR,15,FALSE),IF((AND($U$4=TRUE,$U$5=FALSE,$U$6=TRUE,$U$7=TRUE)),VLOOKUP($E138,'Status Thresholds'!$E:$AR,20,FALSE),IF((AND($U$4=TRUE,$U$5=FALSE,$U$6=FALSE,$U$7=TRUE)),VLOOKUP($E138,'Status Thresholds'!$E:$AR,10,FALSE),
IF((AND($U$4=FALSE,$U$5=TRUE,$U$6=FALSE,$U$7=FALSE)),VLOOKUP($E138,'Status Thresholds'!$E:$AR,25,FALSE),IF((AND($U$4=FALSE,$U$5=TRUE,$U$6=TRUE,$U$7=FALSE)),VLOOKUP($E138,'Status Thresholds'!$E:$AR,35,FALSE),IF((AND($U$4=FALSE,$U$5=TRUE,$U$6=TRUE,$U$7=TRUE)),VLOOKUP($E138,'Status Thresholds'!$E:$AR,40,FALSE),IF((AND($U$4=FALSE,$U$5=TRUE,$U$6=FALSE,$U$7=TRUE)),VLOOKUP($E138,'Status Thresholds'!$E:$AR,30,FALSE)))))))))
))/
IF(OR($X$5=TRUE,$AC$3=TRUE
),($F$5/2), IF(OR($X$2,$X$3,$X$4,$X$6,$X$7,$X$8,$Z$2,$Z$3,$Z$4,$Z$5,$Z$6,$Z$7,$Z$8)=TRUE,$F$5)),0),"-")</f>
        <v>-</v>
      </c>
      <c r="J138" s="46">
        <f>IFERROR(IF(AND($U$5=FALSE,$U$4=FALSE),"-",VLOOKUP($E138,'Status Thresholds'!$E:$AU,41,FALSE)),"-")</f>
        <v>40</v>
      </c>
      <c r="K138" s="46" t="str">
        <f>IFERROR(IF(AND($U$5=FALSE,$U$4=FALSE),"-",VLOOKUP($E138,'Status Thresholds'!$E:$AU,42,FALSE)),"-")</f>
        <v>-</v>
      </c>
      <c r="L138" s="46" t="str">
        <f>IFERROR(IF(AND($U$5=FALSE,$U$4=FALSE),"-",VLOOKUP($E138,'Status Thresholds'!$E:$AU,43,FALSE)),"-")</f>
        <v>-</v>
      </c>
    </row>
    <row r="139" spans="1:12" x14ac:dyDescent="0.25">
      <c r="A139" s="35"/>
      <c r="B139" s="64" t="str">
        <f>VLOOKUP(C139,'Status Thresholds'!B:C,2,FALSE)</f>
        <v>MHGen</v>
      </c>
      <c r="C139" s="64" t="str">
        <f>IF('Status Thresholds'!B134=0, "", 'Status Thresholds'!B134)</f>
        <v>Brachydios</v>
      </c>
      <c r="D139" s="10" t="s">
        <v>22</v>
      </c>
      <c r="E139" s="36" t="str">
        <f t="shared" si="1"/>
        <v>BrachydiosExhaust</v>
      </c>
      <c r="F139" s="36" t="str">
        <f>IFERROR(
ROUNDUP(
IF(AND($U$5=FALSE,$U$4=FALSE),"-",IF(AND($U$5=TRUE,$U$4=TRUE),"-",
IF((AND($U$4=TRUE,$U$5=FALSE,$U$6=FALSE,$U$7=FALSE)),VLOOKUP($E139,'Status Thresholds'!$E:$AR,2,FALSE),IF((AND($U$4=TRUE,$U$5=FALSE,$U$6=TRUE,$U$7=FALSE)),VLOOKUP($E139,'Status Thresholds'!$E:$AR,12,FALSE),IF((AND($U$4=TRUE,$U$5=FALSE,$U$6=TRUE,$U$7=TRUE)),VLOOKUP($E139,'Status Thresholds'!$E:$AR,17,FALSE),IF((AND($U$4=TRUE,$U$5=FALSE,$U$6=FALSE,$U$7=TRUE)),VLOOKUP($E139,'Status Thresholds'!$E:$AR,7,FALSE),
IF((AND($U$4=FALSE,$U$5=TRUE,$U$6=FALSE,$U$7=FALSE)),VLOOKUP($E139,'Status Thresholds'!$E:$AR,22,FALSE),IF((AND($U$4=FALSE,$U$5=TRUE,$U$6=TRUE,$U$7=FALSE)),VLOOKUP($E139,'Status Thresholds'!$E:$AR,32,FALSE),IF((AND($U$4=FALSE,$U$5=TRUE,$U$6=TRUE,$U$7=TRUE)),VLOOKUP($E139,'Status Thresholds'!$E:$AR,37,FALSE),IF((AND($U$4=FALSE,$U$5=TRUE,$U$6=FALSE,$U$7=TRUE)),VLOOKUP($E139,'Status Thresholds'!$E:$AR,27,FALSE)))))))))
))/
IF(OR($X$5=TRUE,$AC$3=TRUE
),($F$6/2), IF(OR($X$2,$X$3,$X$4,$X$6,$X$7,$X$8,$Z$2,$Z$3,$Z$4,$Z$5,$Z$6,$Z$7,$Z$8)=TRUE,$F$6)),0),"-")</f>
        <v>-</v>
      </c>
      <c r="G139" s="36" t="str">
        <f>IFERROR(
ROUNDUP(
IF(AND($U$5=FALSE,$U$4=FALSE),"-",IF(AND($U$5=TRUE,$U$4=TRUE),"-",
IF((AND($U$4=TRUE,$U$5=FALSE,$U$6=FALSE,$U$7=FALSE)),VLOOKUP($E139,'Status Thresholds'!$E:$AR,3,FALSE),IF((AND($U$4=TRUE,$U$5=FALSE,$U$6=TRUE,$U$7=FALSE)),VLOOKUP($E139,'Status Thresholds'!$E:$AR,13,FALSE),IF((AND($U$4=TRUE,$U$5=FALSE,$U$6=TRUE,$U$7=TRUE)),VLOOKUP($E139,'Status Thresholds'!$E:$AR,18,FALSE),IF((AND($U$4=TRUE,$U$5=FALSE,$U$6=FALSE,$U$7=TRUE)),VLOOKUP($E139,'Status Thresholds'!$E:$AR,8,FALSE),
IF((AND($U$4=FALSE,$U$5=TRUE,$U$6=FALSE,$U$7=FALSE)),VLOOKUP($E139,'Status Thresholds'!$E:$AR,23,FALSE),IF((AND($U$4=FALSE,$U$5=TRUE,$U$6=TRUE,$U$7=FALSE)),VLOOKUP($E139,'Status Thresholds'!$E:$AR,33,FALSE),IF((AND($U$4=FALSE,$U$5=TRUE,$U$6=TRUE,$U$7=TRUE)),VLOOKUP($E139,'Status Thresholds'!$E:$AR,38,FALSE),IF((AND($U$4=FALSE,$U$5=TRUE,$U$6=FALSE,$U$7=TRUE)),VLOOKUP($E139,'Status Thresholds'!$E:$AR,28,FALSE)))))))))
))/
IF(OR($X$5=TRUE,$AC$3=TRUE
),($F$6/2), IF(OR($X$2,$X$3,$X$4,$X$6,$X$7,$X$8,$Z$2,$Z$3,$Z$4,$Z$5,$Z$6,$Z$7,$Z$8)=TRUE,$F$6)),0),"-")</f>
        <v>-</v>
      </c>
      <c r="H139" s="36" t="str">
        <f>IFERROR(
ROUNDUP(
IF(AND($U$5=FALSE,$U$4=FALSE),"-",IF(AND($U$5=TRUE,$U$4=TRUE),"-",
IF((AND($U$4=TRUE,$U$5=FALSE,$U$6=FALSE,$U$7=FALSE)),VLOOKUP($E139,'Status Thresholds'!$E:$AR,4,FALSE),IF((AND($U$4=TRUE,$U$5=FALSE,$U$6=TRUE,$U$7=FALSE)),VLOOKUP($E139,'Status Thresholds'!$E:$AR,14,FALSE),IF((AND($U$4=TRUE,$U$5=FALSE,$U$6=TRUE,$U$7=TRUE)),VLOOKUP($E139,'Status Thresholds'!$E:$AR,19,FALSE),IF((AND($U$4=TRUE,$U$5=FALSE,$U$6=FALSE,$U$7=TRUE)),VLOOKUP($E139,'Status Thresholds'!$E:$AR,9,FALSE),
IF((AND($U$4=FALSE,$U$5=TRUE,$U$6=FALSE,$U$7=FALSE)),VLOOKUP($E139,'Status Thresholds'!$E:$AR,24,FALSE),IF((AND($U$4=FALSE,$U$5=TRUE,$U$6=TRUE,$U$7=FALSE)),VLOOKUP($E139,'Status Thresholds'!$E:$AR,34,FALSE),IF((AND($U$4=FALSE,$U$5=TRUE,$U$6=TRUE,$U$7=TRUE)),VLOOKUP($E139,'Status Thresholds'!$E:$AR,39,FALSE),IF((AND($U$4=FALSE,$U$5=TRUE,$U$6=FALSE,$U$7=TRUE)),VLOOKUP($E139,'Status Thresholds'!$E:$AR,29,FALSE)))))))))
))/
IF(OR($X$5=TRUE,$AC$3=TRUE
),($F$6/2), IF(OR($X$2,$X$3,$X$4,$X$6,$X$7,$X$8,$Z$2,$Z$3,$Z$4,$Z$5,$Z$6,$Z$7,$Z$8)=TRUE,$F$6)),0),"-")</f>
        <v>-</v>
      </c>
      <c r="I139" s="36" t="str">
        <f>IFERROR(
ROUNDUP(
IF(AND($U$5=FALSE,$U$4=FALSE),"-",IF(AND($U$5=TRUE,$U$4=TRUE),"-",
IF((AND($U$4=TRUE,$U$5=FALSE,$U$6=FALSE,$U$7=FALSE)),VLOOKUP($E139,'Status Thresholds'!$E:$AR,5,FALSE),IF((AND($U$4=TRUE,$U$5=FALSE,$U$6=TRUE,$U$7=FALSE)),VLOOKUP($E139,'Status Thresholds'!$E:$AR,15,FALSE),IF((AND($U$4=TRUE,$U$5=FALSE,$U$6=TRUE,$U$7=TRUE)),VLOOKUP($E139,'Status Thresholds'!$E:$AR,20,FALSE),IF((AND($U$4=TRUE,$U$5=FALSE,$U$6=FALSE,$U$7=TRUE)),VLOOKUP($E139,'Status Thresholds'!$E:$AR,10,FALSE),
IF((AND($U$4=FALSE,$U$5=TRUE,$U$6=FALSE,$U$7=FALSE)),VLOOKUP($E139,'Status Thresholds'!$E:$AR,25,FALSE),IF((AND($U$4=FALSE,$U$5=TRUE,$U$6=TRUE,$U$7=FALSE)),VLOOKUP($E139,'Status Thresholds'!$E:$AR,35,FALSE),IF((AND($U$4=FALSE,$U$5=TRUE,$U$6=TRUE,$U$7=TRUE)),VLOOKUP($E139,'Status Thresholds'!$E:$AR,40,FALSE),IF((AND($U$4=FALSE,$U$5=TRUE,$U$6=FALSE,$U$7=TRUE)),VLOOKUP($E139,'Status Thresholds'!$E:$AR,30,FALSE)))))))))
))/
IF(OR($X$5=TRUE,$AC$3=TRUE
),($F$6/2), IF(OR($X$2,$X$3,$X$4,$X$6,$X$7,$X$8,$Z$2,$Z$3,$Z$4,$Z$5,$Z$6,$Z$7,$Z$8)=TRUE,$F$6)),0),"-")</f>
        <v>-</v>
      </c>
      <c r="J139" s="46">
        <f>IFERROR(IF(AND($U$5=FALSE,$U$4=FALSE),"-",VLOOKUP($E139,'Status Thresholds'!$E:$AU,41,FALSE)),"-")</f>
        <v>0</v>
      </c>
      <c r="K139" s="46" t="str">
        <f>IFERROR(IF(AND($U$5=FALSE,$U$4=FALSE),"-",VLOOKUP($E139,'Status Thresholds'!$E:$AU,42,FALSE)),"-")</f>
        <v>-</v>
      </c>
      <c r="L139" s="46" t="str">
        <f>IFERROR(IF(AND($U$5=FALSE,$U$4=FALSE),"-",VLOOKUP($E139,'Status Thresholds'!$E:$AU,43,FALSE)),"-")</f>
        <v>-</v>
      </c>
    </row>
    <row r="140" spans="1:12" x14ac:dyDescent="0.25">
      <c r="A140" s="35"/>
      <c r="B140" s="64" t="str">
        <f>VLOOKUP(C140,'Status Thresholds'!B:C,2,FALSE)</f>
        <v>MHGen</v>
      </c>
      <c r="C140" s="64" t="str">
        <f>IF('Status Thresholds'!B135=0, "", 'Status Thresholds'!B135)</f>
        <v>Brachydios</v>
      </c>
      <c r="D140" s="30" t="s">
        <v>35</v>
      </c>
      <c r="E140" s="36" t="str">
        <f t="shared" si="1"/>
        <v>BrachydiosBlast</v>
      </c>
      <c r="F140" s="36" t="str">
        <f>IFERROR(
ROUNDUP(
IF(AND($U$5=FALSE,$U$4=FALSE),"-",IF(AND($U$5=TRUE,$U$4=TRUE),"-",
IF((AND($U$4=TRUE,$U$5=FALSE,$U$6=FALSE,$U$7=FALSE)),VLOOKUP($E140,'Status Thresholds'!$E:$AR,2,FALSE),IF((AND($U$4=TRUE,$U$5=FALSE,$U$6=TRUE,$U$7=FALSE)),VLOOKUP($E140,'Status Thresholds'!$E:$AR,12,FALSE),IF((AND($U$4=TRUE,$U$5=FALSE,$U$6=TRUE,$U$7=TRUE)),VLOOKUP($E140,'Status Thresholds'!$E:$AR,17,FALSE),IF((AND($U$4=TRUE,$U$5=FALSE,$U$6=FALSE,$U$7=TRUE)),VLOOKUP($E140,'Status Thresholds'!$E:$AR,7,FALSE),
IF((AND($U$4=FALSE,$U$5=TRUE,$U$6=FALSE,$U$7=FALSE)),VLOOKUP($E140,'Status Thresholds'!$E:$AR,22,FALSE),IF((AND($U$4=FALSE,$U$5=TRUE,$U$6=TRUE,$U$7=FALSE)),VLOOKUP($E140,'Status Thresholds'!$E:$AR,32,FALSE),IF((AND($U$4=FALSE,$U$5=TRUE,$U$6=TRUE,$U$7=TRUE)),VLOOKUP($E140,'Status Thresholds'!$E:$AR,37,FALSE),IF((AND($U$4=FALSE,$U$5=TRUE,$U$6=FALSE,$U$7=TRUE)),VLOOKUP($E140,'Status Thresholds'!$E:$AR,27,FALSE)))))))))
))/
IF(OR($X$5=TRUE,$AC$3=TRUE
),($F$7/2), IF(OR($X$2,$X$3,$X$4,$X$6,$X$7,$X$8,$Z$2,$Z$3,$Z$4,$Z$5,$Z$6,$Z$7,$Z$8)=TRUE,$F$7)),0),"-")</f>
        <v>-</v>
      </c>
      <c r="G140" s="36" t="str">
        <f>IFERROR(
ROUNDUP(
IF(AND($U$5=FALSE,$U$4=FALSE),"-",IF(AND($U$5=TRUE,$U$4=TRUE),"-",
IF((AND($U$4=TRUE,$U$5=FALSE,$U$6=FALSE,$U$7=FALSE)),VLOOKUP($E140,'Status Thresholds'!$E:$AR,3,FALSE),IF((AND($U$4=TRUE,$U$5=FALSE,$U$6=TRUE,$U$7=FALSE)),VLOOKUP($E140,'Status Thresholds'!$E:$AR,13,FALSE),IF((AND($U$4=TRUE,$U$5=FALSE,$U$6=TRUE,$U$7=TRUE)),VLOOKUP($E140,'Status Thresholds'!$E:$AR,18,FALSE),IF((AND($U$4=TRUE,$U$5=FALSE,$U$6=FALSE,$U$7=TRUE)),VLOOKUP($E140,'Status Thresholds'!$E:$AR,8,FALSE),
IF((AND($U$4=FALSE,$U$5=TRUE,$U$6=FALSE,$U$7=FALSE)),VLOOKUP($E140,'Status Thresholds'!$E:$AR,23,FALSE),IF((AND($U$4=FALSE,$U$5=TRUE,$U$6=TRUE,$U$7=FALSE)),VLOOKUP($E140,'Status Thresholds'!$E:$AR,33,FALSE),IF((AND($U$4=FALSE,$U$5=TRUE,$U$6=TRUE,$U$7=TRUE)),VLOOKUP($E140,'Status Thresholds'!$E:$AR,38,FALSE),IF((AND($U$4=FALSE,$U$5=TRUE,$U$6=FALSE,$U$7=TRUE)),VLOOKUP($E140,'Status Thresholds'!$E:$AR,28,FALSE)))))))))
))/
IF(OR($X$5=TRUE,$AC$3=TRUE
),($F$7/2), IF(OR($X$2,$X$3,$X$4,$X$6,$X$7,$X$8,$Z$2,$Z$3,$Z$4,$Z$5,$Z$6,$Z$7,$Z$8)=TRUE,$F$7)),0),"-")</f>
        <v>-</v>
      </c>
      <c r="H140" s="36" t="str">
        <f>IFERROR(
ROUNDUP(
IF(AND($U$5=FALSE,$U$4=FALSE),"-",IF(AND($U$5=TRUE,$U$4=TRUE),"-",
IF((AND($U$4=TRUE,$U$5=FALSE,$U$6=FALSE,$U$7=FALSE)),VLOOKUP($E140,'Status Thresholds'!$E:$AR,4,FALSE),IF((AND($U$4=TRUE,$U$5=FALSE,$U$6=TRUE,$U$7=FALSE)),VLOOKUP($E140,'Status Thresholds'!$E:$AR,14,FALSE),IF((AND($U$4=TRUE,$U$5=FALSE,$U$6=TRUE,$U$7=TRUE)),VLOOKUP($E140,'Status Thresholds'!$E:$AR,19,FALSE),IF((AND($U$4=TRUE,$U$5=FALSE,$U$6=FALSE,$U$7=TRUE)),VLOOKUP($E140,'Status Thresholds'!$E:$AR,9,FALSE),
IF((AND($U$4=FALSE,$U$5=TRUE,$U$6=FALSE,$U$7=FALSE)),VLOOKUP($E140,'Status Thresholds'!$E:$AR,24,FALSE),IF((AND($U$4=FALSE,$U$5=TRUE,$U$6=TRUE,$U$7=FALSE)),VLOOKUP($E140,'Status Thresholds'!$E:$AR,34,FALSE),IF((AND($U$4=FALSE,$U$5=TRUE,$U$6=TRUE,$U$7=TRUE)),VLOOKUP($E140,'Status Thresholds'!$E:$AR,39,FALSE),IF((AND($U$4=FALSE,$U$5=TRUE,$U$6=FALSE,$U$7=TRUE)),VLOOKUP($E140,'Status Thresholds'!$E:$AR,29,FALSE)))))))))
))/
IF(OR($X$5=TRUE,$AC$3=TRUE
),($F$7/2), IF(OR($X$2,$X$3,$X$4,$X$6,$X$7,$X$8,$Z$2,$Z$3,$Z$4,$Z$5,$Z$6,$Z$7,$Z$8)=TRUE,$F$7)),0),"-")</f>
        <v>-</v>
      </c>
      <c r="I140" s="36" t="str">
        <f>IFERROR(
ROUNDUP(
IF(AND($U$5=FALSE,$U$4=FALSE),"-",IF(AND($U$5=TRUE,$U$4=TRUE),"-",
IF((AND($U$4=TRUE,$U$5=FALSE,$U$6=FALSE,$U$7=FALSE)),VLOOKUP($E140,'Status Thresholds'!$E:$AR,5,FALSE),IF((AND($U$4=TRUE,$U$5=FALSE,$U$6=TRUE,$U$7=FALSE)),VLOOKUP($E140,'Status Thresholds'!$E:$AR,15,FALSE),IF((AND($U$4=TRUE,$U$5=FALSE,$U$6=TRUE,$U$7=TRUE)),VLOOKUP($E140,'Status Thresholds'!$E:$AR,20,FALSE),IF((AND($U$4=TRUE,$U$5=FALSE,$U$6=FALSE,$U$7=TRUE)),VLOOKUP($E140,'Status Thresholds'!$E:$AR,10,FALSE),
IF((AND($U$4=FALSE,$U$5=TRUE,$U$6=FALSE,$U$7=FALSE)),VLOOKUP($E140,'Status Thresholds'!$E:$AR,25,FALSE),IF((AND($U$4=FALSE,$U$5=TRUE,$U$6=TRUE,$U$7=FALSE)),VLOOKUP($E140,'Status Thresholds'!$E:$AR,35,FALSE),IF((AND($U$4=FALSE,$U$5=TRUE,$U$6=TRUE,$U$7=TRUE)),VLOOKUP($E140,'Status Thresholds'!$E:$AR,40,FALSE),IF((AND($U$4=FALSE,$U$5=TRUE,$U$6=FALSE,$U$7=TRUE)),VLOOKUP($E140,'Status Thresholds'!$E:$AR,30,FALSE)))))))))
))/
IF(OR($X$5=TRUE,$AC$3=TRUE
),($F$7/2), IF(OR($X$2,$X$3,$X$4,$X$6,$X$7,$X$8,$Z$2,$Z$3,$Z$4,$Z$5,$Z$6,$Z$7,$Z$8)=TRUE,$F$7)),0),"-")</f>
        <v>-</v>
      </c>
      <c r="J140" s="46">
        <f>IFERROR(IF(AND($U$5=FALSE,$U$4=FALSE),"-",VLOOKUP($E140,'Status Thresholds'!$E:$AU,41,FALSE)),"-")</f>
        <v>0</v>
      </c>
      <c r="K140" s="46" t="str">
        <f>IFERROR(IF(AND($U$5=FALSE,$U$4=FALSE),"-",VLOOKUP($E140,'Status Thresholds'!$E:$AU,42,FALSE)),"-")</f>
        <v>-</v>
      </c>
      <c r="L140" s="46" t="str">
        <f>IFERROR(IF(AND($U$5=FALSE,$U$4=FALSE),"-",VLOOKUP($E140,'Status Thresholds'!$E:$AU,43,FALSE)),"-")</f>
        <v>-</v>
      </c>
    </row>
    <row r="141" spans="1:12" ht="14.45" customHeight="1" x14ac:dyDescent="0.25">
      <c r="A141" s="35"/>
      <c r="B141" s="64" t="str">
        <f>VLOOKUP(C141,'Status Thresholds'!B:C,2,FALSE)</f>
        <v>MHGen</v>
      </c>
      <c r="C141" s="64" t="str">
        <f>IF('Status Thresholds'!B136=0, "", 'Status Thresholds'!B136)</f>
        <v>Brachydios</v>
      </c>
      <c r="D141" s="34" t="s">
        <v>14</v>
      </c>
      <c r="E141" s="36" t="str">
        <f t="shared" si="1"/>
        <v>BrachydiosKO</v>
      </c>
      <c r="F141" s="36" t="s">
        <v>214</v>
      </c>
      <c r="G141" s="36" t="s">
        <v>214</v>
      </c>
      <c r="H141" s="36" t="s">
        <v>214</v>
      </c>
      <c r="I141" s="36" t="s">
        <v>214</v>
      </c>
      <c r="J141" s="46">
        <f>IFERROR(IF(AND($U$5=FALSE,$U$4=FALSE),"-",VLOOKUP($E141,'Status Thresholds'!$E:$AU,41,FALSE)),"-")</f>
        <v>10</v>
      </c>
      <c r="K141" s="46" t="str">
        <f>IFERROR(IF(AND($U$5=FALSE,$U$4=FALSE),"-",VLOOKUP($E141,'Status Thresholds'!$E:$AU,42,FALSE)),"-")</f>
        <v>-</v>
      </c>
      <c r="L141" s="46" t="str">
        <f>IFERROR(IF(AND($U$5=FALSE,$U$4=FALSE),"-",VLOOKUP($E141,'Status Thresholds'!$E:$AU,43,FALSE)),"-")</f>
        <v>-</v>
      </c>
    </row>
    <row r="142" spans="1:12" x14ac:dyDescent="0.25">
      <c r="A142" s="35"/>
      <c r="B142" s="64" t="str">
        <f>VLOOKUP(C142,'Status Thresholds'!B:C,2,FALSE)</f>
        <v>MHGen</v>
      </c>
      <c r="C142" s="64" t="str">
        <f>IF('Status Thresholds'!B137=0, "", 'Status Thresholds'!B137)</f>
        <v>Brachydios</v>
      </c>
      <c r="D142" s="33" t="s">
        <v>34</v>
      </c>
      <c r="E142" s="36" t="str">
        <f t="shared" si="1"/>
        <v>BrachydiosMount</v>
      </c>
      <c r="F142" s="36" t="str">
        <f>IFERROR(
ROUNDUP(
IF(AND($U$5=FALSE,$U$4=FALSE),"-",IF(AND($U$5=TRUE,$U$4=TRUE),"-",
IF((AND($U$4=TRUE,$U$5=FALSE,$U$6=FALSE,$U$7=FALSE)),VLOOKUP($E142,'Status Thresholds'!$E:$AR,2,FALSE),IF((AND($U$4=TRUE,$U$5=FALSE,$U$6=TRUE,$U$7=FALSE)),VLOOKUP($E142,'Status Thresholds'!$E:$AR,12,FALSE),IF((AND($U$4=TRUE,$U$5=FALSE,$U$6=TRUE,$U$7=TRUE)),VLOOKUP($E142,'Status Thresholds'!$E:$AR,17,FALSE),IF((AND($U$4=TRUE,$U$5=FALSE,$U$6=FALSE,$U$7=TRUE)),VLOOKUP($E142,'Status Thresholds'!$E:$AR,7,FALSE),
IF((AND($U$4=FALSE,$U$5=TRUE,$U$6=FALSE,$U$7=FALSE)),VLOOKUP($E142,'Status Thresholds'!$E:$AR,22,FALSE),IF((AND($U$4=FALSE,$U$5=TRUE,$U$6=TRUE,$U$7=FALSE)),VLOOKUP($E142,'Status Thresholds'!$E:$AR,32,FALSE),IF((AND($U$4=FALSE,$U$5=TRUE,$U$6=TRUE,$U$7=TRUE)),VLOOKUP($E142,'Status Thresholds'!$E:$AR,37,FALSE),IF((AND($U$4=FALSE,$U$5=TRUE,$U$6=FALSE,$U$7=TRUE)),VLOOKUP($E142,'Status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142" s="36" t="str">
        <f>IFERROR(
ROUNDUP(
IF(AND($U$5=FALSE,$U$4=FALSE),"-",IF(AND($U$5=TRUE,$U$4=TRUE),"-",
IF((AND($U$4=TRUE,$U$5=FALSE,$U$6=FALSE,$U$7=FALSE)),VLOOKUP($E141,'Status Thresholds'!$E:$AR,3,FALSE),IF((AND($U$4=TRUE,$U$5=FALSE,$U$6=TRUE,$U$7=FALSE)),VLOOKUP($E141,'Status Thresholds'!$E:$AR,13,FALSE),IF((AND($U$4=TRUE,$U$5=FALSE,$U$6=TRUE,$U$7=TRUE)),VLOOKUP($E141,'Status Thresholds'!$E:$AR,18,FALSE),IF((AND($U$4=TRUE,$U$5=FALSE,$U$6=FALSE,$U$7=TRUE)),VLOOKUP($E141,'Status Thresholds'!$E:$AR,8,FALSE),
IF((AND($U$4=FALSE,$U$5=TRUE,$U$6=FALSE,$U$7=FALSE)),VLOOKUP($E141,'Status Thresholds'!$E:$AR,23,FALSE),IF((AND($U$4=FALSE,$U$5=TRUE,$U$6=TRUE,$U$7=FALSE)),VLOOKUP($E141,'Status Thresholds'!$E:$AR,33,FALSE),IF((AND($U$4=FALSE,$U$5=TRUE,$U$6=TRUE,$U$7=TRUE)),VLOOKUP($E141,'Status Thresholds'!$E:$AR,38,FALSE),IF((AND($U$4=FALSE,$U$5=TRUE,$U$6=FALSE,$U$7=TRUE)),VLOOKUP($E141,'Status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142" s="36" t="str">
        <f>IFERROR(
ROUNDUP(
IF(AND($U$5=FALSE,$U$4=FALSE),"-",IF(AND($U$5=TRUE,$U$4=TRUE),"-",
IF((AND($U$4=TRUE,$U$5=FALSE,$U$6=FALSE,$U$7=FALSE)),VLOOKUP($E141,'Status Thresholds'!$E:$AR,4,FALSE),IF((AND($U$4=TRUE,$U$5=FALSE,$U$6=TRUE,$U$7=FALSE)),VLOOKUP($E141,'Status Thresholds'!$E:$AR,14,FALSE),IF((AND($U$4=TRUE,$U$5=FALSE,$U$6=TRUE,$U$7=TRUE)),VLOOKUP($E141,'Status Thresholds'!$E:$AR,19,FALSE),IF((AND($U$4=TRUE,$U$5=FALSE,$U$6=FALSE,$U$7=TRUE)),VLOOKUP($E141,'Status Thresholds'!$E:$AR,9,FALSE),
IF((AND($U$4=FALSE,$U$5=TRUE,$U$6=FALSE,$U$7=FALSE)),VLOOKUP($E141,'Status Thresholds'!$E:$AR,24,FALSE),IF((AND($U$4=FALSE,$U$5=TRUE,$U$6=TRUE,$U$7=FALSE)),VLOOKUP($E141,'Status Thresholds'!$E:$AR,34,FALSE),IF((AND($U$4=FALSE,$U$5=TRUE,$U$6=TRUE,$U$7=TRUE)),VLOOKUP($E141,'Status Thresholds'!$E:$AR,39,FALSE),IF((AND($U$4=FALSE,$U$5=TRUE,$U$6=FALSE,$U$7=TRUE)),VLOOKUP($E141,'Status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142" s="36" t="str">
        <f>IFERROR(
ROUNDUP(
IF(AND($U$5=FALSE,$U$4=FALSE),"-",IF(AND($U$5=TRUE,$U$4=TRUE),"-",
IF((AND($U$4=TRUE,$U$5=FALSE,$U$6=FALSE,$U$7=FALSE)),VLOOKUP($E141,'Status Thresholds'!$E:$AR,5,FALSE),IF((AND($U$4=TRUE,$U$5=FALSE,$U$6=TRUE,$U$7=FALSE)),VLOOKUP($E141,'Status Thresholds'!$E:$AR,15,FALSE),IF((AND($U$4=TRUE,$U$5=FALSE,$U$6=TRUE,$U$7=TRUE)),VLOOKUP($E141,'Status Thresholds'!$E:$AR,20,FALSE),IF((AND($U$4=TRUE,$U$5=FALSE,$U$6=FALSE,$U$7=TRUE)),VLOOKUP($E141,'Status Thresholds'!$E:$AR,10,FALSE),
IF((AND($U$4=FALSE,$U$5=TRUE,$U$6=FALSE,$U$7=FALSE)),VLOOKUP($E141,'Status Thresholds'!$E:$AR,25,FALSE),IF((AND($U$4=FALSE,$U$5=TRUE,$U$6=TRUE,$U$7=FALSE)),VLOOKUP($E141,'Status Thresholds'!$E:$AR,35,FALSE),IF((AND($U$4=FALSE,$U$5=TRUE,$U$6=TRUE,$U$7=TRUE)),VLOOKUP($E141,'Status Thresholds'!$E:$AR,40,FALSE),IF((AND($U$4=FALSE,$U$5=TRUE,$U$6=FALSE,$U$7=TRUE)),VLOOKUP($E141,'Status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142" s="46">
        <f>IFERROR(IF(AND($U$5=FALSE,$U$4=FALSE),"-",VLOOKUP($E142,'Status Thresholds'!$E:$AU,41,FALSE)),"-")</f>
        <v>0</v>
      </c>
      <c r="K142" s="46" t="str">
        <f>IFERROR(IF(AND($U$5=FALSE,$U$4=FALSE),"-",VLOOKUP($E142,'Status Thresholds'!$E:$AU,42,FALSE)),"-")</f>
        <v>-</v>
      </c>
      <c r="L142" s="46" t="str">
        <f>IFERROR(IF(AND($U$5=FALSE,$U$4=FALSE),"-",VLOOKUP($E142,'Status Thresholds'!$E:$AU,43,FALSE)),"-")</f>
        <v>-</v>
      </c>
    </row>
    <row r="143" spans="1:12" ht="15" customHeight="1" x14ac:dyDescent="0.25">
      <c r="A143" s="35"/>
      <c r="B143" s="64" t="str">
        <f>VLOOKUP(C143,'Status Thresholds'!B:C,2,FALSE)</f>
        <v>MHGen</v>
      </c>
      <c r="C143" s="64" t="str">
        <f>IF('Status Thresholds'!B138=0, "", 'Status Thresholds'!B138)</f>
        <v>Brachydios</v>
      </c>
      <c r="D143" s="77" t="s">
        <v>207</v>
      </c>
      <c r="E143" s="36" t="str">
        <f t="shared" si="1"/>
        <v>BrachydiosShock Trap</v>
      </c>
      <c r="F143" s="76" t="s">
        <v>214</v>
      </c>
      <c r="G143" s="46" t="s">
        <v>214</v>
      </c>
      <c r="H143" s="46" t="s">
        <v>214</v>
      </c>
      <c r="I143" s="46" t="s">
        <v>214</v>
      </c>
      <c r="J143" s="46">
        <f>IFERROR(IF(AND($U$5=FALSE,$U$4=FALSE),"-",VLOOKUP($E143,'Status Thresholds'!$E:$AU,43,FALSE)),"-")</f>
        <v>8</v>
      </c>
      <c r="K143" s="46">
        <f>IFERROR(IF(AND($U$5=FALSE,$U$4=FALSE),"-",VLOOKUP($E143,'Status Thresholds'!$E:$AU,41,FALSE)),"-")</f>
        <v>8</v>
      </c>
      <c r="L143" s="46">
        <f>IFERROR(IF(AND($U$5=FALSE,$U$4=FALSE),"-",VLOOKUP($E143,'Status Thresholds'!$E:$AU,42,FALSE)),"-")</f>
        <v>15</v>
      </c>
    </row>
    <row r="144" spans="1:12" x14ac:dyDescent="0.25">
      <c r="A144" s="35"/>
      <c r="B144" s="64" t="str">
        <f>VLOOKUP(C144,'Status Thresholds'!B:C,2,FALSE)</f>
        <v>MHGen</v>
      </c>
      <c r="C144" s="64" t="str">
        <f>IF('Status Thresholds'!B139=0, "", 'Status Thresholds'!B139)</f>
        <v>Brachydios</v>
      </c>
      <c r="D144" s="77" t="s">
        <v>213</v>
      </c>
      <c r="E144" s="36" t="str">
        <f t="shared" si="1"/>
        <v>BrachydiosPitfall Trap</v>
      </c>
      <c r="F144" s="46" t="s">
        <v>214</v>
      </c>
      <c r="G144" s="46" t="s">
        <v>214</v>
      </c>
      <c r="H144" s="46" t="s">
        <v>214</v>
      </c>
      <c r="I144" s="46" t="s">
        <v>214</v>
      </c>
      <c r="J144" s="46">
        <f>IFERROR(IF(AND($U$5=FALSE,$U$4=FALSE),"-",VLOOKUP($E144,'Status Thresholds'!$E:$AU,43,FALSE)),"-")</f>
        <v>12</v>
      </c>
      <c r="K144" s="46">
        <f>IFERROR(IF(AND($U$5=FALSE,$U$4=FALSE),"-",VLOOKUP($E144,'Status Thresholds'!$E:$AU,41,FALSE)),"-")</f>
        <v>12</v>
      </c>
      <c r="L144" s="46">
        <f>IFERROR(IF(AND($U$5=FALSE,$U$4=FALSE),"-",VLOOKUP($E144,'Status Thresholds'!$E:$AU,42,FALSE)),"-")</f>
        <v>25</v>
      </c>
    </row>
    <row r="145" spans="1:12" s="36" customFormat="1" x14ac:dyDescent="0.25">
      <c r="A145" s="64"/>
      <c r="B145" s="64" t="str">
        <f>VLOOKUP(C145,'Status Thresholds'!B:C,2,FALSE)</f>
        <v>MHGen</v>
      </c>
      <c r="C145" s="64" t="str">
        <f>IF('Status Thresholds'!B140=0, "", 'Status Thresholds'!B140)</f>
        <v>Brachydios (Raging)</v>
      </c>
      <c r="D145" s="37" t="s">
        <v>0</v>
      </c>
      <c r="E145" s="36" t="str">
        <f t="shared" si="1"/>
        <v>Brachydios (Raging)Para</v>
      </c>
      <c r="F145" s="36" t="str">
        <f>IFERROR(
ROUNDUP(
IF(AND($U$5=FALSE,$U$4=FALSE),"-",IF(AND($U$5=TRUE,$U$4=TRUE),"-",
IF((AND($U$4=TRUE,$U$5=FALSE,$U$6=FALSE,$U$7=FALSE)),VLOOKUP($E145,'Status Thresholds'!$E:$AR,2,FALSE),IF((AND($U$4=TRUE,$U$5=FALSE,$U$6=TRUE,$U$7=FALSE)),VLOOKUP($E145,'Status Thresholds'!$E:$AR,12,FALSE),IF((AND($U$4=TRUE,$U$5=FALSE,$U$6=TRUE,$U$7=TRUE)),VLOOKUP($E145,'Status Thresholds'!$E:$AR,17,FALSE),IF((AND($U$4=TRUE,$U$5=FALSE,$U$6=FALSE,$U$7=TRUE)),VLOOKUP($E145,'Status Thresholds'!$E:$AR,7,FALSE),
IF((AND($U$4=FALSE,$U$5=TRUE,$U$6=FALSE,$U$7=FALSE)),VLOOKUP($E145,'Status Thresholds'!$E:$AR,22,FALSE),IF((AND($U$4=FALSE,$U$5=TRUE,$U$6=TRUE,$U$7=FALSE)),VLOOKUP($E145,'Status Thresholds'!$E:$AR,32,FALSE),IF((AND($U$4=FALSE,$U$5=TRUE,$U$6=TRUE,$U$7=TRUE)),VLOOKUP($E145,'Status Thresholds'!$E:$AR,37,FALSE),IF((AND($U$4=FALSE,$U$5=TRUE,$U$6=FALSE,$U$7=TRUE)),VLOOKUP($E145,'Status Thresholds'!$E:$AR,27,FALSE)))))))))
))/
IF(OR($X$5=TRUE,$AC$3=TRUE
),($F$3/2), IF(OR($X$2,$X$3,$X$4,$X$6,$X$7,$X$8,$Z$2,$Z$3,$Z$4,$Z$5,$Z$6,$Z$7,$Z$8)=TRUE,$F$3)),0),"-")</f>
        <v>-</v>
      </c>
      <c r="G145" s="36" t="str">
        <f>IFERROR(
ROUNDUP(
IF(AND($U$5=FALSE,$U$4=FALSE),"-",IF(AND($U$5=TRUE,$U$4=TRUE),"-",
IF((AND($U$4=TRUE,$U$5=FALSE,$U$6=FALSE,$U$7=FALSE)),VLOOKUP($E145,'Status Thresholds'!$E:$AR,3,FALSE),IF((AND($U$4=TRUE,$U$5=FALSE,$U$6=TRUE,$U$7=FALSE)),VLOOKUP($E145,'Status Thresholds'!$E:$AR,13,FALSE),IF((AND($U$4=TRUE,$U$5=FALSE,$U$6=TRUE,$U$7=TRUE)),VLOOKUP($E145,'Status Thresholds'!$E:$AR,18,FALSE),IF((AND($U$4=TRUE,$U$5=FALSE,$U$6=FALSE,$U$7=TRUE)),VLOOKUP($E145,'Status Thresholds'!$E:$AR,8,FALSE),
IF((AND($U$4=FALSE,$U$5=TRUE,$U$6=FALSE,$U$7=FALSE)),VLOOKUP($E145,'Status Thresholds'!$E:$AR,23,FALSE),IF((AND($U$4=FALSE,$U$5=TRUE,$U$6=TRUE,$U$7=FALSE)),VLOOKUP($E145,'Status Thresholds'!$E:$AR,33,FALSE),IF((AND($U$4=FALSE,$U$5=TRUE,$U$6=TRUE,$U$7=TRUE)),VLOOKUP($E145,'Status Thresholds'!$E:$AR,38,FALSE),IF((AND($U$4=FALSE,$U$5=TRUE,$U$6=FALSE,$U$7=TRUE)),VLOOKUP($E145,'Status Thresholds'!$E:$AR,28,FALSE)))))))))
))/
IF(OR($X$5=TRUE,$AC$3=TRUE
),($F$3/2), IF(OR($X$2,$X$3,$X$4,$X$6,$X$7,$X$8,$Z$2,$Z$3,$Z$4,$Z$5,$Z$6,$Z$7,$Z$8)=TRUE,$F$3)),0),"-")</f>
        <v>-</v>
      </c>
      <c r="H145" s="36" t="str">
        <f>IFERROR(
ROUNDUP(
IF(AND($U$5=FALSE,$U$4=FALSE),"-",IF(AND($U$5=TRUE,$U$4=TRUE),"-",
IF((AND($U$4=TRUE,$U$5=FALSE,$U$6=FALSE,$U$7=FALSE)),VLOOKUP($E145,'Status Thresholds'!$E:$AR,4,FALSE),IF((AND($U$4=TRUE,$U$5=FALSE,$U$6=TRUE,$U$7=FALSE)),VLOOKUP($E145,'Status Thresholds'!$E:$AR,14,FALSE),IF((AND($U$4=TRUE,$U$5=FALSE,$U$6=TRUE,$U$7=TRUE)),VLOOKUP($E145,'Status Thresholds'!$E:$AR,19,FALSE),IF((AND($U$4=TRUE,$U$5=FALSE,$U$6=FALSE,$U$7=TRUE)),VLOOKUP($E145,'Status Thresholds'!$E:$AR,9,FALSE),
IF((AND($U$4=FALSE,$U$5=TRUE,$U$6=FALSE,$U$7=FALSE)),VLOOKUP($E145,'Status Thresholds'!$E:$AR,24,FALSE),IF((AND($U$4=FALSE,$U$5=TRUE,$U$6=TRUE,$U$7=FALSE)),VLOOKUP($E145,'Status Thresholds'!$E:$AR,34,FALSE),IF((AND($U$4=FALSE,$U$5=TRUE,$U$6=TRUE,$U$7=TRUE)),VLOOKUP($E145,'Status Thresholds'!$E:$AR,39,FALSE),IF((AND($U$4=FALSE,$U$5=TRUE,$U$6=FALSE,$U$7=TRUE)),VLOOKUP($E145,'Status Thresholds'!$E:$AR,29,FALSE)))))))))
))/
IF(OR($X$5=TRUE,$AC$3=TRUE
),($F$3/2), IF(OR($X$2,$X$3,$X$4,$X$6,$X$7,$X$8,$Z$2,$Z$3,$Z$4,$Z$5,$Z$6,$Z$7,$Z$8)=TRUE,$F$3)),0),"-")</f>
        <v>-</v>
      </c>
      <c r="I145" s="36" t="str">
        <f>IFERROR(
ROUNDUP(
IF(AND($U$5=FALSE,$U$4=FALSE),"-",IF(AND($U$5=TRUE,$U$4=TRUE),"-",
IF((AND($U$4=TRUE,$U$5=FALSE,$U$6=FALSE,$U$7=FALSE)),VLOOKUP($E145,'Status Thresholds'!$E:$AR,5,FALSE),IF((AND($U$4=TRUE,$U$5=FALSE,$U$6=TRUE,$U$7=FALSE)),VLOOKUP($E145,'Status Thresholds'!$E:$AR,15,FALSE),IF((AND($U$4=TRUE,$U$5=FALSE,$U$6=TRUE,$U$7=TRUE)),VLOOKUP($E145,'Status Thresholds'!$E:$AR,20,FALSE),IF((AND($U$4=TRUE,$U$5=FALSE,$U$6=FALSE,$U$7=TRUE)),VLOOKUP($E145,'Status Thresholds'!$E:$AR,10,FALSE),
IF((AND($U$4=FALSE,$U$5=TRUE,$U$6=FALSE,$U$7=FALSE)),VLOOKUP($E145,'Status Thresholds'!$E:$AR,25,FALSE),IF((AND($U$4=FALSE,$U$5=TRUE,$U$6=TRUE,$U$7=FALSE)),VLOOKUP($E145,'Status Thresholds'!$E:$AR,35,FALSE),IF((AND($U$4=FALSE,$U$5=TRUE,$U$6=TRUE,$U$7=TRUE)),VLOOKUP($E145,'Status Thresholds'!$E:$AR,40,FALSE),IF((AND($U$4=FALSE,$U$5=TRUE,$U$6=FALSE,$U$7=TRUE)),VLOOKUP($E145,'Status Thresholds'!$E:$AR,30,FALSE)))))))))
))/
IF(OR($X$5=TRUE,$AC$3=TRUE
),($F$3/2), IF(OR($X$2,$X$3,$X$4,$X$6,$X$7,$X$8,$Z$2,$Z$3,$Z$4,$Z$5,$Z$6,$Z$7,$Z$8)=TRUE,$F$3)),0),"-")</f>
        <v>-</v>
      </c>
      <c r="J145" s="36">
        <f>IFERROR(IF(AND($U$5=FALSE,$U$4=FALSE),"-",VLOOKUP($E145,'Status Thresholds'!$E:$AU,41,FALSE)),"-")</f>
        <v>10</v>
      </c>
      <c r="K145" s="36" t="str">
        <f>IFERROR(IF(AND($U$5=FALSE,$U$4=FALSE),"-",VLOOKUP($E145,'Status Thresholds'!$E:$AU,42,FALSE)),"-")</f>
        <v>-</v>
      </c>
      <c r="L145" s="36" t="str">
        <f>IFERROR(IF(AND($U$5=FALSE,$U$4=FALSE),"-",VLOOKUP($E145,'Status Thresholds'!$E:$AU,43,FALSE)),"-")</f>
        <v>-</v>
      </c>
    </row>
    <row r="146" spans="1:12" x14ac:dyDescent="0.25">
      <c r="A146" s="35"/>
      <c r="B146" s="64" t="str">
        <f>VLOOKUP(C146,'Status Thresholds'!B:C,2,FALSE)</f>
        <v>MHGen</v>
      </c>
      <c r="C146" s="64" t="str">
        <f>IF('Status Thresholds'!B141=0, "", 'Status Thresholds'!B141)</f>
        <v>Brachydios (Raging)</v>
      </c>
      <c r="D146" s="31" t="s">
        <v>32</v>
      </c>
      <c r="E146" s="36" t="str">
        <f t="shared" si="1"/>
        <v>Brachydios (Raging)Sleep</v>
      </c>
      <c r="F146" s="36" t="str">
        <f>IFERROR(
ROUNDUP(
IF(AND($U$5=FALSE,$U$4=FALSE),"-",IF(AND($U$5=TRUE,$U$4=TRUE),"-",
IF((AND($U$4=TRUE,$U$5=FALSE,$U$6=FALSE,$U$7=FALSE)),VLOOKUP($E146,'Status Thresholds'!$E:$AR,2,FALSE),IF((AND($U$4=TRUE,$U$5=FALSE,$U$6=TRUE,$U$7=FALSE)),VLOOKUP($E146,'Status Thresholds'!$E:$AR,12,FALSE),IF((AND($U$4=TRUE,$U$5=FALSE,$U$6=TRUE,$U$7=TRUE)),VLOOKUP($E146,'Status Thresholds'!$E:$AR,17,FALSE),IF((AND($U$4=TRUE,$U$5=FALSE,$U$6=FALSE,$U$7=TRUE)),VLOOKUP($E146,'Status Thresholds'!$E:$AR,7,FALSE),
IF((AND($U$4=FALSE,$U$5=TRUE,$U$6=FALSE,$U$7=FALSE)),VLOOKUP($E146,'Status Thresholds'!$E:$AR,22,FALSE),IF((AND($U$4=FALSE,$U$5=TRUE,$U$6=TRUE,$U$7=FALSE)),VLOOKUP($E146,'Status Thresholds'!$E:$AR,32,FALSE),IF((AND($U$4=FALSE,$U$5=TRUE,$U$6=TRUE,$U$7=TRUE)),VLOOKUP($E146,'Status Thresholds'!$E:$AR,37,FALSE),IF((AND($U$4=FALSE,$U$5=TRUE,$U$6=FALSE,$U$7=TRUE)),VLOOKUP($E146,'Status Thresholds'!$E:$AR,27,FALSE)))))))))
))/
IF(OR($X$5=TRUE,$AC$3=TRUE
),($F$4/2), IF(OR($X$2,$X$3,$X$4,$X$6,$X$7,$X$8,$Z$2,$Z$3,$Z$4,$Z$5,$Z$6,$Z$7,$Z$8)=TRUE,$F$4)),0),"-")</f>
        <v>-</v>
      </c>
      <c r="G146" s="36" t="str">
        <f>IFERROR(
ROUNDUP(
IF(AND($U$5=FALSE,$U$4=FALSE),"-",IF(AND($U$5=TRUE,$U$4=TRUE),"-",
IF((AND($U$4=TRUE,$U$5=FALSE,$U$6=FALSE,$U$7=FALSE)),VLOOKUP($E146,'Status Thresholds'!$E:$AR,3,FALSE),IF((AND($U$4=TRUE,$U$5=FALSE,$U$6=TRUE,$U$7=FALSE)),VLOOKUP($E146,'Status Thresholds'!$E:$AR,13,FALSE),IF((AND($U$4=TRUE,$U$5=FALSE,$U$6=TRUE,$U$7=TRUE)),VLOOKUP($E146,'Status Thresholds'!$E:$AR,18,FALSE),IF((AND($U$4=TRUE,$U$5=FALSE,$U$6=FALSE,$U$7=TRUE)),VLOOKUP($E146,'Status Thresholds'!$E:$AR,8,FALSE),
IF((AND($U$4=FALSE,$U$5=TRUE,$U$6=FALSE,$U$7=FALSE)),VLOOKUP($E146,'Status Thresholds'!$E:$AR,23,FALSE),IF((AND($U$4=FALSE,$U$5=TRUE,$U$6=TRUE,$U$7=FALSE)),VLOOKUP($E146,'Status Thresholds'!$E:$AR,33,FALSE),IF((AND($U$4=FALSE,$U$5=TRUE,$U$6=TRUE,$U$7=TRUE)),VLOOKUP($E146,'Status Thresholds'!$E:$AR,38,FALSE),IF((AND($U$4=FALSE,$U$5=TRUE,$U$6=FALSE,$U$7=TRUE)),VLOOKUP($E146,'Status Thresholds'!$E:$AR,28,FALSE)))))))))
))/
IF(OR($X$5=TRUE,$AC$3=TRUE
),($F$4/2), IF(OR($X$2,$X$3,$X$4,$X$6,$X$7,$X$8,$Z$2,$Z$3,$Z$4,$Z$5,$Z$6,$Z$7,$Z$8)=TRUE,$F$4)),0),"-")</f>
        <v>-</v>
      </c>
      <c r="H146" s="36" t="str">
        <f>IFERROR(
ROUNDUP(
IF(AND($U$5=FALSE,$U$4=FALSE),"-",IF(AND($U$5=TRUE,$U$4=TRUE),"-",
IF((AND($U$4=TRUE,$U$5=FALSE,$U$6=FALSE,$U$7=FALSE)),VLOOKUP($E146,'Status Thresholds'!$E:$AR,4,FALSE),IF((AND($U$4=TRUE,$U$5=FALSE,$U$6=TRUE,$U$7=FALSE)),VLOOKUP($E146,'Status Thresholds'!$E:$AR,14,FALSE),IF((AND($U$4=TRUE,$U$5=FALSE,$U$6=TRUE,$U$7=TRUE)),VLOOKUP($E146,'Status Thresholds'!$E:$AR,19,FALSE),IF((AND($U$4=TRUE,$U$5=FALSE,$U$6=FALSE,$U$7=TRUE)),VLOOKUP($E146,'Status Thresholds'!$E:$AR,9,FALSE),
IF((AND($U$4=FALSE,$U$5=TRUE,$U$6=FALSE,$U$7=FALSE)),VLOOKUP($E146,'Status Thresholds'!$E:$AR,24,FALSE),IF((AND($U$4=FALSE,$U$5=TRUE,$U$6=TRUE,$U$7=FALSE)),VLOOKUP($E146,'Status Thresholds'!$E:$AR,34,FALSE),IF((AND($U$4=FALSE,$U$5=TRUE,$U$6=TRUE,$U$7=TRUE)),VLOOKUP($E146,'Status Thresholds'!$E:$AR,39,FALSE),IF((AND($U$4=FALSE,$U$5=TRUE,$U$6=FALSE,$U$7=TRUE)),VLOOKUP($E146,'Status Thresholds'!$E:$AR,29,FALSE)))))))))
))/
IF(OR($X$5=TRUE,$AC$3=TRUE
),($F$4/2), IF(OR($X$2,$X$3,$X$4,$X$6,$X$7,$X$8,$Z$2,$Z$3,$Z$4,$Z$5,$Z$6,$Z$7,$Z$8)=TRUE,$F$4)),0),"-")</f>
        <v>-</v>
      </c>
      <c r="I146" s="36" t="str">
        <f>IFERROR(
ROUNDUP(
IF(AND($U$5=FALSE,$U$4=FALSE),"-",IF(AND($U$5=TRUE,$U$4=TRUE),"-",
IF((AND($U$4=TRUE,$U$5=FALSE,$U$6=FALSE,$U$7=FALSE)),VLOOKUP($E146,'Status Thresholds'!$E:$AR,5,FALSE),IF((AND($U$4=TRUE,$U$5=FALSE,$U$6=TRUE,$U$7=FALSE)),VLOOKUP($E146,'Status Thresholds'!$E:$AR,15,FALSE),IF((AND($U$4=TRUE,$U$5=FALSE,$U$6=TRUE,$U$7=TRUE)),VLOOKUP($E146,'Status Thresholds'!$E:$AR,20,FALSE),IF((AND($U$4=TRUE,$U$5=FALSE,$U$6=FALSE,$U$7=TRUE)),VLOOKUP($E146,'Status Thresholds'!$E:$AR,10,FALSE),
IF((AND($U$4=FALSE,$U$5=TRUE,$U$6=FALSE,$U$7=FALSE)),VLOOKUP($E146,'Status Thresholds'!$E:$AR,25,FALSE),IF((AND($U$4=FALSE,$U$5=TRUE,$U$6=TRUE,$U$7=FALSE)),VLOOKUP($E146,'Status Thresholds'!$E:$AR,35,FALSE),IF((AND($U$4=FALSE,$U$5=TRUE,$U$6=TRUE,$U$7=TRUE)),VLOOKUP($E146,'Status Thresholds'!$E:$AR,40,FALSE),IF((AND($U$4=FALSE,$U$5=TRUE,$U$6=FALSE,$U$7=TRUE)),VLOOKUP($E146,'Status Thresholds'!$E:$AR,30,FALSE)))))))))
))/
IF(OR($X$5=TRUE,$AC$3=TRUE
),($F$4/2), IF(OR($X$2,$X$3,$X$4,$X$6,$X$7,$X$8,$Z$2,$Z$3,$Z$4,$Z$5,$Z$6,$Z$7,$Z$8)=TRUE,$F$4)),0),"-")</f>
        <v>-</v>
      </c>
      <c r="J146" s="46">
        <f>IFERROR(IF(AND($U$5=FALSE,$U$4=FALSE),"-",VLOOKUP($E146,'Status Thresholds'!$E:$AU,41,FALSE)),"-")</f>
        <v>40</v>
      </c>
      <c r="K146" s="46" t="str">
        <f>IFERROR(IF(AND($U$5=FALSE,$U$4=FALSE),"-",VLOOKUP($E146,'Status Thresholds'!$E:$AU,42,FALSE)),"-")</f>
        <v>-</v>
      </c>
      <c r="L146" s="46" t="str">
        <f>IFERROR(IF(AND($U$5=FALSE,$U$4=FALSE),"-",VLOOKUP($E146,'Status Thresholds'!$E:$AU,43,FALSE)),"-")</f>
        <v>-</v>
      </c>
    </row>
    <row r="147" spans="1:12" x14ac:dyDescent="0.25">
      <c r="A147" s="35"/>
      <c r="B147" s="64" t="str">
        <f>VLOOKUP(C147,'Status Thresholds'!B:C,2,FALSE)</f>
        <v>MHGen</v>
      </c>
      <c r="C147" s="64" t="str">
        <f>IF('Status Thresholds'!B142=0, "", 'Status Thresholds'!B142)</f>
        <v>Brachydios (Raging)</v>
      </c>
      <c r="D147" s="32" t="s">
        <v>33</v>
      </c>
      <c r="E147" s="36" t="str">
        <f t="shared" si="1"/>
        <v>Brachydios (Raging)Poison</v>
      </c>
      <c r="F147" s="36" t="str">
        <f>IFERROR(
ROUNDUP(
IF(AND($U$5=FALSE,$U$4=FALSE),"-",IF(AND($U$5=TRUE,$U$4=TRUE),"-",
IF((AND($U$4=TRUE,$U$5=FALSE,$U$6=FALSE,$U$7=FALSE)),VLOOKUP($E147,'Status Thresholds'!$E:$AR,2,FALSE),IF((AND($U$4=TRUE,$U$5=FALSE,$U$6=TRUE,$U$7=FALSE)),VLOOKUP($E147,'Status Thresholds'!$E:$AR,12,FALSE),IF((AND($U$4=TRUE,$U$5=FALSE,$U$6=TRUE,$U$7=TRUE)),VLOOKUP($E147,'Status Thresholds'!$E:$AR,17,FALSE),IF((AND($U$4=TRUE,$U$5=FALSE,$U$6=FALSE,$U$7=TRUE)),VLOOKUP($E147,'Status Thresholds'!$E:$AR,7,FALSE),
IF((AND($U$4=FALSE,$U$5=TRUE,$U$6=FALSE,$U$7=FALSE)),VLOOKUP($E147,'Status Thresholds'!$E:$AR,22,FALSE),IF((AND($U$4=FALSE,$U$5=TRUE,$U$6=TRUE,$U$7=FALSE)),VLOOKUP($E147,'Status Thresholds'!$E:$AR,32,FALSE),IF((AND($U$4=FALSE,$U$5=TRUE,$U$6=TRUE,$U$7=TRUE)),VLOOKUP($E147,'Status Thresholds'!$E:$AR,37,FALSE),IF((AND($U$4=FALSE,$U$5=TRUE,$U$6=FALSE,$U$7=TRUE)),VLOOKUP($E147,'Status Thresholds'!$E:$AR,27,FALSE)))))))))
))/
IF(OR($X$5=TRUE,$AC$3=TRUE
),($F$5/2), IF(OR($X$2,$X$3,$X$4,$X$6,$X$7,$X$8,$Z$2,$Z$3,$Z$4,$Z$5,$Z$6,$Z$7,$Z$8)=TRUE,$F$5)),0),"-")</f>
        <v>-</v>
      </c>
      <c r="G147" s="36" t="str">
        <f>IFERROR(
ROUNDUP(
IF(AND($U$5=FALSE,$U$4=FALSE),"-",IF(AND($U$5=TRUE,$U$4=TRUE),"-",
IF((AND($U$4=TRUE,$U$5=FALSE,$U$6=FALSE,$U$7=FALSE)),VLOOKUP($E147,'Status Thresholds'!$E:$AR,3,FALSE),IF((AND($U$4=TRUE,$U$5=FALSE,$U$6=TRUE,$U$7=FALSE)),VLOOKUP($E147,'Status Thresholds'!$E:$AR,13,FALSE),IF((AND($U$4=TRUE,$U$5=FALSE,$U$6=TRUE,$U$7=TRUE)),VLOOKUP($E147,'Status Thresholds'!$E:$AR,18,FALSE),IF((AND($U$4=TRUE,$U$5=FALSE,$U$6=FALSE,$U$7=TRUE)),VLOOKUP($E147,'Status Thresholds'!$E:$AR,8,FALSE),
IF((AND($U$4=FALSE,$U$5=TRUE,$U$6=FALSE,$U$7=FALSE)),VLOOKUP($E147,'Status Thresholds'!$E:$AR,23,FALSE),IF((AND($U$4=FALSE,$U$5=TRUE,$U$6=TRUE,$U$7=FALSE)),VLOOKUP($E147,'Status Thresholds'!$E:$AR,33,FALSE),IF((AND($U$4=FALSE,$U$5=TRUE,$U$6=TRUE,$U$7=TRUE)),VLOOKUP($E147,'Status Thresholds'!$E:$AR,38,FALSE),IF((AND($U$4=FALSE,$U$5=TRUE,$U$6=FALSE,$U$7=TRUE)),VLOOKUP($E147,'Status Thresholds'!$E:$AR,28,FALSE)))))))))
))/
IF(OR($X$5=TRUE,$AC$3=TRUE
),($F$5/2), IF(OR($X$2,$X$3,$X$4,$X$6,$X$7,$X$8,$Z$2,$Z$3,$Z$4,$Z$5,$Z$6,$Z$7,$Z$8)=TRUE,$F$5)),0),"-")</f>
        <v>-</v>
      </c>
      <c r="H147" s="36" t="str">
        <f>IFERROR(
ROUNDUP(
IF(AND($U$5=FALSE,$U$4=FALSE),"-",IF(AND($U$5=TRUE,$U$4=TRUE),"-",
IF((AND($U$4=TRUE,$U$5=FALSE,$U$6=FALSE,$U$7=FALSE)),VLOOKUP($E147,'Status Thresholds'!$E:$AR,4,FALSE),IF((AND($U$4=TRUE,$U$5=FALSE,$U$6=TRUE,$U$7=FALSE)),VLOOKUP($E147,'Status Thresholds'!$E:$AR,14,FALSE),IF((AND($U$4=TRUE,$U$5=FALSE,$U$6=TRUE,$U$7=TRUE)),VLOOKUP($E147,'Status Thresholds'!$E:$AR,19,FALSE),IF((AND($U$4=TRUE,$U$5=FALSE,$U$6=FALSE,$U$7=TRUE)),VLOOKUP($E147,'Status Thresholds'!$E:$AR,9,FALSE),
IF((AND($U$4=FALSE,$U$5=TRUE,$U$6=FALSE,$U$7=FALSE)),VLOOKUP($E147,'Status Thresholds'!$E:$AR,24,FALSE),IF((AND($U$4=FALSE,$U$5=TRUE,$U$6=TRUE,$U$7=FALSE)),VLOOKUP($E147,'Status Thresholds'!$E:$AR,34,FALSE),IF((AND($U$4=FALSE,$U$5=TRUE,$U$6=TRUE,$U$7=TRUE)),VLOOKUP($E147,'Status Thresholds'!$E:$AR,39,FALSE),IF((AND($U$4=FALSE,$U$5=TRUE,$U$6=FALSE,$U$7=TRUE)),VLOOKUP($E147,'Status Thresholds'!$E:$AR,29,FALSE)))))))))
))/
IF(OR($X$5=TRUE,$AC$3=TRUE
),($F$5/2), IF(OR($X$2,$X$3,$X$4,$X$6,$X$7,$X$8,$Z$2,$Z$3,$Z$4,$Z$5,$Z$6,$Z$7,$Z$8)=TRUE,$F$5)),0),"-")</f>
        <v>-</v>
      </c>
      <c r="I147" s="36" t="str">
        <f>IFERROR(
ROUNDUP(
IF(AND($U$5=FALSE,$U$4=FALSE),"-",IF(AND($U$5=TRUE,$U$4=TRUE),"-",
IF((AND($U$4=TRUE,$U$5=FALSE,$U$6=FALSE,$U$7=FALSE)),VLOOKUP($E147,'Status Thresholds'!$E:$AR,5,FALSE),IF((AND($U$4=TRUE,$U$5=FALSE,$U$6=TRUE,$U$7=FALSE)),VLOOKUP($E147,'Status Thresholds'!$E:$AR,15,FALSE),IF((AND($U$4=TRUE,$U$5=FALSE,$U$6=TRUE,$U$7=TRUE)),VLOOKUP($E147,'Status Thresholds'!$E:$AR,20,FALSE),IF((AND($U$4=TRUE,$U$5=FALSE,$U$6=FALSE,$U$7=TRUE)),VLOOKUP($E147,'Status Thresholds'!$E:$AR,10,FALSE),
IF((AND($U$4=FALSE,$U$5=TRUE,$U$6=FALSE,$U$7=FALSE)),VLOOKUP($E147,'Status Thresholds'!$E:$AR,25,FALSE),IF((AND($U$4=FALSE,$U$5=TRUE,$U$6=TRUE,$U$7=FALSE)),VLOOKUP($E147,'Status Thresholds'!$E:$AR,35,FALSE),IF((AND($U$4=FALSE,$U$5=TRUE,$U$6=TRUE,$U$7=TRUE)),VLOOKUP($E147,'Status Thresholds'!$E:$AR,40,FALSE),IF((AND($U$4=FALSE,$U$5=TRUE,$U$6=FALSE,$U$7=TRUE)),VLOOKUP($E147,'Status Thresholds'!$E:$AR,30,FALSE)))))))))
))/
IF(OR($X$5=TRUE,$AC$3=TRUE
),($F$5/2), IF(OR($X$2,$X$3,$X$4,$X$6,$X$7,$X$8,$Z$2,$Z$3,$Z$4,$Z$5,$Z$6,$Z$7,$Z$8)=TRUE,$F$5)),0),"-")</f>
        <v>-</v>
      </c>
      <c r="J147" s="46">
        <f>IFERROR(IF(AND($U$5=FALSE,$U$4=FALSE),"-",VLOOKUP($E147,'Status Thresholds'!$E:$AU,41,FALSE)),"-")</f>
        <v>40</v>
      </c>
      <c r="K147" s="46" t="str">
        <f>IFERROR(IF(AND($U$5=FALSE,$U$4=FALSE),"-",VLOOKUP($E147,'Status Thresholds'!$E:$AU,42,FALSE)),"-")</f>
        <v>-</v>
      </c>
      <c r="L147" s="46" t="str">
        <f>IFERROR(IF(AND($U$5=FALSE,$U$4=FALSE),"-",VLOOKUP($E147,'Status Thresholds'!$E:$AU,43,FALSE)),"-")</f>
        <v>-</v>
      </c>
    </row>
    <row r="148" spans="1:12" x14ac:dyDescent="0.25">
      <c r="A148" s="35"/>
      <c r="B148" s="64" t="str">
        <f>VLOOKUP(C148,'Status Thresholds'!B:C,2,FALSE)</f>
        <v>MHGen</v>
      </c>
      <c r="C148" s="64" t="str">
        <f>IF('Status Thresholds'!B143=0, "", 'Status Thresholds'!B143)</f>
        <v>Brachydios (Raging)</v>
      </c>
      <c r="D148" s="10" t="s">
        <v>22</v>
      </c>
      <c r="E148" s="36" t="str">
        <f t="shared" si="1"/>
        <v>Brachydios (Raging)Exhaust</v>
      </c>
      <c r="F148" s="36" t="str">
        <f>IFERROR(
ROUNDUP(
IF(AND($U$5=FALSE,$U$4=FALSE),"-",IF(AND($U$5=TRUE,$U$4=TRUE),"-",
IF((AND($U$4=TRUE,$U$5=FALSE,$U$6=FALSE,$U$7=FALSE)),VLOOKUP($E148,'Status Thresholds'!$E:$AR,2,FALSE),IF((AND($U$4=TRUE,$U$5=FALSE,$U$6=TRUE,$U$7=FALSE)),VLOOKUP($E148,'Status Thresholds'!$E:$AR,12,FALSE),IF((AND($U$4=TRUE,$U$5=FALSE,$U$6=TRUE,$U$7=TRUE)),VLOOKUP($E148,'Status Thresholds'!$E:$AR,17,FALSE),IF((AND($U$4=TRUE,$U$5=FALSE,$U$6=FALSE,$U$7=TRUE)),VLOOKUP($E148,'Status Thresholds'!$E:$AR,7,FALSE),
IF((AND($U$4=FALSE,$U$5=TRUE,$U$6=FALSE,$U$7=FALSE)),VLOOKUP($E148,'Status Thresholds'!$E:$AR,22,FALSE),IF((AND($U$4=FALSE,$U$5=TRUE,$U$6=TRUE,$U$7=FALSE)),VLOOKUP($E148,'Status Thresholds'!$E:$AR,32,FALSE),IF((AND($U$4=FALSE,$U$5=TRUE,$U$6=TRUE,$U$7=TRUE)),VLOOKUP($E148,'Status Thresholds'!$E:$AR,37,FALSE),IF((AND($U$4=FALSE,$U$5=TRUE,$U$6=FALSE,$U$7=TRUE)),VLOOKUP($E148,'Status Thresholds'!$E:$AR,27,FALSE)))))))))
))/
IF(OR($X$5=TRUE,$AC$3=TRUE
),($F$6/2), IF(OR($X$2,$X$3,$X$4,$X$6,$X$7,$X$8,$Z$2,$Z$3,$Z$4,$Z$5,$Z$6,$Z$7,$Z$8)=TRUE,$F$6)),0),"-")</f>
        <v>-</v>
      </c>
      <c r="G148" s="36" t="str">
        <f>IFERROR(
ROUNDUP(
IF(AND($U$5=FALSE,$U$4=FALSE),"-",IF(AND($U$5=TRUE,$U$4=TRUE),"-",
IF((AND($U$4=TRUE,$U$5=FALSE,$U$6=FALSE,$U$7=FALSE)),VLOOKUP($E148,'Status Thresholds'!$E:$AR,3,FALSE),IF((AND($U$4=TRUE,$U$5=FALSE,$U$6=TRUE,$U$7=FALSE)),VLOOKUP($E148,'Status Thresholds'!$E:$AR,13,FALSE),IF((AND($U$4=TRUE,$U$5=FALSE,$U$6=TRUE,$U$7=TRUE)),VLOOKUP($E148,'Status Thresholds'!$E:$AR,18,FALSE),IF((AND($U$4=TRUE,$U$5=FALSE,$U$6=FALSE,$U$7=TRUE)),VLOOKUP($E148,'Status Thresholds'!$E:$AR,8,FALSE),
IF((AND($U$4=FALSE,$U$5=TRUE,$U$6=FALSE,$U$7=FALSE)),VLOOKUP($E148,'Status Thresholds'!$E:$AR,23,FALSE),IF((AND($U$4=FALSE,$U$5=TRUE,$U$6=TRUE,$U$7=FALSE)),VLOOKUP($E148,'Status Thresholds'!$E:$AR,33,FALSE),IF((AND($U$4=FALSE,$U$5=TRUE,$U$6=TRUE,$U$7=TRUE)),VLOOKUP($E148,'Status Thresholds'!$E:$AR,38,FALSE),IF((AND($U$4=FALSE,$U$5=TRUE,$U$6=FALSE,$U$7=TRUE)),VLOOKUP($E148,'Status Thresholds'!$E:$AR,28,FALSE)))))))))
))/
IF(OR($X$5=TRUE,$AC$3=TRUE
),($F$6/2), IF(OR($X$2,$X$3,$X$4,$X$6,$X$7,$X$8,$Z$2,$Z$3,$Z$4,$Z$5,$Z$6,$Z$7,$Z$8)=TRUE,$F$6)),0),"-")</f>
        <v>-</v>
      </c>
      <c r="H148" s="36" t="str">
        <f>IFERROR(
ROUNDUP(
IF(AND($U$5=FALSE,$U$4=FALSE),"-",IF(AND($U$5=TRUE,$U$4=TRUE),"-",
IF((AND($U$4=TRUE,$U$5=FALSE,$U$6=FALSE,$U$7=FALSE)),VLOOKUP($E148,'Status Thresholds'!$E:$AR,4,FALSE),IF((AND($U$4=TRUE,$U$5=FALSE,$U$6=TRUE,$U$7=FALSE)),VLOOKUP($E148,'Status Thresholds'!$E:$AR,14,FALSE),IF((AND($U$4=TRUE,$U$5=FALSE,$U$6=TRUE,$U$7=TRUE)),VLOOKUP($E148,'Status Thresholds'!$E:$AR,19,FALSE),IF((AND($U$4=TRUE,$U$5=FALSE,$U$6=FALSE,$U$7=TRUE)),VLOOKUP($E148,'Status Thresholds'!$E:$AR,9,FALSE),
IF((AND($U$4=FALSE,$U$5=TRUE,$U$6=FALSE,$U$7=FALSE)),VLOOKUP($E148,'Status Thresholds'!$E:$AR,24,FALSE),IF((AND($U$4=FALSE,$U$5=TRUE,$U$6=TRUE,$U$7=FALSE)),VLOOKUP($E148,'Status Thresholds'!$E:$AR,34,FALSE),IF((AND($U$4=FALSE,$U$5=TRUE,$U$6=TRUE,$U$7=TRUE)),VLOOKUP($E148,'Status Thresholds'!$E:$AR,39,FALSE),IF((AND($U$4=FALSE,$U$5=TRUE,$U$6=FALSE,$U$7=TRUE)),VLOOKUP($E148,'Status Thresholds'!$E:$AR,29,FALSE)))))))))
))/
IF(OR($X$5=TRUE,$AC$3=TRUE
),($F$6/2), IF(OR($X$2,$X$3,$X$4,$X$6,$X$7,$X$8,$Z$2,$Z$3,$Z$4,$Z$5,$Z$6,$Z$7,$Z$8)=TRUE,$F$6)),0),"-")</f>
        <v>-</v>
      </c>
      <c r="I148" s="36" t="str">
        <f>IFERROR(
ROUNDUP(
IF(AND($U$5=FALSE,$U$4=FALSE),"-",IF(AND($U$5=TRUE,$U$4=TRUE),"-",
IF((AND($U$4=TRUE,$U$5=FALSE,$U$6=FALSE,$U$7=FALSE)),VLOOKUP($E148,'Status Thresholds'!$E:$AR,5,FALSE),IF((AND($U$4=TRUE,$U$5=FALSE,$U$6=TRUE,$U$7=FALSE)),VLOOKUP($E148,'Status Thresholds'!$E:$AR,15,FALSE),IF((AND($U$4=TRUE,$U$5=FALSE,$U$6=TRUE,$U$7=TRUE)),VLOOKUP($E148,'Status Thresholds'!$E:$AR,20,FALSE),IF((AND($U$4=TRUE,$U$5=FALSE,$U$6=FALSE,$U$7=TRUE)),VLOOKUP($E148,'Status Thresholds'!$E:$AR,10,FALSE),
IF((AND($U$4=FALSE,$U$5=TRUE,$U$6=FALSE,$U$7=FALSE)),VLOOKUP($E148,'Status Thresholds'!$E:$AR,25,FALSE),IF((AND($U$4=FALSE,$U$5=TRUE,$U$6=TRUE,$U$7=FALSE)),VLOOKUP($E148,'Status Thresholds'!$E:$AR,35,FALSE),IF((AND($U$4=FALSE,$U$5=TRUE,$U$6=TRUE,$U$7=TRUE)),VLOOKUP($E148,'Status Thresholds'!$E:$AR,40,FALSE),IF((AND($U$4=FALSE,$U$5=TRUE,$U$6=FALSE,$U$7=TRUE)),VLOOKUP($E148,'Status Thresholds'!$E:$AR,30,FALSE)))))))))
))/
IF(OR($X$5=TRUE,$AC$3=TRUE
),($F$6/2), IF(OR($X$2,$X$3,$X$4,$X$6,$X$7,$X$8,$Z$2,$Z$3,$Z$4,$Z$5,$Z$6,$Z$7,$Z$8)=TRUE,$F$6)),0),"-")</f>
        <v>-</v>
      </c>
      <c r="J148" s="46">
        <f>IFERROR(IF(AND($U$5=FALSE,$U$4=FALSE),"-",VLOOKUP($E148,'Status Thresholds'!$E:$AU,41,FALSE)),"-")</f>
        <v>0</v>
      </c>
      <c r="K148" s="46" t="str">
        <f>IFERROR(IF(AND($U$5=FALSE,$U$4=FALSE),"-",VLOOKUP($E148,'Status Thresholds'!$E:$AU,42,FALSE)),"-")</f>
        <v>-</v>
      </c>
      <c r="L148" s="46" t="str">
        <f>IFERROR(IF(AND($U$5=FALSE,$U$4=FALSE),"-",VLOOKUP($E148,'Status Thresholds'!$E:$AU,43,FALSE)),"-")</f>
        <v>-</v>
      </c>
    </row>
    <row r="149" spans="1:12" x14ac:dyDescent="0.25">
      <c r="A149" s="35"/>
      <c r="B149" s="64" t="str">
        <f>VLOOKUP(C149,'Status Thresholds'!B:C,2,FALSE)</f>
        <v>MHGen</v>
      </c>
      <c r="C149" s="64" t="str">
        <f>IF('Status Thresholds'!B144=0, "", 'Status Thresholds'!B144)</f>
        <v>Brachydios (Raging)</v>
      </c>
      <c r="D149" s="30" t="s">
        <v>35</v>
      </c>
      <c r="E149" s="36" t="str">
        <f t="shared" si="1"/>
        <v>Brachydios (Raging)Blast</v>
      </c>
      <c r="F149" s="36" t="str">
        <f>IFERROR(
ROUNDUP(
IF(AND($U$5=FALSE,$U$4=FALSE),"-",IF(AND($U$5=TRUE,$U$4=TRUE),"-",
IF((AND($U$4=TRUE,$U$5=FALSE,$U$6=FALSE,$U$7=FALSE)),VLOOKUP($E149,'Status Thresholds'!$E:$AR,2,FALSE),IF((AND($U$4=TRUE,$U$5=FALSE,$U$6=TRUE,$U$7=FALSE)),VLOOKUP($E149,'Status Thresholds'!$E:$AR,12,FALSE),IF((AND($U$4=TRUE,$U$5=FALSE,$U$6=TRUE,$U$7=TRUE)),VLOOKUP($E149,'Status Thresholds'!$E:$AR,17,FALSE),IF((AND($U$4=TRUE,$U$5=FALSE,$U$6=FALSE,$U$7=TRUE)),VLOOKUP($E149,'Status Thresholds'!$E:$AR,7,FALSE),
IF((AND($U$4=FALSE,$U$5=TRUE,$U$6=FALSE,$U$7=FALSE)),VLOOKUP($E149,'Status Thresholds'!$E:$AR,22,FALSE),IF((AND($U$4=FALSE,$U$5=TRUE,$U$6=TRUE,$U$7=FALSE)),VLOOKUP($E149,'Status Thresholds'!$E:$AR,32,FALSE),IF((AND($U$4=FALSE,$U$5=TRUE,$U$6=TRUE,$U$7=TRUE)),VLOOKUP($E149,'Status Thresholds'!$E:$AR,37,FALSE),IF((AND($U$4=FALSE,$U$5=TRUE,$U$6=FALSE,$U$7=TRUE)),VLOOKUP($E149,'Status Thresholds'!$E:$AR,27,FALSE)))))))))
))/
IF(OR($X$5=TRUE,$AC$3=TRUE
),($F$7/2), IF(OR($X$2,$X$3,$X$4,$X$6,$X$7,$X$8,$Z$2,$Z$3,$Z$4,$Z$5,$Z$6,$Z$7,$Z$8)=TRUE,$F$7)),0),"-")</f>
        <v>-</v>
      </c>
      <c r="G149" s="36" t="str">
        <f>IFERROR(
ROUNDUP(
IF(AND($U$5=FALSE,$U$4=FALSE),"-",IF(AND($U$5=TRUE,$U$4=TRUE),"-",
IF((AND($U$4=TRUE,$U$5=FALSE,$U$6=FALSE,$U$7=FALSE)),VLOOKUP($E149,'Status Thresholds'!$E:$AR,3,FALSE),IF((AND($U$4=TRUE,$U$5=FALSE,$U$6=TRUE,$U$7=FALSE)),VLOOKUP($E149,'Status Thresholds'!$E:$AR,13,FALSE),IF((AND($U$4=TRUE,$U$5=FALSE,$U$6=TRUE,$U$7=TRUE)),VLOOKUP($E149,'Status Thresholds'!$E:$AR,18,FALSE),IF((AND($U$4=TRUE,$U$5=FALSE,$U$6=FALSE,$U$7=TRUE)),VLOOKUP($E149,'Status Thresholds'!$E:$AR,8,FALSE),
IF((AND($U$4=FALSE,$U$5=TRUE,$U$6=FALSE,$U$7=FALSE)),VLOOKUP($E149,'Status Thresholds'!$E:$AR,23,FALSE),IF((AND($U$4=FALSE,$U$5=TRUE,$U$6=TRUE,$U$7=FALSE)),VLOOKUP($E149,'Status Thresholds'!$E:$AR,33,FALSE),IF((AND($U$4=FALSE,$U$5=TRUE,$U$6=TRUE,$U$7=TRUE)),VLOOKUP($E149,'Status Thresholds'!$E:$AR,38,FALSE),IF((AND($U$4=FALSE,$U$5=TRUE,$U$6=FALSE,$U$7=TRUE)),VLOOKUP($E149,'Status Thresholds'!$E:$AR,28,FALSE)))))))))
))/
IF(OR($X$5=TRUE,$AC$3=TRUE
),($F$7/2), IF(OR($X$2,$X$3,$X$4,$X$6,$X$7,$X$8,$Z$2,$Z$3,$Z$4,$Z$5,$Z$6,$Z$7,$Z$8)=TRUE,$F$7)),0),"-")</f>
        <v>-</v>
      </c>
      <c r="H149" s="36" t="str">
        <f>IFERROR(
ROUNDUP(
IF(AND($U$5=FALSE,$U$4=FALSE),"-",IF(AND($U$5=TRUE,$U$4=TRUE),"-",
IF((AND($U$4=TRUE,$U$5=FALSE,$U$6=FALSE,$U$7=FALSE)),VLOOKUP($E149,'Status Thresholds'!$E:$AR,4,FALSE),IF((AND($U$4=TRUE,$U$5=FALSE,$U$6=TRUE,$U$7=FALSE)),VLOOKUP($E149,'Status Thresholds'!$E:$AR,14,FALSE),IF((AND($U$4=TRUE,$U$5=FALSE,$U$6=TRUE,$U$7=TRUE)),VLOOKUP($E149,'Status Thresholds'!$E:$AR,19,FALSE),IF((AND($U$4=TRUE,$U$5=FALSE,$U$6=FALSE,$U$7=TRUE)),VLOOKUP($E149,'Status Thresholds'!$E:$AR,9,FALSE),
IF((AND($U$4=FALSE,$U$5=TRUE,$U$6=FALSE,$U$7=FALSE)),VLOOKUP($E149,'Status Thresholds'!$E:$AR,24,FALSE),IF((AND($U$4=FALSE,$U$5=TRUE,$U$6=TRUE,$U$7=FALSE)),VLOOKUP($E149,'Status Thresholds'!$E:$AR,34,FALSE),IF((AND($U$4=FALSE,$U$5=TRUE,$U$6=TRUE,$U$7=TRUE)),VLOOKUP($E149,'Status Thresholds'!$E:$AR,39,FALSE),IF((AND($U$4=FALSE,$U$5=TRUE,$U$6=FALSE,$U$7=TRUE)),VLOOKUP($E149,'Status Thresholds'!$E:$AR,29,FALSE)))))))))
))/
IF(OR($X$5=TRUE,$AC$3=TRUE
),($F$7/2), IF(OR($X$2,$X$3,$X$4,$X$6,$X$7,$X$8,$Z$2,$Z$3,$Z$4,$Z$5,$Z$6,$Z$7,$Z$8)=TRUE,$F$7)),0),"-")</f>
        <v>-</v>
      </c>
      <c r="I149" s="36" t="str">
        <f>IFERROR(
ROUNDUP(
IF(AND($U$5=FALSE,$U$4=FALSE),"-",IF(AND($U$5=TRUE,$U$4=TRUE),"-",
IF((AND($U$4=TRUE,$U$5=FALSE,$U$6=FALSE,$U$7=FALSE)),VLOOKUP($E149,'Status Thresholds'!$E:$AR,5,FALSE),IF((AND($U$4=TRUE,$U$5=FALSE,$U$6=TRUE,$U$7=FALSE)),VLOOKUP($E149,'Status Thresholds'!$E:$AR,15,FALSE),IF((AND($U$4=TRUE,$U$5=FALSE,$U$6=TRUE,$U$7=TRUE)),VLOOKUP($E149,'Status Thresholds'!$E:$AR,20,FALSE),IF((AND($U$4=TRUE,$U$5=FALSE,$U$6=FALSE,$U$7=TRUE)),VLOOKUP($E149,'Status Thresholds'!$E:$AR,10,FALSE),
IF((AND($U$4=FALSE,$U$5=TRUE,$U$6=FALSE,$U$7=FALSE)),VLOOKUP($E149,'Status Thresholds'!$E:$AR,25,FALSE),IF((AND($U$4=FALSE,$U$5=TRUE,$U$6=TRUE,$U$7=FALSE)),VLOOKUP($E149,'Status Thresholds'!$E:$AR,35,FALSE),IF((AND($U$4=FALSE,$U$5=TRUE,$U$6=TRUE,$U$7=TRUE)),VLOOKUP($E149,'Status Thresholds'!$E:$AR,40,FALSE),IF((AND($U$4=FALSE,$U$5=TRUE,$U$6=FALSE,$U$7=TRUE)),VLOOKUP($E149,'Status Thresholds'!$E:$AR,30,FALSE)))))))))
))/
IF(OR($X$5=TRUE,$AC$3=TRUE
),($F$7/2), IF(OR($X$2,$X$3,$X$4,$X$6,$X$7,$X$8,$Z$2,$Z$3,$Z$4,$Z$5,$Z$6,$Z$7,$Z$8)=TRUE,$F$7)),0),"-")</f>
        <v>-</v>
      </c>
      <c r="J149" s="46">
        <f>IFERROR(IF(AND($U$5=FALSE,$U$4=FALSE),"-",VLOOKUP($E149,'Status Thresholds'!$E:$AU,41,FALSE)),"-")</f>
        <v>0</v>
      </c>
      <c r="K149" s="46" t="str">
        <f>IFERROR(IF(AND($U$5=FALSE,$U$4=FALSE),"-",VLOOKUP($E149,'Status Thresholds'!$E:$AU,42,FALSE)),"-")</f>
        <v>-</v>
      </c>
      <c r="L149" s="46" t="str">
        <f>IFERROR(IF(AND($U$5=FALSE,$U$4=FALSE),"-",VLOOKUP($E149,'Status Thresholds'!$E:$AU,43,FALSE)),"-")</f>
        <v>-</v>
      </c>
    </row>
    <row r="150" spans="1:12" ht="14.45" customHeight="1" x14ac:dyDescent="0.25">
      <c r="A150" s="35"/>
      <c r="B150" s="64" t="str">
        <f>VLOOKUP(C150,'Status Thresholds'!B:C,2,FALSE)</f>
        <v>MHGen</v>
      </c>
      <c r="C150" s="64" t="str">
        <f>IF('Status Thresholds'!B145=0, "", 'Status Thresholds'!B145)</f>
        <v>Brachydios (Raging)</v>
      </c>
      <c r="D150" s="34" t="s">
        <v>14</v>
      </c>
      <c r="E150" s="36" t="str">
        <f t="shared" si="1"/>
        <v>Brachydios (Raging)KO</v>
      </c>
      <c r="F150" s="36" t="s">
        <v>214</v>
      </c>
      <c r="G150" s="36" t="s">
        <v>214</v>
      </c>
      <c r="H150" s="36" t="s">
        <v>214</v>
      </c>
      <c r="I150" s="36" t="s">
        <v>214</v>
      </c>
      <c r="J150" s="46">
        <f>IFERROR(IF(AND($U$5=FALSE,$U$4=FALSE),"-",VLOOKUP($E150,'Status Thresholds'!$E:$AU,41,FALSE)),"-")</f>
        <v>10</v>
      </c>
      <c r="K150" s="46" t="str">
        <f>IFERROR(IF(AND($U$5=FALSE,$U$4=FALSE),"-",VLOOKUP($E150,'Status Thresholds'!$E:$AU,42,FALSE)),"-")</f>
        <v>-</v>
      </c>
      <c r="L150" s="46" t="str">
        <f>IFERROR(IF(AND($U$5=FALSE,$U$4=FALSE),"-",VLOOKUP($E150,'Status Thresholds'!$E:$AU,43,FALSE)),"-")</f>
        <v>-</v>
      </c>
    </row>
    <row r="151" spans="1:12" x14ac:dyDescent="0.25">
      <c r="A151" s="35"/>
      <c r="B151" s="64" t="str">
        <f>VLOOKUP(C151,'Status Thresholds'!B:C,2,FALSE)</f>
        <v>MHGen</v>
      </c>
      <c r="C151" s="64" t="str">
        <f>IF('Status Thresholds'!B146=0, "", 'Status Thresholds'!B146)</f>
        <v>Brachydios (Raging)</v>
      </c>
      <c r="D151" s="33" t="s">
        <v>34</v>
      </c>
      <c r="E151" s="36" t="str">
        <f t="shared" si="1"/>
        <v>Brachydios (Raging)Mount</v>
      </c>
      <c r="F151" s="36" t="str">
        <f>IFERROR(
ROUNDUP(
IF(AND($U$5=FALSE,$U$4=FALSE),"-",IF(AND($U$5=TRUE,$U$4=TRUE),"-",
IF((AND($U$4=TRUE,$U$5=FALSE,$U$6=FALSE,$U$7=FALSE)),VLOOKUP($E151,'Status Thresholds'!$E:$AR,2,FALSE),IF((AND($U$4=TRUE,$U$5=FALSE,$U$6=TRUE,$U$7=FALSE)),VLOOKUP($E151,'Status Thresholds'!$E:$AR,12,FALSE),IF((AND($U$4=TRUE,$U$5=FALSE,$U$6=TRUE,$U$7=TRUE)),VLOOKUP($E151,'Status Thresholds'!$E:$AR,17,FALSE),IF((AND($U$4=TRUE,$U$5=FALSE,$U$6=FALSE,$U$7=TRUE)),VLOOKUP($E151,'Status Thresholds'!$E:$AR,7,FALSE),
IF((AND($U$4=FALSE,$U$5=TRUE,$U$6=FALSE,$U$7=FALSE)),VLOOKUP($E151,'Status Thresholds'!$E:$AR,22,FALSE),IF((AND($U$4=FALSE,$U$5=TRUE,$U$6=TRUE,$U$7=FALSE)),VLOOKUP($E151,'Status Thresholds'!$E:$AR,32,FALSE),IF((AND($U$4=FALSE,$U$5=TRUE,$U$6=TRUE,$U$7=TRUE)),VLOOKUP($E151,'Status Thresholds'!$E:$AR,37,FALSE),IF((AND($U$4=FALSE,$U$5=TRUE,$U$6=FALSE,$U$7=TRUE)),VLOOKUP($E151,'Status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151" s="36" t="str">
        <f>IFERROR(
ROUNDUP(
IF(AND($U$5=FALSE,$U$4=FALSE),"-",IF(AND($U$5=TRUE,$U$4=TRUE),"-",
IF((AND($U$4=TRUE,$U$5=FALSE,$U$6=FALSE,$U$7=FALSE)),VLOOKUP($E150,'Status Thresholds'!$E:$AR,3,FALSE),IF((AND($U$4=TRUE,$U$5=FALSE,$U$6=TRUE,$U$7=FALSE)),VLOOKUP($E150,'Status Thresholds'!$E:$AR,13,FALSE),IF((AND($U$4=TRUE,$U$5=FALSE,$U$6=TRUE,$U$7=TRUE)),VLOOKUP($E150,'Status Thresholds'!$E:$AR,18,FALSE),IF((AND($U$4=TRUE,$U$5=FALSE,$U$6=FALSE,$U$7=TRUE)),VLOOKUP($E150,'Status Thresholds'!$E:$AR,8,FALSE),
IF((AND($U$4=FALSE,$U$5=TRUE,$U$6=FALSE,$U$7=FALSE)),VLOOKUP($E150,'Status Thresholds'!$E:$AR,23,FALSE),IF((AND($U$4=FALSE,$U$5=TRUE,$U$6=TRUE,$U$7=FALSE)),VLOOKUP($E150,'Status Thresholds'!$E:$AR,33,FALSE),IF((AND($U$4=FALSE,$U$5=TRUE,$U$6=TRUE,$U$7=TRUE)),VLOOKUP($E150,'Status Thresholds'!$E:$AR,38,FALSE),IF((AND($U$4=FALSE,$U$5=TRUE,$U$6=FALSE,$U$7=TRUE)),VLOOKUP($E150,'Status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151" s="36" t="str">
        <f>IFERROR(
ROUNDUP(
IF(AND($U$5=FALSE,$U$4=FALSE),"-",IF(AND($U$5=TRUE,$U$4=TRUE),"-",
IF((AND($U$4=TRUE,$U$5=FALSE,$U$6=FALSE,$U$7=FALSE)),VLOOKUP($E150,'Status Thresholds'!$E:$AR,4,FALSE),IF((AND($U$4=TRUE,$U$5=FALSE,$U$6=TRUE,$U$7=FALSE)),VLOOKUP($E150,'Status Thresholds'!$E:$AR,14,FALSE),IF((AND($U$4=TRUE,$U$5=FALSE,$U$6=TRUE,$U$7=TRUE)),VLOOKUP($E150,'Status Thresholds'!$E:$AR,19,FALSE),IF((AND($U$4=TRUE,$U$5=FALSE,$U$6=FALSE,$U$7=TRUE)),VLOOKUP($E150,'Status Thresholds'!$E:$AR,9,FALSE),
IF((AND($U$4=FALSE,$U$5=TRUE,$U$6=FALSE,$U$7=FALSE)),VLOOKUP($E150,'Status Thresholds'!$E:$AR,24,FALSE),IF((AND($U$4=FALSE,$U$5=TRUE,$U$6=TRUE,$U$7=FALSE)),VLOOKUP($E150,'Status Thresholds'!$E:$AR,34,FALSE),IF((AND($U$4=FALSE,$U$5=TRUE,$U$6=TRUE,$U$7=TRUE)),VLOOKUP($E150,'Status Thresholds'!$E:$AR,39,FALSE),IF((AND($U$4=FALSE,$U$5=TRUE,$U$6=FALSE,$U$7=TRUE)),VLOOKUP($E150,'Status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151" s="36" t="str">
        <f>IFERROR(
ROUNDUP(
IF(AND($U$5=FALSE,$U$4=FALSE),"-",IF(AND($U$5=TRUE,$U$4=TRUE),"-",
IF((AND($U$4=TRUE,$U$5=FALSE,$U$6=FALSE,$U$7=FALSE)),VLOOKUP($E150,'Status Thresholds'!$E:$AR,5,FALSE),IF((AND($U$4=TRUE,$U$5=FALSE,$U$6=TRUE,$U$7=FALSE)),VLOOKUP($E150,'Status Thresholds'!$E:$AR,15,FALSE),IF((AND($U$4=TRUE,$U$5=FALSE,$U$6=TRUE,$U$7=TRUE)),VLOOKUP($E150,'Status Thresholds'!$E:$AR,20,FALSE),IF((AND($U$4=TRUE,$U$5=FALSE,$U$6=FALSE,$U$7=TRUE)),VLOOKUP($E150,'Status Thresholds'!$E:$AR,10,FALSE),
IF((AND($U$4=FALSE,$U$5=TRUE,$U$6=FALSE,$U$7=FALSE)),VLOOKUP($E150,'Status Thresholds'!$E:$AR,25,FALSE),IF((AND($U$4=FALSE,$U$5=TRUE,$U$6=TRUE,$U$7=FALSE)),VLOOKUP($E150,'Status Thresholds'!$E:$AR,35,FALSE),IF((AND($U$4=FALSE,$U$5=TRUE,$U$6=TRUE,$U$7=TRUE)),VLOOKUP($E150,'Status Thresholds'!$E:$AR,40,FALSE),IF((AND($U$4=FALSE,$U$5=TRUE,$U$6=FALSE,$U$7=TRUE)),VLOOKUP($E150,'Status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151" s="46">
        <f>IFERROR(IF(AND($U$5=FALSE,$U$4=FALSE),"-",VLOOKUP($E151,'Status Thresholds'!$E:$AU,41,FALSE)),"-")</f>
        <v>0</v>
      </c>
      <c r="K151" s="46" t="str">
        <f>IFERROR(IF(AND($U$5=FALSE,$U$4=FALSE),"-",VLOOKUP($E151,'Status Thresholds'!$E:$AU,42,FALSE)),"-")</f>
        <v>-</v>
      </c>
      <c r="L151" s="46" t="str">
        <f>IFERROR(IF(AND($U$5=FALSE,$U$4=FALSE),"-",VLOOKUP($E151,'Status Thresholds'!$E:$AU,43,FALSE)),"-")</f>
        <v>-</v>
      </c>
    </row>
    <row r="152" spans="1:12" ht="15" customHeight="1" x14ac:dyDescent="0.25">
      <c r="A152" s="35"/>
      <c r="B152" s="64" t="str">
        <f>VLOOKUP(C152,'Status Thresholds'!B:C,2,FALSE)</f>
        <v>MHGen</v>
      </c>
      <c r="C152" s="64" t="str">
        <f>IF('Status Thresholds'!B147=0, "", 'Status Thresholds'!B147)</f>
        <v>Brachydios (Raging)</v>
      </c>
      <c r="D152" s="77" t="s">
        <v>207</v>
      </c>
      <c r="E152" s="36" t="str">
        <f t="shared" si="1"/>
        <v>Brachydios (Raging)Shock Trap</v>
      </c>
      <c r="F152" s="76" t="s">
        <v>214</v>
      </c>
      <c r="G152" s="46" t="s">
        <v>214</v>
      </c>
      <c r="H152" s="46" t="s">
        <v>214</v>
      </c>
      <c r="I152" s="46" t="s">
        <v>214</v>
      </c>
      <c r="J152" s="46">
        <f>IFERROR(IF(AND($U$5=FALSE,$U$4=FALSE),"-",VLOOKUP($E152,'Status Thresholds'!$E:$AU,43,FALSE)),"-")</f>
        <v>0</v>
      </c>
      <c r="K152" s="46">
        <f>IFERROR(IF(AND($U$5=FALSE,$U$4=FALSE),"-",VLOOKUP($E152,'Status Thresholds'!$E:$AU,41,FALSE)),"-")</f>
        <v>0</v>
      </c>
      <c r="L152" s="46">
        <f>IFERROR(IF(AND($U$5=FALSE,$U$4=FALSE),"-",VLOOKUP($E152,'Status Thresholds'!$E:$AU,42,FALSE)),"-")</f>
        <v>0</v>
      </c>
    </row>
    <row r="153" spans="1:12" x14ac:dyDescent="0.25">
      <c r="A153" s="35"/>
      <c r="B153" s="64" t="str">
        <f>VLOOKUP(C153,'Status Thresholds'!B:C,2,FALSE)</f>
        <v>MHGen</v>
      </c>
      <c r="C153" s="64" t="str">
        <f>IF('Status Thresholds'!B148=0, "", 'Status Thresholds'!B148)</f>
        <v>Brachydios (Raging)</v>
      </c>
      <c r="D153" s="77" t="s">
        <v>213</v>
      </c>
      <c r="E153" s="36" t="str">
        <f t="shared" si="1"/>
        <v>Brachydios (Raging)Pitfall Trap</v>
      </c>
      <c r="F153" s="46" t="s">
        <v>214</v>
      </c>
      <c r="G153" s="46" t="s">
        <v>214</v>
      </c>
      <c r="H153" s="46" t="s">
        <v>214</v>
      </c>
      <c r="I153" s="46" t="s">
        <v>214</v>
      </c>
      <c r="J153" s="46">
        <f>IFERROR(IF(AND($U$5=FALSE,$U$4=FALSE),"-",VLOOKUP($E153,'Status Thresholds'!$E:$AU,43,FALSE)),"-")</f>
        <v>0</v>
      </c>
      <c r="K153" s="46">
        <f>IFERROR(IF(AND($U$5=FALSE,$U$4=FALSE),"-",VLOOKUP($E153,'Status Thresholds'!$E:$AU,41,FALSE)),"-")</f>
        <v>0</v>
      </c>
      <c r="L153" s="46">
        <f>IFERROR(IF(AND($U$5=FALSE,$U$4=FALSE),"-",VLOOKUP($E153,'Status Thresholds'!$E:$AU,42,FALSE)),"-")</f>
        <v>0</v>
      </c>
    </row>
    <row r="154" spans="1:12" s="36" customFormat="1" hidden="1" x14ac:dyDescent="0.25">
      <c r="A154" s="64"/>
      <c r="B154" s="64" t="str">
        <f>IF('Status Thresholds'!A149=0, "", 'Status Thresholds'!A149)</f>
        <v>Deviant</v>
      </c>
      <c r="C154" s="64" t="str">
        <f>IF('Status Thresholds'!B149=0, "", 'Status Thresholds'!B149)</f>
        <v>Bulldrome</v>
      </c>
      <c r="D154" s="37" t="s">
        <v>0</v>
      </c>
      <c r="E154" s="36" t="str">
        <f t="shared" si="1"/>
        <v>BulldromePara</v>
      </c>
      <c r="F154" s="36" t="str">
        <f>IFERROR(
ROUNDUP(
IF(AND($U$5=FALSE,$U$4=FALSE),"-",IF(AND($U$5=TRUE,$U$4=TRUE),"-",
IF((AND($U$4=TRUE,$U$5=FALSE,$U$6=FALSE,$U$7=FALSE)),VLOOKUP($E154,'Status Thresholds'!$E:$AR,2,FALSE),IF((AND($U$4=TRUE,$U$5=FALSE,$U$6=TRUE,$U$7=FALSE)),VLOOKUP($E154,'Status Thresholds'!$E:$AR,12,FALSE),IF((AND($U$4=TRUE,$U$5=FALSE,$U$6=TRUE,$U$7=TRUE)),VLOOKUP($E154,'Status Thresholds'!$E:$AR,17,FALSE),IF((AND($U$4=TRUE,$U$5=FALSE,$U$6=FALSE,$U$7=TRUE)),VLOOKUP($E154,'Status Thresholds'!$E:$AR,7,FALSE),
IF((AND($U$4=FALSE,$U$5=TRUE,$U$6=FALSE,$U$7=FALSE)),VLOOKUP($E154,'Status Thresholds'!$E:$AR,22,FALSE),IF((AND($U$4=FALSE,$U$5=TRUE,$U$6=TRUE,$U$7=FALSE)),VLOOKUP($E154,'Status Thresholds'!$E:$AR,32,FALSE),IF((AND($U$4=FALSE,$U$5=TRUE,$U$6=TRUE,$U$7=TRUE)),VLOOKUP($E154,'Status Thresholds'!$E:$AR,37,FALSE),IF((AND($U$4=FALSE,$U$5=TRUE,$U$6=FALSE,$U$7=TRUE)),VLOOKUP($E154,'Status Thresholds'!$E:$AR,27,FALSE)))))))))
))/
IF(OR($X$5=TRUE,$AC$3=TRUE
),($F$3/2), IF(OR($X$2,$X$3,$X$4,$X$6,$X$7,$X$8,$Z$2,$Z$3,$Z$4,$Z$5,$Z$6,$Z$7,$Z$8)=TRUE,$F$3)),0),"-")</f>
        <v>-</v>
      </c>
      <c r="G154" s="36" t="str">
        <f>IFERROR(
ROUNDUP(
IF(AND($U$5=FALSE,$U$4=FALSE),"-",IF(AND($U$5=TRUE,$U$4=TRUE),"-",
IF((AND($U$4=TRUE,$U$5=FALSE,$U$6=FALSE,$U$7=FALSE)),VLOOKUP($E154,'Status Thresholds'!$E:$AR,3,FALSE),IF((AND($U$4=TRUE,$U$5=FALSE,$U$6=TRUE,$U$7=FALSE)),VLOOKUP($E154,'Status Thresholds'!$E:$AR,13,FALSE),IF((AND($U$4=TRUE,$U$5=FALSE,$U$6=TRUE,$U$7=TRUE)),VLOOKUP($E154,'Status Thresholds'!$E:$AR,18,FALSE),IF((AND($U$4=TRUE,$U$5=FALSE,$U$6=FALSE,$U$7=TRUE)),VLOOKUP($E154,'Status Thresholds'!$E:$AR,8,FALSE),
IF((AND($U$4=FALSE,$U$5=TRUE,$U$6=FALSE,$U$7=FALSE)),VLOOKUP($E154,'Status Thresholds'!$E:$AR,23,FALSE),IF((AND($U$4=FALSE,$U$5=TRUE,$U$6=TRUE,$U$7=FALSE)),VLOOKUP($E154,'Status Thresholds'!$E:$AR,33,FALSE),IF((AND($U$4=FALSE,$U$5=TRUE,$U$6=TRUE,$U$7=TRUE)),VLOOKUP($E154,'Status Thresholds'!$E:$AR,38,FALSE),IF((AND($U$4=FALSE,$U$5=TRUE,$U$6=FALSE,$U$7=TRUE)),VLOOKUP($E154,'Status Thresholds'!$E:$AR,28,FALSE)))))))))
))/
IF(OR($X$5=TRUE,$AC$3=TRUE
),($F$3/2), IF(OR($X$2,$X$3,$X$4,$X$6,$X$7,$X$8,$Z$2,$Z$3,$Z$4,$Z$5,$Z$6,$Z$7,$Z$8)=TRUE,$F$3)),0),"-")</f>
        <v>-</v>
      </c>
      <c r="H154" s="36" t="str">
        <f>IFERROR(
ROUNDUP(
IF(AND($U$5=FALSE,$U$4=FALSE),"-",IF(AND($U$5=TRUE,$U$4=TRUE),"-",
IF((AND($U$4=TRUE,$U$5=FALSE,$U$6=FALSE,$U$7=FALSE)),VLOOKUP($E154,'Status Thresholds'!$E:$AR,4,FALSE),IF((AND($U$4=TRUE,$U$5=FALSE,$U$6=TRUE,$U$7=FALSE)),VLOOKUP($E154,'Status Thresholds'!$E:$AR,14,FALSE),IF((AND($U$4=TRUE,$U$5=FALSE,$U$6=TRUE,$U$7=TRUE)),VLOOKUP($E154,'Status Thresholds'!$E:$AR,19,FALSE),IF((AND($U$4=TRUE,$U$5=FALSE,$U$6=FALSE,$U$7=TRUE)),VLOOKUP($E154,'Status Thresholds'!$E:$AR,9,FALSE),
IF((AND($U$4=FALSE,$U$5=TRUE,$U$6=FALSE,$U$7=FALSE)),VLOOKUP($E154,'Status Thresholds'!$E:$AR,24,FALSE),IF((AND($U$4=FALSE,$U$5=TRUE,$U$6=TRUE,$U$7=FALSE)),VLOOKUP($E154,'Status Thresholds'!$E:$AR,34,FALSE),IF((AND($U$4=FALSE,$U$5=TRUE,$U$6=TRUE,$U$7=TRUE)),VLOOKUP($E154,'Status Thresholds'!$E:$AR,39,FALSE),IF((AND($U$4=FALSE,$U$5=TRUE,$U$6=FALSE,$U$7=TRUE)),VLOOKUP($E154,'Status Thresholds'!$E:$AR,29,FALSE)))))))))
))/
IF(OR($X$5=TRUE,$AC$3=TRUE
),($F$3/2), IF(OR($X$2,$X$3,$X$4,$X$6,$X$7,$X$8,$Z$2,$Z$3,$Z$4,$Z$5,$Z$6,$Z$7,$Z$8)=TRUE,$F$3)),0),"-")</f>
        <v>-</v>
      </c>
      <c r="I154" s="36" t="str">
        <f>IFERROR(
ROUNDUP(
IF(AND($U$5=FALSE,$U$4=FALSE),"-",IF(AND($U$5=TRUE,$U$4=TRUE),"-",
IF((AND($U$4=TRUE,$U$5=FALSE,$U$6=FALSE,$U$7=FALSE)),VLOOKUP($E154,'Status Thresholds'!$E:$AR,5,FALSE),IF((AND($U$4=TRUE,$U$5=FALSE,$U$6=TRUE,$U$7=FALSE)),VLOOKUP($E154,'Status Thresholds'!$E:$AR,15,FALSE),IF((AND($U$4=TRUE,$U$5=FALSE,$U$6=TRUE,$U$7=TRUE)),VLOOKUP($E154,'Status Thresholds'!$E:$AR,20,FALSE),IF((AND($U$4=TRUE,$U$5=FALSE,$U$6=FALSE,$U$7=TRUE)),VLOOKUP($E154,'Status Thresholds'!$E:$AR,10,FALSE),
IF((AND($U$4=FALSE,$U$5=TRUE,$U$6=FALSE,$U$7=FALSE)),VLOOKUP($E154,'Status Thresholds'!$E:$AR,25,FALSE),IF((AND($U$4=FALSE,$U$5=TRUE,$U$6=TRUE,$U$7=FALSE)),VLOOKUP($E154,'Status Thresholds'!$E:$AR,35,FALSE),IF((AND($U$4=FALSE,$U$5=TRUE,$U$6=TRUE,$U$7=TRUE)),VLOOKUP($E154,'Status Thresholds'!$E:$AR,40,FALSE),IF((AND($U$4=FALSE,$U$5=TRUE,$U$6=FALSE,$U$7=TRUE)),VLOOKUP($E154,'Status Thresholds'!$E:$AR,30,FALSE)))))))))
))/
IF(OR($X$5=TRUE,$AC$3=TRUE
),($F$3/2), IF(OR($X$2,$X$3,$X$4,$X$6,$X$7,$X$8,$Z$2,$Z$3,$Z$4,$Z$5,$Z$6,$Z$7,$Z$8)=TRUE,$F$3)),0),"-")</f>
        <v>-</v>
      </c>
      <c r="J154" s="36">
        <f>IFERROR(IF(AND($U$5=FALSE,$U$4=FALSE),"-",VLOOKUP($E154,'Status Thresholds'!$E:$AU,41,FALSE)),"-")</f>
        <v>20</v>
      </c>
      <c r="K154" s="36" t="str">
        <f>IFERROR(IF(AND($U$5=FALSE,$U$4=FALSE),"-",VLOOKUP($E154,'Status Thresholds'!$E:$AU,42,FALSE)),"-")</f>
        <v>-</v>
      </c>
      <c r="L154" s="36" t="str">
        <f>IFERROR(IF(AND($U$5=FALSE,$U$4=FALSE),"-",VLOOKUP($E154,'Status Thresholds'!$E:$AU,43,FALSE)),"-")</f>
        <v>-</v>
      </c>
    </row>
    <row r="155" spans="1:12" hidden="1" x14ac:dyDescent="0.25">
      <c r="A155" s="35"/>
      <c r="B155" s="64" t="str">
        <f>IF('Status Thresholds'!A150=0, "", 'Status Thresholds'!A150)</f>
        <v>Deviant</v>
      </c>
      <c r="C155" s="64" t="str">
        <f>IF('Status Thresholds'!B150=0, "", 'Status Thresholds'!B150)</f>
        <v>Bulldrome</v>
      </c>
      <c r="D155" s="31" t="s">
        <v>32</v>
      </c>
      <c r="E155" s="36" t="str">
        <f t="shared" si="1"/>
        <v>BulldromeSleep</v>
      </c>
      <c r="F155" s="36" t="str">
        <f>IFERROR(
ROUNDUP(
IF(AND($U$5=FALSE,$U$4=FALSE),"-",IF(AND($U$5=TRUE,$U$4=TRUE),"-",
IF((AND($U$4=TRUE,$U$5=FALSE,$U$6=FALSE,$U$7=FALSE)),VLOOKUP($E155,'Status Thresholds'!$E:$AR,2,FALSE),IF((AND($U$4=TRUE,$U$5=FALSE,$U$6=TRUE,$U$7=FALSE)),VLOOKUP($E155,'Status Thresholds'!$E:$AR,12,FALSE),IF((AND($U$4=TRUE,$U$5=FALSE,$U$6=TRUE,$U$7=TRUE)),VLOOKUP($E155,'Status Thresholds'!$E:$AR,17,FALSE),IF((AND($U$4=TRUE,$U$5=FALSE,$U$6=FALSE,$U$7=TRUE)),VLOOKUP($E155,'Status Thresholds'!$E:$AR,7,FALSE),
IF((AND($U$4=FALSE,$U$5=TRUE,$U$6=FALSE,$U$7=FALSE)),VLOOKUP($E155,'Status Thresholds'!$E:$AR,22,FALSE),IF((AND($U$4=FALSE,$U$5=TRUE,$U$6=TRUE,$U$7=FALSE)),VLOOKUP($E155,'Status Thresholds'!$E:$AR,32,FALSE),IF((AND($U$4=FALSE,$U$5=TRUE,$U$6=TRUE,$U$7=TRUE)),VLOOKUP($E155,'Status Thresholds'!$E:$AR,37,FALSE),IF((AND($U$4=FALSE,$U$5=TRUE,$U$6=FALSE,$U$7=TRUE)),VLOOKUP($E155,'Status Thresholds'!$E:$AR,27,FALSE)))))))))
))/
IF(OR($X$5=TRUE,$AC$3=TRUE
),($F$4/2), IF(OR($X$2,$X$3,$X$4,$X$6,$X$7,$X$8,$Z$2,$Z$3,$Z$4,$Z$5,$Z$6,$Z$7,$Z$8)=TRUE,$F$4)),0),"-")</f>
        <v>-</v>
      </c>
      <c r="G155" s="36" t="str">
        <f>IFERROR(
ROUNDUP(
IF(AND($U$5=FALSE,$U$4=FALSE),"-",IF(AND($U$5=TRUE,$U$4=TRUE),"-",
IF((AND($U$4=TRUE,$U$5=FALSE,$U$6=FALSE,$U$7=FALSE)),VLOOKUP($E155,'Status Thresholds'!$E:$AR,3,FALSE),IF((AND($U$4=TRUE,$U$5=FALSE,$U$6=TRUE,$U$7=FALSE)),VLOOKUP($E155,'Status Thresholds'!$E:$AR,13,FALSE),IF((AND($U$4=TRUE,$U$5=FALSE,$U$6=TRUE,$U$7=TRUE)),VLOOKUP($E155,'Status Thresholds'!$E:$AR,18,FALSE),IF((AND($U$4=TRUE,$U$5=FALSE,$U$6=FALSE,$U$7=TRUE)),VLOOKUP($E155,'Status Thresholds'!$E:$AR,8,FALSE),
IF((AND($U$4=FALSE,$U$5=TRUE,$U$6=FALSE,$U$7=FALSE)),VLOOKUP($E155,'Status Thresholds'!$E:$AR,23,FALSE),IF((AND($U$4=FALSE,$U$5=TRUE,$U$6=TRUE,$U$7=FALSE)),VLOOKUP($E155,'Status Thresholds'!$E:$AR,33,FALSE),IF((AND($U$4=FALSE,$U$5=TRUE,$U$6=TRUE,$U$7=TRUE)),VLOOKUP($E155,'Status Thresholds'!$E:$AR,38,FALSE),IF((AND($U$4=FALSE,$U$5=TRUE,$U$6=FALSE,$U$7=TRUE)),VLOOKUP($E155,'Status Thresholds'!$E:$AR,28,FALSE)))))))))
))/
IF(OR($X$5=TRUE,$AC$3=TRUE
),($F$4/2), IF(OR($X$2,$X$3,$X$4,$X$6,$X$7,$X$8,$Z$2,$Z$3,$Z$4,$Z$5,$Z$6,$Z$7,$Z$8)=TRUE,$F$4)),0),"-")</f>
        <v>-</v>
      </c>
      <c r="H155" s="36" t="str">
        <f>IFERROR(
ROUNDUP(
IF(AND($U$5=FALSE,$U$4=FALSE),"-",IF(AND($U$5=TRUE,$U$4=TRUE),"-",
IF((AND($U$4=TRUE,$U$5=FALSE,$U$6=FALSE,$U$7=FALSE)),VLOOKUP($E155,'Status Thresholds'!$E:$AR,4,FALSE),IF((AND($U$4=TRUE,$U$5=FALSE,$U$6=TRUE,$U$7=FALSE)),VLOOKUP($E155,'Status Thresholds'!$E:$AR,14,FALSE),IF((AND($U$4=TRUE,$U$5=FALSE,$U$6=TRUE,$U$7=TRUE)),VLOOKUP($E155,'Status Thresholds'!$E:$AR,19,FALSE),IF((AND($U$4=TRUE,$U$5=FALSE,$U$6=FALSE,$U$7=TRUE)),VLOOKUP($E155,'Status Thresholds'!$E:$AR,9,FALSE),
IF((AND($U$4=FALSE,$U$5=TRUE,$U$6=FALSE,$U$7=FALSE)),VLOOKUP($E155,'Status Thresholds'!$E:$AR,24,FALSE),IF((AND($U$4=FALSE,$U$5=TRUE,$U$6=TRUE,$U$7=FALSE)),VLOOKUP($E155,'Status Thresholds'!$E:$AR,34,FALSE),IF((AND($U$4=FALSE,$U$5=TRUE,$U$6=TRUE,$U$7=TRUE)),VLOOKUP($E155,'Status Thresholds'!$E:$AR,39,FALSE),IF((AND($U$4=FALSE,$U$5=TRUE,$U$6=FALSE,$U$7=TRUE)),VLOOKUP($E155,'Status Thresholds'!$E:$AR,29,FALSE)))))))))
))/
IF(OR($X$5=TRUE,$AC$3=TRUE
),($F$4/2), IF(OR($X$2,$X$3,$X$4,$X$6,$X$7,$X$8,$Z$2,$Z$3,$Z$4,$Z$5,$Z$6,$Z$7,$Z$8)=TRUE,$F$4)),0),"-")</f>
        <v>-</v>
      </c>
      <c r="I155" s="36" t="str">
        <f>IFERROR(
ROUNDUP(
IF(AND($U$5=FALSE,$U$4=FALSE),"-",IF(AND($U$5=TRUE,$U$4=TRUE),"-",
IF((AND($U$4=TRUE,$U$5=FALSE,$U$6=FALSE,$U$7=FALSE)),VLOOKUP($E155,'Status Thresholds'!$E:$AR,5,FALSE),IF((AND($U$4=TRUE,$U$5=FALSE,$U$6=TRUE,$U$7=FALSE)),VLOOKUP($E155,'Status Thresholds'!$E:$AR,15,FALSE),IF((AND($U$4=TRUE,$U$5=FALSE,$U$6=TRUE,$U$7=TRUE)),VLOOKUP($E155,'Status Thresholds'!$E:$AR,20,FALSE),IF((AND($U$4=TRUE,$U$5=FALSE,$U$6=FALSE,$U$7=TRUE)),VLOOKUP($E155,'Status Thresholds'!$E:$AR,10,FALSE),
IF((AND($U$4=FALSE,$U$5=TRUE,$U$6=FALSE,$U$7=FALSE)),VLOOKUP($E155,'Status Thresholds'!$E:$AR,25,FALSE),IF((AND($U$4=FALSE,$U$5=TRUE,$U$6=TRUE,$U$7=FALSE)),VLOOKUP($E155,'Status Thresholds'!$E:$AR,35,FALSE),IF((AND($U$4=FALSE,$U$5=TRUE,$U$6=TRUE,$U$7=TRUE)),VLOOKUP($E155,'Status Thresholds'!$E:$AR,40,FALSE),IF((AND($U$4=FALSE,$U$5=TRUE,$U$6=FALSE,$U$7=TRUE)),VLOOKUP($E155,'Status Thresholds'!$E:$AR,30,FALSE)))))))))
))/
IF(OR($X$5=TRUE,$AC$3=TRUE
),($F$4/2), IF(OR($X$2,$X$3,$X$4,$X$6,$X$7,$X$8,$Z$2,$Z$3,$Z$4,$Z$5,$Z$6,$Z$7,$Z$8)=TRUE,$F$4)),0),"-")</f>
        <v>-</v>
      </c>
      <c r="J155" s="46">
        <f>IFERROR(IF(AND($U$5=FALSE,$U$4=FALSE),"-",VLOOKUP($E155,'Status Thresholds'!$E:$AU,41,FALSE)),"-")</f>
        <v>30</v>
      </c>
      <c r="K155" s="46" t="str">
        <f>IFERROR(IF(AND($U$5=FALSE,$U$4=FALSE),"-",VLOOKUP($E155,'Status Thresholds'!$E:$AU,42,FALSE)),"-")</f>
        <v>-</v>
      </c>
      <c r="L155" s="46" t="str">
        <f>IFERROR(IF(AND($U$5=FALSE,$U$4=FALSE),"-",VLOOKUP($E155,'Status Thresholds'!$E:$AU,43,FALSE)),"-")</f>
        <v>-</v>
      </c>
    </row>
    <row r="156" spans="1:12" hidden="1" x14ac:dyDescent="0.25">
      <c r="A156" s="35"/>
      <c r="B156" s="64" t="str">
        <f>IF('Status Thresholds'!A151=0, "", 'Status Thresholds'!A151)</f>
        <v>Deviant</v>
      </c>
      <c r="C156" s="64" t="str">
        <f>IF('Status Thresholds'!B151=0, "", 'Status Thresholds'!B151)</f>
        <v>Bulldrome</v>
      </c>
      <c r="D156" s="32" t="s">
        <v>33</v>
      </c>
      <c r="E156" s="36" t="str">
        <f t="shared" ref="E156:E219" si="2">$C156&amp;$D156</f>
        <v>BulldromePoison</v>
      </c>
      <c r="F156" s="36" t="str">
        <f>IFERROR(
ROUNDUP(
IF(AND($U$5=FALSE,$U$4=FALSE),"-",IF(AND($U$5=TRUE,$U$4=TRUE),"-",
IF((AND($U$4=TRUE,$U$5=FALSE,$U$6=FALSE,$U$7=FALSE)),VLOOKUP($E156,'Status Thresholds'!$E:$AR,2,FALSE),IF((AND($U$4=TRUE,$U$5=FALSE,$U$6=TRUE,$U$7=FALSE)),VLOOKUP($E156,'Status Thresholds'!$E:$AR,12,FALSE),IF((AND($U$4=TRUE,$U$5=FALSE,$U$6=TRUE,$U$7=TRUE)),VLOOKUP($E156,'Status Thresholds'!$E:$AR,17,FALSE),IF((AND($U$4=TRUE,$U$5=FALSE,$U$6=FALSE,$U$7=TRUE)),VLOOKUP($E156,'Status Thresholds'!$E:$AR,7,FALSE),
IF((AND($U$4=FALSE,$U$5=TRUE,$U$6=FALSE,$U$7=FALSE)),VLOOKUP($E156,'Status Thresholds'!$E:$AR,22,FALSE),IF((AND($U$4=FALSE,$U$5=TRUE,$U$6=TRUE,$U$7=FALSE)),VLOOKUP($E156,'Status Thresholds'!$E:$AR,32,FALSE),IF((AND($U$4=FALSE,$U$5=TRUE,$U$6=TRUE,$U$7=TRUE)),VLOOKUP($E156,'Status Thresholds'!$E:$AR,37,FALSE),IF((AND($U$4=FALSE,$U$5=TRUE,$U$6=FALSE,$U$7=TRUE)),VLOOKUP($E156,'Status Thresholds'!$E:$AR,27,FALSE)))))))))
))/
IF(OR($X$5=TRUE,$AC$3=TRUE
),($F$5/2), IF(OR($X$2,$X$3,$X$4,$X$6,$X$7,$X$8,$Z$2,$Z$3,$Z$4,$Z$5,$Z$6,$Z$7,$Z$8)=TRUE,$F$5)),0),"-")</f>
        <v>-</v>
      </c>
      <c r="G156" s="36" t="str">
        <f>IFERROR(
ROUNDUP(
IF(AND($U$5=FALSE,$U$4=FALSE),"-",IF(AND($U$5=TRUE,$U$4=TRUE),"-",
IF((AND($U$4=TRUE,$U$5=FALSE,$U$6=FALSE,$U$7=FALSE)),VLOOKUP($E156,'Status Thresholds'!$E:$AR,3,FALSE),IF((AND($U$4=TRUE,$U$5=FALSE,$U$6=TRUE,$U$7=FALSE)),VLOOKUP($E156,'Status Thresholds'!$E:$AR,13,FALSE),IF((AND($U$4=TRUE,$U$5=FALSE,$U$6=TRUE,$U$7=TRUE)),VLOOKUP($E156,'Status Thresholds'!$E:$AR,18,FALSE),IF((AND($U$4=TRUE,$U$5=FALSE,$U$6=FALSE,$U$7=TRUE)),VLOOKUP($E156,'Status Thresholds'!$E:$AR,8,FALSE),
IF((AND($U$4=FALSE,$U$5=TRUE,$U$6=FALSE,$U$7=FALSE)),VLOOKUP($E156,'Status Thresholds'!$E:$AR,23,FALSE),IF((AND($U$4=FALSE,$U$5=TRUE,$U$6=TRUE,$U$7=FALSE)),VLOOKUP($E156,'Status Thresholds'!$E:$AR,33,FALSE),IF((AND($U$4=FALSE,$U$5=TRUE,$U$6=TRUE,$U$7=TRUE)),VLOOKUP($E156,'Status Thresholds'!$E:$AR,38,FALSE),IF((AND($U$4=FALSE,$U$5=TRUE,$U$6=FALSE,$U$7=TRUE)),VLOOKUP($E156,'Status Thresholds'!$E:$AR,28,FALSE)))))))))
))/
IF(OR($X$5=TRUE,$AC$3=TRUE
),($F$5/2), IF(OR($X$2,$X$3,$X$4,$X$6,$X$7,$X$8,$Z$2,$Z$3,$Z$4,$Z$5,$Z$6,$Z$7,$Z$8)=TRUE,$F$5)),0),"-")</f>
        <v>-</v>
      </c>
      <c r="H156" s="36" t="str">
        <f>IFERROR(
ROUNDUP(
IF(AND($U$5=FALSE,$U$4=FALSE),"-",IF(AND($U$5=TRUE,$U$4=TRUE),"-",
IF((AND($U$4=TRUE,$U$5=FALSE,$U$6=FALSE,$U$7=FALSE)),VLOOKUP($E156,'Status Thresholds'!$E:$AR,4,FALSE),IF((AND($U$4=TRUE,$U$5=FALSE,$U$6=TRUE,$U$7=FALSE)),VLOOKUP($E156,'Status Thresholds'!$E:$AR,14,FALSE),IF((AND($U$4=TRUE,$U$5=FALSE,$U$6=TRUE,$U$7=TRUE)),VLOOKUP($E156,'Status Thresholds'!$E:$AR,19,FALSE),IF((AND($U$4=TRUE,$U$5=FALSE,$U$6=FALSE,$U$7=TRUE)),VLOOKUP($E156,'Status Thresholds'!$E:$AR,9,FALSE),
IF((AND($U$4=FALSE,$U$5=TRUE,$U$6=FALSE,$U$7=FALSE)),VLOOKUP($E156,'Status Thresholds'!$E:$AR,24,FALSE),IF((AND($U$4=FALSE,$U$5=TRUE,$U$6=TRUE,$U$7=FALSE)),VLOOKUP($E156,'Status Thresholds'!$E:$AR,34,FALSE),IF((AND($U$4=FALSE,$U$5=TRUE,$U$6=TRUE,$U$7=TRUE)),VLOOKUP($E156,'Status Thresholds'!$E:$AR,39,FALSE),IF((AND($U$4=FALSE,$U$5=TRUE,$U$6=FALSE,$U$7=TRUE)),VLOOKUP($E156,'Status Thresholds'!$E:$AR,29,FALSE)))))))))
))/
IF(OR($X$5=TRUE,$AC$3=TRUE
),($F$5/2), IF(OR($X$2,$X$3,$X$4,$X$6,$X$7,$X$8,$Z$2,$Z$3,$Z$4,$Z$5,$Z$6,$Z$7,$Z$8)=TRUE,$F$5)),0),"-")</f>
        <v>-</v>
      </c>
      <c r="I156" s="36" t="str">
        <f>IFERROR(
ROUNDUP(
IF(AND($U$5=FALSE,$U$4=FALSE),"-",IF(AND($U$5=TRUE,$U$4=TRUE),"-",
IF((AND($U$4=TRUE,$U$5=FALSE,$U$6=FALSE,$U$7=FALSE)),VLOOKUP($E156,'Status Thresholds'!$E:$AR,5,FALSE),IF((AND($U$4=TRUE,$U$5=FALSE,$U$6=TRUE,$U$7=FALSE)),VLOOKUP($E156,'Status Thresholds'!$E:$AR,15,FALSE),IF((AND($U$4=TRUE,$U$5=FALSE,$U$6=TRUE,$U$7=TRUE)),VLOOKUP($E156,'Status Thresholds'!$E:$AR,20,FALSE),IF((AND($U$4=TRUE,$U$5=FALSE,$U$6=FALSE,$U$7=TRUE)),VLOOKUP($E156,'Status Thresholds'!$E:$AR,10,FALSE),
IF((AND($U$4=FALSE,$U$5=TRUE,$U$6=FALSE,$U$7=FALSE)),VLOOKUP($E156,'Status Thresholds'!$E:$AR,25,FALSE),IF((AND($U$4=FALSE,$U$5=TRUE,$U$6=TRUE,$U$7=FALSE)),VLOOKUP($E156,'Status Thresholds'!$E:$AR,35,FALSE),IF((AND($U$4=FALSE,$U$5=TRUE,$U$6=TRUE,$U$7=TRUE)),VLOOKUP($E156,'Status Thresholds'!$E:$AR,40,FALSE),IF((AND($U$4=FALSE,$U$5=TRUE,$U$6=FALSE,$U$7=TRUE)),VLOOKUP($E156,'Status Thresholds'!$E:$AR,30,FALSE)))))))))
))/
IF(OR($X$5=TRUE,$AC$3=TRUE
),($F$5/2), IF(OR($X$2,$X$3,$X$4,$X$6,$X$7,$X$8,$Z$2,$Z$3,$Z$4,$Z$5,$Z$6,$Z$7,$Z$8)=TRUE,$F$5)),0),"-")</f>
        <v>-</v>
      </c>
      <c r="J156" s="46">
        <f>IFERROR(IF(AND($U$5=FALSE,$U$4=FALSE),"-",VLOOKUP($E156,'Status Thresholds'!$E:$AU,41,FALSE)),"-")</f>
        <v>90</v>
      </c>
      <c r="K156" s="46" t="str">
        <f>IFERROR(IF(AND($U$5=FALSE,$U$4=FALSE),"-",VLOOKUP($E156,'Status Thresholds'!$E:$AU,42,FALSE)),"-")</f>
        <v>-</v>
      </c>
      <c r="L156" s="46" t="str">
        <f>IFERROR(IF(AND($U$5=FALSE,$U$4=FALSE),"-",VLOOKUP($E156,'Status Thresholds'!$E:$AU,43,FALSE)),"-")</f>
        <v>-</v>
      </c>
    </row>
    <row r="157" spans="1:12" hidden="1" x14ac:dyDescent="0.25">
      <c r="A157" s="35"/>
      <c r="B157" s="64" t="str">
        <f>IF('Status Thresholds'!A152=0, "", 'Status Thresholds'!A152)</f>
        <v>Deviant</v>
      </c>
      <c r="C157" s="64" t="str">
        <f>IF('Status Thresholds'!B152=0, "", 'Status Thresholds'!B152)</f>
        <v>Bulldrome</v>
      </c>
      <c r="D157" s="10" t="s">
        <v>22</v>
      </c>
      <c r="E157" s="36" t="str">
        <f t="shared" si="2"/>
        <v>BulldromeExhaust</v>
      </c>
      <c r="F157" s="36" t="str">
        <f>IFERROR(
ROUNDUP(
IF(AND($U$5=FALSE,$U$4=FALSE),"-",IF(AND($U$5=TRUE,$U$4=TRUE),"-",
IF((AND($U$4=TRUE,$U$5=FALSE,$U$6=FALSE,$U$7=FALSE)),VLOOKUP($E157,'Status Thresholds'!$E:$AR,2,FALSE),IF((AND($U$4=TRUE,$U$5=FALSE,$U$6=TRUE,$U$7=FALSE)),VLOOKUP($E157,'Status Thresholds'!$E:$AR,12,FALSE),IF((AND($U$4=TRUE,$U$5=FALSE,$U$6=TRUE,$U$7=TRUE)),VLOOKUP($E157,'Status Thresholds'!$E:$AR,17,FALSE),IF((AND($U$4=TRUE,$U$5=FALSE,$U$6=FALSE,$U$7=TRUE)),VLOOKUP($E157,'Status Thresholds'!$E:$AR,7,FALSE),
IF((AND($U$4=FALSE,$U$5=TRUE,$U$6=FALSE,$U$7=FALSE)),VLOOKUP($E157,'Status Thresholds'!$E:$AR,22,FALSE),IF((AND($U$4=FALSE,$U$5=TRUE,$U$6=TRUE,$U$7=FALSE)),VLOOKUP($E157,'Status Thresholds'!$E:$AR,32,FALSE),IF((AND($U$4=FALSE,$U$5=TRUE,$U$6=TRUE,$U$7=TRUE)),VLOOKUP($E157,'Status Thresholds'!$E:$AR,37,FALSE),IF((AND($U$4=FALSE,$U$5=TRUE,$U$6=FALSE,$U$7=TRUE)),VLOOKUP($E157,'Status Thresholds'!$E:$AR,27,FALSE)))))))))
))/
IF(OR($X$5=TRUE,$AC$3=TRUE
),($F$6/2), IF(OR($X$2,$X$3,$X$4,$X$6,$X$7,$X$8,$Z$2,$Z$3,$Z$4,$Z$5,$Z$6,$Z$7,$Z$8)=TRUE,$F$6)),0),"-")</f>
        <v>-</v>
      </c>
      <c r="G157" s="36" t="str">
        <f>IFERROR(
ROUNDUP(
IF(AND($U$5=FALSE,$U$4=FALSE),"-",IF(AND($U$5=TRUE,$U$4=TRUE),"-",
IF((AND($U$4=TRUE,$U$5=FALSE,$U$6=FALSE,$U$7=FALSE)),VLOOKUP($E157,'Status Thresholds'!$E:$AR,3,FALSE),IF((AND($U$4=TRUE,$U$5=FALSE,$U$6=TRUE,$U$7=FALSE)),VLOOKUP($E157,'Status Thresholds'!$E:$AR,13,FALSE),IF((AND($U$4=TRUE,$U$5=FALSE,$U$6=TRUE,$U$7=TRUE)),VLOOKUP($E157,'Status Thresholds'!$E:$AR,18,FALSE),IF((AND($U$4=TRUE,$U$5=FALSE,$U$6=FALSE,$U$7=TRUE)),VLOOKUP($E157,'Status Thresholds'!$E:$AR,8,FALSE),
IF((AND($U$4=FALSE,$U$5=TRUE,$U$6=FALSE,$U$7=FALSE)),VLOOKUP($E157,'Status Thresholds'!$E:$AR,23,FALSE),IF((AND($U$4=FALSE,$U$5=TRUE,$U$6=TRUE,$U$7=FALSE)),VLOOKUP($E157,'Status Thresholds'!$E:$AR,33,FALSE),IF((AND($U$4=FALSE,$U$5=TRUE,$U$6=TRUE,$U$7=TRUE)),VLOOKUP($E157,'Status Thresholds'!$E:$AR,38,FALSE),IF((AND($U$4=FALSE,$U$5=TRUE,$U$6=FALSE,$U$7=TRUE)),VLOOKUP($E157,'Status Thresholds'!$E:$AR,28,FALSE)))))))))
))/
IF(OR($X$5=TRUE,$AC$3=TRUE
),($F$6/2), IF(OR($X$2,$X$3,$X$4,$X$6,$X$7,$X$8,$Z$2,$Z$3,$Z$4,$Z$5,$Z$6,$Z$7,$Z$8)=TRUE,$F$6)),0),"-")</f>
        <v>-</v>
      </c>
      <c r="H157" s="36" t="str">
        <f>IFERROR(
ROUNDUP(
IF(AND($U$5=FALSE,$U$4=FALSE),"-",IF(AND($U$5=TRUE,$U$4=TRUE),"-",
IF((AND($U$4=TRUE,$U$5=FALSE,$U$6=FALSE,$U$7=FALSE)),VLOOKUP($E157,'Status Thresholds'!$E:$AR,4,FALSE),IF((AND($U$4=TRUE,$U$5=FALSE,$U$6=TRUE,$U$7=FALSE)),VLOOKUP($E157,'Status Thresholds'!$E:$AR,14,FALSE),IF((AND($U$4=TRUE,$U$5=FALSE,$U$6=TRUE,$U$7=TRUE)),VLOOKUP($E157,'Status Thresholds'!$E:$AR,19,FALSE),IF((AND($U$4=TRUE,$U$5=FALSE,$U$6=FALSE,$U$7=TRUE)),VLOOKUP($E157,'Status Thresholds'!$E:$AR,9,FALSE),
IF((AND($U$4=FALSE,$U$5=TRUE,$U$6=FALSE,$U$7=FALSE)),VLOOKUP($E157,'Status Thresholds'!$E:$AR,24,FALSE),IF((AND($U$4=FALSE,$U$5=TRUE,$U$6=TRUE,$U$7=FALSE)),VLOOKUP($E157,'Status Thresholds'!$E:$AR,34,FALSE),IF((AND($U$4=FALSE,$U$5=TRUE,$U$6=TRUE,$U$7=TRUE)),VLOOKUP($E157,'Status Thresholds'!$E:$AR,39,FALSE),IF((AND($U$4=FALSE,$U$5=TRUE,$U$6=FALSE,$U$7=TRUE)),VLOOKUP($E157,'Status Thresholds'!$E:$AR,29,FALSE)))))))))
))/
IF(OR($X$5=TRUE,$AC$3=TRUE
),($F$6/2), IF(OR($X$2,$X$3,$X$4,$X$6,$X$7,$X$8,$Z$2,$Z$3,$Z$4,$Z$5,$Z$6,$Z$7,$Z$8)=TRUE,$F$6)),0),"-")</f>
        <v>-</v>
      </c>
      <c r="I157" s="36" t="str">
        <f>IFERROR(
ROUNDUP(
IF(AND($U$5=FALSE,$U$4=FALSE),"-",IF(AND($U$5=TRUE,$U$4=TRUE),"-",
IF((AND($U$4=TRUE,$U$5=FALSE,$U$6=FALSE,$U$7=FALSE)),VLOOKUP($E157,'Status Thresholds'!$E:$AR,5,FALSE),IF((AND($U$4=TRUE,$U$5=FALSE,$U$6=TRUE,$U$7=FALSE)),VLOOKUP($E157,'Status Thresholds'!$E:$AR,15,FALSE),IF((AND($U$4=TRUE,$U$5=FALSE,$U$6=TRUE,$U$7=TRUE)),VLOOKUP($E157,'Status Thresholds'!$E:$AR,20,FALSE),IF((AND($U$4=TRUE,$U$5=FALSE,$U$6=FALSE,$U$7=TRUE)),VLOOKUP($E157,'Status Thresholds'!$E:$AR,10,FALSE),
IF((AND($U$4=FALSE,$U$5=TRUE,$U$6=FALSE,$U$7=FALSE)),VLOOKUP($E157,'Status Thresholds'!$E:$AR,25,FALSE),IF((AND($U$4=FALSE,$U$5=TRUE,$U$6=TRUE,$U$7=FALSE)),VLOOKUP($E157,'Status Thresholds'!$E:$AR,35,FALSE),IF((AND($U$4=FALSE,$U$5=TRUE,$U$6=TRUE,$U$7=TRUE)),VLOOKUP($E157,'Status Thresholds'!$E:$AR,40,FALSE),IF((AND($U$4=FALSE,$U$5=TRUE,$U$6=FALSE,$U$7=TRUE)),VLOOKUP($E157,'Status Thresholds'!$E:$AR,30,FALSE)))))))))
))/
IF(OR($X$5=TRUE,$AC$3=TRUE
),($F$6/2), IF(OR($X$2,$X$3,$X$4,$X$6,$X$7,$X$8,$Z$2,$Z$3,$Z$4,$Z$5,$Z$6,$Z$7,$Z$8)=TRUE,$F$6)),0),"-")</f>
        <v>-</v>
      </c>
      <c r="J157" s="46">
        <f>IFERROR(IF(AND($U$5=FALSE,$U$4=FALSE),"-",VLOOKUP($E157,'Status Thresholds'!$E:$AU,41,FALSE)),"-")</f>
        <v>0</v>
      </c>
      <c r="K157" s="46" t="str">
        <f>IFERROR(IF(AND($U$5=FALSE,$U$4=FALSE),"-",VLOOKUP($E157,'Status Thresholds'!$E:$AU,42,FALSE)),"-")</f>
        <v>-</v>
      </c>
      <c r="L157" s="46" t="str">
        <f>IFERROR(IF(AND($U$5=FALSE,$U$4=FALSE),"-",VLOOKUP($E157,'Status Thresholds'!$E:$AU,43,FALSE)),"-")</f>
        <v>-</v>
      </c>
    </row>
    <row r="158" spans="1:12" hidden="1" x14ac:dyDescent="0.25">
      <c r="A158" s="35"/>
      <c r="B158" s="64" t="str">
        <f>IF('Status Thresholds'!A153=0, "", 'Status Thresholds'!A153)</f>
        <v>Deviant</v>
      </c>
      <c r="C158" s="64" t="str">
        <f>IF('Status Thresholds'!B153=0, "", 'Status Thresholds'!B153)</f>
        <v>Bulldrome</v>
      </c>
      <c r="D158" s="30" t="s">
        <v>35</v>
      </c>
      <c r="E158" s="36" t="str">
        <f t="shared" si="2"/>
        <v>BulldromeBlast</v>
      </c>
      <c r="F158" s="36" t="str">
        <f>IFERROR(
ROUNDUP(
IF(AND($U$5=FALSE,$U$4=FALSE),"-",IF(AND($U$5=TRUE,$U$4=TRUE),"-",
IF((AND($U$4=TRUE,$U$5=FALSE,$U$6=FALSE,$U$7=FALSE)),VLOOKUP($E158,'Status Thresholds'!$E:$AR,2,FALSE),IF((AND($U$4=TRUE,$U$5=FALSE,$U$6=TRUE,$U$7=FALSE)),VLOOKUP($E158,'Status Thresholds'!$E:$AR,12,FALSE),IF((AND($U$4=TRUE,$U$5=FALSE,$U$6=TRUE,$U$7=TRUE)),VLOOKUP($E158,'Status Thresholds'!$E:$AR,17,FALSE),IF((AND($U$4=TRUE,$U$5=FALSE,$U$6=FALSE,$U$7=TRUE)),VLOOKUP($E158,'Status Thresholds'!$E:$AR,7,FALSE),
IF((AND($U$4=FALSE,$U$5=TRUE,$U$6=FALSE,$U$7=FALSE)),VLOOKUP($E158,'Status Thresholds'!$E:$AR,22,FALSE),IF((AND($U$4=FALSE,$U$5=TRUE,$U$6=TRUE,$U$7=FALSE)),VLOOKUP($E158,'Status Thresholds'!$E:$AR,32,FALSE),IF((AND($U$4=FALSE,$U$5=TRUE,$U$6=TRUE,$U$7=TRUE)),VLOOKUP($E158,'Status Thresholds'!$E:$AR,37,FALSE),IF((AND($U$4=FALSE,$U$5=TRUE,$U$6=FALSE,$U$7=TRUE)),VLOOKUP($E158,'Status Thresholds'!$E:$AR,27,FALSE)))))))))
))/
IF(OR($X$5=TRUE,$AC$3=TRUE
),($F$7/2), IF(OR($X$2,$X$3,$X$4,$X$6,$X$7,$X$8,$Z$2,$Z$3,$Z$4,$Z$5,$Z$6,$Z$7,$Z$8)=TRUE,$F$7)),0),"-")</f>
        <v>-</v>
      </c>
      <c r="G158" s="36" t="str">
        <f>IFERROR(
ROUNDUP(
IF(AND($U$5=FALSE,$U$4=FALSE),"-",IF(AND($U$5=TRUE,$U$4=TRUE),"-",
IF((AND($U$4=TRUE,$U$5=FALSE,$U$6=FALSE,$U$7=FALSE)),VLOOKUP($E158,'Status Thresholds'!$E:$AR,3,FALSE),IF((AND($U$4=TRUE,$U$5=FALSE,$U$6=TRUE,$U$7=FALSE)),VLOOKUP($E158,'Status Thresholds'!$E:$AR,13,FALSE),IF((AND($U$4=TRUE,$U$5=FALSE,$U$6=TRUE,$U$7=TRUE)),VLOOKUP($E158,'Status Thresholds'!$E:$AR,18,FALSE),IF((AND($U$4=TRUE,$U$5=FALSE,$U$6=FALSE,$U$7=TRUE)),VLOOKUP($E158,'Status Thresholds'!$E:$AR,8,FALSE),
IF((AND($U$4=FALSE,$U$5=TRUE,$U$6=FALSE,$U$7=FALSE)),VLOOKUP($E158,'Status Thresholds'!$E:$AR,23,FALSE),IF((AND($U$4=FALSE,$U$5=TRUE,$U$6=TRUE,$U$7=FALSE)),VLOOKUP($E158,'Status Thresholds'!$E:$AR,33,FALSE),IF((AND($U$4=FALSE,$U$5=TRUE,$U$6=TRUE,$U$7=TRUE)),VLOOKUP($E158,'Status Thresholds'!$E:$AR,38,FALSE),IF((AND($U$4=FALSE,$U$5=TRUE,$U$6=FALSE,$U$7=TRUE)),VLOOKUP($E158,'Status Thresholds'!$E:$AR,28,FALSE)))))))))
))/
IF(OR($X$5=TRUE,$AC$3=TRUE
),($F$7/2), IF(OR($X$2,$X$3,$X$4,$X$6,$X$7,$X$8,$Z$2,$Z$3,$Z$4,$Z$5,$Z$6,$Z$7,$Z$8)=TRUE,$F$7)),0),"-")</f>
        <v>-</v>
      </c>
      <c r="H158" s="36" t="str">
        <f>IFERROR(
ROUNDUP(
IF(AND($U$5=FALSE,$U$4=FALSE),"-",IF(AND($U$5=TRUE,$U$4=TRUE),"-",
IF((AND($U$4=TRUE,$U$5=FALSE,$U$6=FALSE,$U$7=FALSE)),VLOOKUP($E158,'Status Thresholds'!$E:$AR,4,FALSE),IF((AND($U$4=TRUE,$U$5=FALSE,$U$6=TRUE,$U$7=FALSE)),VLOOKUP($E158,'Status Thresholds'!$E:$AR,14,FALSE),IF((AND($U$4=TRUE,$U$5=FALSE,$U$6=TRUE,$U$7=TRUE)),VLOOKUP($E158,'Status Thresholds'!$E:$AR,19,FALSE),IF((AND($U$4=TRUE,$U$5=FALSE,$U$6=FALSE,$U$7=TRUE)),VLOOKUP($E158,'Status Thresholds'!$E:$AR,9,FALSE),
IF((AND($U$4=FALSE,$U$5=TRUE,$U$6=FALSE,$U$7=FALSE)),VLOOKUP($E158,'Status Thresholds'!$E:$AR,24,FALSE),IF((AND($U$4=FALSE,$U$5=TRUE,$U$6=TRUE,$U$7=FALSE)),VLOOKUP($E158,'Status Thresholds'!$E:$AR,34,FALSE),IF((AND($U$4=FALSE,$U$5=TRUE,$U$6=TRUE,$U$7=TRUE)),VLOOKUP($E158,'Status Thresholds'!$E:$AR,39,FALSE),IF((AND($U$4=FALSE,$U$5=TRUE,$U$6=FALSE,$U$7=TRUE)),VLOOKUP($E158,'Status Thresholds'!$E:$AR,29,FALSE)))))))))
))/
IF(OR($X$5=TRUE,$AC$3=TRUE
),($F$7/2), IF(OR($X$2,$X$3,$X$4,$X$6,$X$7,$X$8,$Z$2,$Z$3,$Z$4,$Z$5,$Z$6,$Z$7,$Z$8)=TRUE,$F$7)),0),"-")</f>
        <v>-</v>
      </c>
      <c r="I158" s="36" t="str">
        <f>IFERROR(
ROUNDUP(
IF(AND($U$5=FALSE,$U$4=FALSE),"-",IF(AND($U$5=TRUE,$U$4=TRUE),"-",
IF((AND($U$4=TRUE,$U$5=FALSE,$U$6=FALSE,$U$7=FALSE)),VLOOKUP($E158,'Status Thresholds'!$E:$AR,5,FALSE),IF((AND($U$4=TRUE,$U$5=FALSE,$U$6=TRUE,$U$7=FALSE)),VLOOKUP($E158,'Status Thresholds'!$E:$AR,15,FALSE),IF((AND($U$4=TRUE,$U$5=FALSE,$U$6=TRUE,$U$7=TRUE)),VLOOKUP($E158,'Status Thresholds'!$E:$AR,20,FALSE),IF((AND($U$4=TRUE,$U$5=FALSE,$U$6=FALSE,$U$7=TRUE)),VLOOKUP($E158,'Status Thresholds'!$E:$AR,10,FALSE),
IF((AND($U$4=FALSE,$U$5=TRUE,$U$6=FALSE,$U$7=FALSE)),VLOOKUP($E158,'Status Thresholds'!$E:$AR,25,FALSE),IF((AND($U$4=FALSE,$U$5=TRUE,$U$6=TRUE,$U$7=FALSE)),VLOOKUP($E158,'Status Thresholds'!$E:$AR,35,FALSE),IF((AND($U$4=FALSE,$U$5=TRUE,$U$6=TRUE,$U$7=TRUE)),VLOOKUP($E158,'Status Thresholds'!$E:$AR,40,FALSE),IF((AND($U$4=FALSE,$U$5=TRUE,$U$6=FALSE,$U$7=TRUE)),VLOOKUP($E158,'Status Thresholds'!$E:$AR,30,FALSE)))))))))
))/
IF(OR($X$5=TRUE,$AC$3=TRUE
),($F$7/2), IF(OR($X$2,$X$3,$X$4,$X$6,$X$7,$X$8,$Z$2,$Z$3,$Z$4,$Z$5,$Z$6,$Z$7,$Z$8)=TRUE,$F$7)),0),"-")</f>
        <v>-</v>
      </c>
      <c r="J158" s="46">
        <f>IFERROR(IF(AND($U$5=FALSE,$U$4=FALSE),"-",VLOOKUP($E158,'Status Thresholds'!$E:$AU,41,FALSE)),"-")</f>
        <v>0</v>
      </c>
      <c r="K158" s="46" t="str">
        <f>IFERROR(IF(AND($U$5=FALSE,$U$4=FALSE),"-",VLOOKUP($E158,'Status Thresholds'!$E:$AU,42,FALSE)),"-")</f>
        <v>-</v>
      </c>
      <c r="L158" s="46" t="str">
        <f>IFERROR(IF(AND($U$5=FALSE,$U$4=FALSE),"-",VLOOKUP($E158,'Status Thresholds'!$E:$AU,43,FALSE)),"-")</f>
        <v>-</v>
      </c>
    </row>
    <row r="159" spans="1:12" ht="14.45" hidden="1" customHeight="1" x14ac:dyDescent="0.25">
      <c r="A159" s="35"/>
      <c r="B159" s="64" t="str">
        <f>IF('Status Thresholds'!A154=0, "", 'Status Thresholds'!A154)</f>
        <v>Deviant</v>
      </c>
      <c r="C159" s="64" t="str">
        <f>IF('Status Thresholds'!B154=0, "", 'Status Thresholds'!B154)</f>
        <v>Bulldrome</v>
      </c>
      <c r="D159" s="34" t="s">
        <v>14</v>
      </c>
      <c r="E159" s="36" t="str">
        <f t="shared" si="2"/>
        <v>BulldromeKO</v>
      </c>
      <c r="F159" s="36" t="s">
        <v>214</v>
      </c>
      <c r="G159" s="36" t="s">
        <v>214</v>
      </c>
      <c r="H159" s="36" t="s">
        <v>214</v>
      </c>
      <c r="I159" s="36" t="s">
        <v>214</v>
      </c>
      <c r="J159" s="46">
        <f>IFERROR(IF(AND($U$5=FALSE,$U$4=FALSE),"-",VLOOKUP($E159,'Status Thresholds'!$E:$AU,41,FALSE)),"-")</f>
        <v>10</v>
      </c>
      <c r="K159" s="46" t="str">
        <f>IFERROR(IF(AND($U$5=FALSE,$U$4=FALSE),"-",VLOOKUP($E159,'Status Thresholds'!$E:$AU,42,FALSE)),"-")</f>
        <v>-</v>
      </c>
      <c r="L159" s="46" t="str">
        <f>IFERROR(IF(AND($U$5=FALSE,$U$4=FALSE),"-",VLOOKUP($E159,'Status Thresholds'!$E:$AU,43,FALSE)),"-")</f>
        <v>-</v>
      </c>
    </row>
    <row r="160" spans="1:12" hidden="1" x14ac:dyDescent="0.25">
      <c r="A160" s="35"/>
      <c r="B160" s="64" t="str">
        <f>IF('Status Thresholds'!A155=0, "", 'Status Thresholds'!A155)</f>
        <v>Deviant</v>
      </c>
      <c r="C160" s="64" t="str">
        <f>IF('Status Thresholds'!B155=0, "", 'Status Thresholds'!B155)</f>
        <v>Bulldrome</v>
      </c>
      <c r="D160" s="33" t="s">
        <v>34</v>
      </c>
      <c r="E160" s="36" t="str">
        <f t="shared" si="2"/>
        <v>BulldromeMount</v>
      </c>
      <c r="F160" s="36" t="str">
        <f>IFERROR(
ROUNDUP(
IF(AND($U$5=FALSE,$U$4=FALSE),"-",IF(AND($U$5=TRUE,$U$4=TRUE),"-",
IF((AND($U$4=TRUE,$U$5=FALSE,$U$6=FALSE,$U$7=FALSE)),VLOOKUP($E160,'Status Thresholds'!$E:$AR,2,FALSE),IF((AND($U$4=TRUE,$U$5=FALSE,$U$6=TRUE,$U$7=FALSE)),VLOOKUP($E160,'Status Thresholds'!$E:$AR,12,FALSE),IF((AND($U$4=TRUE,$U$5=FALSE,$U$6=TRUE,$U$7=TRUE)),VLOOKUP($E160,'Status Thresholds'!$E:$AR,17,FALSE),IF((AND($U$4=TRUE,$U$5=FALSE,$U$6=FALSE,$U$7=TRUE)),VLOOKUP($E160,'Status Thresholds'!$E:$AR,7,FALSE),
IF((AND($U$4=FALSE,$U$5=TRUE,$U$6=FALSE,$U$7=FALSE)),VLOOKUP($E160,'Status Thresholds'!$E:$AR,22,FALSE),IF((AND($U$4=FALSE,$U$5=TRUE,$U$6=TRUE,$U$7=FALSE)),VLOOKUP($E160,'Status Thresholds'!$E:$AR,32,FALSE),IF((AND($U$4=FALSE,$U$5=TRUE,$U$6=TRUE,$U$7=TRUE)),VLOOKUP($E160,'Status Thresholds'!$E:$AR,37,FALSE),IF((AND($U$4=FALSE,$U$5=TRUE,$U$6=FALSE,$U$7=TRUE)),VLOOKUP($E160,'Status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160" s="36" t="str">
        <f>IFERROR(
ROUNDUP(
IF(AND($U$5=FALSE,$U$4=FALSE),"-",IF(AND($U$5=TRUE,$U$4=TRUE),"-",
IF((AND($U$4=TRUE,$U$5=FALSE,$U$6=FALSE,$U$7=FALSE)),VLOOKUP($E159,'Status Thresholds'!$E:$AR,3,FALSE),IF((AND($U$4=TRUE,$U$5=FALSE,$U$6=TRUE,$U$7=FALSE)),VLOOKUP($E159,'Status Thresholds'!$E:$AR,13,FALSE),IF((AND($U$4=TRUE,$U$5=FALSE,$U$6=TRUE,$U$7=TRUE)),VLOOKUP($E159,'Status Thresholds'!$E:$AR,18,FALSE),IF((AND($U$4=TRUE,$U$5=FALSE,$U$6=FALSE,$U$7=TRUE)),VLOOKUP($E159,'Status Thresholds'!$E:$AR,8,FALSE),
IF((AND($U$4=FALSE,$U$5=TRUE,$U$6=FALSE,$U$7=FALSE)),VLOOKUP($E159,'Status Thresholds'!$E:$AR,23,FALSE),IF((AND($U$4=FALSE,$U$5=TRUE,$U$6=TRUE,$U$7=FALSE)),VLOOKUP($E159,'Status Thresholds'!$E:$AR,33,FALSE),IF((AND($U$4=FALSE,$U$5=TRUE,$U$6=TRUE,$U$7=TRUE)),VLOOKUP($E159,'Status Thresholds'!$E:$AR,38,FALSE),IF((AND($U$4=FALSE,$U$5=TRUE,$U$6=FALSE,$U$7=TRUE)),VLOOKUP($E159,'Status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160" s="36" t="str">
        <f>IFERROR(
ROUNDUP(
IF(AND($U$5=FALSE,$U$4=FALSE),"-",IF(AND($U$5=TRUE,$U$4=TRUE),"-",
IF((AND($U$4=TRUE,$U$5=FALSE,$U$6=FALSE,$U$7=FALSE)),VLOOKUP($E159,'Status Thresholds'!$E:$AR,4,FALSE),IF((AND($U$4=TRUE,$U$5=FALSE,$U$6=TRUE,$U$7=FALSE)),VLOOKUP($E159,'Status Thresholds'!$E:$AR,14,FALSE),IF((AND($U$4=TRUE,$U$5=FALSE,$U$6=TRUE,$U$7=TRUE)),VLOOKUP($E159,'Status Thresholds'!$E:$AR,19,FALSE),IF((AND($U$4=TRUE,$U$5=FALSE,$U$6=FALSE,$U$7=TRUE)),VLOOKUP($E159,'Status Thresholds'!$E:$AR,9,FALSE),
IF((AND($U$4=FALSE,$U$5=TRUE,$U$6=FALSE,$U$7=FALSE)),VLOOKUP($E159,'Status Thresholds'!$E:$AR,24,FALSE),IF((AND($U$4=FALSE,$U$5=TRUE,$U$6=TRUE,$U$7=FALSE)),VLOOKUP($E159,'Status Thresholds'!$E:$AR,34,FALSE),IF((AND($U$4=FALSE,$U$5=TRUE,$U$6=TRUE,$U$7=TRUE)),VLOOKUP($E159,'Status Thresholds'!$E:$AR,39,FALSE),IF((AND($U$4=FALSE,$U$5=TRUE,$U$6=FALSE,$U$7=TRUE)),VLOOKUP($E159,'Status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160" s="36" t="str">
        <f>IFERROR(
ROUNDUP(
IF(AND($U$5=FALSE,$U$4=FALSE),"-",IF(AND($U$5=TRUE,$U$4=TRUE),"-",
IF((AND($U$4=TRUE,$U$5=FALSE,$U$6=FALSE,$U$7=FALSE)),VLOOKUP($E159,'Status Thresholds'!$E:$AR,5,FALSE),IF((AND($U$4=TRUE,$U$5=FALSE,$U$6=TRUE,$U$7=FALSE)),VLOOKUP($E159,'Status Thresholds'!$E:$AR,15,FALSE),IF((AND($U$4=TRUE,$U$5=FALSE,$U$6=TRUE,$U$7=TRUE)),VLOOKUP($E159,'Status Thresholds'!$E:$AR,20,FALSE),IF((AND($U$4=TRUE,$U$5=FALSE,$U$6=FALSE,$U$7=TRUE)),VLOOKUP($E159,'Status Thresholds'!$E:$AR,10,FALSE),
IF((AND($U$4=FALSE,$U$5=TRUE,$U$6=FALSE,$U$7=FALSE)),VLOOKUP($E159,'Status Thresholds'!$E:$AR,25,FALSE),IF((AND($U$4=FALSE,$U$5=TRUE,$U$6=TRUE,$U$7=FALSE)),VLOOKUP($E159,'Status Thresholds'!$E:$AR,35,FALSE),IF((AND($U$4=FALSE,$U$5=TRUE,$U$6=TRUE,$U$7=TRUE)),VLOOKUP($E159,'Status Thresholds'!$E:$AR,40,FALSE),IF((AND($U$4=FALSE,$U$5=TRUE,$U$6=FALSE,$U$7=TRUE)),VLOOKUP($E159,'Status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160" s="46">
        <f>IFERROR(IF(AND($U$5=FALSE,$U$4=FALSE),"-",VLOOKUP($E160,'Status Thresholds'!$E:$AU,41,FALSE)),"-")</f>
        <v>0</v>
      </c>
      <c r="K160" s="46" t="str">
        <f>IFERROR(IF(AND($U$5=FALSE,$U$4=FALSE),"-",VLOOKUP($E160,'Status Thresholds'!$E:$AU,42,FALSE)),"-")</f>
        <v>-</v>
      </c>
      <c r="L160" s="46" t="str">
        <f>IFERROR(IF(AND($U$5=FALSE,$U$4=FALSE),"-",VLOOKUP($E160,'Status Thresholds'!$E:$AU,43,FALSE)),"-")</f>
        <v>-</v>
      </c>
    </row>
    <row r="161" spans="1:12" ht="15" hidden="1" customHeight="1" x14ac:dyDescent="0.25">
      <c r="A161" s="35"/>
      <c r="B161" s="64" t="str">
        <f>IF('Status Thresholds'!A156=0, "", 'Status Thresholds'!A156)</f>
        <v>Deviant</v>
      </c>
      <c r="C161" s="64" t="str">
        <f>IF('Status Thresholds'!B156=0, "", 'Status Thresholds'!B156)</f>
        <v>Bulldrome</v>
      </c>
      <c r="D161" s="77" t="s">
        <v>207</v>
      </c>
      <c r="E161" s="36" t="str">
        <f t="shared" si="2"/>
        <v>BulldromeShock Trap</v>
      </c>
      <c r="F161" s="76" t="s">
        <v>214</v>
      </c>
      <c r="G161" s="46" t="s">
        <v>214</v>
      </c>
      <c r="H161" s="46" t="s">
        <v>214</v>
      </c>
      <c r="I161" s="46" t="s">
        <v>214</v>
      </c>
      <c r="J161" s="46">
        <f>IFERROR(IF(AND($U$5=FALSE,$U$4=FALSE),"-",VLOOKUP($E161,'Status Thresholds'!$E:$AU,43,FALSE)),"-")</f>
        <v>15</v>
      </c>
      <c r="K161" s="46">
        <f>IFERROR(IF(AND($U$5=FALSE,$U$4=FALSE),"-",VLOOKUP($E161,'Status Thresholds'!$E:$AU,41,FALSE)),"-")</f>
        <v>15</v>
      </c>
      <c r="L161" s="46">
        <f>IFERROR(IF(AND($U$5=FALSE,$U$4=FALSE),"-",VLOOKUP($E161,'Status Thresholds'!$E:$AU,42,FALSE)),"-")</f>
        <v>25</v>
      </c>
    </row>
    <row r="162" spans="1:12" hidden="1" x14ac:dyDescent="0.25">
      <c r="A162" s="35"/>
      <c r="B162" s="64" t="str">
        <f>IF('Status Thresholds'!A157=0, "", 'Status Thresholds'!A157)</f>
        <v>Deviant</v>
      </c>
      <c r="C162" s="64" t="str">
        <f>IF('Status Thresholds'!B157=0, "", 'Status Thresholds'!B157)</f>
        <v>Bulldrome</v>
      </c>
      <c r="D162" s="77" t="s">
        <v>213</v>
      </c>
      <c r="E162" s="36" t="str">
        <f t="shared" si="2"/>
        <v>BulldromePitfall Trap</v>
      </c>
      <c r="F162" s="46" t="s">
        <v>214</v>
      </c>
      <c r="G162" s="46" t="s">
        <v>214</v>
      </c>
      <c r="H162" s="46" t="s">
        <v>214</v>
      </c>
      <c r="I162" s="46" t="s">
        <v>214</v>
      </c>
      <c r="J162" s="46">
        <f>IFERROR(IF(AND($U$5=FALSE,$U$4=FALSE),"-",VLOOKUP($E162,'Status Thresholds'!$E:$AU,43,FALSE)),"-")</f>
        <v>15</v>
      </c>
      <c r="K162" s="46">
        <f>IFERROR(IF(AND($U$5=FALSE,$U$4=FALSE),"-",VLOOKUP($E162,'Status Thresholds'!$E:$AU,41,FALSE)),"-")</f>
        <v>15</v>
      </c>
      <c r="L162" s="46">
        <f>IFERROR(IF(AND($U$5=FALSE,$U$4=FALSE),"-",VLOOKUP($E162,'Status Thresholds'!$E:$AU,42,FALSE)),"-")</f>
        <v>25</v>
      </c>
    </row>
    <row r="163" spans="1:12" s="36" customFormat="1" x14ac:dyDescent="0.25">
      <c r="A163" s="64"/>
      <c r="B163" s="64" t="str">
        <f>VLOOKUP(C163,'Status Thresholds'!B:C,2,FALSE)</f>
        <v>MHGen</v>
      </c>
      <c r="C163" s="64" t="str">
        <f>IF('Status Thresholds'!B158=0, "", 'Status Thresholds'!B158)</f>
        <v>Cephadrome</v>
      </c>
      <c r="D163" s="37" t="s">
        <v>0</v>
      </c>
      <c r="E163" s="36" t="str">
        <f t="shared" si="2"/>
        <v>CephadromePara</v>
      </c>
      <c r="F163" s="36" t="str">
        <f>IFERROR(
ROUNDUP(
IF(AND($U$5=FALSE,$U$4=FALSE),"-",IF(AND($U$5=TRUE,$U$4=TRUE),"-",
IF((AND($U$4=TRUE,$U$5=FALSE,$U$6=FALSE,$U$7=FALSE)),VLOOKUP($E163,'Status Thresholds'!$E:$AR,2,FALSE),IF((AND($U$4=TRUE,$U$5=FALSE,$U$6=TRUE,$U$7=FALSE)),VLOOKUP($E163,'Status Thresholds'!$E:$AR,12,FALSE),IF((AND($U$4=TRUE,$U$5=FALSE,$U$6=TRUE,$U$7=TRUE)),VLOOKUP($E163,'Status Thresholds'!$E:$AR,17,FALSE),IF((AND($U$4=TRUE,$U$5=FALSE,$U$6=FALSE,$U$7=TRUE)),VLOOKUP($E163,'Status Thresholds'!$E:$AR,7,FALSE),
IF((AND($U$4=FALSE,$U$5=TRUE,$U$6=FALSE,$U$7=FALSE)),VLOOKUP($E163,'Status Thresholds'!$E:$AR,22,FALSE),IF((AND($U$4=FALSE,$U$5=TRUE,$U$6=TRUE,$U$7=FALSE)),VLOOKUP($E163,'Status Thresholds'!$E:$AR,32,FALSE),IF((AND($U$4=FALSE,$U$5=TRUE,$U$6=TRUE,$U$7=TRUE)),VLOOKUP($E163,'Status Thresholds'!$E:$AR,37,FALSE),IF((AND($U$4=FALSE,$U$5=TRUE,$U$6=FALSE,$U$7=TRUE)),VLOOKUP($E163,'Status Thresholds'!$E:$AR,27,FALSE)))))))))
))/
IF(OR($X$5=TRUE,$AC$3=TRUE
),($F$3/2), IF(OR($X$2,$X$3,$X$4,$X$6,$X$7,$X$8,$Z$2,$Z$3,$Z$4,$Z$5,$Z$6,$Z$7,$Z$8)=TRUE,$F$3)),0),"-")</f>
        <v>-</v>
      </c>
      <c r="G163" s="36" t="str">
        <f>IFERROR(
ROUNDUP(
IF(AND($U$5=FALSE,$U$4=FALSE),"-",IF(AND($U$5=TRUE,$U$4=TRUE),"-",
IF((AND($U$4=TRUE,$U$5=FALSE,$U$6=FALSE,$U$7=FALSE)),VLOOKUP($E163,'Status Thresholds'!$E:$AR,3,FALSE),IF((AND($U$4=TRUE,$U$5=FALSE,$U$6=TRUE,$U$7=FALSE)),VLOOKUP($E163,'Status Thresholds'!$E:$AR,13,FALSE),IF((AND($U$4=TRUE,$U$5=FALSE,$U$6=TRUE,$U$7=TRUE)),VLOOKUP($E163,'Status Thresholds'!$E:$AR,18,FALSE),IF((AND($U$4=TRUE,$U$5=FALSE,$U$6=FALSE,$U$7=TRUE)),VLOOKUP($E163,'Status Thresholds'!$E:$AR,8,FALSE),
IF((AND($U$4=FALSE,$U$5=TRUE,$U$6=FALSE,$U$7=FALSE)),VLOOKUP($E163,'Status Thresholds'!$E:$AR,23,FALSE),IF((AND($U$4=FALSE,$U$5=TRUE,$U$6=TRUE,$U$7=FALSE)),VLOOKUP($E163,'Status Thresholds'!$E:$AR,33,FALSE),IF((AND($U$4=FALSE,$U$5=TRUE,$U$6=TRUE,$U$7=TRUE)),VLOOKUP($E163,'Status Thresholds'!$E:$AR,38,FALSE),IF((AND($U$4=FALSE,$U$5=TRUE,$U$6=FALSE,$U$7=TRUE)),VLOOKUP($E163,'Status Thresholds'!$E:$AR,28,FALSE)))))))))
))/
IF(OR($X$5=TRUE,$AC$3=TRUE
),($F$3/2), IF(OR($X$2,$X$3,$X$4,$X$6,$X$7,$X$8,$Z$2,$Z$3,$Z$4,$Z$5,$Z$6,$Z$7,$Z$8)=TRUE,$F$3)),0),"-")</f>
        <v>-</v>
      </c>
      <c r="H163" s="36" t="str">
        <f>IFERROR(
ROUNDUP(
IF(AND($U$5=FALSE,$U$4=FALSE),"-",IF(AND($U$5=TRUE,$U$4=TRUE),"-",
IF((AND($U$4=TRUE,$U$5=FALSE,$U$6=FALSE,$U$7=FALSE)),VLOOKUP($E163,'Status Thresholds'!$E:$AR,4,FALSE),IF((AND($U$4=TRUE,$U$5=FALSE,$U$6=TRUE,$U$7=FALSE)),VLOOKUP($E163,'Status Thresholds'!$E:$AR,14,FALSE),IF((AND($U$4=TRUE,$U$5=FALSE,$U$6=TRUE,$U$7=TRUE)),VLOOKUP($E163,'Status Thresholds'!$E:$AR,19,FALSE),IF((AND($U$4=TRUE,$U$5=FALSE,$U$6=FALSE,$U$7=TRUE)),VLOOKUP($E163,'Status Thresholds'!$E:$AR,9,FALSE),
IF((AND($U$4=FALSE,$U$5=TRUE,$U$6=FALSE,$U$7=FALSE)),VLOOKUP($E163,'Status Thresholds'!$E:$AR,24,FALSE),IF((AND($U$4=FALSE,$U$5=TRUE,$U$6=TRUE,$U$7=FALSE)),VLOOKUP($E163,'Status Thresholds'!$E:$AR,34,FALSE),IF((AND($U$4=FALSE,$U$5=TRUE,$U$6=TRUE,$U$7=TRUE)),VLOOKUP($E163,'Status Thresholds'!$E:$AR,39,FALSE),IF((AND($U$4=FALSE,$U$5=TRUE,$U$6=FALSE,$U$7=TRUE)),VLOOKUP($E163,'Status Thresholds'!$E:$AR,29,FALSE)))))))))
))/
IF(OR($X$5=TRUE,$AC$3=TRUE
),($F$3/2), IF(OR($X$2,$X$3,$X$4,$X$6,$X$7,$X$8,$Z$2,$Z$3,$Z$4,$Z$5,$Z$6,$Z$7,$Z$8)=TRUE,$F$3)),0),"-")</f>
        <v>-</v>
      </c>
      <c r="I163" s="36" t="str">
        <f>IFERROR(
ROUNDUP(
IF(AND($U$5=FALSE,$U$4=FALSE),"-",IF(AND($U$5=TRUE,$U$4=TRUE),"-",
IF((AND($U$4=TRUE,$U$5=FALSE,$U$6=FALSE,$U$7=FALSE)),VLOOKUP($E163,'Status Thresholds'!$E:$AR,5,FALSE),IF((AND($U$4=TRUE,$U$5=FALSE,$U$6=TRUE,$U$7=FALSE)),VLOOKUP($E163,'Status Thresholds'!$E:$AR,15,FALSE),IF((AND($U$4=TRUE,$U$5=FALSE,$U$6=TRUE,$U$7=TRUE)),VLOOKUP($E163,'Status Thresholds'!$E:$AR,20,FALSE),IF((AND($U$4=TRUE,$U$5=FALSE,$U$6=FALSE,$U$7=TRUE)),VLOOKUP($E163,'Status Thresholds'!$E:$AR,10,FALSE),
IF((AND($U$4=FALSE,$U$5=TRUE,$U$6=FALSE,$U$7=FALSE)),VLOOKUP($E163,'Status Thresholds'!$E:$AR,25,FALSE),IF((AND($U$4=FALSE,$U$5=TRUE,$U$6=TRUE,$U$7=FALSE)),VLOOKUP($E163,'Status Thresholds'!$E:$AR,35,FALSE),IF((AND($U$4=FALSE,$U$5=TRUE,$U$6=TRUE,$U$7=TRUE)),VLOOKUP($E163,'Status Thresholds'!$E:$AR,40,FALSE),IF((AND($U$4=FALSE,$U$5=TRUE,$U$6=FALSE,$U$7=TRUE)),VLOOKUP($E163,'Status Thresholds'!$E:$AR,30,FALSE)))))))))
))/
IF(OR($X$5=TRUE,$AC$3=TRUE
),($F$3/2), IF(OR($X$2,$X$3,$X$4,$X$6,$X$7,$X$8,$Z$2,$Z$3,$Z$4,$Z$5,$Z$6,$Z$7,$Z$8)=TRUE,$F$3)),0),"-")</f>
        <v>-</v>
      </c>
      <c r="J163" s="36">
        <f>IFERROR(IF(AND($U$5=FALSE,$U$4=FALSE),"-",VLOOKUP($E163,'Status Thresholds'!$E:$AU,41,FALSE)),"-")</f>
        <v>10</v>
      </c>
      <c r="K163" s="36" t="str">
        <f>IFERROR(IF(AND($U$5=FALSE,$U$4=FALSE),"-",VLOOKUP($E163,'Status Thresholds'!$E:$AU,42,FALSE)),"-")</f>
        <v>-</v>
      </c>
      <c r="L163" s="36" t="str">
        <f>IFERROR(IF(AND($U$5=FALSE,$U$4=FALSE),"-",VLOOKUP($E163,'Status Thresholds'!$E:$AU,43,FALSE)),"-")</f>
        <v>-</v>
      </c>
    </row>
    <row r="164" spans="1:12" x14ac:dyDescent="0.25">
      <c r="A164" s="35"/>
      <c r="B164" s="64" t="str">
        <f>VLOOKUP(C164,'Status Thresholds'!B:C,2,FALSE)</f>
        <v>MHGen</v>
      </c>
      <c r="C164" s="64" t="str">
        <f>IF('Status Thresholds'!B159=0, "", 'Status Thresholds'!B159)</f>
        <v>Cephadrome</v>
      </c>
      <c r="D164" s="31" t="s">
        <v>32</v>
      </c>
      <c r="E164" s="36" t="str">
        <f t="shared" si="2"/>
        <v>CephadromeSleep</v>
      </c>
      <c r="F164" s="36" t="str">
        <f>IFERROR(
ROUNDUP(
IF(AND($U$5=FALSE,$U$4=FALSE),"-",IF(AND($U$5=TRUE,$U$4=TRUE),"-",
IF((AND($U$4=TRUE,$U$5=FALSE,$U$6=FALSE,$U$7=FALSE)),VLOOKUP($E164,'Status Thresholds'!$E:$AR,2,FALSE),IF((AND($U$4=TRUE,$U$5=FALSE,$U$6=TRUE,$U$7=FALSE)),VLOOKUP($E164,'Status Thresholds'!$E:$AR,12,FALSE),IF((AND($U$4=TRUE,$U$5=FALSE,$U$6=TRUE,$U$7=TRUE)),VLOOKUP($E164,'Status Thresholds'!$E:$AR,17,FALSE),IF((AND($U$4=TRUE,$U$5=FALSE,$U$6=FALSE,$U$7=TRUE)),VLOOKUP($E164,'Status Thresholds'!$E:$AR,7,FALSE),
IF((AND($U$4=FALSE,$U$5=TRUE,$U$6=FALSE,$U$7=FALSE)),VLOOKUP($E164,'Status Thresholds'!$E:$AR,22,FALSE),IF((AND($U$4=FALSE,$U$5=TRUE,$U$6=TRUE,$U$7=FALSE)),VLOOKUP($E164,'Status Thresholds'!$E:$AR,32,FALSE),IF((AND($U$4=FALSE,$U$5=TRUE,$U$6=TRUE,$U$7=TRUE)),VLOOKUP($E164,'Status Thresholds'!$E:$AR,37,FALSE),IF((AND($U$4=FALSE,$U$5=TRUE,$U$6=FALSE,$U$7=TRUE)),VLOOKUP($E164,'Status Thresholds'!$E:$AR,27,FALSE)))))))))
))/
IF(OR($X$5=TRUE,$AC$3=TRUE
),($F$4/2), IF(OR($X$2,$X$3,$X$4,$X$6,$X$7,$X$8,$Z$2,$Z$3,$Z$4,$Z$5,$Z$6,$Z$7,$Z$8)=TRUE,$F$4)),0),"-")</f>
        <v>-</v>
      </c>
      <c r="G164" s="36" t="str">
        <f>IFERROR(
ROUNDUP(
IF(AND($U$5=FALSE,$U$4=FALSE),"-",IF(AND($U$5=TRUE,$U$4=TRUE),"-",
IF((AND($U$4=TRUE,$U$5=FALSE,$U$6=FALSE,$U$7=FALSE)),VLOOKUP($E164,'Status Thresholds'!$E:$AR,3,FALSE),IF((AND($U$4=TRUE,$U$5=FALSE,$U$6=TRUE,$U$7=FALSE)),VLOOKUP($E164,'Status Thresholds'!$E:$AR,13,FALSE),IF((AND($U$4=TRUE,$U$5=FALSE,$U$6=TRUE,$U$7=TRUE)),VLOOKUP($E164,'Status Thresholds'!$E:$AR,18,FALSE),IF((AND($U$4=TRUE,$U$5=FALSE,$U$6=FALSE,$U$7=TRUE)),VLOOKUP($E164,'Status Thresholds'!$E:$AR,8,FALSE),
IF((AND($U$4=FALSE,$U$5=TRUE,$U$6=FALSE,$U$7=FALSE)),VLOOKUP($E164,'Status Thresholds'!$E:$AR,23,FALSE),IF((AND($U$4=FALSE,$U$5=TRUE,$U$6=TRUE,$U$7=FALSE)),VLOOKUP($E164,'Status Thresholds'!$E:$AR,33,FALSE),IF((AND($U$4=FALSE,$U$5=TRUE,$U$6=TRUE,$U$7=TRUE)),VLOOKUP($E164,'Status Thresholds'!$E:$AR,38,FALSE),IF((AND($U$4=FALSE,$U$5=TRUE,$U$6=FALSE,$U$7=TRUE)),VLOOKUP($E164,'Status Thresholds'!$E:$AR,28,FALSE)))))))))
))/
IF(OR($X$5=TRUE,$AC$3=TRUE
),($F$4/2), IF(OR($X$2,$X$3,$X$4,$X$6,$X$7,$X$8,$Z$2,$Z$3,$Z$4,$Z$5,$Z$6,$Z$7,$Z$8)=TRUE,$F$4)),0),"-")</f>
        <v>-</v>
      </c>
      <c r="H164" s="36" t="str">
        <f>IFERROR(
ROUNDUP(
IF(AND($U$5=FALSE,$U$4=FALSE),"-",IF(AND($U$5=TRUE,$U$4=TRUE),"-",
IF((AND($U$4=TRUE,$U$5=FALSE,$U$6=FALSE,$U$7=FALSE)),VLOOKUP($E164,'Status Thresholds'!$E:$AR,4,FALSE),IF((AND($U$4=TRUE,$U$5=FALSE,$U$6=TRUE,$U$7=FALSE)),VLOOKUP($E164,'Status Thresholds'!$E:$AR,14,FALSE),IF((AND($U$4=TRUE,$U$5=FALSE,$U$6=TRUE,$U$7=TRUE)),VLOOKUP($E164,'Status Thresholds'!$E:$AR,19,FALSE),IF((AND($U$4=TRUE,$U$5=FALSE,$U$6=FALSE,$U$7=TRUE)),VLOOKUP($E164,'Status Thresholds'!$E:$AR,9,FALSE),
IF((AND($U$4=FALSE,$U$5=TRUE,$U$6=FALSE,$U$7=FALSE)),VLOOKUP($E164,'Status Thresholds'!$E:$AR,24,FALSE),IF((AND($U$4=FALSE,$U$5=TRUE,$U$6=TRUE,$U$7=FALSE)),VLOOKUP($E164,'Status Thresholds'!$E:$AR,34,FALSE),IF((AND($U$4=FALSE,$U$5=TRUE,$U$6=TRUE,$U$7=TRUE)),VLOOKUP($E164,'Status Thresholds'!$E:$AR,39,FALSE),IF((AND($U$4=FALSE,$U$5=TRUE,$U$6=FALSE,$U$7=TRUE)),VLOOKUP($E164,'Status Thresholds'!$E:$AR,29,FALSE)))))))))
))/
IF(OR($X$5=TRUE,$AC$3=TRUE
),($F$4/2), IF(OR($X$2,$X$3,$X$4,$X$6,$X$7,$X$8,$Z$2,$Z$3,$Z$4,$Z$5,$Z$6,$Z$7,$Z$8)=TRUE,$F$4)),0),"-")</f>
        <v>-</v>
      </c>
      <c r="I164" s="36" t="str">
        <f>IFERROR(
ROUNDUP(
IF(AND($U$5=FALSE,$U$4=FALSE),"-",IF(AND($U$5=TRUE,$U$4=TRUE),"-",
IF((AND($U$4=TRUE,$U$5=FALSE,$U$6=FALSE,$U$7=FALSE)),VLOOKUP($E164,'Status Thresholds'!$E:$AR,5,FALSE),IF((AND($U$4=TRUE,$U$5=FALSE,$U$6=TRUE,$U$7=FALSE)),VLOOKUP($E164,'Status Thresholds'!$E:$AR,15,FALSE),IF((AND($U$4=TRUE,$U$5=FALSE,$U$6=TRUE,$U$7=TRUE)),VLOOKUP($E164,'Status Thresholds'!$E:$AR,20,FALSE),IF((AND($U$4=TRUE,$U$5=FALSE,$U$6=FALSE,$U$7=TRUE)),VLOOKUP($E164,'Status Thresholds'!$E:$AR,10,FALSE),
IF((AND($U$4=FALSE,$U$5=TRUE,$U$6=FALSE,$U$7=FALSE)),VLOOKUP($E164,'Status Thresholds'!$E:$AR,25,FALSE),IF((AND($U$4=FALSE,$U$5=TRUE,$U$6=TRUE,$U$7=FALSE)),VLOOKUP($E164,'Status Thresholds'!$E:$AR,35,FALSE),IF((AND($U$4=FALSE,$U$5=TRUE,$U$6=TRUE,$U$7=TRUE)),VLOOKUP($E164,'Status Thresholds'!$E:$AR,40,FALSE),IF((AND($U$4=FALSE,$U$5=TRUE,$U$6=FALSE,$U$7=TRUE)),VLOOKUP($E164,'Status Thresholds'!$E:$AR,30,FALSE)))))))))
))/
IF(OR($X$5=TRUE,$AC$3=TRUE
),($F$4/2), IF(OR($X$2,$X$3,$X$4,$X$6,$X$7,$X$8,$Z$2,$Z$3,$Z$4,$Z$5,$Z$6,$Z$7,$Z$8)=TRUE,$F$4)),0),"-")</f>
        <v>-</v>
      </c>
      <c r="J164" s="46">
        <f>IFERROR(IF(AND($U$5=FALSE,$U$4=FALSE),"-",VLOOKUP($E164,'Status Thresholds'!$E:$AU,41,FALSE)),"-")</f>
        <v>40</v>
      </c>
      <c r="K164" s="46" t="str">
        <f>IFERROR(IF(AND($U$5=FALSE,$U$4=FALSE),"-",VLOOKUP($E164,'Status Thresholds'!$E:$AU,42,FALSE)),"-")</f>
        <v>-</v>
      </c>
      <c r="L164" s="46" t="str">
        <f>IFERROR(IF(AND($U$5=FALSE,$U$4=FALSE),"-",VLOOKUP($E164,'Status Thresholds'!$E:$AU,43,FALSE)),"-")</f>
        <v>-</v>
      </c>
    </row>
    <row r="165" spans="1:12" x14ac:dyDescent="0.25">
      <c r="A165" s="35"/>
      <c r="B165" s="64" t="str">
        <f>VLOOKUP(C165,'Status Thresholds'!B:C,2,FALSE)</f>
        <v>MHGen</v>
      </c>
      <c r="C165" s="64" t="str">
        <f>IF('Status Thresholds'!B160=0, "", 'Status Thresholds'!B160)</f>
        <v>Cephadrome</v>
      </c>
      <c r="D165" s="32" t="s">
        <v>33</v>
      </c>
      <c r="E165" s="36" t="str">
        <f t="shared" si="2"/>
        <v>CephadromePoison</v>
      </c>
      <c r="F165" s="36" t="str">
        <f>IFERROR(
ROUNDUP(
IF(AND($U$5=FALSE,$U$4=FALSE),"-",IF(AND($U$5=TRUE,$U$4=TRUE),"-",
IF((AND($U$4=TRUE,$U$5=FALSE,$U$6=FALSE,$U$7=FALSE)),VLOOKUP($E165,'Status Thresholds'!$E:$AR,2,FALSE),IF((AND($U$4=TRUE,$U$5=FALSE,$U$6=TRUE,$U$7=FALSE)),VLOOKUP($E165,'Status Thresholds'!$E:$AR,12,FALSE),IF((AND($U$4=TRUE,$U$5=FALSE,$U$6=TRUE,$U$7=TRUE)),VLOOKUP($E165,'Status Thresholds'!$E:$AR,17,FALSE),IF((AND($U$4=TRUE,$U$5=FALSE,$U$6=FALSE,$U$7=TRUE)),VLOOKUP($E165,'Status Thresholds'!$E:$AR,7,FALSE),
IF((AND($U$4=FALSE,$U$5=TRUE,$U$6=FALSE,$U$7=FALSE)),VLOOKUP($E165,'Status Thresholds'!$E:$AR,22,FALSE),IF((AND($U$4=FALSE,$U$5=TRUE,$U$6=TRUE,$U$7=FALSE)),VLOOKUP($E165,'Status Thresholds'!$E:$AR,32,FALSE),IF((AND($U$4=FALSE,$U$5=TRUE,$U$6=TRUE,$U$7=TRUE)),VLOOKUP($E165,'Status Thresholds'!$E:$AR,37,FALSE),IF((AND($U$4=FALSE,$U$5=TRUE,$U$6=FALSE,$U$7=TRUE)),VLOOKUP($E165,'Status Thresholds'!$E:$AR,27,FALSE)))))))))
))/
IF(OR($X$5=TRUE,$AC$3=TRUE
),($F$5/2), IF(OR($X$2,$X$3,$X$4,$X$6,$X$7,$X$8,$Z$2,$Z$3,$Z$4,$Z$5,$Z$6,$Z$7,$Z$8)=TRUE,$F$5)),0),"-")</f>
        <v>-</v>
      </c>
      <c r="G165" s="36" t="str">
        <f>IFERROR(
ROUNDUP(
IF(AND($U$5=FALSE,$U$4=FALSE),"-",IF(AND($U$5=TRUE,$U$4=TRUE),"-",
IF((AND($U$4=TRUE,$U$5=FALSE,$U$6=FALSE,$U$7=FALSE)),VLOOKUP($E165,'Status Thresholds'!$E:$AR,3,FALSE),IF((AND($U$4=TRUE,$U$5=FALSE,$U$6=TRUE,$U$7=FALSE)),VLOOKUP($E165,'Status Thresholds'!$E:$AR,13,FALSE),IF((AND($U$4=TRUE,$U$5=FALSE,$U$6=TRUE,$U$7=TRUE)),VLOOKUP($E165,'Status Thresholds'!$E:$AR,18,FALSE),IF((AND($U$4=TRUE,$U$5=FALSE,$U$6=FALSE,$U$7=TRUE)),VLOOKUP($E165,'Status Thresholds'!$E:$AR,8,FALSE),
IF((AND($U$4=FALSE,$U$5=TRUE,$U$6=FALSE,$U$7=FALSE)),VLOOKUP($E165,'Status Thresholds'!$E:$AR,23,FALSE),IF((AND($U$4=FALSE,$U$5=TRUE,$U$6=TRUE,$U$7=FALSE)),VLOOKUP($E165,'Status Thresholds'!$E:$AR,33,FALSE),IF((AND($U$4=FALSE,$U$5=TRUE,$U$6=TRUE,$U$7=TRUE)),VLOOKUP($E165,'Status Thresholds'!$E:$AR,38,FALSE),IF((AND($U$4=FALSE,$U$5=TRUE,$U$6=FALSE,$U$7=TRUE)),VLOOKUP($E165,'Status Thresholds'!$E:$AR,28,FALSE)))))))))
))/
IF(OR($X$5=TRUE,$AC$3=TRUE
),($F$5/2), IF(OR($X$2,$X$3,$X$4,$X$6,$X$7,$X$8,$Z$2,$Z$3,$Z$4,$Z$5,$Z$6,$Z$7,$Z$8)=TRUE,$F$5)),0),"-")</f>
        <v>-</v>
      </c>
      <c r="H165" s="36" t="str">
        <f>IFERROR(
ROUNDUP(
IF(AND($U$5=FALSE,$U$4=FALSE),"-",IF(AND($U$5=TRUE,$U$4=TRUE),"-",
IF((AND($U$4=TRUE,$U$5=FALSE,$U$6=FALSE,$U$7=FALSE)),VLOOKUP($E165,'Status Thresholds'!$E:$AR,4,FALSE),IF((AND($U$4=TRUE,$U$5=FALSE,$U$6=TRUE,$U$7=FALSE)),VLOOKUP($E165,'Status Thresholds'!$E:$AR,14,FALSE),IF((AND($U$4=TRUE,$U$5=FALSE,$U$6=TRUE,$U$7=TRUE)),VLOOKUP($E165,'Status Thresholds'!$E:$AR,19,FALSE),IF((AND($U$4=TRUE,$U$5=FALSE,$U$6=FALSE,$U$7=TRUE)),VLOOKUP($E165,'Status Thresholds'!$E:$AR,9,FALSE),
IF((AND($U$4=FALSE,$U$5=TRUE,$U$6=FALSE,$U$7=FALSE)),VLOOKUP($E165,'Status Thresholds'!$E:$AR,24,FALSE),IF((AND($U$4=FALSE,$U$5=TRUE,$U$6=TRUE,$U$7=FALSE)),VLOOKUP($E165,'Status Thresholds'!$E:$AR,34,FALSE),IF((AND($U$4=FALSE,$U$5=TRUE,$U$6=TRUE,$U$7=TRUE)),VLOOKUP($E165,'Status Thresholds'!$E:$AR,39,FALSE),IF((AND($U$4=FALSE,$U$5=TRUE,$U$6=FALSE,$U$7=TRUE)),VLOOKUP($E165,'Status Thresholds'!$E:$AR,29,FALSE)))))))))
))/
IF(OR($X$5=TRUE,$AC$3=TRUE
),($F$5/2), IF(OR($X$2,$X$3,$X$4,$X$6,$X$7,$X$8,$Z$2,$Z$3,$Z$4,$Z$5,$Z$6,$Z$7,$Z$8)=TRUE,$F$5)),0),"-")</f>
        <v>-</v>
      </c>
      <c r="I165" s="36" t="str">
        <f>IFERROR(
ROUNDUP(
IF(AND($U$5=FALSE,$U$4=FALSE),"-",IF(AND($U$5=TRUE,$U$4=TRUE),"-",
IF((AND($U$4=TRUE,$U$5=FALSE,$U$6=FALSE,$U$7=FALSE)),VLOOKUP($E165,'Status Thresholds'!$E:$AR,5,FALSE),IF((AND($U$4=TRUE,$U$5=FALSE,$U$6=TRUE,$U$7=FALSE)),VLOOKUP($E165,'Status Thresholds'!$E:$AR,15,FALSE),IF((AND($U$4=TRUE,$U$5=FALSE,$U$6=TRUE,$U$7=TRUE)),VLOOKUP($E165,'Status Thresholds'!$E:$AR,20,FALSE),IF((AND($U$4=TRUE,$U$5=FALSE,$U$6=FALSE,$U$7=TRUE)),VLOOKUP($E165,'Status Thresholds'!$E:$AR,10,FALSE),
IF((AND($U$4=FALSE,$U$5=TRUE,$U$6=FALSE,$U$7=FALSE)),VLOOKUP($E165,'Status Thresholds'!$E:$AR,25,FALSE),IF((AND($U$4=FALSE,$U$5=TRUE,$U$6=TRUE,$U$7=FALSE)),VLOOKUP($E165,'Status Thresholds'!$E:$AR,35,FALSE),IF((AND($U$4=FALSE,$U$5=TRUE,$U$6=TRUE,$U$7=TRUE)),VLOOKUP($E165,'Status Thresholds'!$E:$AR,40,FALSE),IF((AND($U$4=FALSE,$U$5=TRUE,$U$6=FALSE,$U$7=TRUE)),VLOOKUP($E165,'Status Thresholds'!$E:$AR,30,FALSE)))))))))
))/
IF(OR($X$5=TRUE,$AC$3=TRUE
),($F$5/2), IF(OR($X$2,$X$3,$X$4,$X$6,$X$7,$X$8,$Z$2,$Z$3,$Z$4,$Z$5,$Z$6,$Z$7,$Z$8)=TRUE,$F$5)),0),"-")</f>
        <v>-</v>
      </c>
      <c r="J165" s="46">
        <f>IFERROR(IF(AND($U$5=FALSE,$U$4=FALSE),"-",VLOOKUP($E165,'Status Thresholds'!$E:$AU,41,FALSE)),"-")</f>
        <v>30</v>
      </c>
      <c r="K165" s="46" t="str">
        <f>IFERROR(IF(AND($U$5=FALSE,$U$4=FALSE),"-",VLOOKUP($E165,'Status Thresholds'!$E:$AU,42,FALSE)),"-")</f>
        <v>-</v>
      </c>
      <c r="L165" s="46" t="str">
        <f>IFERROR(IF(AND($U$5=FALSE,$U$4=FALSE),"-",VLOOKUP($E165,'Status Thresholds'!$E:$AU,43,FALSE)),"-")</f>
        <v>-</v>
      </c>
    </row>
    <row r="166" spans="1:12" x14ac:dyDescent="0.25">
      <c r="A166" s="35"/>
      <c r="B166" s="64" t="str">
        <f>VLOOKUP(C166,'Status Thresholds'!B:C,2,FALSE)</f>
        <v>MHGen</v>
      </c>
      <c r="C166" s="64" t="str">
        <f>IF('Status Thresholds'!B161=0, "", 'Status Thresholds'!B161)</f>
        <v>Cephadrome</v>
      </c>
      <c r="D166" s="10" t="s">
        <v>22</v>
      </c>
      <c r="E166" s="36" t="str">
        <f t="shared" si="2"/>
        <v>CephadromeExhaust</v>
      </c>
      <c r="F166" s="36" t="str">
        <f>IFERROR(
ROUNDUP(
IF(AND($U$5=FALSE,$U$4=FALSE),"-",IF(AND($U$5=TRUE,$U$4=TRUE),"-",
IF((AND($U$4=TRUE,$U$5=FALSE,$U$6=FALSE,$U$7=FALSE)),VLOOKUP($E166,'Status Thresholds'!$E:$AR,2,FALSE),IF((AND($U$4=TRUE,$U$5=FALSE,$U$6=TRUE,$U$7=FALSE)),VLOOKUP($E166,'Status Thresholds'!$E:$AR,12,FALSE),IF((AND($U$4=TRUE,$U$5=FALSE,$U$6=TRUE,$U$7=TRUE)),VLOOKUP($E166,'Status Thresholds'!$E:$AR,17,FALSE),IF((AND($U$4=TRUE,$U$5=FALSE,$U$6=FALSE,$U$7=TRUE)),VLOOKUP($E166,'Status Thresholds'!$E:$AR,7,FALSE),
IF((AND($U$4=FALSE,$U$5=TRUE,$U$6=FALSE,$U$7=FALSE)),VLOOKUP($E166,'Status Thresholds'!$E:$AR,22,FALSE),IF((AND($U$4=FALSE,$U$5=TRUE,$U$6=TRUE,$U$7=FALSE)),VLOOKUP($E166,'Status Thresholds'!$E:$AR,32,FALSE),IF((AND($U$4=FALSE,$U$5=TRUE,$U$6=TRUE,$U$7=TRUE)),VLOOKUP($E166,'Status Thresholds'!$E:$AR,37,FALSE),IF((AND($U$4=FALSE,$U$5=TRUE,$U$6=FALSE,$U$7=TRUE)),VLOOKUP($E166,'Status Thresholds'!$E:$AR,27,FALSE)))))))))
))/
IF(OR($X$5=TRUE,$AC$3=TRUE
),($F$6/2), IF(OR($X$2,$X$3,$X$4,$X$6,$X$7,$X$8,$Z$2,$Z$3,$Z$4,$Z$5,$Z$6,$Z$7,$Z$8)=TRUE,$F$6)),0),"-")</f>
        <v>-</v>
      </c>
      <c r="G166" s="36" t="str">
        <f>IFERROR(
ROUNDUP(
IF(AND($U$5=FALSE,$U$4=FALSE),"-",IF(AND($U$5=TRUE,$U$4=TRUE),"-",
IF((AND($U$4=TRUE,$U$5=FALSE,$U$6=FALSE,$U$7=FALSE)),VLOOKUP($E166,'Status Thresholds'!$E:$AR,3,FALSE),IF((AND($U$4=TRUE,$U$5=FALSE,$U$6=TRUE,$U$7=FALSE)),VLOOKUP($E166,'Status Thresholds'!$E:$AR,13,FALSE),IF((AND($U$4=TRUE,$U$5=FALSE,$U$6=TRUE,$U$7=TRUE)),VLOOKUP($E166,'Status Thresholds'!$E:$AR,18,FALSE),IF((AND($U$4=TRUE,$U$5=FALSE,$U$6=FALSE,$U$7=TRUE)),VLOOKUP($E166,'Status Thresholds'!$E:$AR,8,FALSE),
IF((AND($U$4=FALSE,$U$5=TRUE,$U$6=FALSE,$U$7=FALSE)),VLOOKUP($E166,'Status Thresholds'!$E:$AR,23,FALSE),IF((AND($U$4=FALSE,$U$5=TRUE,$U$6=TRUE,$U$7=FALSE)),VLOOKUP($E166,'Status Thresholds'!$E:$AR,33,FALSE),IF((AND($U$4=FALSE,$U$5=TRUE,$U$6=TRUE,$U$7=TRUE)),VLOOKUP($E166,'Status Thresholds'!$E:$AR,38,FALSE),IF((AND($U$4=FALSE,$U$5=TRUE,$U$6=FALSE,$U$7=TRUE)),VLOOKUP($E166,'Status Thresholds'!$E:$AR,28,FALSE)))))))))
))/
IF(OR($X$5=TRUE,$AC$3=TRUE
),($F$6/2), IF(OR($X$2,$X$3,$X$4,$X$6,$X$7,$X$8,$Z$2,$Z$3,$Z$4,$Z$5,$Z$6,$Z$7,$Z$8)=TRUE,$F$6)),0),"-")</f>
        <v>-</v>
      </c>
      <c r="H166" s="36" t="str">
        <f>IFERROR(
ROUNDUP(
IF(AND($U$5=FALSE,$U$4=FALSE),"-",IF(AND($U$5=TRUE,$U$4=TRUE),"-",
IF((AND($U$4=TRUE,$U$5=FALSE,$U$6=FALSE,$U$7=FALSE)),VLOOKUP($E166,'Status Thresholds'!$E:$AR,4,FALSE),IF((AND($U$4=TRUE,$U$5=FALSE,$U$6=TRUE,$U$7=FALSE)),VLOOKUP($E166,'Status Thresholds'!$E:$AR,14,FALSE),IF((AND($U$4=TRUE,$U$5=FALSE,$U$6=TRUE,$U$7=TRUE)),VLOOKUP($E166,'Status Thresholds'!$E:$AR,19,FALSE),IF((AND($U$4=TRUE,$U$5=FALSE,$U$6=FALSE,$U$7=TRUE)),VLOOKUP($E166,'Status Thresholds'!$E:$AR,9,FALSE),
IF((AND($U$4=FALSE,$U$5=TRUE,$U$6=FALSE,$U$7=FALSE)),VLOOKUP($E166,'Status Thresholds'!$E:$AR,24,FALSE),IF((AND($U$4=FALSE,$U$5=TRUE,$U$6=TRUE,$U$7=FALSE)),VLOOKUP($E166,'Status Thresholds'!$E:$AR,34,FALSE),IF((AND($U$4=FALSE,$U$5=TRUE,$U$6=TRUE,$U$7=TRUE)),VLOOKUP($E166,'Status Thresholds'!$E:$AR,39,FALSE),IF((AND($U$4=FALSE,$U$5=TRUE,$U$6=FALSE,$U$7=TRUE)),VLOOKUP($E166,'Status Thresholds'!$E:$AR,29,FALSE)))))))))
))/
IF(OR($X$5=TRUE,$AC$3=TRUE
),($F$6/2), IF(OR($X$2,$X$3,$X$4,$X$6,$X$7,$X$8,$Z$2,$Z$3,$Z$4,$Z$5,$Z$6,$Z$7,$Z$8)=TRUE,$F$6)),0),"-")</f>
        <v>-</v>
      </c>
      <c r="I166" s="36" t="str">
        <f>IFERROR(
ROUNDUP(
IF(AND($U$5=FALSE,$U$4=FALSE),"-",IF(AND($U$5=TRUE,$U$4=TRUE),"-",
IF((AND($U$4=TRUE,$U$5=FALSE,$U$6=FALSE,$U$7=FALSE)),VLOOKUP($E166,'Status Thresholds'!$E:$AR,5,FALSE),IF((AND($U$4=TRUE,$U$5=FALSE,$U$6=TRUE,$U$7=FALSE)),VLOOKUP($E166,'Status Thresholds'!$E:$AR,15,FALSE),IF((AND($U$4=TRUE,$U$5=FALSE,$U$6=TRUE,$U$7=TRUE)),VLOOKUP($E166,'Status Thresholds'!$E:$AR,20,FALSE),IF((AND($U$4=TRUE,$U$5=FALSE,$U$6=FALSE,$U$7=TRUE)),VLOOKUP($E166,'Status Thresholds'!$E:$AR,10,FALSE),
IF((AND($U$4=FALSE,$U$5=TRUE,$U$6=FALSE,$U$7=FALSE)),VLOOKUP($E166,'Status Thresholds'!$E:$AR,25,FALSE),IF((AND($U$4=FALSE,$U$5=TRUE,$U$6=TRUE,$U$7=FALSE)),VLOOKUP($E166,'Status Thresholds'!$E:$AR,35,FALSE),IF((AND($U$4=FALSE,$U$5=TRUE,$U$6=TRUE,$U$7=TRUE)),VLOOKUP($E166,'Status Thresholds'!$E:$AR,40,FALSE),IF((AND($U$4=FALSE,$U$5=TRUE,$U$6=FALSE,$U$7=TRUE)),VLOOKUP($E166,'Status Thresholds'!$E:$AR,30,FALSE)))))))))
))/
IF(OR($X$5=TRUE,$AC$3=TRUE
),($F$6/2), IF(OR($X$2,$X$3,$X$4,$X$6,$X$7,$X$8,$Z$2,$Z$3,$Z$4,$Z$5,$Z$6,$Z$7,$Z$8)=TRUE,$F$6)),0),"-")</f>
        <v>-</v>
      </c>
      <c r="J166" s="46">
        <f>IFERROR(IF(AND($U$5=FALSE,$U$4=FALSE),"-",VLOOKUP($E166,'Status Thresholds'!$E:$AU,41,FALSE)),"-")</f>
        <v>0</v>
      </c>
      <c r="K166" s="46" t="str">
        <f>IFERROR(IF(AND($U$5=FALSE,$U$4=FALSE),"-",VLOOKUP($E166,'Status Thresholds'!$E:$AU,42,FALSE)),"-")</f>
        <v>-</v>
      </c>
      <c r="L166" s="46" t="str">
        <f>IFERROR(IF(AND($U$5=FALSE,$U$4=FALSE),"-",VLOOKUP($E166,'Status Thresholds'!$E:$AU,43,FALSE)),"-")</f>
        <v>-</v>
      </c>
    </row>
    <row r="167" spans="1:12" x14ac:dyDescent="0.25">
      <c r="A167" s="35"/>
      <c r="B167" s="64" t="str">
        <f>VLOOKUP(C167,'Status Thresholds'!B:C,2,FALSE)</f>
        <v>MHGen</v>
      </c>
      <c r="C167" s="64" t="str">
        <f>IF('Status Thresholds'!B162=0, "", 'Status Thresholds'!B162)</f>
        <v>Cephadrome</v>
      </c>
      <c r="D167" s="30" t="s">
        <v>35</v>
      </c>
      <c r="E167" s="36" t="str">
        <f t="shared" si="2"/>
        <v>CephadromeBlast</v>
      </c>
      <c r="F167" s="36" t="str">
        <f>IFERROR(
ROUNDUP(
IF(AND($U$5=FALSE,$U$4=FALSE),"-",IF(AND($U$5=TRUE,$U$4=TRUE),"-",
IF((AND($U$4=TRUE,$U$5=FALSE,$U$6=FALSE,$U$7=FALSE)),VLOOKUP($E167,'Status Thresholds'!$E:$AR,2,FALSE),IF((AND($U$4=TRUE,$U$5=FALSE,$U$6=TRUE,$U$7=FALSE)),VLOOKUP($E167,'Status Thresholds'!$E:$AR,12,FALSE),IF((AND($U$4=TRUE,$U$5=FALSE,$U$6=TRUE,$U$7=TRUE)),VLOOKUP($E167,'Status Thresholds'!$E:$AR,17,FALSE),IF((AND($U$4=TRUE,$U$5=FALSE,$U$6=FALSE,$U$7=TRUE)),VLOOKUP($E167,'Status Thresholds'!$E:$AR,7,FALSE),
IF((AND($U$4=FALSE,$U$5=TRUE,$U$6=FALSE,$U$7=FALSE)),VLOOKUP($E167,'Status Thresholds'!$E:$AR,22,FALSE),IF((AND($U$4=FALSE,$U$5=TRUE,$U$6=TRUE,$U$7=FALSE)),VLOOKUP($E167,'Status Thresholds'!$E:$AR,32,FALSE),IF((AND($U$4=FALSE,$U$5=TRUE,$U$6=TRUE,$U$7=TRUE)),VLOOKUP($E167,'Status Thresholds'!$E:$AR,37,FALSE),IF((AND($U$4=FALSE,$U$5=TRUE,$U$6=FALSE,$U$7=TRUE)),VLOOKUP($E167,'Status Thresholds'!$E:$AR,27,FALSE)))))))))
))/
IF(OR($X$5=TRUE,$AC$3=TRUE
),($F$7/2), IF(OR($X$2,$X$3,$X$4,$X$6,$X$7,$X$8,$Z$2,$Z$3,$Z$4,$Z$5,$Z$6,$Z$7,$Z$8)=TRUE,$F$7)),0),"-")</f>
        <v>-</v>
      </c>
      <c r="G167" s="36" t="str">
        <f>IFERROR(
ROUNDUP(
IF(AND($U$5=FALSE,$U$4=FALSE),"-",IF(AND($U$5=TRUE,$U$4=TRUE),"-",
IF((AND($U$4=TRUE,$U$5=FALSE,$U$6=FALSE,$U$7=FALSE)),VLOOKUP($E167,'Status Thresholds'!$E:$AR,3,FALSE),IF((AND($U$4=TRUE,$U$5=FALSE,$U$6=TRUE,$U$7=FALSE)),VLOOKUP($E167,'Status Thresholds'!$E:$AR,13,FALSE),IF((AND($U$4=TRUE,$U$5=FALSE,$U$6=TRUE,$U$7=TRUE)),VLOOKUP($E167,'Status Thresholds'!$E:$AR,18,FALSE),IF((AND($U$4=TRUE,$U$5=FALSE,$U$6=FALSE,$U$7=TRUE)),VLOOKUP($E167,'Status Thresholds'!$E:$AR,8,FALSE),
IF((AND($U$4=FALSE,$U$5=TRUE,$U$6=FALSE,$U$7=FALSE)),VLOOKUP($E167,'Status Thresholds'!$E:$AR,23,FALSE),IF((AND($U$4=FALSE,$U$5=TRUE,$U$6=TRUE,$U$7=FALSE)),VLOOKUP($E167,'Status Thresholds'!$E:$AR,33,FALSE),IF((AND($U$4=FALSE,$U$5=TRUE,$U$6=TRUE,$U$7=TRUE)),VLOOKUP($E167,'Status Thresholds'!$E:$AR,38,FALSE),IF((AND($U$4=FALSE,$U$5=TRUE,$U$6=FALSE,$U$7=TRUE)),VLOOKUP($E167,'Status Thresholds'!$E:$AR,28,FALSE)))))))))
))/
IF(OR($X$5=TRUE,$AC$3=TRUE
),($F$7/2), IF(OR($X$2,$X$3,$X$4,$X$6,$X$7,$X$8,$Z$2,$Z$3,$Z$4,$Z$5,$Z$6,$Z$7,$Z$8)=TRUE,$F$7)),0),"-")</f>
        <v>-</v>
      </c>
      <c r="H167" s="36" t="str">
        <f>IFERROR(
ROUNDUP(
IF(AND($U$5=FALSE,$U$4=FALSE),"-",IF(AND($U$5=TRUE,$U$4=TRUE),"-",
IF((AND($U$4=TRUE,$U$5=FALSE,$U$6=FALSE,$U$7=FALSE)),VLOOKUP($E167,'Status Thresholds'!$E:$AR,4,FALSE),IF((AND($U$4=TRUE,$U$5=FALSE,$U$6=TRUE,$U$7=FALSE)),VLOOKUP($E167,'Status Thresholds'!$E:$AR,14,FALSE),IF((AND($U$4=TRUE,$U$5=FALSE,$U$6=TRUE,$U$7=TRUE)),VLOOKUP($E167,'Status Thresholds'!$E:$AR,19,FALSE),IF((AND($U$4=TRUE,$U$5=FALSE,$U$6=FALSE,$U$7=TRUE)),VLOOKUP($E167,'Status Thresholds'!$E:$AR,9,FALSE),
IF((AND($U$4=FALSE,$U$5=TRUE,$U$6=FALSE,$U$7=FALSE)),VLOOKUP($E167,'Status Thresholds'!$E:$AR,24,FALSE),IF((AND($U$4=FALSE,$U$5=TRUE,$U$6=TRUE,$U$7=FALSE)),VLOOKUP($E167,'Status Thresholds'!$E:$AR,34,FALSE),IF((AND($U$4=FALSE,$U$5=TRUE,$U$6=TRUE,$U$7=TRUE)),VLOOKUP($E167,'Status Thresholds'!$E:$AR,39,FALSE),IF((AND($U$4=FALSE,$U$5=TRUE,$U$6=FALSE,$U$7=TRUE)),VLOOKUP($E167,'Status Thresholds'!$E:$AR,29,FALSE)))))))))
))/
IF(OR($X$5=TRUE,$AC$3=TRUE
),($F$7/2), IF(OR($X$2,$X$3,$X$4,$X$6,$X$7,$X$8,$Z$2,$Z$3,$Z$4,$Z$5,$Z$6,$Z$7,$Z$8)=TRUE,$F$7)),0),"-")</f>
        <v>-</v>
      </c>
      <c r="I167" s="36" t="str">
        <f>IFERROR(
ROUNDUP(
IF(AND($U$5=FALSE,$U$4=FALSE),"-",IF(AND($U$5=TRUE,$U$4=TRUE),"-",
IF((AND($U$4=TRUE,$U$5=FALSE,$U$6=FALSE,$U$7=FALSE)),VLOOKUP($E167,'Status Thresholds'!$E:$AR,5,FALSE),IF((AND($U$4=TRUE,$U$5=FALSE,$U$6=TRUE,$U$7=FALSE)),VLOOKUP($E167,'Status Thresholds'!$E:$AR,15,FALSE),IF((AND($U$4=TRUE,$U$5=FALSE,$U$6=TRUE,$U$7=TRUE)),VLOOKUP($E167,'Status Thresholds'!$E:$AR,20,FALSE),IF((AND($U$4=TRUE,$U$5=FALSE,$U$6=FALSE,$U$7=TRUE)),VLOOKUP($E167,'Status Thresholds'!$E:$AR,10,FALSE),
IF((AND($U$4=FALSE,$U$5=TRUE,$U$6=FALSE,$U$7=FALSE)),VLOOKUP($E167,'Status Thresholds'!$E:$AR,25,FALSE),IF((AND($U$4=FALSE,$U$5=TRUE,$U$6=TRUE,$U$7=FALSE)),VLOOKUP($E167,'Status Thresholds'!$E:$AR,35,FALSE),IF((AND($U$4=FALSE,$U$5=TRUE,$U$6=TRUE,$U$7=TRUE)),VLOOKUP($E167,'Status Thresholds'!$E:$AR,40,FALSE),IF((AND($U$4=FALSE,$U$5=TRUE,$U$6=FALSE,$U$7=TRUE)),VLOOKUP($E167,'Status Thresholds'!$E:$AR,30,FALSE)))))))))
))/
IF(OR($X$5=TRUE,$AC$3=TRUE
),($F$7/2), IF(OR($X$2,$X$3,$X$4,$X$6,$X$7,$X$8,$Z$2,$Z$3,$Z$4,$Z$5,$Z$6,$Z$7,$Z$8)=TRUE,$F$7)),0),"-")</f>
        <v>-</v>
      </c>
      <c r="J167" s="46">
        <f>IFERROR(IF(AND($U$5=FALSE,$U$4=FALSE),"-",VLOOKUP($E167,'Status Thresholds'!$E:$AU,41,FALSE)),"-")</f>
        <v>0</v>
      </c>
      <c r="K167" s="46" t="str">
        <f>IFERROR(IF(AND($U$5=FALSE,$U$4=FALSE),"-",VLOOKUP($E167,'Status Thresholds'!$E:$AU,42,FALSE)),"-")</f>
        <v>-</v>
      </c>
      <c r="L167" s="46" t="str">
        <f>IFERROR(IF(AND($U$5=FALSE,$U$4=FALSE),"-",VLOOKUP($E167,'Status Thresholds'!$E:$AU,43,FALSE)),"-")</f>
        <v>-</v>
      </c>
    </row>
    <row r="168" spans="1:12" ht="14.45" customHeight="1" x14ac:dyDescent="0.25">
      <c r="A168" s="35"/>
      <c r="B168" s="64" t="str">
        <f>VLOOKUP(C168,'Status Thresholds'!B:C,2,FALSE)</f>
        <v>MHGen</v>
      </c>
      <c r="C168" s="64" t="str">
        <f>IF('Status Thresholds'!B163=0, "", 'Status Thresholds'!B163)</f>
        <v>Cephadrome</v>
      </c>
      <c r="D168" s="34" t="s">
        <v>14</v>
      </c>
      <c r="E168" s="36" t="str">
        <f t="shared" si="2"/>
        <v>CephadromeKO</v>
      </c>
      <c r="F168" s="36" t="s">
        <v>214</v>
      </c>
      <c r="G168" s="36" t="s">
        <v>214</v>
      </c>
      <c r="H168" s="36" t="s">
        <v>214</v>
      </c>
      <c r="I168" s="36" t="s">
        <v>214</v>
      </c>
      <c r="J168" s="46">
        <f>IFERROR(IF(AND($U$5=FALSE,$U$4=FALSE),"-",VLOOKUP($E168,'Status Thresholds'!$E:$AU,41,FALSE)),"-")</f>
        <v>10</v>
      </c>
      <c r="K168" s="46" t="str">
        <f>IFERROR(IF(AND($U$5=FALSE,$U$4=FALSE),"-",VLOOKUP($E168,'Status Thresholds'!$E:$AU,42,FALSE)),"-")</f>
        <v>-</v>
      </c>
      <c r="L168" s="46" t="str">
        <f>IFERROR(IF(AND($U$5=FALSE,$U$4=FALSE),"-",VLOOKUP($E168,'Status Thresholds'!$E:$AU,43,FALSE)),"-")</f>
        <v>-</v>
      </c>
    </row>
    <row r="169" spans="1:12" x14ac:dyDescent="0.25">
      <c r="A169" s="35"/>
      <c r="B169" s="64" t="str">
        <f>VLOOKUP(C169,'Status Thresholds'!B:C,2,FALSE)</f>
        <v>MHGen</v>
      </c>
      <c r="C169" s="64" t="str">
        <f>IF('Status Thresholds'!B164=0, "", 'Status Thresholds'!B164)</f>
        <v>Cephadrome</v>
      </c>
      <c r="D169" s="33" t="s">
        <v>34</v>
      </c>
      <c r="E169" s="36" t="str">
        <f t="shared" si="2"/>
        <v>CephadromeMount</v>
      </c>
      <c r="F169" s="36" t="str">
        <f>IFERROR(
ROUNDUP(
IF(AND($U$5=FALSE,$U$4=FALSE),"-",IF(AND($U$5=TRUE,$U$4=TRUE),"-",
IF((AND($U$4=TRUE,$U$5=FALSE,$U$6=FALSE,$U$7=FALSE)),VLOOKUP($E169,'Status Thresholds'!$E:$AR,2,FALSE),IF((AND($U$4=TRUE,$U$5=FALSE,$U$6=TRUE,$U$7=FALSE)),VLOOKUP($E169,'Status Thresholds'!$E:$AR,12,FALSE),IF((AND($U$4=TRUE,$U$5=FALSE,$U$6=TRUE,$U$7=TRUE)),VLOOKUP($E169,'Status Thresholds'!$E:$AR,17,FALSE),IF((AND($U$4=TRUE,$U$5=FALSE,$U$6=FALSE,$U$7=TRUE)),VLOOKUP($E169,'Status Thresholds'!$E:$AR,7,FALSE),
IF((AND($U$4=FALSE,$U$5=TRUE,$U$6=FALSE,$U$7=FALSE)),VLOOKUP($E169,'Status Thresholds'!$E:$AR,22,FALSE),IF((AND($U$4=FALSE,$U$5=TRUE,$U$6=TRUE,$U$7=FALSE)),VLOOKUP($E169,'Status Thresholds'!$E:$AR,32,FALSE),IF((AND($U$4=FALSE,$U$5=TRUE,$U$6=TRUE,$U$7=TRUE)),VLOOKUP($E169,'Status Thresholds'!$E:$AR,37,FALSE),IF((AND($U$4=FALSE,$U$5=TRUE,$U$6=FALSE,$U$7=TRUE)),VLOOKUP($E169,'Status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169" s="36" t="str">
        <f>IFERROR(
ROUNDUP(
IF(AND($U$5=FALSE,$U$4=FALSE),"-",IF(AND($U$5=TRUE,$U$4=TRUE),"-",
IF((AND($U$4=TRUE,$U$5=FALSE,$U$6=FALSE,$U$7=FALSE)),VLOOKUP($E168,'Status Thresholds'!$E:$AR,3,FALSE),IF((AND($U$4=TRUE,$U$5=FALSE,$U$6=TRUE,$U$7=FALSE)),VLOOKUP($E168,'Status Thresholds'!$E:$AR,13,FALSE),IF((AND($U$4=TRUE,$U$5=FALSE,$U$6=TRUE,$U$7=TRUE)),VLOOKUP($E168,'Status Thresholds'!$E:$AR,18,FALSE),IF((AND($U$4=TRUE,$U$5=FALSE,$U$6=FALSE,$U$7=TRUE)),VLOOKUP($E168,'Status Thresholds'!$E:$AR,8,FALSE),
IF((AND($U$4=FALSE,$U$5=TRUE,$U$6=FALSE,$U$7=FALSE)),VLOOKUP($E168,'Status Thresholds'!$E:$AR,23,FALSE),IF((AND($U$4=FALSE,$U$5=TRUE,$U$6=TRUE,$U$7=FALSE)),VLOOKUP($E168,'Status Thresholds'!$E:$AR,33,FALSE),IF((AND($U$4=FALSE,$U$5=TRUE,$U$6=TRUE,$U$7=TRUE)),VLOOKUP($E168,'Status Thresholds'!$E:$AR,38,FALSE),IF((AND($U$4=FALSE,$U$5=TRUE,$U$6=FALSE,$U$7=TRUE)),VLOOKUP($E168,'Status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169" s="36" t="str">
        <f>IFERROR(
ROUNDUP(
IF(AND($U$5=FALSE,$U$4=FALSE),"-",IF(AND($U$5=TRUE,$U$4=TRUE),"-",
IF((AND($U$4=TRUE,$U$5=FALSE,$U$6=FALSE,$U$7=FALSE)),VLOOKUP($E168,'Status Thresholds'!$E:$AR,4,FALSE),IF((AND($U$4=TRUE,$U$5=FALSE,$U$6=TRUE,$U$7=FALSE)),VLOOKUP($E168,'Status Thresholds'!$E:$AR,14,FALSE),IF((AND($U$4=TRUE,$U$5=FALSE,$U$6=TRUE,$U$7=TRUE)),VLOOKUP($E168,'Status Thresholds'!$E:$AR,19,FALSE),IF((AND($U$4=TRUE,$U$5=FALSE,$U$6=FALSE,$U$7=TRUE)),VLOOKUP($E168,'Status Thresholds'!$E:$AR,9,FALSE),
IF((AND($U$4=FALSE,$U$5=TRUE,$U$6=FALSE,$U$7=FALSE)),VLOOKUP($E168,'Status Thresholds'!$E:$AR,24,FALSE),IF((AND($U$4=FALSE,$U$5=TRUE,$U$6=TRUE,$U$7=FALSE)),VLOOKUP($E168,'Status Thresholds'!$E:$AR,34,FALSE),IF((AND($U$4=FALSE,$U$5=TRUE,$U$6=TRUE,$U$7=TRUE)),VLOOKUP($E168,'Status Thresholds'!$E:$AR,39,FALSE),IF((AND($U$4=FALSE,$U$5=TRUE,$U$6=FALSE,$U$7=TRUE)),VLOOKUP($E168,'Status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169" s="36" t="str">
        <f>IFERROR(
ROUNDUP(
IF(AND($U$5=FALSE,$U$4=FALSE),"-",IF(AND($U$5=TRUE,$U$4=TRUE),"-",
IF((AND($U$4=TRUE,$U$5=FALSE,$U$6=FALSE,$U$7=FALSE)),VLOOKUP($E168,'Status Thresholds'!$E:$AR,5,FALSE),IF((AND($U$4=TRUE,$U$5=FALSE,$U$6=TRUE,$U$7=FALSE)),VLOOKUP($E168,'Status Thresholds'!$E:$AR,15,FALSE),IF((AND($U$4=TRUE,$U$5=FALSE,$U$6=TRUE,$U$7=TRUE)),VLOOKUP($E168,'Status Thresholds'!$E:$AR,20,FALSE),IF((AND($U$4=TRUE,$U$5=FALSE,$U$6=FALSE,$U$7=TRUE)),VLOOKUP($E168,'Status Thresholds'!$E:$AR,10,FALSE),
IF((AND($U$4=FALSE,$U$5=TRUE,$U$6=FALSE,$U$7=FALSE)),VLOOKUP($E168,'Status Thresholds'!$E:$AR,25,FALSE),IF((AND($U$4=FALSE,$U$5=TRUE,$U$6=TRUE,$U$7=FALSE)),VLOOKUP($E168,'Status Thresholds'!$E:$AR,35,FALSE),IF((AND($U$4=FALSE,$U$5=TRUE,$U$6=TRUE,$U$7=TRUE)),VLOOKUP($E168,'Status Thresholds'!$E:$AR,40,FALSE),IF((AND($U$4=FALSE,$U$5=TRUE,$U$6=FALSE,$U$7=TRUE)),VLOOKUP($E168,'Status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169" s="46">
        <f>IFERROR(IF(AND($U$5=FALSE,$U$4=FALSE),"-",VLOOKUP($E169,'Status Thresholds'!$E:$AU,41,FALSE)),"-")</f>
        <v>0</v>
      </c>
      <c r="K169" s="46" t="str">
        <f>IFERROR(IF(AND($U$5=FALSE,$U$4=FALSE),"-",VLOOKUP($E169,'Status Thresholds'!$E:$AU,42,FALSE)),"-")</f>
        <v>-</v>
      </c>
      <c r="L169" s="46" t="str">
        <f>IFERROR(IF(AND($U$5=FALSE,$U$4=FALSE),"-",VLOOKUP($E169,'Status Thresholds'!$E:$AU,43,FALSE)),"-")</f>
        <v>-</v>
      </c>
    </row>
    <row r="170" spans="1:12" ht="15" customHeight="1" x14ac:dyDescent="0.25">
      <c r="A170" s="35"/>
      <c r="B170" s="64" t="str">
        <f>VLOOKUP(C170,'Status Thresholds'!B:C,2,FALSE)</f>
        <v>MHGen</v>
      </c>
      <c r="C170" s="64" t="str">
        <f>IF('Status Thresholds'!B165=0, "", 'Status Thresholds'!B165)</f>
        <v>Cephadrome</v>
      </c>
      <c r="D170" s="77" t="s">
        <v>207</v>
      </c>
      <c r="E170" s="36" t="str">
        <f t="shared" si="2"/>
        <v>CephadromeShock Trap</v>
      </c>
      <c r="F170" s="76" t="s">
        <v>214</v>
      </c>
      <c r="G170" s="46" t="s">
        <v>214</v>
      </c>
      <c r="H170" s="46" t="s">
        <v>214</v>
      </c>
      <c r="I170" s="46" t="s">
        <v>214</v>
      </c>
      <c r="J170" s="46">
        <f>IFERROR(IF(AND($U$5=FALSE,$U$4=FALSE),"-",VLOOKUP($E170,'Status Thresholds'!$E:$AU,43,FALSE)),"-")</f>
        <v>10</v>
      </c>
      <c r="K170" s="46">
        <f>IFERROR(IF(AND($U$5=FALSE,$U$4=FALSE),"-",VLOOKUP($E170,'Status Thresholds'!$E:$AU,41,FALSE)),"-")</f>
        <v>8</v>
      </c>
      <c r="L170" s="46">
        <f>IFERROR(IF(AND($U$5=FALSE,$U$4=FALSE),"-",VLOOKUP($E170,'Status Thresholds'!$E:$AU,42,FALSE)),"-")</f>
        <v>15</v>
      </c>
    </row>
    <row r="171" spans="1:12" x14ac:dyDescent="0.25">
      <c r="A171" s="35"/>
      <c r="B171" s="64" t="str">
        <f>VLOOKUP(C171,'Status Thresholds'!B:C,2,FALSE)</f>
        <v>MHGen</v>
      </c>
      <c r="C171" s="64" t="str">
        <f>IF('Status Thresholds'!B166=0, "", 'Status Thresholds'!B166)</f>
        <v>Cephadrome</v>
      </c>
      <c r="D171" s="77" t="s">
        <v>213</v>
      </c>
      <c r="E171" s="36" t="str">
        <f t="shared" si="2"/>
        <v>CephadromePitfall Trap</v>
      </c>
      <c r="F171" s="46" t="s">
        <v>214</v>
      </c>
      <c r="G171" s="46" t="s">
        <v>214</v>
      </c>
      <c r="H171" s="46" t="s">
        <v>214</v>
      </c>
      <c r="I171" s="46" t="s">
        <v>214</v>
      </c>
      <c r="J171" s="46">
        <f>IFERROR(IF(AND($U$5=FALSE,$U$4=FALSE),"-",VLOOKUP($E171,'Status Thresholds'!$E:$AU,43,FALSE)),"-")</f>
        <v>10</v>
      </c>
      <c r="K171" s="46">
        <f>IFERROR(IF(AND($U$5=FALSE,$U$4=FALSE),"-",VLOOKUP($E171,'Status Thresholds'!$E:$AU,41,FALSE)),"-")</f>
        <v>10</v>
      </c>
      <c r="L171" s="46">
        <f>IFERROR(IF(AND($U$5=FALSE,$U$4=FALSE),"-",VLOOKUP($E171,'Status Thresholds'!$E:$AU,42,FALSE)),"-")</f>
        <v>20</v>
      </c>
    </row>
    <row r="172" spans="1:12" s="36" customFormat="1" x14ac:dyDescent="0.25">
      <c r="A172" s="64"/>
      <c r="B172" s="64" t="str">
        <f>VLOOKUP(C172,'Status Thresholds'!B:C,2,FALSE)</f>
        <v>MHGen</v>
      </c>
      <c r="C172" s="64" t="str">
        <f>IF('Status Thresholds'!B167=0, "", 'Status Thresholds'!B167)</f>
        <v>Chamelos</v>
      </c>
      <c r="D172" s="37" t="s">
        <v>0</v>
      </c>
      <c r="E172" s="36" t="str">
        <f t="shared" si="2"/>
        <v>ChamelosPara</v>
      </c>
      <c r="F172" s="36" t="str">
        <f>IFERROR(
ROUNDUP(
IF(AND($U$5=FALSE,$U$4=FALSE),"-",IF(AND($U$5=TRUE,$U$4=TRUE),"-",
IF((AND($U$4=TRUE,$U$5=FALSE,$U$6=FALSE,$U$7=FALSE)),VLOOKUP($E172,'Status Thresholds'!$E:$AR,2,FALSE),IF((AND($U$4=TRUE,$U$5=FALSE,$U$6=TRUE,$U$7=FALSE)),VLOOKUP($E172,'Status Thresholds'!$E:$AR,12,FALSE),IF((AND($U$4=TRUE,$U$5=FALSE,$U$6=TRUE,$U$7=TRUE)),VLOOKUP($E172,'Status Thresholds'!$E:$AR,17,FALSE),IF((AND($U$4=TRUE,$U$5=FALSE,$U$6=FALSE,$U$7=TRUE)),VLOOKUP($E172,'Status Thresholds'!$E:$AR,7,FALSE),
IF((AND($U$4=FALSE,$U$5=TRUE,$U$6=FALSE,$U$7=FALSE)),VLOOKUP($E172,'Status Thresholds'!$E:$AR,22,FALSE),IF((AND($U$4=FALSE,$U$5=TRUE,$U$6=TRUE,$U$7=FALSE)),VLOOKUP($E172,'Status Thresholds'!$E:$AR,32,FALSE),IF((AND($U$4=FALSE,$U$5=TRUE,$U$6=TRUE,$U$7=TRUE)),VLOOKUP($E172,'Status Thresholds'!$E:$AR,37,FALSE),IF((AND($U$4=FALSE,$U$5=TRUE,$U$6=FALSE,$U$7=TRUE)),VLOOKUP($E172,'Status Thresholds'!$E:$AR,27,FALSE)))))))))
))/
IF(OR($X$5=TRUE,$AC$3=TRUE
),($F$3/2), IF(OR($X$2,$X$3,$X$4,$X$6,$X$7,$X$8,$Z$2,$Z$3,$Z$4,$Z$5,$Z$6,$Z$7,$Z$8)=TRUE,$F$3)),0),"-")</f>
        <v>-</v>
      </c>
      <c r="G172" s="36" t="str">
        <f>IFERROR(
ROUNDUP(
IF(AND($U$5=FALSE,$U$4=FALSE),"-",IF(AND($U$5=TRUE,$U$4=TRUE),"-",
IF((AND($U$4=TRUE,$U$5=FALSE,$U$6=FALSE,$U$7=FALSE)),VLOOKUP($E172,'Status Thresholds'!$E:$AR,3,FALSE),IF((AND($U$4=TRUE,$U$5=FALSE,$U$6=TRUE,$U$7=FALSE)),VLOOKUP($E172,'Status Thresholds'!$E:$AR,13,FALSE),IF((AND($U$4=TRUE,$U$5=FALSE,$U$6=TRUE,$U$7=TRUE)),VLOOKUP($E172,'Status Thresholds'!$E:$AR,18,FALSE),IF((AND($U$4=TRUE,$U$5=FALSE,$U$6=FALSE,$U$7=TRUE)),VLOOKUP($E172,'Status Thresholds'!$E:$AR,8,FALSE),
IF((AND($U$4=FALSE,$U$5=TRUE,$U$6=FALSE,$U$7=FALSE)),VLOOKUP($E172,'Status Thresholds'!$E:$AR,23,FALSE),IF((AND($U$4=FALSE,$U$5=TRUE,$U$6=TRUE,$U$7=FALSE)),VLOOKUP($E172,'Status Thresholds'!$E:$AR,33,FALSE),IF((AND($U$4=FALSE,$U$5=TRUE,$U$6=TRUE,$U$7=TRUE)),VLOOKUP($E172,'Status Thresholds'!$E:$AR,38,FALSE),IF((AND($U$4=FALSE,$U$5=TRUE,$U$6=FALSE,$U$7=TRUE)),VLOOKUP($E172,'Status Thresholds'!$E:$AR,28,FALSE)))))))))
))/
IF(OR($X$5=TRUE,$AC$3=TRUE
),($F$3/2), IF(OR($X$2,$X$3,$X$4,$X$6,$X$7,$X$8,$Z$2,$Z$3,$Z$4,$Z$5,$Z$6,$Z$7,$Z$8)=TRUE,$F$3)),0),"-")</f>
        <v>-</v>
      </c>
      <c r="H172" s="36" t="str">
        <f>IFERROR(
ROUNDUP(
IF(AND($U$5=FALSE,$U$4=FALSE),"-",IF(AND($U$5=TRUE,$U$4=TRUE),"-",
IF((AND($U$4=TRUE,$U$5=FALSE,$U$6=FALSE,$U$7=FALSE)),VLOOKUP($E172,'Status Thresholds'!$E:$AR,4,FALSE),IF((AND($U$4=TRUE,$U$5=FALSE,$U$6=TRUE,$U$7=FALSE)),VLOOKUP($E172,'Status Thresholds'!$E:$AR,14,FALSE),IF((AND($U$4=TRUE,$U$5=FALSE,$U$6=TRUE,$U$7=TRUE)),VLOOKUP($E172,'Status Thresholds'!$E:$AR,19,FALSE),IF((AND($U$4=TRUE,$U$5=FALSE,$U$6=FALSE,$U$7=TRUE)),VLOOKUP($E172,'Status Thresholds'!$E:$AR,9,FALSE),
IF((AND($U$4=FALSE,$U$5=TRUE,$U$6=FALSE,$U$7=FALSE)),VLOOKUP($E172,'Status Thresholds'!$E:$AR,24,FALSE),IF((AND($U$4=FALSE,$U$5=TRUE,$U$6=TRUE,$U$7=FALSE)),VLOOKUP($E172,'Status Thresholds'!$E:$AR,34,FALSE),IF((AND($U$4=FALSE,$U$5=TRUE,$U$6=TRUE,$U$7=TRUE)),VLOOKUP($E172,'Status Thresholds'!$E:$AR,39,FALSE),IF((AND($U$4=FALSE,$U$5=TRUE,$U$6=FALSE,$U$7=TRUE)),VLOOKUP($E172,'Status Thresholds'!$E:$AR,29,FALSE)))))))))
))/
IF(OR($X$5=TRUE,$AC$3=TRUE
),($F$3/2), IF(OR($X$2,$X$3,$X$4,$X$6,$X$7,$X$8,$Z$2,$Z$3,$Z$4,$Z$5,$Z$6,$Z$7,$Z$8)=TRUE,$F$3)),0),"-")</f>
        <v>-</v>
      </c>
      <c r="I172" s="36" t="str">
        <f>IFERROR(
ROUNDUP(
IF(AND($U$5=FALSE,$U$4=FALSE),"-",IF(AND($U$5=TRUE,$U$4=TRUE),"-",
IF((AND($U$4=TRUE,$U$5=FALSE,$U$6=FALSE,$U$7=FALSE)),VLOOKUP($E172,'Status Thresholds'!$E:$AR,5,FALSE),IF((AND($U$4=TRUE,$U$5=FALSE,$U$6=TRUE,$U$7=FALSE)),VLOOKUP($E172,'Status Thresholds'!$E:$AR,15,FALSE),IF((AND($U$4=TRUE,$U$5=FALSE,$U$6=TRUE,$U$7=TRUE)),VLOOKUP($E172,'Status Thresholds'!$E:$AR,20,FALSE),IF((AND($U$4=TRUE,$U$5=FALSE,$U$6=FALSE,$U$7=TRUE)),VLOOKUP($E172,'Status Thresholds'!$E:$AR,10,FALSE),
IF((AND($U$4=FALSE,$U$5=TRUE,$U$6=FALSE,$U$7=FALSE)),VLOOKUP($E172,'Status Thresholds'!$E:$AR,25,FALSE),IF((AND($U$4=FALSE,$U$5=TRUE,$U$6=TRUE,$U$7=FALSE)),VLOOKUP($E172,'Status Thresholds'!$E:$AR,35,FALSE),IF((AND($U$4=FALSE,$U$5=TRUE,$U$6=TRUE,$U$7=TRUE)),VLOOKUP($E172,'Status Thresholds'!$E:$AR,40,FALSE),IF((AND($U$4=FALSE,$U$5=TRUE,$U$6=FALSE,$U$7=TRUE)),VLOOKUP($E172,'Status Thresholds'!$E:$AR,30,FALSE)))))))))
))/
IF(OR($X$5=TRUE,$AC$3=TRUE
),($F$3/2), IF(OR($X$2,$X$3,$X$4,$X$6,$X$7,$X$8,$Z$2,$Z$3,$Z$4,$Z$5,$Z$6,$Z$7,$Z$8)=TRUE,$F$3)),0),"-")</f>
        <v>-</v>
      </c>
      <c r="J172" s="36">
        <f>IFERROR(IF(AND($U$5=FALSE,$U$4=FALSE),"-",VLOOKUP($E172,'Status Thresholds'!$E:$AU,41,FALSE)),"-")</f>
        <v>5</v>
      </c>
      <c r="K172" s="36" t="str">
        <f>IFERROR(IF(AND($U$5=FALSE,$U$4=FALSE),"-",VLOOKUP($E172,'Status Thresholds'!$E:$AU,42,FALSE)),"-")</f>
        <v>-</v>
      </c>
      <c r="L172" s="36" t="str">
        <f>IFERROR(IF(AND($U$5=FALSE,$U$4=FALSE),"-",VLOOKUP($E172,'Status Thresholds'!$E:$AU,43,FALSE)),"-")</f>
        <v>-</v>
      </c>
    </row>
    <row r="173" spans="1:12" x14ac:dyDescent="0.25">
      <c r="A173" s="35"/>
      <c r="B173" s="64" t="str">
        <f>VLOOKUP(C173,'Status Thresholds'!B:C,2,FALSE)</f>
        <v>MHGen</v>
      </c>
      <c r="C173" s="64" t="str">
        <f>IF('Status Thresholds'!B168=0, "", 'Status Thresholds'!B168)</f>
        <v>Chamelos</v>
      </c>
      <c r="D173" s="31" t="s">
        <v>32</v>
      </c>
      <c r="E173" s="36" t="str">
        <f t="shared" si="2"/>
        <v>ChamelosSleep</v>
      </c>
      <c r="F173" s="36" t="str">
        <f>IFERROR(
ROUNDUP(
IF(AND($U$5=FALSE,$U$4=FALSE),"-",IF(AND($U$5=TRUE,$U$4=TRUE),"-",
IF((AND($U$4=TRUE,$U$5=FALSE,$U$6=FALSE,$U$7=FALSE)),VLOOKUP($E173,'Status Thresholds'!$E:$AR,2,FALSE),IF((AND($U$4=TRUE,$U$5=FALSE,$U$6=TRUE,$U$7=FALSE)),VLOOKUP($E173,'Status Thresholds'!$E:$AR,12,FALSE),IF((AND($U$4=TRUE,$U$5=FALSE,$U$6=TRUE,$U$7=TRUE)),VLOOKUP($E173,'Status Thresholds'!$E:$AR,17,FALSE),IF((AND($U$4=TRUE,$U$5=FALSE,$U$6=FALSE,$U$7=TRUE)),VLOOKUP($E173,'Status Thresholds'!$E:$AR,7,FALSE),
IF((AND($U$4=FALSE,$U$5=TRUE,$U$6=FALSE,$U$7=FALSE)),VLOOKUP($E173,'Status Thresholds'!$E:$AR,22,FALSE),IF((AND($U$4=FALSE,$U$5=TRUE,$U$6=TRUE,$U$7=FALSE)),VLOOKUP($E173,'Status Thresholds'!$E:$AR,32,FALSE),IF((AND($U$4=FALSE,$U$5=TRUE,$U$6=TRUE,$U$7=TRUE)),VLOOKUP($E173,'Status Thresholds'!$E:$AR,37,FALSE),IF((AND($U$4=FALSE,$U$5=TRUE,$U$6=FALSE,$U$7=TRUE)),VLOOKUP($E173,'Status Thresholds'!$E:$AR,27,FALSE)))))))))
))/
IF(OR($X$5=TRUE,$AC$3=TRUE
),($F$4/2), IF(OR($X$2,$X$3,$X$4,$X$6,$X$7,$X$8,$Z$2,$Z$3,$Z$4,$Z$5,$Z$6,$Z$7,$Z$8)=TRUE,$F$4)),0),"-")</f>
        <v>-</v>
      </c>
      <c r="G173" s="36" t="str">
        <f>IFERROR(
ROUNDUP(
IF(AND($U$5=FALSE,$U$4=FALSE),"-",IF(AND($U$5=TRUE,$U$4=TRUE),"-",
IF((AND($U$4=TRUE,$U$5=FALSE,$U$6=FALSE,$U$7=FALSE)),VLOOKUP($E173,'Status Thresholds'!$E:$AR,3,FALSE),IF((AND($U$4=TRUE,$U$5=FALSE,$U$6=TRUE,$U$7=FALSE)),VLOOKUP($E173,'Status Thresholds'!$E:$AR,13,FALSE),IF((AND($U$4=TRUE,$U$5=FALSE,$U$6=TRUE,$U$7=TRUE)),VLOOKUP($E173,'Status Thresholds'!$E:$AR,18,FALSE),IF((AND($U$4=TRUE,$U$5=FALSE,$U$6=FALSE,$U$7=TRUE)),VLOOKUP($E173,'Status Thresholds'!$E:$AR,8,FALSE),
IF((AND($U$4=FALSE,$U$5=TRUE,$U$6=FALSE,$U$7=FALSE)),VLOOKUP($E173,'Status Thresholds'!$E:$AR,23,FALSE),IF((AND($U$4=FALSE,$U$5=TRUE,$U$6=TRUE,$U$7=FALSE)),VLOOKUP($E173,'Status Thresholds'!$E:$AR,33,FALSE),IF((AND($U$4=FALSE,$U$5=TRUE,$U$6=TRUE,$U$7=TRUE)),VLOOKUP($E173,'Status Thresholds'!$E:$AR,38,FALSE),IF((AND($U$4=FALSE,$U$5=TRUE,$U$6=FALSE,$U$7=TRUE)),VLOOKUP($E173,'Status Thresholds'!$E:$AR,28,FALSE)))))))))
))/
IF(OR($X$5=TRUE,$AC$3=TRUE
),($F$4/2), IF(OR($X$2,$X$3,$X$4,$X$6,$X$7,$X$8,$Z$2,$Z$3,$Z$4,$Z$5,$Z$6,$Z$7,$Z$8)=TRUE,$F$4)),0),"-")</f>
        <v>-</v>
      </c>
      <c r="H173" s="36" t="str">
        <f>IFERROR(
ROUNDUP(
IF(AND($U$5=FALSE,$U$4=FALSE),"-",IF(AND($U$5=TRUE,$U$4=TRUE),"-",
IF((AND($U$4=TRUE,$U$5=FALSE,$U$6=FALSE,$U$7=FALSE)),VLOOKUP($E173,'Status Thresholds'!$E:$AR,4,FALSE),IF((AND($U$4=TRUE,$U$5=FALSE,$U$6=TRUE,$U$7=FALSE)),VLOOKUP($E173,'Status Thresholds'!$E:$AR,14,FALSE),IF((AND($U$4=TRUE,$U$5=FALSE,$U$6=TRUE,$U$7=TRUE)),VLOOKUP($E173,'Status Thresholds'!$E:$AR,19,FALSE),IF((AND($U$4=TRUE,$U$5=FALSE,$U$6=FALSE,$U$7=TRUE)),VLOOKUP($E173,'Status Thresholds'!$E:$AR,9,FALSE),
IF((AND($U$4=FALSE,$U$5=TRUE,$U$6=FALSE,$U$7=FALSE)),VLOOKUP($E173,'Status Thresholds'!$E:$AR,24,FALSE),IF((AND($U$4=FALSE,$U$5=TRUE,$U$6=TRUE,$U$7=FALSE)),VLOOKUP($E173,'Status Thresholds'!$E:$AR,34,FALSE),IF((AND($U$4=FALSE,$U$5=TRUE,$U$6=TRUE,$U$7=TRUE)),VLOOKUP($E173,'Status Thresholds'!$E:$AR,39,FALSE),IF((AND($U$4=FALSE,$U$5=TRUE,$U$6=FALSE,$U$7=TRUE)),VLOOKUP($E173,'Status Thresholds'!$E:$AR,29,FALSE)))))))))
))/
IF(OR($X$5=TRUE,$AC$3=TRUE
),($F$4/2), IF(OR($X$2,$X$3,$X$4,$X$6,$X$7,$X$8,$Z$2,$Z$3,$Z$4,$Z$5,$Z$6,$Z$7,$Z$8)=TRUE,$F$4)),0),"-")</f>
        <v>-</v>
      </c>
      <c r="I173" s="36" t="str">
        <f>IFERROR(
ROUNDUP(
IF(AND($U$5=FALSE,$U$4=FALSE),"-",IF(AND($U$5=TRUE,$U$4=TRUE),"-",
IF((AND($U$4=TRUE,$U$5=FALSE,$U$6=FALSE,$U$7=FALSE)),VLOOKUP($E173,'Status Thresholds'!$E:$AR,5,FALSE),IF((AND($U$4=TRUE,$U$5=FALSE,$U$6=TRUE,$U$7=FALSE)),VLOOKUP($E173,'Status Thresholds'!$E:$AR,15,FALSE),IF((AND($U$4=TRUE,$U$5=FALSE,$U$6=TRUE,$U$7=TRUE)),VLOOKUP($E173,'Status Thresholds'!$E:$AR,20,FALSE),IF((AND($U$4=TRUE,$U$5=FALSE,$U$6=FALSE,$U$7=TRUE)),VLOOKUP($E173,'Status Thresholds'!$E:$AR,10,FALSE),
IF((AND($U$4=FALSE,$U$5=TRUE,$U$6=FALSE,$U$7=FALSE)),VLOOKUP($E173,'Status Thresholds'!$E:$AR,25,FALSE),IF((AND($U$4=FALSE,$U$5=TRUE,$U$6=TRUE,$U$7=FALSE)),VLOOKUP($E173,'Status Thresholds'!$E:$AR,35,FALSE),IF((AND($U$4=FALSE,$U$5=TRUE,$U$6=TRUE,$U$7=TRUE)),VLOOKUP($E173,'Status Thresholds'!$E:$AR,40,FALSE),IF((AND($U$4=FALSE,$U$5=TRUE,$U$6=FALSE,$U$7=TRUE)),VLOOKUP($E173,'Status Thresholds'!$E:$AR,30,FALSE)))))))))
))/
IF(OR($X$5=TRUE,$AC$3=TRUE
),($F$4/2), IF(OR($X$2,$X$3,$X$4,$X$6,$X$7,$X$8,$Z$2,$Z$3,$Z$4,$Z$5,$Z$6,$Z$7,$Z$8)=TRUE,$F$4)),0),"-")</f>
        <v>-</v>
      </c>
      <c r="J173" s="46">
        <f>IFERROR(IF(AND($U$5=FALSE,$U$4=FALSE),"-",VLOOKUP($E173,'Status Thresholds'!$E:$AU,41,FALSE)),"-")</f>
        <v>30</v>
      </c>
      <c r="K173" s="46" t="str">
        <f>IFERROR(IF(AND($U$5=FALSE,$U$4=FALSE),"-",VLOOKUP($E173,'Status Thresholds'!$E:$AU,42,FALSE)),"-")</f>
        <v>-</v>
      </c>
      <c r="L173" s="46" t="str">
        <f>IFERROR(IF(AND($U$5=FALSE,$U$4=FALSE),"-",VLOOKUP($E173,'Status Thresholds'!$E:$AU,43,FALSE)),"-")</f>
        <v>-</v>
      </c>
    </row>
    <row r="174" spans="1:12" x14ac:dyDescent="0.25">
      <c r="A174" s="35"/>
      <c r="B174" s="64" t="str">
        <f>VLOOKUP(C174,'Status Thresholds'!B:C,2,FALSE)</f>
        <v>MHGen</v>
      </c>
      <c r="C174" s="64" t="str">
        <f>IF('Status Thresholds'!B169=0, "", 'Status Thresholds'!B169)</f>
        <v>Chamelos</v>
      </c>
      <c r="D174" s="32" t="s">
        <v>33</v>
      </c>
      <c r="E174" s="36" t="str">
        <f t="shared" si="2"/>
        <v>ChamelosPoison</v>
      </c>
      <c r="F174" s="36" t="str">
        <f>IFERROR(
ROUNDUP(
IF(AND($U$5=FALSE,$U$4=FALSE),"-",IF(AND($U$5=TRUE,$U$4=TRUE),"-",
IF((AND($U$4=TRUE,$U$5=FALSE,$U$6=FALSE,$U$7=FALSE)),VLOOKUP($E174,'Status Thresholds'!$E:$AR,2,FALSE),IF((AND($U$4=TRUE,$U$5=FALSE,$U$6=TRUE,$U$7=FALSE)),VLOOKUP($E174,'Status Thresholds'!$E:$AR,12,FALSE),IF((AND($U$4=TRUE,$U$5=FALSE,$U$6=TRUE,$U$7=TRUE)),VLOOKUP($E174,'Status Thresholds'!$E:$AR,17,FALSE),IF((AND($U$4=TRUE,$U$5=FALSE,$U$6=FALSE,$U$7=TRUE)),VLOOKUP($E174,'Status Thresholds'!$E:$AR,7,FALSE),
IF((AND($U$4=FALSE,$U$5=TRUE,$U$6=FALSE,$U$7=FALSE)),VLOOKUP($E174,'Status Thresholds'!$E:$AR,22,FALSE),IF((AND($U$4=FALSE,$U$5=TRUE,$U$6=TRUE,$U$7=FALSE)),VLOOKUP($E174,'Status Thresholds'!$E:$AR,32,FALSE),IF((AND($U$4=FALSE,$U$5=TRUE,$U$6=TRUE,$U$7=TRUE)),VLOOKUP($E174,'Status Thresholds'!$E:$AR,37,FALSE),IF((AND($U$4=FALSE,$U$5=TRUE,$U$6=FALSE,$U$7=TRUE)),VLOOKUP($E174,'Status Thresholds'!$E:$AR,27,FALSE)))))))))
))/
IF(OR($X$5=TRUE,$AC$3=TRUE
),($F$5/2), IF(OR($X$2,$X$3,$X$4,$X$6,$X$7,$X$8,$Z$2,$Z$3,$Z$4,$Z$5,$Z$6,$Z$7,$Z$8)=TRUE,$F$5)),0),"-")</f>
        <v>-</v>
      </c>
      <c r="G174" s="36" t="str">
        <f>IFERROR(
ROUNDUP(
IF(AND($U$5=FALSE,$U$4=FALSE),"-",IF(AND($U$5=TRUE,$U$4=TRUE),"-",
IF((AND($U$4=TRUE,$U$5=FALSE,$U$6=FALSE,$U$7=FALSE)),VLOOKUP($E174,'Status Thresholds'!$E:$AR,3,FALSE),IF((AND($U$4=TRUE,$U$5=FALSE,$U$6=TRUE,$U$7=FALSE)),VLOOKUP($E174,'Status Thresholds'!$E:$AR,13,FALSE),IF((AND($U$4=TRUE,$U$5=FALSE,$U$6=TRUE,$U$7=TRUE)),VLOOKUP($E174,'Status Thresholds'!$E:$AR,18,FALSE),IF((AND($U$4=TRUE,$U$5=FALSE,$U$6=FALSE,$U$7=TRUE)),VLOOKUP($E174,'Status Thresholds'!$E:$AR,8,FALSE),
IF((AND($U$4=FALSE,$U$5=TRUE,$U$6=FALSE,$U$7=FALSE)),VLOOKUP($E174,'Status Thresholds'!$E:$AR,23,FALSE),IF((AND($U$4=FALSE,$U$5=TRUE,$U$6=TRUE,$U$7=FALSE)),VLOOKUP($E174,'Status Thresholds'!$E:$AR,33,FALSE),IF((AND($U$4=FALSE,$U$5=TRUE,$U$6=TRUE,$U$7=TRUE)),VLOOKUP($E174,'Status Thresholds'!$E:$AR,38,FALSE),IF((AND($U$4=FALSE,$U$5=TRUE,$U$6=FALSE,$U$7=TRUE)),VLOOKUP($E174,'Status Thresholds'!$E:$AR,28,FALSE)))))))))
))/
IF(OR($X$5=TRUE,$AC$3=TRUE
),($F$5/2), IF(OR($X$2,$X$3,$X$4,$X$6,$X$7,$X$8,$Z$2,$Z$3,$Z$4,$Z$5,$Z$6,$Z$7,$Z$8)=TRUE,$F$5)),0),"-")</f>
        <v>-</v>
      </c>
      <c r="H174" s="36" t="str">
        <f>IFERROR(
ROUNDUP(
IF(AND($U$5=FALSE,$U$4=FALSE),"-",IF(AND($U$5=TRUE,$U$4=TRUE),"-",
IF((AND($U$4=TRUE,$U$5=FALSE,$U$6=FALSE,$U$7=FALSE)),VLOOKUP($E174,'Status Thresholds'!$E:$AR,4,FALSE),IF((AND($U$4=TRUE,$U$5=FALSE,$U$6=TRUE,$U$7=FALSE)),VLOOKUP($E174,'Status Thresholds'!$E:$AR,14,FALSE),IF((AND($U$4=TRUE,$U$5=FALSE,$U$6=TRUE,$U$7=TRUE)),VLOOKUP($E174,'Status Thresholds'!$E:$AR,19,FALSE),IF((AND($U$4=TRUE,$U$5=FALSE,$U$6=FALSE,$U$7=TRUE)),VLOOKUP($E174,'Status Thresholds'!$E:$AR,9,FALSE),
IF((AND($U$4=FALSE,$U$5=TRUE,$U$6=FALSE,$U$7=FALSE)),VLOOKUP($E174,'Status Thresholds'!$E:$AR,24,FALSE),IF((AND($U$4=FALSE,$U$5=TRUE,$U$6=TRUE,$U$7=FALSE)),VLOOKUP($E174,'Status Thresholds'!$E:$AR,34,FALSE),IF((AND($U$4=FALSE,$U$5=TRUE,$U$6=TRUE,$U$7=TRUE)),VLOOKUP($E174,'Status Thresholds'!$E:$AR,39,FALSE),IF((AND($U$4=FALSE,$U$5=TRUE,$U$6=FALSE,$U$7=TRUE)),VLOOKUP($E174,'Status Thresholds'!$E:$AR,29,FALSE)))))))))
))/
IF(OR($X$5=TRUE,$AC$3=TRUE
),($F$5/2), IF(OR($X$2,$X$3,$X$4,$X$6,$X$7,$X$8,$Z$2,$Z$3,$Z$4,$Z$5,$Z$6,$Z$7,$Z$8)=TRUE,$F$5)),0),"-")</f>
        <v>-</v>
      </c>
      <c r="I174" s="36" t="str">
        <f>IFERROR(
ROUNDUP(
IF(AND($U$5=FALSE,$U$4=FALSE),"-",IF(AND($U$5=TRUE,$U$4=TRUE),"-",
IF((AND($U$4=TRUE,$U$5=FALSE,$U$6=FALSE,$U$7=FALSE)),VLOOKUP($E174,'Status Thresholds'!$E:$AR,5,FALSE),IF((AND($U$4=TRUE,$U$5=FALSE,$U$6=TRUE,$U$7=FALSE)),VLOOKUP($E174,'Status Thresholds'!$E:$AR,15,FALSE),IF((AND($U$4=TRUE,$U$5=FALSE,$U$6=TRUE,$U$7=TRUE)),VLOOKUP($E174,'Status Thresholds'!$E:$AR,20,FALSE),IF((AND($U$4=TRUE,$U$5=FALSE,$U$6=FALSE,$U$7=TRUE)),VLOOKUP($E174,'Status Thresholds'!$E:$AR,10,FALSE),
IF((AND($U$4=FALSE,$U$5=TRUE,$U$6=FALSE,$U$7=FALSE)),VLOOKUP($E174,'Status Thresholds'!$E:$AR,25,FALSE),IF((AND($U$4=FALSE,$U$5=TRUE,$U$6=TRUE,$U$7=FALSE)),VLOOKUP($E174,'Status Thresholds'!$E:$AR,35,FALSE),IF((AND($U$4=FALSE,$U$5=TRUE,$U$6=TRUE,$U$7=TRUE)),VLOOKUP($E174,'Status Thresholds'!$E:$AR,40,FALSE),IF((AND($U$4=FALSE,$U$5=TRUE,$U$6=FALSE,$U$7=TRUE)),VLOOKUP($E174,'Status Thresholds'!$E:$AR,30,FALSE)))))))))
))/
IF(OR($X$5=TRUE,$AC$3=TRUE
),($F$5/2), IF(OR($X$2,$X$3,$X$4,$X$6,$X$7,$X$8,$Z$2,$Z$3,$Z$4,$Z$5,$Z$6,$Z$7,$Z$8)=TRUE,$F$5)),0),"-")</f>
        <v>-</v>
      </c>
      <c r="J174" s="46">
        <f>IFERROR(IF(AND($U$5=FALSE,$U$4=FALSE),"-",VLOOKUP($E174,'Status Thresholds'!$E:$AU,41,FALSE)),"-")</f>
        <v>60</v>
      </c>
      <c r="K174" s="46" t="str">
        <f>IFERROR(IF(AND($U$5=FALSE,$U$4=FALSE),"-",VLOOKUP($E174,'Status Thresholds'!$E:$AU,42,FALSE)),"-")</f>
        <v>-</v>
      </c>
      <c r="L174" s="46" t="str">
        <f>IFERROR(IF(AND($U$5=FALSE,$U$4=FALSE),"-",VLOOKUP($E174,'Status Thresholds'!$E:$AU,43,FALSE)),"-")</f>
        <v>-</v>
      </c>
    </row>
    <row r="175" spans="1:12" x14ac:dyDescent="0.25">
      <c r="A175" s="35"/>
      <c r="B175" s="64" t="str">
        <f>VLOOKUP(C175,'Status Thresholds'!B:C,2,FALSE)</f>
        <v>MHGen</v>
      </c>
      <c r="C175" s="64" t="str">
        <f>IF('Status Thresholds'!B170=0, "", 'Status Thresholds'!B170)</f>
        <v>Chamelos</v>
      </c>
      <c r="D175" s="10" t="s">
        <v>22</v>
      </c>
      <c r="E175" s="36" t="str">
        <f t="shared" si="2"/>
        <v>ChamelosExhaust</v>
      </c>
      <c r="F175" s="36" t="str">
        <f>IFERROR(
ROUNDUP(
IF(AND($U$5=FALSE,$U$4=FALSE),"-",IF(AND($U$5=TRUE,$U$4=TRUE),"-",
IF((AND($U$4=TRUE,$U$5=FALSE,$U$6=FALSE,$U$7=FALSE)),VLOOKUP($E175,'Status Thresholds'!$E:$AR,2,FALSE),IF((AND($U$4=TRUE,$U$5=FALSE,$U$6=TRUE,$U$7=FALSE)),VLOOKUP($E175,'Status Thresholds'!$E:$AR,12,FALSE),IF((AND($U$4=TRUE,$U$5=FALSE,$U$6=TRUE,$U$7=TRUE)),VLOOKUP($E175,'Status Thresholds'!$E:$AR,17,FALSE),IF((AND($U$4=TRUE,$U$5=FALSE,$U$6=FALSE,$U$7=TRUE)),VLOOKUP($E175,'Status Thresholds'!$E:$AR,7,FALSE),
IF((AND($U$4=FALSE,$U$5=TRUE,$U$6=FALSE,$U$7=FALSE)),VLOOKUP($E175,'Status Thresholds'!$E:$AR,22,FALSE),IF((AND($U$4=FALSE,$U$5=TRUE,$U$6=TRUE,$U$7=FALSE)),VLOOKUP($E175,'Status Thresholds'!$E:$AR,32,FALSE),IF((AND($U$4=FALSE,$U$5=TRUE,$U$6=TRUE,$U$7=TRUE)),VLOOKUP($E175,'Status Thresholds'!$E:$AR,37,FALSE),IF((AND($U$4=FALSE,$U$5=TRUE,$U$6=FALSE,$U$7=TRUE)),VLOOKUP($E175,'Status Thresholds'!$E:$AR,27,FALSE)))))))))
))/
IF(OR($X$5=TRUE,$AC$3=TRUE
),($F$6/2), IF(OR($X$2,$X$3,$X$4,$X$6,$X$7,$X$8,$Z$2,$Z$3,$Z$4,$Z$5,$Z$6,$Z$7,$Z$8)=TRUE,$F$6)),0),"-")</f>
        <v>-</v>
      </c>
      <c r="G175" s="36" t="str">
        <f>IFERROR(
ROUNDUP(
IF(AND($U$5=FALSE,$U$4=FALSE),"-",IF(AND($U$5=TRUE,$U$4=TRUE),"-",
IF((AND($U$4=TRUE,$U$5=FALSE,$U$6=FALSE,$U$7=FALSE)),VLOOKUP($E175,'Status Thresholds'!$E:$AR,3,FALSE),IF((AND($U$4=TRUE,$U$5=FALSE,$U$6=TRUE,$U$7=FALSE)),VLOOKUP($E175,'Status Thresholds'!$E:$AR,13,FALSE),IF((AND($U$4=TRUE,$U$5=FALSE,$U$6=TRUE,$U$7=TRUE)),VLOOKUP($E175,'Status Thresholds'!$E:$AR,18,FALSE),IF((AND($U$4=TRUE,$U$5=FALSE,$U$6=FALSE,$U$7=TRUE)),VLOOKUP($E175,'Status Thresholds'!$E:$AR,8,FALSE),
IF((AND($U$4=FALSE,$U$5=TRUE,$U$6=FALSE,$U$7=FALSE)),VLOOKUP($E175,'Status Thresholds'!$E:$AR,23,FALSE),IF((AND($U$4=FALSE,$U$5=TRUE,$U$6=TRUE,$U$7=FALSE)),VLOOKUP($E175,'Status Thresholds'!$E:$AR,33,FALSE),IF((AND($U$4=FALSE,$U$5=TRUE,$U$6=TRUE,$U$7=TRUE)),VLOOKUP($E175,'Status Thresholds'!$E:$AR,38,FALSE),IF((AND($U$4=FALSE,$U$5=TRUE,$U$6=FALSE,$U$7=TRUE)),VLOOKUP($E175,'Status Thresholds'!$E:$AR,28,FALSE)))))))))
))/
IF(OR($X$5=TRUE,$AC$3=TRUE
),($F$6/2), IF(OR($X$2,$X$3,$X$4,$X$6,$X$7,$X$8,$Z$2,$Z$3,$Z$4,$Z$5,$Z$6,$Z$7,$Z$8)=TRUE,$F$6)),0),"-")</f>
        <v>-</v>
      </c>
      <c r="H175" s="36" t="str">
        <f>IFERROR(
ROUNDUP(
IF(AND($U$5=FALSE,$U$4=FALSE),"-",IF(AND($U$5=TRUE,$U$4=TRUE),"-",
IF((AND($U$4=TRUE,$U$5=FALSE,$U$6=FALSE,$U$7=FALSE)),VLOOKUP($E175,'Status Thresholds'!$E:$AR,4,FALSE),IF((AND($U$4=TRUE,$U$5=FALSE,$U$6=TRUE,$U$7=FALSE)),VLOOKUP($E175,'Status Thresholds'!$E:$AR,14,FALSE),IF((AND($U$4=TRUE,$U$5=FALSE,$U$6=TRUE,$U$7=TRUE)),VLOOKUP($E175,'Status Thresholds'!$E:$AR,19,FALSE),IF((AND($U$4=TRUE,$U$5=FALSE,$U$6=FALSE,$U$7=TRUE)),VLOOKUP($E175,'Status Thresholds'!$E:$AR,9,FALSE),
IF((AND($U$4=FALSE,$U$5=TRUE,$U$6=FALSE,$U$7=FALSE)),VLOOKUP($E175,'Status Thresholds'!$E:$AR,24,FALSE),IF((AND($U$4=FALSE,$U$5=TRUE,$U$6=TRUE,$U$7=FALSE)),VLOOKUP($E175,'Status Thresholds'!$E:$AR,34,FALSE),IF((AND($U$4=FALSE,$U$5=TRUE,$U$6=TRUE,$U$7=TRUE)),VLOOKUP($E175,'Status Thresholds'!$E:$AR,39,FALSE),IF((AND($U$4=FALSE,$U$5=TRUE,$U$6=FALSE,$U$7=TRUE)),VLOOKUP($E175,'Status Thresholds'!$E:$AR,29,FALSE)))))))))
))/
IF(OR($X$5=TRUE,$AC$3=TRUE
),($F$6/2), IF(OR($X$2,$X$3,$X$4,$X$6,$X$7,$X$8,$Z$2,$Z$3,$Z$4,$Z$5,$Z$6,$Z$7,$Z$8)=TRUE,$F$6)),0),"-")</f>
        <v>-</v>
      </c>
      <c r="I175" s="36" t="str">
        <f>IFERROR(
ROUNDUP(
IF(AND($U$5=FALSE,$U$4=FALSE),"-",IF(AND($U$5=TRUE,$U$4=TRUE),"-",
IF((AND($U$4=TRUE,$U$5=FALSE,$U$6=FALSE,$U$7=FALSE)),VLOOKUP($E175,'Status Thresholds'!$E:$AR,5,FALSE),IF((AND($U$4=TRUE,$U$5=FALSE,$U$6=TRUE,$U$7=FALSE)),VLOOKUP($E175,'Status Thresholds'!$E:$AR,15,FALSE),IF((AND($U$4=TRUE,$U$5=FALSE,$U$6=TRUE,$U$7=TRUE)),VLOOKUP($E175,'Status Thresholds'!$E:$AR,20,FALSE),IF((AND($U$4=TRUE,$U$5=FALSE,$U$6=FALSE,$U$7=TRUE)),VLOOKUP($E175,'Status Thresholds'!$E:$AR,10,FALSE),
IF((AND($U$4=FALSE,$U$5=TRUE,$U$6=FALSE,$U$7=FALSE)),VLOOKUP($E175,'Status Thresholds'!$E:$AR,25,FALSE),IF((AND($U$4=FALSE,$U$5=TRUE,$U$6=TRUE,$U$7=FALSE)),VLOOKUP($E175,'Status Thresholds'!$E:$AR,35,FALSE),IF((AND($U$4=FALSE,$U$5=TRUE,$U$6=TRUE,$U$7=TRUE)),VLOOKUP($E175,'Status Thresholds'!$E:$AR,40,FALSE),IF((AND($U$4=FALSE,$U$5=TRUE,$U$6=FALSE,$U$7=TRUE)),VLOOKUP($E175,'Status Thresholds'!$E:$AR,30,FALSE)))))))))
))/
IF(OR($X$5=TRUE,$AC$3=TRUE
),($F$6/2), IF(OR($X$2,$X$3,$X$4,$X$6,$X$7,$X$8,$Z$2,$Z$3,$Z$4,$Z$5,$Z$6,$Z$7,$Z$8)=TRUE,$F$6)),0),"-")</f>
        <v>-</v>
      </c>
      <c r="J175" s="46">
        <f>IFERROR(IF(AND($U$5=FALSE,$U$4=FALSE),"-",VLOOKUP($E175,'Status Thresholds'!$E:$AU,41,FALSE)),"-")</f>
        <v>0</v>
      </c>
      <c r="K175" s="46" t="str">
        <f>IFERROR(IF(AND($U$5=FALSE,$U$4=FALSE),"-",VLOOKUP($E175,'Status Thresholds'!$E:$AU,42,FALSE)),"-")</f>
        <v>-</v>
      </c>
      <c r="L175" s="46" t="str">
        <f>IFERROR(IF(AND($U$5=FALSE,$U$4=FALSE),"-",VLOOKUP($E175,'Status Thresholds'!$E:$AU,43,FALSE)),"-")</f>
        <v>-</v>
      </c>
    </row>
    <row r="176" spans="1:12" x14ac:dyDescent="0.25">
      <c r="A176" s="35"/>
      <c r="B176" s="64" t="str">
        <f>VLOOKUP(C176,'Status Thresholds'!B:C,2,FALSE)</f>
        <v>MHGen</v>
      </c>
      <c r="C176" s="64" t="str">
        <f>IF('Status Thresholds'!B171=0, "", 'Status Thresholds'!B171)</f>
        <v>Chamelos</v>
      </c>
      <c r="D176" s="30" t="s">
        <v>35</v>
      </c>
      <c r="E176" s="36" t="str">
        <f t="shared" si="2"/>
        <v>ChamelosBlast</v>
      </c>
      <c r="F176" s="36" t="str">
        <f>IFERROR(
ROUNDUP(
IF(AND($U$5=FALSE,$U$4=FALSE),"-",IF(AND($U$5=TRUE,$U$4=TRUE),"-",
IF((AND($U$4=TRUE,$U$5=FALSE,$U$6=FALSE,$U$7=FALSE)),VLOOKUP($E176,'Status Thresholds'!$E:$AR,2,FALSE),IF((AND($U$4=TRUE,$U$5=FALSE,$U$6=TRUE,$U$7=FALSE)),VLOOKUP($E176,'Status Thresholds'!$E:$AR,12,FALSE),IF((AND($U$4=TRUE,$U$5=FALSE,$U$6=TRUE,$U$7=TRUE)),VLOOKUP($E176,'Status Thresholds'!$E:$AR,17,FALSE),IF((AND($U$4=TRUE,$U$5=FALSE,$U$6=FALSE,$U$7=TRUE)),VLOOKUP($E176,'Status Thresholds'!$E:$AR,7,FALSE),
IF((AND($U$4=FALSE,$U$5=TRUE,$U$6=FALSE,$U$7=FALSE)),VLOOKUP($E176,'Status Thresholds'!$E:$AR,22,FALSE),IF((AND($U$4=FALSE,$U$5=TRUE,$U$6=TRUE,$U$7=FALSE)),VLOOKUP($E176,'Status Thresholds'!$E:$AR,32,FALSE),IF((AND($U$4=FALSE,$U$5=TRUE,$U$6=TRUE,$U$7=TRUE)),VLOOKUP($E176,'Status Thresholds'!$E:$AR,37,FALSE),IF((AND($U$4=FALSE,$U$5=TRUE,$U$6=FALSE,$U$7=TRUE)),VLOOKUP($E176,'Status Thresholds'!$E:$AR,27,FALSE)))))))))
))/
IF(OR($X$5=TRUE,$AC$3=TRUE
),($F$7/2), IF(OR($X$2,$X$3,$X$4,$X$6,$X$7,$X$8,$Z$2,$Z$3,$Z$4,$Z$5,$Z$6,$Z$7,$Z$8)=TRUE,$F$7)),0),"-")</f>
        <v>-</v>
      </c>
      <c r="G176" s="36" t="str">
        <f>IFERROR(
ROUNDUP(
IF(AND($U$5=FALSE,$U$4=FALSE),"-",IF(AND($U$5=TRUE,$U$4=TRUE),"-",
IF((AND($U$4=TRUE,$U$5=FALSE,$U$6=FALSE,$U$7=FALSE)),VLOOKUP($E176,'Status Thresholds'!$E:$AR,3,FALSE),IF((AND($U$4=TRUE,$U$5=FALSE,$U$6=TRUE,$U$7=FALSE)),VLOOKUP($E176,'Status Thresholds'!$E:$AR,13,FALSE),IF((AND($U$4=TRUE,$U$5=FALSE,$U$6=TRUE,$U$7=TRUE)),VLOOKUP($E176,'Status Thresholds'!$E:$AR,18,FALSE),IF((AND($U$4=TRUE,$U$5=FALSE,$U$6=FALSE,$U$7=TRUE)),VLOOKUP($E176,'Status Thresholds'!$E:$AR,8,FALSE),
IF((AND($U$4=FALSE,$U$5=TRUE,$U$6=FALSE,$U$7=FALSE)),VLOOKUP($E176,'Status Thresholds'!$E:$AR,23,FALSE),IF((AND($U$4=FALSE,$U$5=TRUE,$U$6=TRUE,$U$7=FALSE)),VLOOKUP($E176,'Status Thresholds'!$E:$AR,33,FALSE),IF((AND($U$4=FALSE,$U$5=TRUE,$U$6=TRUE,$U$7=TRUE)),VLOOKUP($E176,'Status Thresholds'!$E:$AR,38,FALSE),IF((AND($U$4=FALSE,$U$5=TRUE,$U$6=FALSE,$U$7=TRUE)),VLOOKUP($E176,'Status Thresholds'!$E:$AR,28,FALSE)))))))))
))/
IF(OR($X$5=TRUE,$AC$3=TRUE
),($F$7/2), IF(OR($X$2,$X$3,$X$4,$X$6,$X$7,$X$8,$Z$2,$Z$3,$Z$4,$Z$5,$Z$6,$Z$7,$Z$8)=TRUE,$F$7)),0),"-")</f>
        <v>-</v>
      </c>
      <c r="H176" s="36" t="str">
        <f>IFERROR(
ROUNDUP(
IF(AND($U$5=FALSE,$U$4=FALSE),"-",IF(AND($U$5=TRUE,$U$4=TRUE),"-",
IF((AND($U$4=TRUE,$U$5=FALSE,$U$6=FALSE,$U$7=FALSE)),VLOOKUP($E176,'Status Thresholds'!$E:$AR,4,FALSE),IF((AND($U$4=TRUE,$U$5=FALSE,$U$6=TRUE,$U$7=FALSE)),VLOOKUP($E176,'Status Thresholds'!$E:$AR,14,FALSE),IF((AND($U$4=TRUE,$U$5=FALSE,$U$6=TRUE,$U$7=TRUE)),VLOOKUP($E176,'Status Thresholds'!$E:$AR,19,FALSE),IF((AND($U$4=TRUE,$U$5=FALSE,$U$6=FALSE,$U$7=TRUE)),VLOOKUP($E176,'Status Thresholds'!$E:$AR,9,FALSE),
IF((AND($U$4=FALSE,$U$5=TRUE,$U$6=FALSE,$U$7=FALSE)),VLOOKUP($E176,'Status Thresholds'!$E:$AR,24,FALSE),IF((AND($U$4=FALSE,$U$5=TRUE,$U$6=TRUE,$U$7=FALSE)),VLOOKUP($E176,'Status Thresholds'!$E:$AR,34,FALSE),IF((AND($U$4=FALSE,$U$5=TRUE,$U$6=TRUE,$U$7=TRUE)),VLOOKUP($E176,'Status Thresholds'!$E:$AR,39,FALSE),IF((AND($U$4=FALSE,$U$5=TRUE,$U$6=FALSE,$U$7=TRUE)),VLOOKUP($E176,'Status Thresholds'!$E:$AR,29,FALSE)))))))))
))/
IF(OR($X$5=TRUE,$AC$3=TRUE
),($F$7/2), IF(OR($X$2,$X$3,$X$4,$X$6,$X$7,$X$8,$Z$2,$Z$3,$Z$4,$Z$5,$Z$6,$Z$7,$Z$8)=TRUE,$F$7)),0),"-")</f>
        <v>-</v>
      </c>
      <c r="I176" s="36" t="str">
        <f>IFERROR(
ROUNDUP(
IF(AND($U$5=FALSE,$U$4=FALSE),"-",IF(AND($U$5=TRUE,$U$4=TRUE),"-",
IF((AND($U$4=TRUE,$U$5=FALSE,$U$6=FALSE,$U$7=FALSE)),VLOOKUP($E176,'Status Thresholds'!$E:$AR,5,FALSE),IF((AND($U$4=TRUE,$U$5=FALSE,$U$6=TRUE,$U$7=FALSE)),VLOOKUP($E176,'Status Thresholds'!$E:$AR,15,FALSE),IF((AND($U$4=TRUE,$U$5=FALSE,$U$6=TRUE,$U$7=TRUE)),VLOOKUP($E176,'Status Thresholds'!$E:$AR,20,FALSE),IF((AND($U$4=TRUE,$U$5=FALSE,$U$6=FALSE,$U$7=TRUE)),VLOOKUP($E176,'Status Thresholds'!$E:$AR,10,FALSE),
IF((AND($U$4=FALSE,$U$5=TRUE,$U$6=FALSE,$U$7=FALSE)),VLOOKUP($E176,'Status Thresholds'!$E:$AR,25,FALSE),IF((AND($U$4=FALSE,$U$5=TRUE,$U$6=TRUE,$U$7=FALSE)),VLOOKUP($E176,'Status Thresholds'!$E:$AR,35,FALSE),IF((AND($U$4=FALSE,$U$5=TRUE,$U$6=TRUE,$U$7=TRUE)),VLOOKUP($E176,'Status Thresholds'!$E:$AR,40,FALSE),IF((AND($U$4=FALSE,$U$5=TRUE,$U$6=FALSE,$U$7=TRUE)),VLOOKUP($E176,'Status Thresholds'!$E:$AR,30,FALSE)))))))))
))/
IF(OR($X$5=TRUE,$AC$3=TRUE
),($F$7/2), IF(OR($X$2,$X$3,$X$4,$X$6,$X$7,$X$8,$Z$2,$Z$3,$Z$4,$Z$5,$Z$6,$Z$7,$Z$8)=TRUE,$F$7)),0),"-")</f>
        <v>-</v>
      </c>
      <c r="J176" s="46">
        <f>IFERROR(IF(AND($U$5=FALSE,$U$4=FALSE),"-",VLOOKUP($E176,'Status Thresholds'!$E:$AU,41,FALSE)),"-")</f>
        <v>0</v>
      </c>
      <c r="K176" s="46" t="str">
        <f>IFERROR(IF(AND($U$5=FALSE,$U$4=FALSE),"-",VLOOKUP($E176,'Status Thresholds'!$E:$AU,42,FALSE)),"-")</f>
        <v>-</v>
      </c>
      <c r="L176" s="46" t="str">
        <f>IFERROR(IF(AND($U$5=FALSE,$U$4=FALSE),"-",VLOOKUP($E176,'Status Thresholds'!$E:$AU,43,FALSE)),"-")</f>
        <v>-</v>
      </c>
    </row>
    <row r="177" spans="1:12" ht="14.45" customHeight="1" x14ac:dyDescent="0.25">
      <c r="A177" s="35"/>
      <c r="B177" s="64" t="str">
        <f>VLOOKUP(C177,'Status Thresholds'!B:C,2,FALSE)</f>
        <v>MHGen</v>
      </c>
      <c r="C177" s="64" t="str">
        <f>IF('Status Thresholds'!B172=0, "", 'Status Thresholds'!B172)</f>
        <v>Chamelos</v>
      </c>
      <c r="D177" s="34" t="s">
        <v>14</v>
      </c>
      <c r="E177" s="36" t="str">
        <f t="shared" si="2"/>
        <v>ChamelosKO</v>
      </c>
      <c r="F177" s="36" t="s">
        <v>214</v>
      </c>
      <c r="G177" s="36" t="s">
        <v>214</v>
      </c>
      <c r="H177" s="36" t="s">
        <v>214</v>
      </c>
      <c r="I177" s="36" t="s">
        <v>214</v>
      </c>
      <c r="J177" s="46">
        <f>IFERROR(IF(AND($U$5=FALSE,$U$4=FALSE),"-",VLOOKUP($E177,'Status Thresholds'!$E:$AU,41,FALSE)),"-")</f>
        <v>10</v>
      </c>
      <c r="K177" s="46" t="str">
        <f>IFERROR(IF(AND($U$5=FALSE,$U$4=FALSE),"-",VLOOKUP($E177,'Status Thresholds'!$E:$AU,42,FALSE)),"-")</f>
        <v>-</v>
      </c>
      <c r="L177" s="46" t="str">
        <f>IFERROR(IF(AND($U$5=FALSE,$U$4=FALSE),"-",VLOOKUP($E177,'Status Thresholds'!$E:$AU,43,FALSE)),"-")</f>
        <v>-</v>
      </c>
    </row>
    <row r="178" spans="1:12" x14ac:dyDescent="0.25">
      <c r="A178" s="35"/>
      <c r="B178" s="64" t="str">
        <f>VLOOKUP(C178,'Status Thresholds'!B:C,2,FALSE)</f>
        <v>MHGen</v>
      </c>
      <c r="C178" s="64" t="str">
        <f>IF('Status Thresholds'!B173=0, "", 'Status Thresholds'!B173)</f>
        <v>Chamelos</v>
      </c>
      <c r="D178" s="33" t="s">
        <v>34</v>
      </c>
      <c r="E178" s="36" t="str">
        <f t="shared" si="2"/>
        <v>ChamelosMount</v>
      </c>
      <c r="F178" s="36" t="str">
        <f>IFERROR(
ROUNDUP(
IF(AND($U$5=FALSE,$U$4=FALSE),"-",IF(AND($U$5=TRUE,$U$4=TRUE),"-",
IF((AND($U$4=TRUE,$U$5=FALSE,$U$6=FALSE,$U$7=FALSE)),VLOOKUP($E178,'Status Thresholds'!$E:$AR,2,FALSE),IF((AND($U$4=TRUE,$U$5=FALSE,$U$6=TRUE,$U$7=FALSE)),VLOOKUP($E178,'Status Thresholds'!$E:$AR,12,FALSE),IF((AND($U$4=TRUE,$U$5=FALSE,$U$6=TRUE,$U$7=TRUE)),VLOOKUP($E178,'Status Thresholds'!$E:$AR,17,FALSE),IF((AND($U$4=TRUE,$U$5=FALSE,$U$6=FALSE,$U$7=TRUE)),VLOOKUP($E178,'Status Thresholds'!$E:$AR,7,FALSE),
IF((AND($U$4=FALSE,$U$5=TRUE,$U$6=FALSE,$U$7=FALSE)),VLOOKUP($E178,'Status Thresholds'!$E:$AR,22,FALSE),IF((AND($U$4=FALSE,$U$5=TRUE,$U$6=TRUE,$U$7=FALSE)),VLOOKUP($E178,'Status Thresholds'!$E:$AR,32,FALSE),IF((AND($U$4=FALSE,$U$5=TRUE,$U$6=TRUE,$U$7=TRUE)),VLOOKUP($E178,'Status Thresholds'!$E:$AR,37,FALSE),IF((AND($U$4=FALSE,$U$5=TRUE,$U$6=FALSE,$U$7=TRUE)),VLOOKUP($E178,'Status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178" s="36" t="str">
        <f>IFERROR(
ROUNDUP(
IF(AND($U$5=FALSE,$U$4=FALSE),"-",IF(AND($U$5=TRUE,$U$4=TRUE),"-",
IF((AND($U$4=TRUE,$U$5=FALSE,$U$6=FALSE,$U$7=FALSE)),VLOOKUP($E177,'Status Thresholds'!$E:$AR,3,FALSE),IF((AND($U$4=TRUE,$U$5=FALSE,$U$6=TRUE,$U$7=FALSE)),VLOOKUP($E177,'Status Thresholds'!$E:$AR,13,FALSE),IF((AND($U$4=TRUE,$U$5=FALSE,$U$6=TRUE,$U$7=TRUE)),VLOOKUP($E177,'Status Thresholds'!$E:$AR,18,FALSE),IF((AND($U$4=TRUE,$U$5=FALSE,$U$6=FALSE,$U$7=TRUE)),VLOOKUP($E177,'Status Thresholds'!$E:$AR,8,FALSE),
IF((AND($U$4=FALSE,$U$5=TRUE,$U$6=FALSE,$U$7=FALSE)),VLOOKUP($E177,'Status Thresholds'!$E:$AR,23,FALSE),IF((AND($U$4=FALSE,$U$5=TRUE,$U$6=TRUE,$U$7=FALSE)),VLOOKUP($E177,'Status Thresholds'!$E:$AR,33,FALSE),IF((AND($U$4=FALSE,$U$5=TRUE,$U$6=TRUE,$U$7=TRUE)),VLOOKUP($E177,'Status Thresholds'!$E:$AR,38,FALSE),IF((AND($U$4=FALSE,$U$5=TRUE,$U$6=FALSE,$U$7=TRUE)),VLOOKUP($E177,'Status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178" s="36" t="str">
        <f>IFERROR(
ROUNDUP(
IF(AND($U$5=FALSE,$U$4=FALSE),"-",IF(AND($U$5=TRUE,$U$4=TRUE),"-",
IF((AND($U$4=TRUE,$U$5=FALSE,$U$6=FALSE,$U$7=FALSE)),VLOOKUP($E177,'Status Thresholds'!$E:$AR,4,FALSE),IF((AND($U$4=TRUE,$U$5=FALSE,$U$6=TRUE,$U$7=FALSE)),VLOOKUP($E177,'Status Thresholds'!$E:$AR,14,FALSE),IF((AND($U$4=TRUE,$U$5=FALSE,$U$6=TRUE,$U$7=TRUE)),VLOOKUP($E177,'Status Thresholds'!$E:$AR,19,FALSE),IF((AND($U$4=TRUE,$U$5=FALSE,$U$6=FALSE,$U$7=TRUE)),VLOOKUP($E177,'Status Thresholds'!$E:$AR,9,FALSE),
IF((AND($U$4=FALSE,$U$5=TRUE,$U$6=FALSE,$U$7=FALSE)),VLOOKUP($E177,'Status Thresholds'!$E:$AR,24,FALSE),IF((AND($U$4=FALSE,$U$5=TRUE,$U$6=TRUE,$U$7=FALSE)),VLOOKUP($E177,'Status Thresholds'!$E:$AR,34,FALSE),IF((AND($U$4=FALSE,$U$5=TRUE,$U$6=TRUE,$U$7=TRUE)),VLOOKUP($E177,'Status Thresholds'!$E:$AR,39,FALSE),IF((AND($U$4=FALSE,$U$5=TRUE,$U$6=FALSE,$U$7=TRUE)),VLOOKUP($E177,'Status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178" s="36" t="str">
        <f>IFERROR(
ROUNDUP(
IF(AND($U$5=FALSE,$U$4=FALSE),"-",IF(AND($U$5=TRUE,$U$4=TRUE),"-",
IF((AND($U$4=TRUE,$U$5=FALSE,$U$6=FALSE,$U$7=FALSE)),VLOOKUP($E177,'Status Thresholds'!$E:$AR,5,FALSE),IF((AND($U$4=TRUE,$U$5=FALSE,$U$6=TRUE,$U$7=FALSE)),VLOOKUP($E177,'Status Thresholds'!$E:$AR,15,FALSE),IF((AND($U$4=TRUE,$U$5=FALSE,$U$6=TRUE,$U$7=TRUE)),VLOOKUP($E177,'Status Thresholds'!$E:$AR,20,FALSE),IF((AND($U$4=TRUE,$U$5=FALSE,$U$6=FALSE,$U$7=TRUE)),VLOOKUP($E177,'Status Thresholds'!$E:$AR,10,FALSE),
IF((AND($U$4=FALSE,$U$5=TRUE,$U$6=FALSE,$U$7=FALSE)),VLOOKUP($E177,'Status Thresholds'!$E:$AR,25,FALSE),IF((AND($U$4=FALSE,$U$5=TRUE,$U$6=TRUE,$U$7=FALSE)),VLOOKUP($E177,'Status Thresholds'!$E:$AR,35,FALSE),IF((AND($U$4=FALSE,$U$5=TRUE,$U$6=TRUE,$U$7=TRUE)),VLOOKUP($E177,'Status Thresholds'!$E:$AR,40,FALSE),IF((AND($U$4=FALSE,$U$5=TRUE,$U$6=FALSE,$U$7=TRUE)),VLOOKUP($E177,'Status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178" s="46">
        <f>IFERROR(IF(AND($U$5=FALSE,$U$4=FALSE),"-",VLOOKUP($E178,'Status Thresholds'!$E:$AU,41,FALSE)),"-")</f>
        <v>0</v>
      </c>
      <c r="K178" s="46" t="str">
        <f>IFERROR(IF(AND($U$5=FALSE,$U$4=FALSE),"-",VLOOKUP($E178,'Status Thresholds'!$E:$AU,42,FALSE)),"-")</f>
        <v>-</v>
      </c>
      <c r="L178" s="46" t="str">
        <f>IFERROR(IF(AND($U$5=FALSE,$U$4=FALSE),"-",VLOOKUP($E178,'Status Thresholds'!$E:$AU,43,FALSE)),"-")</f>
        <v>-</v>
      </c>
    </row>
    <row r="179" spans="1:12" ht="15" customHeight="1" x14ac:dyDescent="0.25">
      <c r="A179" s="35"/>
      <c r="B179" s="64" t="str">
        <f>VLOOKUP(C179,'Status Thresholds'!B:C,2,FALSE)</f>
        <v>MHGen</v>
      </c>
      <c r="C179" s="64" t="str">
        <f>IF('Status Thresholds'!B174=0, "", 'Status Thresholds'!B174)</f>
        <v>Chamelos</v>
      </c>
      <c r="D179" s="77" t="s">
        <v>207</v>
      </c>
      <c r="E179" s="36" t="str">
        <f t="shared" si="2"/>
        <v>ChamelosShock Trap</v>
      </c>
      <c r="F179" s="76" t="s">
        <v>214</v>
      </c>
      <c r="G179" s="46" t="s">
        <v>214</v>
      </c>
      <c r="H179" s="46" t="s">
        <v>214</v>
      </c>
      <c r="I179" s="46" t="s">
        <v>214</v>
      </c>
      <c r="J179" s="46">
        <f>IFERROR(IF(AND($U$5=FALSE,$U$4=FALSE),"-",VLOOKUP($E179,'Status Thresholds'!$E:$AU,43,FALSE)),"-")</f>
        <v>0</v>
      </c>
      <c r="K179" s="46">
        <f>IFERROR(IF(AND($U$5=FALSE,$U$4=FALSE),"-",VLOOKUP($E179,'Status Thresholds'!$E:$AU,41,FALSE)),"-")</f>
        <v>0</v>
      </c>
      <c r="L179" s="46">
        <f>IFERROR(IF(AND($U$5=FALSE,$U$4=FALSE),"-",VLOOKUP($E179,'Status Thresholds'!$E:$AU,42,FALSE)),"-")</f>
        <v>0</v>
      </c>
    </row>
    <row r="180" spans="1:12" x14ac:dyDescent="0.25">
      <c r="A180" s="35"/>
      <c r="B180" s="64" t="str">
        <f>VLOOKUP(C180,'Status Thresholds'!B:C,2,FALSE)</f>
        <v>MHGen</v>
      </c>
      <c r="C180" s="64" t="str">
        <f>IF('Status Thresholds'!B175=0, "", 'Status Thresholds'!B175)</f>
        <v>Chamelos</v>
      </c>
      <c r="D180" s="77" t="s">
        <v>213</v>
      </c>
      <c r="E180" s="36" t="str">
        <f t="shared" si="2"/>
        <v>ChamelosPitfall Trap</v>
      </c>
      <c r="F180" s="46" t="s">
        <v>214</v>
      </c>
      <c r="G180" s="46" t="s">
        <v>214</v>
      </c>
      <c r="H180" s="46" t="s">
        <v>214</v>
      </c>
      <c r="I180" s="46" t="s">
        <v>214</v>
      </c>
      <c r="J180" s="46">
        <f>IFERROR(IF(AND($U$5=FALSE,$U$4=FALSE),"-",VLOOKUP($E180,'Status Thresholds'!$E:$AU,43,FALSE)),"-")</f>
        <v>0</v>
      </c>
      <c r="K180" s="46">
        <f>IFERROR(IF(AND($U$5=FALSE,$U$4=FALSE),"-",VLOOKUP($E180,'Status Thresholds'!$E:$AU,41,FALSE)),"-")</f>
        <v>0</v>
      </c>
      <c r="L180" s="46">
        <f>IFERROR(IF(AND($U$5=FALSE,$U$4=FALSE),"-",VLOOKUP($E180,'Status Thresholds'!$E:$AU,42,FALSE)),"-")</f>
        <v>0</v>
      </c>
    </row>
    <row r="181" spans="1:12" s="36" customFormat="1" x14ac:dyDescent="0.25">
      <c r="A181" s="64"/>
      <c r="B181" s="64" t="str">
        <f>VLOOKUP(C181,'Status Thresholds'!B:C,2,FALSE)</f>
        <v>MHGU</v>
      </c>
      <c r="C181" s="64" t="str">
        <f>IF('Status Thresholds'!B176=0, "", 'Status Thresholds'!B176)</f>
        <v>Congalala</v>
      </c>
      <c r="D181" s="37" t="s">
        <v>0</v>
      </c>
      <c r="E181" s="36" t="str">
        <f t="shared" si="2"/>
        <v>CongalalaPara</v>
      </c>
      <c r="F181" s="36" t="str">
        <f>IFERROR(
ROUNDUP(
IF(AND($U$5=FALSE,$U$4=FALSE),"-",IF(AND($U$5=TRUE,$U$4=TRUE),"-",
IF((AND($U$4=TRUE,$U$5=FALSE,$U$6=FALSE,$U$7=FALSE)),VLOOKUP($E181,'Status Thresholds'!$E:$AR,2,FALSE),IF((AND($U$4=TRUE,$U$5=FALSE,$U$6=TRUE,$U$7=FALSE)),VLOOKUP($E181,'Status Thresholds'!$E:$AR,12,FALSE),IF((AND($U$4=TRUE,$U$5=FALSE,$U$6=TRUE,$U$7=TRUE)),VLOOKUP($E181,'Status Thresholds'!$E:$AR,17,FALSE),IF((AND($U$4=TRUE,$U$5=FALSE,$U$6=FALSE,$U$7=TRUE)),VLOOKUP($E181,'Status Thresholds'!$E:$AR,7,FALSE),
IF((AND($U$4=FALSE,$U$5=TRUE,$U$6=FALSE,$U$7=FALSE)),VLOOKUP($E181,'Status Thresholds'!$E:$AR,22,FALSE),IF((AND($U$4=FALSE,$U$5=TRUE,$U$6=TRUE,$U$7=FALSE)),VLOOKUP($E181,'Status Thresholds'!$E:$AR,32,FALSE),IF((AND($U$4=FALSE,$U$5=TRUE,$U$6=TRUE,$U$7=TRUE)),VLOOKUP($E181,'Status Thresholds'!$E:$AR,37,FALSE),IF((AND($U$4=FALSE,$U$5=TRUE,$U$6=FALSE,$U$7=TRUE)),VLOOKUP($E181,'Status Thresholds'!$E:$AR,27,FALSE)))))))))
))/
IF(OR($X$5=TRUE,$AC$3=TRUE
),($F$3/2), IF(OR($X$2,$X$3,$X$4,$X$6,$X$7,$X$8,$Z$2,$Z$3,$Z$4,$Z$5,$Z$6,$Z$7,$Z$8)=TRUE,$F$3)),0),"-")</f>
        <v>-</v>
      </c>
      <c r="G181" s="36" t="str">
        <f>IFERROR(
ROUNDUP(
IF(AND($U$5=FALSE,$U$4=FALSE),"-",IF(AND($U$5=TRUE,$U$4=TRUE),"-",
IF((AND($U$4=TRUE,$U$5=FALSE,$U$6=FALSE,$U$7=FALSE)),VLOOKUP($E181,'Status Thresholds'!$E:$AR,3,FALSE),IF((AND($U$4=TRUE,$U$5=FALSE,$U$6=TRUE,$U$7=FALSE)),VLOOKUP($E181,'Status Thresholds'!$E:$AR,13,FALSE),IF((AND($U$4=TRUE,$U$5=FALSE,$U$6=TRUE,$U$7=TRUE)),VLOOKUP($E181,'Status Thresholds'!$E:$AR,18,FALSE),IF((AND($U$4=TRUE,$U$5=FALSE,$U$6=FALSE,$U$7=TRUE)),VLOOKUP($E181,'Status Thresholds'!$E:$AR,8,FALSE),
IF((AND($U$4=FALSE,$U$5=TRUE,$U$6=FALSE,$U$7=FALSE)),VLOOKUP($E181,'Status Thresholds'!$E:$AR,23,FALSE),IF((AND($U$4=FALSE,$U$5=TRUE,$U$6=TRUE,$U$7=FALSE)),VLOOKUP($E181,'Status Thresholds'!$E:$AR,33,FALSE),IF((AND($U$4=FALSE,$U$5=TRUE,$U$6=TRUE,$U$7=TRUE)),VLOOKUP($E181,'Status Thresholds'!$E:$AR,38,FALSE),IF((AND($U$4=FALSE,$U$5=TRUE,$U$6=FALSE,$U$7=TRUE)),VLOOKUP($E181,'Status Thresholds'!$E:$AR,28,FALSE)))))))))
))/
IF(OR($X$5=TRUE,$AC$3=TRUE
),($F$3/2), IF(OR($X$2,$X$3,$X$4,$X$6,$X$7,$X$8,$Z$2,$Z$3,$Z$4,$Z$5,$Z$6,$Z$7,$Z$8)=TRUE,$F$3)),0),"-")</f>
        <v>-</v>
      </c>
      <c r="H181" s="36" t="str">
        <f>IFERROR(
ROUNDUP(
IF(AND($U$5=FALSE,$U$4=FALSE),"-",IF(AND($U$5=TRUE,$U$4=TRUE),"-",
IF((AND($U$4=TRUE,$U$5=FALSE,$U$6=FALSE,$U$7=FALSE)),VLOOKUP($E181,'Status Thresholds'!$E:$AR,4,FALSE),IF((AND($U$4=TRUE,$U$5=FALSE,$U$6=TRUE,$U$7=FALSE)),VLOOKUP($E181,'Status Thresholds'!$E:$AR,14,FALSE),IF((AND($U$4=TRUE,$U$5=FALSE,$U$6=TRUE,$U$7=TRUE)),VLOOKUP($E181,'Status Thresholds'!$E:$AR,19,FALSE),IF((AND($U$4=TRUE,$U$5=FALSE,$U$6=FALSE,$U$7=TRUE)),VLOOKUP($E181,'Status Thresholds'!$E:$AR,9,FALSE),
IF((AND($U$4=FALSE,$U$5=TRUE,$U$6=FALSE,$U$7=FALSE)),VLOOKUP($E181,'Status Thresholds'!$E:$AR,24,FALSE),IF((AND($U$4=FALSE,$U$5=TRUE,$U$6=TRUE,$U$7=FALSE)),VLOOKUP($E181,'Status Thresholds'!$E:$AR,34,FALSE),IF((AND($U$4=FALSE,$U$5=TRUE,$U$6=TRUE,$U$7=TRUE)),VLOOKUP($E181,'Status Thresholds'!$E:$AR,39,FALSE),IF((AND($U$4=FALSE,$U$5=TRUE,$U$6=FALSE,$U$7=TRUE)),VLOOKUP($E181,'Status Thresholds'!$E:$AR,29,FALSE)))))))))
))/
IF(OR($X$5=TRUE,$AC$3=TRUE
),($F$3/2), IF(OR($X$2,$X$3,$X$4,$X$6,$X$7,$X$8,$Z$2,$Z$3,$Z$4,$Z$5,$Z$6,$Z$7,$Z$8)=TRUE,$F$3)),0),"-")</f>
        <v>-</v>
      </c>
      <c r="I181" s="36" t="str">
        <f>IFERROR(
ROUNDUP(
IF(AND($U$5=FALSE,$U$4=FALSE),"-",IF(AND($U$5=TRUE,$U$4=TRUE),"-",
IF((AND($U$4=TRUE,$U$5=FALSE,$U$6=FALSE,$U$7=FALSE)),VLOOKUP($E181,'Status Thresholds'!$E:$AR,5,FALSE),IF((AND($U$4=TRUE,$U$5=FALSE,$U$6=TRUE,$U$7=FALSE)),VLOOKUP($E181,'Status Thresholds'!$E:$AR,15,FALSE),IF((AND($U$4=TRUE,$U$5=FALSE,$U$6=TRUE,$U$7=TRUE)),VLOOKUP($E181,'Status Thresholds'!$E:$AR,20,FALSE),IF((AND($U$4=TRUE,$U$5=FALSE,$U$6=FALSE,$U$7=TRUE)),VLOOKUP($E181,'Status Thresholds'!$E:$AR,10,FALSE),
IF((AND($U$4=FALSE,$U$5=TRUE,$U$6=FALSE,$U$7=FALSE)),VLOOKUP($E181,'Status Thresholds'!$E:$AR,25,FALSE),IF((AND($U$4=FALSE,$U$5=TRUE,$U$6=TRUE,$U$7=FALSE)),VLOOKUP($E181,'Status Thresholds'!$E:$AR,35,FALSE),IF((AND($U$4=FALSE,$U$5=TRUE,$U$6=TRUE,$U$7=TRUE)),VLOOKUP($E181,'Status Thresholds'!$E:$AR,40,FALSE),IF((AND($U$4=FALSE,$U$5=TRUE,$U$6=FALSE,$U$7=TRUE)),VLOOKUP($E181,'Status Thresholds'!$E:$AR,30,FALSE)))))))))
))/
IF(OR($X$5=TRUE,$AC$3=TRUE
),($F$3/2), IF(OR($X$2,$X$3,$X$4,$X$6,$X$7,$X$8,$Z$2,$Z$3,$Z$4,$Z$5,$Z$6,$Z$7,$Z$8)=TRUE,$F$3)),0),"-")</f>
        <v>-</v>
      </c>
      <c r="J181" s="36">
        <f>IFERROR(IF(AND($U$5=FALSE,$U$4=FALSE),"-",VLOOKUP($E181,'Status Thresholds'!$E:$AU,41,FALSE)),"-")</f>
        <v>10</v>
      </c>
      <c r="K181" s="36" t="str">
        <f>IFERROR(IF(AND($U$5=FALSE,$U$4=FALSE),"-",VLOOKUP($E181,'Status Thresholds'!$E:$AU,42,FALSE)),"-")</f>
        <v>-</v>
      </c>
      <c r="L181" s="36" t="str">
        <f>IFERROR(IF(AND($U$5=FALSE,$U$4=FALSE),"-",VLOOKUP($E181,'Status Thresholds'!$E:$AU,43,FALSE)),"-")</f>
        <v>-</v>
      </c>
    </row>
    <row r="182" spans="1:12" x14ac:dyDescent="0.25">
      <c r="A182" s="35"/>
      <c r="B182" s="64" t="str">
        <f>VLOOKUP(C182,'Status Thresholds'!B:C,2,FALSE)</f>
        <v>MHGU</v>
      </c>
      <c r="C182" s="64" t="str">
        <f>IF('Status Thresholds'!B177=0, "", 'Status Thresholds'!B177)</f>
        <v>Congalala</v>
      </c>
      <c r="D182" s="31" t="s">
        <v>32</v>
      </c>
      <c r="E182" s="36" t="str">
        <f t="shared" si="2"/>
        <v>CongalalaSleep</v>
      </c>
      <c r="F182" s="36" t="str">
        <f>IFERROR(
ROUNDUP(
IF(AND($U$5=FALSE,$U$4=FALSE),"-",IF(AND($U$5=TRUE,$U$4=TRUE),"-",
IF((AND($U$4=TRUE,$U$5=FALSE,$U$6=FALSE,$U$7=FALSE)),VLOOKUP($E182,'Status Thresholds'!$E:$AR,2,FALSE),IF((AND($U$4=TRUE,$U$5=FALSE,$U$6=TRUE,$U$7=FALSE)),VLOOKUP($E182,'Status Thresholds'!$E:$AR,12,FALSE),IF((AND($U$4=TRUE,$U$5=FALSE,$U$6=TRUE,$U$7=TRUE)),VLOOKUP($E182,'Status Thresholds'!$E:$AR,17,FALSE),IF((AND($U$4=TRUE,$U$5=FALSE,$U$6=FALSE,$U$7=TRUE)),VLOOKUP($E182,'Status Thresholds'!$E:$AR,7,FALSE),
IF((AND($U$4=FALSE,$U$5=TRUE,$U$6=FALSE,$U$7=FALSE)),VLOOKUP($E182,'Status Thresholds'!$E:$AR,22,FALSE),IF((AND($U$4=FALSE,$U$5=TRUE,$U$6=TRUE,$U$7=FALSE)),VLOOKUP($E182,'Status Thresholds'!$E:$AR,32,FALSE),IF((AND($U$4=FALSE,$U$5=TRUE,$U$6=TRUE,$U$7=TRUE)),VLOOKUP($E182,'Status Thresholds'!$E:$AR,37,FALSE),IF((AND($U$4=FALSE,$U$5=TRUE,$U$6=FALSE,$U$7=TRUE)),VLOOKUP($E182,'Status Thresholds'!$E:$AR,27,FALSE)))))))))
))/
IF(OR($X$5=TRUE,$AC$3=TRUE
),($F$4/2), IF(OR($X$2,$X$3,$X$4,$X$6,$X$7,$X$8,$Z$2,$Z$3,$Z$4,$Z$5,$Z$6,$Z$7,$Z$8)=TRUE,$F$4)),0),"-")</f>
        <v>-</v>
      </c>
      <c r="G182" s="36" t="str">
        <f>IFERROR(
ROUNDUP(
IF(AND($U$5=FALSE,$U$4=FALSE),"-",IF(AND($U$5=TRUE,$U$4=TRUE),"-",
IF((AND($U$4=TRUE,$U$5=FALSE,$U$6=FALSE,$U$7=FALSE)),VLOOKUP($E182,'Status Thresholds'!$E:$AR,3,FALSE),IF((AND($U$4=TRUE,$U$5=FALSE,$U$6=TRUE,$U$7=FALSE)),VLOOKUP($E182,'Status Thresholds'!$E:$AR,13,FALSE),IF((AND($U$4=TRUE,$U$5=FALSE,$U$6=TRUE,$U$7=TRUE)),VLOOKUP($E182,'Status Thresholds'!$E:$AR,18,FALSE),IF((AND($U$4=TRUE,$U$5=FALSE,$U$6=FALSE,$U$7=TRUE)),VLOOKUP($E182,'Status Thresholds'!$E:$AR,8,FALSE),
IF((AND($U$4=FALSE,$U$5=TRUE,$U$6=FALSE,$U$7=FALSE)),VLOOKUP($E182,'Status Thresholds'!$E:$AR,23,FALSE),IF((AND($U$4=FALSE,$U$5=TRUE,$U$6=TRUE,$U$7=FALSE)),VLOOKUP($E182,'Status Thresholds'!$E:$AR,33,FALSE),IF((AND($U$4=FALSE,$U$5=TRUE,$U$6=TRUE,$U$7=TRUE)),VLOOKUP($E182,'Status Thresholds'!$E:$AR,38,FALSE),IF((AND($U$4=FALSE,$U$5=TRUE,$U$6=FALSE,$U$7=TRUE)),VLOOKUP($E182,'Status Thresholds'!$E:$AR,28,FALSE)))))))))
))/
IF(OR($X$5=TRUE,$AC$3=TRUE
),($F$4/2), IF(OR($X$2,$X$3,$X$4,$X$6,$X$7,$X$8,$Z$2,$Z$3,$Z$4,$Z$5,$Z$6,$Z$7,$Z$8)=TRUE,$F$4)),0),"-")</f>
        <v>-</v>
      </c>
      <c r="H182" s="36" t="str">
        <f>IFERROR(
ROUNDUP(
IF(AND($U$5=FALSE,$U$4=FALSE),"-",IF(AND($U$5=TRUE,$U$4=TRUE),"-",
IF((AND($U$4=TRUE,$U$5=FALSE,$U$6=FALSE,$U$7=FALSE)),VLOOKUP($E182,'Status Thresholds'!$E:$AR,4,FALSE),IF((AND($U$4=TRUE,$U$5=FALSE,$U$6=TRUE,$U$7=FALSE)),VLOOKUP($E182,'Status Thresholds'!$E:$AR,14,FALSE),IF((AND($U$4=TRUE,$U$5=FALSE,$U$6=TRUE,$U$7=TRUE)),VLOOKUP($E182,'Status Thresholds'!$E:$AR,19,FALSE),IF((AND($U$4=TRUE,$U$5=FALSE,$U$6=FALSE,$U$7=TRUE)),VLOOKUP($E182,'Status Thresholds'!$E:$AR,9,FALSE),
IF((AND($U$4=FALSE,$U$5=TRUE,$U$6=FALSE,$U$7=FALSE)),VLOOKUP($E182,'Status Thresholds'!$E:$AR,24,FALSE),IF((AND($U$4=FALSE,$U$5=TRUE,$U$6=TRUE,$U$7=FALSE)),VLOOKUP($E182,'Status Thresholds'!$E:$AR,34,FALSE),IF((AND($U$4=FALSE,$U$5=TRUE,$U$6=TRUE,$U$7=TRUE)),VLOOKUP($E182,'Status Thresholds'!$E:$AR,39,FALSE),IF((AND($U$4=FALSE,$U$5=TRUE,$U$6=FALSE,$U$7=TRUE)),VLOOKUP($E182,'Status Thresholds'!$E:$AR,29,FALSE)))))))))
))/
IF(OR($X$5=TRUE,$AC$3=TRUE
),($F$4/2), IF(OR($X$2,$X$3,$X$4,$X$6,$X$7,$X$8,$Z$2,$Z$3,$Z$4,$Z$5,$Z$6,$Z$7,$Z$8)=TRUE,$F$4)),0),"-")</f>
        <v>-</v>
      </c>
      <c r="I182" s="36" t="str">
        <f>IFERROR(
ROUNDUP(
IF(AND($U$5=FALSE,$U$4=FALSE),"-",IF(AND($U$5=TRUE,$U$4=TRUE),"-",
IF((AND($U$4=TRUE,$U$5=FALSE,$U$6=FALSE,$U$7=FALSE)),VLOOKUP($E182,'Status Thresholds'!$E:$AR,5,FALSE),IF((AND($U$4=TRUE,$U$5=FALSE,$U$6=TRUE,$U$7=FALSE)),VLOOKUP($E182,'Status Thresholds'!$E:$AR,15,FALSE),IF((AND($U$4=TRUE,$U$5=FALSE,$U$6=TRUE,$U$7=TRUE)),VLOOKUP($E182,'Status Thresholds'!$E:$AR,20,FALSE),IF((AND($U$4=TRUE,$U$5=FALSE,$U$6=FALSE,$U$7=TRUE)),VLOOKUP($E182,'Status Thresholds'!$E:$AR,10,FALSE),
IF((AND($U$4=FALSE,$U$5=TRUE,$U$6=FALSE,$U$7=FALSE)),VLOOKUP($E182,'Status Thresholds'!$E:$AR,25,FALSE),IF((AND($U$4=FALSE,$U$5=TRUE,$U$6=TRUE,$U$7=FALSE)),VLOOKUP($E182,'Status Thresholds'!$E:$AR,35,FALSE),IF((AND($U$4=FALSE,$U$5=TRUE,$U$6=TRUE,$U$7=TRUE)),VLOOKUP($E182,'Status Thresholds'!$E:$AR,40,FALSE),IF((AND($U$4=FALSE,$U$5=TRUE,$U$6=FALSE,$U$7=TRUE)),VLOOKUP($E182,'Status Thresholds'!$E:$AR,30,FALSE)))))))))
))/
IF(OR($X$5=TRUE,$AC$3=TRUE
),($F$4/2), IF(OR($X$2,$X$3,$X$4,$X$6,$X$7,$X$8,$Z$2,$Z$3,$Z$4,$Z$5,$Z$6,$Z$7,$Z$8)=TRUE,$F$4)),0),"-")</f>
        <v>-</v>
      </c>
      <c r="J182" s="46">
        <f>IFERROR(IF(AND($U$5=FALSE,$U$4=FALSE),"-",VLOOKUP($E182,'Status Thresholds'!$E:$AU,41,FALSE)),"-")</f>
        <v>40</v>
      </c>
      <c r="K182" s="46" t="str">
        <f>IFERROR(IF(AND($U$5=FALSE,$U$4=FALSE),"-",VLOOKUP($E182,'Status Thresholds'!$E:$AU,42,FALSE)),"-")</f>
        <v>-</v>
      </c>
      <c r="L182" s="46" t="str">
        <f>IFERROR(IF(AND($U$5=FALSE,$U$4=FALSE),"-",VLOOKUP($E182,'Status Thresholds'!$E:$AU,43,FALSE)),"-")</f>
        <v>-</v>
      </c>
    </row>
    <row r="183" spans="1:12" x14ac:dyDescent="0.25">
      <c r="A183" s="35"/>
      <c r="B183" s="64" t="str">
        <f>VLOOKUP(C183,'Status Thresholds'!B:C,2,FALSE)</f>
        <v>MHGU</v>
      </c>
      <c r="C183" s="64" t="str">
        <f>IF('Status Thresholds'!B178=0, "", 'Status Thresholds'!B178)</f>
        <v>Congalala</v>
      </c>
      <c r="D183" s="32" t="s">
        <v>33</v>
      </c>
      <c r="E183" s="36" t="str">
        <f t="shared" si="2"/>
        <v>CongalalaPoison</v>
      </c>
      <c r="F183" s="36" t="str">
        <f>IFERROR(
ROUNDUP(
IF(AND($U$5=FALSE,$U$4=FALSE),"-",IF(AND($U$5=TRUE,$U$4=TRUE),"-",
IF((AND($U$4=TRUE,$U$5=FALSE,$U$6=FALSE,$U$7=FALSE)),VLOOKUP($E183,'Status Thresholds'!$E:$AR,2,FALSE),IF((AND($U$4=TRUE,$U$5=FALSE,$U$6=TRUE,$U$7=FALSE)),VLOOKUP($E183,'Status Thresholds'!$E:$AR,12,FALSE),IF((AND($U$4=TRUE,$U$5=FALSE,$U$6=TRUE,$U$7=TRUE)),VLOOKUP($E183,'Status Thresholds'!$E:$AR,17,FALSE),IF((AND($U$4=TRUE,$U$5=FALSE,$U$6=FALSE,$U$7=TRUE)),VLOOKUP($E183,'Status Thresholds'!$E:$AR,7,FALSE),
IF((AND($U$4=FALSE,$U$5=TRUE,$U$6=FALSE,$U$7=FALSE)),VLOOKUP($E183,'Status Thresholds'!$E:$AR,22,FALSE),IF((AND($U$4=FALSE,$U$5=TRUE,$U$6=TRUE,$U$7=FALSE)),VLOOKUP($E183,'Status Thresholds'!$E:$AR,32,FALSE),IF((AND($U$4=FALSE,$U$5=TRUE,$U$6=TRUE,$U$7=TRUE)),VLOOKUP($E183,'Status Thresholds'!$E:$AR,37,FALSE),IF((AND($U$4=FALSE,$U$5=TRUE,$U$6=FALSE,$U$7=TRUE)),VLOOKUP($E183,'Status Thresholds'!$E:$AR,27,FALSE)))))))))
))/
IF(OR($X$5=TRUE,$AC$3=TRUE
),($F$5/2), IF(OR($X$2,$X$3,$X$4,$X$6,$X$7,$X$8,$Z$2,$Z$3,$Z$4,$Z$5,$Z$6,$Z$7,$Z$8)=TRUE,$F$5)),0),"-")</f>
        <v>-</v>
      </c>
      <c r="G183" s="36" t="str">
        <f>IFERROR(
ROUNDUP(
IF(AND($U$5=FALSE,$U$4=FALSE),"-",IF(AND($U$5=TRUE,$U$4=TRUE),"-",
IF((AND($U$4=TRUE,$U$5=FALSE,$U$6=FALSE,$U$7=FALSE)),VLOOKUP($E183,'Status Thresholds'!$E:$AR,3,FALSE),IF((AND($U$4=TRUE,$U$5=FALSE,$U$6=TRUE,$U$7=FALSE)),VLOOKUP($E183,'Status Thresholds'!$E:$AR,13,FALSE),IF((AND($U$4=TRUE,$U$5=FALSE,$U$6=TRUE,$U$7=TRUE)),VLOOKUP($E183,'Status Thresholds'!$E:$AR,18,FALSE),IF((AND($U$4=TRUE,$U$5=FALSE,$U$6=FALSE,$U$7=TRUE)),VLOOKUP($E183,'Status Thresholds'!$E:$AR,8,FALSE),
IF((AND($U$4=FALSE,$U$5=TRUE,$U$6=FALSE,$U$7=FALSE)),VLOOKUP($E183,'Status Thresholds'!$E:$AR,23,FALSE),IF((AND($U$4=FALSE,$U$5=TRUE,$U$6=TRUE,$U$7=FALSE)),VLOOKUP($E183,'Status Thresholds'!$E:$AR,33,FALSE),IF((AND($U$4=FALSE,$U$5=TRUE,$U$6=TRUE,$U$7=TRUE)),VLOOKUP($E183,'Status Thresholds'!$E:$AR,38,FALSE),IF((AND($U$4=FALSE,$U$5=TRUE,$U$6=FALSE,$U$7=TRUE)),VLOOKUP($E183,'Status Thresholds'!$E:$AR,28,FALSE)))))))))
))/
IF(OR($X$5=TRUE,$AC$3=TRUE
),($F$5/2), IF(OR($X$2,$X$3,$X$4,$X$6,$X$7,$X$8,$Z$2,$Z$3,$Z$4,$Z$5,$Z$6,$Z$7,$Z$8)=TRUE,$F$5)),0),"-")</f>
        <v>-</v>
      </c>
      <c r="H183" s="36" t="str">
        <f>IFERROR(
ROUNDUP(
IF(AND($U$5=FALSE,$U$4=FALSE),"-",IF(AND($U$5=TRUE,$U$4=TRUE),"-",
IF((AND($U$4=TRUE,$U$5=FALSE,$U$6=FALSE,$U$7=FALSE)),VLOOKUP($E183,'Status Thresholds'!$E:$AR,4,FALSE),IF((AND($U$4=TRUE,$U$5=FALSE,$U$6=TRUE,$U$7=FALSE)),VLOOKUP($E183,'Status Thresholds'!$E:$AR,14,FALSE),IF((AND($U$4=TRUE,$U$5=FALSE,$U$6=TRUE,$U$7=TRUE)),VLOOKUP($E183,'Status Thresholds'!$E:$AR,19,FALSE),IF((AND($U$4=TRUE,$U$5=FALSE,$U$6=FALSE,$U$7=TRUE)),VLOOKUP($E183,'Status Thresholds'!$E:$AR,9,FALSE),
IF((AND($U$4=FALSE,$U$5=TRUE,$U$6=FALSE,$U$7=FALSE)),VLOOKUP($E183,'Status Thresholds'!$E:$AR,24,FALSE),IF((AND($U$4=FALSE,$U$5=TRUE,$U$6=TRUE,$U$7=FALSE)),VLOOKUP($E183,'Status Thresholds'!$E:$AR,34,FALSE),IF((AND($U$4=FALSE,$U$5=TRUE,$U$6=TRUE,$U$7=TRUE)),VLOOKUP($E183,'Status Thresholds'!$E:$AR,39,FALSE),IF((AND($U$4=FALSE,$U$5=TRUE,$U$6=FALSE,$U$7=TRUE)),VLOOKUP($E183,'Status Thresholds'!$E:$AR,29,FALSE)))))))))
))/
IF(OR($X$5=TRUE,$AC$3=TRUE
),($F$5/2), IF(OR($X$2,$X$3,$X$4,$X$6,$X$7,$X$8,$Z$2,$Z$3,$Z$4,$Z$5,$Z$6,$Z$7,$Z$8)=TRUE,$F$5)),0),"-")</f>
        <v>-</v>
      </c>
      <c r="I183" s="36" t="str">
        <f>IFERROR(
ROUNDUP(
IF(AND($U$5=FALSE,$U$4=FALSE),"-",IF(AND($U$5=TRUE,$U$4=TRUE),"-",
IF((AND($U$4=TRUE,$U$5=FALSE,$U$6=FALSE,$U$7=FALSE)),VLOOKUP($E183,'Status Thresholds'!$E:$AR,5,FALSE),IF((AND($U$4=TRUE,$U$5=FALSE,$U$6=TRUE,$U$7=FALSE)),VLOOKUP($E183,'Status Thresholds'!$E:$AR,15,FALSE),IF((AND($U$4=TRUE,$U$5=FALSE,$U$6=TRUE,$U$7=TRUE)),VLOOKUP($E183,'Status Thresholds'!$E:$AR,20,FALSE),IF((AND($U$4=TRUE,$U$5=FALSE,$U$6=FALSE,$U$7=TRUE)),VLOOKUP($E183,'Status Thresholds'!$E:$AR,10,FALSE),
IF((AND($U$4=FALSE,$U$5=TRUE,$U$6=FALSE,$U$7=FALSE)),VLOOKUP($E183,'Status Thresholds'!$E:$AR,25,FALSE),IF((AND($U$4=FALSE,$U$5=TRUE,$U$6=TRUE,$U$7=FALSE)),VLOOKUP($E183,'Status Thresholds'!$E:$AR,35,FALSE),IF((AND($U$4=FALSE,$U$5=TRUE,$U$6=TRUE,$U$7=TRUE)),VLOOKUP($E183,'Status Thresholds'!$E:$AR,40,FALSE),IF((AND($U$4=FALSE,$U$5=TRUE,$U$6=FALSE,$U$7=TRUE)),VLOOKUP($E183,'Status Thresholds'!$E:$AR,30,FALSE)))))))))
))/
IF(OR($X$5=TRUE,$AC$3=TRUE
),($F$5/2), IF(OR($X$2,$X$3,$X$4,$X$6,$X$7,$X$8,$Z$2,$Z$3,$Z$4,$Z$5,$Z$6,$Z$7,$Z$8)=TRUE,$F$5)),0),"-")</f>
        <v>-</v>
      </c>
      <c r="J183" s="46">
        <f>IFERROR(IF(AND($U$5=FALSE,$U$4=FALSE),"-",VLOOKUP($E183,'Status Thresholds'!$E:$AU,41,FALSE)),"-")</f>
        <v>60</v>
      </c>
      <c r="K183" s="46" t="str">
        <f>IFERROR(IF(AND($U$5=FALSE,$U$4=FALSE),"-",VLOOKUP($E183,'Status Thresholds'!$E:$AU,42,FALSE)),"-")</f>
        <v>-</v>
      </c>
      <c r="L183" s="46" t="str">
        <f>IFERROR(IF(AND($U$5=FALSE,$U$4=FALSE),"-",VLOOKUP($E183,'Status Thresholds'!$E:$AU,43,FALSE)),"-")</f>
        <v>-</v>
      </c>
    </row>
    <row r="184" spans="1:12" x14ac:dyDescent="0.25">
      <c r="A184" s="35"/>
      <c r="B184" s="64" t="str">
        <f>VLOOKUP(C184,'Status Thresholds'!B:C,2,FALSE)</f>
        <v>MHGU</v>
      </c>
      <c r="C184" s="64" t="str">
        <f>IF('Status Thresholds'!B179=0, "", 'Status Thresholds'!B179)</f>
        <v>Congalala</v>
      </c>
      <c r="D184" s="10" t="s">
        <v>22</v>
      </c>
      <c r="E184" s="36" t="str">
        <f t="shared" si="2"/>
        <v>CongalalaExhaust</v>
      </c>
      <c r="F184" s="36" t="str">
        <f>IFERROR(
ROUNDUP(
IF(AND($U$5=FALSE,$U$4=FALSE),"-",IF(AND($U$5=TRUE,$U$4=TRUE),"-",
IF((AND($U$4=TRUE,$U$5=FALSE,$U$6=FALSE,$U$7=FALSE)),VLOOKUP($E184,'Status Thresholds'!$E:$AR,2,FALSE),IF((AND($U$4=TRUE,$U$5=FALSE,$U$6=TRUE,$U$7=FALSE)),VLOOKUP($E184,'Status Thresholds'!$E:$AR,12,FALSE),IF((AND($U$4=TRUE,$U$5=FALSE,$U$6=TRUE,$U$7=TRUE)),VLOOKUP($E184,'Status Thresholds'!$E:$AR,17,FALSE),IF((AND($U$4=TRUE,$U$5=FALSE,$U$6=FALSE,$U$7=TRUE)),VLOOKUP($E184,'Status Thresholds'!$E:$AR,7,FALSE),
IF((AND($U$4=FALSE,$U$5=TRUE,$U$6=FALSE,$U$7=FALSE)),VLOOKUP($E184,'Status Thresholds'!$E:$AR,22,FALSE),IF((AND($U$4=FALSE,$U$5=TRUE,$U$6=TRUE,$U$7=FALSE)),VLOOKUP($E184,'Status Thresholds'!$E:$AR,32,FALSE),IF((AND($U$4=FALSE,$U$5=TRUE,$U$6=TRUE,$U$7=TRUE)),VLOOKUP($E184,'Status Thresholds'!$E:$AR,37,FALSE),IF((AND($U$4=FALSE,$U$5=TRUE,$U$6=FALSE,$U$7=TRUE)),VLOOKUP($E184,'Status Thresholds'!$E:$AR,27,FALSE)))))))))
))/
IF(OR($X$5=TRUE,$AC$3=TRUE
),($F$6/2), IF(OR($X$2,$X$3,$X$4,$X$6,$X$7,$X$8,$Z$2,$Z$3,$Z$4,$Z$5,$Z$6,$Z$7,$Z$8)=TRUE,$F$6)),0),"-")</f>
        <v>-</v>
      </c>
      <c r="G184" s="36" t="str">
        <f>IFERROR(
ROUNDUP(
IF(AND($U$5=FALSE,$U$4=FALSE),"-",IF(AND($U$5=TRUE,$U$4=TRUE),"-",
IF((AND($U$4=TRUE,$U$5=FALSE,$U$6=FALSE,$U$7=FALSE)),VLOOKUP($E184,'Status Thresholds'!$E:$AR,3,FALSE),IF((AND($U$4=TRUE,$U$5=FALSE,$U$6=TRUE,$U$7=FALSE)),VLOOKUP($E184,'Status Thresholds'!$E:$AR,13,FALSE),IF((AND($U$4=TRUE,$U$5=FALSE,$U$6=TRUE,$U$7=TRUE)),VLOOKUP($E184,'Status Thresholds'!$E:$AR,18,FALSE),IF((AND($U$4=TRUE,$U$5=FALSE,$U$6=FALSE,$U$7=TRUE)),VLOOKUP($E184,'Status Thresholds'!$E:$AR,8,FALSE),
IF((AND($U$4=FALSE,$U$5=TRUE,$U$6=FALSE,$U$7=FALSE)),VLOOKUP($E184,'Status Thresholds'!$E:$AR,23,FALSE),IF((AND($U$4=FALSE,$U$5=TRUE,$U$6=TRUE,$U$7=FALSE)),VLOOKUP($E184,'Status Thresholds'!$E:$AR,33,FALSE),IF((AND($U$4=FALSE,$U$5=TRUE,$U$6=TRUE,$U$7=TRUE)),VLOOKUP($E184,'Status Thresholds'!$E:$AR,38,FALSE),IF((AND($U$4=FALSE,$U$5=TRUE,$U$6=FALSE,$U$7=TRUE)),VLOOKUP($E184,'Status Thresholds'!$E:$AR,28,FALSE)))))))))
))/
IF(OR($X$5=TRUE,$AC$3=TRUE
),($F$6/2), IF(OR($X$2,$X$3,$X$4,$X$6,$X$7,$X$8,$Z$2,$Z$3,$Z$4,$Z$5,$Z$6,$Z$7,$Z$8)=TRUE,$F$6)),0),"-")</f>
        <v>-</v>
      </c>
      <c r="H184" s="36" t="str">
        <f>IFERROR(
ROUNDUP(
IF(AND($U$5=FALSE,$U$4=FALSE),"-",IF(AND($U$5=TRUE,$U$4=TRUE),"-",
IF((AND($U$4=TRUE,$U$5=FALSE,$U$6=FALSE,$U$7=FALSE)),VLOOKUP($E184,'Status Thresholds'!$E:$AR,4,FALSE),IF((AND($U$4=TRUE,$U$5=FALSE,$U$6=TRUE,$U$7=FALSE)),VLOOKUP($E184,'Status Thresholds'!$E:$AR,14,FALSE),IF((AND($U$4=TRUE,$U$5=FALSE,$U$6=TRUE,$U$7=TRUE)),VLOOKUP($E184,'Status Thresholds'!$E:$AR,19,FALSE),IF((AND($U$4=TRUE,$U$5=FALSE,$U$6=FALSE,$U$7=TRUE)),VLOOKUP($E184,'Status Thresholds'!$E:$AR,9,FALSE),
IF((AND($U$4=FALSE,$U$5=TRUE,$U$6=FALSE,$U$7=FALSE)),VLOOKUP($E184,'Status Thresholds'!$E:$AR,24,FALSE),IF((AND($U$4=FALSE,$U$5=TRUE,$U$6=TRUE,$U$7=FALSE)),VLOOKUP($E184,'Status Thresholds'!$E:$AR,34,FALSE),IF((AND($U$4=FALSE,$U$5=TRUE,$U$6=TRUE,$U$7=TRUE)),VLOOKUP($E184,'Status Thresholds'!$E:$AR,39,FALSE),IF((AND($U$4=FALSE,$U$5=TRUE,$U$6=FALSE,$U$7=TRUE)),VLOOKUP($E184,'Status Thresholds'!$E:$AR,29,FALSE)))))))))
))/
IF(OR($X$5=TRUE,$AC$3=TRUE
),($F$6/2), IF(OR($X$2,$X$3,$X$4,$X$6,$X$7,$X$8,$Z$2,$Z$3,$Z$4,$Z$5,$Z$6,$Z$7,$Z$8)=TRUE,$F$6)),0),"-")</f>
        <v>-</v>
      </c>
      <c r="I184" s="36" t="str">
        <f>IFERROR(
ROUNDUP(
IF(AND($U$5=FALSE,$U$4=FALSE),"-",IF(AND($U$5=TRUE,$U$4=TRUE),"-",
IF((AND($U$4=TRUE,$U$5=FALSE,$U$6=FALSE,$U$7=FALSE)),VLOOKUP($E184,'Status Thresholds'!$E:$AR,5,FALSE),IF((AND($U$4=TRUE,$U$5=FALSE,$U$6=TRUE,$U$7=FALSE)),VLOOKUP($E184,'Status Thresholds'!$E:$AR,15,FALSE),IF((AND($U$4=TRUE,$U$5=FALSE,$U$6=TRUE,$U$7=TRUE)),VLOOKUP($E184,'Status Thresholds'!$E:$AR,20,FALSE),IF((AND($U$4=TRUE,$U$5=FALSE,$U$6=FALSE,$U$7=TRUE)),VLOOKUP($E184,'Status Thresholds'!$E:$AR,10,FALSE),
IF((AND($U$4=FALSE,$U$5=TRUE,$U$6=FALSE,$U$7=FALSE)),VLOOKUP($E184,'Status Thresholds'!$E:$AR,25,FALSE),IF((AND($U$4=FALSE,$U$5=TRUE,$U$6=TRUE,$U$7=FALSE)),VLOOKUP($E184,'Status Thresholds'!$E:$AR,35,FALSE),IF((AND($U$4=FALSE,$U$5=TRUE,$U$6=TRUE,$U$7=TRUE)),VLOOKUP($E184,'Status Thresholds'!$E:$AR,40,FALSE),IF((AND($U$4=FALSE,$U$5=TRUE,$U$6=FALSE,$U$7=TRUE)),VLOOKUP($E184,'Status Thresholds'!$E:$AR,30,FALSE)))))))))
))/
IF(OR($X$5=TRUE,$AC$3=TRUE
),($F$6/2), IF(OR($X$2,$X$3,$X$4,$X$6,$X$7,$X$8,$Z$2,$Z$3,$Z$4,$Z$5,$Z$6,$Z$7,$Z$8)=TRUE,$F$6)),0),"-")</f>
        <v>-</v>
      </c>
      <c r="J184" s="46">
        <f>IFERROR(IF(AND($U$5=FALSE,$U$4=FALSE),"-",VLOOKUP($E184,'Status Thresholds'!$E:$AU,41,FALSE)),"-")</f>
        <v>0</v>
      </c>
      <c r="K184" s="46" t="str">
        <f>IFERROR(IF(AND($U$5=FALSE,$U$4=FALSE),"-",VLOOKUP($E184,'Status Thresholds'!$E:$AU,42,FALSE)),"-")</f>
        <v>-</v>
      </c>
      <c r="L184" s="46" t="str">
        <f>IFERROR(IF(AND($U$5=FALSE,$U$4=FALSE),"-",VLOOKUP($E184,'Status Thresholds'!$E:$AU,43,FALSE)),"-")</f>
        <v>-</v>
      </c>
    </row>
    <row r="185" spans="1:12" x14ac:dyDescent="0.25">
      <c r="A185" s="35"/>
      <c r="B185" s="64" t="str">
        <f>VLOOKUP(C185,'Status Thresholds'!B:C,2,FALSE)</f>
        <v>MHGU</v>
      </c>
      <c r="C185" s="64" t="str">
        <f>IF('Status Thresholds'!B180=0, "", 'Status Thresholds'!B180)</f>
        <v>Congalala</v>
      </c>
      <c r="D185" s="30" t="s">
        <v>35</v>
      </c>
      <c r="E185" s="36" t="str">
        <f t="shared" si="2"/>
        <v>CongalalaBlast</v>
      </c>
      <c r="F185" s="36" t="str">
        <f>IFERROR(
ROUNDUP(
IF(AND($U$5=FALSE,$U$4=FALSE),"-",IF(AND($U$5=TRUE,$U$4=TRUE),"-",
IF((AND($U$4=TRUE,$U$5=FALSE,$U$6=FALSE,$U$7=FALSE)),VLOOKUP($E185,'Status Thresholds'!$E:$AR,2,FALSE),IF((AND($U$4=TRUE,$U$5=FALSE,$U$6=TRUE,$U$7=FALSE)),VLOOKUP($E185,'Status Thresholds'!$E:$AR,12,FALSE),IF((AND($U$4=TRUE,$U$5=FALSE,$U$6=TRUE,$U$7=TRUE)),VLOOKUP($E185,'Status Thresholds'!$E:$AR,17,FALSE),IF((AND($U$4=TRUE,$U$5=FALSE,$U$6=FALSE,$U$7=TRUE)),VLOOKUP($E185,'Status Thresholds'!$E:$AR,7,FALSE),
IF((AND($U$4=FALSE,$U$5=TRUE,$U$6=FALSE,$U$7=FALSE)),VLOOKUP($E185,'Status Thresholds'!$E:$AR,22,FALSE),IF((AND($U$4=FALSE,$U$5=TRUE,$U$6=TRUE,$U$7=FALSE)),VLOOKUP($E185,'Status Thresholds'!$E:$AR,32,FALSE),IF((AND($U$4=FALSE,$U$5=TRUE,$U$6=TRUE,$U$7=TRUE)),VLOOKUP($E185,'Status Thresholds'!$E:$AR,37,FALSE),IF((AND($U$4=FALSE,$U$5=TRUE,$U$6=FALSE,$U$7=TRUE)),VLOOKUP($E185,'Status Thresholds'!$E:$AR,27,FALSE)))))))))
))/
IF(OR($X$5=TRUE,$AC$3=TRUE
),($F$7/2), IF(OR($X$2,$X$3,$X$4,$X$6,$X$7,$X$8,$Z$2,$Z$3,$Z$4,$Z$5,$Z$6,$Z$7,$Z$8)=TRUE,$F$7)),0),"-")</f>
        <v>-</v>
      </c>
      <c r="G185" s="36" t="str">
        <f>IFERROR(
ROUNDUP(
IF(AND($U$5=FALSE,$U$4=FALSE),"-",IF(AND($U$5=TRUE,$U$4=TRUE),"-",
IF((AND($U$4=TRUE,$U$5=FALSE,$U$6=FALSE,$U$7=FALSE)),VLOOKUP($E185,'Status Thresholds'!$E:$AR,3,FALSE),IF((AND($U$4=TRUE,$U$5=FALSE,$U$6=TRUE,$U$7=FALSE)),VLOOKUP($E185,'Status Thresholds'!$E:$AR,13,FALSE),IF((AND($U$4=TRUE,$U$5=FALSE,$U$6=TRUE,$U$7=TRUE)),VLOOKUP($E185,'Status Thresholds'!$E:$AR,18,FALSE),IF((AND($U$4=TRUE,$U$5=FALSE,$U$6=FALSE,$U$7=TRUE)),VLOOKUP($E185,'Status Thresholds'!$E:$AR,8,FALSE),
IF((AND($U$4=FALSE,$U$5=TRUE,$U$6=FALSE,$U$7=FALSE)),VLOOKUP($E185,'Status Thresholds'!$E:$AR,23,FALSE),IF((AND($U$4=FALSE,$U$5=TRUE,$U$6=TRUE,$U$7=FALSE)),VLOOKUP($E185,'Status Thresholds'!$E:$AR,33,FALSE),IF((AND($U$4=FALSE,$U$5=TRUE,$U$6=TRUE,$U$7=TRUE)),VLOOKUP($E185,'Status Thresholds'!$E:$AR,38,FALSE),IF((AND($U$4=FALSE,$U$5=TRUE,$U$6=FALSE,$U$7=TRUE)),VLOOKUP($E185,'Status Thresholds'!$E:$AR,28,FALSE)))))))))
))/
IF(OR($X$5=TRUE,$AC$3=TRUE
),($F$7/2), IF(OR($X$2,$X$3,$X$4,$X$6,$X$7,$X$8,$Z$2,$Z$3,$Z$4,$Z$5,$Z$6,$Z$7,$Z$8)=TRUE,$F$7)),0),"-")</f>
        <v>-</v>
      </c>
      <c r="H185" s="36" t="str">
        <f>IFERROR(
ROUNDUP(
IF(AND($U$5=FALSE,$U$4=FALSE),"-",IF(AND($U$5=TRUE,$U$4=TRUE),"-",
IF((AND($U$4=TRUE,$U$5=FALSE,$U$6=FALSE,$U$7=FALSE)),VLOOKUP($E185,'Status Thresholds'!$E:$AR,4,FALSE),IF((AND($U$4=TRUE,$U$5=FALSE,$U$6=TRUE,$U$7=FALSE)),VLOOKUP($E185,'Status Thresholds'!$E:$AR,14,FALSE),IF((AND($U$4=TRUE,$U$5=FALSE,$U$6=TRUE,$U$7=TRUE)),VLOOKUP($E185,'Status Thresholds'!$E:$AR,19,FALSE),IF((AND($U$4=TRUE,$U$5=FALSE,$U$6=FALSE,$U$7=TRUE)),VLOOKUP($E185,'Status Thresholds'!$E:$AR,9,FALSE),
IF((AND($U$4=FALSE,$U$5=TRUE,$U$6=FALSE,$U$7=FALSE)),VLOOKUP($E185,'Status Thresholds'!$E:$AR,24,FALSE),IF((AND($U$4=FALSE,$U$5=TRUE,$U$6=TRUE,$U$7=FALSE)),VLOOKUP($E185,'Status Thresholds'!$E:$AR,34,FALSE),IF((AND($U$4=FALSE,$U$5=TRUE,$U$6=TRUE,$U$7=TRUE)),VLOOKUP($E185,'Status Thresholds'!$E:$AR,39,FALSE),IF((AND($U$4=FALSE,$U$5=TRUE,$U$6=FALSE,$U$7=TRUE)),VLOOKUP($E185,'Status Thresholds'!$E:$AR,29,FALSE)))))))))
))/
IF(OR($X$5=TRUE,$AC$3=TRUE
),($F$7/2), IF(OR($X$2,$X$3,$X$4,$X$6,$X$7,$X$8,$Z$2,$Z$3,$Z$4,$Z$5,$Z$6,$Z$7,$Z$8)=TRUE,$F$7)),0),"-")</f>
        <v>-</v>
      </c>
      <c r="I185" s="36" t="str">
        <f>IFERROR(
ROUNDUP(
IF(AND($U$5=FALSE,$U$4=FALSE),"-",IF(AND($U$5=TRUE,$U$4=TRUE),"-",
IF((AND($U$4=TRUE,$U$5=FALSE,$U$6=FALSE,$U$7=FALSE)),VLOOKUP($E185,'Status Thresholds'!$E:$AR,5,FALSE),IF((AND($U$4=TRUE,$U$5=FALSE,$U$6=TRUE,$U$7=FALSE)),VLOOKUP($E185,'Status Thresholds'!$E:$AR,15,FALSE),IF((AND($U$4=TRUE,$U$5=FALSE,$U$6=TRUE,$U$7=TRUE)),VLOOKUP($E185,'Status Thresholds'!$E:$AR,20,FALSE),IF((AND($U$4=TRUE,$U$5=FALSE,$U$6=FALSE,$U$7=TRUE)),VLOOKUP($E185,'Status Thresholds'!$E:$AR,10,FALSE),
IF((AND($U$4=FALSE,$U$5=TRUE,$U$6=FALSE,$U$7=FALSE)),VLOOKUP($E185,'Status Thresholds'!$E:$AR,25,FALSE),IF((AND($U$4=FALSE,$U$5=TRUE,$U$6=TRUE,$U$7=FALSE)),VLOOKUP($E185,'Status Thresholds'!$E:$AR,35,FALSE),IF((AND($U$4=FALSE,$U$5=TRUE,$U$6=TRUE,$U$7=TRUE)),VLOOKUP($E185,'Status Thresholds'!$E:$AR,40,FALSE),IF((AND($U$4=FALSE,$U$5=TRUE,$U$6=FALSE,$U$7=TRUE)),VLOOKUP($E185,'Status Thresholds'!$E:$AR,30,FALSE)))))))))
))/
IF(OR($X$5=TRUE,$AC$3=TRUE
),($F$7/2), IF(OR($X$2,$X$3,$X$4,$X$6,$X$7,$X$8,$Z$2,$Z$3,$Z$4,$Z$5,$Z$6,$Z$7,$Z$8)=TRUE,$F$7)),0),"-")</f>
        <v>-</v>
      </c>
      <c r="J185" s="46">
        <f>IFERROR(IF(AND($U$5=FALSE,$U$4=FALSE),"-",VLOOKUP($E185,'Status Thresholds'!$E:$AU,41,FALSE)),"-")</f>
        <v>0</v>
      </c>
      <c r="K185" s="46" t="str">
        <f>IFERROR(IF(AND($U$5=FALSE,$U$4=FALSE),"-",VLOOKUP($E185,'Status Thresholds'!$E:$AU,42,FALSE)),"-")</f>
        <v>-</v>
      </c>
      <c r="L185" s="46" t="str">
        <f>IFERROR(IF(AND($U$5=FALSE,$U$4=FALSE),"-",VLOOKUP($E185,'Status Thresholds'!$E:$AU,43,FALSE)),"-")</f>
        <v>-</v>
      </c>
    </row>
    <row r="186" spans="1:12" ht="14.45" customHeight="1" x14ac:dyDescent="0.25">
      <c r="A186" s="35"/>
      <c r="B186" s="64" t="str">
        <f>VLOOKUP(C186,'Status Thresholds'!B:C,2,FALSE)</f>
        <v>MHGU</v>
      </c>
      <c r="C186" s="64" t="str">
        <f>IF('Status Thresholds'!B181=0, "", 'Status Thresholds'!B181)</f>
        <v>Congalala</v>
      </c>
      <c r="D186" s="34" t="s">
        <v>14</v>
      </c>
      <c r="E186" s="36" t="str">
        <f t="shared" si="2"/>
        <v>CongalalaKO</v>
      </c>
      <c r="F186" s="36" t="s">
        <v>214</v>
      </c>
      <c r="G186" s="36" t="s">
        <v>214</v>
      </c>
      <c r="H186" s="36" t="s">
        <v>214</v>
      </c>
      <c r="I186" s="36" t="s">
        <v>214</v>
      </c>
      <c r="J186" s="46">
        <f>IFERROR(IF(AND($U$5=FALSE,$U$4=FALSE),"-",VLOOKUP($E186,'Status Thresholds'!$E:$AU,41,FALSE)),"-")</f>
        <v>10</v>
      </c>
      <c r="K186" s="46" t="str">
        <f>IFERROR(IF(AND($U$5=FALSE,$U$4=FALSE),"-",VLOOKUP($E186,'Status Thresholds'!$E:$AU,42,FALSE)),"-")</f>
        <v>-</v>
      </c>
      <c r="L186" s="46" t="str">
        <f>IFERROR(IF(AND($U$5=FALSE,$U$4=FALSE),"-",VLOOKUP($E186,'Status Thresholds'!$E:$AU,43,FALSE)),"-")</f>
        <v>-</v>
      </c>
    </row>
    <row r="187" spans="1:12" x14ac:dyDescent="0.25">
      <c r="A187" s="35"/>
      <c r="B187" s="64" t="str">
        <f>VLOOKUP(C187,'Status Thresholds'!B:C,2,FALSE)</f>
        <v>MHGU</v>
      </c>
      <c r="C187" s="64" t="str">
        <f>IF('Status Thresholds'!B182=0, "", 'Status Thresholds'!B182)</f>
        <v>Congalala</v>
      </c>
      <c r="D187" s="33" t="s">
        <v>34</v>
      </c>
      <c r="E187" s="36" t="str">
        <f t="shared" si="2"/>
        <v>CongalalaMount</v>
      </c>
      <c r="F187" s="36" t="str">
        <f>IFERROR(
ROUNDUP(
IF(AND($U$5=FALSE,$U$4=FALSE),"-",IF(AND($U$5=TRUE,$U$4=TRUE),"-",
IF((AND($U$4=TRUE,$U$5=FALSE,$U$6=FALSE,$U$7=FALSE)),VLOOKUP($E187,'Status Thresholds'!$E:$AR,2,FALSE),IF((AND($U$4=TRUE,$U$5=FALSE,$U$6=TRUE,$U$7=FALSE)),VLOOKUP($E187,'Status Thresholds'!$E:$AR,12,FALSE),IF((AND($U$4=TRUE,$U$5=FALSE,$U$6=TRUE,$U$7=TRUE)),VLOOKUP($E187,'Status Thresholds'!$E:$AR,17,FALSE),IF((AND($U$4=TRUE,$U$5=FALSE,$U$6=FALSE,$U$7=TRUE)),VLOOKUP($E187,'Status Thresholds'!$E:$AR,7,FALSE),
IF((AND($U$4=FALSE,$U$5=TRUE,$U$6=FALSE,$U$7=FALSE)),VLOOKUP($E187,'Status Thresholds'!$E:$AR,22,FALSE),IF((AND($U$4=FALSE,$U$5=TRUE,$U$6=TRUE,$U$7=FALSE)),VLOOKUP($E187,'Status Thresholds'!$E:$AR,32,FALSE),IF((AND($U$4=FALSE,$U$5=TRUE,$U$6=TRUE,$U$7=TRUE)),VLOOKUP($E187,'Status Thresholds'!$E:$AR,37,FALSE),IF((AND($U$4=FALSE,$U$5=TRUE,$U$6=FALSE,$U$7=TRUE)),VLOOKUP($E187,'Status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187" s="36" t="str">
        <f>IFERROR(
ROUNDUP(
IF(AND($U$5=FALSE,$U$4=FALSE),"-",IF(AND($U$5=TRUE,$U$4=TRUE),"-",
IF((AND($U$4=TRUE,$U$5=FALSE,$U$6=FALSE,$U$7=FALSE)),VLOOKUP($E186,'Status Thresholds'!$E:$AR,3,FALSE),IF((AND($U$4=TRUE,$U$5=FALSE,$U$6=TRUE,$U$7=FALSE)),VLOOKUP($E186,'Status Thresholds'!$E:$AR,13,FALSE),IF((AND($U$4=TRUE,$U$5=FALSE,$U$6=TRUE,$U$7=TRUE)),VLOOKUP($E186,'Status Thresholds'!$E:$AR,18,FALSE),IF((AND($U$4=TRUE,$U$5=FALSE,$U$6=FALSE,$U$7=TRUE)),VLOOKUP($E186,'Status Thresholds'!$E:$AR,8,FALSE),
IF((AND($U$4=FALSE,$U$5=TRUE,$U$6=FALSE,$U$7=FALSE)),VLOOKUP($E186,'Status Thresholds'!$E:$AR,23,FALSE),IF((AND($U$4=FALSE,$U$5=TRUE,$U$6=TRUE,$U$7=FALSE)),VLOOKUP($E186,'Status Thresholds'!$E:$AR,33,FALSE),IF((AND($U$4=FALSE,$U$5=TRUE,$U$6=TRUE,$U$7=TRUE)),VLOOKUP($E186,'Status Thresholds'!$E:$AR,38,FALSE),IF((AND($U$4=FALSE,$U$5=TRUE,$U$6=FALSE,$U$7=TRUE)),VLOOKUP($E186,'Status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187" s="36" t="str">
        <f>IFERROR(
ROUNDUP(
IF(AND($U$5=FALSE,$U$4=FALSE),"-",IF(AND($U$5=TRUE,$U$4=TRUE),"-",
IF((AND($U$4=TRUE,$U$5=FALSE,$U$6=FALSE,$U$7=FALSE)),VLOOKUP($E186,'Status Thresholds'!$E:$AR,4,FALSE),IF((AND($U$4=TRUE,$U$5=FALSE,$U$6=TRUE,$U$7=FALSE)),VLOOKUP($E186,'Status Thresholds'!$E:$AR,14,FALSE),IF((AND($U$4=TRUE,$U$5=FALSE,$U$6=TRUE,$U$7=TRUE)),VLOOKUP($E186,'Status Thresholds'!$E:$AR,19,FALSE),IF((AND($U$4=TRUE,$U$5=FALSE,$U$6=FALSE,$U$7=TRUE)),VLOOKUP($E186,'Status Thresholds'!$E:$AR,9,FALSE),
IF((AND($U$4=FALSE,$U$5=TRUE,$U$6=FALSE,$U$7=FALSE)),VLOOKUP($E186,'Status Thresholds'!$E:$AR,24,FALSE),IF((AND($U$4=FALSE,$U$5=TRUE,$U$6=TRUE,$U$7=FALSE)),VLOOKUP($E186,'Status Thresholds'!$E:$AR,34,FALSE),IF((AND($U$4=FALSE,$U$5=TRUE,$U$6=TRUE,$U$7=TRUE)),VLOOKUP($E186,'Status Thresholds'!$E:$AR,39,FALSE),IF((AND($U$4=FALSE,$U$5=TRUE,$U$6=FALSE,$U$7=TRUE)),VLOOKUP($E186,'Status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187" s="36" t="str">
        <f>IFERROR(
ROUNDUP(
IF(AND($U$5=FALSE,$U$4=FALSE),"-",IF(AND($U$5=TRUE,$U$4=TRUE),"-",
IF((AND($U$4=TRUE,$U$5=FALSE,$U$6=FALSE,$U$7=FALSE)),VLOOKUP($E186,'Status Thresholds'!$E:$AR,5,FALSE),IF((AND($U$4=TRUE,$U$5=FALSE,$U$6=TRUE,$U$7=FALSE)),VLOOKUP($E186,'Status Thresholds'!$E:$AR,15,FALSE),IF((AND($U$4=TRUE,$U$5=FALSE,$U$6=TRUE,$U$7=TRUE)),VLOOKUP($E186,'Status Thresholds'!$E:$AR,20,FALSE),IF((AND($U$4=TRUE,$U$5=FALSE,$U$6=FALSE,$U$7=TRUE)),VLOOKUP($E186,'Status Thresholds'!$E:$AR,10,FALSE),
IF((AND($U$4=FALSE,$U$5=TRUE,$U$6=FALSE,$U$7=FALSE)),VLOOKUP($E186,'Status Thresholds'!$E:$AR,25,FALSE),IF((AND($U$4=FALSE,$U$5=TRUE,$U$6=TRUE,$U$7=FALSE)),VLOOKUP($E186,'Status Thresholds'!$E:$AR,35,FALSE),IF((AND($U$4=FALSE,$U$5=TRUE,$U$6=TRUE,$U$7=TRUE)),VLOOKUP($E186,'Status Thresholds'!$E:$AR,40,FALSE),IF((AND($U$4=FALSE,$U$5=TRUE,$U$6=FALSE,$U$7=TRUE)),VLOOKUP($E186,'Status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187" s="46">
        <f>IFERROR(IF(AND($U$5=FALSE,$U$4=FALSE),"-",VLOOKUP($E187,'Status Thresholds'!$E:$AU,41,FALSE)),"-")</f>
        <v>0</v>
      </c>
      <c r="K187" s="46" t="str">
        <f>IFERROR(IF(AND($U$5=FALSE,$U$4=FALSE),"-",VLOOKUP($E187,'Status Thresholds'!$E:$AU,42,FALSE)),"-")</f>
        <v>-</v>
      </c>
      <c r="L187" s="46" t="str">
        <f>IFERROR(IF(AND($U$5=FALSE,$U$4=FALSE),"-",VLOOKUP($E187,'Status Thresholds'!$E:$AU,43,FALSE)),"-")</f>
        <v>-</v>
      </c>
    </row>
    <row r="188" spans="1:12" ht="15" customHeight="1" x14ac:dyDescent="0.25">
      <c r="A188" s="35"/>
      <c r="B188" s="64" t="str">
        <f>VLOOKUP(C188,'Status Thresholds'!B:C,2,FALSE)</f>
        <v>MHGU</v>
      </c>
      <c r="C188" s="64" t="str">
        <f>IF('Status Thresholds'!B183=0, "", 'Status Thresholds'!B183)</f>
        <v>Congalala</v>
      </c>
      <c r="D188" s="77" t="s">
        <v>207</v>
      </c>
      <c r="E188" s="36" t="str">
        <f t="shared" si="2"/>
        <v>CongalalaShock Trap</v>
      </c>
      <c r="F188" s="76" t="s">
        <v>214</v>
      </c>
      <c r="G188" s="46" t="s">
        <v>214</v>
      </c>
      <c r="H188" s="46" t="s">
        <v>214</v>
      </c>
      <c r="I188" s="46" t="s">
        <v>214</v>
      </c>
      <c r="J188" s="46">
        <f>IFERROR(IF(AND($U$5=FALSE,$U$4=FALSE),"-",VLOOKUP($E188,'Status Thresholds'!$E:$AU,43,FALSE)),"-")</f>
        <v>8</v>
      </c>
      <c r="K188" s="46">
        <f>IFERROR(IF(AND($U$5=FALSE,$U$4=FALSE),"-",VLOOKUP($E188,'Status Thresholds'!$E:$AU,41,FALSE)),"-")</f>
        <v>8</v>
      </c>
      <c r="L188" s="46">
        <f>IFERROR(IF(AND($U$5=FALSE,$U$4=FALSE),"-",VLOOKUP($E188,'Status Thresholds'!$E:$AU,42,FALSE)),"-")</f>
        <v>15</v>
      </c>
    </row>
    <row r="189" spans="1:12" x14ac:dyDescent="0.25">
      <c r="A189" s="35"/>
      <c r="B189" s="64" t="str">
        <f>VLOOKUP(C189,'Status Thresholds'!B:C,2,FALSE)</f>
        <v>MHGU</v>
      </c>
      <c r="C189" s="64" t="str">
        <f>IF('Status Thresholds'!B184=0, "", 'Status Thresholds'!B184)</f>
        <v>Congalala</v>
      </c>
      <c r="D189" s="77" t="s">
        <v>213</v>
      </c>
      <c r="E189" s="36" t="str">
        <f t="shared" si="2"/>
        <v>CongalalaPitfall Trap</v>
      </c>
      <c r="F189" s="46" t="s">
        <v>214</v>
      </c>
      <c r="G189" s="46" t="s">
        <v>214</v>
      </c>
      <c r="H189" s="46" t="s">
        <v>214</v>
      </c>
      <c r="I189" s="46" t="s">
        <v>214</v>
      </c>
      <c r="J189" s="46">
        <f>IFERROR(IF(AND($U$5=FALSE,$U$4=FALSE),"-",VLOOKUP($E189,'Status Thresholds'!$E:$AU,43,FALSE)),"-")</f>
        <v>12</v>
      </c>
      <c r="K189" s="46">
        <f>IFERROR(IF(AND($U$5=FALSE,$U$4=FALSE),"-",VLOOKUP($E189,'Status Thresholds'!$E:$AU,41,FALSE)),"-")</f>
        <v>12</v>
      </c>
      <c r="L189" s="46">
        <f>IFERROR(IF(AND($U$5=FALSE,$U$4=FALSE),"-",VLOOKUP($E189,'Status Thresholds'!$E:$AU,42,FALSE)),"-")</f>
        <v>25</v>
      </c>
    </row>
    <row r="190" spans="1:12" s="36" customFormat="1" hidden="1" x14ac:dyDescent="0.25">
      <c r="A190" s="64"/>
      <c r="B190" s="64" t="str">
        <f>IF('Status Thresholds'!A185=0, "", 'Status Thresholds'!A185)</f>
        <v>Deviant</v>
      </c>
      <c r="C190" s="64" t="str">
        <f>IF('Status Thresholds'!B185=0, "", 'Status Thresholds'!B185)</f>
        <v>Crystal beard Uragaan</v>
      </c>
      <c r="D190" s="37" t="s">
        <v>0</v>
      </c>
      <c r="E190" s="36" t="str">
        <f t="shared" si="2"/>
        <v>Crystal beard UragaanPara</v>
      </c>
      <c r="F190" s="36" t="str">
        <f>IFERROR(
ROUNDUP(
IF(AND($U$5=FALSE,$U$4=FALSE),"-",IF(AND($U$5=TRUE,$U$4=TRUE),"-",
IF((AND($U$4=TRUE,$U$5=FALSE,$U$6=FALSE,$U$7=FALSE)),VLOOKUP($E190,'Status Thresholds'!$E:$AR,2,FALSE),IF((AND($U$4=TRUE,$U$5=FALSE,$U$6=TRUE,$U$7=FALSE)),VLOOKUP($E190,'Status Thresholds'!$E:$AR,12,FALSE),IF((AND($U$4=TRUE,$U$5=FALSE,$U$6=TRUE,$U$7=TRUE)),VLOOKUP($E190,'Status Thresholds'!$E:$AR,17,FALSE),IF((AND($U$4=TRUE,$U$5=FALSE,$U$6=FALSE,$U$7=TRUE)),VLOOKUP($E190,'Status Thresholds'!$E:$AR,7,FALSE),
IF((AND($U$4=FALSE,$U$5=TRUE,$U$6=FALSE,$U$7=FALSE)),VLOOKUP($E190,'Status Thresholds'!$E:$AR,22,FALSE),IF((AND($U$4=FALSE,$U$5=TRUE,$U$6=TRUE,$U$7=FALSE)),VLOOKUP($E190,'Status Thresholds'!$E:$AR,32,FALSE),IF((AND($U$4=FALSE,$U$5=TRUE,$U$6=TRUE,$U$7=TRUE)),VLOOKUP($E190,'Status Thresholds'!$E:$AR,37,FALSE),IF((AND($U$4=FALSE,$U$5=TRUE,$U$6=FALSE,$U$7=TRUE)),VLOOKUP($E190,'Status Thresholds'!$E:$AR,27,FALSE)))))))))
))/
IF(OR($X$5=TRUE,$AC$3=TRUE
),($F$3/2), IF(OR($X$2,$X$3,$X$4,$X$6,$X$7,$X$8,$Z$2,$Z$3,$Z$4,$Z$5,$Z$6,$Z$7,$Z$8)=TRUE,$F$3)),0),"-")</f>
        <v>-</v>
      </c>
      <c r="G190" s="36" t="str">
        <f>IFERROR(
ROUNDUP(
IF(AND($U$5=FALSE,$U$4=FALSE),"-",IF(AND($U$5=TRUE,$U$4=TRUE),"-",
IF((AND($U$4=TRUE,$U$5=FALSE,$U$6=FALSE,$U$7=FALSE)),VLOOKUP($E190,'Status Thresholds'!$E:$AR,3,FALSE),IF((AND($U$4=TRUE,$U$5=FALSE,$U$6=TRUE,$U$7=FALSE)),VLOOKUP($E190,'Status Thresholds'!$E:$AR,13,FALSE),IF((AND($U$4=TRUE,$U$5=FALSE,$U$6=TRUE,$U$7=TRUE)),VLOOKUP($E190,'Status Thresholds'!$E:$AR,18,FALSE),IF((AND($U$4=TRUE,$U$5=FALSE,$U$6=FALSE,$U$7=TRUE)),VLOOKUP($E190,'Status Thresholds'!$E:$AR,8,FALSE),
IF((AND($U$4=FALSE,$U$5=TRUE,$U$6=FALSE,$U$7=FALSE)),VLOOKUP($E190,'Status Thresholds'!$E:$AR,23,FALSE),IF((AND($U$4=FALSE,$U$5=TRUE,$U$6=TRUE,$U$7=FALSE)),VLOOKUP($E190,'Status Thresholds'!$E:$AR,33,FALSE),IF((AND($U$4=FALSE,$U$5=TRUE,$U$6=TRUE,$U$7=TRUE)),VLOOKUP($E190,'Status Thresholds'!$E:$AR,38,FALSE),IF((AND($U$4=FALSE,$U$5=TRUE,$U$6=FALSE,$U$7=TRUE)),VLOOKUP($E190,'Status Thresholds'!$E:$AR,28,FALSE)))))))))
))/
IF(OR($X$5=TRUE,$AC$3=TRUE
),($F$3/2), IF(OR($X$2,$X$3,$X$4,$X$6,$X$7,$X$8,$Z$2,$Z$3,$Z$4,$Z$5,$Z$6,$Z$7,$Z$8)=TRUE,$F$3)),0),"-")</f>
        <v>-</v>
      </c>
      <c r="H190" s="36" t="str">
        <f>IFERROR(
ROUNDUP(
IF(AND($U$5=FALSE,$U$4=FALSE),"-",IF(AND($U$5=TRUE,$U$4=TRUE),"-",
IF((AND($U$4=TRUE,$U$5=FALSE,$U$6=FALSE,$U$7=FALSE)),VLOOKUP($E190,'Status Thresholds'!$E:$AR,4,FALSE),IF((AND($U$4=TRUE,$U$5=FALSE,$U$6=TRUE,$U$7=FALSE)),VLOOKUP($E190,'Status Thresholds'!$E:$AR,14,FALSE),IF((AND($U$4=TRUE,$U$5=FALSE,$U$6=TRUE,$U$7=TRUE)),VLOOKUP($E190,'Status Thresholds'!$E:$AR,19,FALSE),IF((AND($U$4=TRUE,$U$5=FALSE,$U$6=FALSE,$U$7=TRUE)),VLOOKUP($E190,'Status Thresholds'!$E:$AR,9,FALSE),
IF((AND($U$4=FALSE,$U$5=TRUE,$U$6=FALSE,$U$7=FALSE)),VLOOKUP($E190,'Status Thresholds'!$E:$AR,24,FALSE),IF((AND($U$4=FALSE,$U$5=TRUE,$U$6=TRUE,$U$7=FALSE)),VLOOKUP($E190,'Status Thresholds'!$E:$AR,34,FALSE),IF((AND($U$4=FALSE,$U$5=TRUE,$U$6=TRUE,$U$7=TRUE)),VLOOKUP($E190,'Status Thresholds'!$E:$AR,39,FALSE),IF((AND($U$4=FALSE,$U$5=TRUE,$U$6=FALSE,$U$7=TRUE)),VLOOKUP($E190,'Status Thresholds'!$E:$AR,29,FALSE)))))))))
))/
IF(OR($X$5=TRUE,$AC$3=TRUE
),($F$3/2), IF(OR($X$2,$X$3,$X$4,$X$6,$X$7,$X$8,$Z$2,$Z$3,$Z$4,$Z$5,$Z$6,$Z$7,$Z$8)=TRUE,$F$3)),0),"-")</f>
        <v>-</v>
      </c>
      <c r="I190" s="36" t="str">
        <f>IFERROR(
ROUNDUP(
IF(AND($U$5=FALSE,$U$4=FALSE),"-",IF(AND($U$5=TRUE,$U$4=TRUE),"-",
IF((AND($U$4=TRUE,$U$5=FALSE,$U$6=FALSE,$U$7=FALSE)),VLOOKUP($E190,'Status Thresholds'!$E:$AR,5,FALSE),IF((AND($U$4=TRUE,$U$5=FALSE,$U$6=TRUE,$U$7=FALSE)),VLOOKUP($E190,'Status Thresholds'!$E:$AR,15,FALSE),IF((AND($U$4=TRUE,$U$5=FALSE,$U$6=TRUE,$U$7=TRUE)),VLOOKUP($E190,'Status Thresholds'!$E:$AR,20,FALSE),IF((AND($U$4=TRUE,$U$5=FALSE,$U$6=FALSE,$U$7=TRUE)),VLOOKUP($E190,'Status Thresholds'!$E:$AR,10,FALSE),
IF((AND($U$4=FALSE,$U$5=TRUE,$U$6=FALSE,$U$7=FALSE)),VLOOKUP($E190,'Status Thresholds'!$E:$AR,25,FALSE),IF((AND($U$4=FALSE,$U$5=TRUE,$U$6=TRUE,$U$7=FALSE)),VLOOKUP($E190,'Status Thresholds'!$E:$AR,35,FALSE),IF((AND($U$4=FALSE,$U$5=TRUE,$U$6=TRUE,$U$7=TRUE)),VLOOKUP($E190,'Status Thresholds'!$E:$AR,40,FALSE),IF((AND($U$4=FALSE,$U$5=TRUE,$U$6=FALSE,$U$7=TRUE)),VLOOKUP($E190,'Status Thresholds'!$E:$AR,30,FALSE)))))))))
))/
IF(OR($X$5=TRUE,$AC$3=TRUE
),($F$3/2), IF(OR($X$2,$X$3,$X$4,$X$6,$X$7,$X$8,$Z$2,$Z$3,$Z$4,$Z$5,$Z$6,$Z$7,$Z$8)=TRUE,$F$3)),0),"-")</f>
        <v>-</v>
      </c>
      <c r="J190" s="36">
        <f>IFERROR(IF(AND($U$5=FALSE,$U$4=FALSE),"-",VLOOKUP($E190,'Status Thresholds'!$E:$AU,41,FALSE)),"-")</f>
        <v>15</v>
      </c>
      <c r="K190" s="36" t="str">
        <f>IFERROR(IF(AND($U$5=FALSE,$U$4=FALSE),"-",VLOOKUP($E190,'Status Thresholds'!$E:$AU,42,FALSE)),"-")</f>
        <v>-</v>
      </c>
      <c r="L190" s="36" t="str">
        <f>IFERROR(IF(AND($U$5=FALSE,$U$4=FALSE),"-",VLOOKUP($E190,'Status Thresholds'!$E:$AU,43,FALSE)),"-")</f>
        <v>-</v>
      </c>
    </row>
    <row r="191" spans="1:12" hidden="1" x14ac:dyDescent="0.25">
      <c r="A191" s="35"/>
      <c r="B191" s="64" t="str">
        <f>IF('Status Thresholds'!A186=0, "", 'Status Thresholds'!A186)</f>
        <v>Deviant</v>
      </c>
      <c r="C191" s="64" t="str">
        <f>IF('Status Thresholds'!B186=0, "", 'Status Thresholds'!B186)</f>
        <v>Crystal beard Uragaan</v>
      </c>
      <c r="D191" s="31" t="s">
        <v>32</v>
      </c>
      <c r="E191" s="36" t="str">
        <f t="shared" si="2"/>
        <v>Crystal beard UragaanSleep</v>
      </c>
      <c r="F191" s="36" t="str">
        <f>IFERROR(
ROUNDUP(
IF(AND($U$5=FALSE,$U$4=FALSE),"-",IF(AND($U$5=TRUE,$U$4=TRUE),"-",
IF((AND($U$4=TRUE,$U$5=FALSE,$U$6=FALSE,$U$7=FALSE)),VLOOKUP($E191,'Status Thresholds'!$E:$AR,2,FALSE),IF((AND($U$4=TRUE,$U$5=FALSE,$U$6=TRUE,$U$7=FALSE)),VLOOKUP($E191,'Status Thresholds'!$E:$AR,12,FALSE),IF((AND($U$4=TRUE,$U$5=FALSE,$U$6=TRUE,$U$7=TRUE)),VLOOKUP($E191,'Status Thresholds'!$E:$AR,17,FALSE),IF((AND($U$4=TRUE,$U$5=FALSE,$U$6=FALSE,$U$7=TRUE)),VLOOKUP($E191,'Status Thresholds'!$E:$AR,7,FALSE),
IF((AND($U$4=FALSE,$U$5=TRUE,$U$6=FALSE,$U$7=FALSE)),VLOOKUP($E191,'Status Thresholds'!$E:$AR,22,FALSE),IF((AND($U$4=FALSE,$U$5=TRUE,$U$6=TRUE,$U$7=FALSE)),VLOOKUP($E191,'Status Thresholds'!$E:$AR,32,FALSE),IF((AND($U$4=FALSE,$U$5=TRUE,$U$6=TRUE,$U$7=TRUE)),VLOOKUP($E191,'Status Thresholds'!$E:$AR,37,FALSE),IF((AND($U$4=FALSE,$U$5=TRUE,$U$6=FALSE,$U$7=TRUE)),VLOOKUP($E191,'Status Thresholds'!$E:$AR,27,FALSE)))))))))
))/
IF(OR($X$5=TRUE,$AC$3=TRUE
),($F$4/2), IF(OR($X$2,$X$3,$X$4,$X$6,$X$7,$X$8,$Z$2,$Z$3,$Z$4,$Z$5,$Z$6,$Z$7,$Z$8)=TRUE,$F$4)),0),"-")</f>
        <v>-</v>
      </c>
      <c r="G191" s="36" t="str">
        <f>IFERROR(
ROUNDUP(
IF(AND($U$5=FALSE,$U$4=FALSE),"-",IF(AND($U$5=TRUE,$U$4=TRUE),"-",
IF((AND($U$4=TRUE,$U$5=FALSE,$U$6=FALSE,$U$7=FALSE)),VLOOKUP($E191,'Status Thresholds'!$E:$AR,3,FALSE),IF((AND($U$4=TRUE,$U$5=FALSE,$U$6=TRUE,$U$7=FALSE)),VLOOKUP($E191,'Status Thresholds'!$E:$AR,13,FALSE),IF((AND($U$4=TRUE,$U$5=FALSE,$U$6=TRUE,$U$7=TRUE)),VLOOKUP($E191,'Status Thresholds'!$E:$AR,18,FALSE),IF((AND($U$4=TRUE,$U$5=FALSE,$U$6=FALSE,$U$7=TRUE)),VLOOKUP($E191,'Status Thresholds'!$E:$AR,8,FALSE),
IF((AND($U$4=FALSE,$U$5=TRUE,$U$6=FALSE,$U$7=FALSE)),VLOOKUP($E191,'Status Thresholds'!$E:$AR,23,FALSE),IF((AND($U$4=FALSE,$U$5=TRUE,$U$6=TRUE,$U$7=FALSE)),VLOOKUP($E191,'Status Thresholds'!$E:$AR,33,FALSE),IF((AND($U$4=FALSE,$U$5=TRUE,$U$6=TRUE,$U$7=TRUE)),VLOOKUP($E191,'Status Thresholds'!$E:$AR,38,FALSE),IF((AND($U$4=FALSE,$U$5=TRUE,$U$6=FALSE,$U$7=TRUE)),VLOOKUP($E191,'Status Thresholds'!$E:$AR,28,FALSE)))))))))
))/
IF(OR($X$5=TRUE,$AC$3=TRUE
),($F$4/2), IF(OR($X$2,$X$3,$X$4,$X$6,$X$7,$X$8,$Z$2,$Z$3,$Z$4,$Z$5,$Z$6,$Z$7,$Z$8)=TRUE,$F$4)),0),"-")</f>
        <v>-</v>
      </c>
      <c r="H191" s="36" t="str">
        <f>IFERROR(
ROUNDUP(
IF(AND($U$5=FALSE,$U$4=FALSE),"-",IF(AND($U$5=TRUE,$U$4=TRUE),"-",
IF((AND($U$4=TRUE,$U$5=FALSE,$U$6=FALSE,$U$7=FALSE)),VLOOKUP($E191,'Status Thresholds'!$E:$AR,4,FALSE),IF((AND($U$4=TRUE,$U$5=FALSE,$U$6=TRUE,$U$7=FALSE)),VLOOKUP($E191,'Status Thresholds'!$E:$AR,14,FALSE),IF((AND($U$4=TRUE,$U$5=FALSE,$U$6=TRUE,$U$7=TRUE)),VLOOKUP($E191,'Status Thresholds'!$E:$AR,19,FALSE),IF((AND($U$4=TRUE,$U$5=FALSE,$U$6=FALSE,$U$7=TRUE)),VLOOKUP($E191,'Status Thresholds'!$E:$AR,9,FALSE),
IF((AND($U$4=FALSE,$U$5=TRUE,$U$6=FALSE,$U$7=FALSE)),VLOOKUP($E191,'Status Thresholds'!$E:$AR,24,FALSE),IF((AND($U$4=FALSE,$U$5=TRUE,$U$6=TRUE,$U$7=FALSE)),VLOOKUP($E191,'Status Thresholds'!$E:$AR,34,FALSE),IF((AND($U$4=FALSE,$U$5=TRUE,$U$6=TRUE,$U$7=TRUE)),VLOOKUP($E191,'Status Thresholds'!$E:$AR,39,FALSE),IF((AND($U$4=FALSE,$U$5=TRUE,$U$6=FALSE,$U$7=TRUE)),VLOOKUP($E191,'Status Thresholds'!$E:$AR,29,FALSE)))))))))
))/
IF(OR($X$5=TRUE,$AC$3=TRUE
),($F$4/2), IF(OR($X$2,$X$3,$X$4,$X$6,$X$7,$X$8,$Z$2,$Z$3,$Z$4,$Z$5,$Z$6,$Z$7,$Z$8)=TRUE,$F$4)),0),"-")</f>
        <v>-</v>
      </c>
      <c r="I191" s="36" t="str">
        <f>IFERROR(
ROUNDUP(
IF(AND($U$5=FALSE,$U$4=FALSE),"-",IF(AND($U$5=TRUE,$U$4=TRUE),"-",
IF((AND($U$4=TRUE,$U$5=FALSE,$U$6=FALSE,$U$7=FALSE)),VLOOKUP($E191,'Status Thresholds'!$E:$AR,5,FALSE),IF((AND($U$4=TRUE,$U$5=FALSE,$U$6=TRUE,$U$7=FALSE)),VLOOKUP($E191,'Status Thresholds'!$E:$AR,15,FALSE),IF((AND($U$4=TRUE,$U$5=FALSE,$U$6=TRUE,$U$7=TRUE)),VLOOKUP($E191,'Status Thresholds'!$E:$AR,20,FALSE),IF((AND($U$4=TRUE,$U$5=FALSE,$U$6=FALSE,$U$7=TRUE)),VLOOKUP($E191,'Status Thresholds'!$E:$AR,10,FALSE),
IF((AND($U$4=FALSE,$U$5=TRUE,$U$6=FALSE,$U$7=FALSE)),VLOOKUP($E191,'Status Thresholds'!$E:$AR,25,FALSE),IF((AND($U$4=FALSE,$U$5=TRUE,$U$6=TRUE,$U$7=FALSE)),VLOOKUP($E191,'Status Thresholds'!$E:$AR,35,FALSE),IF((AND($U$4=FALSE,$U$5=TRUE,$U$6=TRUE,$U$7=TRUE)),VLOOKUP($E191,'Status Thresholds'!$E:$AR,40,FALSE),IF((AND($U$4=FALSE,$U$5=TRUE,$U$6=FALSE,$U$7=TRUE)),VLOOKUP($E191,'Status Thresholds'!$E:$AR,30,FALSE)))))))))
))/
IF(OR($X$5=TRUE,$AC$3=TRUE
),($F$4/2), IF(OR($X$2,$X$3,$X$4,$X$6,$X$7,$X$8,$Z$2,$Z$3,$Z$4,$Z$5,$Z$6,$Z$7,$Z$8)=TRUE,$F$4)),0),"-")</f>
        <v>-</v>
      </c>
      <c r="J191" s="46">
        <f>IFERROR(IF(AND($U$5=FALSE,$U$4=FALSE),"-",VLOOKUP($E191,'Status Thresholds'!$E:$AU,41,FALSE)),"-")</f>
        <v>30</v>
      </c>
      <c r="K191" s="46" t="str">
        <f>IFERROR(IF(AND($U$5=FALSE,$U$4=FALSE),"-",VLOOKUP($E191,'Status Thresholds'!$E:$AU,42,FALSE)),"-")</f>
        <v>-</v>
      </c>
      <c r="L191" s="46" t="str">
        <f>IFERROR(IF(AND($U$5=FALSE,$U$4=FALSE),"-",VLOOKUP($E191,'Status Thresholds'!$E:$AU,43,FALSE)),"-")</f>
        <v>-</v>
      </c>
    </row>
    <row r="192" spans="1:12" hidden="1" x14ac:dyDescent="0.25">
      <c r="A192" s="35"/>
      <c r="B192" s="64" t="str">
        <f>IF('Status Thresholds'!A187=0, "", 'Status Thresholds'!A187)</f>
        <v>Deviant</v>
      </c>
      <c r="C192" s="64" t="str">
        <f>IF('Status Thresholds'!B187=0, "", 'Status Thresholds'!B187)</f>
        <v>Crystal beard Uragaan</v>
      </c>
      <c r="D192" s="32" t="s">
        <v>33</v>
      </c>
      <c r="E192" s="36" t="str">
        <f t="shared" si="2"/>
        <v>Crystal beard UragaanPoison</v>
      </c>
      <c r="F192" s="36" t="str">
        <f>IFERROR(
ROUNDUP(
IF(AND($U$5=FALSE,$U$4=FALSE),"-",IF(AND($U$5=TRUE,$U$4=TRUE),"-",
IF((AND($U$4=TRUE,$U$5=FALSE,$U$6=FALSE,$U$7=FALSE)),VLOOKUP($E192,'Status Thresholds'!$E:$AR,2,FALSE),IF((AND($U$4=TRUE,$U$5=FALSE,$U$6=TRUE,$U$7=FALSE)),VLOOKUP($E192,'Status Thresholds'!$E:$AR,12,FALSE),IF((AND($U$4=TRUE,$U$5=FALSE,$U$6=TRUE,$U$7=TRUE)),VLOOKUP($E192,'Status Thresholds'!$E:$AR,17,FALSE),IF((AND($U$4=TRUE,$U$5=FALSE,$U$6=FALSE,$U$7=TRUE)),VLOOKUP($E192,'Status Thresholds'!$E:$AR,7,FALSE),
IF((AND($U$4=FALSE,$U$5=TRUE,$U$6=FALSE,$U$7=FALSE)),VLOOKUP($E192,'Status Thresholds'!$E:$AR,22,FALSE),IF((AND($U$4=FALSE,$U$5=TRUE,$U$6=TRUE,$U$7=FALSE)),VLOOKUP($E192,'Status Thresholds'!$E:$AR,32,FALSE),IF((AND($U$4=FALSE,$U$5=TRUE,$U$6=TRUE,$U$7=TRUE)),VLOOKUP($E192,'Status Thresholds'!$E:$AR,37,FALSE),IF((AND($U$4=FALSE,$U$5=TRUE,$U$6=FALSE,$U$7=TRUE)),VLOOKUP($E192,'Status Thresholds'!$E:$AR,27,FALSE)))))))))
))/
IF(OR($X$5=TRUE,$AC$3=TRUE
),($F$5/2), IF(OR($X$2,$X$3,$X$4,$X$6,$X$7,$X$8,$Z$2,$Z$3,$Z$4,$Z$5,$Z$6,$Z$7,$Z$8)=TRUE,$F$5)),0),"-")</f>
        <v>-</v>
      </c>
      <c r="G192" s="36" t="str">
        <f>IFERROR(
ROUNDUP(
IF(AND($U$5=FALSE,$U$4=FALSE),"-",IF(AND($U$5=TRUE,$U$4=TRUE),"-",
IF((AND($U$4=TRUE,$U$5=FALSE,$U$6=FALSE,$U$7=FALSE)),VLOOKUP($E192,'Status Thresholds'!$E:$AR,3,FALSE),IF((AND($U$4=TRUE,$U$5=FALSE,$U$6=TRUE,$U$7=FALSE)),VLOOKUP($E192,'Status Thresholds'!$E:$AR,13,FALSE),IF((AND($U$4=TRUE,$U$5=FALSE,$U$6=TRUE,$U$7=TRUE)),VLOOKUP($E192,'Status Thresholds'!$E:$AR,18,FALSE),IF((AND($U$4=TRUE,$U$5=FALSE,$U$6=FALSE,$U$7=TRUE)),VLOOKUP($E192,'Status Thresholds'!$E:$AR,8,FALSE),
IF((AND($U$4=FALSE,$U$5=TRUE,$U$6=FALSE,$U$7=FALSE)),VLOOKUP($E192,'Status Thresholds'!$E:$AR,23,FALSE),IF((AND($U$4=FALSE,$U$5=TRUE,$U$6=TRUE,$U$7=FALSE)),VLOOKUP($E192,'Status Thresholds'!$E:$AR,33,FALSE),IF((AND($U$4=FALSE,$U$5=TRUE,$U$6=TRUE,$U$7=TRUE)),VLOOKUP($E192,'Status Thresholds'!$E:$AR,38,FALSE),IF((AND($U$4=FALSE,$U$5=TRUE,$U$6=FALSE,$U$7=TRUE)),VLOOKUP($E192,'Status Thresholds'!$E:$AR,28,FALSE)))))))))
))/
IF(OR($X$5=TRUE,$AC$3=TRUE
),($F$5/2), IF(OR($X$2,$X$3,$X$4,$X$6,$X$7,$X$8,$Z$2,$Z$3,$Z$4,$Z$5,$Z$6,$Z$7,$Z$8)=TRUE,$F$5)),0),"-")</f>
        <v>-</v>
      </c>
      <c r="H192" s="36" t="str">
        <f>IFERROR(
ROUNDUP(
IF(AND($U$5=FALSE,$U$4=FALSE),"-",IF(AND($U$5=TRUE,$U$4=TRUE),"-",
IF((AND($U$4=TRUE,$U$5=FALSE,$U$6=FALSE,$U$7=FALSE)),VLOOKUP($E192,'Status Thresholds'!$E:$AR,4,FALSE),IF((AND($U$4=TRUE,$U$5=FALSE,$U$6=TRUE,$U$7=FALSE)),VLOOKUP($E192,'Status Thresholds'!$E:$AR,14,FALSE),IF((AND($U$4=TRUE,$U$5=FALSE,$U$6=TRUE,$U$7=TRUE)),VLOOKUP($E192,'Status Thresholds'!$E:$AR,19,FALSE),IF((AND($U$4=TRUE,$U$5=FALSE,$U$6=FALSE,$U$7=TRUE)),VLOOKUP($E192,'Status Thresholds'!$E:$AR,9,FALSE),
IF((AND($U$4=FALSE,$U$5=TRUE,$U$6=FALSE,$U$7=FALSE)),VLOOKUP($E192,'Status Thresholds'!$E:$AR,24,FALSE),IF((AND($U$4=FALSE,$U$5=TRUE,$U$6=TRUE,$U$7=FALSE)),VLOOKUP($E192,'Status Thresholds'!$E:$AR,34,FALSE),IF((AND($U$4=FALSE,$U$5=TRUE,$U$6=TRUE,$U$7=TRUE)),VLOOKUP($E192,'Status Thresholds'!$E:$AR,39,FALSE),IF((AND($U$4=FALSE,$U$5=TRUE,$U$6=FALSE,$U$7=TRUE)),VLOOKUP($E192,'Status Thresholds'!$E:$AR,29,FALSE)))))))))
))/
IF(OR($X$5=TRUE,$AC$3=TRUE
),($F$5/2), IF(OR($X$2,$X$3,$X$4,$X$6,$X$7,$X$8,$Z$2,$Z$3,$Z$4,$Z$5,$Z$6,$Z$7,$Z$8)=TRUE,$F$5)),0),"-")</f>
        <v>-</v>
      </c>
      <c r="I192" s="36" t="str">
        <f>IFERROR(
ROUNDUP(
IF(AND($U$5=FALSE,$U$4=FALSE),"-",IF(AND($U$5=TRUE,$U$4=TRUE),"-",
IF((AND($U$4=TRUE,$U$5=FALSE,$U$6=FALSE,$U$7=FALSE)),VLOOKUP($E192,'Status Thresholds'!$E:$AR,5,FALSE),IF((AND($U$4=TRUE,$U$5=FALSE,$U$6=TRUE,$U$7=FALSE)),VLOOKUP($E192,'Status Thresholds'!$E:$AR,15,FALSE),IF((AND($U$4=TRUE,$U$5=FALSE,$U$6=TRUE,$U$7=TRUE)),VLOOKUP($E192,'Status Thresholds'!$E:$AR,20,FALSE),IF((AND($U$4=TRUE,$U$5=FALSE,$U$6=FALSE,$U$7=TRUE)),VLOOKUP($E192,'Status Thresholds'!$E:$AR,10,FALSE),
IF((AND($U$4=FALSE,$U$5=TRUE,$U$6=FALSE,$U$7=FALSE)),VLOOKUP($E192,'Status Thresholds'!$E:$AR,25,FALSE),IF((AND($U$4=FALSE,$U$5=TRUE,$U$6=TRUE,$U$7=FALSE)),VLOOKUP($E192,'Status Thresholds'!$E:$AR,35,FALSE),IF((AND($U$4=FALSE,$U$5=TRUE,$U$6=TRUE,$U$7=TRUE)),VLOOKUP($E192,'Status Thresholds'!$E:$AR,40,FALSE),IF((AND($U$4=FALSE,$U$5=TRUE,$U$6=FALSE,$U$7=TRUE)),VLOOKUP($E192,'Status Thresholds'!$E:$AR,30,FALSE)))))))))
))/
IF(OR($X$5=TRUE,$AC$3=TRUE
),($F$5/2), IF(OR($X$2,$X$3,$X$4,$X$6,$X$7,$X$8,$Z$2,$Z$3,$Z$4,$Z$5,$Z$6,$Z$7,$Z$8)=TRUE,$F$5)),0),"-")</f>
        <v>-</v>
      </c>
      <c r="J192" s="46">
        <f>IFERROR(IF(AND($U$5=FALSE,$U$4=FALSE),"-",VLOOKUP($E192,'Status Thresholds'!$E:$AU,41,FALSE)),"-")</f>
        <v>30</v>
      </c>
      <c r="K192" s="46" t="str">
        <f>IFERROR(IF(AND($U$5=FALSE,$U$4=FALSE),"-",VLOOKUP($E192,'Status Thresholds'!$E:$AU,42,FALSE)),"-")</f>
        <v>-</v>
      </c>
      <c r="L192" s="46" t="str">
        <f>IFERROR(IF(AND($U$5=FALSE,$U$4=FALSE),"-",VLOOKUP($E192,'Status Thresholds'!$E:$AU,43,FALSE)),"-")</f>
        <v>-</v>
      </c>
    </row>
    <row r="193" spans="1:12" hidden="1" x14ac:dyDescent="0.25">
      <c r="A193" s="35"/>
      <c r="B193" s="64" t="str">
        <f>IF('Status Thresholds'!A188=0, "", 'Status Thresholds'!A188)</f>
        <v>Deviant</v>
      </c>
      <c r="C193" s="64" t="str">
        <f>IF('Status Thresholds'!B188=0, "", 'Status Thresholds'!B188)</f>
        <v>Crystal beard Uragaan</v>
      </c>
      <c r="D193" s="10" t="s">
        <v>22</v>
      </c>
      <c r="E193" s="36" t="str">
        <f t="shared" si="2"/>
        <v>Crystal beard UragaanExhaust</v>
      </c>
      <c r="F193" s="36" t="str">
        <f>IFERROR(
ROUNDUP(
IF(AND($U$5=FALSE,$U$4=FALSE),"-",IF(AND($U$5=TRUE,$U$4=TRUE),"-",
IF((AND($U$4=TRUE,$U$5=FALSE,$U$6=FALSE,$U$7=FALSE)),VLOOKUP($E193,'Status Thresholds'!$E:$AR,2,FALSE),IF((AND($U$4=TRUE,$U$5=FALSE,$U$6=TRUE,$U$7=FALSE)),VLOOKUP($E193,'Status Thresholds'!$E:$AR,12,FALSE),IF((AND($U$4=TRUE,$U$5=FALSE,$U$6=TRUE,$U$7=TRUE)),VLOOKUP($E193,'Status Thresholds'!$E:$AR,17,FALSE),IF((AND($U$4=TRUE,$U$5=FALSE,$U$6=FALSE,$U$7=TRUE)),VLOOKUP($E193,'Status Thresholds'!$E:$AR,7,FALSE),
IF((AND($U$4=FALSE,$U$5=TRUE,$U$6=FALSE,$U$7=FALSE)),VLOOKUP($E193,'Status Thresholds'!$E:$AR,22,FALSE),IF((AND($U$4=FALSE,$U$5=TRUE,$U$6=TRUE,$U$7=FALSE)),VLOOKUP($E193,'Status Thresholds'!$E:$AR,32,FALSE),IF((AND($U$4=FALSE,$U$5=TRUE,$U$6=TRUE,$U$7=TRUE)),VLOOKUP($E193,'Status Thresholds'!$E:$AR,37,FALSE),IF((AND($U$4=FALSE,$U$5=TRUE,$U$6=FALSE,$U$7=TRUE)),VLOOKUP($E193,'Status Thresholds'!$E:$AR,27,FALSE)))))))))
))/
IF(OR($X$5=TRUE,$AC$3=TRUE
),($F$6/2), IF(OR($X$2,$X$3,$X$4,$X$6,$X$7,$X$8,$Z$2,$Z$3,$Z$4,$Z$5,$Z$6,$Z$7,$Z$8)=TRUE,$F$6)),0),"-")</f>
        <v>-</v>
      </c>
      <c r="G193" s="36" t="str">
        <f>IFERROR(
ROUNDUP(
IF(AND($U$5=FALSE,$U$4=FALSE),"-",IF(AND($U$5=TRUE,$U$4=TRUE),"-",
IF((AND($U$4=TRUE,$U$5=FALSE,$U$6=FALSE,$U$7=FALSE)),VLOOKUP($E193,'Status Thresholds'!$E:$AR,3,FALSE),IF((AND($U$4=TRUE,$U$5=FALSE,$U$6=TRUE,$U$7=FALSE)),VLOOKUP($E193,'Status Thresholds'!$E:$AR,13,FALSE),IF((AND($U$4=TRUE,$U$5=FALSE,$U$6=TRUE,$U$7=TRUE)),VLOOKUP($E193,'Status Thresholds'!$E:$AR,18,FALSE),IF((AND($U$4=TRUE,$U$5=FALSE,$U$6=FALSE,$U$7=TRUE)),VLOOKUP($E193,'Status Thresholds'!$E:$AR,8,FALSE),
IF((AND($U$4=FALSE,$U$5=TRUE,$U$6=FALSE,$U$7=FALSE)),VLOOKUP($E193,'Status Thresholds'!$E:$AR,23,FALSE),IF((AND($U$4=FALSE,$U$5=TRUE,$U$6=TRUE,$U$7=FALSE)),VLOOKUP($E193,'Status Thresholds'!$E:$AR,33,FALSE),IF((AND($U$4=FALSE,$U$5=TRUE,$U$6=TRUE,$U$7=TRUE)),VLOOKUP($E193,'Status Thresholds'!$E:$AR,38,FALSE),IF((AND($U$4=FALSE,$U$5=TRUE,$U$6=FALSE,$U$7=TRUE)),VLOOKUP($E193,'Status Thresholds'!$E:$AR,28,FALSE)))))))))
))/
IF(OR($X$5=TRUE,$AC$3=TRUE
),($F$6/2), IF(OR($X$2,$X$3,$X$4,$X$6,$X$7,$X$8,$Z$2,$Z$3,$Z$4,$Z$5,$Z$6,$Z$7,$Z$8)=TRUE,$F$6)),0),"-")</f>
        <v>-</v>
      </c>
      <c r="H193" s="36" t="str">
        <f>IFERROR(
ROUNDUP(
IF(AND($U$5=FALSE,$U$4=FALSE),"-",IF(AND($U$5=TRUE,$U$4=TRUE),"-",
IF((AND($U$4=TRUE,$U$5=FALSE,$U$6=FALSE,$U$7=FALSE)),VLOOKUP($E193,'Status Thresholds'!$E:$AR,4,FALSE),IF((AND($U$4=TRUE,$U$5=FALSE,$U$6=TRUE,$U$7=FALSE)),VLOOKUP($E193,'Status Thresholds'!$E:$AR,14,FALSE),IF((AND($U$4=TRUE,$U$5=FALSE,$U$6=TRUE,$U$7=TRUE)),VLOOKUP($E193,'Status Thresholds'!$E:$AR,19,FALSE),IF((AND($U$4=TRUE,$U$5=FALSE,$U$6=FALSE,$U$7=TRUE)),VLOOKUP($E193,'Status Thresholds'!$E:$AR,9,FALSE),
IF((AND($U$4=FALSE,$U$5=TRUE,$U$6=FALSE,$U$7=FALSE)),VLOOKUP($E193,'Status Thresholds'!$E:$AR,24,FALSE),IF((AND($U$4=FALSE,$U$5=TRUE,$U$6=TRUE,$U$7=FALSE)),VLOOKUP($E193,'Status Thresholds'!$E:$AR,34,FALSE),IF((AND($U$4=FALSE,$U$5=TRUE,$U$6=TRUE,$U$7=TRUE)),VLOOKUP($E193,'Status Thresholds'!$E:$AR,39,FALSE),IF((AND($U$4=FALSE,$U$5=TRUE,$U$6=FALSE,$U$7=TRUE)),VLOOKUP($E193,'Status Thresholds'!$E:$AR,29,FALSE)))))))))
))/
IF(OR($X$5=TRUE,$AC$3=TRUE
),($F$6/2), IF(OR($X$2,$X$3,$X$4,$X$6,$X$7,$X$8,$Z$2,$Z$3,$Z$4,$Z$5,$Z$6,$Z$7,$Z$8)=TRUE,$F$6)),0),"-")</f>
        <v>-</v>
      </c>
      <c r="I193" s="36" t="str">
        <f>IFERROR(
ROUNDUP(
IF(AND($U$5=FALSE,$U$4=FALSE),"-",IF(AND($U$5=TRUE,$U$4=TRUE),"-",
IF((AND($U$4=TRUE,$U$5=FALSE,$U$6=FALSE,$U$7=FALSE)),VLOOKUP($E193,'Status Thresholds'!$E:$AR,5,FALSE),IF((AND($U$4=TRUE,$U$5=FALSE,$U$6=TRUE,$U$7=FALSE)),VLOOKUP($E193,'Status Thresholds'!$E:$AR,15,FALSE),IF((AND($U$4=TRUE,$U$5=FALSE,$U$6=TRUE,$U$7=TRUE)),VLOOKUP($E193,'Status Thresholds'!$E:$AR,20,FALSE),IF((AND($U$4=TRUE,$U$5=FALSE,$U$6=FALSE,$U$7=TRUE)),VLOOKUP($E193,'Status Thresholds'!$E:$AR,10,FALSE),
IF((AND($U$4=FALSE,$U$5=TRUE,$U$6=FALSE,$U$7=FALSE)),VLOOKUP($E193,'Status Thresholds'!$E:$AR,25,FALSE),IF((AND($U$4=FALSE,$U$5=TRUE,$U$6=TRUE,$U$7=FALSE)),VLOOKUP($E193,'Status Thresholds'!$E:$AR,35,FALSE),IF((AND($U$4=FALSE,$U$5=TRUE,$U$6=TRUE,$U$7=TRUE)),VLOOKUP($E193,'Status Thresholds'!$E:$AR,40,FALSE),IF((AND($U$4=FALSE,$U$5=TRUE,$U$6=FALSE,$U$7=TRUE)),VLOOKUP($E193,'Status Thresholds'!$E:$AR,30,FALSE)))))))))
))/
IF(OR($X$5=TRUE,$AC$3=TRUE
),($F$6/2), IF(OR($X$2,$X$3,$X$4,$X$6,$X$7,$X$8,$Z$2,$Z$3,$Z$4,$Z$5,$Z$6,$Z$7,$Z$8)=TRUE,$F$6)),0),"-")</f>
        <v>-</v>
      </c>
      <c r="J193" s="46">
        <f>IFERROR(IF(AND($U$5=FALSE,$U$4=FALSE),"-",VLOOKUP($E193,'Status Thresholds'!$E:$AU,41,FALSE)),"-")</f>
        <v>0</v>
      </c>
      <c r="K193" s="46" t="str">
        <f>IFERROR(IF(AND($U$5=FALSE,$U$4=FALSE),"-",VLOOKUP($E193,'Status Thresholds'!$E:$AU,42,FALSE)),"-")</f>
        <v>-</v>
      </c>
      <c r="L193" s="46" t="str">
        <f>IFERROR(IF(AND($U$5=FALSE,$U$4=FALSE),"-",VLOOKUP($E193,'Status Thresholds'!$E:$AU,43,FALSE)),"-")</f>
        <v>-</v>
      </c>
    </row>
    <row r="194" spans="1:12" hidden="1" x14ac:dyDescent="0.25">
      <c r="A194" s="35"/>
      <c r="B194" s="64" t="str">
        <f>IF('Status Thresholds'!A189=0, "", 'Status Thresholds'!A189)</f>
        <v>Deviant</v>
      </c>
      <c r="C194" s="64" t="str">
        <f>IF('Status Thresholds'!B189=0, "", 'Status Thresholds'!B189)</f>
        <v>Crystal beard Uragaan</v>
      </c>
      <c r="D194" s="30" t="s">
        <v>35</v>
      </c>
      <c r="E194" s="36" t="str">
        <f t="shared" si="2"/>
        <v>Crystal beard UragaanBlast</v>
      </c>
      <c r="F194" s="36" t="str">
        <f>IFERROR(
ROUNDUP(
IF(AND($U$5=FALSE,$U$4=FALSE),"-",IF(AND($U$5=TRUE,$U$4=TRUE),"-",
IF((AND($U$4=TRUE,$U$5=FALSE,$U$6=FALSE,$U$7=FALSE)),VLOOKUP($E194,'Status Thresholds'!$E:$AR,2,FALSE),IF((AND($U$4=TRUE,$U$5=FALSE,$U$6=TRUE,$U$7=FALSE)),VLOOKUP($E194,'Status Thresholds'!$E:$AR,12,FALSE),IF((AND($U$4=TRUE,$U$5=FALSE,$U$6=TRUE,$U$7=TRUE)),VLOOKUP($E194,'Status Thresholds'!$E:$AR,17,FALSE),IF((AND($U$4=TRUE,$U$5=FALSE,$U$6=FALSE,$U$7=TRUE)),VLOOKUP($E194,'Status Thresholds'!$E:$AR,7,FALSE),
IF((AND($U$4=FALSE,$U$5=TRUE,$U$6=FALSE,$U$7=FALSE)),VLOOKUP($E194,'Status Thresholds'!$E:$AR,22,FALSE),IF((AND($U$4=FALSE,$U$5=TRUE,$U$6=TRUE,$U$7=FALSE)),VLOOKUP($E194,'Status Thresholds'!$E:$AR,32,FALSE),IF((AND($U$4=FALSE,$U$5=TRUE,$U$6=TRUE,$U$7=TRUE)),VLOOKUP($E194,'Status Thresholds'!$E:$AR,37,FALSE),IF((AND($U$4=FALSE,$U$5=TRUE,$U$6=FALSE,$U$7=TRUE)),VLOOKUP($E194,'Status Thresholds'!$E:$AR,27,FALSE)))))))))
))/
IF(OR($X$5=TRUE,$AC$3=TRUE
),($F$7/2), IF(OR($X$2,$X$3,$X$4,$X$6,$X$7,$X$8,$Z$2,$Z$3,$Z$4,$Z$5,$Z$6,$Z$7,$Z$8)=TRUE,$F$7)),0),"-")</f>
        <v>-</v>
      </c>
      <c r="G194" s="36" t="str">
        <f>IFERROR(
ROUNDUP(
IF(AND($U$5=FALSE,$U$4=FALSE),"-",IF(AND($U$5=TRUE,$U$4=TRUE),"-",
IF((AND($U$4=TRUE,$U$5=FALSE,$U$6=FALSE,$U$7=FALSE)),VLOOKUP($E194,'Status Thresholds'!$E:$AR,3,FALSE),IF((AND($U$4=TRUE,$U$5=FALSE,$U$6=TRUE,$U$7=FALSE)),VLOOKUP($E194,'Status Thresholds'!$E:$AR,13,FALSE),IF((AND($U$4=TRUE,$U$5=FALSE,$U$6=TRUE,$U$7=TRUE)),VLOOKUP($E194,'Status Thresholds'!$E:$AR,18,FALSE),IF((AND($U$4=TRUE,$U$5=FALSE,$U$6=FALSE,$U$7=TRUE)),VLOOKUP($E194,'Status Thresholds'!$E:$AR,8,FALSE),
IF((AND($U$4=FALSE,$U$5=TRUE,$U$6=FALSE,$U$7=FALSE)),VLOOKUP($E194,'Status Thresholds'!$E:$AR,23,FALSE),IF((AND($U$4=FALSE,$U$5=TRUE,$U$6=TRUE,$U$7=FALSE)),VLOOKUP($E194,'Status Thresholds'!$E:$AR,33,FALSE),IF((AND($U$4=FALSE,$U$5=TRUE,$U$6=TRUE,$U$7=TRUE)),VLOOKUP($E194,'Status Thresholds'!$E:$AR,38,FALSE),IF((AND($U$4=FALSE,$U$5=TRUE,$U$6=FALSE,$U$7=TRUE)),VLOOKUP($E194,'Status Thresholds'!$E:$AR,28,FALSE)))))))))
))/
IF(OR($X$5=TRUE,$AC$3=TRUE
),($F$7/2), IF(OR($X$2,$X$3,$X$4,$X$6,$X$7,$X$8,$Z$2,$Z$3,$Z$4,$Z$5,$Z$6,$Z$7,$Z$8)=TRUE,$F$7)),0),"-")</f>
        <v>-</v>
      </c>
      <c r="H194" s="36" t="str">
        <f>IFERROR(
ROUNDUP(
IF(AND($U$5=FALSE,$U$4=FALSE),"-",IF(AND($U$5=TRUE,$U$4=TRUE),"-",
IF((AND($U$4=TRUE,$U$5=FALSE,$U$6=FALSE,$U$7=FALSE)),VLOOKUP($E194,'Status Thresholds'!$E:$AR,4,FALSE),IF((AND($U$4=TRUE,$U$5=FALSE,$U$6=TRUE,$U$7=FALSE)),VLOOKUP($E194,'Status Thresholds'!$E:$AR,14,FALSE),IF((AND($U$4=TRUE,$U$5=FALSE,$U$6=TRUE,$U$7=TRUE)),VLOOKUP($E194,'Status Thresholds'!$E:$AR,19,FALSE),IF((AND($U$4=TRUE,$U$5=FALSE,$U$6=FALSE,$U$7=TRUE)),VLOOKUP($E194,'Status Thresholds'!$E:$AR,9,FALSE),
IF((AND($U$4=FALSE,$U$5=TRUE,$U$6=FALSE,$U$7=FALSE)),VLOOKUP($E194,'Status Thresholds'!$E:$AR,24,FALSE),IF((AND($U$4=FALSE,$U$5=TRUE,$U$6=TRUE,$U$7=FALSE)),VLOOKUP($E194,'Status Thresholds'!$E:$AR,34,FALSE),IF((AND($U$4=FALSE,$U$5=TRUE,$U$6=TRUE,$U$7=TRUE)),VLOOKUP($E194,'Status Thresholds'!$E:$AR,39,FALSE),IF((AND($U$4=FALSE,$U$5=TRUE,$U$6=FALSE,$U$7=TRUE)),VLOOKUP($E194,'Status Thresholds'!$E:$AR,29,FALSE)))))))))
))/
IF(OR($X$5=TRUE,$AC$3=TRUE
),($F$7/2), IF(OR($X$2,$X$3,$X$4,$X$6,$X$7,$X$8,$Z$2,$Z$3,$Z$4,$Z$5,$Z$6,$Z$7,$Z$8)=TRUE,$F$7)),0),"-")</f>
        <v>-</v>
      </c>
      <c r="I194" s="36" t="str">
        <f>IFERROR(
ROUNDUP(
IF(AND($U$5=FALSE,$U$4=FALSE),"-",IF(AND($U$5=TRUE,$U$4=TRUE),"-",
IF((AND($U$4=TRUE,$U$5=FALSE,$U$6=FALSE,$U$7=FALSE)),VLOOKUP($E194,'Status Thresholds'!$E:$AR,5,FALSE),IF((AND($U$4=TRUE,$U$5=FALSE,$U$6=TRUE,$U$7=FALSE)),VLOOKUP($E194,'Status Thresholds'!$E:$AR,15,FALSE),IF((AND($U$4=TRUE,$U$5=FALSE,$U$6=TRUE,$U$7=TRUE)),VLOOKUP($E194,'Status Thresholds'!$E:$AR,20,FALSE),IF((AND($U$4=TRUE,$U$5=FALSE,$U$6=FALSE,$U$7=TRUE)),VLOOKUP($E194,'Status Thresholds'!$E:$AR,10,FALSE),
IF((AND($U$4=FALSE,$U$5=TRUE,$U$6=FALSE,$U$7=FALSE)),VLOOKUP($E194,'Status Thresholds'!$E:$AR,25,FALSE),IF((AND($U$4=FALSE,$U$5=TRUE,$U$6=TRUE,$U$7=FALSE)),VLOOKUP($E194,'Status Thresholds'!$E:$AR,35,FALSE),IF((AND($U$4=FALSE,$U$5=TRUE,$U$6=TRUE,$U$7=TRUE)),VLOOKUP($E194,'Status Thresholds'!$E:$AR,40,FALSE),IF((AND($U$4=FALSE,$U$5=TRUE,$U$6=FALSE,$U$7=TRUE)),VLOOKUP($E194,'Status Thresholds'!$E:$AR,30,FALSE)))))))))
))/
IF(OR($X$5=TRUE,$AC$3=TRUE
),($F$7/2), IF(OR($X$2,$X$3,$X$4,$X$6,$X$7,$X$8,$Z$2,$Z$3,$Z$4,$Z$5,$Z$6,$Z$7,$Z$8)=TRUE,$F$7)),0),"-")</f>
        <v>-</v>
      </c>
      <c r="J194" s="46">
        <f>IFERROR(IF(AND($U$5=FALSE,$U$4=FALSE),"-",VLOOKUP($E194,'Status Thresholds'!$E:$AU,41,FALSE)),"-")</f>
        <v>0</v>
      </c>
      <c r="K194" s="46" t="str">
        <f>IFERROR(IF(AND($U$5=FALSE,$U$4=FALSE),"-",VLOOKUP($E194,'Status Thresholds'!$E:$AU,42,FALSE)),"-")</f>
        <v>-</v>
      </c>
      <c r="L194" s="46" t="str">
        <f>IFERROR(IF(AND($U$5=FALSE,$U$4=FALSE),"-",VLOOKUP($E194,'Status Thresholds'!$E:$AU,43,FALSE)),"-")</f>
        <v>-</v>
      </c>
    </row>
    <row r="195" spans="1:12" ht="14.45" hidden="1" customHeight="1" x14ac:dyDescent="0.25">
      <c r="A195" s="35"/>
      <c r="B195" s="64" t="str">
        <f>IF('Status Thresholds'!A190=0, "", 'Status Thresholds'!A190)</f>
        <v>Deviant</v>
      </c>
      <c r="C195" s="64" t="str">
        <f>IF('Status Thresholds'!B190=0, "", 'Status Thresholds'!B190)</f>
        <v>Crystal beard Uragaan</v>
      </c>
      <c r="D195" s="34" t="s">
        <v>14</v>
      </c>
      <c r="E195" s="36" t="str">
        <f t="shared" si="2"/>
        <v>Crystal beard UragaanKO</v>
      </c>
      <c r="F195" s="36" t="s">
        <v>214</v>
      </c>
      <c r="G195" s="36" t="s">
        <v>214</v>
      </c>
      <c r="H195" s="36" t="s">
        <v>214</v>
      </c>
      <c r="I195" s="36" t="s">
        <v>214</v>
      </c>
      <c r="J195" s="46">
        <f>IFERROR(IF(AND($U$5=FALSE,$U$4=FALSE),"-",VLOOKUP($E195,'Status Thresholds'!$E:$AU,41,FALSE)),"-")</f>
        <v>15</v>
      </c>
      <c r="K195" s="46" t="str">
        <f>IFERROR(IF(AND($U$5=FALSE,$U$4=FALSE),"-",VLOOKUP($E195,'Status Thresholds'!$E:$AU,42,FALSE)),"-")</f>
        <v>-</v>
      </c>
      <c r="L195" s="46" t="str">
        <f>IFERROR(IF(AND($U$5=FALSE,$U$4=FALSE),"-",VLOOKUP($E195,'Status Thresholds'!$E:$AU,43,FALSE)),"-")</f>
        <v>-</v>
      </c>
    </row>
    <row r="196" spans="1:12" hidden="1" x14ac:dyDescent="0.25">
      <c r="A196" s="35"/>
      <c r="B196" s="64" t="str">
        <f>IF('Status Thresholds'!A191=0, "", 'Status Thresholds'!A191)</f>
        <v>Deviant</v>
      </c>
      <c r="C196" s="64" t="str">
        <f>IF('Status Thresholds'!B191=0, "", 'Status Thresholds'!B191)</f>
        <v>Crystal beard Uragaan</v>
      </c>
      <c r="D196" s="33" t="s">
        <v>34</v>
      </c>
      <c r="E196" s="36" t="str">
        <f t="shared" si="2"/>
        <v>Crystal beard UragaanMount</v>
      </c>
      <c r="F196" s="36" t="str">
        <f>IFERROR(
ROUNDUP(
IF(AND($U$5=FALSE,$U$4=FALSE),"-",IF(AND($U$5=TRUE,$U$4=TRUE),"-",
IF((AND($U$4=TRUE,$U$5=FALSE,$U$6=FALSE,$U$7=FALSE)),VLOOKUP($E196,'Status Thresholds'!$E:$AR,2,FALSE),IF((AND($U$4=TRUE,$U$5=FALSE,$U$6=TRUE,$U$7=FALSE)),VLOOKUP($E196,'Status Thresholds'!$E:$AR,12,FALSE),IF((AND($U$4=TRUE,$U$5=FALSE,$U$6=TRUE,$U$7=TRUE)),VLOOKUP($E196,'Status Thresholds'!$E:$AR,17,FALSE),IF((AND($U$4=TRUE,$U$5=FALSE,$U$6=FALSE,$U$7=TRUE)),VLOOKUP($E196,'Status Thresholds'!$E:$AR,7,FALSE),
IF((AND($U$4=FALSE,$U$5=TRUE,$U$6=FALSE,$U$7=FALSE)),VLOOKUP($E196,'Status Thresholds'!$E:$AR,22,FALSE),IF((AND($U$4=FALSE,$U$5=TRUE,$U$6=TRUE,$U$7=FALSE)),VLOOKUP($E196,'Status Thresholds'!$E:$AR,32,FALSE),IF((AND($U$4=FALSE,$U$5=TRUE,$U$6=TRUE,$U$7=TRUE)),VLOOKUP($E196,'Status Thresholds'!$E:$AR,37,FALSE),IF((AND($U$4=FALSE,$U$5=TRUE,$U$6=FALSE,$U$7=TRUE)),VLOOKUP($E196,'Status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196" s="36" t="str">
        <f>IFERROR(
ROUNDUP(
IF(AND($U$5=FALSE,$U$4=FALSE),"-",IF(AND($U$5=TRUE,$U$4=TRUE),"-",
IF((AND($U$4=TRUE,$U$5=FALSE,$U$6=FALSE,$U$7=FALSE)),VLOOKUP($E195,'Status Thresholds'!$E:$AR,3,FALSE),IF((AND($U$4=TRUE,$U$5=FALSE,$U$6=TRUE,$U$7=FALSE)),VLOOKUP($E195,'Status Thresholds'!$E:$AR,13,FALSE),IF((AND($U$4=TRUE,$U$5=FALSE,$U$6=TRUE,$U$7=TRUE)),VLOOKUP($E195,'Status Thresholds'!$E:$AR,18,FALSE),IF((AND($U$4=TRUE,$U$5=FALSE,$U$6=FALSE,$U$7=TRUE)),VLOOKUP($E195,'Status Thresholds'!$E:$AR,8,FALSE),
IF((AND($U$4=FALSE,$U$5=TRUE,$U$6=FALSE,$U$7=FALSE)),VLOOKUP($E195,'Status Thresholds'!$E:$AR,23,FALSE),IF((AND($U$4=FALSE,$U$5=TRUE,$U$6=TRUE,$U$7=FALSE)),VLOOKUP($E195,'Status Thresholds'!$E:$AR,33,FALSE),IF((AND($U$4=FALSE,$U$5=TRUE,$U$6=TRUE,$U$7=TRUE)),VLOOKUP($E195,'Status Thresholds'!$E:$AR,38,FALSE),IF((AND($U$4=FALSE,$U$5=TRUE,$U$6=FALSE,$U$7=TRUE)),VLOOKUP($E195,'Status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196" s="36" t="str">
        <f>IFERROR(
ROUNDUP(
IF(AND($U$5=FALSE,$U$4=FALSE),"-",IF(AND($U$5=TRUE,$U$4=TRUE),"-",
IF((AND($U$4=TRUE,$U$5=FALSE,$U$6=FALSE,$U$7=FALSE)),VLOOKUP($E195,'Status Thresholds'!$E:$AR,4,FALSE),IF((AND($U$4=TRUE,$U$5=FALSE,$U$6=TRUE,$U$7=FALSE)),VLOOKUP($E195,'Status Thresholds'!$E:$AR,14,FALSE),IF((AND($U$4=TRUE,$U$5=FALSE,$U$6=TRUE,$U$7=TRUE)),VLOOKUP($E195,'Status Thresholds'!$E:$AR,19,FALSE),IF((AND($U$4=TRUE,$U$5=FALSE,$U$6=FALSE,$U$7=TRUE)),VLOOKUP($E195,'Status Thresholds'!$E:$AR,9,FALSE),
IF((AND($U$4=FALSE,$U$5=TRUE,$U$6=FALSE,$U$7=FALSE)),VLOOKUP($E195,'Status Thresholds'!$E:$AR,24,FALSE),IF((AND($U$4=FALSE,$U$5=TRUE,$U$6=TRUE,$U$7=FALSE)),VLOOKUP($E195,'Status Thresholds'!$E:$AR,34,FALSE),IF((AND($U$4=FALSE,$U$5=TRUE,$U$6=TRUE,$U$7=TRUE)),VLOOKUP($E195,'Status Thresholds'!$E:$AR,39,FALSE),IF((AND($U$4=FALSE,$U$5=TRUE,$U$6=FALSE,$U$7=TRUE)),VLOOKUP($E195,'Status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196" s="36" t="str">
        <f>IFERROR(
ROUNDUP(
IF(AND($U$5=FALSE,$U$4=FALSE),"-",IF(AND($U$5=TRUE,$U$4=TRUE),"-",
IF((AND($U$4=TRUE,$U$5=FALSE,$U$6=FALSE,$U$7=FALSE)),VLOOKUP($E195,'Status Thresholds'!$E:$AR,5,FALSE),IF((AND($U$4=TRUE,$U$5=FALSE,$U$6=TRUE,$U$7=FALSE)),VLOOKUP($E195,'Status Thresholds'!$E:$AR,15,FALSE),IF((AND($U$4=TRUE,$U$5=FALSE,$U$6=TRUE,$U$7=TRUE)),VLOOKUP($E195,'Status Thresholds'!$E:$AR,20,FALSE),IF((AND($U$4=TRUE,$U$5=FALSE,$U$6=FALSE,$U$7=TRUE)),VLOOKUP($E195,'Status Thresholds'!$E:$AR,10,FALSE),
IF((AND($U$4=FALSE,$U$5=TRUE,$U$6=FALSE,$U$7=FALSE)),VLOOKUP($E195,'Status Thresholds'!$E:$AR,25,FALSE),IF((AND($U$4=FALSE,$U$5=TRUE,$U$6=TRUE,$U$7=FALSE)),VLOOKUP($E195,'Status Thresholds'!$E:$AR,35,FALSE),IF((AND($U$4=FALSE,$U$5=TRUE,$U$6=TRUE,$U$7=TRUE)),VLOOKUP($E195,'Status Thresholds'!$E:$AR,40,FALSE),IF((AND($U$4=FALSE,$U$5=TRUE,$U$6=FALSE,$U$7=TRUE)),VLOOKUP($E195,'Status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196" s="46">
        <f>IFERROR(IF(AND($U$5=FALSE,$U$4=FALSE),"-",VLOOKUP($E196,'Status Thresholds'!$E:$AU,41,FALSE)),"-")</f>
        <v>0</v>
      </c>
      <c r="K196" s="46" t="str">
        <f>IFERROR(IF(AND($U$5=FALSE,$U$4=FALSE),"-",VLOOKUP($E196,'Status Thresholds'!$E:$AU,42,FALSE)),"-")</f>
        <v>-</v>
      </c>
      <c r="L196" s="46" t="str">
        <f>IFERROR(IF(AND($U$5=FALSE,$U$4=FALSE),"-",VLOOKUP($E196,'Status Thresholds'!$E:$AU,43,FALSE)),"-")</f>
        <v>-</v>
      </c>
    </row>
    <row r="197" spans="1:12" ht="15" hidden="1" customHeight="1" x14ac:dyDescent="0.25">
      <c r="A197" s="35"/>
      <c r="B197" s="64" t="str">
        <f>IF('Status Thresholds'!A192=0, "", 'Status Thresholds'!A192)</f>
        <v>Deviant</v>
      </c>
      <c r="C197" s="64" t="str">
        <f>IF('Status Thresholds'!B192=0, "", 'Status Thresholds'!B192)</f>
        <v>Crystal beard Uragaan</v>
      </c>
      <c r="D197" s="77" t="s">
        <v>207</v>
      </c>
      <c r="E197" s="36" t="str">
        <f t="shared" si="2"/>
        <v>Crystal beard UragaanShock Trap</v>
      </c>
      <c r="F197" s="76" t="s">
        <v>214</v>
      </c>
      <c r="G197" s="46" t="s">
        <v>214</v>
      </c>
      <c r="H197" s="46" t="s">
        <v>214</v>
      </c>
      <c r="I197" s="46" t="s">
        <v>214</v>
      </c>
      <c r="J197" s="46">
        <f>IFERROR(IF(AND($U$5=FALSE,$U$4=FALSE),"-",VLOOKUP($E197,'Status Thresholds'!$E:$AU,43,FALSE)),"-")</f>
        <v>10</v>
      </c>
      <c r="K197" s="46">
        <f>IFERROR(IF(AND($U$5=FALSE,$U$4=FALSE),"-",VLOOKUP($E197,'Status Thresholds'!$E:$AU,41,FALSE)),"-")</f>
        <v>10</v>
      </c>
      <c r="L197" s="46">
        <f>IFERROR(IF(AND($U$5=FALSE,$U$4=FALSE),"-",VLOOKUP($E197,'Status Thresholds'!$E:$AU,42,FALSE)),"-")</f>
        <v>20</v>
      </c>
    </row>
    <row r="198" spans="1:12" hidden="1" x14ac:dyDescent="0.25">
      <c r="A198" s="35"/>
      <c r="B198" s="64" t="str">
        <f>IF('Status Thresholds'!A193=0, "", 'Status Thresholds'!A193)</f>
        <v>Deviant</v>
      </c>
      <c r="C198" s="64" t="str">
        <f>IF('Status Thresholds'!B193=0, "", 'Status Thresholds'!B193)</f>
        <v>Crystal beard Uragaan</v>
      </c>
      <c r="D198" s="77" t="s">
        <v>213</v>
      </c>
      <c r="E198" s="36" t="str">
        <f t="shared" si="2"/>
        <v>Crystal beard UragaanPitfall Trap</v>
      </c>
      <c r="F198" s="46" t="s">
        <v>214</v>
      </c>
      <c r="G198" s="46" t="s">
        <v>214</v>
      </c>
      <c r="H198" s="46" t="s">
        <v>214</v>
      </c>
      <c r="I198" s="46" t="s">
        <v>214</v>
      </c>
      <c r="J198" s="46">
        <f>IFERROR(IF(AND($U$5=FALSE,$U$4=FALSE),"-",VLOOKUP($E198,'Status Thresholds'!$E:$AU,43,FALSE)),"-")</f>
        <v>20</v>
      </c>
      <c r="K198" s="46">
        <f>IFERROR(IF(AND($U$5=FALSE,$U$4=FALSE),"-",VLOOKUP($E198,'Status Thresholds'!$E:$AU,41,FALSE)),"-")</f>
        <v>15</v>
      </c>
      <c r="L198" s="46">
        <f>IFERROR(IF(AND($U$5=FALSE,$U$4=FALSE),"-",VLOOKUP($E198,'Status Thresholds'!$E:$AU,42,FALSE)),"-")</f>
        <v>30</v>
      </c>
    </row>
    <row r="199" spans="1:12" s="36" customFormat="1" x14ac:dyDescent="0.25">
      <c r="A199" s="64"/>
      <c r="B199" s="64" t="str">
        <f>VLOOKUP(C199,'Status Thresholds'!B:C,2,FALSE)</f>
        <v>MHGen</v>
      </c>
      <c r="C199" s="64" t="str">
        <f>IF('Status Thresholds'!B194=0, "", 'Status Thresholds'!B194)</f>
        <v>Daimyo Hermitaur</v>
      </c>
      <c r="D199" s="37" t="s">
        <v>0</v>
      </c>
      <c r="E199" s="36" t="str">
        <f t="shared" si="2"/>
        <v>Daimyo HermitaurPara</v>
      </c>
      <c r="F199" s="36" t="str">
        <f>IFERROR(
ROUNDUP(
IF(AND($U$5=FALSE,$U$4=FALSE),"-",IF(AND($U$5=TRUE,$U$4=TRUE),"-",
IF((AND($U$4=TRUE,$U$5=FALSE,$U$6=FALSE,$U$7=FALSE)),VLOOKUP($E199,'Status Thresholds'!$E:$AR,2,FALSE),IF((AND($U$4=TRUE,$U$5=FALSE,$U$6=TRUE,$U$7=FALSE)),VLOOKUP($E199,'Status Thresholds'!$E:$AR,12,FALSE),IF((AND($U$4=TRUE,$U$5=FALSE,$U$6=TRUE,$U$7=TRUE)),VLOOKUP($E199,'Status Thresholds'!$E:$AR,17,FALSE),IF((AND($U$4=TRUE,$U$5=FALSE,$U$6=FALSE,$U$7=TRUE)),VLOOKUP($E199,'Status Thresholds'!$E:$AR,7,FALSE),
IF((AND($U$4=FALSE,$U$5=TRUE,$U$6=FALSE,$U$7=FALSE)),VLOOKUP($E199,'Status Thresholds'!$E:$AR,22,FALSE),IF((AND($U$4=FALSE,$U$5=TRUE,$U$6=TRUE,$U$7=FALSE)),VLOOKUP($E199,'Status Thresholds'!$E:$AR,32,FALSE),IF((AND($U$4=FALSE,$U$5=TRUE,$U$6=TRUE,$U$7=TRUE)),VLOOKUP($E199,'Status Thresholds'!$E:$AR,37,FALSE),IF((AND($U$4=FALSE,$U$5=TRUE,$U$6=FALSE,$U$7=TRUE)),VLOOKUP($E199,'Status Thresholds'!$E:$AR,27,FALSE)))))))))
))/
IF(OR($X$5=TRUE,$AC$3=TRUE
),($F$3/2), IF(OR($X$2,$X$3,$X$4,$X$6,$X$7,$X$8,$Z$2,$Z$3,$Z$4,$Z$5,$Z$6,$Z$7,$Z$8)=TRUE,$F$3)),0),"-")</f>
        <v>-</v>
      </c>
      <c r="G199" s="36" t="str">
        <f>IFERROR(
ROUNDUP(
IF(AND($U$5=FALSE,$U$4=FALSE),"-",IF(AND($U$5=TRUE,$U$4=TRUE),"-",
IF((AND($U$4=TRUE,$U$5=FALSE,$U$6=FALSE,$U$7=FALSE)),VLOOKUP($E199,'Status Thresholds'!$E:$AR,3,FALSE),IF((AND($U$4=TRUE,$U$5=FALSE,$U$6=TRUE,$U$7=FALSE)),VLOOKUP($E199,'Status Thresholds'!$E:$AR,13,FALSE),IF((AND($U$4=TRUE,$U$5=FALSE,$U$6=TRUE,$U$7=TRUE)),VLOOKUP($E199,'Status Thresholds'!$E:$AR,18,FALSE),IF((AND($U$4=TRUE,$U$5=FALSE,$U$6=FALSE,$U$7=TRUE)),VLOOKUP($E199,'Status Thresholds'!$E:$AR,8,FALSE),
IF((AND($U$4=FALSE,$U$5=TRUE,$U$6=FALSE,$U$7=FALSE)),VLOOKUP($E199,'Status Thresholds'!$E:$AR,23,FALSE),IF((AND($U$4=FALSE,$U$5=TRUE,$U$6=TRUE,$U$7=FALSE)),VLOOKUP($E199,'Status Thresholds'!$E:$AR,33,FALSE),IF((AND($U$4=FALSE,$U$5=TRUE,$U$6=TRUE,$U$7=TRUE)),VLOOKUP($E199,'Status Thresholds'!$E:$AR,38,FALSE),IF((AND($U$4=FALSE,$U$5=TRUE,$U$6=FALSE,$U$7=TRUE)),VLOOKUP($E199,'Status Thresholds'!$E:$AR,28,FALSE)))))))))
))/
IF(OR($X$5=TRUE,$AC$3=TRUE
),($F$3/2), IF(OR($X$2,$X$3,$X$4,$X$6,$X$7,$X$8,$Z$2,$Z$3,$Z$4,$Z$5,$Z$6,$Z$7,$Z$8)=TRUE,$F$3)),0),"-")</f>
        <v>-</v>
      </c>
      <c r="H199" s="36" t="str">
        <f>IFERROR(
ROUNDUP(
IF(AND($U$5=FALSE,$U$4=FALSE),"-",IF(AND($U$5=TRUE,$U$4=TRUE),"-",
IF((AND($U$4=TRUE,$U$5=FALSE,$U$6=FALSE,$U$7=FALSE)),VLOOKUP($E199,'Status Thresholds'!$E:$AR,4,FALSE),IF((AND($U$4=TRUE,$U$5=FALSE,$U$6=TRUE,$U$7=FALSE)),VLOOKUP($E199,'Status Thresholds'!$E:$AR,14,FALSE),IF((AND($U$4=TRUE,$U$5=FALSE,$U$6=TRUE,$U$7=TRUE)),VLOOKUP($E199,'Status Thresholds'!$E:$AR,19,FALSE),IF((AND($U$4=TRUE,$U$5=FALSE,$U$6=FALSE,$U$7=TRUE)),VLOOKUP($E199,'Status Thresholds'!$E:$AR,9,FALSE),
IF((AND($U$4=FALSE,$U$5=TRUE,$U$6=FALSE,$U$7=FALSE)),VLOOKUP($E199,'Status Thresholds'!$E:$AR,24,FALSE),IF((AND($U$4=FALSE,$U$5=TRUE,$U$6=TRUE,$U$7=FALSE)),VLOOKUP($E199,'Status Thresholds'!$E:$AR,34,FALSE),IF((AND($U$4=FALSE,$U$5=TRUE,$U$6=TRUE,$U$7=TRUE)),VLOOKUP($E199,'Status Thresholds'!$E:$AR,39,FALSE),IF((AND($U$4=FALSE,$U$5=TRUE,$U$6=FALSE,$U$7=TRUE)),VLOOKUP($E199,'Status Thresholds'!$E:$AR,29,FALSE)))))))))
))/
IF(OR($X$5=TRUE,$AC$3=TRUE
),($F$3/2), IF(OR($X$2,$X$3,$X$4,$X$6,$X$7,$X$8,$Z$2,$Z$3,$Z$4,$Z$5,$Z$6,$Z$7,$Z$8)=TRUE,$F$3)),0),"-")</f>
        <v>-</v>
      </c>
      <c r="I199" s="36" t="str">
        <f>IFERROR(
ROUNDUP(
IF(AND($U$5=FALSE,$U$4=FALSE),"-",IF(AND($U$5=TRUE,$U$4=TRUE),"-",
IF((AND($U$4=TRUE,$U$5=FALSE,$U$6=FALSE,$U$7=FALSE)),VLOOKUP($E199,'Status Thresholds'!$E:$AR,5,FALSE),IF((AND($U$4=TRUE,$U$5=FALSE,$U$6=TRUE,$U$7=FALSE)),VLOOKUP($E199,'Status Thresholds'!$E:$AR,15,FALSE),IF((AND($U$4=TRUE,$U$5=FALSE,$U$6=TRUE,$U$7=TRUE)),VLOOKUP($E199,'Status Thresholds'!$E:$AR,20,FALSE),IF((AND($U$4=TRUE,$U$5=FALSE,$U$6=FALSE,$U$7=TRUE)),VLOOKUP($E199,'Status Thresholds'!$E:$AR,10,FALSE),
IF((AND($U$4=FALSE,$U$5=TRUE,$U$6=FALSE,$U$7=FALSE)),VLOOKUP($E199,'Status Thresholds'!$E:$AR,25,FALSE),IF((AND($U$4=FALSE,$U$5=TRUE,$U$6=TRUE,$U$7=FALSE)),VLOOKUP($E199,'Status Thresholds'!$E:$AR,35,FALSE),IF((AND($U$4=FALSE,$U$5=TRUE,$U$6=TRUE,$U$7=TRUE)),VLOOKUP($E199,'Status Thresholds'!$E:$AR,40,FALSE),IF((AND($U$4=FALSE,$U$5=TRUE,$U$6=FALSE,$U$7=TRUE)),VLOOKUP($E199,'Status Thresholds'!$E:$AR,30,FALSE)))))))))
))/
IF(OR($X$5=TRUE,$AC$3=TRUE
),($F$3/2), IF(OR($X$2,$X$3,$X$4,$X$6,$X$7,$X$8,$Z$2,$Z$3,$Z$4,$Z$5,$Z$6,$Z$7,$Z$8)=TRUE,$F$3)),0),"-")</f>
        <v>-</v>
      </c>
      <c r="J199" s="36">
        <f>IFERROR(IF(AND($U$5=FALSE,$U$4=FALSE),"-",VLOOKUP($E199,'Status Thresholds'!$E:$AU,41,FALSE)),"-")</f>
        <v>10</v>
      </c>
      <c r="K199" s="36" t="str">
        <f>IFERROR(IF(AND($U$5=FALSE,$U$4=FALSE),"-",VLOOKUP($E199,'Status Thresholds'!$E:$AU,42,FALSE)),"-")</f>
        <v>-</v>
      </c>
      <c r="L199" s="36" t="str">
        <f>IFERROR(IF(AND($U$5=FALSE,$U$4=FALSE),"-",VLOOKUP($E199,'Status Thresholds'!$E:$AU,43,FALSE)),"-")</f>
        <v>-</v>
      </c>
    </row>
    <row r="200" spans="1:12" x14ac:dyDescent="0.25">
      <c r="A200" s="35"/>
      <c r="B200" s="64" t="str">
        <f>VLOOKUP(C200,'Status Thresholds'!B:C,2,FALSE)</f>
        <v>MHGen</v>
      </c>
      <c r="C200" s="64" t="str">
        <f>IF('Status Thresholds'!B195=0, "", 'Status Thresholds'!B195)</f>
        <v>Daimyo Hermitaur</v>
      </c>
      <c r="D200" s="31" t="s">
        <v>32</v>
      </c>
      <c r="E200" s="36" t="str">
        <f t="shared" si="2"/>
        <v>Daimyo HermitaurSleep</v>
      </c>
      <c r="F200" s="36" t="str">
        <f>IFERROR(
ROUNDUP(
IF(AND($U$5=FALSE,$U$4=FALSE),"-",IF(AND($U$5=TRUE,$U$4=TRUE),"-",
IF((AND($U$4=TRUE,$U$5=FALSE,$U$6=FALSE,$U$7=FALSE)),VLOOKUP($E200,'Status Thresholds'!$E:$AR,2,FALSE),IF((AND($U$4=TRUE,$U$5=FALSE,$U$6=TRUE,$U$7=FALSE)),VLOOKUP($E200,'Status Thresholds'!$E:$AR,12,FALSE),IF((AND($U$4=TRUE,$U$5=FALSE,$U$6=TRUE,$U$7=TRUE)),VLOOKUP($E200,'Status Thresholds'!$E:$AR,17,FALSE),IF((AND($U$4=TRUE,$U$5=FALSE,$U$6=FALSE,$U$7=TRUE)),VLOOKUP($E200,'Status Thresholds'!$E:$AR,7,FALSE),
IF((AND($U$4=FALSE,$U$5=TRUE,$U$6=FALSE,$U$7=FALSE)),VLOOKUP($E200,'Status Thresholds'!$E:$AR,22,FALSE),IF((AND($U$4=FALSE,$U$5=TRUE,$U$6=TRUE,$U$7=FALSE)),VLOOKUP($E200,'Status Thresholds'!$E:$AR,32,FALSE),IF((AND($U$4=FALSE,$U$5=TRUE,$U$6=TRUE,$U$7=TRUE)),VLOOKUP($E200,'Status Thresholds'!$E:$AR,37,FALSE),IF((AND($U$4=FALSE,$U$5=TRUE,$U$6=FALSE,$U$7=TRUE)),VLOOKUP($E200,'Status Thresholds'!$E:$AR,27,FALSE)))))))))
))/
IF(OR($X$5=TRUE,$AC$3=TRUE
),($F$4/2), IF(OR($X$2,$X$3,$X$4,$X$6,$X$7,$X$8,$Z$2,$Z$3,$Z$4,$Z$5,$Z$6,$Z$7,$Z$8)=TRUE,$F$4)),0),"-")</f>
        <v>-</v>
      </c>
      <c r="G200" s="36" t="str">
        <f>IFERROR(
ROUNDUP(
IF(AND($U$5=FALSE,$U$4=FALSE),"-",IF(AND($U$5=TRUE,$U$4=TRUE),"-",
IF((AND($U$4=TRUE,$U$5=FALSE,$U$6=FALSE,$U$7=FALSE)),VLOOKUP($E200,'Status Thresholds'!$E:$AR,3,FALSE),IF((AND($U$4=TRUE,$U$5=FALSE,$U$6=TRUE,$U$7=FALSE)),VLOOKUP($E200,'Status Thresholds'!$E:$AR,13,FALSE),IF((AND($U$4=TRUE,$U$5=FALSE,$U$6=TRUE,$U$7=TRUE)),VLOOKUP($E200,'Status Thresholds'!$E:$AR,18,FALSE),IF((AND($U$4=TRUE,$U$5=FALSE,$U$6=FALSE,$U$7=TRUE)),VLOOKUP($E200,'Status Thresholds'!$E:$AR,8,FALSE),
IF((AND($U$4=FALSE,$U$5=TRUE,$U$6=FALSE,$U$7=FALSE)),VLOOKUP($E200,'Status Thresholds'!$E:$AR,23,FALSE),IF((AND($U$4=FALSE,$U$5=TRUE,$U$6=TRUE,$U$7=FALSE)),VLOOKUP($E200,'Status Thresholds'!$E:$AR,33,FALSE),IF((AND($U$4=FALSE,$U$5=TRUE,$U$6=TRUE,$U$7=TRUE)),VLOOKUP($E200,'Status Thresholds'!$E:$AR,38,FALSE),IF((AND($U$4=FALSE,$U$5=TRUE,$U$6=FALSE,$U$7=TRUE)),VLOOKUP($E200,'Status Thresholds'!$E:$AR,28,FALSE)))))))))
))/
IF(OR($X$5=TRUE,$AC$3=TRUE
),($F$4/2), IF(OR($X$2,$X$3,$X$4,$X$6,$X$7,$X$8,$Z$2,$Z$3,$Z$4,$Z$5,$Z$6,$Z$7,$Z$8)=TRUE,$F$4)),0),"-")</f>
        <v>-</v>
      </c>
      <c r="H200" s="36" t="str">
        <f>IFERROR(
ROUNDUP(
IF(AND($U$5=FALSE,$U$4=FALSE),"-",IF(AND($U$5=TRUE,$U$4=TRUE),"-",
IF((AND($U$4=TRUE,$U$5=FALSE,$U$6=FALSE,$U$7=FALSE)),VLOOKUP($E200,'Status Thresholds'!$E:$AR,4,FALSE),IF((AND($U$4=TRUE,$U$5=FALSE,$U$6=TRUE,$U$7=FALSE)),VLOOKUP($E200,'Status Thresholds'!$E:$AR,14,FALSE),IF((AND($U$4=TRUE,$U$5=FALSE,$U$6=TRUE,$U$7=TRUE)),VLOOKUP($E200,'Status Thresholds'!$E:$AR,19,FALSE),IF((AND($U$4=TRUE,$U$5=FALSE,$U$6=FALSE,$U$7=TRUE)),VLOOKUP($E200,'Status Thresholds'!$E:$AR,9,FALSE),
IF((AND($U$4=FALSE,$U$5=TRUE,$U$6=FALSE,$U$7=FALSE)),VLOOKUP($E200,'Status Thresholds'!$E:$AR,24,FALSE),IF((AND($U$4=FALSE,$U$5=TRUE,$U$6=TRUE,$U$7=FALSE)),VLOOKUP($E200,'Status Thresholds'!$E:$AR,34,FALSE),IF((AND($U$4=FALSE,$U$5=TRUE,$U$6=TRUE,$U$7=TRUE)),VLOOKUP($E200,'Status Thresholds'!$E:$AR,39,FALSE),IF((AND($U$4=FALSE,$U$5=TRUE,$U$6=FALSE,$U$7=TRUE)),VLOOKUP($E200,'Status Thresholds'!$E:$AR,29,FALSE)))))))))
))/
IF(OR($X$5=TRUE,$AC$3=TRUE
),($F$4/2), IF(OR($X$2,$X$3,$X$4,$X$6,$X$7,$X$8,$Z$2,$Z$3,$Z$4,$Z$5,$Z$6,$Z$7,$Z$8)=TRUE,$F$4)),0),"-")</f>
        <v>-</v>
      </c>
      <c r="I200" s="36" t="str">
        <f>IFERROR(
ROUNDUP(
IF(AND($U$5=FALSE,$U$4=FALSE),"-",IF(AND($U$5=TRUE,$U$4=TRUE),"-",
IF((AND($U$4=TRUE,$U$5=FALSE,$U$6=FALSE,$U$7=FALSE)),VLOOKUP($E200,'Status Thresholds'!$E:$AR,5,FALSE),IF((AND($U$4=TRUE,$U$5=FALSE,$U$6=TRUE,$U$7=FALSE)),VLOOKUP($E200,'Status Thresholds'!$E:$AR,15,FALSE),IF((AND($U$4=TRUE,$U$5=FALSE,$U$6=TRUE,$U$7=TRUE)),VLOOKUP($E200,'Status Thresholds'!$E:$AR,20,FALSE),IF((AND($U$4=TRUE,$U$5=FALSE,$U$6=FALSE,$U$7=TRUE)),VLOOKUP($E200,'Status Thresholds'!$E:$AR,10,FALSE),
IF((AND($U$4=FALSE,$U$5=TRUE,$U$6=FALSE,$U$7=FALSE)),VLOOKUP($E200,'Status Thresholds'!$E:$AR,25,FALSE),IF((AND($U$4=FALSE,$U$5=TRUE,$U$6=TRUE,$U$7=FALSE)),VLOOKUP($E200,'Status Thresholds'!$E:$AR,35,FALSE),IF((AND($U$4=FALSE,$U$5=TRUE,$U$6=TRUE,$U$7=TRUE)),VLOOKUP($E200,'Status Thresholds'!$E:$AR,40,FALSE),IF((AND($U$4=FALSE,$U$5=TRUE,$U$6=FALSE,$U$7=TRUE)),VLOOKUP($E200,'Status Thresholds'!$E:$AR,30,FALSE)))))))))
))/
IF(OR($X$5=TRUE,$AC$3=TRUE
),($F$4/2), IF(OR($X$2,$X$3,$X$4,$X$6,$X$7,$X$8,$Z$2,$Z$3,$Z$4,$Z$5,$Z$6,$Z$7,$Z$8)=TRUE,$F$4)),0),"-")</f>
        <v>-</v>
      </c>
      <c r="J200" s="46">
        <f>IFERROR(IF(AND($U$5=FALSE,$U$4=FALSE),"-",VLOOKUP($E200,'Status Thresholds'!$E:$AU,41,FALSE)),"-")</f>
        <v>30</v>
      </c>
      <c r="K200" s="46" t="str">
        <f>IFERROR(IF(AND($U$5=FALSE,$U$4=FALSE),"-",VLOOKUP($E200,'Status Thresholds'!$E:$AU,42,FALSE)),"-")</f>
        <v>-</v>
      </c>
      <c r="L200" s="46" t="str">
        <f>IFERROR(IF(AND($U$5=FALSE,$U$4=FALSE),"-",VLOOKUP($E200,'Status Thresholds'!$E:$AU,43,FALSE)),"-")</f>
        <v>-</v>
      </c>
    </row>
    <row r="201" spans="1:12" x14ac:dyDescent="0.25">
      <c r="A201" s="35"/>
      <c r="B201" s="64" t="str">
        <f>VLOOKUP(C201,'Status Thresholds'!B:C,2,FALSE)</f>
        <v>MHGen</v>
      </c>
      <c r="C201" s="64" t="str">
        <f>IF('Status Thresholds'!B196=0, "", 'Status Thresholds'!B196)</f>
        <v>Daimyo Hermitaur</v>
      </c>
      <c r="D201" s="32" t="s">
        <v>33</v>
      </c>
      <c r="E201" s="36" t="str">
        <f t="shared" si="2"/>
        <v>Daimyo HermitaurPoison</v>
      </c>
      <c r="F201" s="36" t="str">
        <f>IFERROR(
ROUNDUP(
IF(AND($U$5=FALSE,$U$4=FALSE),"-",IF(AND($U$5=TRUE,$U$4=TRUE),"-",
IF((AND($U$4=TRUE,$U$5=FALSE,$U$6=FALSE,$U$7=FALSE)),VLOOKUP($E201,'Status Thresholds'!$E:$AR,2,FALSE),IF((AND($U$4=TRUE,$U$5=FALSE,$U$6=TRUE,$U$7=FALSE)),VLOOKUP($E201,'Status Thresholds'!$E:$AR,12,FALSE),IF((AND($U$4=TRUE,$U$5=FALSE,$U$6=TRUE,$U$7=TRUE)),VLOOKUP($E201,'Status Thresholds'!$E:$AR,17,FALSE),IF((AND($U$4=TRUE,$U$5=FALSE,$U$6=FALSE,$U$7=TRUE)),VLOOKUP($E201,'Status Thresholds'!$E:$AR,7,FALSE),
IF((AND($U$4=FALSE,$U$5=TRUE,$U$6=FALSE,$U$7=FALSE)),VLOOKUP($E201,'Status Thresholds'!$E:$AR,22,FALSE),IF((AND($U$4=FALSE,$U$5=TRUE,$U$6=TRUE,$U$7=FALSE)),VLOOKUP($E201,'Status Thresholds'!$E:$AR,32,FALSE),IF((AND($U$4=FALSE,$U$5=TRUE,$U$6=TRUE,$U$7=TRUE)),VLOOKUP($E201,'Status Thresholds'!$E:$AR,37,FALSE),IF((AND($U$4=FALSE,$U$5=TRUE,$U$6=FALSE,$U$7=TRUE)),VLOOKUP($E201,'Status Thresholds'!$E:$AR,27,FALSE)))))))))
))/
IF(OR($X$5=TRUE,$AC$3=TRUE
),($F$5/2), IF(OR($X$2,$X$3,$X$4,$X$6,$X$7,$X$8,$Z$2,$Z$3,$Z$4,$Z$5,$Z$6,$Z$7,$Z$8)=TRUE,$F$5)),0),"-")</f>
        <v>-</v>
      </c>
      <c r="G201" s="36" t="str">
        <f>IFERROR(
ROUNDUP(
IF(AND($U$5=FALSE,$U$4=FALSE),"-",IF(AND($U$5=TRUE,$U$4=TRUE),"-",
IF((AND($U$4=TRUE,$U$5=FALSE,$U$6=FALSE,$U$7=FALSE)),VLOOKUP($E201,'Status Thresholds'!$E:$AR,3,FALSE),IF((AND($U$4=TRUE,$U$5=FALSE,$U$6=TRUE,$U$7=FALSE)),VLOOKUP($E201,'Status Thresholds'!$E:$AR,13,FALSE),IF((AND($U$4=TRUE,$U$5=FALSE,$U$6=TRUE,$U$7=TRUE)),VLOOKUP($E201,'Status Thresholds'!$E:$AR,18,FALSE),IF((AND($U$4=TRUE,$U$5=FALSE,$U$6=FALSE,$U$7=TRUE)),VLOOKUP($E201,'Status Thresholds'!$E:$AR,8,FALSE),
IF((AND($U$4=FALSE,$U$5=TRUE,$U$6=FALSE,$U$7=FALSE)),VLOOKUP($E201,'Status Thresholds'!$E:$AR,23,FALSE),IF((AND($U$4=FALSE,$U$5=TRUE,$U$6=TRUE,$U$7=FALSE)),VLOOKUP($E201,'Status Thresholds'!$E:$AR,33,FALSE),IF((AND($U$4=FALSE,$U$5=TRUE,$U$6=TRUE,$U$7=TRUE)),VLOOKUP($E201,'Status Thresholds'!$E:$AR,38,FALSE),IF((AND($U$4=FALSE,$U$5=TRUE,$U$6=FALSE,$U$7=TRUE)),VLOOKUP($E201,'Status Thresholds'!$E:$AR,28,FALSE)))))))))
))/
IF(OR($X$5=TRUE,$AC$3=TRUE
),($F$5/2), IF(OR($X$2,$X$3,$X$4,$X$6,$X$7,$X$8,$Z$2,$Z$3,$Z$4,$Z$5,$Z$6,$Z$7,$Z$8)=TRUE,$F$5)),0),"-")</f>
        <v>-</v>
      </c>
      <c r="H201" s="36" t="str">
        <f>IFERROR(
ROUNDUP(
IF(AND($U$5=FALSE,$U$4=FALSE),"-",IF(AND($U$5=TRUE,$U$4=TRUE),"-",
IF((AND($U$4=TRUE,$U$5=FALSE,$U$6=FALSE,$U$7=FALSE)),VLOOKUP($E201,'Status Thresholds'!$E:$AR,4,FALSE),IF((AND($U$4=TRUE,$U$5=FALSE,$U$6=TRUE,$U$7=FALSE)),VLOOKUP($E201,'Status Thresholds'!$E:$AR,14,FALSE),IF((AND($U$4=TRUE,$U$5=FALSE,$U$6=TRUE,$U$7=TRUE)),VLOOKUP($E201,'Status Thresholds'!$E:$AR,19,FALSE),IF((AND($U$4=TRUE,$U$5=FALSE,$U$6=FALSE,$U$7=TRUE)),VLOOKUP($E201,'Status Thresholds'!$E:$AR,9,FALSE),
IF((AND($U$4=FALSE,$U$5=TRUE,$U$6=FALSE,$U$7=FALSE)),VLOOKUP($E201,'Status Thresholds'!$E:$AR,24,FALSE),IF((AND($U$4=FALSE,$U$5=TRUE,$U$6=TRUE,$U$7=FALSE)),VLOOKUP($E201,'Status Thresholds'!$E:$AR,34,FALSE),IF((AND($U$4=FALSE,$U$5=TRUE,$U$6=TRUE,$U$7=TRUE)),VLOOKUP($E201,'Status Thresholds'!$E:$AR,39,FALSE),IF((AND($U$4=FALSE,$U$5=TRUE,$U$6=FALSE,$U$7=TRUE)),VLOOKUP($E201,'Status Thresholds'!$E:$AR,29,FALSE)))))))))
))/
IF(OR($X$5=TRUE,$AC$3=TRUE
),($F$5/2), IF(OR($X$2,$X$3,$X$4,$X$6,$X$7,$X$8,$Z$2,$Z$3,$Z$4,$Z$5,$Z$6,$Z$7,$Z$8)=TRUE,$F$5)),0),"-")</f>
        <v>-</v>
      </c>
      <c r="I201" s="36" t="str">
        <f>IFERROR(
ROUNDUP(
IF(AND($U$5=FALSE,$U$4=FALSE),"-",IF(AND($U$5=TRUE,$U$4=TRUE),"-",
IF((AND($U$4=TRUE,$U$5=FALSE,$U$6=FALSE,$U$7=FALSE)),VLOOKUP($E201,'Status Thresholds'!$E:$AR,5,FALSE),IF((AND($U$4=TRUE,$U$5=FALSE,$U$6=TRUE,$U$7=FALSE)),VLOOKUP($E201,'Status Thresholds'!$E:$AR,15,FALSE),IF((AND($U$4=TRUE,$U$5=FALSE,$U$6=TRUE,$U$7=TRUE)),VLOOKUP($E201,'Status Thresholds'!$E:$AR,20,FALSE),IF((AND($U$4=TRUE,$U$5=FALSE,$U$6=FALSE,$U$7=TRUE)),VLOOKUP($E201,'Status Thresholds'!$E:$AR,10,FALSE),
IF((AND($U$4=FALSE,$U$5=TRUE,$U$6=FALSE,$U$7=FALSE)),VLOOKUP($E201,'Status Thresholds'!$E:$AR,25,FALSE),IF((AND($U$4=FALSE,$U$5=TRUE,$U$6=TRUE,$U$7=FALSE)),VLOOKUP($E201,'Status Thresholds'!$E:$AR,35,FALSE),IF((AND($U$4=FALSE,$U$5=TRUE,$U$6=TRUE,$U$7=TRUE)),VLOOKUP($E201,'Status Thresholds'!$E:$AR,40,FALSE),IF((AND($U$4=FALSE,$U$5=TRUE,$U$6=FALSE,$U$7=TRUE)),VLOOKUP($E201,'Status Thresholds'!$E:$AR,30,FALSE)))))))))
))/
IF(OR($X$5=TRUE,$AC$3=TRUE
),($F$5/2), IF(OR($X$2,$X$3,$X$4,$X$6,$X$7,$X$8,$Z$2,$Z$3,$Z$4,$Z$5,$Z$6,$Z$7,$Z$8)=TRUE,$F$5)),0),"-")</f>
        <v>-</v>
      </c>
      <c r="J201" s="46">
        <f>IFERROR(IF(AND($U$5=FALSE,$U$4=FALSE),"-",VLOOKUP($E201,'Status Thresholds'!$E:$AU,41,FALSE)),"-")</f>
        <v>60</v>
      </c>
      <c r="K201" s="46" t="str">
        <f>IFERROR(IF(AND($U$5=FALSE,$U$4=FALSE),"-",VLOOKUP($E201,'Status Thresholds'!$E:$AU,42,FALSE)),"-")</f>
        <v>-</v>
      </c>
      <c r="L201" s="46" t="str">
        <f>IFERROR(IF(AND($U$5=FALSE,$U$4=FALSE),"-",VLOOKUP($E201,'Status Thresholds'!$E:$AU,43,FALSE)),"-")</f>
        <v>-</v>
      </c>
    </row>
    <row r="202" spans="1:12" x14ac:dyDescent="0.25">
      <c r="A202" s="35"/>
      <c r="B202" s="64" t="str">
        <f>VLOOKUP(C202,'Status Thresholds'!B:C,2,FALSE)</f>
        <v>MHGen</v>
      </c>
      <c r="C202" s="64" t="str">
        <f>IF('Status Thresholds'!B197=0, "", 'Status Thresholds'!B197)</f>
        <v>Daimyo Hermitaur</v>
      </c>
      <c r="D202" s="10" t="s">
        <v>22</v>
      </c>
      <c r="E202" s="36" t="str">
        <f t="shared" si="2"/>
        <v>Daimyo HermitaurExhaust</v>
      </c>
      <c r="F202" s="36" t="str">
        <f>IFERROR(
ROUNDUP(
IF(AND($U$5=FALSE,$U$4=FALSE),"-",IF(AND($U$5=TRUE,$U$4=TRUE),"-",
IF((AND($U$4=TRUE,$U$5=FALSE,$U$6=FALSE,$U$7=FALSE)),VLOOKUP($E202,'Status Thresholds'!$E:$AR,2,FALSE),IF((AND($U$4=TRUE,$U$5=FALSE,$U$6=TRUE,$U$7=FALSE)),VLOOKUP($E202,'Status Thresholds'!$E:$AR,12,FALSE),IF((AND($U$4=TRUE,$U$5=FALSE,$U$6=TRUE,$U$7=TRUE)),VLOOKUP($E202,'Status Thresholds'!$E:$AR,17,FALSE),IF((AND($U$4=TRUE,$U$5=FALSE,$U$6=FALSE,$U$7=TRUE)),VLOOKUP($E202,'Status Thresholds'!$E:$AR,7,FALSE),
IF((AND($U$4=FALSE,$U$5=TRUE,$U$6=FALSE,$U$7=FALSE)),VLOOKUP($E202,'Status Thresholds'!$E:$AR,22,FALSE),IF((AND($U$4=FALSE,$U$5=TRUE,$U$6=TRUE,$U$7=FALSE)),VLOOKUP($E202,'Status Thresholds'!$E:$AR,32,FALSE),IF((AND($U$4=FALSE,$U$5=TRUE,$U$6=TRUE,$U$7=TRUE)),VLOOKUP($E202,'Status Thresholds'!$E:$AR,37,FALSE),IF((AND($U$4=FALSE,$U$5=TRUE,$U$6=FALSE,$U$7=TRUE)),VLOOKUP($E202,'Status Thresholds'!$E:$AR,27,FALSE)))))))))
))/
IF(OR($X$5=TRUE,$AC$3=TRUE
),($F$6/2), IF(OR($X$2,$X$3,$X$4,$X$6,$X$7,$X$8,$Z$2,$Z$3,$Z$4,$Z$5,$Z$6,$Z$7,$Z$8)=TRUE,$F$6)),0),"-")</f>
        <v>-</v>
      </c>
      <c r="G202" s="36" t="str">
        <f>IFERROR(
ROUNDUP(
IF(AND($U$5=FALSE,$U$4=FALSE),"-",IF(AND($U$5=TRUE,$U$4=TRUE),"-",
IF((AND($U$4=TRUE,$U$5=FALSE,$U$6=FALSE,$U$7=FALSE)),VLOOKUP($E202,'Status Thresholds'!$E:$AR,3,FALSE),IF((AND($U$4=TRUE,$U$5=FALSE,$U$6=TRUE,$U$7=FALSE)),VLOOKUP($E202,'Status Thresholds'!$E:$AR,13,FALSE),IF((AND($U$4=TRUE,$U$5=FALSE,$U$6=TRUE,$U$7=TRUE)),VLOOKUP($E202,'Status Thresholds'!$E:$AR,18,FALSE),IF((AND($U$4=TRUE,$U$5=FALSE,$U$6=FALSE,$U$7=TRUE)),VLOOKUP($E202,'Status Thresholds'!$E:$AR,8,FALSE),
IF((AND($U$4=FALSE,$U$5=TRUE,$U$6=FALSE,$U$7=FALSE)),VLOOKUP($E202,'Status Thresholds'!$E:$AR,23,FALSE),IF((AND($U$4=FALSE,$U$5=TRUE,$U$6=TRUE,$U$7=FALSE)),VLOOKUP($E202,'Status Thresholds'!$E:$AR,33,FALSE),IF((AND($U$4=FALSE,$U$5=TRUE,$U$6=TRUE,$U$7=TRUE)),VLOOKUP($E202,'Status Thresholds'!$E:$AR,38,FALSE),IF((AND($U$4=FALSE,$U$5=TRUE,$U$6=FALSE,$U$7=TRUE)),VLOOKUP($E202,'Status Thresholds'!$E:$AR,28,FALSE)))))))))
))/
IF(OR($X$5=TRUE,$AC$3=TRUE
),($F$6/2), IF(OR($X$2,$X$3,$X$4,$X$6,$X$7,$X$8,$Z$2,$Z$3,$Z$4,$Z$5,$Z$6,$Z$7,$Z$8)=TRUE,$F$6)),0),"-")</f>
        <v>-</v>
      </c>
      <c r="H202" s="36" t="str">
        <f>IFERROR(
ROUNDUP(
IF(AND($U$5=FALSE,$U$4=FALSE),"-",IF(AND($U$5=TRUE,$U$4=TRUE),"-",
IF((AND($U$4=TRUE,$U$5=FALSE,$U$6=FALSE,$U$7=FALSE)),VLOOKUP($E202,'Status Thresholds'!$E:$AR,4,FALSE),IF((AND($U$4=TRUE,$U$5=FALSE,$U$6=TRUE,$U$7=FALSE)),VLOOKUP($E202,'Status Thresholds'!$E:$AR,14,FALSE),IF((AND($U$4=TRUE,$U$5=FALSE,$U$6=TRUE,$U$7=TRUE)),VLOOKUP($E202,'Status Thresholds'!$E:$AR,19,FALSE),IF((AND($U$4=TRUE,$U$5=FALSE,$U$6=FALSE,$U$7=TRUE)),VLOOKUP($E202,'Status Thresholds'!$E:$AR,9,FALSE),
IF((AND($U$4=FALSE,$U$5=TRUE,$U$6=FALSE,$U$7=FALSE)),VLOOKUP($E202,'Status Thresholds'!$E:$AR,24,FALSE),IF((AND($U$4=FALSE,$U$5=TRUE,$U$6=TRUE,$U$7=FALSE)),VLOOKUP($E202,'Status Thresholds'!$E:$AR,34,FALSE),IF((AND($U$4=FALSE,$U$5=TRUE,$U$6=TRUE,$U$7=TRUE)),VLOOKUP($E202,'Status Thresholds'!$E:$AR,39,FALSE),IF((AND($U$4=FALSE,$U$5=TRUE,$U$6=FALSE,$U$7=TRUE)),VLOOKUP($E202,'Status Thresholds'!$E:$AR,29,FALSE)))))))))
))/
IF(OR($X$5=TRUE,$AC$3=TRUE
),($F$6/2), IF(OR($X$2,$X$3,$X$4,$X$6,$X$7,$X$8,$Z$2,$Z$3,$Z$4,$Z$5,$Z$6,$Z$7,$Z$8)=TRUE,$F$6)),0),"-")</f>
        <v>-</v>
      </c>
      <c r="I202" s="36" t="str">
        <f>IFERROR(
ROUNDUP(
IF(AND($U$5=FALSE,$U$4=FALSE),"-",IF(AND($U$5=TRUE,$U$4=TRUE),"-",
IF((AND($U$4=TRUE,$U$5=FALSE,$U$6=FALSE,$U$7=FALSE)),VLOOKUP($E202,'Status Thresholds'!$E:$AR,5,FALSE),IF((AND($U$4=TRUE,$U$5=FALSE,$U$6=TRUE,$U$7=FALSE)),VLOOKUP($E202,'Status Thresholds'!$E:$AR,15,FALSE),IF((AND($U$4=TRUE,$U$5=FALSE,$U$6=TRUE,$U$7=TRUE)),VLOOKUP($E202,'Status Thresholds'!$E:$AR,20,FALSE),IF((AND($U$4=TRUE,$U$5=FALSE,$U$6=FALSE,$U$7=TRUE)),VLOOKUP($E202,'Status Thresholds'!$E:$AR,10,FALSE),
IF((AND($U$4=FALSE,$U$5=TRUE,$U$6=FALSE,$U$7=FALSE)),VLOOKUP($E202,'Status Thresholds'!$E:$AR,25,FALSE),IF((AND($U$4=FALSE,$U$5=TRUE,$U$6=TRUE,$U$7=FALSE)),VLOOKUP($E202,'Status Thresholds'!$E:$AR,35,FALSE),IF((AND($U$4=FALSE,$U$5=TRUE,$U$6=TRUE,$U$7=TRUE)),VLOOKUP($E202,'Status Thresholds'!$E:$AR,40,FALSE),IF((AND($U$4=FALSE,$U$5=TRUE,$U$6=FALSE,$U$7=TRUE)),VLOOKUP($E202,'Status Thresholds'!$E:$AR,30,FALSE)))))))))
))/
IF(OR($X$5=TRUE,$AC$3=TRUE
),($F$6/2), IF(OR($X$2,$X$3,$X$4,$X$6,$X$7,$X$8,$Z$2,$Z$3,$Z$4,$Z$5,$Z$6,$Z$7,$Z$8)=TRUE,$F$6)),0),"-")</f>
        <v>-</v>
      </c>
      <c r="J202" s="46">
        <f>IFERROR(IF(AND($U$5=FALSE,$U$4=FALSE),"-",VLOOKUP($E202,'Status Thresholds'!$E:$AU,41,FALSE)),"-")</f>
        <v>0</v>
      </c>
      <c r="K202" s="46" t="str">
        <f>IFERROR(IF(AND($U$5=FALSE,$U$4=FALSE),"-",VLOOKUP($E202,'Status Thresholds'!$E:$AU,42,FALSE)),"-")</f>
        <v>-</v>
      </c>
      <c r="L202" s="46" t="str">
        <f>IFERROR(IF(AND($U$5=FALSE,$U$4=FALSE),"-",VLOOKUP($E202,'Status Thresholds'!$E:$AU,43,FALSE)),"-")</f>
        <v>-</v>
      </c>
    </row>
    <row r="203" spans="1:12" x14ac:dyDescent="0.25">
      <c r="A203" s="35"/>
      <c r="B203" s="64" t="str">
        <f>VLOOKUP(C203,'Status Thresholds'!B:C,2,FALSE)</f>
        <v>MHGen</v>
      </c>
      <c r="C203" s="64" t="str">
        <f>IF('Status Thresholds'!B198=0, "", 'Status Thresholds'!B198)</f>
        <v>Daimyo Hermitaur</v>
      </c>
      <c r="D203" s="30" t="s">
        <v>35</v>
      </c>
      <c r="E203" s="36" t="str">
        <f t="shared" si="2"/>
        <v>Daimyo HermitaurBlast</v>
      </c>
      <c r="F203" s="36" t="str">
        <f>IFERROR(
ROUNDUP(
IF(AND($U$5=FALSE,$U$4=FALSE),"-",IF(AND($U$5=TRUE,$U$4=TRUE),"-",
IF((AND($U$4=TRUE,$U$5=FALSE,$U$6=FALSE,$U$7=FALSE)),VLOOKUP($E203,'Status Thresholds'!$E:$AR,2,FALSE),IF((AND($U$4=TRUE,$U$5=FALSE,$U$6=TRUE,$U$7=FALSE)),VLOOKUP($E203,'Status Thresholds'!$E:$AR,12,FALSE),IF((AND($U$4=TRUE,$U$5=FALSE,$U$6=TRUE,$U$7=TRUE)),VLOOKUP($E203,'Status Thresholds'!$E:$AR,17,FALSE),IF((AND($U$4=TRUE,$U$5=FALSE,$U$6=FALSE,$U$7=TRUE)),VLOOKUP($E203,'Status Thresholds'!$E:$AR,7,FALSE),
IF((AND($U$4=FALSE,$U$5=TRUE,$U$6=FALSE,$U$7=FALSE)),VLOOKUP($E203,'Status Thresholds'!$E:$AR,22,FALSE),IF((AND($U$4=FALSE,$U$5=TRUE,$U$6=TRUE,$U$7=FALSE)),VLOOKUP($E203,'Status Thresholds'!$E:$AR,32,FALSE),IF((AND($U$4=FALSE,$U$5=TRUE,$U$6=TRUE,$U$7=TRUE)),VLOOKUP($E203,'Status Thresholds'!$E:$AR,37,FALSE),IF((AND($U$4=FALSE,$U$5=TRUE,$U$6=FALSE,$U$7=TRUE)),VLOOKUP($E203,'Status Thresholds'!$E:$AR,27,FALSE)))))))))
))/
IF(OR($X$5=TRUE,$AC$3=TRUE
),($F$7/2), IF(OR($X$2,$X$3,$X$4,$X$6,$X$7,$X$8,$Z$2,$Z$3,$Z$4,$Z$5,$Z$6,$Z$7,$Z$8)=TRUE,$F$7)),0),"-")</f>
        <v>-</v>
      </c>
      <c r="G203" s="36" t="str">
        <f>IFERROR(
ROUNDUP(
IF(AND($U$5=FALSE,$U$4=FALSE),"-",IF(AND($U$5=TRUE,$U$4=TRUE),"-",
IF((AND($U$4=TRUE,$U$5=FALSE,$U$6=FALSE,$U$7=FALSE)),VLOOKUP($E203,'Status Thresholds'!$E:$AR,3,FALSE),IF((AND($U$4=TRUE,$U$5=FALSE,$U$6=TRUE,$U$7=FALSE)),VLOOKUP($E203,'Status Thresholds'!$E:$AR,13,FALSE),IF((AND($U$4=TRUE,$U$5=FALSE,$U$6=TRUE,$U$7=TRUE)),VLOOKUP($E203,'Status Thresholds'!$E:$AR,18,FALSE),IF((AND($U$4=TRUE,$U$5=FALSE,$U$6=FALSE,$U$7=TRUE)),VLOOKUP($E203,'Status Thresholds'!$E:$AR,8,FALSE),
IF((AND($U$4=FALSE,$U$5=TRUE,$U$6=FALSE,$U$7=FALSE)),VLOOKUP($E203,'Status Thresholds'!$E:$AR,23,FALSE),IF((AND($U$4=FALSE,$U$5=TRUE,$U$6=TRUE,$U$7=FALSE)),VLOOKUP($E203,'Status Thresholds'!$E:$AR,33,FALSE),IF((AND($U$4=FALSE,$U$5=TRUE,$U$6=TRUE,$U$7=TRUE)),VLOOKUP($E203,'Status Thresholds'!$E:$AR,38,FALSE),IF((AND($U$4=FALSE,$U$5=TRUE,$U$6=FALSE,$U$7=TRUE)),VLOOKUP($E203,'Status Thresholds'!$E:$AR,28,FALSE)))))))))
))/
IF(OR($X$5=TRUE,$AC$3=TRUE
),($F$7/2), IF(OR($X$2,$X$3,$X$4,$X$6,$X$7,$X$8,$Z$2,$Z$3,$Z$4,$Z$5,$Z$6,$Z$7,$Z$8)=TRUE,$F$7)),0),"-")</f>
        <v>-</v>
      </c>
      <c r="H203" s="36" t="str">
        <f>IFERROR(
ROUNDUP(
IF(AND($U$5=FALSE,$U$4=FALSE),"-",IF(AND($U$5=TRUE,$U$4=TRUE),"-",
IF((AND($U$4=TRUE,$U$5=FALSE,$U$6=FALSE,$U$7=FALSE)),VLOOKUP($E203,'Status Thresholds'!$E:$AR,4,FALSE),IF((AND($U$4=TRUE,$U$5=FALSE,$U$6=TRUE,$U$7=FALSE)),VLOOKUP($E203,'Status Thresholds'!$E:$AR,14,FALSE),IF((AND($U$4=TRUE,$U$5=FALSE,$U$6=TRUE,$U$7=TRUE)),VLOOKUP($E203,'Status Thresholds'!$E:$AR,19,FALSE),IF((AND($U$4=TRUE,$U$5=FALSE,$U$6=FALSE,$U$7=TRUE)),VLOOKUP($E203,'Status Thresholds'!$E:$AR,9,FALSE),
IF((AND($U$4=FALSE,$U$5=TRUE,$U$6=FALSE,$U$7=FALSE)),VLOOKUP($E203,'Status Thresholds'!$E:$AR,24,FALSE),IF((AND($U$4=FALSE,$U$5=TRUE,$U$6=TRUE,$U$7=FALSE)),VLOOKUP($E203,'Status Thresholds'!$E:$AR,34,FALSE),IF((AND($U$4=FALSE,$U$5=TRUE,$U$6=TRUE,$U$7=TRUE)),VLOOKUP($E203,'Status Thresholds'!$E:$AR,39,FALSE),IF((AND($U$4=FALSE,$U$5=TRUE,$U$6=FALSE,$U$7=TRUE)),VLOOKUP($E203,'Status Thresholds'!$E:$AR,29,FALSE)))))))))
))/
IF(OR($X$5=TRUE,$AC$3=TRUE
),($F$7/2), IF(OR($X$2,$X$3,$X$4,$X$6,$X$7,$X$8,$Z$2,$Z$3,$Z$4,$Z$5,$Z$6,$Z$7,$Z$8)=TRUE,$F$7)),0),"-")</f>
        <v>-</v>
      </c>
      <c r="I203" s="36" t="str">
        <f>IFERROR(
ROUNDUP(
IF(AND($U$5=FALSE,$U$4=FALSE),"-",IF(AND($U$5=TRUE,$U$4=TRUE),"-",
IF((AND($U$4=TRUE,$U$5=FALSE,$U$6=FALSE,$U$7=FALSE)),VLOOKUP($E203,'Status Thresholds'!$E:$AR,5,FALSE),IF((AND($U$4=TRUE,$U$5=FALSE,$U$6=TRUE,$U$7=FALSE)),VLOOKUP($E203,'Status Thresholds'!$E:$AR,15,FALSE),IF((AND($U$4=TRUE,$U$5=FALSE,$U$6=TRUE,$U$7=TRUE)),VLOOKUP($E203,'Status Thresholds'!$E:$AR,20,FALSE),IF((AND($U$4=TRUE,$U$5=FALSE,$U$6=FALSE,$U$7=TRUE)),VLOOKUP($E203,'Status Thresholds'!$E:$AR,10,FALSE),
IF((AND($U$4=FALSE,$U$5=TRUE,$U$6=FALSE,$U$7=FALSE)),VLOOKUP($E203,'Status Thresholds'!$E:$AR,25,FALSE),IF((AND($U$4=FALSE,$U$5=TRUE,$U$6=TRUE,$U$7=FALSE)),VLOOKUP($E203,'Status Thresholds'!$E:$AR,35,FALSE),IF((AND($U$4=FALSE,$U$5=TRUE,$U$6=TRUE,$U$7=TRUE)),VLOOKUP($E203,'Status Thresholds'!$E:$AR,40,FALSE),IF((AND($U$4=FALSE,$U$5=TRUE,$U$6=FALSE,$U$7=TRUE)),VLOOKUP($E203,'Status Thresholds'!$E:$AR,30,FALSE)))))))))
))/
IF(OR($X$5=TRUE,$AC$3=TRUE
),($F$7/2), IF(OR($X$2,$X$3,$X$4,$X$6,$X$7,$X$8,$Z$2,$Z$3,$Z$4,$Z$5,$Z$6,$Z$7,$Z$8)=TRUE,$F$7)),0),"-")</f>
        <v>-</v>
      </c>
      <c r="J203" s="46">
        <f>IFERROR(IF(AND($U$5=FALSE,$U$4=FALSE),"-",VLOOKUP($E203,'Status Thresholds'!$E:$AU,41,FALSE)),"-")</f>
        <v>0</v>
      </c>
      <c r="K203" s="46" t="str">
        <f>IFERROR(IF(AND($U$5=FALSE,$U$4=FALSE),"-",VLOOKUP($E203,'Status Thresholds'!$E:$AU,42,FALSE)),"-")</f>
        <v>-</v>
      </c>
      <c r="L203" s="46" t="str">
        <f>IFERROR(IF(AND($U$5=FALSE,$U$4=FALSE),"-",VLOOKUP($E203,'Status Thresholds'!$E:$AU,43,FALSE)),"-")</f>
        <v>-</v>
      </c>
    </row>
    <row r="204" spans="1:12" ht="14.45" customHeight="1" x14ac:dyDescent="0.25">
      <c r="A204" s="35"/>
      <c r="B204" s="64" t="str">
        <f>VLOOKUP(C204,'Status Thresholds'!B:C,2,FALSE)</f>
        <v>MHGen</v>
      </c>
      <c r="C204" s="64" t="str">
        <f>IF('Status Thresholds'!B199=0, "", 'Status Thresholds'!B199)</f>
        <v>Daimyo Hermitaur</v>
      </c>
      <c r="D204" s="34" t="s">
        <v>14</v>
      </c>
      <c r="E204" s="36" t="str">
        <f t="shared" si="2"/>
        <v>Daimyo HermitaurKO</v>
      </c>
      <c r="F204" s="36" t="s">
        <v>214</v>
      </c>
      <c r="G204" s="36" t="s">
        <v>214</v>
      </c>
      <c r="H204" s="36" t="s">
        <v>214</v>
      </c>
      <c r="I204" s="36" t="s">
        <v>214</v>
      </c>
      <c r="J204" s="46">
        <f>IFERROR(IF(AND($U$5=FALSE,$U$4=FALSE),"-",VLOOKUP($E204,'Status Thresholds'!$E:$AU,41,FALSE)),"-")</f>
        <v>10</v>
      </c>
      <c r="K204" s="46" t="str">
        <f>IFERROR(IF(AND($U$5=FALSE,$U$4=FALSE),"-",VLOOKUP($E204,'Status Thresholds'!$E:$AU,42,FALSE)),"-")</f>
        <v>-</v>
      </c>
      <c r="L204" s="46" t="str">
        <f>IFERROR(IF(AND($U$5=FALSE,$U$4=FALSE),"-",VLOOKUP($E204,'Status Thresholds'!$E:$AU,43,FALSE)),"-")</f>
        <v>-</v>
      </c>
    </row>
    <row r="205" spans="1:12" x14ac:dyDescent="0.25">
      <c r="A205" s="35"/>
      <c r="B205" s="64" t="str">
        <f>VLOOKUP(C205,'Status Thresholds'!B:C,2,FALSE)</f>
        <v>MHGen</v>
      </c>
      <c r="C205" s="64" t="str">
        <f>IF('Status Thresholds'!B200=0, "", 'Status Thresholds'!B200)</f>
        <v>Daimyo Hermitaur</v>
      </c>
      <c r="D205" s="33" t="s">
        <v>34</v>
      </c>
      <c r="E205" s="36" t="str">
        <f t="shared" si="2"/>
        <v>Daimyo HermitaurMount</v>
      </c>
      <c r="F205" s="36" t="str">
        <f>IFERROR(
ROUNDUP(
IF(AND($U$5=FALSE,$U$4=FALSE),"-",IF(AND($U$5=TRUE,$U$4=TRUE),"-",
IF((AND($U$4=TRUE,$U$5=FALSE,$U$6=FALSE,$U$7=FALSE)),VLOOKUP($E205,'Status Thresholds'!$E:$AR,2,FALSE),IF((AND($U$4=TRUE,$U$5=FALSE,$U$6=TRUE,$U$7=FALSE)),VLOOKUP($E205,'Status Thresholds'!$E:$AR,12,FALSE),IF((AND($U$4=TRUE,$U$5=FALSE,$U$6=TRUE,$U$7=TRUE)),VLOOKUP($E205,'Status Thresholds'!$E:$AR,17,FALSE),IF((AND($U$4=TRUE,$U$5=FALSE,$U$6=FALSE,$U$7=TRUE)),VLOOKUP($E205,'Status Thresholds'!$E:$AR,7,FALSE),
IF((AND($U$4=FALSE,$U$5=TRUE,$U$6=FALSE,$U$7=FALSE)),VLOOKUP($E205,'Status Thresholds'!$E:$AR,22,FALSE),IF((AND($U$4=FALSE,$U$5=TRUE,$U$6=TRUE,$U$7=FALSE)),VLOOKUP($E205,'Status Thresholds'!$E:$AR,32,FALSE),IF((AND($U$4=FALSE,$U$5=TRUE,$U$6=TRUE,$U$7=TRUE)),VLOOKUP($E205,'Status Thresholds'!$E:$AR,37,FALSE),IF((AND($U$4=FALSE,$U$5=TRUE,$U$6=FALSE,$U$7=TRUE)),VLOOKUP($E205,'Status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205" s="36" t="str">
        <f>IFERROR(
ROUNDUP(
IF(AND($U$5=FALSE,$U$4=FALSE),"-",IF(AND($U$5=TRUE,$U$4=TRUE),"-",
IF((AND($U$4=TRUE,$U$5=FALSE,$U$6=FALSE,$U$7=FALSE)),VLOOKUP($E204,'Status Thresholds'!$E:$AR,3,FALSE),IF((AND($U$4=TRUE,$U$5=FALSE,$U$6=TRUE,$U$7=FALSE)),VLOOKUP($E204,'Status Thresholds'!$E:$AR,13,FALSE),IF((AND($U$4=TRUE,$U$5=FALSE,$U$6=TRUE,$U$7=TRUE)),VLOOKUP($E204,'Status Thresholds'!$E:$AR,18,FALSE),IF((AND($U$4=TRUE,$U$5=FALSE,$U$6=FALSE,$U$7=TRUE)),VLOOKUP($E204,'Status Thresholds'!$E:$AR,8,FALSE),
IF((AND($U$4=FALSE,$U$5=TRUE,$U$6=FALSE,$U$7=FALSE)),VLOOKUP($E204,'Status Thresholds'!$E:$AR,23,FALSE),IF((AND($U$4=FALSE,$U$5=TRUE,$U$6=TRUE,$U$7=FALSE)),VLOOKUP($E204,'Status Thresholds'!$E:$AR,33,FALSE),IF((AND($U$4=FALSE,$U$5=TRUE,$U$6=TRUE,$U$7=TRUE)),VLOOKUP($E204,'Status Thresholds'!$E:$AR,38,FALSE),IF((AND($U$4=FALSE,$U$5=TRUE,$U$6=FALSE,$U$7=TRUE)),VLOOKUP($E204,'Status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205" s="36" t="str">
        <f>IFERROR(
ROUNDUP(
IF(AND($U$5=FALSE,$U$4=FALSE),"-",IF(AND($U$5=TRUE,$U$4=TRUE),"-",
IF((AND($U$4=TRUE,$U$5=FALSE,$U$6=FALSE,$U$7=FALSE)),VLOOKUP($E204,'Status Thresholds'!$E:$AR,4,FALSE),IF((AND($U$4=TRUE,$U$5=FALSE,$U$6=TRUE,$U$7=FALSE)),VLOOKUP($E204,'Status Thresholds'!$E:$AR,14,FALSE),IF((AND($U$4=TRUE,$U$5=FALSE,$U$6=TRUE,$U$7=TRUE)),VLOOKUP($E204,'Status Thresholds'!$E:$AR,19,FALSE),IF((AND($U$4=TRUE,$U$5=FALSE,$U$6=FALSE,$U$7=TRUE)),VLOOKUP($E204,'Status Thresholds'!$E:$AR,9,FALSE),
IF((AND($U$4=FALSE,$U$5=TRUE,$U$6=FALSE,$U$7=FALSE)),VLOOKUP($E204,'Status Thresholds'!$E:$AR,24,FALSE),IF((AND($U$4=FALSE,$U$5=TRUE,$U$6=TRUE,$U$7=FALSE)),VLOOKUP($E204,'Status Thresholds'!$E:$AR,34,FALSE),IF((AND($U$4=FALSE,$U$5=TRUE,$U$6=TRUE,$U$7=TRUE)),VLOOKUP($E204,'Status Thresholds'!$E:$AR,39,FALSE),IF((AND($U$4=FALSE,$U$5=TRUE,$U$6=FALSE,$U$7=TRUE)),VLOOKUP($E204,'Status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205" s="36" t="str">
        <f>IFERROR(
ROUNDUP(
IF(AND($U$5=FALSE,$U$4=FALSE),"-",IF(AND($U$5=TRUE,$U$4=TRUE),"-",
IF((AND($U$4=TRUE,$U$5=FALSE,$U$6=FALSE,$U$7=FALSE)),VLOOKUP($E204,'Status Thresholds'!$E:$AR,5,FALSE),IF((AND($U$4=TRUE,$U$5=FALSE,$U$6=TRUE,$U$7=FALSE)),VLOOKUP($E204,'Status Thresholds'!$E:$AR,15,FALSE),IF((AND($U$4=TRUE,$U$5=FALSE,$U$6=TRUE,$U$7=TRUE)),VLOOKUP($E204,'Status Thresholds'!$E:$AR,20,FALSE),IF((AND($U$4=TRUE,$U$5=FALSE,$U$6=FALSE,$U$7=TRUE)),VLOOKUP($E204,'Status Thresholds'!$E:$AR,10,FALSE),
IF((AND($U$4=FALSE,$U$5=TRUE,$U$6=FALSE,$U$7=FALSE)),VLOOKUP($E204,'Status Thresholds'!$E:$AR,25,FALSE),IF((AND($U$4=FALSE,$U$5=TRUE,$U$6=TRUE,$U$7=FALSE)),VLOOKUP($E204,'Status Thresholds'!$E:$AR,35,FALSE),IF((AND($U$4=FALSE,$U$5=TRUE,$U$6=TRUE,$U$7=TRUE)),VLOOKUP($E204,'Status Thresholds'!$E:$AR,40,FALSE),IF((AND($U$4=FALSE,$U$5=TRUE,$U$6=FALSE,$U$7=TRUE)),VLOOKUP($E204,'Status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205" s="46">
        <f>IFERROR(IF(AND($U$5=FALSE,$U$4=FALSE),"-",VLOOKUP($E205,'Status Thresholds'!$E:$AU,41,FALSE)),"-")</f>
        <v>0</v>
      </c>
      <c r="K205" s="46" t="str">
        <f>IFERROR(IF(AND($U$5=FALSE,$U$4=FALSE),"-",VLOOKUP($E205,'Status Thresholds'!$E:$AU,42,FALSE)),"-")</f>
        <v>-</v>
      </c>
      <c r="L205" s="46" t="str">
        <f>IFERROR(IF(AND($U$5=FALSE,$U$4=FALSE),"-",VLOOKUP($E205,'Status Thresholds'!$E:$AU,43,FALSE)),"-")</f>
        <v>-</v>
      </c>
    </row>
    <row r="206" spans="1:12" ht="15" customHeight="1" x14ac:dyDescent="0.25">
      <c r="A206" s="35"/>
      <c r="B206" s="64" t="str">
        <f>VLOOKUP(C206,'Status Thresholds'!B:C,2,FALSE)</f>
        <v>MHGen</v>
      </c>
      <c r="C206" s="64" t="str">
        <f>IF('Status Thresholds'!B201=0, "", 'Status Thresholds'!B201)</f>
        <v>Daimyo Hermitaur</v>
      </c>
      <c r="D206" s="77" t="s">
        <v>207</v>
      </c>
      <c r="E206" s="36" t="str">
        <f t="shared" si="2"/>
        <v>Daimyo HermitaurShock Trap</v>
      </c>
      <c r="F206" s="76" t="s">
        <v>214</v>
      </c>
      <c r="G206" s="46" t="s">
        <v>214</v>
      </c>
      <c r="H206" s="46" t="s">
        <v>214</v>
      </c>
      <c r="I206" s="46" t="s">
        <v>214</v>
      </c>
      <c r="J206" s="46">
        <f>IFERROR(IF(AND($U$5=FALSE,$U$4=FALSE),"-",VLOOKUP($E206,'Status Thresholds'!$E:$AU,43,FALSE)),"-")</f>
        <v>12</v>
      </c>
      <c r="K206" s="46">
        <f>IFERROR(IF(AND($U$5=FALSE,$U$4=FALSE),"-",VLOOKUP($E206,'Status Thresholds'!$E:$AU,41,FALSE)),"-")</f>
        <v>10</v>
      </c>
      <c r="L206" s="46">
        <f>IFERROR(IF(AND($U$5=FALSE,$U$4=FALSE),"-",VLOOKUP($E206,'Status Thresholds'!$E:$AU,42,FALSE)),"-")</f>
        <v>15</v>
      </c>
    </row>
    <row r="207" spans="1:12" x14ac:dyDescent="0.25">
      <c r="A207" s="35"/>
      <c r="B207" s="64" t="str">
        <f>VLOOKUP(C207,'Status Thresholds'!B:C,2,FALSE)</f>
        <v>MHGen</v>
      </c>
      <c r="C207" s="64" t="str">
        <f>IF('Status Thresholds'!B202=0, "", 'Status Thresholds'!B202)</f>
        <v>Daimyo Hermitaur</v>
      </c>
      <c r="D207" s="77" t="s">
        <v>213</v>
      </c>
      <c r="E207" s="36" t="str">
        <f t="shared" si="2"/>
        <v>Daimyo HermitaurPitfall Trap</v>
      </c>
      <c r="F207" s="46" t="s">
        <v>214</v>
      </c>
      <c r="G207" s="46" t="s">
        <v>214</v>
      </c>
      <c r="H207" s="46" t="s">
        <v>214</v>
      </c>
      <c r="I207" s="46" t="s">
        <v>214</v>
      </c>
      <c r="J207" s="46">
        <f>IFERROR(IF(AND($U$5=FALSE,$U$4=FALSE),"-",VLOOKUP($E207,'Status Thresholds'!$E:$AU,43,FALSE)),"-")</f>
        <v>12</v>
      </c>
      <c r="K207" s="46">
        <f>IFERROR(IF(AND($U$5=FALSE,$U$4=FALSE),"-",VLOOKUP($E207,'Status Thresholds'!$E:$AU,41,FALSE)),"-")</f>
        <v>12</v>
      </c>
      <c r="L207" s="46">
        <f>IFERROR(IF(AND($U$5=FALSE,$U$4=FALSE),"-",VLOOKUP($E207,'Status Thresholds'!$E:$AU,42,FALSE)),"-")</f>
        <v>25</v>
      </c>
    </row>
    <row r="208" spans="1:12" s="36" customFormat="1" hidden="1" x14ac:dyDescent="0.25">
      <c r="A208" s="64"/>
      <c r="B208" s="64" t="str">
        <f>IF('Status Thresholds'!A203=0, "", 'Status Thresholds'!A203)</f>
        <v>Deviant</v>
      </c>
      <c r="C208" s="64" t="str">
        <f>IF('Status Thresholds'!B203=0, "", 'Status Thresholds'!B203)</f>
        <v>Deadeye Yian Garuga</v>
      </c>
      <c r="D208" s="37" t="s">
        <v>0</v>
      </c>
      <c r="E208" s="36" t="str">
        <f t="shared" si="2"/>
        <v>Deadeye Yian GarugaPara</v>
      </c>
      <c r="F208" s="36" t="str">
        <f>IFERROR(
ROUNDUP(
IF(AND($U$5=FALSE,$U$4=FALSE),"-",IF(AND($U$5=TRUE,$U$4=TRUE),"-",
IF((AND($U$4=TRUE,$U$5=FALSE,$U$6=FALSE,$U$7=FALSE)),VLOOKUP($E208,'Status Thresholds'!$E:$AR,2,FALSE),IF((AND($U$4=TRUE,$U$5=FALSE,$U$6=TRUE,$U$7=FALSE)),VLOOKUP($E208,'Status Thresholds'!$E:$AR,12,FALSE),IF((AND($U$4=TRUE,$U$5=FALSE,$U$6=TRUE,$U$7=TRUE)),VLOOKUP($E208,'Status Thresholds'!$E:$AR,17,FALSE),IF((AND($U$4=TRUE,$U$5=FALSE,$U$6=FALSE,$U$7=TRUE)),VLOOKUP($E208,'Status Thresholds'!$E:$AR,7,FALSE),
IF((AND($U$4=FALSE,$U$5=TRUE,$U$6=FALSE,$U$7=FALSE)),VLOOKUP($E208,'Status Thresholds'!$E:$AR,22,FALSE),IF((AND($U$4=FALSE,$U$5=TRUE,$U$6=TRUE,$U$7=FALSE)),VLOOKUP($E208,'Status Thresholds'!$E:$AR,32,FALSE),IF((AND($U$4=FALSE,$U$5=TRUE,$U$6=TRUE,$U$7=TRUE)),VLOOKUP($E208,'Status Thresholds'!$E:$AR,37,FALSE),IF((AND($U$4=FALSE,$U$5=TRUE,$U$6=FALSE,$U$7=TRUE)),VLOOKUP($E208,'Status Thresholds'!$E:$AR,27,FALSE)))))))))
))/
IF(AND($X$2=FALSE,$X$3=FALSE,$X$4=FALSE,$X$5=TRUE,$X$6=FALSE,$X$7=FALSE,$X$8=FALSE,$Z$2=FALSE,$Z$3=FALSE,$Z$4=FALSE,$Z$5=FALSE,$Z$6=FALSE,$Z$7=FALSE,$Z$8=FALSE
),($F$3/2), IF(OR($X$2,$X$3,$X$4,$X$6,$X$7,$X$8,$Z$2,$Z$3,$Z$4,$Z$5,$Z$6,$Z$7,$Z$8)=TRUE,$F$3)),0),"-")</f>
        <v>-</v>
      </c>
      <c r="G208" s="36" t="str">
        <f>IFERROR(
ROUNDUP(
IF(AND($U$5=FALSE,$U$4=FALSE),"-",IF(AND($U$5=TRUE,$U$4=TRUE),"-",
IF((AND($U$4=TRUE,$U$5=FALSE,$U$6=FALSE,$U$7=FALSE)),VLOOKUP($E208,'Status Thresholds'!$E:$AR,3,FALSE),IF((AND($U$4=TRUE,$U$5=FALSE,$U$6=TRUE,$U$7=FALSE)),VLOOKUP($E208,'Status Thresholds'!$E:$AR,13,FALSE),IF((AND($U$4=TRUE,$U$5=FALSE,$U$6=TRUE,$U$7=TRUE)),VLOOKUP($E208,'Status Thresholds'!$E:$AR,18,FALSE),IF((AND($U$4=TRUE,$U$5=FALSE,$U$6=FALSE,$U$7=TRUE)),VLOOKUP($E208,'Status Thresholds'!$E:$AR,8,FALSE),
IF((AND($U$4=FALSE,$U$5=TRUE,$U$6=FALSE,$U$7=FALSE)),VLOOKUP($E208,'Status Thresholds'!$E:$AR,23,FALSE),IF((AND($U$4=FALSE,$U$5=TRUE,$U$6=TRUE,$U$7=FALSE)),VLOOKUP($E208,'Status Thresholds'!$E:$AR,33,FALSE),IF((AND($U$4=FALSE,$U$5=TRUE,$U$6=TRUE,$U$7=TRUE)),VLOOKUP($E208,'Status Thresholds'!$E:$AR,38,FALSE),IF((AND($U$4=FALSE,$U$5=TRUE,$U$6=FALSE,$U$7=TRUE)),VLOOKUP($E208,'Status Thresholds'!$E:$AR,28,FALSE)))))))))
))/
IF(AND($X$2=FALSE,$X$3=FALSE,$X$4=FALSE,$X$5=TRUE,$X$6=FALSE,$X$7=FALSE,$X$8=FALSE,$Z$2=FALSE,$Z$3=FALSE,$Z$4=FALSE,$Z$5=FALSE,$Z$6=FALSE,$Z$7=FALSE,$Z$8=FALSE
),($F$3/2), IF(OR($X$2,$X$3,$X$4,$X$6,$X$7,$X$8,$Z$2,$Z$3,$Z$4,$Z$5,$Z$6,$Z$7,$Z$8)=TRUE,$F$3)),0),"-")</f>
        <v>-</v>
      </c>
      <c r="H208" s="36" t="str">
        <f>IFERROR(
ROUNDUP(
IF(AND($U$5=FALSE,$U$4=FALSE),"-",IF(AND($U$5=TRUE,$U$4=TRUE),"-",
IF((AND($U$4=TRUE,$U$5=FALSE,$U$6=FALSE,$U$7=FALSE)),VLOOKUP($E208,'Status Thresholds'!$E:$AR,4,FALSE),IF((AND($U$4=TRUE,$U$5=FALSE,$U$6=TRUE,$U$7=FALSE)),VLOOKUP($E208,'Status Thresholds'!$E:$AR,14,FALSE),IF((AND($U$4=TRUE,$U$5=FALSE,$U$6=TRUE,$U$7=TRUE)),VLOOKUP($E208,'Status Thresholds'!$E:$AR,19,FALSE),IF((AND($U$4=TRUE,$U$5=FALSE,$U$6=FALSE,$U$7=TRUE)),VLOOKUP($E208,'Status Thresholds'!$E:$AR,9,FALSE),
IF((AND($U$4=FALSE,$U$5=TRUE,$U$6=FALSE,$U$7=FALSE)),VLOOKUP($E208,'Status Thresholds'!$E:$AR,24,FALSE),IF((AND($U$4=FALSE,$U$5=TRUE,$U$6=TRUE,$U$7=FALSE)),VLOOKUP($E208,'Status Thresholds'!$E:$AR,34,FALSE),IF((AND($U$4=FALSE,$U$5=TRUE,$U$6=TRUE,$U$7=TRUE)),VLOOKUP($E208,'Status Thresholds'!$E:$AR,39,FALSE),IF((AND($U$4=FALSE,$U$5=TRUE,$U$6=FALSE,$U$7=TRUE)),VLOOKUP($E208,'Status Thresholds'!$E:$AR,29,FALSE)))))))))
))/
IF(AND($X$2=FALSE,$X$3=FALSE,$X$4=FALSE,$X$5=TRUE,$X$6=FALSE,$X$7=FALSE,$X$8=FALSE,$Z$2=FALSE,$Z$3=FALSE,$Z$4=FALSE,$Z$5=FALSE,$Z$6=FALSE,$Z$7=FALSE,$Z$8=FALSE
),($F$3/2), IF(OR($X$2,$X$3,$X$4,$X$6,$X$7,$X$8,$Z$2,$Z$3,$Z$4,$Z$5,$Z$6,$Z$7,$Z$8)=TRUE,$F$3)),0),"-")</f>
        <v>-</v>
      </c>
      <c r="I208" s="36" t="str">
        <f>IFERROR(
ROUNDUP(
IF(AND($U$5=FALSE,$U$4=FALSE),"-",IF(AND($U$5=TRUE,$U$4=TRUE),"-",
IF((AND($U$4=TRUE,$U$5=FALSE,$U$6=FALSE,$U$7=FALSE)),VLOOKUP($E208,'Status Thresholds'!$E:$AR,5,FALSE),IF((AND($U$4=TRUE,$U$5=FALSE,$U$6=TRUE,$U$7=FALSE)),VLOOKUP($E208,'Status Thresholds'!$E:$AR,15,FALSE),IF((AND($U$4=TRUE,$U$5=FALSE,$U$6=TRUE,$U$7=TRUE)),VLOOKUP($E208,'Status Thresholds'!$E:$AR,20,FALSE),IF((AND($U$4=TRUE,$U$5=FALSE,$U$6=FALSE,$U$7=TRUE)),VLOOKUP($E208,'Status Thresholds'!$E:$AR,10,FALSE),
IF((AND($U$4=FALSE,$U$5=TRUE,$U$6=FALSE,$U$7=FALSE)),VLOOKUP($E208,'Status Thresholds'!$E:$AR,25,FALSE),IF((AND($U$4=FALSE,$U$5=TRUE,$U$6=TRUE,$U$7=FALSE)),VLOOKUP($E208,'Status Thresholds'!$E:$AR,35,FALSE),IF((AND($U$4=FALSE,$U$5=TRUE,$U$6=TRUE,$U$7=TRUE)),VLOOKUP($E208,'Status Thresholds'!$E:$AR,40,FALSE),IF((AND($U$4=FALSE,$U$5=TRUE,$U$6=FALSE,$U$7=TRUE)),VLOOKUP($E208,'Status Thresholds'!$E:$AR,30,FALSE)))))))))
))/
IF(AND($X$2=FALSE,$X$3=FALSE,$X$4=FALSE,$X$5=TRUE,$X$6=FALSE,$X$7=FALSE,$X$8=FALSE,$Z$2=FALSE,$Z$3=FALSE,$Z$4=FALSE,$Z$5=FALSE,$Z$6=FALSE,$Z$7=FALSE,$Z$8=FALSE
),($F$3/2), IF(OR($X$2,$X$3,$X$4,$X$6,$X$7,$X$8,$Z$2,$Z$3,$Z$4,$Z$5,$Z$6,$Z$7,$Z$8)=TRUE,$F$3)),0),"-")</f>
        <v>-</v>
      </c>
      <c r="J208" s="36">
        <f>IFERROR(IF(AND($U$5=FALSE,$U$4=FALSE),"-",VLOOKUP($E208,'Status Thresholds'!$E:$AU,41,FALSE)),"-")</f>
        <v>10</v>
      </c>
      <c r="K208" s="36" t="str">
        <f>IFERROR(IF(AND($U$5=FALSE,$U$4=FALSE),"-",VLOOKUP($E208,'Status Thresholds'!$E:$AU,42,FALSE)),"-")</f>
        <v>-</v>
      </c>
      <c r="L208" s="36" t="str">
        <f>IFERROR(IF(AND($U$5=FALSE,$U$4=FALSE),"-",VLOOKUP($E208,'Status Thresholds'!$E:$AU,43,FALSE)),"-")</f>
        <v>-</v>
      </c>
    </row>
    <row r="209" spans="1:12" hidden="1" x14ac:dyDescent="0.25">
      <c r="A209" s="35"/>
      <c r="B209" s="64" t="str">
        <f>IF('Status Thresholds'!A204=0, "", 'Status Thresholds'!A204)</f>
        <v>Deviant</v>
      </c>
      <c r="C209" s="64" t="str">
        <f>IF('Status Thresholds'!B204=0, "", 'Status Thresholds'!B204)</f>
        <v>Deadeye Yian Garuga</v>
      </c>
      <c r="D209" s="31" t="s">
        <v>32</v>
      </c>
      <c r="E209" s="36" t="str">
        <f t="shared" si="2"/>
        <v>Deadeye Yian GarugaSleep</v>
      </c>
      <c r="F209" s="36" t="str">
        <f>IFERROR(
ROUNDUP(
IF(AND($U$5=FALSE,$U$4=FALSE),"-",IF(AND($U$5=TRUE,$U$4=TRUE),"-",
IF((AND($U$4=TRUE,$U$5=FALSE,$U$6=FALSE,$U$7=FALSE)),VLOOKUP($E209,'Status Thresholds'!$E:$AR,2,FALSE),IF((AND($U$4=TRUE,$U$5=FALSE,$U$6=TRUE,$U$7=FALSE)),VLOOKUP($E209,'Status Thresholds'!$E:$AR,12,FALSE),IF((AND($U$4=TRUE,$U$5=FALSE,$U$6=TRUE,$U$7=TRUE)),VLOOKUP($E209,'Status Thresholds'!$E:$AR,17,FALSE),IF((AND($U$4=TRUE,$U$5=FALSE,$U$6=FALSE,$U$7=TRUE)),VLOOKUP($E209,'Status Thresholds'!$E:$AR,7,FALSE),
IF((AND($U$4=FALSE,$U$5=TRUE,$U$6=FALSE,$U$7=FALSE)),VLOOKUP($E209,'Status Thresholds'!$E:$AR,22,FALSE),IF((AND($U$4=FALSE,$U$5=TRUE,$U$6=TRUE,$U$7=FALSE)),VLOOKUP($E209,'Status Thresholds'!$E:$AR,32,FALSE),IF((AND($U$4=FALSE,$U$5=TRUE,$U$6=TRUE,$U$7=TRUE)),VLOOKUP($E209,'Status Thresholds'!$E:$AR,37,FALSE),IF((AND($U$4=FALSE,$U$5=TRUE,$U$6=FALSE,$U$7=TRUE)),VLOOKUP($E209,'Status Thresholds'!$E:$AR,27,FALSE)))))))))
))/
IF(AND($X$2=FALSE,$X$3=FALSE,$X$4=FALSE,$X$5=TRUE,$X$6=FALSE,$X$7=FALSE,$X$8=FALSE,$Z$2=FALSE,$Z$3=FALSE,$Z$4=FALSE,$Z$5=FALSE,$Z$6=FALSE,$Z$7=FALSE,$Z$8=FALSE
),($F$4/2), IF(OR($X$2,$X$3,$X$4,$X$6,$X$7,$X$8,$Z$2,$Z$3,$Z$4,$Z$5,$Z$6,$Z$7,$Z$8)=TRUE,$F$4)),0),"-")</f>
        <v>-</v>
      </c>
      <c r="G209" s="36" t="str">
        <f>IFERROR(
ROUNDUP(
IF(AND($U$5=FALSE,$U$4=FALSE),"-",IF(AND($U$5=TRUE,$U$4=TRUE),"-",
IF((AND($U$4=TRUE,$U$5=FALSE,$U$6=FALSE,$U$7=FALSE)),VLOOKUP($E209,'Status Thresholds'!$E:$AR,3,FALSE),IF((AND($U$4=TRUE,$U$5=FALSE,$U$6=TRUE,$U$7=FALSE)),VLOOKUP($E209,'Status Thresholds'!$E:$AR,13,FALSE),IF((AND($U$4=TRUE,$U$5=FALSE,$U$6=TRUE,$U$7=TRUE)),VLOOKUP($E209,'Status Thresholds'!$E:$AR,18,FALSE),IF((AND($U$4=TRUE,$U$5=FALSE,$U$6=FALSE,$U$7=TRUE)),VLOOKUP($E209,'Status Thresholds'!$E:$AR,8,FALSE),
IF((AND($U$4=FALSE,$U$5=TRUE,$U$6=FALSE,$U$7=FALSE)),VLOOKUP($E209,'Status Thresholds'!$E:$AR,23,FALSE),IF((AND($U$4=FALSE,$U$5=TRUE,$U$6=TRUE,$U$7=FALSE)),VLOOKUP($E209,'Status Thresholds'!$E:$AR,33,FALSE),IF((AND($U$4=FALSE,$U$5=TRUE,$U$6=TRUE,$U$7=TRUE)),VLOOKUP($E209,'Status Thresholds'!$E:$AR,38,FALSE),IF((AND($U$4=FALSE,$U$5=TRUE,$U$6=FALSE,$U$7=TRUE)),VLOOKUP($E209,'Status Thresholds'!$E:$AR,28,FALSE)))))))))
))/
IF(AND($X$2=FALSE,$X$3=FALSE,$X$4=FALSE,$X$5=TRUE,$X$6=FALSE,$X$7=FALSE,$X$8=FALSE,$Z$2=FALSE,$Z$3=FALSE,$Z$4=FALSE,$Z$5=FALSE,$Z$6=FALSE,$Z$7=FALSE,$Z$8=FALSE
),($F$4/2), IF(OR($X$2,$X$3,$X$4,$X$6,$X$7,$X$8,$Z$2,$Z$3,$Z$4,$Z$5,$Z$6,$Z$7,$Z$8)=TRUE,$F$4)),0),"-")</f>
        <v>-</v>
      </c>
      <c r="H209" s="36" t="str">
        <f>IFERROR(
ROUNDUP(
IF(AND($U$5=FALSE,$U$4=FALSE),"-",IF(AND($U$5=TRUE,$U$4=TRUE),"-",
IF((AND($U$4=TRUE,$U$5=FALSE,$U$6=FALSE,$U$7=FALSE)),VLOOKUP($E209,'Status Thresholds'!$E:$AR,4,FALSE),IF((AND($U$4=TRUE,$U$5=FALSE,$U$6=TRUE,$U$7=FALSE)),VLOOKUP($E209,'Status Thresholds'!$E:$AR,14,FALSE),IF((AND($U$4=TRUE,$U$5=FALSE,$U$6=TRUE,$U$7=TRUE)),VLOOKUP($E209,'Status Thresholds'!$E:$AR,19,FALSE),IF((AND($U$4=TRUE,$U$5=FALSE,$U$6=FALSE,$U$7=TRUE)),VLOOKUP($E209,'Status Thresholds'!$E:$AR,9,FALSE),
IF((AND($U$4=FALSE,$U$5=TRUE,$U$6=FALSE,$U$7=FALSE)),VLOOKUP($E209,'Status Thresholds'!$E:$AR,24,FALSE),IF((AND($U$4=FALSE,$U$5=TRUE,$U$6=TRUE,$U$7=FALSE)),VLOOKUP($E209,'Status Thresholds'!$E:$AR,34,FALSE),IF((AND($U$4=FALSE,$U$5=TRUE,$U$6=TRUE,$U$7=TRUE)),VLOOKUP($E209,'Status Thresholds'!$E:$AR,39,FALSE),IF((AND($U$4=FALSE,$U$5=TRUE,$U$6=FALSE,$U$7=TRUE)),VLOOKUP($E209,'Status Thresholds'!$E:$AR,29,FALSE)))))))))
))/
IF(AND($X$2=FALSE,$X$3=FALSE,$X$4=FALSE,$X$5=TRUE,$X$6=FALSE,$X$7=FALSE,$X$8=FALSE,$Z$2=FALSE,$Z$3=FALSE,$Z$4=FALSE,$Z$5=FALSE,$Z$6=FALSE,$Z$7=FALSE,$Z$8=FALSE
),($F$4/2), IF(OR($X$2,$X$3,$X$4,$X$6,$X$7,$X$8,$Z$2,$Z$3,$Z$4,$Z$5,$Z$6,$Z$7,$Z$8)=TRUE,$F$4)),0),"-")</f>
        <v>-</v>
      </c>
      <c r="I209" s="36" t="str">
        <f>IFERROR(
ROUNDUP(
IF(AND($U$5=FALSE,$U$4=FALSE),"-",IF(AND($U$5=TRUE,$U$4=TRUE),"-",
IF((AND($U$4=TRUE,$U$5=FALSE,$U$6=FALSE,$U$7=FALSE)),VLOOKUP($E209,'Status Thresholds'!$E:$AR,5,FALSE),IF((AND($U$4=TRUE,$U$5=FALSE,$U$6=TRUE,$U$7=FALSE)),VLOOKUP($E209,'Status Thresholds'!$E:$AR,15,FALSE),IF((AND($U$4=TRUE,$U$5=FALSE,$U$6=TRUE,$U$7=TRUE)),VLOOKUP($E209,'Status Thresholds'!$E:$AR,20,FALSE),IF((AND($U$4=TRUE,$U$5=FALSE,$U$6=FALSE,$U$7=TRUE)),VLOOKUP($E209,'Status Thresholds'!$E:$AR,10,FALSE),
IF((AND($U$4=FALSE,$U$5=TRUE,$U$6=FALSE,$U$7=FALSE)),VLOOKUP($E209,'Status Thresholds'!$E:$AR,25,FALSE),IF((AND($U$4=FALSE,$U$5=TRUE,$U$6=TRUE,$U$7=FALSE)),VLOOKUP($E209,'Status Thresholds'!$E:$AR,35,FALSE),IF((AND($U$4=FALSE,$U$5=TRUE,$U$6=TRUE,$U$7=TRUE)),VLOOKUP($E209,'Status Thresholds'!$E:$AR,40,FALSE),IF((AND($U$4=FALSE,$U$5=TRUE,$U$6=FALSE,$U$7=TRUE)),VLOOKUP($E209,'Status Thresholds'!$E:$AR,30,FALSE)))))))))
))/
IF(AND($X$2=FALSE,$X$3=FALSE,$X$4=FALSE,$X$5=TRUE,$X$6=FALSE,$X$7=FALSE,$X$8=FALSE,$Z$2=FALSE,$Z$3=FALSE,$Z$4=FALSE,$Z$5=FALSE,$Z$6=FALSE,$Z$7=FALSE,$Z$8=FALSE
),($F$4/2), IF(OR($X$2,$X$3,$X$4,$X$6,$X$7,$X$8,$Z$2,$Z$3,$Z$4,$Z$5,$Z$6,$Z$7,$Z$8)=TRUE,$F$4)),0),"-")</f>
        <v>-</v>
      </c>
      <c r="J209" s="46">
        <f>IFERROR(IF(AND($U$5=FALSE,$U$4=FALSE),"-",VLOOKUP($E209,'Status Thresholds'!$E:$AU,41,FALSE)),"-")</f>
        <v>40</v>
      </c>
      <c r="K209" s="46" t="str">
        <f>IFERROR(IF(AND($U$5=FALSE,$U$4=FALSE),"-",VLOOKUP($E209,'Status Thresholds'!$E:$AU,42,FALSE)),"-")</f>
        <v>-</v>
      </c>
      <c r="L209" s="46" t="str">
        <f>IFERROR(IF(AND($U$5=FALSE,$U$4=FALSE),"-",VLOOKUP($E209,'Status Thresholds'!$E:$AU,43,FALSE)),"-")</f>
        <v>-</v>
      </c>
    </row>
    <row r="210" spans="1:12" hidden="1" x14ac:dyDescent="0.25">
      <c r="A210" s="35"/>
      <c r="B210" s="64" t="str">
        <f>IF('Status Thresholds'!A205=0, "", 'Status Thresholds'!A205)</f>
        <v>Deviant</v>
      </c>
      <c r="C210" s="64" t="str">
        <f>IF('Status Thresholds'!B205=0, "", 'Status Thresholds'!B205)</f>
        <v>Deadeye Yian Garuga</v>
      </c>
      <c r="D210" s="32" t="s">
        <v>33</v>
      </c>
      <c r="E210" s="36" t="str">
        <f t="shared" si="2"/>
        <v>Deadeye Yian GarugaPoison</v>
      </c>
      <c r="F210" s="36" t="str">
        <f>IFERROR(
ROUNDUP(
IF(AND($U$5=FALSE,$U$4=FALSE),"-",IF(AND($U$5=TRUE,$U$4=TRUE),"-",
IF((AND($U$4=TRUE,$U$5=FALSE,$U$6=FALSE,$U$7=FALSE)),VLOOKUP($E210,'Status Thresholds'!$E:$AR,2,FALSE),IF((AND($U$4=TRUE,$U$5=FALSE,$U$6=TRUE,$U$7=FALSE)),VLOOKUP($E210,'Status Thresholds'!$E:$AR,12,FALSE),IF((AND($U$4=TRUE,$U$5=FALSE,$U$6=TRUE,$U$7=TRUE)),VLOOKUP($E210,'Status Thresholds'!$E:$AR,17,FALSE),IF((AND($U$4=TRUE,$U$5=FALSE,$U$6=FALSE,$U$7=TRUE)),VLOOKUP($E210,'Status Thresholds'!$E:$AR,7,FALSE),
IF((AND($U$4=FALSE,$U$5=TRUE,$U$6=FALSE,$U$7=FALSE)),VLOOKUP($E210,'Status Thresholds'!$E:$AR,22,FALSE),IF((AND($U$4=FALSE,$U$5=TRUE,$U$6=TRUE,$U$7=FALSE)),VLOOKUP($E210,'Status Thresholds'!$E:$AR,32,FALSE),IF((AND($U$4=FALSE,$U$5=TRUE,$U$6=TRUE,$U$7=TRUE)),VLOOKUP($E210,'Status Thresholds'!$E:$AR,37,FALSE),IF((AND($U$4=FALSE,$U$5=TRUE,$U$6=FALSE,$U$7=TRUE)),VLOOKUP($E210,'Status Thresholds'!$E:$AR,27,FALSE)))))))))
))/
IF(AND($X$2=FALSE,$X$3=FALSE,$X$4=FALSE,$X$5=TRUE,$X$6=FALSE,$X$7=FALSE,$X$8=FALSE,$Z$2=FALSE,$Z$3=FALSE,$Z$4=FALSE,$Z$5=FALSE,$Z$6=FALSE,$Z$7=FALSE,$Z$8=FALSE
),($F$5/2), IF(OR($X$2,$X$3,$X$4,$X$6,$X$7,$X$8,$Z$2,$Z$3,$Z$4,$Z$5,$Z$6,$Z$7,$Z$8)=TRUE,$F$5)),0),"-")</f>
        <v>-</v>
      </c>
      <c r="G210" s="36" t="str">
        <f>IFERROR(
ROUNDUP(
IF(AND($U$5=FALSE,$U$4=FALSE),"-",IF(AND($U$5=TRUE,$U$4=TRUE),"-",
IF((AND($U$4=TRUE,$U$5=FALSE,$U$6=FALSE,$U$7=FALSE)),VLOOKUP($E210,'Status Thresholds'!$E:$AR,3,FALSE),IF((AND($U$4=TRUE,$U$5=FALSE,$U$6=TRUE,$U$7=FALSE)),VLOOKUP($E210,'Status Thresholds'!$E:$AR,13,FALSE),IF((AND($U$4=TRUE,$U$5=FALSE,$U$6=TRUE,$U$7=TRUE)),VLOOKUP($E210,'Status Thresholds'!$E:$AR,18,FALSE),IF((AND($U$4=TRUE,$U$5=FALSE,$U$6=FALSE,$U$7=TRUE)),VLOOKUP($E210,'Status Thresholds'!$E:$AR,8,FALSE),
IF((AND($U$4=FALSE,$U$5=TRUE,$U$6=FALSE,$U$7=FALSE)),VLOOKUP($E210,'Status Thresholds'!$E:$AR,23,FALSE),IF((AND($U$4=FALSE,$U$5=TRUE,$U$6=TRUE,$U$7=FALSE)),VLOOKUP($E210,'Status Thresholds'!$E:$AR,33,FALSE),IF((AND($U$4=FALSE,$U$5=TRUE,$U$6=TRUE,$U$7=TRUE)),VLOOKUP($E210,'Status Thresholds'!$E:$AR,38,FALSE),IF((AND($U$4=FALSE,$U$5=TRUE,$U$6=FALSE,$U$7=TRUE)),VLOOKUP($E210,'Status Thresholds'!$E:$AR,28,FALSE)))))))))
))/
IF(AND($X$2=FALSE,$X$3=FALSE,$X$4=FALSE,$X$5=TRUE,$X$6=FALSE,$X$7=FALSE,$X$8=FALSE,$Z$2=FALSE,$Z$3=FALSE,$Z$4=FALSE,$Z$5=FALSE,$Z$6=FALSE,$Z$7=FALSE,$Z$8=FALSE
),($F$5/2), IF(OR($X$2,$X$3,$X$4,$X$6,$X$7,$X$8,$Z$2,$Z$3,$Z$4,$Z$5,$Z$6,$Z$7,$Z$8)=TRUE,$F$5)),0),"-")</f>
        <v>-</v>
      </c>
      <c r="H210" s="36" t="str">
        <f>IFERROR(
ROUNDUP(
IF(AND($U$5=FALSE,$U$4=FALSE),"-",IF(AND($U$5=TRUE,$U$4=TRUE),"-",
IF((AND($U$4=TRUE,$U$5=FALSE,$U$6=FALSE,$U$7=FALSE)),VLOOKUP($E210,'Status Thresholds'!$E:$AR,4,FALSE),IF((AND($U$4=TRUE,$U$5=FALSE,$U$6=TRUE,$U$7=FALSE)),VLOOKUP($E210,'Status Thresholds'!$E:$AR,14,FALSE),IF((AND($U$4=TRUE,$U$5=FALSE,$U$6=TRUE,$U$7=TRUE)),VLOOKUP($E210,'Status Thresholds'!$E:$AR,19,FALSE),IF((AND($U$4=TRUE,$U$5=FALSE,$U$6=FALSE,$U$7=TRUE)),VLOOKUP($E210,'Status Thresholds'!$E:$AR,9,FALSE),
IF((AND($U$4=FALSE,$U$5=TRUE,$U$6=FALSE,$U$7=FALSE)),VLOOKUP($E210,'Status Thresholds'!$E:$AR,24,FALSE),IF((AND($U$4=FALSE,$U$5=TRUE,$U$6=TRUE,$U$7=FALSE)),VLOOKUP($E210,'Status Thresholds'!$E:$AR,34,FALSE),IF((AND($U$4=FALSE,$U$5=TRUE,$U$6=TRUE,$U$7=TRUE)),VLOOKUP($E210,'Status Thresholds'!$E:$AR,39,FALSE),IF((AND($U$4=FALSE,$U$5=TRUE,$U$6=FALSE,$U$7=TRUE)),VLOOKUP($E210,'Status Thresholds'!$E:$AR,29,FALSE)))))))))
))/
IF(AND($X$2=FALSE,$X$3=FALSE,$X$4=FALSE,$X$5=TRUE,$X$6=FALSE,$X$7=FALSE,$X$8=FALSE,$Z$2=FALSE,$Z$3=FALSE,$Z$4=FALSE,$Z$5=FALSE,$Z$6=FALSE,$Z$7=FALSE,$Z$8=FALSE
),($F$5/2), IF(OR($X$2,$X$3,$X$4,$X$6,$X$7,$X$8,$Z$2,$Z$3,$Z$4,$Z$5,$Z$6,$Z$7,$Z$8)=TRUE,$F$5)),0),"-")</f>
        <v>-</v>
      </c>
      <c r="I210" s="36" t="str">
        <f>IFERROR(
ROUNDUP(
IF(AND($U$5=FALSE,$U$4=FALSE),"-",IF(AND($U$5=TRUE,$U$4=TRUE),"-",
IF((AND($U$4=TRUE,$U$5=FALSE,$U$6=FALSE,$U$7=FALSE)),VLOOKUP($E210,'Status Thresholds'!$E:$AR,5,FALSE),IF((AND($U$4=TRUE,$U$5=FALSE,$U$6=TRUE,$U$7=FALSE)),VLOOKUP($E210,'Status Thresholds'!$E:$AR,15,FALSE),IF((AND($U$4=TRUE,$U$5=FALSE,$U$6=TRUE,$U$7=TRUE)),VLOOKUP($E210,'Status Thresholds'!$E:$AR,20,FALSE),IF((AND($U$4=TRUE,$U$5=FALSE,$U$6=FALSE,$U$7=TRUE)),VLOOKUP($E210,'Status Thresholds'!$E:$AR,10,FALSE),
IF((AND($U$4=FALSE,$U$5=TRUE,$U$6=FALSE,$U$7=FALSE)),VLOOKUP($E210,'Status Thresholds'!$E:$AR,25,FALSE),IF((AND($U$4=FALSE,$U$5=TRUE,$U$6=TRUE,$U$7=FALSE)),VLOOKUP($E210,'Status Thresholds'!$E:$AR,35,FALSE),IF((AND($U$4=FALSE,$U$5=TRUE,$U$6=TRUE,$U$7=TRUE)),VLOOKUP($E210,'Status Thresholds'!$E:$AR,40,FALSE),IF((AND($U$4=FALSE,$U$5=TRUE,$U$6=FALSE,$U$7=TRUE)),VLOOKUP($E210,'Status Thresholds'!$E:$AR,30,FALSE)))))))))
))/
IF(AND($X$2=FALSE,$X$3=FALSE,$X$4=FALSE,$X$5=TRUE,$X$6=FALSE,$X$7=FALSE,$X$8=FALSE,$Z$2=FALSE,$Z$3=FALSE,$Z$4=FALSE,$Z$5=FALSE,$Z$6=FALSE,$Z$7=FALSE,$Z$8=FALSE
),($F$5/2), IF(OR($X$2,$X$3,$X$4,$X$6,$X$7,$X$8,$Z$2,$Z$3,$Z$4,$Z$5,$Z$6,$Z$7,$Z$8)=TRUE,$F$5)),0),"-")</f>
        <v>-</v>
      </c>
      <c r="J210" s="46">
        <f>IFERROR(IF(AND($U$5=FALSE,$U$4=FALSE),"-",VLOOKUP($E210,'Status Thresholds'!$E:$AU,41,FALSE)),"-")</f>
        <v>0</v>
      </c>
      <c r="K210" s="46" t="str">
        <f>IFERROR(IF(AND($U$5=FALSE,$U$4=FALSE),"-",VLOOKUP($E210,'Status Thresholds'!$E:$AU,42,FALSE)),"-")</f>
        <v>-</v>
      </c>
      <c r="L210" s="46" t="str">
        <f>IFERROR(IF(AND($U$5=FALSE,$U$4=FALSE),"-",VLOOKUP($E210,'Status Thresholds'!$E:$AU,43,FALSE)),"-")</f>
        <v>-</v>
      </c>
    </row>
    <row r="211" spans="1:12" hidden="1" x14ac:dyDescent="0.25">
      <c r="A211" s="35"/>
      <c r="B211" s="64" t="str">
        <f>IF('Status Thresholds'!A206=0, "", 'Status Thresholds'!A206)</f>
        <v>Deviant</v>
      </c>
      <c r="C211" s="64" t="str">
        <f>IF('Status Thresholds'!B206=0, "", 'Status Thresholds'!B206)</f>
        <v>Deadeye Yian Garuga</v>
      </c>
      <c r="D211" s="10" t="s">
        <v>22</v>
      </c>
      <c r="E211" s="36" t="str">
        <f t="shared" si="2"/>
        <v>Deadeye Yian GarugaExhaust</v>
      </c>
      <c r="F211" s="36" t="str">
        <f>IFERROR(
ROUNDUP(
IF(AND($U$5=FALSE,$U$4=FALSE),"-",IF(AND($U$5=TRUE,$U$4=TRUE),"-",
IF((AND($U$4=TRUE,$U$5=FALSE,$U$6=FALSE,$U$7=FALSE)),VLOOKUP($E211,'Status Thresholds'!$E:$AR,2,FALSE),IF((AND($U$4=TRUE,$U$5=FALSE,$U$6=TRUE,$U$7=FALSE)),VLOOKUP($E211,'Status Thresholds'!$E:$AR,12,FALSE),IF((AND($U$4=TRUE,$U$5=FALSE,$U$6=TRUE,$U$7=TRUE)),VLOOKUP($E211,'Status Thresholds'!$E:$AR,17,FALSE),IF((AND($U$4=TRUE,$U$5=FALSE,$U$6=FALSE,$U$7=TRUE)),VLOOKUP($E211,'Status Thresholds'!$E:$AR,7,FALSE),
IF((AND($U$4=FALSE,$U$5=TRUE,$U$6=FALSE,$U$7=FALSE)),VLOOKUP($E211,'Status Thresholds'!$E:$AR,22,FALSE),IF((AND($U$4=FALSE,$U$5=TRUE,$U$6=TRUE,$U$7=FALSE)),VLOOKUP($E211,'Status Thresholds'!$E:$AR,32,FALSE),IF((AND($U$4=FALSE,$U$5=TRUE,$U$6=TRUE,$U$7=TRUE)),VLOOKUP($E211,'Status Thresholds'!$E:$AR,37,FALSE),IF((AND($U$4=FALSE,$U$5=TRUE,$U$6=FALSE,$U$7=TRUE)),VLOOKUP($E211,'Status Thresholds'!$E:$AR,27,FALSE)))))))))
))/
IF(AND($X$2=FALSE,$X$3=FALSE,$X$4=FALSE,$X$5=TRUE,$X$6=FALSE,$X$7=FALSE,$X$8=FALSE,$Z$2=FALSE,$Z$3=FALSE,$Z$4=FALSE,$Z$5=FALSE,$Z$6=FALSE,$Z$7=FALSE,$Z$8=FALSE
),($F$6/2), IF(OR($X$2,$X$3,$X$4,$X$6,$X$7,$X$8,$Z$2,$Z$3,$Z$4,$Z$5,$Z$6,$Z$7,$Z$8)=TRUE,$F$6)),0),"-")</f>
        <v>-</v>
      </c>
      <c r="G211" s="36" t="str">
        <f>IFERROR(
ROUNDUP(
IF(AND($U$5=FALSE,$U$4=FALSE),"-",IF(AND($U$5=TRUE,$U$4=TRUE),"-",
IF((AND($U$4=TRUE,$U$5=FALSE,$U$6=FALSE,$U$7=FALSE)),VLOOKUP($E211,'Status Thresholds'!$E:$AR,3,FALSE),IF((AND($U$4=TRUE,$U$5=FALSE,$U$6=TRUE,$U$7=FALSE)),VLOOKUP($E211,'Status Thresholds'!$E:$AR,13,FALSE),IF((AND($U$4=TRUE,$U$5=FALSE,$U$6=TRUE,$U$7=TRUE)),VLOOKUP($E211,'Status Thresholds'!$E:$AR,18,FALSE),IF((AND($U$4=TRUE,$U$5=FALSE,$U$6=FALSE,$U$7=TRUE)),VLOOKUP($E211,'Status Thresholds'!$E:$AR,8,FALSE),
IF((AND($U$4=FALSE,$U$5=TRUE,$U$6=FALSE,$U$7=FALSE)),VLOOKUP($E211,'Status Thresholds'!$E:$AR,23,FALSE),IF((AND($U$4=FALSE,$U$5=TRUE,$U$6=TRUE,$U$7=FALSE)),VLOOKUP($E211,'Status Thresholds'!$E:$AR,33,FALSE),IF((AND($U$4=FALSE,$U$5=TRUE,$U$6=TRUE,$U$7=TRUE)),VLOOKUP($E211,'Status Thresholds'!$E:$AR,38,FALSE),IF((AND($U$4=FALSE,$U$5=TRUE,$U$6=FALSE,$U$7=TRUE)),VLOOKUP($E211,'Status Thresholds'!$E:$AR,28,FALSE)))))))))
))/
IF(AND($X$2=FALSE,$X$3=FALSE,$X$4=FALSE,$X$5=TRUE,$X$6=FALSE,$X$7=FALSE,$X$8=FALSE,$Z$2=FALSE,$Z$3=FALSE,$Z$4=FALSE,$Z$5=FALSE,$Z$6=FALSE,$Z$7=FALSE,$Z$8=FALSE
),($F$6/2), IF(OR($X$2,$X$3,$X$4,$X$6,$X$7,$X$8,$Z$2,$Z$3,$Z$4,$Z$5,$Z$6,$Z$7,$Z$8)=TRUE,$F$6)),0),"-")</f>
        <v>-</v>
      </c>
      <c r="H211" s="36" t="str">
        <f>IFERROR(
ROUNDUP(
IF(AND($U$5=FALSE,$U$4=FALSE),"-",IF(AND($U$5=TRUE,$U$4=TRUE),"-",
IF((AND($U$4=TRUE,$U$5=FALSE,$U$6=FALSE,$U$7=FALSE)),VLOOKUP($E211,'Status Thresholds'!$E:$AR,4,FALSE),IF((AND($U$4=TRUE,$U$5=FALSE,$U$6=TRUE,$U$7=FALSE)),VLOOKUP($E211,'Status Thresholds'!$E:$AR,14,FALSE),IF((AND($U$4=TRUE,$U$5=FALSE,$U$6=TRUE,$U$7=TRUE)),VLOOKUP($E211,'Status Thresholds'!$E:$AR,19,FALSE),IF((AND($U$4=TRUE,$U$5=FALSE,$U$6=FALSE,$U$7=TRUE)),VLOOKUP($E211,'Status Thresholds'!$E:$AR,9,FALSE),
IF((AND($U$4=FALSE,$U$5=TRUE,$U$6=FALSE,$U$7=FALSE)),VLOOKUP($E211,'Status Thresholds'!$E:$AR,24,FALSE),IF((AND($U$4=FALSE,$U$5=TRUE,$U$6=TRUE,$U$7=FALSE)),VLOOKUP($E211,'Status Thresholds'!$E:$AR,34,FALSE),IF((AND($U$4=FALSE,$U$5=TRUE,$U$6=TRUE,$U$7=TRUE)),VLOOKUP($E211,'Status Thresholds'!$E:$AR,39,FALSE),IF((AND($U$4=FALSE,$U$5=TRUE,$U$6=FALSE,$U$7=TRUE)),VLOOKUP($E211,'Status Thresholds'!$E:$AR,29,FALSE)))))))))
))/
IF(AND($X$2=FALSE,$X$3=FALSE,$X$4=FALSE,$X$5=TRUE,$X$6=FALSE,$X$7=FALSE,$X$8=FALSE,$Z$2=FALSE,$Z$3=FALSE,$Z$4=FALSE,$Z$5=FALSE,$Z$6=FALSE,$Z$7=FALSE,$Z$8=FALSE
),($F$6/2), IF(OR($X$2,$X$3,$X$4,$X$6,$X$7,$X$8,$Z$2,$Z$3,$Z$4,$Z$5,$Z$6,$Z$7,$Z$8)=TRUE,$F$6)),0),"-")</f>
        <v>-</v>
      </c>
      <c r="I211" s="36" t="str">
        <f>IFERROR(
ROUNDUP(
IF(AND($U$5=FALSE,$U$4=FALSE),"-",IF(AND($U$5=TRUE,$U$4=TRUE),"-",
IF((AND($U$4=TRUE,$U$5=FALSE,$U$6=FALSE,$U$7=FALSE)),VLOOKUP($E211,'Status Thresholds'!$E:$AR,5,FALSE),IF((AND($U$4=TRUE,$U$5=FALSE,$U$6=TRUE,$U$7=FALSE)),VLOOKUP($E211,'Status Thresholds'!$E:$AR,15,FALSE),IF((AND($U$4=TRUE,$U$5=FALSE,$U$6=TRUE,$U$7=TRUE)),VLOOKUP($E211,'Status Thresholds'!$E:$AR,20,FALSE),IF((AND($U$4=TRUE,$U$5=FALSE,$U$6=FALSE,$U$7=TRUE)),VLOOKUP($E211,'Status Thresholds'!$E:$AR,10,FALSE),
IF((AND($U$4=FALSE,$U$5=TRUE,$U$6=FALSE,$U$7=FALSE)),VLOOKUP($E211,'Status Thresholds'!$E:$AR,25,FALSE),IF((AND($U$4=FALSE,$U$5=TRUE,$U$6=TRUE,$U$7=FALSE)),VLOOKUP($E211,'Status Thresholds'!$E:$AR,35,FALSE),IF((AND($U$4=FALSE,$U$5=TRUE,$U$6=TRUE,$U$7=TRUE)),VLOOKUP($E211,'Status Thresholds'!$E:$AR,40,FALSE),IF((AND($U$4=FALSE,$U$5=TRUE,$U$6=FALSE,$U$7=TRUE)),VLOOKUP($E211,'Status Thresholds'!$E:$AR,30,FALSE)))))))))
))/
IF(AND($X$2=FALSE,$X$3=FALSE,$X$4=FALSE,$X$5=TRUE,$X$6=FALSE,$X$7=FALSE,$X$8=FALSE,$Z$2=FALSE,$Z$3=FALSE,$Z$4=FALSE,$Z$5=FALSE,$Z$6=FALSE,$Z$7=FALSE,$Z$8=FALSE
),($F$6/2), IF(OR($X$2,$X$3,$X$4,$X$6,$X$7,$X$8,$Z$2,$Z$3,$Z$4,$Z$5,$Z$6,$Z$7,$Z$8)=TRUE,$F$6)),0),"-")</f>
        <v>-</v>
      </c>
      <c r="J211" s="46">
        <f>IFERROR(IF(AND($U$5=FALSE,$U$4=FALSE),"-",VLOOKUP($E211,'Status Thresholds'!$E:$AU,41,FALSE)),"-")</f>
        <v>0</v>
      </c>
      <c r="K211" s="46" t="str">
        <f>IFERROR(IF(AND($U$5=FALSE,$U$4=FALSE),"-",VLOOKUP($E211,'Status Thresholds'!$E:$AU,42,FALSE)),"-")</f>
        <v>-</v>
      </c>
      <c r="L211" s="46" t="str">
        <f>IFERROR(IF(AND($U$5=FALSE,$U$4=FALSE),"-",VLOOKUP($E211,'Status Thresholds'!$E:$AU,43,FALSE)),"-")</f>
        <v>-</v>
      </c>
    </row>
    <row r="212" spans="1:12" hidden="1" x14ac:dyDescent="0.25">
      <c r="A212" s="35"/>
      <c r="B212" s="64" t="str">
        <f>IF('Status Thresholds'!A207=0, "", 'Status Thresholds'!A207)</f>
        <v>Deviant</v>
      </c>
      <c r="C212" s="64" t="str">
        <f>IF('Status Thresholds'!B207=0, "", 'Status Thresholds'!B207)</f>
        <v>Deadeye Yian Garuga</v>
      </c>
      <c r="D212" s="30" t="s">
        <v>35</v>
      </c>
      <c r="E212" s="36" t="str">
        <f t="shared" si="2"/>
        <v>Deadeye Yian GarugaBlast</v>
      </c>
      <c r="F212" s="36" t="str">
        <f>IFERROR(
ROUNDUP(
IF(AND($U$5=FALSE,$U$4=FALSE),"-",IF(AND($U$5=TRUE,$U$4=TRUE),"-",
IF((AND($U$4=TRUE,$U$5=FALSE,$U$6=FALSE,$U$7=FALSE)),VLOOKUP($E212,'Status Thresholds'!$E:$AR,2,FALSE),IF((AND($U$4=TRUE,$U$5=FALSE,$U$6=TRUE,$U$7=FALSE)),VLOOKUP($E212,'Status Thresholds'!$E:$AR,12,FALSE),IF((AND($U$4=TRUE,$U$5=FALSE,$U$6=TRUE,$U$7=TRUE)),VLOOKUP($E212,'Status Thresholds'!$E:$AR,17,FALSE),IF((AND($U$4=TRUE,$U$5=FALSE,$U$6=FALSE,$U$7=TRUE)),VLOOKUP($E212,'Status Thresholds'!$E:$AR,7,FALSE),
IF((AND($U$4=FALSE,$U$5=TRUE,$U$6=FALSE,$U$7=FALSE)),VLOOKUP($E212,'Status Thresholds'!$E:$AR,22,FALSE),IF((AND($U$4=FALSE,$U$5=TRUE,$U$6=TRUE,$U$7=FALSE)),VLOOKUP($E212,'Status Thresholds'!$E:$AR,32,FALSE),IF((AND($U$4=FALSE,$U$5=TRUE,$U$6=TRUE,$U$7=TRUE)),VLOOKUP($E212,'Status Thresholds'!$E:$AR,37,FALSE),IF((AND($U$4=FALSE,$U$5=TRUE,$U$6=FALSE,$U$7=TRUE)),VLOOKUP($E212,'Status Thresholds'!$E:$AR,27,FALSE)))))))))
))/
IF(AND($X$2=FALSE,$X$3=FALSE,$X$4=FALSE,$X$5=TRUE,$X$6=FALSE,$X$7=FALSE,$X$8=FALSE,$Z$2=FALSE,$Z$3=FALSE,$Z$4=FALSE,$Z$5=FALSE,$Z$6=FALSE,$Z$7=FALSE,$Z$8=FALSE
),($F$7/2), IF(OR($X$2,$X$3,$X$4,$X$6,$X$7,$X$8,$Z$2,$Z$3,$Z$4,$Z$5,$Z$6,$Z$7,$Z$8)=TRUE,$F$7)),0),"-")</f>
        <v>-</v>
      </c>
      <c r="G212" s="36" t="str">
        <f>IFERROR(
ROUNDUP(
IF(AND($U$5=FALSE,$U$4=FALSE),"-",IF(AND($U$5=TRUE,$U$4=TRUE),"-",
IF((AND($U$4=TRUE,$U$5=FALSE,$U$6=FALSE,$U$7=FALSE)),VLOOKUP($E212,'Status Thresholds'!$E:$AR,3,FALSE),IF((AND($U$4=TRUE,$U$5=FALSE,$U$6=TRUE,$U$7=FALSE)),VLOOKUP($E212,'Status Thresholds'!$E:$AR,13,FALSE),IF((AND($U$4=TRUE,$U$5=FALSE,$U$6=TRUE,$U$7=TRUE)),VLOOKUP($E212,'Status Thresholds'!$E:$AR,18,FALSE),IF((AND($U$4=TRUE,$U$5=FALSE,$U$6=FALSE,$U$7=TRUE)),VLOOKUP($E212,'Status Thresholds'!$E:$AR,8,FALSE),
IF((AND($U$4=FALSE,$U$5=TRUE,$U$6=FALSE,$U$7=FALSE)),VLOOKUP($E212,'Status Thresholds'!$E:$AR,23,FALSE),IF((AND($U$4=FALSE,$U$5=TRUE,$U$6=TRUE,$U$7=FALSE)),VLOOKUP($E212,'Status Thresholds'!$E:$AR,33,FALSE),IF((AND($U$4=FALSE,$U$5=TRUE,$U$6=TRUE,$U$7=TRUE)),VLOOKUP($E212,'Status Thresholds'!$E:$AR,38,FALSE),IF((AND($U$4=FALSE,$U$5=TRUE,$U$6=FALSE,$U$7=TRUE)),VLOOKUP($E212,'Status Thresholds'!$E:$AR,28,FALSE)))))))))
))/
IF(AND($X$2=FALSE,$X$3=FALSE,$X$4=FALSE,$X$5=TRUE,$X$6=FALSE,$X$7=FALSE,$X$8=FALSE,$Z$2=FALSE,$Z$3=FALSE,$Z$4=FALSE,$Z$5=FALSE,$Z$6=FALSE,$Z$7=FALSE,$Z$8=FALSE
),($F$7/2), IF(OR($X$2,$X$3,$X$4,$X$6,$X$7,$X$8,$Z$2,$Z$3,$Z$4,$Z$5,$Z$6,$Z$7,$Z$8)=TRUE,$F$7)),0),"-")</f>
        <v>-</v>
      </c>
      <c r="H212" s="36" t="str">
        <f>IFERROR(
ROUNDUP(
IF(AND($U$5=FALSE,$U$4=FALSE),"-",IF(AND($U$5=TRUE,$U$4=TRUE),"-",
IF((AND($U$4=TRUE,$U$5=FALSE,$U$6=FALSE,$U$7=FALSE)),VLOOKUP($E212,'Status Thresholds'!$E:$AR,4,FALSE),IF((AND($U$4=TRUE,$U$5=FALSE,$U$6=TRUE,$U$7=FALSE)),VLOOKUP($E212,'Status Thresholds'!$E:$AR,14,FALSE),IF((AND($U$4=TRUE,$U$5=FALSE,$U$6=TRUE,$U$7=TRUE)),VLOOKUP($E212,'Status Thresholds'!$E:$AR,19,FALSE),IF((AND($U$4=TRUE,$U$5=FALSE,$U$6=FALSE,$U$7=TRUE)),VLOOKUP($E212,'Status Thresholds'!$E:$AR,9,FALSE),
IF((AND($U$4=FALSE,$U$5=TRUE,$U$6=FALSE,$U$7=FALSE)),VLOOKUP($E212,'Status Thresholds'!$E:$AR,24,FALSE),IF((AND($U$4=FALSE,$U$5=TRUE,$U$6=TRUE,$U$7=FALSE)),VLOOKUP($E212,'Status Thresholds'!$E:$AR,34,FALSE),IF((AND($U$4=FALSE,$U$5=TRUE,$U$6=TRUE,$U$7=TRUE)),VLOOKUP($E212,'Status Thresholds'!$E:$AR,39,FALSE),IF((AND($U$4=FALSE,$U$5=TRUE,$U$6=FALSE,$U$7=TRUE)),VLOOKUP($E212,'Status Thresholds'!$E:$AR,29,FALSE)))))))))
))/
IF(AND($X$2=FALSE,$X$3=FALSE,$X$4=FALSE,$X$5=TRUE,$X$6=FALSE,$X$7=FALSE,$X$8=FALSE,$Z$2=FALSE,$Z$3=FALSE,$Z$4=FALSE,$Z$5=FALSE,$Z$6=FALSE,$Z$7=FALSE,$Z$8=FALSE
),($F$7/2), IF(OR($X$2,$X$3,$X$4,$X$6,$X$7,$X$8,$Z$2,$Z$3,$Z$4,$Z$5,$Z$6,$Z$7,$Z$8)=TRUE,$F$7)),0),"-")</f>
        <v>-</v>
      </c>
      <c r="I212" s="36" t="str">
        <f>IFERROR(
ROUNDUP(
IF(AND($U$5=FALSE,$U$4=FALSE),"-",IF(AND($U$5=TRUE,$U$4=TRUE),"-",
IF((AND($U$4=TRUE,$U$5=FALSE,$U$6=FALSE,$U$7=FALSE)),VLOOKUP($E212,'Status Thresholds'!$E:$AR,5,FALSE),IF((AND($U$4=TRUE,$U$5=FALSE,$U$6=TRUE,$U$7=FALSE)),VLOOKUP($E212,'Status Thresholds'!$E:$AR,15,FALSE),IF((AND($U$4=TRUE,$U$5=FALSE,$U$6=TRUE,$U$7=TRUE)),VLOOKUP($E212,'Status Thresholds'!$E:$AR,20,FALSE),IF((AND($U$4=TRUE,$U$5=FALSE,$U$6=FALSE,$U$7=TRUE)),VLOOKUP($E212,'Status Thresholds'!$E:$AR,10,FALSE),
IF((AND($U$4=FALSE,$U$5=TRUE,$U$6=FALSE,$U$7=FALSE)),VLOOKUP($E212,'Status Thresholds'!$E:$AR,25,FALSE),IF((AND($U$4=FALSE,$U$5=TRUE,$U$6=TRUE,$U$7=FALSE)),VLOOKUP($E212,'Status Thresholds'!$E:$AR,35,FALSE),IF((AND($U$4=FALSE,$U$5=TRUE,$U$6=TRUE,$U$7=TRUE)),VLOOKUP($E212,'Status Thresholds'!$E:$AR,40,FALSE),IF((AND($U$4=FALSE,$U$5=TRUE,$U$6=FALSE,$U$7=TRUE)),VLOOKUP($E212,'Status Thresholds'!$E:$AR,30,FALSE)))))))))
))/
IF(AND($X$2=FALSE,$X$3=FALSE,$X$4=FALSE,$X$5=TRUE,$X$6=FALSE,$X$7=FALSE,$X$8=FALSE,$Z$2=FALSE,$Z$3=FALSE,$Z$4=FALSE,$Z$5=FALSE,$Z$6=FALSE,$Z$7=FALSE,$Z$8=FALSE
),($F$7/2), IF(OR($X$2,$X$3,$X$4,$X$6,$X$7,$X$8,$Z$2,$Z$3,$Z$4,$Z$5,$Z$6,$Z$7,$Z$8)=TRUE,$F$7)),0),"-")</f>
        <v>-</v>
      </c>
      <c r="J212" s="46">
        <f>IFERROR(IF(AND($U$5=FALSE,$U$4=FALSE),"-",VLOOKUP($E212,'Status Thresholds'!$E:$AU,41,FALSE)),"-")</f>
        <v>0</v>
      </c>
      <c r="K212" s="46" t="str">
        <f>IFERROR(IF(AND($U$5=FALSE,$U$4=FALSE),"-",VLOOKUP($E212,'Status Thresholds'!$E:$AU,42,FALSE)),"-")</f>
        <v>-</v>
      </c>
      <c r="L212" s="46" t="str">
        <f>IFERROR(IF(AND($U$5=FALSE,$U$4=FALSE),"-",VLOOKUP($E212,'Status Thresholds'!$E:$AU,43,FALSE)),"-")</f>
        <v>-</v>
      </c>
    </row>
    <row r="213" spans="1:12" ht="14.45" hidden="1" customHeight="1" x14ac:dyDescent="0.25">
      <c r="A213" s="35"/>
      <c r="B213" s="64" t="str">
        <f>IF('Status Thresholds'!A208=0, "", 'Status Thresholds'!A208)</f>
        <v>Deviant</v>
      </c>
      <c r="C213" s="64" t="str">
        <f>IF('Status Thresholds'!B208=0, "", 'Status Thresholds'!B208)</f>
        <v>Deadeye Yian Garuga</v>
      </c>
      <c r="D213" s="34" t="s">
        <v>14</v>
      </c>
      <c r="E213" s="36" t="str">
        <f t="shared" si="2"/>
        <v>Deadeye Yian GarugaKO</v>
      </c>
      <c r="F213" s="36" t="s">
        <v>214</v>
      </c>
      <c r="G213" s="36" t="s">
        <v>214</v>
      </c>
      <c r="H213" s="36" t="s">
        <v>214</v>
      </c>
      <c r="I213" s="36" t="s">
        <v>214</v>
      </c>
      <c r="J213" s="46">
        <f>IFERROR(IF(AND($U$5=FALSE,$U$4=FALSE),"-",VLOOKUP($E213,'Status Thresholds'!$E:$AU,41,FALSE)),"-")</f>
        <v>10</v>
      </c>
      <c r="K213" s="46" t="str">
        <f>IFERROR(IF(AND($U$5=FALSE,$U$4=FALSE),"-",VLOOKUP($E213,'Status Thresholds'!$E:$AU,42,FALSE)),"-")</f>
        <v>-</v>
      </c>
      <c r="L213" s="46" t="str">
        <f>IFERROR(IF(AND($U$5=FALSE,$U$4=FALSE),"-",VLOOKUP($E213,'Status Thresholds'!$E:$AU,43,FALSE)),"-")</f>
        <v>-</v>
      </c>
    </row>
    <row r="214" spans="1:12" hidden="1" x14ac:dyDescent="0.25">
      <c r="A214" s="35"/>
      <c r="B214" s="64" t="str">
        <f>IF('Status Thresholds'!A209=0, "", 'Status Thresholds'!A209)</f>
        <v>Deviant</v>
      </c>
      <c r="C214" s="64" t="str">
        <f>IF('Status Thresholds'!B209=0, "", 'Status Thresholds'!B209)</f>
        <v>Deadeye Yian Garuga</v>
      </c>
      <c r="D214" s="33" t="s">
        <v>34</v>
      </c>
      <c r="E214" s="36" t="str">
        <f t="shared" si="2"/>
        <v>Deadeye Yian GarugaMount</v>
      </c>
      <c r="F214" s="36" t="str">
        <f>IFERROR(
ROUNDUP(
IF(AND($U$5=FALSE,$U$4=FALSE),"-",IF(AND($U$5=TRUE,$U$4=TRUE),"-",
IF((AND($U$4=TRUE,$U$5=FALSE,$U$6=FALSE,$U$7=FALSE)),VLOOKUP($E214,'Status Thresholds'!$E:$AR,2,FALSE),IF((AND($U$4=TRUE,$U$5=FALSE,$U$6=TRUE,$U$7=FALSE)),VLOOKUP($E214,'Status Thresholds'!$E:$AR,12,FALSE),IF((AND($U$4=TRUE,$U$5=FALSE,$U$6=TRUE,$U$7=TRUE)),VLOOKUP($E214,'Status Thresholds'!$E:$AR,17,FALSE),IF((AND($U$4=TRUE,$U$5=FALSE,$U$6=FALSE,$U$7=TRUE)),VLOOKUP($E214,'Status Thresholds'!$E:$AR,7,FALSE),
IF((AND($U$4=FALSE,$U$5=TRUE,$U$6=FALSE,$U$7=FALSE)),VLOOKUP($E214,'Status Thresholds'!$E:$AR,22,FALSE),IF((AND($U$4=FALSE,$U$5=TRUE,$U$6=TRUE,$U$7=FALSE)),VLOOKUP($E214,'Status Thresholds'!$E:$AR,32,FALSE),IF((AND($U$4=FALSE,$U$5=TRUE,$U$6=TRUE,$U$7=TRUE)),VLOOKUP($E214,'Status Thresholds'!$E:$AR,37,FALSE),IF((AND($U$4=FALSE,$U$5=TRUE,$U$6=FALSE,$U$7=TRUE)),VLOOKUP($E214,'Status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))))))))))))))))))))))))))))),0),"-")</f>
        <v>-</v>
      </c>
      <c r="G214" s="36" t="str">
        <f>IFERROR(
ROUNDUP(
IF(AND($U$5=FALSE,$U$4=FALSE),"-",IF(AND($U$5=TRUE,$U$4=TRUE),"-",
IF((AND($U$4=TRUE,$U$5=FALSE,$U$6=FALSE,$U$7=FALSE)),VLOOKUP($E213,'Status Thresholds'!$E:$AR,3,FALSE),IF((AND($U$4=TRUE,$U$5=FALSE,$U$6=TRUE,$U$7=FALSE)),VLOOKUP($E213,'Status Thresholds'!$E:$AR,13,FALSE),IF((AND($U$4=TRUE,$U$5=FALSE,$U$6=TRUE,$U$7=TRUE)),VLOOKUP($E213,'Status Thresholds'!$E:$AR,18,FALSE),IF((AND($U$4=TRUE,$U$5=FALSE,$U$6=FALSE,$U$7=TRUE)),VLOOKUP($E213,'Status Thresholds'!$E:$AR,8,FALSE),
IF((AND($U$4=FALSE,$U$5=TRUE,$U$6=FALSE,$U$7=FALSE)),VLOOKUP($E213,'Status Thresholds'!$E:$AR,23,FALSE),IF((AND($U$4=FALSE,$U$5=TRUE,$U$6=TRUE,$U$7=FALSE)),VLOOKUP($E213,'Status Thresholds'!$E:$AR,33,FALSE),IF((AND($U$4=FALSE,$U$5=TRUE,$U$6=TRUE,$U$7=TRUE)),VLOOKUP($E213,'Status Thresholds'!$E:$AR,38,FALSE),IF((AND($U$4=FALSE,$U$5=TRUE,$U$6=FALSE,$U$7=TRUE)),VLOOKUP($E213,'Status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))))))))))))))))))))))))))))),0),"-")</f>
        <v>-</v>
      </c>
      <c r="H214" s="36" t="str">
        <f>IFERROR(
ROUNDUP(
IF(AND($U$5=FALSE,$U$4=FALSE),"-",IF(AND($U$5=TRUE,$U$4=TRUE),"-",
IF((AND($U$4=TRUE,$U$5=FALSE,$U$6=FALSE,$U$7=FALSE)),VLOOKUP($E213,'Status Thresholds'!$E:$AR,4,FALSE),IF((AND($U$4=TRUE,$U$5=FALSE,$U$6=TRUE,$U$7=FALSE)),VLOOKUP($E213,'Status Thresholds'!$E:$AR,14,FALSE),IF((AND($U$4=TRUE,$U$5=FALSE,$U$6=TRUE,$U$7=TRUE)),VLOOKUP($E213,'Status Thresholds'!$E:$AR,19,FALSE),IF((AND($U$4=TRUE,$U$5=FALSE,$U$6=FALSE,$U$7=TRUE)),VLOOKUP($E213,'Status Thresholds'!$E:$AR,9,FALSE),
IF((AND($U$4=FALSE,$U$5=TRUE,$U$6=FALSE,$U$7=FALSE)),VLOOKUP($E213,'Status Thresholds'!$E:$AR,24,FALSE),IF((AND($U$4=FALSE,$U$5=TRUE,$U$6=TRUE,$U$7=FALSE)),VLOOKUP($E213,'Status Thresholds'!$E:$AR,34,FALSE),IF((AND($U$4=FALSE,$U$5=TRUE,$U$6=TRUE,$U$7=TRUE)),VLOOKUP($E213,'Status Thresholds'!$E:$AR,39,FALSE),IF((AND($U$4=FALSE,$U$5=TRUE,$U$6=FALSE,$U$7=TRUE)),VLOOKUP($E213,'Status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))))))))))))))))))))))))))))),0),"-")</f>
        <v>-</v>
      </c>
      <c r="I214" s="36" t="str">
        <f>IFERROR(
ROUNDUP(
IF(AND($U$5=FALSE,$U$4=FALSE),"-",IF(AND($U$5=TRUE,$U$4=TRUE),"-",
IF((AND($U$4=TRUE,$U$5=FALSE,$U$6=FALSE,$U$7=FALSE)),VLOOKUP($E213,'Status Thresholds'!$E:$AR,5,FALSE),IF((AND($U$4=TRUE,$U$5=FALSE,$U$6=TRUE,$U$7=FALSE)),VLOOKUP($E213,'Status Thresholds'!$E:$AR,15,FALSE),IF((AND($U$4=TRUE,$U$5=FALSE,$U$6=TRUE,$U$7=TRUE)),VLOOKUP($E213,'Status Thresholds'!$E:$AR,20,FALSE),IF((AND($U$4=TRUE,$U$5=FALSE,$U$6=FALSE,$U$7=TRUE)),VLOOKUP($E213,'Status Thresholds'!$E:$AR,10,FALSE),
IF((AND($U$4=FALSE,$U$5=TRUE,$U$6=FALSE,$U$7=FALSE)),VLOOKUP($E213,'Status Thresholds'!$E:$AR,25,FALSE),IF((AND($U$4=FALSE,$U$5=TRUE,$U$6=TRUE,$U$7=FALSE)),VLOOKUP($E213,'Status Thresholds'!$E:$AR,35,FALSE),IF((AND($U$4=FALSE,$U$5=TRUE,$U$6=TRUE,$U$7=TRUE)),VLOOKUP($E213,'Status Thresholds'!$E:$AR,40,FALSE),IF((AND($U$4=FALSE,$U$5=TRUE,$U$6=FALSE,$U$7=TRUE)),VLOOKUP($E213,'Status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))))))))))))))))))))))))))))),0),"-")</f>
        <v>-</v>
      </c>
      <c r="J214" s="46">
        <f>IFERROR(IF(AND($U$5=FALSE,$U$4=FALSE),"-",VLOOKUP($E214,'Status Thresholds'!$E:$AU,41,FALSE)),"-")</f>
        <v>0</v>
      </c>
      <c r="K214" s="46" t="str">
        <f>IFERROR(IF(AND($U$5=FALSE,$U$4=FALSE),"-",VLOOKUP($E214,'Status Thresholds'!$E:$AU,42,FALSE)),"-")</f>
        <v>-</v>
      </c>
      <c r="L214" s="46" t="str">
        <f>IFERROR(IF(AND($U$5=FALSE,$U$4=FALSE),"-",VLOOKUP($E214,'Status Thresholds'!$E:$AU,43,FALSE)),"-")</f>
        <v>-</v>
      </c>
    </row>
    <row r="215" spans="1:12" ht="15" hidden="1" customHeight="1" x14ac:dyDescent="0.25">
      <c r="A215" s="35"/>
      <c r="B215" s="64" t="str">
        <f>IF('Status Thresholds'!A210=0, "", 'Status Thresholds'!A210)</f>
        <v>Deviant</v>
      </c>
      <c r="C215" s="64" t="str">
        <f>IF('Status Thresholds'!B210=0, "", 'Status Thresholds'!B210)</f>
        <v>Deadeye Yian Garuga</v>
      </c>
      <c r="D215" s="77" t="s">
        <v>207</v>
      </c>
      <c r="E215" s="36" t="str">
        <f t="shared" si="2"/>
        <v>Deadeye Yian GarugaShock Trap</v>
      </c>
      <c r="F215" s="76" t="s">
        <v>214</v>
      </c>
      <c r="G215" s="46" t="s">
        <v>214</v>
      </c>
      <c r="H215" s="46" t="s">
        <v>214</v>
      </c>
      <c r="I215" s="46" t="s">
        <v>214</v>
      </c>
      <c r="J215" s="46">
        <f>IFERROR(IF(AND($U$5=FALSE,$U$4=FALSE),"-",VLOOKUP($E215,'Status Thresholds'!$E:$AU,43,FALSE)),"-")</f>
        <v>8</v>
      </c>
      <c r="K215" s="46">
        <f>IFERROR(IF(AND($U$5=FALSE,$U$4=FALSE),"-",VLOOKUP($E215,'Status Thresholds'!$E:$AU,41,FALSE)),"-")</f>
        <v>8</v>
      </c>
      <c r="L215" s="46">
        <f>IFERROR(IF(AND($U$5=FALSE,$U$4=FALSE),"-",VLOOKUP($E215,'Status Thresholds'!$E:$AU,42,FALSE)),"-")</f>
        <v>15</v>
      </c>
    </row>
    <row r="216" spans="1:12" hidden="1" x14ac:dyDescent="0.25">
      <c r="A216" s="35"/>
      <c r="B216" s="64" t="str">
        <f>IF('Status Thresholds'!A211=0, "", 'Status Thresholds'!A211)</f>
        <v>Deviant</v>
      </c>
      <c r="C216" s="64" t="str">
        <f>IF('Status Thresholds'!B211=0, "", 'Status Thresholds'!B211)</f>
        <v>Deadeye Yian Garuga</v>
      </c>
      <c r="D216" s="77" t="s">
        <v>213</v>
      </c>
      <c r="E216" s="36" t="str">
        <f t="shared" si="2"/>
        <v>Deadeye Yian GarugaPitfall Trap</v>
      </c>
      <c r="F216" s="46" t="s">
        <v>214</v>
      </c>
      <c r="G216" s="46" t="s">
        <v>214</v>
      </c>
      <c r="H216" s="46" t="s">
        <v>214</v>
      </c>
      <c r="I216" s="46" t="s">
        <v>214</v>
      </c>
      <c r="J216" s="46">
        <f>IFERROR(IF(AND($U$5=FALSE,$U$4=FALSE),"-",VLOOKUP($E216,'Status Thresholds'!$E:$AU,43,FALSE)),"-")</f>
        <v>17</v>
      </c>
      <c r="K216" s="46">
        <f>IFERROR(IF(AND($U$5=FALSE,$U$4=FALSE),"-",VLOOKUP($E216,'Status Thresholds'!$E:$AU,41,FALSE)),"-")</f>
        <v>17</v>
      </c>
      <c r="L216" s="46">
        <f>IFERROR(IF(AND($U$5=FALSE,$U$4=FALSE),"-",VLOOKUP($E216,'Status Thresholds'!$E:$AU,42,FALSE)),"-")</f>
        <v>25</v>
      </c>
    </row>
    <row r="217" spans="1:12" s="36" customFormat="1" x14ac:dyDescent="0.25">
      <c r="A217" s="64"/>
      <c r="B217" s="64" t="str">
        <f>VLOOKUP(C217,'Status Thresholds'!B:C,2,FALSE)</f>
        <v>MHGen</v>
      </c>
      <c r="C217" s="64" t="str">
        <f>IF('Status Thresholds'!B212=0, "", 'Status Thresholds'!B212)</f>
        <v>Devil Jho</v>
      </c>
      <c r="D217" s="37" t="s">
        <v>0</v>
      </c>
      <c r="E217" s="36" t="str">
        <f t="shared" si="2"/>
        <v>Devil JhoPara</v>
      </c>
      <c r="F217" s="36" t="str">
        <f>IFERROR(
ROUNDUP(
IF(AND($U$5=FALSE,$U$4=FALSE),"-",IF(AND($U$5=TRUE,$U$4=TRUE),"-",
IF((AND($U$4=TRUE,$U$5=FALSE,$U$6=FALSE,$U$7=FALSE)),VLOOKUP($E217,'Status Thresholds'!$E:$AR,2,FALSE),IF((AND($U$4=TRUE,$U$5=FALSE,$U$6=TRUE,$U$7=FALSE)),VLOOKUP($E217,'Status Thresholds'!$E:$AR,12,FALSE),IF((AND($U$4=TRUE,$U$5=FALSE,$U$6=TRUE,$U$7=TRUE)),VLOOKUP($E217,'Status Thresholds'!$E:$AR,17,FALSE),IF((AND($U$4=TRUE,$U$5=FALSE,$U$6=FALSE,$U$7=TRUE)),VLOOKUP($E217,'Status Thresholds'!$E:$AR,7,FALSE),
IF((AND($U$4=FALSE,$U$5=TRUE,$U$6=FALSE,$U$7=FALSE)),VLOOKUP($E217,'Status Thresholds'!$E:$AR,22,FALSE),IF((AND($U$4=FALSE,$U$5=TRUE,$U$6=TRUE,$U$7=FALSE)),VLOOKUP($E217,'Status Thresholds'!$E:$AR,32,FALSE),IF((AND($U$4=FALSE,$U$5=TRUE,$U$6=TRUE,$U$7=TRUE)),VLOOKUP($E217,'Status Thresholds'!$E:$AR,37,FALSE),IF((AND($U$4=FALSE,$U$5=TRUE,$U$6=FALSE,$U$7=TRUE)),VLOOKUP($E217,'Status Thresholds'!$E:$AR,27,FALSE)))))))))
))/
IF(OR($X$5=TRUE,$AC$3=TRUE
),($F$3/2), IF(OR($X$2,$X$3,$X$4,$X$6,$X$7,$X$8,$Z$2,$Z$3,$Z$4,$Z$5,$Z$6,$Z$7,$Z$8)=TRUE,$F$3)),0),"-")</f>
        <v>-</v>
      </c>
      <c r="G217" s="36" t="str">
        <f>IFERROR(
ROUNDUP(
IF(AND($U$5=FALSE,$U$4=FALSE),"-",IF(AND($U$5=TRUE,$U$4=TRUE),"-",
IF((AND($U$4=TRUE,$U$5=FALSE,$U$6=FALSE,$U$7=FALSE)),VLOOKUP($E217,'Status Thresholds'!$E:$AR,3,FALSE),IF((AND($U$4=TRUE,$U$5=FALSE,$U$6=TRUE,$U$7=FALSE)),VLOOKUP($E217,'Status Thresholds'!$E:$AR,13,FALSE),IF((AND($U$4=TRUE,$U$5=FALSE,$U$6=TRUE,$U$7=TRUE)),VLOOKUP($E217,'Status Thresholds'!$E:$AR,18,FALSE),IF((AND($U$4=TRUE,$U$5=FALSE,$U$6=FALSE,$U$7=TRUE)),VLOOKUP($E217,'Status Thresholds'!$E:$AR,8,FALSE),
IF((AND($U$4=FALSE,$U$5=TRUE,$U$6=FALSE,$U$7=FALSE)),VLOOKUP($E217,'Status Thresholds'!$E:$AR,23,FALSE),IF((AND($U$4=FALSE,$U$5=TRUE,$U$6=TRUE,$U$7=FALSE)),VLOOKUP($E217,'Status Thresholds'!$E:$AR,33,FALSE),IF((AND($U$4=FALSE,$U$5=TRUE,$U$6=TRUE,$U$7=TRUE)),VLOOKUP($E217,'Status Thresholds'!$E:$AR,38,FALSE),IF((AND($U$4=FALSE,$U$5=TRUE,$U$6=FALSE,$U$7=TRUE)),VLOOKUP($E217,'Status Thresholds'!$E:$AR,28,FALSE)))))))))
))/
IF(OR($X$5=TRUE,$AC$3=TRUE
),($F$3/2), IF(OR($X$2,$X$3,$X$4,$X$6,$X$7,$X$8,$Z$2,$Z$3,$Z$4,$Z$5,$Z$6,$Z$7,$Z$8)=TRUE,$F$3)),0),"-")</f>
        <v>-</v>
      </c>
      <c r="H217" s="36" t="str">
        <f>IFERROR(
ROUNDUP(
IF(AND($U$5=FALSE,$U$4=FALSE),"-",IF(AND($U$5=TRUE,$U$4=TRUE),"-",
IF((AND($U$4=TRUE,$U$5=FALSE,$U$6=FALSE,$U$7=FALSE)),VLOOKUP($E217,'Status Thresholds'!$E:$AR,4,FALSE),IF((AND($U$4=TRUE,$U$5=FALSE,$U$6=TRUE,$U$7=FALSE)),VLOOKUP($E217,'Status Thresholds'!$E:$AR,14,FALSE),IF((AND($U$4=TRUE,$U$5=FALSE,$U$6=TRUE,$U$7=TRUE)),VLOOKUP($E217,'Status Thresholds'!$E:$AR,19,FALSE),IF((AND($U$4=TRUE,$U$5=FALSE,$U$6=FALSE,$U$7=TRUE)),VLOOKUP($E217,'Status Thresholds'!$E:$AR,9,FALSE),
IF((AND($U$4=FALSE,$U$5=TRUE,$U$6=FALSE,$U$7=FALSE)),VLOOKUP($E217,'Status Thresholds'!$E:$AR,24,FALSE),IF((AND($U$4=FALSE,$U$5=TRUE,$U$6=TRUE,$U$7=FALSE)),VLOOKUP($E217,'Status Thresholds'!$E:$AR,34,FALSE),IF((AND($U$4=FALSE,$U$5=TRUE,$U$6=TRUE,$U$7=TRUE)),VLOOKUP($E217,'Status Thresholds'!$E:$AR,39,FALSE),IF((AND($U$4=FALSE,$U$5=TRUE,$U$6=FALSE,$U$7=TRUE)),VLOOKUP($E217,'Status Thresholds'!$E:$AR,29,FALSE)))))))))
))/
IF(OR($X$5=TRUE,$AC$3=TRUE
),($F$3/2), IF(OR($X$2,$X$3,$X$4,$X$6,$X$7,$X$8,$Z$2,$Z$3,$Z$4,$Z$5,$Z$6,$Z$7,$Z$8)=TRUE,$F$3)),0),"-")</f>
        <v>-</v>
      </c>
      <c r="I217" s="36" t="str">
        <f>IFERROR(
ROUNDUP(
IF(AND($U$5=FALSE,$U$4=FALSE),"-",IF(AND($U$5=TRUE,$U$4=TRUE),"-",
IF((AND($U$4=TRUE,$U$5=FALSE,$U$6=FALSE,$U$7=FALSE)),VLOOKUP($E217,'Status Thresholds'!$E:$AR,5,FALSE),IF((AND($U$4=TRUE,$U$5=FALSE,$U$6=TRUE,$U$7=FALSE)),VLOOKUP($E217,'Status Thresholds'!$E:$AR,15,FALSE),IF((AND($U$4=TRUE,$U$5=FALSE,$U$6=TRUE,$U$7=TRUE)),VLOOKUP($E217,'Status Thresholds'!$E:$AR,20,FALSE),IF((AND($U$4=TRUE,$U$5=FALSE,$U$6=FALSE,$U$7=TRUE)),VLOOKUP($E217,'Status Thresholds'!$E:$AR,10,FALSE),
IF((AND($U$4=FALSE,$U$5=TRUE,$U$6=FALSE,$U$7=FALSE)),VLOOKUP($E217,'Status Thresholds'!$E:$AR,25,FALSE),IF((AND($U$4=FALSE,$U$5=TRUE,$U$6=TRUE,$U$7=FALSE)),VLOOKUP($E217,'Status Thresholds'!$E:$AR,35,FALSE),IF((AND($U$4=FALSE,$U$5=TRUE,$U$6=TRUE,$U$7=TRUE)),VLOOKUP($E217,'Status Thresholds'!$E:$AR,40,FALSE),IF((AND($U$4=FALSE,$U$5=TRUE,$U$6=FALSE,$U$7=TRUE)),VLOOKUP($E217,'Status Thresholds'!$E:$AR,30,FALSE)))))))))
))/
IF(OR($X$5=TRUE,$AC$3=TRUE
),($F$3/2), IF(OR($X$2,$X$3,$X$4,$X$6,$X$7,$X$8,$Z$2,$Z$3,$Z$4,$Z$5,$Z$6,$Z$7,$Z$8)=TRUE,$F$3)),0),"-")</f>
        <v>-</v>
      </c>
      <c r="J217" s="36">
        <f>IFERROR(IF(AND($U$5=FALSE,$U$4=FALSE),"-",VLOOKUP($E217,'Status Thresholds'!$E:$AU,41,FALSE)),"-")</f>
        <v>15</v>
      </c>
      <c r="K217" s="36" t="str">
        <f>IFERROR(IF(AND($U$5=FALSE,$U$4=FALSE),"-",VLOOKUP($E217,'Status Thresholds'!$E:$AU,42,FALSE)),"-")</f>
        <v>-</v>
      </c>
      <c r="L217" s="36" t="str">
        <f>IFERROR(IF(AND($U$5=FALSE,$U$4=FALSE),"-",VLOOKUP($E217,'Status Thresholds'!$E:$AU,43,FALSE)),"-")</f>
        <v>-</v>
      </c>
    </row>
    <row r="218" spans="1:12" x14ac:dyDescent="0.25">
      <c r="A218" s="35"/>
      <c r="B218" s="64" t="str">
        <f>VLOOKUP(C218,'Status Thresholds'!B:C,2,FALSE)</f>
        <v>MHGen</v>
      </c>
      <c r="C218" s="64" t="str">
        <f>IF('Status Thresholds'!B213=0, "", 'Status Thresholds'!B213)</f>
        <v>Devil Jho</v>
      </c>
      <c r="D218" s="31" t="s">
        <v>32</v>
      </c>
      <c r="E218" s="36" t="str">
        <f t="shared" si="2"/>
        <v>Devil JhoSleep</v>
      </c>
      <c r="F218" s="36" t="str">
        <f>IFERROR(
ROUNDUP(
IF(AND($U$5=FALSE,$U$4=FALSE),"-",IF(AND($U$5=TRUE,$U$4=TRUE),"-",
IF((AND($U$4=TRUE,$U$5=FALSE,$U$6=FALSE,$U$7=FALSE)),VLOOKUP($E218,'Status Thresholds'!$E:$AR,2,FALSE),IF((AND($U$4=TRUE,$U$5=FALSE,$U$6=TRUE,$U$7=FALSE)),VLOOKUP($E218,'Status Thresholds'!$E:$AR,12,FALSE),IF((AND($U$4=TRUE,$U$5=FALSE,$U$6=TRUE,$U$7=TRUE)),VLOOKUP($E218,'Status Thresholds'!$E:$AR,17,FALSE),IF((AND($U$4=TRUE,$U$5=FALSE,$U$6=FALSE,$U$7=TRUE)),VLOOKUP($E218,'Status Thresholds'!$E:$AR,7,FALSE),
IF((AND($U$4=FALSE,$U$5=TRUE,$U$6=FALSE,$U$7=FALSE)),VLOOKUP($E218,'Status Thresholds'!$E:$AR,22,FALSE),IF((AND($U$4=FALSE,$U$5=TRUE,$U$6=TRUE,$U$7=FALSE)),VLOOKUP($E218,'Status Thresholds'!$E:$AR,32,FALSE),IF((AND($U$4=FALSE,$U$5=TRUE,$U$6=TRUE,$U$7=TRUE)),VLOOKUP($E218,'Status Thresholds'!$E:$AR,37,FALSE),IF((AND($U$4=FALSE,$U$5=TRUE,$U$6=FALSE,$U$7=TRUE)),VLOOKUP($E218,'Status Thresholds'!$E:$AR,27,FALSE)))))))))
))/
IF(OR($X$5=TRUE,$AC$3=TRUE
),($F$4/2), IF(OR($X$2,$X$3,$X$4,$X$6,$X$7,$X$8,$Z$2,$Z$3,$Z$4,$Z$5,$Z$6,$Z$7,$Z$8)=TRUE,$F$4)),0),"-")</f>
        <v>-</v>
      </c>
      <c r="G218" s="36" t="str">
        <f>IFERROR(
ROUNDUP(
IF(AND($U$5=FALSE,$U$4=FALSE),"-",IF(AND($U$5=TRUE,$U$4=TRUE),"-",
IF((AND($U$4=TRUE,$U$5=FALSE,$U$6=FALSE,$U$7=FALSE)),VLOOKUP($E218,'Status Thresholds'!$E:$AR,3,FALSE),IF((AND($U$4=TRUE,$U$5=FALSE,$U$6=TRUE,$U$7=FALSE)),VLOOKUP($E218,'Status Thresholds'!$E:$AR,13,FALSE),IF((AND($U$4=TRUE,$U$5=FALSE,$U$6=TRUE,$U$7=TRUE)),VLOOKUP($E218,'Status Thresholds'!$E:$AR,18,FALSE),IF((AND($U$4=TRUE,$U$5=FALSE,$U$6=FALSE,$U$7=TRUE)),VLOOKUP($E218,'Status Thresholds'!$E:$AR,8,FALSE),
IF((AND($U$4=FALSE,$U$5=TRUE,$U$6=FALSE,$U$7=FALSE)),VLOOKUP($E218,'Status Thresholds'!$E:$AR,23,FALSE),IF((AND($U$4=FALSE,$U$5=TRUE,$U$6=TRUE,$U$7=FALSE)),VLOOKUP($E218,'Status Thresholds'!$E:$AR,33,FALSE),IF((AND($U$4=FALSE,$U$5=TRUE,$U$6=TRUE,$U$7=TRUE)),VLOOKUP($E218,'Status Thresholds'!$E:$AR,38,FALSE),IF((AND($U$4=FALSE,$U$5=TRUE,$U$6=FALSE,$U$7=TRUE)),VLOOKUP($E218,'Status Thresholds'!$E:$AR,28,FALSE)))))))))
))/
IF(OR($X$5=TRUE,$AC$3=TRUE
),($F$4/2), IF(OR($X$2,$X$3,$X$4,$X$6,$X$7,$X$8,$Z$2,$Z$3,$Z$4,$Z$5,$Z$6,$Z$7,$Z$8)=TRUE,$F$4)),0),"-")</f>
        <v>-</v>
      </c>
      <c r="H218" s="36" t="str">
        <f>IFERROR(
ROUNDUP(
IF(AND($U$5=FALSE,$U$4=FALSE),"-",IF(AND($U$5=TRUE,$U$4=TRUE),"-",
IF((AND($U$4=TRUE,$U$5=FALSE,$U$6=FALSE,$U$7=FALSE)),VLOOKUP($E218,'Status Thresholds'!$E:$AR,4,FALSE),IF((AND($U$4=TRUE,$U$5=FALSE,$U$6=TRUE,$U$7=FALSE)),VLOOKUP($E218,'Status Thresholds'!$E:$AR,14,FALSE),IF((AND($U$4=TRUE,$U$5=FALSE,$U$6=TRUE,$U$7=TRUE)),VLOOKUP($E218,'Status Thresholds'!$E:$AR,19,FALSE),IF((AND($U$4=TRUE,$U$5=FALSE,$U$6=FALSE,$U$7=TRUE)),VLOOKUP($E218,'Status Thresholds'!$E:$AR,9,FALSE),
IF((AND($U$4=FALSE,$U$5=TRUE,$U$6=FALSE,$U$7=FALSE)),VLOOKUP($E218,'Status Thresholds'!$E:$AR,24,FALSE),IF((AND($U$4=FALSE,$U$5=TRUE,$U$6=TRUE,$U$7=FALSE)),VLOOKUP($E218,'Status Thresholds'!$E:$AR,34,FALSE),IF((AND($U$4=FALSE,$U$5=TRUE,$U$6=TRUE,$U$7=TRUE)),VLOOKUP($E218,'Status Thresholds'!$E:$AR,39,FALSE),IF((AND($U$4=FALSE,$U$5=TRUE,$U$6=FALSE,$U$7=TRUE)),VLOOKUP($E218,'Status Thresholds'!$E:$AR,29,FALSE)))))))))
))/
IF(OR($X$5=TRUE,$AC$3=TRUE
),($F$4/2), IF(OR($X$2,$X$3,$X$4,$X$6,$X$7,$X$8,$Z$2,$Z$3,$Z$4,$Z$5,$Z$6,$Z$7,$Z$8)=TRUE,$F$4)),0),"-")</f>
        <v>-</v>
      </c>
      <c r="I218" s="36" t="str">
        <f>IFERROR(
ROUNDUP(
IF(AND($U$5=FALSE,$U$4=FALSE),"-",IF(AND($U$5=TRUE,$U$4=TRUE),"-",
IF((AND($U$4=TRUE,$U$5=FALSE,$U$6=FALSE,$U$7=FALSE)),VLOOKUP($E218,'Status Thresholds'!$E:$AR,5,FALSE),IF((AND($U$4=TRUE,$U$5=FALSE,$U$6=TRUE,$U$7=FALSE)),VLOOKUP($E218,'Status Thresholds'!$E:$AR,15,FALSE),IF((AND($U$4=TRUE,$U$5=FALSE,$U$6=TRUE,$U$7=TRUE)),VLOOKUP($E218,'Status Thresholds'!$E:$AR,20,FALSE),IF((AND($U$4=TRUE,$U$5=FALSE,$U$6=FALSE,$U$7=TRUE)),VLOOKUP($E218,'Status Thresholds'!$E:$AR,10,FALSE),
IF((AND($U$4=FALSE,$U$5=TRUE,$U$6=FALSE,$U$7=FALSE)),VLOOKUP($E218,'Status Thresholds'!$E:$AR,25,FALSE),IF((AND($U$4=FALSE,$U$5=TRUE,$U$6=TRUE,$U$7=FALSE)),VLOOKUP($E218,'Status Thresholds'!$E:$AR,35,FALSE),IF((AND($U$4=FALSE,$U$5=TRUE,$U$6=TRUE,$U$7=TRUE)),VLOOKUP($E218,'Status Thresholds'!$E:$AR,40,FALSE),IF((AND($U$4=FALSE,$U$5=TRUE,$U$6=FALSE,$U$7=TRUE)),VLOOKUP($E218,'Status Thresholds'!$E:$AR,30,FALSE)))))))))
))/
IF(OR($X$5=TRUE,$AC$3=TRUE
),($F$4/2), IF(OR($X$2,$X$3,$X$4,$X$6,$X$7,$X$8,$Z$2,$Z$3,$Z$4,$Z$5,$Z$6,$Z$7,$Z$8)=TRUE,$F$4)),0),"-")</f>
        <v>-</v>
      </c>
      <c r="J218" s="46">
        <f>IFERROR(IF(AND($U$5=FALSE,$U$4=FALSE),"-",VLOOKUP($E218,'Status Thresholds'!$E:$AU,41,FALSE)),"-")</f>
        <v>60</v>
      </c>
      <c r="K218" s="46" t="str">
        <f>IFERROR(IF(AND($U$5=FALSE,$U$4=FALSE),"-",VLOOKUP($E218,'Status Thresholds'!$E:$AU,42,FALSE)),"-")</f>
        <v>-</v>
      </c>
      <c r="L218" s="46" t="str">
        <f>IFERROR(IF(AND($U$5=FALSE,$U$4=FALSE),"-",VLOOKUP($E218,'Status Thresholds'!$E:$AU,43,FALSE)),"-")</f>
        <v>-</v>
      </c>
    </row>
    <row r="219" spans="1:12" x14ac:dyDescent="0.25">
      <c r="A219" s="35"/>
      <c r="B219" s="64" t="str">
        <f>VLOOKUP(C219,'Status Thresholds'!B:C,2,FALSE)</f>
        <v>MHGen</v>
      </c>
      <c r="C219" s="64" t="str">
        <f>IF('Status Thresholds'!B214=0, "", 'Status Thresholds'!B214)</f>
        <v>Devil Jho</v>
      </c>
      <c r="D219" s="32" t="s">
        <v>33</v>
      </c>
      <c r="E219" s="36" t="str">
        <f t="shared" si="2"/>
        <v>Devil JhoPoison</v>
      </c>
      <c r="F219" s="36" t="str">
        <f>IFERROR(
ROUNDUP(
IF(AND($U$5=FALSE,$U$4=FALSE),"-",IF(AND($U$5=TRUE,$U$4=TRUE),"-",
IF((AND($U$4=TRUE,$U$5=FALSE,$U$6=FALSE,$U$7=FALSE)),VLOOKUP($E219,'Status Thresholds'!$E:$AR,2,FALSE),IF((AND($U$4=TRUE,$U$5=FALSE,$U$6=TRUE,$U$7=FALSE)),VLOOKUP($E219,'Status Thresholds'!$E:$AR,12,FALSE),IF((AND($U$4=TRUE,$U$5=FALSE,$U$6=TRUE,$U$7=TRUE)),VLOOKUP($E219,'Status Thresholds'!$E:$AR,17,FALSE),IF((AND($U$4=TRUE,$U$5=FALSE,$U$6=FALSE,$U$7=TRUE)),VLOOKUP($E219,'Status Thresholds'!$E:$AR,7,FALSE),
IF((AND($U$4=FALSE,$U$5=TRUE,$U$6=FALSE,$U$7=FALSE)),VLOOKUP($E219,'Status Thresholds'!$E:$AR,22,FALSE),IF((AND($U$4=FALSE,$U$5=TRUE,$U$6=TRUE,$U$7=FALSE)),VLOOKUP($E219,'Status Thresholds'!$E:$AR,32,FALSE),IF((AND($U$4=FALSE,$U$5=TRUE,$U$6=TRUE,$U$7=TRUE)),VLOOKUP($E219,'Status Thresholds'!$E:$AR,37,FALSE),IF((AND($U$4=FALSE,$U$5=TRUE,$U$6=FALSE,$U$7=TRUE)),VLOOKUP($E219,'Status Thresholds'!$E:$AR,27,FALSE)))))))))
))/
IF(OR($X$5=TRUE,$AC$3=TRUE
),($F$5/2), IF(OR($X$2,$X$3,$X$4,$X$6,$X$7,$X$8,$Z$2,$Z$3,$Z$4,$Z$5,$Z$6,$Z$7,$Z$8)=TRUE,$F$5)),0),"-")</f>
        <v>-</v>
      </c>
      <c r="G219" s="36" t="str">
        <f>IFERROR(
ROUNDUP(
IF(AND($U$5=FALSE,$U$4=FALSE),"-",IF(AND($U$5=TRUE,$U$4=TRUE),"-",
IF((AND($U$4=TRUE,$U$5=FALSE,$U$6=FALSE,$U$7=FALSE)),VLOOKUP($E219,'Status Thresholds'!$E:$AR,3,FALSE),IF((AND($U$4=TRUE,$U$5=FALSE,$U$6=TRUE,$U$7=FALSE)),VLOOKUP($E219,'Status Thresholds'!$E:$AR,13,FALSE),IF((AND($U$4=TRUE,$U$5=FALSE,$U$6=TRUE,$U$7=TRUE)),VLOOKUP($E219,'Status Thresholds'!$E:$AR,18,FALSE),IF((AND($U$4=TRUE,$U$5=FALSE,$U$6=FALSE,$U$7=TRUE)),VLOOKUP($E219,'Status Thresholds'!$E:$AR,8,FALSE),
IF((AND($U$4=FALSE,$U$5=TRUE,$U$6=FALSE,$U$7=FALSE)),VLOOKUP($E219,'Status Thresholds'!$E:$AR,23,FALSE),IF((AND($U$4=FALSE,$U$5=TRUE,$U$6=TRUE,$U$7=FALSE)),VLOOKUP($E219,'Status Thresholds'!$E:$AR,33,FALSE),IF((AND($U$4=FALSE,$U$5=TRUE,$U$6=TRUE,$U$7=TRUE)),VLOOKUP($E219,'Status Thresholds'!$E:$AR,38,FALSE),IF((AND($U$4=FALSE,$U$5=TRUE,$U$6=FALSE,$U$7=TRUE)),VLOOKUP($E219,'Status Thresholds'!$E:$AR,28,FALSE)))))))))
))/
IF(OR($X$5=TRUE,$AC$3=TRUE
),($F$5/2), IF(OR($X$2,$X$3,$X$4,$X$6,$X$7,$X$8,$Z$2,$Z$3,$Z$4,$Z$5,$Z$6,$Z$7,$Z$8)=TRUE,$F$5)),0),"-")</f>
        <v>-</v>
      </c>
      <c r="H219" s="36" t="str">
        <f>IFERROR(
ROUNDUP(
IF(AND($U$5=FALSE,$U$4=FALSE),"-",IF(AND($U$5=TRUE,$U$4=TRUE),"-",
IF((AND($U$4=TRUE,$U$5=FALSE,$U$6=FALSE,$U$7=FALSE)),VLOOKUP($E219,'Status Thresholds'!$E:$AR,4,FALSE),IF((AND($U$4=TRUE,$U$5=FALSE,$U$6=TRUE,$U$7=FALSE)),VLOOKUP($E219,'Status Thresholds'!$E:$AR,14,FALSE),IF((AND($U$4=TRUE,$U$5=FALSE,$U$6=TRUE,$U$7=TRUE)),VLOOKUP($E219,'Status Thresholds'!$E:$AR,19,FALSE),IF((AND($U$4=TRUE,$U$5=FALSE,$U$6=FALSE,$U$7=TRUE)),VLOOKUP($E219,'Status Thresholds'!$E:$AR,9,FALSE),
IF((AND($U$4=FALSE,$U$5=TRUE,$U$6=FALSE,$U$7=FALSE)),VLOOKUP($E219,'Status Thresholds'!$E:$AR,24,FALSE),IF((AND($U$4=FALSE,$U$5=TRUE,$U$6=TRUE,$U$7=FALSE)),VLOOKUP($E219,'Status Thresholds'!$E:$AR,34,FALSE),IF((AND($U$4=FALSE,$U$5=TRUE,$U$6=TRUE,$U$7=TRUE)),VLOOKUP($E219,'Status Thresholds'!$E:$AR,39,FALSE),IF((AND($U$4=FALSE,$U$5=TRUE,$U$6=FALSE,$U$7=TRUE)),VLOOKUP($E219,'Status Thresholds'!$E:$AR,29,FALSE)))))))))
))/
IF(OR($X$5=TRUE,$AC$3=TRUE
),($F$5/2), IF(OR($X$2,$X$3,$X$4,$X$6,$X$7,$X$8,$Z$2,$Z$3,$Z$4,$Z$5,$Z$6,$Z$7,$Z$8)=TRUE,$F$5)),0),"-")</f>
        <v>-</v>
      </c>
      <c r="I219" s="36" t="str">
        <f>IFERROR(
ROUNDUP(
IF(AND($U$5=FALSE,$U$4=FALSE),"-",IF(AND($U$5=TRUE,$U$4=TRUE),"-",
IF((AND($U$4=TRUE,$U$5=FALSE,$U$6=FALSE,$U$7=FALSE)),VLOOKUP($E219,'Status Thresholds'!$E:$AR,5,FALSE),IF((AND($U$4=TRUE,$U$5=FALSE,$U$6=TRUE,$U$7=FALSE)),VLOOKUP($E219,'Status Thresholds'!$E:$AR,15,FALSE),IF((AND($U$4=TRUE,$U$5=FALSE,$U$6=TRUE,$U$7=TRUE)),VLOOKUP($E219,'Status Thresholds'!$E:$AR,20,FALSE),IF((AND($U$4=TRUE,$U$5=FALSE,$U$6=FALSE,$U$7=TRUE)),VLOOKUP($E219,'Status Thresholds'!$E:$AR,10,FALSE),
IF((AND($U$4=FALSE,$U$5=TRUE,$U$6=FALSE,$U$7=FALSE)),VLOOKUP($E219,'Status Thresholds'!$E:$AR,25,FALSE),IF((AND($U$4=FALSE,$U$5=TRUE,$U$6=TRUE,$U$7=FALSE)),VLOOKUP($E219,'Status Thresholds'!$E:$AR,35,FALSE),IF((AND($U$4=FALSE,$U$5=TRUE,$U$6=TRUE,$U$7=TRUE)),VLOOKUP($E219,'Status Thresholds'!$E:$AR,40,FALSE),IF((AND($U$4=FALSE,$U$5=TRUE,$U$6=FALSE,$U$7=TRUE)),VLOOKUP($E219,'Status Thresholds'!$E:$AR,30,FALSE)))))))))
))/
IF(OR($X$5=TRUE,$AC$3=TRUE
),($F$5/2), IF(OR($X$2,$X$3,$X$4,$X$6,$X$7,$X$8,$Z$2,$Z$3,$Z$4,$Z$5,$Z$6,$Z$7,$Z$8)=TRUE,$F$5)),0),"-")</f>
        <v>-</v>
      </c>
      <c r="J219" s="46">
        <f>IFERROR(IF(AND($U$5=FALSE,$U$4=FALSE),"-",VLOOKUP($E219,'Status Thresholds'!$E:$AU,41,FALSE)),"-")</f>
        <v>45</v>
      </c>
      <c r="K219" s="46" t="str">
        <f>IFERROR(IF(AND($U$5=FALSE,$U$4=FALSE),"-",VLOOKUP($E219,'Status Thresholds'!$E:$AU,42,FALSE)),"-")</f>
        <v>-</v>
      </c>
      <c r="L219" s="46" t="str">
        <f>IFERROR(IF(AND($U$5=FALSE,$U$4=FALSE),"-",VLOOKUP($E219,'Status Thresholds'!$E:$AU,43,FALSE)),"-")</f>
        <v>-</v>
      </c>
    </row>
    <row r="220" spans="1:12" x14ac:dyDescent="0.25">
      <c r="A220" s="35"/>
      <c r="B220" s="64" t="str">
        <f>VLOOKUP(C220,'Status Thresholds'!B:C,2,FALSE)</f>
        <v>MHGen</v>
      </c>
      <c r="C220" s="64" t="str">
        <f>IF('Status Thresholds'!B215=0, "", 'Status Thresholds'!B215)</f>
        <v>Devil Jho</v>
      </c>
      <c r="D220" s="10" t="s">
        <v>22</v>
      </c>
      <c r="E220" s="36" t="str">
        <f t="shared" ref="E220:E283" si="3">$C220&amp;$D220</f>
        <v>Devil JhoExhaust</v>
      </c>
      <c r="F220" s="36" t="str">
        <f>IFERROR(
ROUNDUP(
IF(AND($U$5=FALSE,$U$4=FALSE),"-",IF(AND($U$5=TRUE,$U$4=TRUE),"-",
IF((AND($U$4=TRUE,$U$5=FALSE,$U$6=FALSE,$U$7=FALSE)),VLOOKUP($E220,'Status Thresholds'!$E:$AR,2,FALSE),IF((AND($U$4=TRUE,$U$5=FALSE,$U$6=TRUE,$U$7=FALSE)),VLOOKUP($E220,'Status Thresholds'!$E:$AR,12,FALSE),IF((AND($U$4=TRUE,$U$5=FALSE,$U$6=TRUE,$U$7=TRUE)),VLOOKUP($E220,'Status Thresholds'!$E:$AR,17,FALSE),IF((AND($U$4=TRUE,$U$5=FALSE,$U$6=FALSE,$U$7=TRUE)),VLOOKUP($E220,'Status Thresholds'!$E:$AR,7,FALSE),
IF((AND($U$4=FALSE,$U$5=TRUE,$U$6=FALSE,$U$7=FALSE)),VLOOKUP($E220,'Status Thresholds'!$E:$AR,22,FALSE),IF((AND($U$4=FALSE,$U$5=TRUE,$U$6=TRUE,$U$7=FALSE)),VLOOKUP($E220,'Status Thresholds'!$E:$AR,32,FALSE),IF((AND($U$4=FALSE,$U$5=TRUE,$U$6=TRUE,$U$7=TRUE)),VLOOKUP($E220,'Status Thresholds'!$E:$AR,37,FALSE),IF((AND($U$4=FALSE,$U$5=TRUE,$U$6=FALSE,$U$7=TRUE)),VLOOKUP($E220,'Status Thresholds'!$E:$AR,27,FALSE)))))))))
))/
IF(OR($X$5=TRUE,$AC$3=TRUE
),($F$6/2), IF(OR($X$2,$X$3,$X$4,$X$6,$X$7,$X$8,$Z$2,$Z$3,$Z$4,$Z$5,$Z$6,$Z$7,$Z$8)=TRUE,$F$6)),0),"-")</f>
        <v>-</v>
      </c>
      <c r="G220" s="36" t="str">
        <f>IFERROR(
ROUNDUP(
IF(AND($U$5=FALSE,$U$4=FALSE),"-",IF(AND($U$5=TRUE,$U$4=TRUE),"-",
IF((AND($U$4=TRUE,$U$5=FALSE,$U$6=FALSE,$U$7=FALSE)),VLOOKUP($E220,'Status Thresholds'!$E:$AR,3,FALSE),IF((AND($U$4=TRUE,$U$5=FALSE,$U$6=TRUE,$U$7=FALSE)),VLOOKUP($E220,'Status Thresholds'!$E:$AR,13,FALSE),IF((AND($U$4=TRUE,$U$5=FALSE,$U$6=TRUE,$U$7=TRUE)),VLOOKUP($E220,'Status Thresholds'!$E:$AR,18,FALSE),IF((AND($U$4=TRUE,$U$5=FALSE,$U$6=FALSE,$U$7=TRUE)),VLOOKUP($E220,'Status Thresholds'!$E:$AR,8,FALSE),
IF((AND($U$4=FALSE,$U$5=TRUE,$U$6=FALSE,$U$7=FALSE)),VLOOKUP($E220,'Status Thresholds'!$E:$AR,23,FALSE),IF((AND($U$4=FALSE,$U$5=TRUE,$U$6=TRUE,$U$7=FALSE)),VLOOKUP($E220,'Status Thresholds'!$E:$AR,33,FALSE),IF((AND($U$4=FALSE,$U$5=TRUE,$U$6=TRUE,$U$7=TRUE)),VLOOKUP($E220,'Status Thresholds'!$E:$AR,38,FALSE),IF((AND($U$4=FALSE,$U$5=TRUE,$U$6=FALSE,$U$7=TRUE)),VLOOKUP($E220,'Status Thresholds'!$E:$AR,28,FALSE)))))))))
))/
IF(OR($X$5=TRUE,$AC$3=TRUE
),($F$6/2), IF(OR($X$2,$X$3,$X$4,$X$6,$X$7,$X$8,$Z$2,$Z$3,$Z$4,$Z$5,$Z$6,$Z$7,$Z$8)=TRUE,$F$6)),0),"-")</f>
        <v>-</v>
      </c>
      <c r="H220" s="36" t="str">
        <f>IFERROR(
ROUNDUP(
IF(AND($U$5=FALSE,$U$4=FALSE),"-",IF(AND($U$5=TRUE,$U$4=TRUE),"-",
IF((AND($U$4=TRUE,$U$5=FALSE,$U$6=FALSE,$U$7=FALSE)),VLOOKUP($E220,'Status Thresholds'!$E:$AR,4,FALSE),IF((AND($U$4=TRUE,$U$5=FALSE,$U$6=TRUE,$U$7=FALSE)),VLOOKUP($E220,'Status Thresholds'!$E:$AR,14,FALSE),IF((AND($U$4=TRUE,$U$5=FALSE,$U$6=TRUE,$U$7=TRUE)),VLOOKUP($E220,'Status Thresholds'!$E:$AR,19,FALSE),IF((AND($U$4=TRUE,$U$5=FALSE,$U$6=FALSE,$U$7=TRUE)),VLOOKUP($E220,'Status Thresholds'!$E:$AR,9,FALSE),
IF((AND($U$4=FALSE,$U$5=TRUE,$U$6=FALSE,$U$7=FALSE)),VLOOKUP($E220,'Status Thresholds'!$E:$AR,24,FALSE),IF((AND($U$4=FALSE,$U$5=TRUE,$U$6=TRUE,$U$7=FALSE)),VLOOKUP($E220,'Status Thresholds'!$E:$AR,34,FALSE),IF((AND($U$4=FALSE,$U$5=TRUE,$U$6=TRUE,$U$7=TRUE)),VLOOKUP($E220,'Status Thresholds'!$E:$AR,39,FALSE),IF((AND($U$4=FALSE,$U$5=TRUE,$U$6=FALSE,$U$7=TRUE)),VLOOKUP($E220,'Status Thresholds'!$E:$AR,29,FALSE)))))))))
))/
IF(OR($X$5=TRUE,$AC$3=TRUE
),($F$6/2), IF(OR($X$2,$X$3,$X$4,$X$6,$X$7,$X$8,$Z$2,$Z$3,$Z$4,$Z$5,$Z$6,$Z$7,$Z$8)=TRUE,$F$6)),0),"-")</f>
        <v>-</v>
      </c>
      <c r="I220" s="36" t="str">
        <f>IFERROR(
ROUNDUP(
IF(AND($U$5=FALSE,$U$4=FALSE),"-",IF(AND($U$5=TRUE,$U$4=TRUE),"-",
IF((AND($U$4=TRUE,$U$5=FALSE,$U$6=FALSE,$U$7=FALSE)),VLOOKUP($E220,'Status Thresholds'!$E:$AR,5,FALSE),IF((AND($U$4=TRUE,$U$5=FALSE,$U$6=TRUE,$U$7=FALSE)),VLOOKUP($E220,'Status Thresholds'!$E:$AR,15,FALSE),IF((AND($U$4=TRUE,$U$5=FALSE,$U$6=TRUE,$U$7=TRUE)),VLOOKUP($E220,'Status Thresholds'!$E:$AR,20,FALSE),IF((AND($U$4=TRUE,$U$5=FALSE,$U$6=FALSE,$U$7=TRUE)),VLOOKUP($E220,'Status Thresholds'!$E:$AR,10,FALSE),
IF((AND($U$4=FALSE,$U$5=TRUE,$U$6=FALSE,$U$7=FALSE)),VLOOKUP($E220,'Status Thresholds'!$E:$AR,25,FALSE),IF((AND($U$4=FALSE,$U$5=TRUE,$U$6=TRUE,$U$7=FALSE)),VLOOKUP($E220,'Status Thresholds'!$E:$AR,35,FALSE),IF((AND($U$4=FALSE,$U$5=TRUE,$U$6=TRUE,$U$7=TRUE)),VLOOKUP($E220,'Status Thresholds'!$E:$AR,40,FALSE),IF((AND($U$4=FALSE,$U$5=TRUE,$U$6=FALSE,$U$7=TRUE)),VLOOKUP($E220,'Status Thresholds'!$E:$AR,30,FALSE)))))))))
))/
IF(OR($X$5=TRUE,$AC$3=TRUE
),($F$6/2), IF(OR($X$2,$X$3,$X$4,$X$6,$X$7,$X$8,$Z$2,$Z$3,$Z$4,$Z$5,$Z$6,$Z$7,$Z$8)=TRUE,$F$6)),0),"-")</f>
        <v>-</v>
      </c>
      <c r="J220" s="46">
        <f>IFERROR(IF(AND($U$5=FALSE,$U$4=FALSE),"-",VLOOKUP($E220,'Status Thresholds'!$E:$AU,41,FALSE)),"-")</f>
        <v>0</v>
      </c>
      <c r="K220" s="46" t="str">
        <f>IFERROR(IF(AND($U$5=FALSE,$U$4=FALSE),"-",VLOOKUP($E220,'Status Thresholds'!$E:$AU,42,FALSE)),"-")</f>
        <v>-</v>
      </c>
      <c r="L220" s="46" t="str">
        <f>IFERROR(IF(AND($U$5=FALSE,$U$4=FALSE),"-",VLOOKUP($E220,'Status Thresholds'!$E:$AU,43,FALSE)),"-")</f>
        <v>-</v>
      </c>
    </row>
    <row r="221" spans="1:12" x14ac:dyDescent="0.25">
      <c r="A221" s="35"/>
      <c r="B221" s="64" t="str">
        <f>VLOOKUP(C221,'Status Thresholds'!B:C,2,FALSE)</f>
        <v>MHGen</v>
      </c>
      <c r="C221" s="64" t="str">
        <f>IF('Status Thresholds'!B216=0, "", 'Status Thresholds'!B216)</f>
        <v>Devil Jho</v>
      </c>
      <c r="D221" s="30" t="s">
        <v>35</v>
      </c>
      <c r="E221" s="36" t="str">
        <f t="shared" si="3"/>
        <v>Devil JhoBlast</v>
      </c>
      <c r="F221" s="36" t="str">
        <f>IFERROR(
ROUNDUP(
IF(AND($U$5=FALSE,$U$4=FALSE),"-",IF(AND($U$5=TRUE,$U$4=TRUE),"-",
IF((AND($U$4=TRUE,$U$5=FALSE,$U$6=FALSE,$U$7=FALSE)),VLOOKUP($E221,'Status Thresholds'!$E:$AR,2,FALSE),IF((AND($U$4=TRUE,$U$5=FALSE,$U$6=TRUE,$U$7=FALSE)),VLOOKUP($E221,'Status Thresholds'!$E:$AR,12,FALSE),IF((AND($U$4=TRUE,$U$5=FALSE,$U$6=TRUE,$U$7=TRUE)),VLOOKUP($E221,'Status Thresholds'!$E:$AR,17,FALSE),IF((AND($U$4=TRUE,$U$5=FALSE,$U$6=FALSE,$U$7=TRUE)),VLOOKUP($E221,'Status Thresholds'!$E:$AR,7,FALSE),
IF((AND($U$4=FALSE,$U$5=TRUE,$U$6=FALSE,$U$7=FALSE)),VLOOKUP($E221,'Status Thresholds'!$E:$AR,22,FALSE),IF((AND($U$4=FALSE,$U$5=TRUE,$U$6=TRUE,$U$7=FALSE)),VLOOKUP($E221,'Status Thresholds'!$E:$AR,32,FALSE),IF((AND($U$4=FALSE,$U$5=TRUE,$U$6=TRUE,$U$7=TRUE)),VLOOKUP($E221,'Status Thresholds'!$E:$AR,37,FALSE),IF((AND($U$4=FALSE,$U$5=TRUE,$U$6=FALSE,$U$7=TRUE)),VLOOKUP($E221,'Status Thresholds'!$E:$AR,27,FALSE)))))))))
))/
IF(OR($X$5=TRUE,$AC$3=TRUE
),($F$7/2), IF(OR($X$2,$X$3,$X$4,$X$6,$X$7,$X$8,$Z$2,$Z$3,$Z$4,$Z$5,$Z$6,$Z$7,$Z$8)=TRUE,$F$7)),0),"-")</f>
        <v>-</v>
      </c>
      <c r="G221" s="36" t="str">
        <f>IFERROR(
ROUNDUP(
IF(AND($U$5=FALSE,$U$4=FALSE),"-",IF(AND($U$5=TRUE,$U$4=TRUE),"-",
IF((AND($U$4=TRUE,$U$5=FALSE,$U$6=FALSE,$U$7=FALSE)),VLOOKUP($E221,'Status Thresholds'!$E:$AR,3,FALSE),IF((AND($U$4=TRUE,$U$5=FALSE,$U$6=TRUE,$U$7=FALSE)),VLOOKUP($E221,'Status Thresholds'!$E:$AR,13,FALSE),IF((AND($U$4=TRUE,$U$5=FALSE,$U$6=TRUE,$U$7=TRUE)),VLOOKUP($E221,'Status Thresholds'!$E:$AR,18,FALSE),IF((AND($U$4=TRUE,$U$5=FALSE,$U$6=FALSE,$U$7=TRUE)),VLOOKUP($E221,'Status Thresholds'!$E:$AR,8,FALSE),
IF((AND($U$4=FALSE,$U$5=TRUE,$U$6=FALSE,$U$7=FALSE)),VLOOKUP($E221,'Status Thresholds'!$E:$AR,23,FALSE),IF((AND($U$4=FALSE,$U$5=TRUE,$U$6=TRUE,$U$7=FALSE)),VLOOKUP($E221,'Status Thresholds'!$E:$AR,33,FALSE),IF((AND($U$4=FALSE,$U$5=TRUE,$U$6=TRUE,$U$7=TRUE)),VLOOKUP($E221,'Status Thresholds'!$E:$AR,38,FALSE),IF((AND($U$4=FALSE,$U$5=TRUE,$U$6=FALSE,$U$7=TRUE)),VLOOKUP($E221,'Status Thresholds'!$E:$AR,28,FALSE)))))))))
))/
IF(OR($X$5=TRUE,$AC$3=TRUE
),($F$7/2), IF(OR($X$2,$X$3,$X$4,$X$6,$X$7,$X$8,$Z$2,$Z$3,$Z$4,$Z$5,$Z$6,$Z$7,$Z$8)=TRUE,$F$7)),0),"-")</f>
        <v>-</v>
      </c>
      <c r="H221" s="36" t="str">
        <f>IFERROR(
ROUNDUP(
IF(AND($U$5=FALSE,$U$4=FALSE),"-",IF(AND($U$5=TRUE,$U$4=TRUE),"-",
IF((AND($U$4=TRUE,$U$5=FALSE,$U$6=FALSE,$U$7=FALSE)),VLOOKUP($E221,'Status Thresholds'!$E:$AR,4,FALSE),IF((AND($U$4=TRUE,$U$5=FALSE,$U$6=TRUE,$U$7=FALSE)),VLOOKUP($E221,'Status Thresholds'!$E:$AR,14,FALSE),IF((AND($U$4=TRUE,$U$5=FALSE,$U$6=TRUE,$U$7=TRUE)),VLOOKUP($E221,'Status Thresholds'!$E:$AR,19,FALSE),IF((AND($U$4=TRUE,$U$5=FALSE,$U$6=FALSE,$U$7=TRUE)),VLOOKUP($E221,'Status Thresholds'!$E:$AR,9,FALSE),
IF((AND($U$4=FALSE,$U$5=TRUE,$U$6=FALSE,$U$7=FALSE)),VLOOKUP($E221,'Status Thresholds'!$E:$AR,24,FALSE),IF((AND($U$4=FALSE,$U$5=TRUE,$U$6=TRUE,$U$7=FALSE)),VLOOKUP($E221,'Status Thresholds'!$E:$AR,34,FALSE),IF((AND($U$4=FALSE,$U$5=TRUE,$U$6=TRUE,$U$7=TRUE)),VLOOKUP($E221,'Status Thresholds'!$E:$AR,39,FALSE),IF((AND($U$4=FALSE,$U$5=TRUE,$U$6=FALSE,$U$7=TRUE)),VLOOKUP($E221,'Status Thresholds'!$E:$AR,29,FALSE)))))))))
))/
IF(OR($X$5=TRUE,$AC$3=TRUE
),($F$7/2), IF(OR($X$2,$X$3,$X$4,$X$6,$X$7,$X$8,$Z$2,$Z$3,$Z$4,$Z$5,$Z$6,$Z$7,$Z$8)=TRUE,$F$7)),0),"-")</f>
        <v>-</v>
      </c>
      <c r="I221" s="36" t="str">
        <f>IFERROR(
ROUNDUP(
IF(AND($U$5=FALSE,$U$4=FALSE),"-",IF(AND($U$5=TRUE,$U$4=TRUE),"-",
IF((AND($U$4=TRUE,$U$5=FALSE,$U$6=FALSE,$U$7=FALSE)),VLOOKUP($E221,'Status Thresholds'!$E:$AR,5,FALSE),IF((AND($U$4=TRUE,$U$5=FALSE,$U$6=TRUE,$U$7=FALSE)),VLOOKUP($E221,'Status Thresholds'!$E:$AR,15,FALSE),IF((AND($U$4=TRUE,$U$5=FALSE,$U$6=TRUE,$U$7=TRUE)),VLOOKUP($E221,'Status Thresholds'!$E:$AR,20,FALSE),IF((AND($U$4=TRUE,$U$5=FALSE,$U$6=FALSE,$U$7=TRUE)),VLOOKUP($E221,'Status Thresholds'!$E:$AR,10,FALSE),
IF((AND($U$4=FALSE,$U$5=TRUE,$U$6=FALSE,$U$7=FALSE)),VLOOKUP($E221,'Status Thresholds'!$E:$AR,25,FALSE),IF((AND($U$4=FALSE,$U$5=TRUE,$U$6=TRUE,$U$7=FALSE)),VLOOKUP($E221,'Status Thresholds'!$E:$AR,35,FALSE),IF((AND($U$4=FALSE,$U$5=TRUE,$U$6=TRUE,$U$7=TRUE)),VLOOKUP($E221,'Status Thresholds'!$E:$AR,40,FALSE),IF((AND($U$4=FALSE,$U$5=TRUE,$U$6=FALSE,$U$7=TRUE)),VLOOKUP($E221,'Status Thresholds'!$E:$AR,30,FALSE)))))))))
))/
IF(OR($X$5=TRUE,$AC$3=TRUE
),($F$7/2), IF(OR($X$2,$X$3,$X$4,$X$6,$X$7,$X$8,$Z$2,$Z$3,$Z$4,$Z$5,$Z$6,$Z$7,$Z$8)=TRUE,$F$7)),0),"-")</f>
        <v>-</v>
      </c>
      <c r="J221" s="46">
        <f>IFERROR(IF(AND($U$5=FALSE,$U$4=FALSE),"-",VLOOKUP($E221,'Status Thresholds'!$E:$AU,41,FALSE)),"-")</f>
        <v>0</v>
      </c>
      <c r="K221" s="46" t="str">
        <f>IFERROR(IF(AND($U$5=FALSE,$U$4=FALSE),"-",VLOOKUP($E221,'Status Thresholds'!$E:$AU,42,FALSE)),"-")</f>
        <v>-</v>
      </c>
      <c r="L221" s="46" t="str">
        <f>IFERROR(IF(AND($U$5=FALSE,$U$4=FALSE),"-",VLOOKUP($E221,'Status Thresholds'!$E:$AU,43,FALSE)),"-")</f>
        <v>-</v>
      </c>
    </row>
    <row r="222" spans="1:12" ht="14.45" customHeight="1" x14ac:dyDescent="0.25">
      <c r="A222" s="35"/>
      <c r="B222" s="64" t="str">
        <f>VLOOKUP(C222,'Status Thresholds'!B:C,2,FALSE)</f>
        <v>MHGen</v>
      </c>
      <c r="C222" s="64" t="str">
        <f>IF('Status Thresholds'!B217=0, "", 'Status Thresholds'!B217)</f>
        <v>Devil Jho</v>
      </c>
      <c r="D222" s="34" t="s">
        <v>14</v>
      </c>
      <c r="E222" s="36" t="str">
        <f t="shared" si="3"/>
        <v>Devil JhoKO</v>
      </c>
      <c r="F222" s="36" t="s">
        <v>214</v>
      </c>
      <c r="G222" s="36" t="s">
        <v>214</v>
      </c>
      <c r="H222" s="36" t="s">
        <v>214</v>
      </c>
      <c r="I222" s="36" t="s">
        <v>214</v>
      </c>
      <c r="J222" s="46">
        <f>IFERROR(IF(AND($U$5=FALSE,$U$4=FALSE),"-",VLOOKUP($E222,'Status Thresholds'!$E:$AU,41,FALSE)),"-")</f>
        <v>15</v>
      </c>
      <c r="K222" s="46" t="str">
        <f>IFERROR(IF(AND($U$5=FALSE,$U$4=FALSE),"-",VLOOKUP($E222,'Status Thresholds'!$E:$AU,42,FALSE)),"-")</f>
        <v>-</v>
      </c>
      <c r="L222" s="46" t="str">
        <f>IFERROR(IF(AND($U$5=FALSE,$U$4=FALSE),"-",VLOOKUP($E222,'Status Thresholds'!$E:$AU,43,FALSE)),"-")</f>
        <v>-</v>
      </c>
    </row>
    <row r="223" spans="1:12" x14ac:dyDescent="0.25">
      <c r="A223" s="35"/>
      <c r="B223" s="64" t="str">
        <f>VLOOKUP(C223,'Status Thresholds'!B:C,2,FALSE)</f>
        <v>MHGen</v>
      </c>
      <c r="C223" s="64" t="str">
        <f>IF('Status Thresholds'!B218=0, "", 'Status Thresholds'!B218)</f>
        <v>Devil Jho</v>
      </c>
      <c r="D223" s="33" t="s">
        <v>34</v>
      </c>
      <c r="E223" s="36" t="str">
        <f t="shared" si="3"/>
        <v>Devil JhoMount</v>
      </c>
      <c r="F223" s="36" t="str">
        <f>IFERROR(
ROUNDUP(
IF(AND($U$5=FALSE,$U$4=FALSE),"-",IF(AND($U$5=TRUE,$U$4=TRUE),"-",
IF((AND($U$4=TRUE,$U$5=FALSE,$U$6=FALSE,$U$7=FALSE)),VLOOKUP($E223,'Status Thresholds'!$E:$AR,2,FALSE),IF((AND($U$4=TRUE,$U$5=FALSE,$U$6=TRUE,$U$7=FALSE)),VLOOKUP($E223,'Status Thresholds'!$E:$AR,12,FALSE),IF((AND($U$4=TRUE,$U$5=FALSE,$U$6=TRUE,$U$7=TRUE)),VLOOKUP($E223,'Status Thresholds'!$E:$AR,17,FALSE),IF((AND($U$4=TRUE,$U$5=FALSE,$U$6=FALSE,$U$7=TRUE)),VLOOKUP($E223,'Status Thresholds'!$E:$AR,7,FALSE),
IF((AND($U$4=FALSE,$U$5=TRUE,$U$6=FALSE,$U$7=FALSE)),VLOOKUP($E223,'Status Thresholds'!$E:$AR,22,FALSE),IF((AND($U$4=FALSE,$U$5=TRUE,$U$6=TRUE,$U$7=FALSE)),VLOOKUP($E223,'Status Thresholds'!$E:$AR,32,FALSE),IF((AND($U$4=FALSE,$U$5=TRUE,$U$6=TRUE,$U$7=TRUE)),VLOOKUP($E223,'Status Thresholds'!$E:$AR,37,FALSE),IF((AND($U$4=FALSE,$U$5=TRUE,$U$6=FALSE,$U$7=TRUE)),VLOOKUP($E223,'Status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223" s="36" t="str">
        <f>IFERROR(
ROUNDUP(
IF(AND($U$5=FALSE,$U$4=FALSE),"-",IF(AND($U$5=TRUE,$U$4=TRUE),"-",
IF((AND($U$4=TRUE,$U$5=FALSE,$U$6=FALSE,$U$7=FALSE)),VLOOKUP($E222,'Status Thresholds'!$E:$AR,3,FALSE),IF((AND($U$4=TRUE,$U$5=FALSE,$U$6=TRUE,$U$7=FALSE)),VLOOKUP($E222,'Status Thresholds'!$E:$AR,13,FALSE),IF((AND($U$4=TRUE,$U$5=FALSE,$U$6=TRUE,$U$7=TRUE)),VLOOKUP($E222,'Status Thresholds'!$E:$AR,18,FALSE),IF((AND($U$4=TRUE,$U$5=FALSE,$U$6=FALSE,$U$7=TRUE)),VLOOKUP($E222,'Status Thresholds'!$E:$AR,8,FALSE),
IF((AND($U$4=FALSE,$U$5=TRUE,$U$6=FALSE,$U$7=FALSE)),VLOOKUP($E222,'Status Thresholds'!$E:$AR,23,FALSE),IF((AND($U$4=FALSE,$U$5=TRUE,$U$6=TRUE,$U$7=FALSE)),VLOOKUP($E222,'Status Thresholds'!$E:$AR,33,FALSE),IF((AND($U$4=FALSE,$U$5=TRUE,$U$6=TRUE,$U$7=TRUE)),VLOOKUP($E222,'Status Thresholds'!$E:$AR,38,FALSE),IF((AND($U$4=FALSE,$U$5=TRUE,$U$6=FALSE,$U$7=TRUE)),VLOOKUP($E222,'Status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223" s="36" t="str">
        <f>IFERROR(
ROUNDUP(
IF(AND($U$5=FALSE,$U$4=FALSE),"-",IF(AND($U$5=TRUE,$U$4=TRUE),"-",
IF((AND($U$4=TRUE,$U$5=FALSE,$U$6=FALSE,$U$7=FALSE)),VLOOKUP($E222,'Status Thresholds'!$E:$AR,4,FALSE),IF((AND($U$4=TRUE,$U$5=FALSE,$U$6=TRUE,$U$7=FALSE)),VLOOKUP($E222,'Status Thresholds'!$E:$AR,14,FALSE),IF((AND($U$4=TRUE,$U$5=FALSE,$U$6=TRUE,$U$7=TRUE)),VLOOKUP($E222,'Status Thresholds'!$E:$AR,19,FALSE),IF((AND($U$4=TRUE,$U$5=FALSE,$U$6=FALSE,$U$7=TRUE)),VLOOKUP($E222,'Status Thresholds'!$E:$AR,9,FALSE),
IF((AND($U$4=FALSE,$U$5=TRUE,$U$6=FALSE,$U$7=FALSE)),VLOOKUP($E222,'Status Thresholds'!$E:$AR,24,FALSE),IF((AND($U$4=FALSE,$U$5=TRUE,$U$6=TRUE,$U$7=FALSE)),VLOOKUP($E222,'Status Thresholds'!$E:$AR,34,FALSE),IF((AND($U$4=FALSE,$U$5=TRUE,$U$6=TRUE,$U$7=TRUE)),VLOOKUP($E222,'Status Thresholds'!$E:$AR,39,FALSE),IF((AND($U$4=FALSE,$U$5=TRUE,$U$6=FALSE,$U$7=TRUE)),VLOOKUP($E222,'Status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223" s="36" t="str">
        <f>IFERROR(
ROUNDUP(
IF(AND($U$5=FALSE,$U$4=FALSE),"-",IF(AND($U$5=TRUE,$U$4=TRUE),"-",
IF((AND($U$4=TRUE,$U$5=FALSE,$U$6=FALSE,$U$7=FALSE)),VLOOKUP($E222,'Status Thresholds'!$E:$AR,5,FALSE),IF((AND($U$4=TRUE,$U$5=FALSE,$U$6=TRUE,$U$7=FALSE)),VLOOKUP($E222,'Status Thresholds'!$E:$AR,15,FALSE),IF((AND($U$4=TRUE,$U$5=FALSE,$U$6=TRUE,$U$7=TRUE)),VLOOKUP($E222,'Status Thresholds'!$E:$AR,20,FALSE),IF((AND($U$4=TRUE,$U$5=FALSE,$U$6=FALSE,$U$7=TRUE)),VLOOKUP($E222,'Status Thresholds'!$E:$AR,10,FALSE),
IF((AND($U$4=FALSE,$U$5=TRUE,$U$6=FALSE,$U$7=FALSE)),VLOOKUP($E222,'Status Thresholds'!$E:$AR,25,FALSE),IF((AND($U$4=FALSE,$U$5=TRUE,$U$6=TRUE,$U$7=FALSE)),VLOOKUP($E222,'Status Thresholds'!$E:$AR,35,FALSE),IF((AND($U$4=FALSE,$U$5=TRUE,$U$6=TRUE,$U$7=TRUE)),VLOOKUP($E222,'Status Thresholds'!$E:$AR,40,FALSE),IF((AND($U$4=FALSE,$U$5=TRUE,$U$6=FALSE,$U$7=TRUE)),VLOOKUP($E222,'Status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223" s="46">
        <f>IFERROR(IF(AND($U$5=FALSE,$U$4=FALSE),"-",VLOOKUP($E223,'Status Thresholds'!$E:$AU,41,FALSE)),"-")</f>
        <v>0</v>
      </c>
      <c r="K223" s="46" t="str">
        <f>IFERROR(IF(AND($U$5=FALSE,$U$4=FALSE),"-",VLOOKUP($E223,'Status Thresholds'!$E:$AU,42,FALSE)),"-")</f>
        <v>-</v>
      </c>
      <c r="L223" s="46" t="str">
        <f>IFERROR(IF(AND($U$5=FALSE,$U$4=FALSE),"-",VLOOKUP($E223,'Status Thresholds'!$E:$AU,43,FALSE)),"-")</f>
        <v>-</v>
      </c>
    </row>
    <row r="224" spans="1:12" ht="15" customHeight="1" x14ac:dyDescent="0.25">
      <c r="A224" s="35"/>
      <c r="B224" s="64" t="str">
        <f>VLOOKUP(C224,'Status Thresholds'!B:C,2,FALSE)</f>
        <v>MHGen</v>
      </c>
      <c r="C224" s="64" t="str">
        <f>IF('Status Thresholds'!B219=0, "", 'Status Thresholds'!B219)</f>
        <v>Devil Jho</v>
      </c>
      <c r="D224" s="77" t="s">
        <v>207</v>
      </c>
      <c r="E224" s="36" t="str">
        <f t="shared" si="3"/>
        <v>Devil JhoShock Trap</v>
      </c>
      <c r="F224" s="76" t="s">
        <v>214</v>
      </c>
      <c r="G224" s="46" t="s">
        <v>214</v>
      </c>
      <c r="H224" s="46" t="s">
        <v>214</v>
      </c>
      <c r="I224" s="46" t="s">
        <v>214</v>
      </c>
      <c r="J224" s="46">
        <f>IFERROR(IF(AND($U$5=FALSE,$U$4=FALSE),"-",VLOOKUP($E224,'Status Thresholds'!$E:$AU,43,FALSE)),"-")</f>
        <v>5</v>
      </c>
      <c r="K224" s="46">
        <f>IFERROR(IF(AND($U$5=FALSE,$U$4=FALSE),"-",VLOOKUP($E224,'Status Thresholds'!$E:$AU,41,FALSE)),"-")</f>
        <v>5</v>
      </c>
      <c r="L224" s="46">
        <f>IFERROR(IF(AND($U$5=FALSE,$U$4=FALSE),"-",VLOOKUP($E224,'Status Thresholds'!$E:$AU,42,FALSE)),"-")</f>
        <v>15</v>
      </c>
    </row>
    <row r="225" spans="1:12" x14ac:dyDescent="0.25">
      <c r="A225" s="35"/>
      <c r="B225" s="64" t="str">
        <f>VLOOKUP(C225,'Status Thresholds'!B:C,2,FALSE)</f>
        <v>MHGen</v>
      </c>
      <c r="C225" s="64" t="str">
        <f>IF('Status Thresholds'!B220=0, "", 'Status Thresholds'!B220)</f>
        <v>Devil Jho</v>
      </c>
      <c r="D225" s="77" t="s">
        <v>213</v>
      </c>
      <c r="E225" s="36" t="str">
        <f t="shared" si="3"/>
        <v>Devil JhoPitfall Trap</v>
      </c>
      <c r="F225" s="46" t="s">
        <v>214</v>
      </c>
      <c r="G225" s="46" t="s">
        <v>214</v>
      </c>
      <c r="H225" s="46" t="s">
        <v>214</v>
      </c>
      <c r="I225" s="46" t="s">
        <v>214</v>
      </c>
      <c r="J225" s="46">
        <f>IFERROR(IF(AND($U$5=FALSE,$U$4=FALSE),"-",VLOOKUP($E225,'Status Thresholds'!$E:$AU,43,FALSE)),"-")</f>
        <v>10</v>
      </c>
      <c r="K225" s="46">
        <f>IFERROR(IF(AND($U$5=FALSE,$U$4=FALSE),"-",VLOOKUP($E225,'Status Thresholds'!$E:$AU,41,FALSE)),"-")</f>
        <v>10</v>
      </c>
      <c r="L225" s="46">
        <f>IFERROR(IF(AND($U$5=FALSE,$U$4=FALSE),"-",VLOOKUP($E225,'Status Thresholds'!$E:$AU,42,FALSE)),"-")</f>
        <v>20</v>
      </c>
    </row>
    <row r="226" spans="1:12" s="36" customFormat="1" x14ac:dyDescent="0.25">
      <c r="A226" s="64"/>
      <c r="B226" s="64" t="str">
        <f>VLOOKUP(C226,'Status Thresholds'!B:C,2,FALSE)</f>
        <v>MHGen</v>
      </c>
      <c r="C226" s="64" t="str">
        <f>IF('Status Thresholds'!B221=0, "", 'Status Thresholds'!B221)</f>
        <v>Devil Jho (Savage)</v>
      </c>
      <c r="D226" s="37" t="s">
        <v>0</v>
      </c>
      <c r="E226" s="36" t="str">
        <f t="shared" si="3"/>
        <v>Devil Jho (Savage)Para</v>
      </c>
      <c r="F226" s="36" t="str">
        <f>IFERROR(
ROUNDUP(
IF(AND($U$5=FALSE,$U$4=FALSE),"-",IF(AND($U$5=TRUE,$U$4=TRUE),"-",
IF((AND($U$4=TRUE,$U$5=FALSE,$U$6=FALSE,$U$7=FALSE)),VLOOKUP($E226,'Status Thresholds'!$E:$AR,2,FALSE),IF((AND($U$4=TRUE,$U$5=FALSE,$U$6=TRUE,$U$7=FALSE)),VLOOKUP($E226,'Status Thresholds'!$E:$AR,12,FALSE),IF((AND($U$4=TRUE,$U$5=FALSE,$U$6=TRUE,$U$7=TRUE)),VLOOKUP($E226,'Status Thresholds'!$E:$AR,17,FALSE),IF((AND($U$4=TRUE,$U$5=FALSE,$U$6=FALSE,$U$7=TRUE)),VLOOKUP($E226,'Status Thresholds'!$E:$AR,7,FALSE),
IF((AND($U$4=FALSE,$U$5=TRUE,$U$6=FALSE,$U$7=FALSE)),VLOOKUP($E226,'Status Thresholds'!$E:$AR,22,FALSE),IF((AND($U$4=FALSE,$U$5=TRUE,$U$6=TRUE,$U$7=FALSE)),VLOOKUP($E226,'Status Thresholds'!$E:$AR,32,FALSE),IF((AND($U$4=FALSE,$U$5=TRUE,$U$6=TRUE,$U$7=TRUE)),VLOOKUP($E226,'Status Thresholds'!$E:$AR,37,FALSE),IF((AND($U$4=FALSE,$U$5=TRUE,$U$6=FALSE,$U$7=TRUE)),VLOOKUP($E226,'Status Thresholds'!$E:$AR,27,FALSE)))))))))
))/
IF(OR($X$5=TRUE,$AC$3=TRUE
),($F$3/2), IF(OR($X$2,$X$3,$X$4,$X$6,$X$7,$X$8,$Z$2,$Z$3,$Z$4,$Z$5,$Z$6,$Z$7,$Z$8)=TRUE,$F$3)),0),"-")</f>
        <v>-</v>
      </c>
      <c r="G226" s="36" t="str">
        <f>IFERROR(
ROUNDUP(
IF(AND($U$5=FALSE,$U$4=FALSE),"-",IF(AND($U$5=TRUE,$U$4=TRUE),"-",
IF((AND($U$4=TRUE,$U$5=FALSE,$U$6=FALSE,$U$7=FALSE)),VLOOKUP($E226,'Status Thresholds'!$E:$AR,3,FALSE),IF((AND($U$4=TRUE,$U$5=FALSE,$U$6=TRUE,$U$7=FALSE)),VLOOKUP($E226,'Status Thresholds'!$E:$AR,13,FALSE),IF((AND($U$4=TRUE,$U$5=FALSE,$U$6=TRUE,$U$7=TRUE)),VLOOKUP($E226,'Status Thresholds'!$E:$AR,18,FALSE),IF((AND($U$4=TRUE,$U$5=FALSE,$U$6=FALSE,$U$7=TRUE)),VLOOKUP($E226,'Status Thresholds'!$E:$AR,8,FALSE),
IF((AND($U$4=FALSE,$U$5=TRUE,$U$6=FALSE,$U$7=FALSE)),VLOOKUP($E226,'Status Thresholds'!$E:$AR,23,FALSE),IF((AND($U$4=FALSE,$U$5=TRUE,$U$6=TRUE,$U$7=FALSE)),VLOOKUP($E226,'Status Thresholds'!$E:$AR,33,FALSE),IF((AND($U$4=FALSE,$U$5=TRUE,$U$6=TRUE,$U$7=TRUE)),VLOOKUP($E226,'Status Thresholds'!$E:$AR,38,FALSE),IF((AND($U$4=FALSE,$U$5=TRUE,$U$6=FALSE,$U$7=TRUE)),VLOOKUP($E226,'Status Thresholds'!$E:$AR,28,FALSE)))))))))
))/
IF(OR($X$5=TRUE,$AC$3=TRUE
),($F$3/2), IF(OR($X$2,$X$3,$X$4,$X$6,$X$7,$X$8,$Z$2,$Z$3,$Z$4,$Z$5,$Z$6,$Z$7,$Z$8)=TRUE,$F$3)),0),"-")</f>
        <v>-</v>
      </c>
      <c r="H226" s="36" t="str">
        <f>IFERROR(
ROUNDUP(
IF(AND($U$5=FALSE,$U$4=FALSE),"-",IF(AND($U$5=TRUE,$U$4=TRUE),"-",
IF((AND($U$4=TRUE,$U$5=FALSE,$U$6=FALSE,$U$7=FALSE)),VLOOKUP($E226,'Status Thresholds'!$E:$AR,4,FALSE),IF((AND($U$4=TRUE,$U$5=FALSE,$U$6=TRUE,$U$7=FALSE)),VLOOKUP($E226,'Status Thresholds'!$E:$AR,14,FALSE),IF((AND($U$4=TRUE,$U$5=FALSE,$U$6=TRUE,$U$7=TRUE)),VLOOKUP($E226,'Status Thresholds'!$E:$AR,19,FALSE),IF((AND($U$4=TRUE,$U$5=FALSE,$U$6=FALSE,$U$7=TRUE)),VLOOKUP($E226,'Status Thresholds'!$E:$AR,9,FALSE),
IF((AND($U$4=FALSE,$U$5=TRUE,$U$6=FALSE,$U$7=FALSE)),VLOOKUP($E226,'Status Thresholds'!$E:$AR,24,FALSE),IF((AND($U$4=FALSE,$U$5=TRUE,$U$6=TRUE,$U$7=FALSE)),VLOOKUP($E226,'Status Thresholds'!$E:$AR,34,FALSE),IF((AND($U$4=FALSE,$U$5=TRUE,$U$6=TRUE,$U$7=TRUE)),VLOOKUP($E226,'Status Thresholds'!$E:$AR,39,FALSE),IF((AND($U$4=FALSE,$U$5=TRUE,$U$6=FALSE,$U$7=TRUE)),VLOOKUP($E226,'Status Thresholds'!$E:$AR,29,FALSE)))))))))
))/
IF(OR($X$5=TRUE,$AC$3=TRUE
),($F$3/2), IF(OR($X$2,$X$3,$X$4,$X$6,$X$7,$X$8,$Z$2,$Z$3,$Z$4,$Z$5,$Z$6,$Z$7,$Z$8)=TRUE,$F$3)),0),"-")</f>
        <v>-</v>
      </c>
      <c r="I226" s="36" t="str">
        <f>IFERROR(
ROUNDUP(
IF(AND($U$5=FALSE,$U$4=FALSE),"-",IF(AND($U$5=TRUE,$U$4=TRUE),"-",
IF((AND($U$4=TRUE,$U$5=FALSE,$U$6=FALSE,$U$7=FALSE)),VLOOKUP($E226,'Status Thresholds'!$E:$AR,5,FALSE),IF((AND($U$4=TRUE,$U$5=FALSE,$U$6=TRUE,$U$7=FALSE)),VLOOKUP($E226,'Status Thresholds'!$E:$AR,15,FALSE),IF((AND($U$4=TRUE,$U$5=FALSE,$U$6=TRUE,$U$7=TRUE)),VLOOKUP($E226,'Status Thresholds'!$E:$AR,20,FALSE),IF((AND($U$4=TRUE,$U$5=FALSE,$U$6=FALSE,$U$7=TRUE)),VLOOKUP($E226,'Status Thresholds'!$E:$AR,10,FALSE),
IF((AND($U$4=FALSE,$U$5=TRUE,$U$6=FALSE,$U$7=FALSE)),VLOOKUP($E226,'Status Thresholds'!$E:$AR,25,FALSE),IF((AND($U$4=FALSE,$U$5=TRUE,$U$6=TRUE,$U$7=FALSE)),VLOOKUP($E226,'Status Thresholds'!$E:$AR,35,FALSE),IF((AND($U$4=FALSE,$U$5=TRUE,$U$6=TRUE,$U$7=TRUE)),VLOOKUP($E226,'Status Thresholds'!$E:$AR,40,FALSE),IF((AND($U$4=FALSE,$U$5=TRUE,$U$6=FALSE,$U$7=TRUE)),VLOOKUP($E226,'Status Thresholds'!$E:$AR,30,FALSE)))))))))
))/
IF(OR($X$5=TRUE,$AC$3=TRUE
),($F$3/2), IF(OR($X$2,$X$3,$X$4,$X$6,$X$7,$X$8,$Z$2,$Z$3,$Z$4,$Z$5,$Z$6,$Z$7,$Z$8)=TRUE,$F$3)),0),"-")</f>
        <v>-</v>
      </c>
      <c r="J226" s="36">
        <f>IFERROR(IF(AND($U$5=FALSE,$U$4=FALSE),"-",VLOOKUP($E226,'Status Thresholds'!$E:$AU,41,FALSE)),"-")</f>
        <v>15</v>
      </c>
      <c r="K226" s="36" t="str">
        <f>IFERROR(IF(AND($U$5=FALSE,$U$4=FALSE),"-",VLOOKUP($E226,'Status Thresholds'!$E:$AU,42,FALSE)),"-")</f>
        <v>-</v>
      </c>
      <c r="L226" s="36" t="str">
        <f>IFERROR(IF(AND($U$5=FALSE,$U$4=FALSE),"-",VLOOKUP($E226,'Status Thresholds'!$E:$AU,43,FALSE)),"-")</f>
        <v>-</v>
      </c>
    </row>
    <row r="227" spans="1:12" x14ac:dyDescent="0.25">
      <c r="A227" s="35"/>
      <c r="B227" s="64" t="str">
        <f>VLOOKUP(C227,'Status Thresholds'!B:C,2,FALSE)</f>
        <v>MHGen</v>
      </c>
      <c r="C227" s="64" t="str">
        <f>IF('Status Thresholds'!B222=0, "", 'Status Thresholds'!B222)</f>
        <v>Devil Jho (Savage)</v>
      </c>
      <c r="D227" s="31" t="s">
        <v>32</v>
      </c>
      <c r="E227" s="36" t="str">
        <f t="shared" si="3"/>
        <v>Devil Jho (Savage)Sleep</v>
      </c>
      <c r="F227" s="36" t="str">
        <f>IFERROR(
ROUNDUP(
IF(AND($U$5=FALSE,$U$4=FALSE),"-",IF(AND($U$5=TRUE,$U$4=TRUE),"-",
IF((AND($U$4=TRUE,$U$5=FALSE,$U$6=FALSE,$U$7=FALSE)),VLOOKUP($E227,'Status Thresholds'!$E:$AR,2,FALSE),IF((AND($U$4=TRUE,$U$5=FALSE,$U$6=TRUE,$U$7=FALSE)),VLOOKUP($E227,'Status Thresholds'!$E:$AR,12,FALSE),IF((AND($U$4=TRUE,$U$5=FALSE,$U$6=TRUE,$U$7=TRUE)),VLOOKUP($E227,'Status Thresholds'!$E:$AR,17,FALSE),IF((AND($U$4=TRUE,$U$5=FALSE,$U$6=FALSE,$U$7=TRUE)),VLOOKUP($E227,'Status Thresholds'!$E:$AR,7,FALSE),
IF((AND($U$4=FALSE,$U$5=TRUE,$U$6=FALSE,$U$7=FALSE)),VLOOKUP($E227,'Status Thresholds'!$E:$AR,22,FALSE),IF((AND($U$4=FALSE,$U$5=TRUE,$U$6=TRUE,$U$7=FALSE)),VLOOKUP($E227,'Status Thresholds'!$E:$AR,32,FALSE),IF((AND($U$4=FALSE,$U$5=TRUE,$U$6=TRUE,$U$7=TRUE)),VLOOKUP($E227,'Status Thresholds'!$E:$AR,37,FALSE),IF((AND($U$4=FALSE,$U$5=TRUE,$U$6=FALSE,$U$7=TRUE)),VLOOKUP($E227,'Status Thresholds'!$E:$AR,27,FALSE)))))))))
))/
IF(OR($X$5=TRUE,$AC$3=TRUE
),($F$4/2), IF(OR($X$2,$X$3,$X$4,$X$6,$X$7,$X$8,$Z$2,$Z$3,$Z$4,$Z$5,$Z$6,$Z$7,$Z$8)=TRUE,$F$4)),0),"-")</f>
        <v>-</v>
      </c>
      <c r="G227" s="36" t="str">
        <f>IFERROR(
ROUNDUP(
IF(AND($U$5=FALSE,$U$4=FALSE),"-",IF(AND($U$5=TRUE,$U$4=TRUE),"-",
IF((AND($U$4=TRUE,$U$5=FALSE,$U$6=FALSE,$U$7=FALSE)),VLOOKUP($E227,'Status Thresholds'!$E:$AR,3,FALSE),IF((AND($U$4=TRUE,$U$5=FALSE,$U$6=TRUE,$U$7=FALSE)),VLOOKUP($E227,'Status Thresholds'!$E:$AR,13,FALSE),IF((AND($U$4=TRUE,$U$5=FALSE,$U$6=TRUE,$U$7=TRUE)),VLOOKUP($E227,'Status Thresholds'!$E:$AR,18,FALSE),IF((AND($U$4=TRUE,$U$5=FALSE,$U$6=FALSE,$U$7=TRUE)),VLOOKUP($E227,'Status Thresholds'!$E:$AR,8,FALSE),
IF((AND($U$4=FALSE,$U$5=TRUE,$U$6=FALSE,$U$7=FALSE)),VLOOKUP($E227,'Status Thresholds'!$E:$AR,23,FALSE),IF((AND($U$4=FALSE,$U$5=TRUE,$U$6=TRUE,$U$7=FALSE)),VLOOKUP($E227,'Status Thresholds'!$E:$AR,33,FALSE),IF((AND($U$4=FALSE,$U$5=TRUE,$U$6=TRUE,$U$7=TRUE)),VLOOKUP($E227,'Status Thresholds'!$E:$AR,38,FALSE),IF((AND($U$4=FALSE,$U$5=TRUE,$U$6=FALSE,$U$7=TRUE)),VLOOKUP($E227,'Status Thresholds'!$E:$AR,28,FALSE)))))))))
))/
IF(OR($X$5=TRUE,$AC$3=TRUE
),($F$4/2), IF(OR($X$2,$X$3,$X$4,$X$6,$X$7,$X$8,$Z$2,$Z$3,$Z$4,$Z$5,$Z$6,$Z$7,$Z$8)=TRUE,$F$4)),0),"-")</f>
        <v>-</v>
      </c>
      <c r="H227" s="36" t="str">
        <f>IFERROR(
ROUNDUP(
IF(AND($U$5=FALSE,$U$4=FALSE),"-",IF(AND($U$5=TRUE,$U$4=TRUE),"-",
IF((AND($U$4=TRUE,$U$5=FALSE,$U$6=FALSE,$U$7=FALSE)),VLOOKUP($E227,'Status Thresholds'!$E:$AR,4,FALSE),IF((AND($U$4=TRUE,$U$5=FALSE,$U$6=TRUE,$U$7=FALSE)),VLOOKUP($E227,'Status Thresholds'!$E:$AR,14,FALSE),IF((AND($U$4=TRUE,$U$5=FALSE,$U$6=TRUE,$U$7=TRUE)),VLOOKUP($E227,'Status Thresholds'!$E:$AR,19,FALSE),IF((AND($U$4=TRUE,$U$5=FALSE,$U$6=FALSE,$U$7=TRUE)),VLOOKUP($E227,'Status Thresholds'!$E:$AR,9,FALSE),
IF((AND($U$4=FALSE,$U$5=TRUE,$U$6=FALSE,$U$7=FALSE)),VLOOKUP($E227,'Status Thresholds'!$E:$AR,24,FALSE),IF((AND($U$4=FALSE,$U$5=TRUE,$U$6=TRUE,$U$7=FALSE)),VLOOKUP($E227,'Status Thresholds'!$E:$AR,34,FALSE),IF((AND($U$4=FALSE,$U$5=TRUE,$U$6=TRUE,$U$7=TRUE)),VLOOKUP($E227,'Status Thresholds'!$E:$AR,39,FALSE),IF((AND($U$4=FALSE,$U$5=TRUE,$U$6=FALSE,$U$7=TRUE)),VLOOKUP($E227,'Status Thresholds'!$E:$AR,29,FALSE)))))))))
))/
IF(OR($X$5=TRUE,$AC$3=TRUE
),($F$4/2), IF(OR($X$2,$X$3,$X$4,$X$6,$X$7,$X$8,$Z$2,$Z$3,$Z$4,$Z$5,$Z$6,$Z$7,$Z$8)=TRUE,$F$4)),0),"-")</f>
        <v>-</v>
      </c>
      <c r="I227" s="36" t="str">
        <f>IFERROR(
ROUNDUP(
IF(AND($U$5=FALSE,$U$4=FALSE),"-",IF(AND($U$5=TRUE,$U$4=TRUE),"-",
IF((AND($U$4=TRUE,$U$5=FALSE,$U$6=FALSE,$U$7=FALSE)),VLOOKUP($E227,'Status Thresholds'!$E:$AR,5,FALSE),IF((AND($U$4=TRUE,$U$5=FALSE,$U$6=TRUE,$U$7=FALSE)),VLOOKUP($E227,'Status Thresholds'!$E:$AR,15,FALSE),IF((AND($U$4=TRUE,$U$5=FALSE,$U$6=TRUE,$U$7=TRUE)),VLOOKUP($E227,'Status Thresholds'!$E:$AR,20,FALSE),IF((AND($U$4=TRUE,$U$5=FALSE,$U$6=FALSE,$U$7=TRUE)),VLOOKUP($E227,'Status Thresholds'!$E:$AR,10,FALSE),
IF((AND($U$4=FALSE,$U$5=TRUE,$U$6=FALSE,$U$7=FALSE)),VLOOKUP($E227,'Status Thresholds'!$E:$AR,25,FALSE),IF((AND($U$4=FALSE,$U$5=TRUE,$U$6=TRUE,$U$7=FALSE)),VLOOKUP($E227,'Status Thresholds'!$E:$AR,35,FALSE),IF((AND($U$4=FALSE,$U$5=TRUE,$U$6=TRUE,$U$7=TRUE)),VLOOKUP($E227,'Status Thresholds'!$E:$AR,40,FALSE),IF((AND($U$4=FALSE,$U$5=TRUE,$U$6=FALSE,$U$7=TRUE)),VLOOKUP($E227,'Status Thresholds'!$E:$AR,30,FALSE)))))))))
))/
IF(OR($X$5=TRUE,$AC$3=TRUE
),($F$4/2), IF(OR($X$2,$X$3,$X$4,$X$6,$X$7,$X$8,$Z$2,$Z$3,$Z$4,$Z$5,$Z$6,$Z$7,$Z$8)=TRUE,$F$4)),0),"-")</f>
        <v>-</v>
      </c>
      <c r="J227" s="46">
        <f>IFERROR(IF(AND($U$5=FALSE,$U$4=FALSE),"-",VLOOKUP($E227,'Status Thresholds'!$E:$AU,41,FALSE)),"-")</f>
        <v>60</v>
      </c>
      <c r="K227" s="46" t="str">
        <f>IFERROR(IF(AND($U$5=FALSE,$U$4=FALSE),"-",VLOOKUP($E227,'Status Thresholds'!$E:$AU,42,FALSE)),"-")</f>
        <v>-</v>
      </c>
      <c r="L227" s="46" t="str">
        <f>IFERROR(IF(AND($U$5=FALSE,$U$4=FALSE),"-",VLOOKUP($E227,'Status Thresholds'!$E:$AU,43,FALSE)),"-")</f>
        <v>-</v>
      </c>
    </row>
    <row r="228" spans="1:12" x14ac:dyDescent="0.25">
      <c r="A228" s="35"/>
      <c r="B228" s="64" t="str">
        <f>VLOOKUP(C228,'Status Thresholds'!B:C,2,FALSE)</f>
        <v>MHGen</v>
      </c>
      <c r="C228" s="64" t="str">
        <f>IF('Status Thresholds'!B223=0, "", 'Status Thresholds'!B223)</f>
        <v>Devil Jho (Savage)</v>
      </c>
      <c r="D228" s="32" t="s">
        <v>33</v>
      </c>
      <c r="E228" s="36" t="str">
        <f t="shared" si="3"/>
        <v>Devil Jho (Savage)Poison</v>
      </c>
      <c r="F228" s="36" t="str">
        <f>IFERROR(
ROUNDUP(
IF(AND($U$5=FALSE,$U$4=FALSE),"-",IF(AND($U$5=TRUE,$U$4=TRUE),"-",
IF((AND($U$4=TRUE,$U$5=FALSE,$U$6=FALSE,$U$7=FALSE)),VLOOKUP($E228,'Status Thresholds'!$E:$AR,2,FALSE),IF((AND($U$4=TRUE,$U$5=FALSE,$U$6=TRUE,$U$7=FALSE)),VLOOKUP($E228,'Status Thresholds'!$E:$AR,12,FALSE),IF((AND($U$4=TRUE,$U$5=FALSE,$U$6=TRUE,$U$7=TRUE)),VLOOKUP($E228,'Status Thresholds'!$E:$AR,17,FALSE),IF((AND($U$4=TRUE,$U$5=FALSE,$U$6=FALSE,$U$7=TRUE)),VLOOKUP($E228,'Status Thresholds'!$E:$AR,7,FALSE),
IF((AND($U$4=FALSE,$U$5=TRUE,$U$6=FALSE,$U$7=FALSE)),VLOOKUP($E228,'Status Thresholds'!$E:$AR,22,FALSE),IF((AND($U$4=FALSE,$U$5=TRUE,$U$6=TRUE,$U$7=FALSE)),VLOOKUP($E228,'Status Thresholds'!$E:$AR,32,FALSE),IF((AND($U$4=FALSE,$U$5=TRUE,$U$6=TRUE,$U$7=TRUE)),VLOOKUP($E228,'Status Thresholds'!$E:$AR,37,FALSE),IF((AND($U$4=FALSE,$U$5=TRUE,$U$6=FALSE,$U$7=TRUE)),VLOOKUP($E228,'Status Thresholds'!$E:$AR,27,FALSE)))))))))
))/
IF(OR($X$5=TRUE,$AC$3=TRUE
),($F$5/2), IF(OR($X$2,$X$3,$X$4,$X$6,$X$7,$X$8,$Z$2,$Z$3,$Z$4,$Z$5,$Z$6,$Z$7,$Z$8)=TRUE,$F$5)),0),"-")</f>
        <v>-</v>
      </c>
      <c r="G228" s="36" t="str">
        <f>IFERROR(
ROUNDUP(
IF(AND($U$5=FALSE,$U$4=FALSE),"-",IF(AND($U$5=TRUE,$U$4=TRUE),"-",
IF((AND($U$4=TRUE,$U$5=FALSE,$U$6=FALSE,$U$7=FALSE)),VLOOKUP($E228,'Status Thresholds'!$E:$AR,3,FALSE),IF((AND($U$4=TRUE,$U$5=FALSE,$U$6=TRUE,$U$7=FALSE)),VLOOKUP($E228,'Status Thresholds'!$E:$AR,13,FALSE),IF((AND($U$4=TRUE,$U$5=FALSE,$U$6=TRUE,$U$7=TRUE)),VLOOKUP($E228,'Status Thresholds'!$E:$AR,18,FALSE),IF((AND($U$4=TRUE,$U$5=FALSE,$U$6=FALSE,$U$7=TRUE)),VLOOKUP($E228,'Status Thresholds'!$E:$AR,8,FALSE),
IF((AND($U$4=FALSE,$U$5=TRUE,$U$6=FALSE,$U$7=FALSE)),VLOOKUP($E228,'Status Thresholds'!$E:$AR,23,FALSE),IF((AND($U$4=FALSE,$U$5=TRUE,$U$6=TRUE,$U$7=FALSE)),VLOOKUP($E228,'Status Thresholds'!$E:$AR,33,FALSE),IF((AND($U$4=FALSE,$U$5=TRUE,$U$6=TRUE,$U$7=TRUE)),VLOOKUP($E228,'Status Thresholds'!$E:$AR,38,FALSE),IF((AND($U$4=FALSE,$U$5=TRUE,$U$6=FALSE,$U$7=TRUE)),VLOOKUP($E228,'Status Thresholds'!$E:$AR,28,FALSE)))))))))
))/
IF(OR($X$5=TRUE,$AC$3=TRUE
),($F$5/2), IF(OR($X$2,$X$3,$X$4,$X$6,$X$7,$X$8,$Z$2,$Z$3,$Z$4,$Z$5,$Z$6,$Z$7,$Z$8)=TRUE,$F$5)),0),"-")</f>
        <v>-</v>
      </c>
      <c r="H228" s="36" t="str">
        <f>IFERROR(
ROUNDUP(
IF(AND($U$5=FALSE,$U$4=FALSE),"-",IF(AND($U$5=TRUE,$U$4=TRUE),"-",
IF((AND($U$4=TRUE,$U$5=FALSE,$U$6=FALSE,$U$7=FALSE)),VLOOKUP($E228,'Status Thresholds'!$E:$AR,4,FALSE),IF((AND($U$4=TRUE,$U$5=FALSE,$U$6=TRUE,$U$7=FALSE)),VLOOKUP($E228,'Status Thresholds'!$E:$AR,14,FALSE),IF((AND($U$4=TRUE,$U$5=FALSE,$U$6=TRUE,$U$7=TRUE)),VLOOKUP($E228,'Status Thresholds'!$E:$AR,19,FALSE),IF((AND($U$4=TRUE,$U$5=FALSE,$U$6=FALSE,$U$7=TRUE)),VLOOKUP($E228,'Status Thresholds'!$E:$AR,9,FALSE),
IF((AND($U$4=FALSE,$U$5=TRUE,$U$6=FALSE,$U$7=FALSE)),VLOOKUP($E228,'Status Thresholds'!$E:$AR,24,FALSE),IF((AND($U$4=FALSE,$U$5=TRUE,$U$6=TRUE,$U$7=FALSE)),VLOOKUP($E228,'Status Thresholds'!$E:$AR,34,FALSE),IF((AND($U$4=FALSE,$U$5=TRUE,$U$6=TRUE,$U$7=TRUE)),VLOOKUP($E228,'Status Thresholds'!$E:$AR,39,FALSE),IF((AND($U$4=FALSE,$U$5=TRUE,$U$6=FALSE,$U$7=TRUE)),VLOOKUP($E228,'Status Thresholds'!$E:$AR,29,FALSE)))))))))
))/
IF(OR($X$5=TRUE,$AC$3=TRUE
),($F$5/2), IF(OR($X$2,$X$3,$X$4,$X$6,$X$7,$X$8,$Z$2,$Z$3,$Z$4,$Z$5,$Z$6,$Z$7,$Z$8)=TRUE,$F$5)),0),"-")</f>
        <v>-</v>
      </c>
      <c r="I228" s="36" t="str">
        <f>IFERROR(
ROUNDUP(
IF(AND($U$5=FALSE,$U$4=FALSE),"-",IF(AND($U$5=TRUE,$U$4=TRUE),"-",
IF((AND($U$4=TRUE,$U$5=FALSE,$U$6=FALSE,$U$7=FALSE)),VLOOKUP($E228,'Status Thresholds'!$E:$AR,5,FALSE),IF((AND($U$4=TRUE,$U$5=FALSE,$U$6=TRUE,$U$7=FALSE)),VLOOKUP($E228,'Status Thresholds'!$E:$AR,15,FALSE),IF((AND($U$4=TRUE,$U$5=FALSE,$U$6=TRUE,$U$7=TRUE)),VLOOKUP($E228,'Status Thresholds'!$E:$AR,20,FALSE),IF((AND($U$4=TRUE,$U$5=FALSE,$U$6=FALSE,$U$7=TRUE)),VLOOKUP($E228,'Status Thresholds'!$E:$AR,10,FALSE),
IF((AND($U$4=FALSE,$U$5=TRUE,$U$6=FALSE,$U$7=FALSE)),VLOOKUP($E228,'Status Thresholds'!$E:$AR,25,FALSE),IF((AND($U$4=FALSE,$U$5=TRUE,$U$6=TRUE,$U$7=FALSE)),VLOOKUP($E228,'Status Thresholds'!$E:$AR,35,FALSE),IF((AND($U$4=FALSE,$U$5=TRUE,$U$6=TRUE,$U$7=TRUE)),VLOOKUP($E228,'Status Thresholds'!$E:$AR,40,FALSE),IF((AND($U$4=FALSE,$U$5=TRUE,$U$6=FALSE,$U$7=TRUE)),VLOOKUP($E228,'Status Thresholds'!$E:$AR,30,FALSE)))))))))
))/
IF(OR($X$5=TRUE,$AC$3=TRUE
),($F$5/2), IF(OR($X$2,$X$3,$X$4,$X$6,$X$7,$X$8,$Z$2,$Z$3,$Z$4,$Z$5,$Z$6,$Z$7,$Z$8)=TRUE,$F$5)),0),"-")</f>
        <v>-</v>
      </c>
      <c r="J228" s="46">
        <f>IFERROR(IF(AND($U$5=FALSE,$U$4=FALSE),"-",VLOOKUP($E228,'Status Thresholds'!$E:$AU,41,FALSE)),"-")</f>
        <v>45</v>
      </c>
      <c r="K228" s="46" t="str">
        <f>IFERROR(IF(AND($U$5=FALSE,$U$4=FALSE),"-",VLOOKUP($E228,'Status Thresholds'!$E:$AU,42,FALSE)),"-")</f>
        <v>-</v>
      </c>
      <c r="L228" s="46" t="str">
        <f>IFERROR(IF(AND($U$5=FALSE,$U$4=FALSE),"-",VLOOKUP($E228,'Status Thresholds'!$E:$AU,43,FALSE)),"-")</f>
        <v>-</v>
      </c>
    </row>
    <row r="229" spans="1:12" x14ac:dyDescent="0.25">
      <c r="A229" s="35"/>
      <c r="B229" s="64" t="str">
        <f>VLOOKUP(C229,'Status Thresholds'!B:C,2,FALSE)</f>
        <v>MHGen</v>
      </c>
      <c r="C229" s="64" t="str">
        <f>IF('Status Thresholds'!B224=0, "", 'Status Thresholds'!B224)</f>
        <v>Devil Jho (Savage)</v>
      </c>
      <c r="D229" s="10" t="s">
        <v>22</v>
      </c>
      <c r="E229" s="36" t="str">
        <f t="shared" si="3"/>
        <v>Devil Jho (Savage)Exhaust</v>
      </c>
      <c r="F229" s="36" t="str">
        <f>IFERROR(
ROUNDUP(
IF(AND($U$5=FALSE,$U$4=FALSE),"-",IF(AND($U$5=TRUE,$U$4=TRUE),"-",
IF((AND($U$4=TRUE,$U$5=FALSE,$U$6=FALSE,$U$7=FALSE)),VLOOKUP($E229,'Status Thresholds'!$E:$AR,2,FALSE),IF((AND($U$4=TRUE,$U$5=FALSE,$U$6=TRUE,$U$7=FALSE)),VLOOKUP($E229,'Status Thresholds'!$E:$AR,12,FALSE),IF((AND($U$4=TRUE,$U$5=FALSE,$U$6=TRUE,$U$7=TRUE)),VLOOKUP($E229,'Status Thresholds'!$E:$AR,17,FALSE),IF((AND($U$4=TRUE,$U$5=FALSE,$U$6=FALSE,$U$7=TRUE)),VLOOKUP($E229,'Status Thresholds'!$E:$AR,7,FALSE),
IF((AND($U$4=FALSE,$U$5=TRUE,$U$6=FALSE,$U$7=FALSE)),VLOOKUP($E229,'Status Thresholds'!$E:$AR,22,FALSE),IF((AND($U$4=FALSE,$U$5=TRUE,$U$6=TRUE,$U$7=FALSE)),VLOOKUP($E229,'Status Thresholds'!$E:$AR,32,FALSE),IF((AND($U$4=FALSE,$U$5=TRUE,$U$6=TRUE,$U$7=TRUE)),VLOOKUP($E229,'Status Thresholds'!$E:$AR,37,FALSE),IF((AND($U$4=FALSE,$U$5=TRUE,$U$6=FALSE,$U$7=TRUE)),VLOOKUP($E229,'Status Thresholds'!$E:$AR,27,FALSE)))))))))
))/
IF(OR($X$5=TRUE,$AC$3=TRUE
),($F$6/2), IF(OR($X$2,$X$3,$X$4,$X$6,$X$7,$X$8,$Z$2,$Z$3,$Z$4,$Z$5,$Z$6,$Z$7,$Z$8)=TRUE,$F$6)),0),"-")</f>
        <v>-</v>
      </c>
      <c r="G229" s="36" t="str">
        <f>IFERROR(
ROUNDUP(
IF(AND($U$5=FALSE,$U$4=FALSE),"-",IF(AND($U$5=TRUE,$U$4=TRUE),"-",
IF((AND($U$4=TRUE,$U$5=FALSE,$U$6=FALSE,$U$7=FALSE)),VLOOKUP($E229,'Status Thresholds'!$E:$AR,3,FALSE),IF((AND($U$4=TRUE,$U$5=FALSE,$U$6=TRUE,$U$7=FALSE)),VLOOKUP($E229,'Status Thresholds'!$E:$AR,13,FALSE),IF((AND($U$4=TRUE,$U$5=FALSE,$U$6=TRUE,$U$7=TRUE)),VLOOKUP($E229,'Status Thresholds'!$E:$AR,18,FALSE),IF((AND($U$4=TRUE,$U$5=FALSE,$U$6=FALSE,$U$7=TRUE)),VLOOKUP($E229,'Status Thresholds'!$E:$AR,8,FALSE),
IF((AND($U$4=FALSE,$U$5=TRUE,$U$6=FALSE,$U$7=FALSE)),VLOOKUP($E229,'Status Thresholds'!$E:$AR,23,FALSE),IF((AND($U$4=FALSE,$U$5=TRUE,$U$6=TRUE,$U$7=FALSE)),VLOOKUP($E229,'Status Thresholds'!$E:$AR,33,FALSE),IF((AND($U$4=FALSE,$U$5=TRUE,$U$6=TRUE,$U$7=TRUE)),VLOOKUP($E229,'Status Thresholds'!$E:$AR,38,FALSE),IF((AND($U$4=FALSE,$U$5=TRUE,$U$6=FALSE,$U$7=TRUE)),VLOOKUP($E229,'Status Thresholds'!$E:$AR,28,FALSE)))))))))
))/
IF(OR($X$5=TRUE,$AC$3=TRUE
),($F$6/2), IF(OR($X$2,$X$3,$X$4,$X$6,$X$7,$X$8,$Z$2,$Z$3,$Z$4,$Z$5,$Z$6,$Z$7,$Z$8)=TRUE,$F$6)),0),"-")</f>
        <v>-</v>
      </c>
      <c r="H229" s="36" t="str">
        <f>IFERROR(
ROUNDUP(
IF(AND($U$5=FALSE,$U$4=FALSE),"-",IF(AND($U$5=TRUE,$U$4=TRUE),"-",
IF((AND($U$4=TRUE,$U$5=FALSE,$U$6=FALSE,$U$7=FALSE)),VLOOKUP($E229,'Status Thresholds'!$E:$AR,4,FALSE),IF((AND($U$4=TRUE,$U$5=FALSE,$U$6=TRUE,$U$7=FALSE)),VLOOKUP($E229,'Status Thresholds'!$E:$AR,14,FALSE),IF((AND($U$4=TRUE,$U$5=FALSE,$U$6=TRUE,$U$7=TRUE)),VLOOKUP($E229,'Status Thresholds'!$E:$AR,19,FALSE),IF((AND($U$4=TRUE,$U$5=FALSE,$U$6=FALSE,$U$7=TRUE)),VLOOKUP($E229,'Status Thresholds'!$E:$AR,9,FALSE),
IF((AND($U$4=FALSE,$U$5=TRUE,$U$6=FALSE,$U$7=FALSE)),VLOOKUP($E229,'Status Thresholds'!$E:$AR,24,FALSE),IF((AND($U$4=FALSE,$U$5=TRUE,$U$6=TRUE,$U$7=FALSE)),VLOOKUP($E229,'Status Thresholds'!$E:$AR,34,FALSE),IF((AND($U$4=FALSE,$U$5=TRUE,$U$6=TRUE,$U$7=TRUE)),VLOOKUP($E229,'Status Thresholds'!$E:$AR,39,FALSE),IF((AND($U$4=FALSE,$U$5=TRUE,$U$6=FALSE,$U$7=TRUE)),VLOOKUP($E229,'Status Thresholds'!$E:$AR,29,FALSE)))))))))
))/
IF(OR($X$5=TRUE,$AC$3=TRUE
),($F$6/2), IF(OR($X$2,$X$3,$X$4,$X$6,$X$7,$X$8,$Z$2,$Z$3,$Z$4,$Z$5,$Z$6,$Z$7,$Z$8)=TRUE,$F$6)),0),"-")</f>
        <v>-</v>
      </c>
      <c r="I229" s="36" t="str">
        <f>IFERROR(
ROUNDUP(
IF(AND($U$5=FALSE,$U$4=FALSE),"-",IF(AND($U$5=TRUE,$U$4=TRUE),"-",
IF((AND($U$4=TRUE,$U$5=FALSE,$U$6=FALSE,$U$7=FALSE)),VLOOKUP($E229,'Status Thresholds'!$E:$AR,5,FALSE),IF((AND($U$4=TRUE,$U$5=FALSE,$U$6=TRUE,$U$7=FALSE)),VLOOKUP($E229,'Status Thresholds'!$E:$AR,15,FALSE),IF((AND($U$4=TRUE,$U$5=FALSE,$U$6=TRUE,$U$7=TRUE)),VLOOKUP($E229,'Status Thresholds'!$E:$AR,20,FALSE),IF((AND($U$4=TRUE,$U$5=FALSE,$U$6=FALSE,$U$7=TRUE)),VLOOKUP($E229,'Status Thresholds'!$E:$AR,10,FALSE),
IF((AND($U$4=FALSE,$U$5=TRUE,$U$6=FALSE,$U$7=FALSE)),VLOOKUP($E229,'Status Thresholds'!$E:$AR,25,FALSE),IF((AND($U$4=FALSE,$U$5=TRUE,$U$6=TRUE,$U$7=FALSE)),VLOOKUP($E229,'Status Thresholds'!$E:$AR,35,FALSE),IF((AND($U$4=FALSE,$U$5=TRUE,$U$6=TRUE,$U$7=TRUE)),VLOOKUP($E229,'Status Thresholds'!$E:$AR,40,FALSE),IF((AND($U$4=FALSE,$U$5=TRUE,$U$6=FALSE,$U$7=TRUE)),VLOOKUP($E229,'Status Thresholds'!$E:$AR,30,FALSE)))))))))
))/
IF(OR($X$5=TRUE,$AC$3=TRUE
),($F$6/2), IF(OR($X$2,$X$3,$X$4,$X$6,$X$7,$X$8,$Z$2,$Z$3,$Z$4,$Z$5,$Z$6,$Z$7,$Z$8)=TRUE,$F$6)),0),"-")</f>
        <v>-</v>
      </c>
      <c r="J229" s="46">
        <f>IFERROR(IF(AND($U$5=FALSE,$U$4=FALSE),"-",VLOOKUP($E229,'Status Thresholds'!$E:$AU,41,FALSE)),"-")</f>
        <v>0</v>
      </c>
      <c r="K229" s="46" t="str">
        <f>IFERROR(IF(AND($U$5=FALSE,$U$4=FALSE),"-",VLOOKUP($E229,'Status Thresholds'!$E:$AU,42,FALSE)),"-")</f>
        <v>-</v>
      </c>
      <c r="L229" s="46" t="str">
        <f>IFERROR(IF(AND($U$5=FALSE,$U$4=FALSE),"-",VLOOKUP($E229,'Status Thresholds'!$E:$AU,43,FALSE)),"-")</f>
        <v>-</v>
      </c>
    </row>
    <row r="230" spans="1:12" x14ac:dyDescent="0.25">
      <c r="A230" s="35"/>
      <c r="B230" s="64" t="str">
        <f>VLOOKUP(C230,'Status Thresholds'!B:C,2,FALSE)</f>
        <v>MHGen</v>
      </c>
      <c r="C230" s="64" t="str">
        <f>IF('Status Thresholds'!B225=0, "", 'Status Thresholds'!B225)</f>
        <v>Devil Jho (Savage)</v>
      </c>
      <c r="D230" s="30" t="s">
        <v>35</v>
      </c>
      <c r="E230" s="36" t="str">
        <f t="shared" si="3"/>
        <v>Devil Jho (Savage)Blast</v>
      </c>
      <c r="F230" s="36" t="str">
        <f>IFERROR(
ROUNDUP(
IF(AND($U$5=FALSE,$U$4=FALSE),"-",IF(AND($U$5=TRUE,$U$4=TRUE),"-",
IF((AND($U$4=TRUE,$U$5=FALSE,$U$6=FALSE,$U$7=FALSE)),VLOOKUP($E230,'Status Thresholds'!$E:$AR,2,FALSE),IF((AND($U$4=TRUE,$U$5=FALSE,$U$6=TRUE,$U$7=FALSE)),VLOOKUP($E230,'Status Thresholds'!$E:$AR,12,FALSE),IF((AND($U$4=TRUE,$U$5=FALSE,$U$6=TRUE,$U$7=TRUE)),VLOOKUP($E230,'Status Thresholds'!$E:$AR,17,FALSE),IF((AND($U$4=TRUE,$U$5=FALSE,$U$6=FALSE,$U$7=TRUE)),VLOOKUP($E230,'Status Thresholds'!$E:$AR,7,FALSE),
IF((AND($U$4=FALSE,$U$5=TRUE,$U$6=FALSE,$U$7=FALSE)),VLOOKUP($E230,'Status Thresholds'!$E:$AR,22,FALSE),IF((AND($U$4=FALSE,$U$5=TRUE,$U$6=TRUE,$U$7=FALSE)),VLOOKUP($E230,'Status Thresholds'!$E:$AR,32,FALSE),IF((AND($U$4=FALSE,$U$5=TRUE,$U$6=TRUE,$U$7=TRUE)),VLOOKUP($E230,'Status Thresholds'!$E:$AR,37,FALSE),IF((AND($U$4=FALSE,$U$5=TRUE,$U$6=FALSE,$U$7=TRUE)),VLOOKUP($E230,'Status Thresholds'!$E:$AR,27,FALSE)))))))))
))/
IF(OR($X$5=TRUE,$AC$3=TRUE
),($F$7/2), IF(OR($X$2,$X$3,$X$4,$X$6,$X$7,$X$8,$Z$2,$Z$3,$Z$4,$Z$5,$Z$6,$Z$7,$Z$8)=TRUE,$F$7)),0),"-")</f>
        <v>-</v>
      </c>
      <c r="G230" s="36" t="str">
        <f>IFERROR(
ROUNDUP(
IF(AND($U$5=FALSE,$U$4=FALSE),"-",IF(AND($U$5=TRUE,$U$4=TRUE),"-",
IF((AND($U$4=TRUE,$U$5=FALSE,$U$6=FALSE,$U$7=FALSE)),VLOOKUP($E230,'Status Thresholds'!$E:$AR,3,FALSE),IF((AND($U$4=TRUE,$U$5=FALSE,$U$6=TRUE,$U$7=FALSE)),VLOOKUP($E230,'Status Thresholds'!$E:$AR,13,FALSE),IF((AND($U$4=TRUE,$U$5=FALSE,$U$6=TRUE,$U$7=TRUE)),VLOOKUP($E230,'Status Thresholds'!$E:$AR,18,FALSE),IF((AND($U$4=TRUE,$U$5=FALSE,$U$6=FALSE,$U$7=TRUE)),VLOOKUP($E230,'Status Thresholds'!$E:$AR,8,FALSE),
IF((AND($U$4=FALSE,$U$5=TRUE,$U$6=FALSE,$U$7=FALSE)),VLOOKUP($E230,'Status Thresholds'!$E:$AR,23,FALSE),IF((AND($U$4=FALSE,$U$5=TRUE,$U$6=TRUE,$U$7=FALSE)),VLOOKUP($E230,'Status Thresholds'!$E:$AR,33,FALSE),IF((AND($U$4=FALSE,$U$5=TRUE,$U$6=TRUE,$U$7=TRUE)),VLOOKUP($E230,'Status Thresholds'!$E:$AR,38,FALSE),IF((AND($U$4=FALSE,$U$5=TRUE,$U$6=FALSE,$U$7=TRUE)),VLOOKUP($E230,'Status Thresholds'!$E:$AR,28,FALSE)))))))))
))/
IF(OR($X$5=TRUE,$AC$3=TRUE
),($F$7/2), IF(OR($X$2,$X$3,$X$4,$X$6,$X$7,$X$8,$Z$2,$Z$3,$Z$4,$Z$5,$Z$6,$Z$7,$Z$8)=TRUE,$F$7)),0),"-")</f>
        <v>-</v>
      </c>
      <c r="H230" s="36" t="str">
        <f>IFERROR(
ROUNDUP(
IF(AND($U$5=FALSE,$U$4=FALSE),"-",IF(AND($U$5=TRUE,$U$4=TRUE),"-",
IF((AND($U$4=TRUE,$U$5=FALSE,$U$6=FALSE,$U$7=FALSE)),VLOOKUP($E230,'Status Thresholds'!$E:$AR,4,FALSE),IF((AND($U$4=TRUE,$U$5=FALSE,$U$6=TRUE,$U$7=FALSE)),VLOOKUP($E230,'Status Thresholds'!$E:$AR,14,FALSE),IF((AND($U$4=TRUE,$U$5=FALSE,$U$6=TRUE,$U$7=TRUE)),VLOOKUP($E230,'Status Thresholds'!$E:$AR,19,FALSE),IF((AND($U$4=TRUE,$U$5=FALSE,$U$6=FALSE,$U$7=TRUE)),VLOOKUP($E230,'Status Thresholds'!$E:$AR,9,FALSE),
IF((AND($U$4=FALSE,$U$5=TRUE,$U$6=FALSE,$U$7=FALSE)),VLOOKUP($E230,'Status Thresholds'!$E:$AR,24,FALSE),IF((AND($U$4=FALSE,$U$5=TRUE,$U$6=TRUE,$U$7=FALSE)),VLOOKUP($E230,'Status Thresholds'!$E:$AR,34,FALSE),IF((AND($U$4=FALSE,$U$5=TRUE,$U$6=TRUE,$U$7=TRUE)),VLOOKUP($E230,'Status Thresholds'!$E:$AR,39,FALSE),IF((AND($U$4=FALSE,$U$5=TRUE,$U$6=FALSE,$U$7=TRUE)),VLOOKUP($E230,'Status Thresholds'!$E:$AR,29,FALSE)))))))))
))/
IF(OR($X$5=TRUE,$AC$3=TRUE
),($F$7/2), IF(OR($X$2,$X$3,$X$4,$X$6,$X$7,$X$8,$Z$2,$Z$3,$Z$4,$Z$5,$Z$6,$Z$7,$Z$8)=TRUE,$F$7)),0),"-")</f>
        <v>-</v>
      </c>
      <c r="I230" s="36" t="str">
        <f>IFERROR(
ROUNDUP(
IF(AND($U$5=FALSE,$U$4=FALSE),"-",IF(AND($U$5=TRUE,$U$4=TRUE),"-",
IF((AND($U$4=TRUE,$U$5=FALSE,$U$6=FALSE,$U$7=FALSE)),VLOOKUP($E230,'Status Thresholds'!$E:$AR,5,FALSE),IF((AND($U$4=TRUE,$U$5=FALSE,$U$6=TRUE,$U$7=FALSE)),VLOOKUP($E230,'Status Thresholds'!$E:$AR,15,FALSE),IF((AND($U$4=TRUE,$U$5=FALSE,$U$6=TRUE,$U$7=TRUE)),VLOOKUP($E230,'Status Thresholds'!$E:$AR,20,FALSE),IF((AND($U$4=TRUE,$U$5=FALSE,$U$6=FALSE,$U$7=TRUE)),VLOOKUP($E230,'Status Thresholds'!$E:$AR,10,FALSE),
IF((AND($U$4=FALSE,$U$5=TRUE,$U$6=FALSE,$U$7=FALSE)),VLOOKUP($E230,'Status Thresholds'!$E:$AR,25,FALSE),IF((AND($U$4=FALSE,$U$5=TRUE,$U$6=TRUE,$U$7=FALSE)),VLOOKUP($E230,'Status Thresholds'!$E:$AR,35,FALSE),IF((AND($U$4=FALSE,$U$5=TRUE,$U$6=TRUE,$U$7=TRUE)),VLOOKUP($E230,'Status Thresholds'!$E:$AR,40,FALSE),IF((AND($U$4=FALSE,$U$5=TRUE,$U$6=FALSE,$U$7=TRUE)),VLOOKUP($E230,'Status Thresholds'!$E:$AR,30,FALSE)))))))))
))/
IF(OR($X$5=TRUE,$AC$3=TRUE
),($F$7/2), IF(OR($X$2,$X$3,$X$4,$X$6,$X$7,$X$8,$Z$2,$Z$3,$Z$4,$Z$5,$Z$6,$Z$7,$Z$8)=TRUE,$F$7)),0),"-")</f>
        <v>-</v>
      </c>
      <c r="J230" s="46">
        <f>IFERROR(IF(AND($U$5=FALSE,$U$4=FALSE),"-",VLOOKUP($E230,'Status Thresholds'!$E:$AU,41,FALSE)),"-")</f>
        <v>0</v>
      </c>
      <c r="K230" s="46" t="str">
        <f>IFERROR(IF(AND($U$5=FALSE,$U$4=FALSE),"-",VLOOKUP($E230,'Status Thresholds'!$E:$AU,42,FALSE)),"-")</f>
        <v>-</v>
      </c>
      <c r="L230" s="46" t="str">
        <f>IFERROR(IF(AND($U$5=FALSE,$U$4=FALSE),"-",VLOOKUP($E230,'Status Thresholds'!$E:$AU,43,FALSE)),"-")</f>
        <v>-</v>
      </c>
    </row>
    <row r="231" spans="1:12" ht="14.45" customHeight="1" x14ac:dyDescent="0.25">
      <c r="A231" s="35"/>
      <c r="B231" s="64" t="str">
        <f>VLOOKUP(C231,'Status Thresholds'!B:C,2,FALSE)</f>
        <v>MHGen</v>
      </c>
      <c r="C231" s="64" t="str">
        <f>IF('Status Thresholds'!B226=0, "", 'Status Thresholds'!B226)</f>
        <v>Devil Jho (Savage)</v>
      </c>
      <c r="D231" s="34" t="s">
        <v>14</v>
      </c>
      <c r="E231" s="36" t="str">
        <f t="shared" si="3"/>
        <v>Devil Jho (Savage)KO</v>
      </c>
      <c r="F231" s="36" t="s">
        <v>214</v>
      </c>
      <c r="G231" s="36" t="s">
        <v>214</v>
      </c>
      <c r="H231" s="36" t="s">
        <v>214</v>
      </c>
      <c r="I231" s="36" t="s">
        <v>214</v>
      </c>
      <c r="J231" s="46">
        <f>IFERROR(IF(AND($U$5=FALSE,$U$4=FALSE),"-",VLOOKUP($E231,'Status Thresholds'!$E:$AU,41,FALSE)),"-")</f>
        <v>15</v>
      </c>
      <c r="K231" s="46" t="str">
        <f>IFERROR(IF(AND($U$5=FALSE,$U$4=FALSE),"-",VLOOKUP($E231,'Status Thresholds'!$E:$AU,42,FALSE)),"-")</f>
        <v>-</v>
      </c>
      <c r="L231" s="46" t="str">
        <f>IFERROR(IF(AND($U$5=FALSE,$U$4=FALSE),"-",VLOOKUP($E231,'Status Thresholds'!$E:$AU,43,FALSE)),"-")</f>
        <v>-</v>
      </c>
    </row>
    <row r="232" spans="1:12" x14ac:dyDescent="0.25">
      <c r="A232" s="35"/>
      <c r="B232" s="64" t="str">
        <f>VLOOKUP(C232,'Status Thresholds'!B:C,2,FALSE)</f>
        <v>MHGen</v>
      </c>
      <c r="C232" s="64" t="str">
        <f>IF('Status Thresholds'!B227=0, "", 'Status Thresholds'!B227)</f>
        <v>Devil Jho (Savage)</v>
      </c>
      <c r="D232" s="33" t="s">
        <v>34</v>
      </c>
      <c r="E232" s="36" t="str">
        <f t="shared" si="3"/>
        <v>Devil Jho (Savage)Mount</v>
      </c>
      <c r="F232" s="36" t="str">
        <f>IFERROR(
ROUNDUP(
IF(AND($U$5=FALSE,$U$4=FALSE),"-",IF(AND($U$5=TRUE,$U$4=TRUE),"-",
IF((AND($U$4=TRUE,$U$5=FALSE,$U$6=FALSE,$U$7=FALSE)),VLOOKUP($E232,'Status Thresholds'!$E:$AR,2,FALSE),IF((AND($U$4=TRUE,$U$5=FALSE,$U$6=TRUE,$U$7=FALSE)),VLOOKUP($E232,'Status Thresholds'!$E:$AR,12,FALSE),IF((AND($U$4=TRUE,$U$5=FALSE,$U$6=TRUE,$U$7=TRUE)),VLOOKUP($E232,'Status Thresholds'!$E:$AR,17,FALSE),IF((AND($U$4=TRUE,$U$5=FALSE,$U$6=FALSE,$U$7=TRUE)),VLOOKUP($E232,'Status Thresholds'!$E:$AR,7,FALSE),
IF((AND($U$4=FALSE,$U$5=TRUE,$U$6=FALSE,$U$7=FALSE)),VLOOKUP($E232,'Status Thresholds'!$E:$AR,22,FALSE),IF((AND($U$4=FALSE,$U$5=TRUE,$U$6=TRUE,$U$7=FALSE)),VLOOKUP($E232,'Status Thresholds'!$E:$AR,32,FALSE),IF((AND($U$4=FALSE,$U$5=TRUE,$U$6=TRUE,$U$7=TRUE)),VLOOKUP($E232,'Status Thresholds'!$E:$AR,37,FALSE),IF((AND($U$4=FALSE,$U$5=TRUE,$U$6=FALSE,$U$7=TRUE)),VLOOKUP($E232,'Status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232" s="36" t="str">
        <f>IFERROR(
ROUNDUP(
IF(AND($U$5=FALSE,$U$4=FALSE),"-",IF(AND($U$5=TRUE,$U$4=TRUE),"-",
IF((AND($U$4=TRUE,$U$5=FALSE,$U$6=FALSE,$U$7=FALSE)),VLOOKUP($E231,'Status Thresholds'!$E:$AR,3,FALSE),IF((AND($U$4=TRUE,$U$5=FALSE,$U$6=TRUE,$U$7=FALSE)),VLOOKUP($E231,'Status Thresholds'!$E:$AR,13,FALSE),IF((AND($U$4=TRUE,$U$5=FALSE,$U$6=TRUE,$U$7=TRUE)),VLOOKUP($E231,'Status Thresholds'!$E:$AR,18,FALSE),IF((AND($U$4=TRUE,$U$5=FALSE,$U$6=FALSE,$U$7=TRUE)),VLOOKUP($E231,'Status Thresholds'!$E:$AR,8,FALSE),
IF((AND($U$4=FALSE,$U$5=TRUE,$U$6=FALSE,$U$7=FALSE)),VLOOKUP($E231,'Status Thresholds'!$E:$AR,23,FALSE),IF((AND($U$4=FALSE,$U$5=TRUE,$U$6=TRUE,$U$7=FALSE)),VLOOKUP($E231,'Status Thresholds'!$E:$AR,33,FALSE),IF((AND($U$4=FALSE,$U$5=TRUE,$U$6=TRUE,$U$7=TRUE)),VLOOKUP($E231,'Status Thresholds'!$E:$AR,38,FALSE),IF((AND($U$4=FALSE,$U$5=TRUE,$U$6=FALSE,$U$7=TRUE)),VLOOKUP($E231,'Status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232" s="36" t="str">
        <f>IFERROR(
ROUNDUP(
IF(AND($U$5=FALSE,$U$4=FALSE),"-",IF(AND($U$5=TRUE,$U$4=TRUE),"-",
IF((AND($U$4=TRUE,$U$5=FALSE,$U$6=FALSE,$U$7=FALSE)),VLOOKUP($E231,'Status Thresholds'!$E:$AR,4,FALSE),IF((AND($U$4=TRUE,$U$5=FALSE,$U$6=TRUE,$U$7=FALSE)),VLOOKUP($E231,'Status Thresholds'!$E:$AR,14,FALSE),IF((AND($U$4=TRUE,$U$5=FALSE,$U$6=TRUE,$U$7=TRUE)),VLOOKUP($E231,'Status Thresholds'!$E:$AR,19,FALSE),IF((AND($U$4=TRUE,$U$5=FALSE,$U$6=FALSE,$U$7=TRUE)),VLOOKUP($E231,'Status Thresholds'!$E:$AR,9,FALSE),
IF((AND($U$4=FALSE,$U$5=TRUE,$U$6=FALSE,$U$7=FALSE)),VLOOKUP($E231,'Status Thresholds'!$E:$AR,24,FALSE),IF((AND($U$4=FALSE,$U$5=TRUE,$U$6=TRUE,$U$7=FALSE)),VLOOKUP($E231,'Status Thresholds'!$E:$AR,34,FALSE),IF((AND($U$4=FALSE,$U$5=TRUE,$U$6=TRUE,$U$7=TRUE)),VLOOKUP($E231,'Status Thresholds'!$E:$AR,39,FALSE),IF((AND($U$4=FALSE,$U$5=TRUE,$U$6=FALSE,$U$7=TRUE)),VLOOKUP($E231,'Status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232" s="36" t="str">
        <f>IFERROR(
ROUNDUP(
IF(AND($U$5=FALSE,$U$4=FALSE),"-",IF(AND($U$5=TRUE,$U$4=TRUE),"-",
IF((AND($U$4=TRUE,$U$5=FALSE,$U$6=FALSE,$U$7=FALSE)),VLOOKUP($E231,'Status Thresholds'!$E:$AR,5,FALSE),IF((AND($U$4=TRUE,$U$5=FALSE,$U$6=TRUE,$U$7=FALSE)),VLOOKUP($E231,'Status Thresholds'!$E:$AR,15,FALSE),IF((AND($U$4=TRUE,$U$5=FALSE,$U$6=TRUE,$U$7=TRUE)),VLOOKUP($E231,'Status Thresholds'!$E:$AR,20,FALSE),IF((AND($U$4=TRUE,$U$5=FALSE,$U$6=FALSE,$U$7=TRUE)),VLOOKUP($E231,'Status Thresholds'!$E:$AR,10,FALSE),
IF((AND($U$4=FALSE,$U$5=TRUE,$U$6=FALSE,$U$7=FALSE)),VLOOKUP($E231,'Status Thresholds'!$E:$AR,25,FALSE),IF((AND($U$4=FALSE,$U$5=TRUE,$U$6=TRUE,$U$7=FALSE)),VLOOKUP($E231,'Status Thresholds'!$E:$AR,35,FALSE),IF((AND($U$4=FALSE,$U$5=TRUE,$U$6=TRUE,$U$7=TRUE)),VLOOKUP($E231,'Status Thresholds'!$E:$AR,40,FALSE),IF((AND($U$4=FALSE,$U$5=TRUE,$U$6=FALSE,$U$7=TRUE)),VLOOKUP($E231,'Status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232" s="46">
        <f>IFERROR(IF(AND($U$5=FALSE,$U$4=FALSE),"-",VLOOKUP($E232,'Status Thresholds'!$E:$AU,41,FALSE)),"-")</f>
        <v>0</v>
      </c>
      <c r="K232" s="46" t="str">
        <f>IFERROR(IF(AND($U$5=FALSE,$U$4=FALSE),"-",VLOOKUP($E232,'Status Thresholds'!$E:$AU,42,FALSE)),"-")</f>
        <v>-</v>
      </c>
      <c r="L232" s="46" t="str">
        <f>IFERROR(IF(AND($U$5=FALSE,$U$4=FALSE),"-",VLOOKUP($E232,'Status Thresholds'!$E:$AU,43,FALSE)),"-")</f>
        <v>-</v>
      </c>
    </row>
    <row r="233" spans="1:12" ht="15" customHeight="1" x14ac:dyDescent="0.25">
      <c r="A233" s="35"/>
      <c r="B233" s="64" t="str">
        <f>VLOOKUP(C233,'Status Thresholds'!B:C,2,FALSE)</f>
        <v>MHGen</v>
      </c>
      <c r="C233" s="64" t="str">
        <f>IF('Status Thresholds'!B228=0, "", 'Status Thresholds'!B228)</f>
        <v>Devil Jho (Savage)</v>
      </c>
      <c r="D233" s="77" t="s">
        <v>207</v>
      </c>
      <c r="E233" s="36" t="str">
        <f t="shared" si="3"/>
        <v>Devil Jho (Savage)Shock Trap</v>
      </c>
      <c r="F233" s="76" t="s">
        <v>214</v>
      </c>
      <c r="G233" s="46" t="s">
        <v>214</v>
      </c>
      <c r="H233" s="46" t="s">
        <v>214</v>
      </c>
      <c r="I233" s="46" t="s">
        <v>214</v>
      </c>
      <c r="J233" s="46">
        <f>IFERROR(IF(AND($U$5=FALSE,$U$4=FALSE),"-",VLOOKUP($E233,'Status Thresholds'!$E:$AU,43,FALSE)),"-")</f>
        <v>5</v>
      </c>
      <c r="K233" s="46">
        <f>IFERROR(IF(AND($U$5=FALSE,$U$4=FALSE),"-",VLOOKUP($E233,'Status Thresholds'!$E:$AU,41,FALSE)),"-")</f>
        <v>5</v>
      </c>
      <c r="L233" s="46">
        <f>IFERROR(IF(AND($U$5=FALSE,$U$4=FALSE),"-",VLOOKUP($E233,'Status Thresholds'!$E:$AU,42,FALSE)),"-")</f>
        <v>15</v>
      </c>
    </row>
    <row r="234" spans="1:12" x14ac:dyDescent="0.25">
      <c r="A234" s="35"/>
      <c r="B234" s="64" t="str">
        <f>VLOOKUP(C234,'Status Thresholds'!B:C,2,FALSE)</f>
        <v>MHGen</v>
      </c>
      <c r="C234" s="64" t="str">
        <f>IF('Status Thresholds'!B229=0, "", 'Status Thresholds'!B229)</f>
        <v>Devil Jho (Savage)</v>
      </c>
      <c r="D234" s="77" t="s">
        <v>213</v>
      </c>
      <c r="E234" s="36" t="str">
        <f t="shared" si="3"/>
        <v>Devil Jho (Savage)Pitfall Trap</v>
      </c>
      <c r="F234" s="46" t="s">
        <v>214</v>
      </c>
      <c r="G234" s="46" t="s">
        <v>214</v>
      </c>
      <c r="H234" s="46" t="s">
        <v>214</v>
      </c>
      <c r="I234" s="46" t="s">
        <v>214</v>
      </c>
      <c r="J234" s="46">
        <f>IFERROR(IF(AND($U$5=FALSE,$U$4=FALSE),"-",VLOOKUP($E234,'Status Thresholds'!$E:$AU,43,FALSE)),"-")</f>
        <v>10</v>
      </c>
      <c r="K234" s="46">
        <f>IFERROR(IF(AND($U$5=FALSE,$U$4=FALSE),"-",VLOOKUP($E234,'Status Thresholds'!$E:$AU,41,FALSE)),"-")</f>
        <v>10</v>
      </c>
      <c r="L234" s="46">
        <f>IFERROR(IF(AND($U$5=FALSE,$U$4=FALSE),"-",VLOOKUP($E234,'Status Thresholds'!$E:$AU,42,FALSE)),"-")</f>
        <v>20</v>
      </c>
    </row>
    <row r="235" spans="1:12" s="36" customFormat="1" x14ac:dyDescent="0.25">
      <c r="A235" s="64"/>
      <c r="B235" s="64" t="str">
        <f>VLOOKUP(C235,'Status Thresholds'!B:C,2,FALSE)</f>
        <v>MHGU</v>
      </c>
      <c r="C235" s="64" t="str">
        <f>IF('Status Thresholds'!B230=0, "", 'Status Thresholds'!B230)</f>
        <v>Diablos</v>
      </c>
      <c r="D235" s="37" t="s">
        <v>0</v>
      </c>
      <c r="E235" s="36" t="str">
        <f t="shared" si="3"/>
        <v>DiablosPara</v>
      </c>
      <c r="F235" s="36" t="str">
        <f>IFERROR(
ROUNDUP(
IF(AND($U$5=FALSE,$U$4=FALSE),"-",IF(AND($U$5=TRUE,$U$4=TRUE),"-",
IF((AND($U$4=TRUE,$U$5=FALSE,$U$6=FALSE,$U$7=FALSE)),VLOOKUP($E235,'Status Thresholds'!$E:$AR,2,FALSE),IF((AND($U$4=TRUE,$U$5=FALSE,$U$6=TRUE,$U$7=FALSE)),VLOOKUP($E235,'Status Thresholds'!$E:$AR,12,FALSE),IF((AND($U$4=TRUE,$U$5=FALSE,$U$6=TRUE,$U$7=TRUE)),VLOOKUP($E235,'Status Thresholds'!$E:$AR,17,FALSE),IF((AND($U$4=TRUE,$U$5=FALSE,$U$6=FALSE,$U$7=TRUE)),VLOOKUP($E235,'Status Thresholds'!$E:$AR,7,FALSE),
IF((AND($U$4=FALSE,$U$5=TRUE,$U$6=FALSE,$U$7=FALSE)),VLOOKUP($E235,'Status Thresholds'!$E:$AR,22,FALSE),IF((AND($U$4=FALSE,$U$5=TRUE,$U$6=TRUE,$U$7=FALSE)),VLOOKUP($E235,'Status Thresholds'!$E:$AR,32,FALSE),IF((AND($U$4=FALSE,$U$5=TRUE,$U$6=TRUE,$U$7=TRUE)),VLOOKUP($E235,'Status Thresholds'!$E:$AR,37,FALSE),IF((AND($U$4=FALSE,$U$5=TRUE,$U$6=FALSE,$U$7=TRUE)),VLOOKUP($E235,'Status Thresholds'!$E:$AR,27,FALSE)))))))))
))/
IF(OR($X$5=TRUE,$AC$3=TRUE
),($F$3/2), IF(OR($X$2,$X$3,$X$4,$X$6,$X$7,$X$8,$Z$2,$Z$3,$Z$4,$Z$5,$Z$6,$Z$7,$Z$8)=TRUE,$F$3)),0),"-")</f>
        <v>-</v>
      </c>
      <c r="G235" s="36" t="str">
        <f>IFERROR(
ROUNDUP(
IF(AND($U$5=FALSE,$U$4=FALSE),"-",IF(AND($U$5=TRUE,$U$4=TRUE),"-",
IF((AND($U$4=TRUE,$U$5=FALSE,$U$6=FALSE,$U$7=FALSE)),VLOOKUP($E235,'Status Thresholds'!$E:$AR,3,FALSE),IF((AND($U$4=TRUE,$U$5=FALSE,$U$6=TRUE,$U$7=FALSE)),VLOOKUP($E235,'Status Thresholds'!$E:$AR,13,FALSE),IF((AND($U$4=TRUE,$U$5=FALSE,$U$6=TRUE,$U$7=TRUE)),VLOOKUP($E235,'Status Thresholds'!$E:$AR,18,FALSE),IF((AND($U$4=TRUE,$U$5=FALSE,$U$6=FALSE,$U$7=TRUE)),VLOOKUP($E235,'Status Thresholds'!$E:$AR,8,FALSE),
IF((AND($U$4=FALSE,$U$5=TRUE,$U$6=FALSE,$U$7=FALSE)),VLOOKUP($E235,'Status Thresholds'!$E:$AR,23,FALSE),IF((AND($U$4=FALSE,$U$5=TRUE,$U$6=TRUE,$U$7=FALSE)),VLOOKUP($E235,'Status Thresholds'!$E:$AR,33,FALSE),IF((AND($U$4=FALSE,$U$5=TRUE,$U$6=TRUE,$U$7=TRUE)),VLOOKUP($E235,'Status Thresholds'!$E:$AR,38,FALSE),IF((AND($U$4=FALSE,$U$5=TRUE,$U$6=FALSE,$U$7=TRUE)),VLOOKUP($E235,'Status Thresholds'!$E:$AR,28,FALSE)))))))))
))/
IF(OR($X$5=TRUE,$AC$3=TRUE
),($F$3/2), IF(OR($X$2,$X$3,$X$4,$X$6,$X$7,$X$8,$Z$2,$Z$3,$Z$4,$Z$5,$Z$6,$Z$7,$Z$8)=TRUE,$F$3)),0),"-")</f>
        <v>-</v>
      </c>
      <c r="H235" s="36" t="str">
        <f>IFERROR(
ROUNDUP(
IF(AND($U$5=FALSE,$U$4=FALSE),"-",IF(AND($U$5=TRUE,$U$4=TRUE),"-",
IF((AND($U$4=TRUE,$U$5=FALSE,$U$6=FALSE,$U$7=FALSE)),VLOOKUP($E235,'Status Thresholds'!$E:$AR,4,FALSE),IF((AND($U$4=TRUE,$U$5=FALSE,$U$6=TRUE,$U$7=FALSE)),VLOOKUP($E235,'Status Thresholds'!$E:$AR,14,FALSE),IF((AND($U$4=TRUE,$U$5=FALSE,$U$6=TRUE,$U$7=TRUE)),VLOOKUP($E235,'Status Thresholds'!$E:$AR,19,FALSE),IF((AND($U$4=TRUE,$U$5=FALSE,$U$6=FALSE,$U$7=TRUE)),VLOOKUP($E235,'Status Thresholds'!$E:$AR,9,FALSE),
IF((AND($U$4=FALSE,$U$5=TRUE,$U$6=FALSE,$U$7=FALSE)),VLOOKUP($E235,'Status Thresholds'!$E:$AR,24,FALSE),IF((AND($U$4=FALSE,$U$5=TRUE,$U$6=TRUE,$U$7=FALSE)),VLOOKUP($E235,'Status Thresholds'!$E:$AR,34,FALSE),IF((AND($U$4=FALSE,$U$5=TRUE,$U$6=TRUE,$U$7=TRUE)),VLOOKUP($E235,'Status Thresholds'!$E:$AR,39,FALSE),IF((AND($U$4=FALSE,$U$5=TRUE,$U$6=FALSE,$U$7=TRUE)),VLOOKUP($E235,'Status Thresholds'!$E:$AR,29,FALSE)))))))))
))/
IF(OR($X$5=TRUE,$AC$3=TRUE
),($F$3/2), IF(OR($X$2,$X$3,$X$4,$X$6,$X$7,$X$8,$Z$2,$Z$3,$Z$4,$Z$5,$Z$6,$Z$7,$Z$8)=TRUE,$F$3)),0),"-")</f>
        <v>-</v>
      </c>
      <c r="I235" s="36" t="str">
        <f>IFERROR(
ROUNDUP(
IF(AND($U$5=FALSE,$U$4=FALSE),"-",IF(AND($U$5=TRUE,$U$4=TRUE),"-",
IF((AND($U$4=TRUE,$U$5=FALSE,$U$6=FALSE,$U$7=FALSE)),VLOOKUP($E235,'Status Thresholds'!$E:$AR,5,FALSE),IF((AND($U$4=TRUE,$U$5=FALSE,$U$6=TRUE,$U$7=FALSE)),VLOOKUP($E235,'Status Thresholds'!$E:$AR,15,FALSE),IF((AND($U$4=TRUE,$U$5=FALSE,$U$6=TRUE,$U$7=TRUE)),VLOOKUP($E235,'Status Thresholds'!$E:$AR,20,FALSE),IF((AND($U$4=TRUE,$U$5=FALSE,$U$6=FALSE,$U$7=TRUE)),VLOOKUP($E235,'Status Thresholds'!$E:$AR,10,FALSE),
IF((AND($U$4=FALSE,$U$5=TRUE,$U$6=FALSE,$U$7=FALSE)),VLOOKUP($E235,'Status Thresholds'!$E:$AR,25,FALSE),IF((AND($U$4=FALSE,$U$5=TRUE,$U$6=TRUE,$U$7=FALSE)),VLOOKUP($E235,'Status Thresholds'!$E:$AR,35,FALSE),IF((AND($U$4=FALSE,$U$5=TRUE,$U$6=TRUE,$U$7=TRUE)),VLOOKUP($E235,'Status Thresholds'!$E:$AR,40,FALSE),IF((AND($U$4=FALSE,$U$5=TRUE,$U$6=FALSE,$U$7=TRUE)),VLOOKUP($E235,'Status Thresholds'!$E:$AR,30,FALSE)))))))))
))/
IF(OR($X$5=TRUE,$AC$3=TRUE
),($F$3/2), IF(OR($X$2,$X$3,$X$4,$X$6,$X$7,$X$8,$Z$2,$Z$3,$Z$4,$Z$5,$Z$6,$Z$7,$Z$8)=TRUE,$F$3)),0),"-")</f>
        <v>-</v>
      </c>
      <c r="J235" s="36">
        <f>IFERROR(IF(AND($U$5=FALSE,$U$4=FALSE),"-",VLOOKUP($E235,'Status Thresholds'!$E:$AU,41,FALSE)),"-")</f>
        <v>15</v>
      </c>
      <c r="K235" s="36" t="str">
        <f>IFERROR(IF(AND($U$5=FALSE,$U$4=FALSE),"-",VLOOKUP($E235,'Status Thresholds'!$E:$AU,42,FALSE)),"-")</f>
        <v>-</v>
      </c>
      <c r="L235" s="36" t="str">
        <f>IFERROR(IF(AND($U$5=FALSE,$U$4=FALSE),"-",VLOOKUP($E235,'Status Thresholds'!$E:$AU,43,FALSE)),"-")</f>
        <v>-</v>
      </c>
    </row>
    <row r="236" spans="1:12" x14ac:dyDescent="0.25">
      <c r="A236" s="35"/>
      <c r="B236" s="64" t="str">
        <f>VLOOKUP(C236,'Status Thresholds'!B:C,2,FALSE)</f>
        <v>MHGU</v>
      </c>
      <c r="C236" s="64" t="str">
        <f>IF('Status Thresholds'!B231=0, "", 'Status Thresholds'!B231)</f>
        <v>Diablos</v>
      </c>
      <c r="D236" s="31" t="s">
        <v>32</v>
      </c>
      <c r="E236" s="36" t="str">
        <f t="shared" si="3"/>
        <v>DiablosSleep</v>
      </c>
      <c r="F236" s="36" t="str">
        <f>IFERROR(
ROUNDUP(
IF(AND($U$5=FALSE,$U$4=FALSE),"-",IF(AND($U$5=TRUE,$U$4=TRUE),"-",
IF((AND($U$4=TRUE,$U$5=FALSE,$U$6=FALSE,$U$7=FALSE)),VLOOKUP($E236,'Status Thresholds'!$E:$AR,2,FALSE),IF((AND($U$4=TRUE,$U$5=FALSE,$U$6=TRUE,$U$7=FALSE)),VLOOKUP($E236,'Status Thresholds'!$E:$AR,12,FALSE),IF((AND($U$4=TRUE,$U$5=FALSE,$U$6=TRUE,$U$7=TRUE)),VLOOKUP($E236,'Status Thresholds'!$E:$AR,17,FALSE),IF((AND($U$4=TRUE,$U$5=FALSE,$U$6=FALSE,$U$7=TRUE)),VLOOKUP($E236,'Status Thresholds'!$E:$AR,7,FALSE),
IF((AND($U$4=FALSE,$U$5=TRUE,$U$6=FALSE,$U$7=FALSE)),VLOOKUP($E236,'Status Thresholds'!$E:$AR,22,FALSE),IF((AND($U$4=FALSE,$U$5=TRUE,$U$6=TRUE,$U$7=FALSE)),VLOOKUP($E236,'Status Thresholds'!$E:$AR,32,FALSE),IF((AND($U$4=FALSE,$U$5=TRUE,$U$6=TRUE,$U$7=TRUE)),VLOOKUP($E236,'Status Thresholds'!$E:$AR,37,FALSE),IF((AND($U$4=FALSE,$U$5=TRUE,$U$6=FALSE,$U$7=TRUE)),VLOOKUP($E236,'Status Thresholds'!$E:$AR,27,FALSE)))))))))
))/
IF(OR($X$5=TRUE,$AC$3=TRUE
),($F$4/2), IF(OR($X$2,$X$3,$X$4,$X$6,$X$7,$X$8,$Z$2,$Z$3,$Z$4,$Z$5,$Z$6,$Z$7,$Z$8)=TRUE,$F$4)),0),"-")</f>
        <v>-</v>
      </c>
      <c r="G236" s="36" t="str">
        <f>IFERROR(
ROUNDUP(
IF(AND($U$5=FALSE,$U$4=FALSE),"-",IF(AND($U$5=TRUE,$U$4=TRUE),"-",
IF((AND($U$4=TRUE,$U$5=FALSE,$U$6=FALSE,$U$7=FALSE)),VLOOKUP($E236,'Status Thresholds'!$E:$AR,3,FALSE),IF((AND($U$4=TRUE,$U$5=FALSE,$U$6=TRUE,$U$7=FALSE)),VLOOKUP($E236,'Status Thresholds'!$E:$AR,13,FALSE),IF((AND($U$4=TRUE,$U$5=FALSE,$U$6=TRUE,$U$7=TRUE)),VLOOKUP($E236,'Status Thresholds'!$E:$AR,18,FALSE),IF((AND($U$4=TRUE,$U$5=FALSE,$U$6=FALSE,$U$7=TRUE)),VLOOKUP($E236,'Status Thresholds'!$E:$AR,8,FALSE),
IF((AND($U$4=FALSE,$U$5=TRUE,$U$6=FALSE,$U$7=FALSE)),VLOOKUP($E236,'Status Thresholds'!$E:$AR,23,FALSE),IF((AND($U$4=FALSE,$U$5=TRUE,$U$6=TRUE,$U$7=FALSE)),VLOOKUP($E236,'Status Thresholds'!$E:$AR,33,FALSE),IF((AND($U$4=FALSE,$U$5=TRUE,$U$6=TRUE,$U$7=TRUE)),VLOOKUP($E236,'Status Thresholds'!$E:$AR,38,FALSE),IF((AND($U$4=FALSE,$U$5=TRUE,$U$6=FALSE,$U$7=TRUE)),VLOOKUP($E236,'Status Thresholds'!$E:$AR,28,FALSE)))))))))
))/
IF(OR($X$5=TRUE,$AC$3=TRUE
),($F$4/2), IF(OR($X$2,$X$3,$X$4,$X$6,$X$7,$X$8,$Z$2,$Z$3,$Z$4,$Z$5,$Z$6,$Z$7,$Z$8)=TRUE,$F$4)),0),"-")</f>
        <v>-</v>
      </c>
      <c r="H236" s="36" t="str">
        <f>IFERROR(
ROUNDUP(
IF(AND($U$5=FALSE,$U$4=FALSE),"-",IF(AND($U$5=TRUE,$U$4=TRUE),"-",
IF((AND($U$4=TRUE,$U$5=FALSE,$U$6=FALSE,$U$7=FALSE)),VLOOKUP($E236,'Status Thresholds'!$E:$AR,4,FALSE),IF((AND($U$4=TRUE,$U$5=FALSE,$U$6=TRUE,$U$7=FALSE)),VLOOKUP($E236,'Status Thresholds'!$E:$AR,14,FALSE),IF((AND($U$4=TRUE,$U$5=FALSE,$U$6=TRUE,$U$7=TRUE)),VLOOKUP($E236,'Status Thresholds'!$E:$AR,19,FALSE),IF((AND($U$4=TRUE,$U$5=FALSE,$U$6=FALSE,$U$7=TRUE)),VLOOKUP($E236,'Status Thresholds'!$E:$AR,9,FALSE),
IF((AND($U$4=FALSE,$U$5=TRUE,$U$6=FALSE,$U$7=FALSE)),VLOOKUP($E236,'Status Thresholds'!$E:$AR,24,FALSE),IF((AND($U$4=FALSE,$U$5=TRUE,$U$6=TRUE,$U$7=FALSE)),VLOOKUP($E236,'Status Thresholds'!$E:$AR,34,FALSE),IF((AND($U$4=FALSE,$U$5=TRUE,$U$6=TRUE,$U$7=TRUE)),VLOOKUP($E236,'Status Thresholds'!$E:$AR,39,FALSE),IF((AND($U$4=FALSE,$U$5=TRUE,$U$6=FALSE,$U$7=TRUE)),VLOOKUP($E236,'Status Thresholds'!$E:$AR,29,FALSE)))))))))
))/
IF(OR($X$5=TRUE,$AC$3=TRUE
),($F$4/2), IF(OR($X$2,$X$3,$X$4,$X$6,$X$7,$X$8,$Z$2,$Z$3,$Z$4,$Z$5,$Z$6,$Z$7,$Z$8)=TRUE,$F$4)),0),"-")</f>
        <v>-</v>
      </c>
      <c r="I236" s="36" t="str">
        <f>IFERROR(
ROUNDUP(
IF(AND($U$5=FALSE,$U$4=FALSE),"-",IF(AND($U$5=TRUE,$U$4=TRUE),"-",
IF((AND($U$4=TRUE,$U$5=FALSE,$U$6=FALSE,$U$7=FALSE)),VLOOKUP($E236,'Status Thresholds'!$E:$AR,5,FALSE),IF((AND($U$4=TRUE,$U$5=FALSE,$U$6=TRUE,$U$7=FALSE)),VLOOKUP($E236,'Status Thresholds'!$E:$AR,15,FALSE),IF((AND($U$4=TRUE,$U$5=FALSE,$U$6=TRUE,$U$7=TRUE)),VLOOKUP($E236,'Status Thresholds'!$E:$AR,20,FALSE),IF((AND($U$4=TRUE,$U$5=FALSE,$U$6=FALSE,$U$7=TRUE)),VLOOKUP($E236,'Status Thresholds'!$E:$AR,10,FALSE),
IF((AND($U$4=FALSE,$U$5=TRUE,$U$6=FALSE,$U$7=FALSE)),VLOOKUP($E236,'Status Thresholds'!$E:$AR,25,FALSE),IF((AND($U$4=FALSE,$U$5=TRUE,$U$6=TRUE,$U$7=FALSE)),VLOOKUP($E236,'Status Thresholds'!$E:$AR,35,FALSE),IF((AND($U$4=FALSE,$U$5=TRUE,$U$6=TRUE,$U$7=TRUE)),VLOOKUP($E236,'Status Thresholds'!$E:$AR,40,FALSE),IF((AND($U$4=FALSE,$U$5=TRUE,$U$6=FALSE,$U$7=TRUE)),VLOOKUP($E236,'Status Thresholds'!$E:$AR,30,FALSE)))))))))
))/
IF(OR($X$5=TRUE,$AC$3=TRUE
),($F$4/2), IF(OR($X$2,$X$3,$X$4,$X$6,$X$7,$X$8,$Z$2,$Z$3,$Z$4,$Z$5,$Z$6,$Z$7,$Z$8)=TRUE,$F$4)),0),"-")</f>
        <v>-</v>
      </c>
      <c r="J236" s="46">
        <f>IFERROR(IF(AND($U$5=FALSE,$U$4=FALSE),"-",VLOOKUP($E236,'Status Thresholds'!$E:$AU,41,FALSE)),"-")</f>
        <v>40</v>
      </c>
      <c r="K236" s="46" t="str">
        <f>IFERROR(IF(AND($U$5=FALSE,$U$4=FALSE),"-",VLOOKUP($E236,'Status Thresholds'!$E:$AU,42,FALSE)),"-")</f>
        <v>-</v>
      </c>
      <c r="L236" s="46" t="str">
        <f>IFERROR(IF(AND($U$5=FALSE,$U$4=FALSE),"-",VLOOKUP($E236,'Status Thresholds'!$E:$AU,43,FALSE)),"-")</f>
        <v>-</v>
      </c>
    </row>
    <row r="237" spans="1:12" x14ac:dyDescent="0.25">
      <c r="A237" s="35"/>
      <c r="B237" s="64" t="str">
        <f>VLOOKUP(C237,'Status Thresholds'!B:C,2,FALSE)</f>
        <v>MHGU</v>
      </c>
      <c r="C237" s="64" t="str">
        <f>IF('Status Thresholds'!B232=0, "", 'Status Thresholds'!B232)</f>
        <v>Diablos</v>
      </c>
      <c r="D237" s="32" t="s">
        <v>33</v>
      </c>
      <c r="E237" s="36" t="str">
        <f t="shared" si="3"/>
        <v>DiablosPoison</v>
      </c>
      <c r="F237" s="36" t="str">
        <f>IFERROR(
ROUNDUP(
IF(AND($U$5=FALSE,$U$4=FALSE),"-",IF(AND($U$5=TRUE,$U$4=TRUE),"-",
IF((AND($U$4=TRUE,$U$5=FALSE,$U$6=FALSE,$U$7=FALSE)),VLOOKUP($E237,'Status Thresholds'!$E:$AR,2,FALSE),IF((AND($U$4=TRUE,$U$5=FALSE,$U$6=TRUE,$U$7=FALSE)),VLOOKUP($E237,'Status Thresholds'!$E:$AR,12,FALSE),IF((AND($U$4=TRUE,$U$5=FALSE,$U$6=TRUE,$U$7=TRUE)),VLOOKUP($E237,'Status Thresholds'!$E:$AR,17,FALSE),IF((AND($U$4=TRUE,$U$5=FALSE,$U$6=FALSE,$U$7=TRUE)),VLOOKUP($E237,'Status Thresholds'!$E:$AR,7,FALSE),
IF((AND($U$4=FALSE,$U$5=TRUE,$U$6=FALSE,$U$7=FALSE)),VLOOKUP($E237,'Status Thresholds'!$E:$AR,22,FALSE),IF((AND($U$4=FALSE,$U$5=TRUE,$U$6=TRUE,$U$7=FALSE)),VLOOKUP($E237,'Status Thresholds'!$E:$AR,32,FALSE),IF((AND($U$4=FALSE,$U$5=TRUE,$U$6=TRUE,$U$7=TRUE)),VLOOKUP($E237,'Status Thresholds'!$E:$AR,37,FALSE),IF((AND($U$4=FALSE,$U$5=TRUE,$U$6=FALSE,$U$7=TRUE)),VLOOKUP($E237,'Status Thresholds'!$E:$AR,27,FALSE)))))))))
))/
IF(OR($X$5=TRUE,$AC$3=TRUE
),($F$5/2), IF(OR($X$2,$X$3,$X$4,$X$6,$X$7,$X$8,$Z$2,$Z$3,$Z$4,$Z$5,$Z$6,$Z$7,$Z$8)=TRUE,$F$5)),0),"-")</f>
        <v>-</v>
      </c>
      <c r="G237" s="36" t="str">
        <f>IFERROR(
ROUNDUP(
IF(AND($U$5=FALSE,$U$4=FALSE),"-",IF(AND($U$5=TRUE,$U$4=TRUE),"-",
IF((AND($U$4=TRUE,$U$5=FALSE,$U$6=FALSE,$U$7=FALSE)),VLOOKUP($E237,'Status Thresholds'!$E:$AR,3,FALSE),IF((AND($U$4=TRUE,$U$5=FALSE,$U$6=TRUE,$U$7=FALSE)),VLOOKUP($E237,'Status Thresholds'!$E:$AR,13,FALSE),IF((AND($U$4=TRUE,$U$5=FALSE,$U$6=TRUE,$U$7=TRUE)),VLOOKUP($E237,'Status Thresholds'!$E:$AR,18,FALSE),IF((AND($U$4=TRUE,$U$5=FALSE,$U$6=FALSE,$U$7=TRUE)),VLOOKUP($E237,'Status Thresholds'!$E:$AR,8,FALSE),
IF((AND($U$4=FALSE,$U$5=TRUE,$U$6=FALSE,$U$7=FALSE)),VLOOKUP($E237,'Status Thresholds'!$E:$AR,23,FALSE),IF((AND($U$4=FALSE,$U$5=TRUE,$U$6=TRUE,$U$7=FALSE)),VLOOKUP($E237,'Status Thresholds'!$E:$AR,33,FALSE),IF((AND($U$4=FALSE,$U$5=TRUE,$U$6=TRUE,$U$7=TRUE)),VLOOKUP($E237,'Status Thresholds'!$E:$AR,38,FALSE),IF((AND($U$4=FALSE,$U$5=TRUE,$U$6=FALSE,$U$7=TRUE)),VLOOKUP($E237,'Status Thresholds'!$E:$AR,28,FALSE)))))))))
))/
IF(OR($X$5=TRUE,$AC$3=TRUE
),($F$5/2), IF(OR($X$2,$X$3,$X$4,$X$6,$X$7,$X$8,$Z$2,$Z$3,$Z$4,$Z$5,$Z$6,$Z$7,$Z$8)=TRUE,$F$5)),0),"-")</f>
        <v>-</v>
      </c>
      <c r="H237" s="36" t="str">
        <f>IFERROR(
ROUNDUP(
IF(AND($U$5=FALSE,$U$4=FALSE),"-",IF(AND($U$5=TRUE,$U$4=TRUE),"-",
IF((AND($U$4=TRUE,$U$5=FALSE,$U$6=FALSE,$U$7=FALSE)),VLOOKUP($E237,'Status Thresholds'!$E:$AR,4,FALSE),IF((AND($U$4=TRUE,$U$5=FALSE,$U$6=TRUE,$U$7=FALSE)),VLOOKUP($E237,'Status Thresholds'!$E:$AR,14,FALSE),IF((AND($U$4=TRUE,$U$5=FALSE,$U$6=TRUE,$U$7=TRUE)),VLOOKUP($E237,'Status Thresholds'!$E:$AR,19,FALSE),IF((AND($U$4=TRUE,$U$5=FALSE,$U$6=FALSE,$U$7=TRUE)),VLOOKUP($E237,'Status Thresholds'!$E:$AR,9,FALSE),
IF((AND($U$4=FALSE,$U$5=TRUE,$U$6=FALSE,$U$7=FALSE)),VLOOKUP($E237,'Status Thresholds'!$E:$AR,24,FALSE),IF((AND($U$4=FALSE,$U$5=TRUE,$U$6=TRUE,$U$7=FALSE)),VLOOKUP($E237,'Status Thresholds'!$E:$AR,34,FALSE),IF((AND($U$4=FALSE,$U$5=TRUE,$U$6=TRUE,$U$7=TRUE)),VLOOKUP($E237,'Status Thresholds'!$E:$AR,39,FALSE),IF((AND($U$4=FALSE,$U$5=TRUE,$U$6=FALSE,$U$7=TRUE)),VLOOKUP($E237,'Status Thresholds'!$E:$AR,29,FALSE)))))))))
))/
IF(OR($X$5=TRUE,$AC$3=TRUE
),($F$5/2), IF(OR($X$2,$X$3,$X$4,$X$6,$X$7,$X$8,$Z$2,$Z$3,$Z$4,$Z$5,$Z$6,$Z$7,$Z$8)=TRUE,$F$5)),0),"-")</f>
        <v>-</v>
      </c>
      <c r="I237" s="36" t="str">
        <f>IFERROR(
ROUNDUP(
IF(AND($U$5=FALSE,$U$4=FALSE),"-",IF(AND($U$5=TRUE,$U$4=TRUE),"-",
IF((AND($U$4=TRUE,$U$5=FALSE,$U$6=FALSE,$U$7=FALSE)),VLOOKUP($E237,'Status Thresholds'!$E:$AR,5,FALSE),IF((AND($U$4=TRUE,$U$5=FALSE,$U$6=TRUE,$U$7=FALSE)),VLOOKUP($E237,'Status Thresholds'!$E:$AR,15,FALSE),IF((AND($U$4=TRUE,$U$5=FALSE,$U$6=TRUE,$U$7=TRUE)),VLOOKUP($E237,'Status Thresholds'!$E:$AR,20,FALSE),IF((AND($U$4=TRUE,$U$5=FALSE,$U$6=FALSE,$U$7=TRUE)),VLOOKUP($E237,'Status Thresholds'!$E:$AR,10,FALSE),
IF((AND($U$4=FALSE,$U$5=TRUE,$U$6=FALSE,$U$7=FALSE)),VLOOKUP($E237,'Status Thresholds'!$E:$AR,25,FALSE),IF((AND($U$4=FALSE,$U$5=TRUE,$U$6=TRUE,$U$7=FALSE)),VLOOKUP($E237,'Status Thresholds'!$E:$AR,35,FALSE),IF((AND($U$4=FALSE,$U$5=TRUE,$U$6=TRUE,$U$7=TRUE)),VLOOKUP($E237,'Status Thresholds'!$E:$AR,40,FALSE),IF((AND($U$4=FALSE,$U$5=TRUE,$U$6=FALSE,$U$7=TRUE)),VLOOKUP($E237,'Status Thresholds'!$E:$AR,30,FALSE)))))))))
))/
IF(OR($X$5=TRUE,$AC$3=TRUE
),($F$5/2), IF(OR($X$2,$X$3,$X$4,$X$6,$X$7,$X$8,$Z$2,$Z$3,$Z$4,$Z$5,$Z$6,$Z$7,$Z$8)=TRUE,$F$5)),0),"-")</f>
        <v>-</v>
      </c>
      <c r="J237" s="46">
        <f>IFERROR(IF(AND($U$5=FALSE,$U$4=FALSE),"-",VLOOKUP($E237,'Status Thresholds'!$E:$AU,41,FALSE)),"-")</f>
        <v>80</v>
      </c>
      <c r="K237" s="46" t="str">
        <f>IFERROR(IF(AND($U$5=FALSE,$U$4=FALSE),"-",VLOOKUP($E237,'Status Thresholds'!$E:$AU,42,FALSE)),"-")</f>
        <v>-</v>
      </c>
      <c r="L237" s="46" t="str">
        <f>IFERROR(IF(AND($U$5=FALSE,$U$4=FALSE),"-",VLOOKUP($E237,'Status Thresholds'!$E:$AU,43,FALSE)),"-")</f>
        <v>-</v>
      </c>
    </row>
    <row r="238" spans="1:12" x14ac:dyDescent="0.25">
      <c r="A238" s="35"/>
      <c r="B238" s="64" t="str">
        <f>VLOOKUP(C238,'Status Thresholds'!B:C,2,FALSE)</f>
        <v>MHGU</v>
      </c>
      <c r="C238" s="64" t="str">
        <f>IF('Status Thresholds'!B233=0, "", 'Status Thresholds'!B233)</f>
        <v>Diablos</v>
      </c>
      <c r="D238" s="10" t="s">
        <v>22</v>
      </c>
      <c r="E238" s="36" t="str">
        <f t="shared" si="3"/>
        <v>DiablosExhaust</v>
      </c>
      <c r="F238" s="36" t="str">
        <f>IFERROR(
ROUNDUP(
IF(AND($U$5=FALSE,$U$4=FALSE),"-",IF(AND($U$5=TRUE,$U$4=TRUE),"-",
IF((AND($U$4=TRUE,$U$5=FALSE,$U$6=FALSE,$U$7=FALSE)),VLOOKUP($E238,'Status Thresholds'!$E:$AR,2,FALSE),IF((AND($U$4=TRUE,$U$5=FALSE,$U$6=TRUE,$U$7=FALSE)),VLOOKUP($E238,'Status Thresholds'!$E:$AR,12,FALSE),IF((AND($U$4=TRUE,$U$5=FALSE,$U$6=TRUE,$U$7=TRUE)),VLOOKUP($E238,'Status Thresholds'!$E:$AR,17,FALSE),IF((AND($U$4=TRUE,$U$5=FALSE,$U$6=FALSE,$U$7=TRUE)),VLOOKUP($E238,'Status Thresholds'!$E:$AR,7,FALSE),
IF((AND($U$4=FALSE,$U$5=TRUE,$U$6=FALSE,$U$7=FALSE)),VLOOKUP($E238,'Status Thresholds'!$E:$AR,22,FALSE),IF((AND($U$4=FALSE,$U$5=TRUE,$U$6=TRUE,$U$7=FALSE)),VLOOKUP($E238,'Status Thresholds'!$E:$AR,32,FALSE),IF((AND($U$4=FALSE,$U$5=TRUE,$U$6=TRUE,$U$7=TRUE)),VLOOKUP($E238,'Status Thresholds'!$E:$AR,37,FALSE),IF((AND($U$4=FALSE,$U$5=TRUE,$U$6=FALSE,$U$7=TRUE)),VLOOKUP($E238,'Status Thresholds'!$E:$AR,27,FALSE)))))))))
))/
IF(OR($X$5=TRUE,$AC$3=TRUE
),($F$6/2), IF(OR($X$2,$X$3,$X$4,$X$6,$X$7,$X$8,$Z$2,$Z$3,$Z$4,$Z$5,$Z$6,$Z$7,$Z$8)=TRUE,$F$6)),0),"-")</f>
        <v>-</v>
      </c>
      <c r="G238" s="36" t="str">
        <f>IFERROR(
ROUNDUP(
IF(AND($U$5=FALSE,$U$4=FALSE),"-",IF(AND($U$5=TRUE,$U$4=TRUE),"-",
IF((AND($U$4=TRUE,$U$5=FALSE,$U$6=FALSE,$U$7=FALSE)),VLOOKUP($E238,'Status Thresholds'!$E:$AR,3,FALSE),IF((AND($U$4=TRUE,$U$5=FALSE,$U$6=TRUE,$U$7=FALSE)),VLOOKUP($E238,'Status Thresholds'!$E:$AR,13,FALSE),IF((AND($U$4=TRUE,$U$5=FALSE,$U$6=TRUE,$U$7=TRUE)),VLOOKUP($E238,'Status Thresholds'!$E:$AR,18,FALSE),IF((AND($U$4=TRUE,$U$5=FALSE,$U$6=FALSE,$U$7=TRUE)),VLOOKUP($E238,'Status Thresholds'!$E:$AR,8,FALSE),
IF((AND($U$4=FALSE,$U$5=TRUE,$U$6=FALSE,$U$7=FALSE)),VLOOKUP($E238,'Status Thresholds'!$E:$AR,23,FALSE),IF((AND($U$4=FALSE,$U$5=TRUE,$U$6=TRUE,$U$7=FALSE)),VLOOKUP($E238,'Status Thresholds'!$E:$AR,33,FALSE),IF((AND($U$4=FALSE,$U$5=TRUE,$U$6=TRUE,$U$7=TRUE)),VLOOKUP($E238,'Status Thresholds'!$E:$AR,38,FALSE),IF((AND($U$4=FALSE,$U$5=TRUE,$U$6=FALSE,$U$7=TRUE)),VLOOKUP($E238,'Status Thresholds'!$E:$AR,28,FALSE)))))))))
))/
IF(OR($X$5=TRUE,$AC$3=TRUE
),($F$6/2), IF(OR($X$2,$X$3,$X$4,$X$6,$X$7,$X$8,$Z$2,$Z$3,$Z$4,$Z$5,$Z$6,$Z$7,$Z$8)=TRUE,$F$6)),0),"-")</f>
        <v>-</v>
      </c>
      <c r="H238" s="36" t="str">
        <f>IFERROR(
ROUNDUP(
IF(AND($U$5=FALSE,$U$4=FALSE),"-",IF(AND($U$5=TRUE,$U$4=TRUE),"-",
IF((AND($U$4=TRUE,$U$5=FALSE,$U$6=FALSE,$U$7=FALSE)),VLOOKUP($E238,'Status Thresholds'!$E:$AR,4,FALSE),IF((AND($U$4=TRUE,$U$5=FALSE,$U$6=TRUE,$U$7=FALSE)),VLOOKUP($E238,'Status Thresholds'!$E:$AR,14,FALSE),IF((AND($U$4=TRUE,$U$5=FALSE,$U$6=TRUE,$U$7=TRUE)),VLOOKUP($E238,'Status Thresholds'!$E:$AR,19,FALSE),IF((AND($U$4=TRUE,$U$5=FALSE,$U$6=FALSE,$U$7=TRUE)),VLOOKUP($E238,'Status Thresholds'!$E:$AR,9,FALSE),
IF((AND($U$4=FALSE,$U$5=TRUE,$U$6=FALSE,$U$7=FALSE)),VLOOKUP($E238,'Status Thresholds'!$E:$AR,24,FALSE),IF((AND($U$4=FALSE,$U$5=TRUE,$U$6=TRUE,$U$7=FALSE)),VLOOKUP($E238,'Status Thresholds'!$E:$AR,34,FALSE),IF((AND($U$4=FALSE,$U$5=TRUE,$U$6=TRUE,$U$7=TRUE)),VLOOKUP($E238,'Status Thresholds'!$E:$AR,39,FALSE),IF((AND($U$4=FALSE,$U$5=TRUE,$U$6=FALSE,$U$7=TRUE)),VLOOKUP($E238,'Status Thresholds'!$E:$AR,29,FALSE)))))))))
))/
IF(OR($X$5=TRUE,$AC$3=TRUE
),($F$6/2), IF(OR($X$2,$X$3,$X$4,$X$6,$X$7,$X$8,$Z$2,$Z$3,$Z$4,$Z$5,$Z$6,$Z$7,$Z$8)=TRUE,$F$6)),0),"-")</f>
        <v>-</v>
      </c>
      <c r="I238" s="36" t="str">
        <f>IFERROR(
ROUNDUP(
IF(AND($U$5=FALSE,$U$4=FALSE),"-",IF(AND($U$5=TRUE,$U$4=TRUE),"-",
IF((AND($U$4=TRUE,$U$5=FALSE,$U$6=FALSE,$U$7=FALSE)),VLOOKUP($E238,'Status Thresholds'!$E:$AR,5,FALSE),IF((AND($U$4=TRUE,$U$5=FALSE,$U$6=TRUE,$U$7=FALSE)),VLOOKUP($E238,'Status Thresholds'!$E:$AR,15,FALSE),IF((AND($U$4=TRUE,$U$5=FALSE,$U$6=TRUE,$U$7=TRUE)),VLOOKUP($E238,'Status Thresholds'!$E:$AR,20,FALSE),IF((AND($U$4=TRUE,$U$5=FALSE,$U$6=FALSE,$U$7=TRUE)),VLOOKUP($E238,'Status Thresholds'!$E:$AR,10,FALSE),
IF((AND($U$4=FALSE,$U$5=TRUE,$U$6=FALSE,$U$7=FALSE)),VLOOKUP($E238,'Status Thresholds'!$E:$AR,25,FALSE),IF((AND($U$4=FALSE,$U$5=TRUE,$U$6=TRUE,$U$7=FALSE)),VLOOKUP($E238,'Status Thresholds'!$E:$AR,35,FALSE),IF((AND($U$4=FALSE,$U$5=TRUE,$U$6=TRUE,$U$7=TRUE)),VLOOKUP($E238,'Status Thresholds'!$E:$AR,40,FALSE),IF((AND($U$4=FALSE,$U$5=TRUE,$U$6=FALSE,$U$7=TRUE)),VLOOKUP($E238,'Status Thresholds'!$E:$AR,30,FALSE)))))))))
))/
IF(OR($X$5=TRUE,$AC$3=TRUE
),($F$6/2), IF(OR($X$2,$X$3,$X$4,$X$6,$X$7,$X$8,$Z$2,$Z$3,$Z$4,$Z$5,$Z$6,$Z$7,$Z$8)=TRUE,$F$6)),0),"-")</f>
        <v>-</v>
      </c>
      <c r="J238" s="46">
        <f>IFERROR(IF(AND($U$5=FALSE,$U$4=FALSE),"-",VLOOKUP($E238,'Status Thresholds'!$E:$AU,41,FALSE)),"-")</f>
        <v>0</v>
      </c>
      <c r="K238" s="46" t="str">
        <f>IFERROR(IF(AND($U$5=FALSE,$U$4=FALSE),"-",VLOOKUP($E238,'Status Thresholds'!$E:$AU,42,FALSE)),"-")</f>
        <v>-</v>
      </c>
      <c r="L238" s="46" t="str">
        <f>IFERROR(IF(AND($U$5=FALSE,$U$4=FALSE),"-",VLOOKUP($E238,'Status Thresholds'!$E:$AU,43,FALSE)),"-")</f>
        <v>-</v>
      </c>
    </row>
    <row r="239" spans="1:12" x14ac:dyDescent="0.25">
      <c r="A239" s="35"/>
      <c r="B239" s="64" t="str">
        <f>VLOOKUP(C239,'Status Thresholds'!B:C,2,FALSE)</f>
        <v>MHGU</v>
      </c>
      <c r="C239" s="64" t="str">
        <f>IF('Status Thresholds'!B234=0, "", 'Status Thresholds'!B234)</f>
        <v>Diablos</v>
      </c>
      <c r="D239" s="30" t="s">
        <v>35</v>
      </c>
      <c r="E239" s="36" t="str">
        <f t="shared" si="3"/>
        <v>DiablosBlast</v>
      </c>
      <c r="F239" s="36" t="str">
        <f>IFERROR(
ROUNDUP(
IF(AND($U$5=FALSE,$U$4=FALSE),"-",IF(AND($U$5=TRUE,$U$4=TRUE),"-",
IF((AND($U$4=TRUE,$U$5=FALSE,$U$6=FALSE,$U$7=FALSE)),VLOOKUP($E239,'Status Thresholds'!$E:$AR,2,FALSE),IF((AND($U$4=TRUE,$U$5=FALSE,$U$6=TRUE,$U$7=FALSE)),VLOOKUP($E239,'Status Thresholds'!$E:$AR,12,FALSE),IF((AND($U$4=TRUE,$U$5=FALSE,$U$6=TRUE,$U$7=TRUE)),VLOOKUP($E239,'Status Thresholds'!$E:$AR,17,FALSE),IF((AND($U$4=TRUE,$U$5=FALSE,$U$6=FALSE,$U$7=TRUE)),VLOOKUP($E239,'Status Thresholds'!$E:$AR,7,FALSE),
IF((AND($U$4=FALSE,$U$5=TRUE,$U$6=FALSE,$U$7=FALSE)),VLOOKUP($E239,'Status Thresholds'!$E:$AR,22,FALSE),IF((AND($U$4=FALSE,$U$5=TRUE,$U$6=TRUE,$U$7=FALSE)),VLOOKUP($E239,'Status Thresholds'!$E:$AR,32,FALSE),IF((AND($U$4=FALSE,$U$5=TRUE,$U$6=TRUE,$U$7=TRUE)),VLOOKUP($E239,'Status Thresholds'!$E:$AR,37,FALSE),IF((AND($U$4=FALSE,$U$5=TRUE,$U$6=FALSE,$U$7=TRUE)),VLOOKUP($E239,'Status Thresholds'!$E:$AR,27,FALSE)))))))))
))/
IF(OR($X$5=TRUE,$AC$3=TRUE
),($F$7/2), IF(OR($X$2,$X$3,$X$4,$X$6,$X$7,$X$8,$Z$2,$Z$3,$Z$4,$Z$5,$Z$6,$Z$7,$Z$8)=TRUE,$F$7)),0),"-")</f>
        <v>-</v>
      </c>
      <c r="G239" s="36" t="str">
        <f>IFERROR(
ROUNDUP(
IF(AND($U$5=FALSE,$U$4=FALSE),"-",IF(AND($U$5=TRUE,$U$4=TRUE),"-",
IF((AND($U$4=TRUE,$U$5=FALSE,$U$6=FALSE,$U$7=FALSE)),VLOOKUP($E239,'Status Thresholds'!$E:$AR,3,FALSE),IF((AND($U$4=TRUE,$U$5=FALSE,$U$6=TRUE,$U$7=FALSE)),VLOOKUP($E239,'Status Thresholds'!$E:$AR,13,FALSE),IF((AND($U$4=TRUE,$U$5=FALSE,$U$6=TRUE,$U$7=TRUE)),VLOOKUP($E239,'Status Thresholds'!$E:$AR,18,FALSE),IF((AND($U$4=TRUE,$U$5=FALSE,$U$6=FALSE,$U$7=TRUE)),VLOOKUP($E239,'Status Thresholds'!$E:$AR,8,FALSE),
IF((AND($U$4=FALSE,$U$5=TRUE,$U$6=FALSE,$U$7=FALSE)),VLOOKUP($E239,'Status Thresholds'!$E:$AR,23,FALSE),IF((AND($U$4=FALSE,$U$5=TRUE,$U$6=TRUE,$U$7=FALSE)),VLOOKUP($E239,'Status Thresholds'!$E:$AR,33,FALSE),IF((AND($U$4=FALSE,$U$5=TRUE,$U$6=TRUE,$U$7=TRUE)),VLOOKUP($E239,'Status Thresholds'!$E:$AR,38,FALSE),IF((AND($U$4=FALSE,$U$5=TRUE,$U$6=FALSE,$U$7=TRUE)),VLOOKUP($E239,'Status Thresholds'!$E:$AR,28,FALSE)))))))))
))/
IF(OR($X$5=TRUE,$AC$3=TRUE
),($F$7/2), IF(OR($X$2,$X$3,$X$4,$X$6,$X$7,$X$8,$Z$2,$Z$3,$Z$4,$Z$5,$Z$6,$Z$7,$Z$8)=TRUE,$F$7)),0),"-")</f>
        <v>-</v>
      </c>
      <c r="H239" s="36" t="str">
        <f>IFERROR(
ROUNDUP(
IF(AND($U$5=FALSE,$U$4=FALSE),"-",IF(AND($U$5=TRUE,$U$4=TRUE),"-",
IF((AND($U$4=TRUE,$U$5=FALSE,$U$6=FALSE,$U$7=FALSE)),VLOOKUP($E239,'Status Thresholds'!$E:$AR,4,FALSE),IF((AND($U$4=TRUE,$U$5=FALSE,$U$6=TRUE,$U$7=FALSE)),VLOOKUP($E239,'Status Thresholds'!$E:$AR,14,FALSE),IF((AND($U$4=TRUE,$U$5=FALSE,$U$6=TRUE,$U$7=TRUE)),VLOOKUP($E239,'Status Thresholds'!$E:$AR,19,FALSE),IF((AND($U$4=TRUE,$U$5=FALSE,$U$6=FALSE,$U$7=TRUE)),VLOOKUP($E239,'Status Thresholds'!$E:$AR,9,FALSE),
IF((AND($U$4=FALSE,$U$5=TRUE,$U$6=FALSE,$U$7=FALSE)),VLOOKUP($E239,'Status Thresholds'!$E:$AR,24,FALSE),IF((AND($U$4=FALSE,$U$5=TRUE,$U$6=TRUE,$U$7=FALSE)),VLOOKUP($E239,'Status Thresholds'!$E:$AR,34,FALSE),IF((AND($U$4=FALSE,$U$5=TRUE,$U$6=TRUE,$U$7=TRUE)),VLOOKUP($E239,'Status Thresholds'!$E:$AR,39,FALSE),IF((AND($U$4=FALSE,$U$5=TRUE,$U$6=FALSE,$U$7=TRUE)),VLOOKUP($E239,'Status Thresholds'!$E:$AR,29,FALSE)))))))))
))/
IF(OR($X$5=TRUE,$AC$3=TRUE
),($F$7/2), IF(OR($X$2,$X$3,$X$4,$X$6,$X$7,$X$8,$Z$2,$Z$3,$Z$4,$Z$5,$Z$6,$Z$7,$Z$8)=TRUE,$F$7)),0),"-")</f>
        <v>-</v>
      </c>
      <c r="I239" s="36" t="str">
        <f>IFERROR(
ROUNDUP(
IF(AND($U$5=FALSE,$U$4=FALSE),"-",IF(AND($U$5=TRUE,$U$4=TRUE),"-",
IF((AND($U$4=TRUE,$U$5=FALSE,$U$6=FALSE,$U$7=FALSE)),VLOOKUP($E239,'Status Thresholds'!$E:$AR,5,FALSE),IF((AND($U$4=TRUE,$U$5=FALSE,$U$6=TRUE,$U$7=FALSE)),VLOOKUP($E239,'Status Thresholds'!$E:$AR,15,FALSE),IF((AND($U$4=TRUE,$U$5=FALSE,$U$6=TRUE,$U$7=TRUE)),VLOOKUP($E239,'Status Thresholds'!$E:$AR,20,FALSE),IF((AND($U$4=TRUE,$U$5=FALSE,$U$6=FALSE,$U$7=TRUE)),VLOOKUP($E239,'Status Thresholds'!$E:$AR,10,FALSE),
IF((AND($U$4=FALSE,$U$5=TRUE,$U$6=FALSE,$U$7=FALSE)),VLOOKUP($E239,'Status Thresholds'!$E:$AR,25,FALSE),IF((AND($U$4=FALSE,$U$5=TRUE,$U$6=TRUE,$U$7=FALSE)),VLOOKUP($E239,'Status Thresholds'!$E:$AR,35,FALSE),IF((AND($U$4=FALSE,$U$5=TRUE,$U$6=TRUE,$U$7=TRUE)),VLOOKUP($E239,'Status Thresholds'!$E:$AR,40,FALSE),IF((AND($U$4=FALSE,$U$5=TRUE,$U$6=FALSE,$U$7=TRUE)),VLOOKUP($E239,'Status Thresholds'!$E:$AR,30,FALSE)))))))))
))/
IF(OR($X$5=TRUE,$AC$3=TRUE
),($F$7/2), IF(OR($X$2,$X$3,$X$4,$X$6,$X$7,$X$8,$Z$2,$Z$3,$Z$4,$Z$5,$Z$6,$Z$7,$Z$8)=TRUE,$F$7)),0),"-")</f>
        <v>-</v>
      </c>
      <c r="J239" s="46">
        <f>IFERROR(IF(AND($U$5=FALSE,$U$4=FALSE),"-",VLOOKUP($E239,'Status Thresholds'!$E:$AU,41,FALSE)),"-")</f>
        <v>0</v>
      </c>
      <c r="K239" s="46" t="str">
        <f>IFERROR(IF(AND($U$5=FALSE,$U$4=FALSE),"-",VLOOKUP($E239,'Status Thresholds'!$E:$AU,42,FALSE)),"-")</f>
        <v>-</v>
      </c>
      <c r="L239" s="46" t="str">
        <f>IFERROR(IF(AND($U$5=FALSE,$U$4=FALSE),"-",VLOOKUP($E239,'Status Thresholds'!$E:$AU,43,FALSE)),"-")</f>
        <v>-</v>
      </c>
    </row>
    <row r="240" spans="1:12" ht="14.45" customHeight="1" x14ac:dyDescent="0.25">
      <c r="A240" s="35"/>
      <c r="B240" s="64" t="str">
        <f>VLOOKUP(C240,'Status Thresholds'!B:C,2,FALSE)</f>
        <v>MHGU</v>
      </c>
      <c r="C240" s="64" t="str">
        <f>IF('Status Thresholds'!B235=0, "", 'Status Thresholds'!B235)</f>
        <v>Diablos</v>
      </c>
      <c r="D240" s="34" t="s">
        <v>14</v>
      </c>
      <c r="E240" s="36" t="str">
        <f t="shared" si="3"/>
        <v>DiablosKO</v>
      </c>
      <c r="F240" s="36" t="s">
        <v>214</v>
      </c>
      <c r="G240" s="36" t="s">
        <v>214</v>
      </c>
      <c r="H240" s="36" t="s">
        <v>214</v>
      </c>
      <c r="I240" s="36" t="s">
        <v>214</v>
      </c>
      <c r="J240" s="46">
        <f>IFERROR(IF(AND($U$5=FALSE,$U$4=FALSE),"-",VLOOKUP($E240,'Status Thresholds'!$E:$AU,41,FALSE)),"-")</f>
        <v>15</v>
      </c>
      <c r="K240" s="46" t="str">
        <f>IFERROR(IF(AND($U$5=FALSE,$U$4=FALSE),"-",VLOOKUP($E240,'Status Thresholds'!$E:$AU,42,FALSE)),"-")</f>
        <v>-</v>
      </c>
      <c r="L240" s="46" t="str">
        <f>IFERROR(IF(AND($U$5=FALSE,$U$4=FALSE),"-",VLOOKUP($E240,'Status Thresholds'!$E:$AU,43,FALSE)),"-")</f>
        <v>-</v>
      </c>
    </row>
    <row r="241" spans="1:12" x14ac:dyDescent="0.25">
      <c r="A241" s="35"/>
      <c r="B241" s="64" t="str">
        <f>VLOOKUP(C241,'Status Thresholds'!B:C,2,FALSE)</f>
        <v>MHGU</v>
      </c>
      <c r="C241" s="64" t="str">
        <f>IF('Status Thresholds'!B236=0, "", 'Status Thresholds'!B236)</f>
        <v>Diablos</v>
      </c>
      <c r="D241" s="33" t="s">
        <v>34</v>
      </c>
      <c r="E241" s="36" t="str">
        <f t="shared" si="3"/>
        <v>DiablosMount</v>
      </c>
      <c r="F241" s="36" t="str">
        <f>IFERROR(
ROUNDUP(
IF(AND($U$5=FALSE,$U$4=FALSE),"-",IF(AND($U$5=TRUE,$U$4=TRUE),"-",
IF((AND($U$4=TRUE,$U$5=FALSE,$U$6=FALSE,$U$7=FALSE)),VLOOKUP($E241,'Status Thresholds'!$E:$AR,2,FALSE),IF((AND($U$4=TRUE,$U$5=FALSE,$U$6=TRUE,$U$7=FALSE)),VLOOKUP($E241,'Status Thresholds'!$E:$AR,12,FALSE),IF((AND($U$4=TRUE,$U$5=FALSE,$U$6=TRUE,$U$7=TRUE)),VLOOKUP($E241,'Status Thresholds'!$E:$AR,17,FALSE),IF((AND($U$4=TRUE,$U$5=FALSE,$U$6=FALSE,$U$7=TRUE)),VLOOKUP($E241,'Status Thresholds'!$E:$AR,7,FALSE),
IF((AND($U$4=FALSE,$U$5=TRUE,$U$6=FALSE,$U$7=FALSE)),VLOOKUP($E241,'Status Thresholds'!$E:$AR,22,FALSE),IF((AND($U$4=FALSE,$U$5=TRUE,$U$6=TRUE,$U$7=FALSE)),VLOOKUP($E241,'Status Thresholds'!$E:$AR,32,FALSE),IF((AND($U$4=FALSE,$U$5=TRUE,$U$6=TRUE,$U$7=TRUE)),VLOOKUP($E241,'Status Thresholds'!$E:$AR,37,FALSE),IF((AND($U$4=FALSE,$U$5=TRUE,$U$6=FALSE,$U$7=TRUE)),VLOOKUP($E241,'Status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241" s="36" t="str">
        <f>IFERROR(
ROUNDUP(
IF(AND($U$5=FALSE,$U$4=FALSE),"-",IF(AND($U$5=TRUE,$U$4=TRUE),"-",
IF((AND($U$4=TRUE,$U$5=FALSE,$U$6=FALSE,$U$7=FALSE)),VLOOKUP($E240,'Status Thresholds'!$E:$AR,3,FALSE),IF((AND($U$4=TRUE,$U$5=FALSE,$U$6=TRUE,$U$7=FALSE)),VLOOKUP($E240,'Status Thresholds'!$E:$AR,13,FALSE),IF((AND($U$4=TRUE,$U$5=FALSE,$U$6=TRUE,$U$7=TRUE)),VLOOKUP($E240,'Status Thresholds'!$E:$AR,18,FALSE),IF((AND($U$4=TRUE,$U$5=FALSE,$U$6=FALSE,$U$7=TRUE)),VLOOKUP($E240,'Status Thresholds'!$E:$AR,8,FALSE),
IF((AND($U$4=FALSE,$U$5=TRUE,$U$6=FALSE,$U$7=FALSE)),VLOOKUP($E240,'Status Thresholds'!$E:$AR,23,FALSE),IF((AND($U$4=FALSE,$U$5=TRUE,$U$6=TRUE,$U$7=FALSE)),VLOOKUP($E240,'Status Thresholds'!$E:$AR,33,FALSE),IF((AND($U$4=FALSE,$U$5=TRUE,$U$6=TRUE,$U$7=TRUE)),VLOOKUP($E240,'Status Thresholds'!$E:$AR,38,FALSE),IF((AND($U$4=FALSE,$U$5=TRUE,$U$6=FALSE,$U$7=TRUE)),VLOOKUP($E240,'Status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241" s="36" t="str">
        <f>IFERROR(
ROUNDUP(
IF(AND($U$5=FALSE,$U$4=FALSE),"-",IF(AND($U$5=TRUE,$U$4=TRUE),"-",
IF((AND($U$4=TRUE,$U$5=FALSE,$U$6=FALSE,$U$7=FALSE)),VLOOKUP($E240,'Status Thresholds'!$E:$AR,4,FALSE),IF((AND($U$4=TRUE,$U$5=FALSE,$U$6=TRUE,$U$7=FALSE)),VLOOKUP($E240,'Status Thresholds'!$E:$AR,14,FALSE),IF((AND($U$4=TRUE,$U$5=FALSE,$U$6=TRUE,$U$7=TRUE)),VLOOKUP($E240,'Status Thresholds'!$E:$AR,19,FALSE),IF((AND($U$4=TRUE,$U$5=FALSE,$U$6=FALSE,$U$7=TRUE)),VLOOKUP($E240,'Status Thresholds'!$E:$AR,9,FALSE),
IF((AND($U$4=FALSE,$U$5=TRUE,$U$6=FALSE,$U$7=FALSE)),VLOOKUP($E240,'Status Thresholds'!$E:$AR,24,FALSE),IF((AND($U$4=FALSE,$U$5=TRUE,$U$6=TRUE,$U$7=FALSE)),VLOOKUP($E240,'Status Thresholds'!$E:$AR,34,FALSE),IF((AND($U$4=FALSE,$U$5=TRUE,$U$6=TRUE,$U$7=TRUE)),VLOOKUP($E240,'Status Thresholds'!$E:$AR,39,FALSE),IF((AND($U$4=FALSE,$U$5=TRUE,$U$6=FALSE,$U$7=TRUE)),VLOOKUP($E240,'Status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241" s="36" t="str">
        <f>IFERROR(
ROUNDUP(
IF(AND($U$5=FALSE,$U$4=FALSE),"-",IF(AND($U$5=TRUE,$U$4=TRUE),"-",
IF((AND($U$4=TRUE,$U$5=FALSE,$U$6=FALSE,$U$7=FALSE)),VLOOKUP($E240,'Status Thresholds'!$E:$AR,5,FALSE),IF((AND($U$4=TRUE,$U$5=FALSE,$U$6=TRUE,$U$7=FALSE)),VLOOKUP($E240,'Status Thresholds'!$E:$AR,15,FALSE),IF((AND($U$4=TRUE,$U$5=FALSE,$U$6=TRUE,$U$7=TRUE)),VLOOKUP($E240,'Status Thresholds'!$E:$AR,20,FALSE),IF((AND($U$4=TRUE,$U$5=FALSE,$U$6=FALSE,$U$7=TRUE)),VLOOKUP($E240,'Status Thresholds'!$E:$AR,10,FALSE),
IF((AND($U$4=FALSE,$U$5=TRUE,$U$6=FALSE,$U$7=FALSE)),VLOOKUP($E240,'Status Thresholds'!$E:$AR,25,FALSE),IF((AND($U$4=FALSE,$U$5=TRUE,$U$6=TRUE,$U$7=FALSE)),VLOOKUP($E240,'Status Thresholds'!$E:$AR,35,FALSE),IF((AND($U$4=FALSE,$U$5=TRUE,$U$6=TRUE,$U$7=TRUE)),VLOOKUP($E240,'Status Thresholds'!$E:$AR,40,FALSE),IF((AND($U$4=FALSE,$U$5=TRUE,$U$6=FALSE,$U$7=TRUE)),VLOOKUP($E240,'Status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241" s="46">
        <f>IFERROR(IF(AND($U$5=FALSE,$U$4=FALSE),"-",VLOOKUP($E241,'Status Thresholds'!$E:$AU,41,FALSE)),"-")</f>
        <v>0</v>
      </c>
      <c r="K241" s="46" t="str">
        <f>IFERROR(IF(AND($U$5=FALSE,$U$4=FALSE),"-",VLOOKUP($E241,'Status Thresholds'!$E:$AU,42,FALSE)),"-")</f>
        <v>-</v>
      </c>
      <c r="L241" s="46" t="str">
        <f>IFERROR(IF(AND($U$5=FALSE,$U$4=FALSE),"-",VLOOKUP($E241,'Status Thresholds'!$E:$AU,43,FALSE)),"-")</f>
        <v>-</v>
      </c>
    </row>
    <row r="242" spans="1:12" ht="15" customHeight="1" x14ac:dyDescent="0.25">
      <c r="A242" s="35"/>
      <c r="B242" s="64" t="str">
        <f>VLOOKUP(C242,'Status Thresholds'!B:C,2,FALSE)</f>
        <v>MHGU</v>
      </c>
      <c r="C242" s="64" t="str">
        <f>IF('Status Thresholds'!B237=0, "", 'Status Thresholds'!B237)</f>
        <v>Diablos</v>
      </c>
      <c r="D242" s="77" t="s">
        <v>207</v>
      </c>
      <c r="E242" s="36" t="str">
        <f t="shared" si="3"/>
        <v>DiablosShock Trap</v>
      </c>
      <c r="F242" s="76" t="s">
        <v>214</v>
      </c>
      <c r="G242" s="46" t="s">
        <v>214</v>
      </c>
      <c r="H242" s="46" t="s">
        <v>214</v>
      </c>
      <c r="I242" s="46" t="s">
        <v>214</v>
      </c>
      <c r="J242" s="46">
        <f>IFERROR(IF(AND($U$5=FALSE,$U$4=FALSE),"-",VLOOKUP($E242,'Status Thresholds'!$E:$AU,43,FALSE)),"-")</f>
        <v>10</v>
      </c>
      <c r="K242" s="46">
        <f>IFERROR(IF(AND($U$5=FALSE,$U$4=FALSE),"-",VLOOKUP($E242,'Status Thresholds'!$E:$AU,41,FALSE)),"-")</f>
        <v>10</v>
      </c>
      <c r="L242" s="46">
        <f>IFERROR(IF(AND($U$5=FALSE,$U$4=FALSE),"-",VLOOKUP($E242,'Status Thresholds'!$E:$AU,42,FALSE)),"-")</f>
        <v>15</v>
      </c>
    </row>
    <row r="243" spans="1:12" x14ac:dyDescent="0.25">
      <c r="A243" s="35"/>
      <c r="B243" s="64" t="str">
        <f>VLOOKUP(C243,'Status Thresholds'!B:C,2,FALSE)</f>
        <v>MHGU</v>
      </c>
      <c r="C243" s="64" t="str">
        <f>IF('Status Thresholds'!B238=0, "", 'Status Thresholds'!B238)</f>
        <v>Diablos</v>
      </c>
      <c r="D243" s="77" t="s">
        <v>213</v>
      </c>
      <c r="E243" s="36" t="str">
        <f t="shared" si="3"/>
        <v>DiablosPitfall Trap</v>
      </c>
      <c r="F243" s="46" t="s">
        <v>214</v>
      </c>
      <c r="G243" s="46" t="s">
        <v>214</v>
      </c>
      <c r="H243" s="46" t="s">
        <v>214</v>
      </c>
      <c r="I243" s="46" t="s">
        <v>214</v>
      </c>
      <c r="J243" s="46">
        <f>IFERROR(IF(AND($U$5=FALSE,$U$4=FALSE),"-",VLOOKUP($E243,'Status Thresholds'!$E:$AU,43,FALSE)),"-")</f>
        <v>10</v>
      </c>
      <c r="K243" s="46">
        <f>IFERROR(IF(AND($U$5=FALSE,$U$4=FALSE),"-",VLOOKUP($E243,'Status Thresholds'!$E:$AU,41,FALSE)),"-")</f>
        <v>10</v>
      </c>
      <c r="L243" s="46">
        <f>IFERROR(IF(AND($U$5=FALSE,$U$4=FALSE),"-",VLOOKUP($E243,'Status Thresholds'!$E:$AU,42,FALSE)),"-")</f>
        <v>20</v>
      </c>
    </row>
    <row r="244" spans="1:12" s="36" customFormat="1" hidden="1" x14ac:dyDescent="0.25">
      <c r="A244" s="64"/>
      <c r="B244" s="64" t="str">
        <f>IF('Status Thresholds'!A239=0, "", 'Status Thresholds'!A239)</f>
        <v>Deviant</v>
      </c>
      <c r="C244" s="64" t="str">
        <f>IF('Status Thresholds'!B239=0, "", 'Status Thresholds'!B239)</f>
        <v>Dreadking Rathalos</v>
      </c>
      <c r="D244" s="37" t="s">
        <v>0</v>
      </c>
      <c r="E244" s="36" t="str">
        <f t="shared" si="3"/>
        <v>Dreadking RathalosPara</v>
      </c>
      <c r="F244" s="36" t="str">
        <f>IFERROR(
ROUNDUP(
IF(AND($U$5=FALSE,$U$4=FALSE),"-",IF(AND($U$5=TRUE,$U$4=TRUE),"-",
IF((AND($U$4=TRUE,$U$5=FALSE,$U$6=FALSE,$U$7=FALSE)),VLOOKUP($E244,'Status Thresholds'!$E:$AR,2,FALSE),IF((AND($U$4=TRUE,$U$5=FALSE,$U$6=TRUE,$U$7=FALSE)),VLOOKUP($E244,'Status Thresholds'!$E:$AR,12,FALSE),IF((AND($U$4=TRUE,$U$5=FALSE,$U$6=TRUE,$U$7=TRUE)),VLOOKUP($E244,'Status Thresholds'!$E:$AR,17,FALSE),IF((AND($U$4=TRUE,$U$5=FALSE,$U$6=FALSE,$U$7=TRUE)),VLOOKUP($E244,'Status Thresholds'!$E:$AR,7,FALSE),
IF((AND($U$4=FALSE,$U$5=TRUE,$U$6=FALSE,$U$7=FALSE)),VLOOKUP($E244,'Status Thresholds'!$E:$AR,22,FALSE),IF((AND($U$4=FALSE,$U$5=TRUE,$U$6=TRUE,$U$7=FALSE)),VLOOKUP($E244,'Status Thresholds'!$E:$AR,32,FALSE),IF((AND($U$4=FALSE,$U$5=TRUE,$U$6=TRUE,$U$7=TRUE)),VLOOKUP($E244,'Status Thresholds'!$E:$AR,37,FALSE),IF((AND($U$4=FALSE,$U$5=TRUE,$U$6=FALSE,$U$7=TRUE)),VLOOKUP($E244,'Status Thresholds'!$E:$AR,27,FALSE)))))))))
))/
IF(OR($X$5=TRUE,$AC$3=TRUE
),($F$3/2), IF(OR($X$2,$X$3,$X$4,$X$6,$X$7,$X$8,$Z$2,$Z$3,$Z$4,$Z$5,$Z$6,$Z$7,$Z$8)=TRUE,$F$3)),0),"-")</f>
        <v>-</v>
      </c>
      <c r="G244" s="36" t="str">
        <f>IFERROR(
ROUNDUP(
IF(AND($U$5=FALSE,$U$4=FALSE),"-",IF(AND($U$5=TRUE,$U$4=TRUE),"-",
IF((AND($U$4=TRUE,$U$5=FALSE,$U$6=FALSE,$U$7=FALSE)),VLOOKUP($E244,'Status Thresholds'!$E:$AR,3,FALSE),IF((AND($U$4=TRUE,$U$5=FALSE,$U$6=TRUE,$U$7=FALSE)),VLOOKUP($E244,'Status Thresholds'!$E:$AR,13,FALSE),IF((AND($U$4=TRUE,$U$5=FALSE,$U$6=TRUE,$U$7=TRUE)),VLOOKUP($E244,'Status Thresholds'!$E:$AR,18,FALSE),IF((AND($U$4=TRUE,$U$5=FALSE,$U$6=FALSE,$U$7=TRUE)),VLOOKUP($E244,'Status Thresholds'!$E:$AR,8,FALSE),
IF((AND($U$4=FALSE,$U$5=TRUE,$U$6=FALSE,$U$7=FALSE)),VLOOKUP($E244,'Status Thresholds'!$E:$AR,23,FALSE),IF((AND($U$4=FALSE,$U$5=TRUE,$U$6=TRUE,$U$7=FALSE)),VLOOKUP($E244,'Status Thresholds'!$E:$AR,33,FALSE),IF((AND($U$4=FALSE,$U$5=TRUE,$U$6=TRUE,$U$7=TRUE)),VLOOKUP($E244,'Status Thresholds'!$E:$AR,38,FALSE),IF((AND($U$4=FALSE,$U$5=TRUE,$U$6=FALSE,$U$7=TRUE)),VLOOKUP($E244,'Status Thresholds'!$E:$AR,28,FALSE)))))))))
))/
IF(OR($X$5=TRUE,$AC$3=TRUE
),($F$3/2), IF(OR($X$2,$X$3,$X$4,$X$6,$X$7,$X$8,$Z$2,$Z$3,$Z$4,$Z$5,$Z$6,$Z$7,$Z$8)=TRUE,$F$3)),0),"-")</f>
        <v>-</v>
      </c>
      <c r="H244" s="36" t="str">
        <f>IFERROR(
ROUNDUP(
IF(AND($U$5=FALSE,$U$4=FALSE),"-",IF(AND($U$5=TRUE,$U$4=TRUE),"-",
IF((AND($U$4=TRUE,$U$5=FALSE,$U$6=FALSE,$U$7=FALSE)),VLOOKUP($E244,'Status Thresholds'!$E:$AR,4,FALSE),IF((AND($U$4=TRUE,$U$5=FALSE,$U$6=TRUE,$U$7=FALSE)),VLOOKUP($E244,'Status Thresholds'!$E:$AR,14,FALSE),IF((AND($U$4=TRUE,$U$5=FALSE,$U$6=TRUE,$U$7=TRUE)),VLOOKUP($E244,'Status Thresholds'!$E:$AR,19,FALSE),IF((AND($U$4=TRUE,$U$5=FALSE,$U$6=FALSE,$U$7=TRUE)),VLOOKUP($E244,'Status Thresholds'!$E:$AR,9,FALSE),
IF((AND($U$4=FALSE,$U$5=TRUE,$U$6=FALSE,$U$7=FALSE)),VLOOKUP($E244,'Status Thresholds'!$E:$AR,24,FALSE),IF((AND($U$4=FALSE,$U$5=TRUE,$U$6=TRUE,$U$7=FALSE)),VLOOKUP($E244,'Status Thresholds'!$E:$AR,34,FALSE),IF((AND($U$4=FALSE,$U$5=TRUE,$U$6=TRUE,$U$7=TRUE)),VLOOKUP($E244,'Status Thresholds'!$E:$AR,39,FALSE),IF((AND($U$4=FALSE,$U$5=TRUE,$U$6=FALSE,$U$7=TRUE)),VLOOKUP($E244,'Status Thresholds'!$E:$AR,29,FALSE)))))))))
))/
IF(OR($X$5=TRUE,$AC$3=TRUE
),($F$3/2), IF(OR($X$2,$X$3,$X$4,$X$6,$X$7,$X$8,$Z$2,$Z$3,$Z$4,$Z$5,$Z$6,$Z$7,$Z$8)=TRUE,$F$3)),0),"-")</f>
        <v>-</v>
      </c>
      <c r="I244" s="36" t="str">
        <f>IFERROR(
ROUNDUP(
IF(AND($U$5=FALSE,$U$4=FALSE),"-",IF(AND($U$5=TRUE,$U$4=TRUE),"-",
IF((AND($U$4=TRUE,$U$5=FALSE,$U$6=FALSE,$U$7=FALSE)),VLOOKUP($E244,'Status Thresholds'!$E:$AR,5,FALSE),IF((AND($U$4=TRUE,$U$5=FALSE,$U$6=TRUE,$U$7=FALSE)),VLOOKUP($E244,'Status Thresholds'!$E:$AR,15,FALSE),IF((AND($U$4=TRUE,$U$5=FALSE,$U$6=TRUE,$U$7=TRUE)),VLOOKUP($E244,'Status Thresholds'!$E:$AR,20,FALSE),IF((AND($U$4=TRUE,$U$5=FALSE,$U$6=FALSE,$U$7=TRUE)),VLOOKUP($E244,'Status Thresholds'!$E:$AR,10,FALSE),
IF((AND($U$4=FALSE,$U$5=TRUE,$U$6=FALSE,$U$7=FALSE)),VLOOKUP($E244,'Status Thresholds'!$E:$AR,25,FALSE),IF((AND($U$4=FALSE,$U$5=TRUE,$U$6=TRUE,$U$7=FALSE)),VLOOKUP($E244,'Status Thresholds'!$E:$AR,35,FALSE),IF((AND($U$4=FALSE,$U$5=TRUE,$U$6=TRUE,$U$7=TRUE)),VLOOKUP($E244,'Status Thresholds'!$E:$AR,40,FALSE),IF((AND($U$4=FALSE,$U$5=TRUE,$U$6=FALSE,$U$7=TRUE)),VLOOKUP($E244,'Status Thresholds'!$E:$AR,30,FALSE)))))))))
))/
IF(OR($X$5=TRUE,$AC$3=TRUE
),($F$3/2), IF(OR($X$2,$X$3,$X$4,$X$6,$X$7,$X$8,$Z$2,$Z$3,$Z$4,$Z$5,$Z$6,$Z$7,$Z$8)=TRUE,$F$3)),0),"-")</f>
        <v>-</v>
      </c>
      <c r="J244" s="36">
        <f>IFERROR(IF(AND($U$5=FALSE,$U$4=FALSE),"-",VLOOKUP($E244,'Status Thresholds'!$E:$AU,41,FALSE)),"-")</f>
        <v>10</v>
      </c>
      <c r="K244" s="36" t="str">
        <f>IFERROR(IF(AND($U$5=FALSE,$U$4=FALSE),"-",VLOOKUP($E244,'Status Thresholds'!$E:$AU,42,FALSE)),"-")</f>
        <v>-</v>
      </c>
      <c r="L244" s="36" t="str">
        <f>IFERROR(IF(AND($U$5=FALSE,$U$4=FALSE),"-",VLOOKUP($E244,'Status Thresholds'!$E:$AU,43,FALSE)),"-")</f>
        <v>-</v>
      </c>
    </row>
    <row r="245" spans="1:12" hidden="1" x14ac:dyDescent="0.25">
      <c r="A245" s="35"/>
      <c r="B245" s="64" t="str">
        <f>IF('Status Thresholds'!A240=0, "", 'Status Thresholds'!A240)</f>
        <v>Deviant</v>
      </c>
      <c r="C245" s="64" t="str">
        <f>IF('Status Thresholds'!B240=0, "", 'Status Thresholds'!B240)</f>
        <v>Dreadking Rathalos</v>
      </c>
      <c r="D245" s="31" t="s">
        <v>32</v>
      </c>
      <c r="E245" s="36" t="str">
        <f t="shared" si="3"/>
        <v>Dreadking RathalosSleep</v>
      </c>
      <c r="F245" s="36" t="str">
        <f>IFERROR(
ROUNDUP(
IF(AND($U$5=FALSE,$U$4=FALSE),"-",IF(AND($U$5=TRUE,$U$4=TRUE),"-",
IF((AND($U$4=TRUE,$U$5=FALSE,$U$6=FALSE,$U$7=FALSE)),VLOOKUP($E245,'Status Thresholds'!$E:$AR,2,FALSE),IF((AND($U$4=TRUE,$U$5=FALSE,$U$6=TRUE,$U$7=FALSE)),VLOOKUP($E245,'Status Thresholds'!$E:$AR,12,FALSE),IF((AND($U$4=TRUE,$U$5=FALSE,$U$6=TRUE,$U$7=TRUE)),VLOOKUP($E245,'Status Thresholds'!$E:$AR,17,FALSE),IF((AND($U$4=TRUE,$U$5=FALSE,$U$6=FALSE,$U$7=TRUE)),VLOOKUP($E245,'Status Thresholds'!$E:$AR,7,FALSE),
IF((AND($U$4=FALSE,$U$5=TRUE,$U$6=FALSE,$U$7=FALSE)),VLOOKUP($E245,'Status Thresholds'!$E:$AR,22,FALSE),IF((AND($U$4=FALSE,$U$5=TRUE,$U$6=TRUE,$U$7=FALSE)),VLOOKUP($E245,'Status Thresholds'!$E:$AR,32,FALSE),IF((AND($U$4=FALSE,$U$5=TRUE,$U$6=TRUE,$U$7=TRUE)),VLOOKUP($E245,'Status Thresholds'!$E:$AR,37,FALSE),IF((AND($U$4=FALSE,$U$5=TRUE,$U$6=FALSE,$U$7=TRUE)),VLOOKUP($E245,'Status Thresholds'!$E:$AR,27,FALSE)))))))))
))/
IF(OR($X$5=TRUE,$AC$3=TRUE
),($F$4/2), IF(OR($X$2,$X$3,$X$4,$X$6,$X$7,$X$8,$Z$2,$Z$3,$Z$4,$Z$5,$Z$6,$Z$7,$Z$8)=TRUE,$F$4)),0),"-")</f>
        <v>-</v>
      </c>
      <c r="G245" s="36" t="str">
        <f>IFERROR(
ROUNDUP(
IF(AND($U$5=FALSE,$U$4=FALSE),"-",IF(AND($U$5=TRUE,$U$4=TRUE),"-",
IF((AND($U$4=TRUE,$U$5=FALSE,$U$6=FALSE,$U$7=FALSE)),VLOOKUP($E245,'Status Thresholds'!$E:$AR,3,FALSE),IF((AND($U$4=TRUE,$U$5=FALSE,$U$6=TRUE,$U$7=FALSE)),VLOOKUP($E245,'Status Thresholds'!$E:$AR,13,FALSE),IF((AND($U$4=TRUE,$U$5=FALSE,$U$6=TRUE,$U$7=TRUE)),VLOOKUP($E245,'Status Thresholds'!$E:$AR,18,FALSE),IF((AND($U$4=TRUE,$U$5=FALSE,$U$6=FALSE,$U$7=TRUE)),VLOOKUP($E245,'Status Thresholds'!$E:$AR,8,FALSE),
IF((AND($U$4=FALSE,$U$5=TRUE,$U$6=FALSE,$U$7=FALSE)),VLOOKUP($E245,'Status Thresholds'!$E:$AR,23,FALSE),IF((AND($U$4=FALSE,$U$5=TRUE,$U$6=TRUE,$U$7=FALSE)),VLOOKUP($E245,'Status Thresholds'!$E:$AR,33,FALSE),IF((AND($U$4=FALSE,$U$5=TRUE,$U$6=TRUE,$U$7=TRUE)),VLOOKUP($E245,'Status Thresholds'!$E:$AR,38,FALSE),IF((AND($U$4=FALSE,$U$5=TRUE,$U$6=FALSE,$U$7=TRUE)),VLOOKUP($E245,'Status Thresholds'!$E:$AR,28,FALSE)))))))))
))/
IF(OR($X$5=TRUE,$AC$3=TRUE
),($F$4/2), IF(OR($X$2,$X$3,$X$4,$X$6,$X$7,$X$8,$Z$2,$Z$3,$Z$4,$Z$5,$Z$6,$Z$7,$Z$8)=TRUE,$F$4)),0),"-")</f>
        <v>-</v>
      </c>
      <c r="H245" s="36" t="str">
        <f>IFERROR(
ROUNDUP(
IF(AND($U$5=FALSE,$U$4=FALSE),"-",IF(AND($U$5=TRUE,$U$4=TRUE),"-",
IF((AND($U$4=TRUE,$U$5=FALSE,$U$6=FALSE,$U$7=FALSE)),VLOOKUP($E245,'Status Thresholds'!$E:$AR,4,FALSE),IF((AND($U$4=TRUE,$U$5=FALSE,$U$6=TRUE,$U$7=FALSE)),VLOOKUP($E245,'Status Thresholds'!$E:$AR,14,FALSE),IF((AND($U$4=TRUE,$U$5=FALSE,$U$6=TRUE,$U$7=TRUE)),VLOOKUP($E245,'Status Thresholds'!$E:$AR,19,FALSE),IF((AND($U$4=TRUE,$U$5=FALSE,$U$6=FALSE,$U$7=TRUE)),VLOOKUP($E245,'Status Thresholds'!$E:$AR,9,FALSE),
IF((AND($U$4=FALSE,$U$5=TRUE,$U$6=FALSE,$U$7=FALSE)),VLOOKUP($E245,'Status Thresholds'!$E:$AR,24,FALSE),IF((AND($U$4=FALSE,$U$5=TRUE,$U$6=TRUE,$U$7=FALSE)),VLOOKUP($E245,'Status Thresholds'!$E:$AR,34,FALSE),IF((AND($U$4=FALSE,$U$5=TRUE,$U$6=TRUE,$U$7=TRUE)),VLOOKUP($E245,'Status Thresholds'!$E:$AR,39,FALSE),IF((AND($U$4=FALSE,$U$5=TRUE,$U$6=FALSE,$U$7=TRUE)),VLOOKUP($E245,'Status Thresholds'!$E:$AR,29,FALSE)))))))))
))/
IF(OR($X$5=TRUE,$AC$3=TRUE
),($F$4/2), IF(OR($X$2,$X$3,$X$4,$X$6,$X$7,$X$8,$Z$2,$Z$3,$Z$4,$Z$5,$Z$6,$Z$7,$Z$8)=TRUE,$F$4)),0),"-")</f>
        <v>-</v>
      </c>
      <c r="I245" s="36" t="str">
        <f>IFERROR(
ROUNDUP(
IF(AND($U$5=FALSE,$U$4=FALSE),"-",IF(AND($U$5=TRUE,$U$4=TRUE),"-",
IF((AND($U$4=TRUE,$U$5=FALSE,$U$6=FALSE,$U$7=FALSE)),VLOOKUP($E245,'Status Thresholds'!$E:$AR,5,FALSE),IF((AND($U$4=TRUE,$U$5=FALSE,$U$6=TRUE,$U$7=FALSE)),VLOOKUP($E245,'Status Thresholds'!$E:$AR,15,FALSE),IF((AND($U$4=TRUE,$U$5=FALSE,$U$6=TRUE,$U$7=TRUE)),VLOOKUP($E245,'Status Thresholds'!$E:$AR,20,FALSE),IF((AND($U$4=TRUE,$U$5=FALSE,$U$6=FALSE,$U$7=TRUE)),VLOOKUP($E245,'Status Thresholds'!$E:$AR,10,FALSE),
IF((AND($U$4=FALSE,$U$5=TRUE,$U$6=FALSE,$U$7=FALSE)),VLOOKUP($E245,'Status Thresholds'!$E:$AR,25,FALSE),IF((AND($U$4=FALSE,$U$5=TRUE,$U$6=TRUE,$U$7=FALSE)),VLOOKUP($E245,'Status Thresholds'!$E:$AR,35,FALSE),IF((AND($U$4=FALSE,$U$5=TRUE,$U$6=TRUE,$U$7=TRUE)),VLOOKUP($E245,'Status Thresholds'!$E:$AR,40,FALSE),IF((AND($U$4=FALSE,$U$5=TRUE,$U$6=FALSE,$U$7=TRUE)),VLOOKUP($E245,'Status Thresholds'!$E:$AR,30,FALSE)))))))))
))/
IF(OR($X$5=TRUE,$AC$3=TRUE
),($F$4/2), IF(OR($X$2,$X$3,$X$4,$X$6,$X$7,$X$8,$Z$2,$Z$3,$Z$4,$Z$5,$Z$6,$Z$7,$Z$8)=TRUE,$F$4)),0),"-")</f>
        <v>-</v>
      </c>
      <c r="J245" s="46">
        <f>IFERROR(IF(AND($U$5=FALSE,$U$4=FALSE),"-",VLOOKUP($E245,'Status Thresholds'!$E:$AU,41,FALSE)),"-")</f>
        <v>40</v>
      </c>
      <c r="K245" s="46" t="str">
        <f>IFERROR(IF(AND($U$5=FALSE,$U$4=FALSE),"-",VLOOKUP($E245,'Status Thresholds'!$E:$AU,42,FALSE)),"-")</f>
        <v>-</v>
      </c>
      <c r="L245" s="46" t="str">
        <f>IFERROR(IF(AND($U$5=FALSE,$U$4=FALSE),"-",VLOOKUP($E245,'Status Thresholds'!$E:$AU,43,FALSE)),"-")</f>
        <v>-</v>
      </c>
    </row>
    <row r="246" spans="1:12" hidden="1" x14ac:dyDescent="0.25">
      <c r="A246" s="35"/>
      <c r="B246" s="64" t="str">
        <f>IF('Status Thresholds'!A241=0, "", 'Status Thresholds'!A241)</f>
        <v>Deviant</v>
      </c>
      <c r="C246" s="64" t="str">
        <f>IF('Status Thresholds'!B241=0, "", 'Status Thresholds'!B241)</f>
        <v>Dreadking Rathalos</v>
      </c>
      <c r="D246" s="32" t="s">
        <v>33</v>
      </c>
      <c r="E246" s="36" t="str">
        <f t="shared" si="3"/>
        <v>Dreadking RathalosPoison</v>
      </c>
      <c r="F246" s="36" t="str">
        <f>IFERROR(
ROUNDUP(
IF(AND($U$5=FALSE,$U$4=FALSE),"-",IF(AND($U$5=TRUE,$U$4=TRUE),"-",
IF((AND($U$4=TRUE,$U$5=FALSE,$U$6=FALSE,$U$7=FALSE)),VLOOKUP($E246,'Status Thresholds'!$E:$AR,2,FALSE),IF((AND($U$4=TRUE,$U$5=FALSE,$U$6=TRUE,$U$7=FALSE)),VLOOKUP($E246,'Status Thresholds'!$E:$AR,12,FALSE),IF((AND($U$4=TRUE,$U$5=FALSE,$U$6=TRUE,$U$7=TRUE)),VLOOKUP($E246,'Status Thresholds'!$E:$AR,17,FALSE),IF((AND($U$4=TRUE,$U$5=FALSE,$U$6=FALSE,$U$7=TRUE)),VLOOKUP($E246,'Status Thresholds'!$E:$AR,7,FALSE),
IF((AND($U$4=FALSE,$U$5=TRUE,$U$6=FALSE,$U$7=FALSE)),VLOOKUP($E246,'Status Thresholds'!$E:$AR,22,FALSE),IF((AND($U$4=FALSE,$U$5=TRUE,$U$6=TRUE,$U$7=FALSE)),VLOOKUP($E246,'Status Thresholds'!$E:$AR,32,FALSE),IF((AND($U$4=FALSE,$U$5=TRUE,$U$6=TRUE,$U$7=TRUE)),VLOOKUP($E246,'Status Thresholds'!$E:$AR,37,FALSE),IF((AND($U$4=FALSE,$U$5=TRUE,$U$6=FALSE,$U$7=TRUE)),VLOOKUP($E246,'Status Thresholds'!$E:$AR,27,FALSE)))))))))
))/
IF(OR($X$5=TRUE,$AC$3=TRUE
),($F$5/2), IF(OR($X$2,$X$3,$X$4,$X$6,$X$7,$X$8,$Z$2,$Z$3,$Z$4,$Z$5,$Z$6,$Z$7,$Z$8)=TRUE,$F$5)),0),"-")</f>
        <v>-</v>
      </c>
      <c r="G246" s="36" t="str">
        <f>IFERROR(
ROUNDUP(
IF(AND($U$5=FALSE,$U$4=FALSE),"-",IF(AND($U$5=TRUE,$U$4=TRUE),"-",
IF((AND($U$4=TRUE,$U$5=FALSE,$U$6=FALSE,$U$7=FALSE)),VLOOKUP($E246,'Status Thresholds'!$E:$AR,3,FALSE),IF((AND($U$4=TRUE,$U$5=FALSE,$U$6=TRUE,$U$7=FALSE)),VLOOKUP($E246,'Status Thresholds'!$E:$AR,13,FALSE),IF((AND($U$4=TRUE,$U$5=FALSE,$U$6=TRUE,$U$7=TRUE)),VLOOKUP($E246,'Status Thresholds'!$E:$AR,18,FALSE),IF((AND($U$4=TRUE,$U$5=FALSE,$U$6=FALSE,$U$7=TRUE)),VLOOKUP($E246,'Status Thresholds'!$E:$AR,8,FALSE),
IF((AND($U$4=FALSE,$U$5=TRUE,$U$6=FALSE,$U$7=FALSE)),VLOOKUP($E246,'Status Thresholds'!$E:$AR,23,FALSE),IF((AND($U$4=FALSE,$U$5=TRUE,$U$6=TRUE,$U$7=FALSE)),VLOOKUP($E246,'Status Thresholds'!$E:$AR,33,FALSE),IF((AND($U$4=FALSE,$U$5=TRUE,$U$6=TRUE,$U$7=TRUE)),VLOOKUP($E246,'Status Thresholds'!$E:$AR,38,FALSE),IF((AND($U$4=FALSE,$U$5=TRUE,$U$6=FALSE,$U$7=TRUE)),VLOOKUP($E246,'Status Thresholds'!$E:$AR,28,FALSE)))))))))
))/
IF(OR($X$5=TRUE,$AC$3=TRUE
),($F$5/2), IF(OR($X$2,$X$3,$X$4,$X$6,$X$7,$X$8,$Z$2,$Z$3,$Z$4,$Z$5,$Z$6,$Z$7,$Z$8)=TRUE,$F$5)),0),"-")</f>
        <v>-</v>
      </c>
      <c r="H246" s="36" t="str">
        <f>IFERROR(
ROUNDUP(
IF(AND($U$5=FALSE,$U$4=FALSE),"-",IF(AND($U$5=TRUE,$U$4=TRUE),"-",
IF((AND($U$4=TRUE,$U$5=FALSE,$U$6=FALSE,$U$7=FALSE)),VLOOKUP($E246,'Status Thresholds'!$E:$AR,4,FALSE),IF((AND($U$4=TRUE,$U$5=FALSE,$U$6=TRUE,$U$7=FALSE)),VLOOKUP($E246,'Status Thresholds'!$E:$AR,14,FALSE),IF((AND($U$4=TRUE,$U$5=FALSE,$U$6=TRUE,$U$7=TRUE)),VLOOKUP($E246,'Status Thresholds'!$E:$AR,19,FALSE),IF((AND($U$4=TRUE,$U$5=FALSE,$U$6=FALSE,$U$7=TRUE)),VLOOKUP($E246,'Status Thresholds'!$E:$AR,9,FALSE),
IF((AND($U$4=FALSE,$U$5=TRUE,$U$6=FALSE,$U$7=FALSE)),VLOOKUP($E246,'Status Thresholds'!$E:$AR,24,FALSE),IF((AND($U$4=FALSE,$U$5=TRUE,$U$6=TRUE,$U$7=FALSE)),VLOOKUP($E246,'Status Thresholds'!$E:$AR,34,FALSE),IF((AND($U$4=FALSE,$U$5=TRUE,$U$6=TRUE,$U$7=TRUE)),VLOOKUP($E246,'Status Thresholds'!$E:$AR,39,FALSE),IF((AND($U$4=FALSE,$U$5=TRUE,$U$6=FALSE,$U$7=TRUE)),VLOOKUP($E246,'Status Thresholds'!$E:$AR,29,FALSE)))))))))
))/
IF(OR($X$5=TRUE,$AC$3=TRUE
),($F$5/2), IF(OR($X$2,$X$3,$X$4,$X$6,$X$7,$X$8,$Z$2,$Z$3,$Z$4,$Z$5,$Z$6,$Z$7,$Z$8)=TRUE,$F$5)),0),"-")</f>
        <v>-</v>
      </c>
      <c r="I246" s="36" t="str">
        <f>IFERROR(
ROUNDUP(
IF(AND($U$5=FALSE,$U$4=FALSE),"-",IF(AND($U$5=TRUE,$U$4=TRUE),"-",
IF((AND($U$4=TRUE,$U$5=FALSE,$U$6=FALSE,$U$7=FALSE)),VLOOKUP($E246,'Status Thresholds'!$E:$AR,5,FALSE),IF((AND($U$4=TRUE,$U$5=FALSE,$U$6=TRUE,$U$7=FALSE)),VLOOKUP($E246,'Status Thresholds'!$E:$AR,15,FALSE),IF((AND($U$4=TRUE,$U$5=FALSE,$U$6=TRUE,$U$7=TRUE)),VLOOKUP($E246,'Status Thresholds'!$E:$AR,20,FALSE),IF((AND($U$4=TRUE,$U$5=FALSE,$U$6=FALSE,$U$7=TRUE)),VLOOKUP($E246,'Status Thresholds'!$E:$AR,10,FALSE),
IF((AND($U$4=FALSE,$U$5=TRUE,$U$6=FALSE,$U$7=FALSE)),VLOOKUP($E246,'Status Thresholds'!$E:$AR,25,FALSE),IF((AND($U$4=FALSE,$U$5=TRUE,$U$6=TRUE,$U$7=FALSE)),VLOOKUP($E246,'Status Thresholds'!$E:$AR,35,FALSE),IF((AND($U$4=FALSE,$U$5=TRUE,$U$6=TRUE,$U$7=TRUE)),VLOOKUP($E246,'Status Thresholds'!$E:$AR,40,FALSE),IF((AND($U$4=FALSE,$U$5=TRUE,$U$6=FALSE,$U$7=TRUE)),VLOOKUP($E246,'Status Thresholds'!$E:$AR,30,FALSE)))))))))
))/
IF(OR($X$5=TRUE,$AC$3=TRUE
),($F$5/2), IF(OR($X$2,$X$3,$X$4,$X$6,$X$7,$X$8,$Z$2,$Z$3,$Z$4,$Z$5,$Z$6,$Z$7,$Z$8)=TRUE,$F$5)),0),"-")</f>
        <v>-</v>
      </c>
      <c r="J246" s="46">
        <f>IFERROR(IF(AND($U$5=FALSE,$U$4=FALSE),"-",VLOOKUP($E246,'Status Thresholds'!$E:$AU,41,FALSE)),"-")</f>
        <v>60</v>
      </c>
      <c r="K246" s="46" t="str">
        <f>IFERROR(IF(AND($U$5=FALSE,$U$4=FALSE),"-",VLOOKUP($E246,'Status Thresholds'!$E:$AU,42,FALSE)),"-")</f>
        <v>-</v>
      </c>
      <c r="L246" s="46" t="str">
        <f>IFERROR(IF(AND($U$5=FALSE,$U$4=FALSE),"-",VLOOKUP($E246,'Status Thresholds'!$E:$AU,43,FALSE)),"-")</f>
        <v>-</v>
      </c>
    </row>
    <row r="247" spans="1:12" hidden="1" x14ac:dyDescent="0.25">
      <c r="A247" s="35"/>
      <c r="B247" s="64" t="str">
        <f>IF('Status Thresholds'!A242=0, "", 'Status Thresholds'!A242)</f>
        <v>Deviant</v>
      </c>
      <c r="C247" s="64" t="str">
        <f>IF('Status Thresholds'!B242=0, "", 'Status Thresholds'!B242)</f>
        <v>Dreadking Rathalos</v>
      </c>
      <c r="D247" s="10" t="s">
        <v>22</v>
      </c>
      <c r="E247" s="36" t="str">
        <f t="shared" si="3"/>
        <v>Dreadking RathalosExhaust</v>
      </c>
      <c r="F247" s="36" t="str">
        <f>IFERROR(
ROUNDUP(
IF(AND($U$5=FALSE,$U$4=FALSE),"-",IF(AND($U$5=TRUE,$U$4=TRUE),"-",
IF((AND($U$4=TRUE,$U$5=FALSE,$U$6=FALSE,$U$7=FALSE)),VLOOKUP($E247,'Status Thresholds'!$E:$AR,2,FALSE),IF((AND($U$4=TRUE,$U$5=FALSE,$U$6=TRUE,$U$7=FALSE)),VLOOKUP($E247,'Status Thresholds'!$E:$AR,12,FALSE),IF((AND($U$4=TRUE,$U$5=FALSE,$U$6=TRUE,$U$7=TRUE)),VLOOKUP($E247,'Status Thresholds'!$E:$AR,17,FALSE),IF((AND($U$4=TRUE,$U$5=FALSE,$U$6=FALSE,$U$7=TRUE)),VLOOKUP($E247,'Status Thresholds'!$E:$AR,7,FALSE),
IF((AND($U$4=FALSE,$U$5=TRUE,$U$6=FALSE,$U$7=FALSE)),VLOOKUP($E247,'Status Thresholds'!$E:$AR,22,FALSE),IF((AND($U$4=FALSE,$U$5=TRUE,$U$6=TRUE,$U$7=FALSE)),VLOOKUP($E247,'Status Thresholds'!$E:$AR,32,FALSE),IF((AND($U$4=FALSE,$U$5=TRUE,$U$6=TRUE,$U$7=TRUE)),VLOOKUP($E247,'Status Thresholds'!$E:$AR,37,FALSE),IF((AND($U$4=FALSE,$U$5=TRUE,$U$6=FALSE,$U$7=TRUE)),VLOOKUP($E247,'Status Thresholds'!$E:$AR,27,FALSE)))))))))
))/
IF(OR($X$5=TRUE,$AC$3=TRUE
),($F$6/2), IF(OR($X$2,$X$3,$X$4,$X$6,$X$7,$X$8,$Z$2,$Z$3,$Z$4,$Z$5,$Z$6,$Z$7,$Z$8)=TRUE,$F$6)),0),"-")</f>
        <v>-</v>
      </c>
      <c r="G247" s="36" t="str">
        <f>IFERROR(
ROUNDUP(
IF(AND($U$5=FALSE,$U$4=FALSE),"-",IF(AND($U$5=TRUE,$U$4=TRUE),"-",
IF((AND($U$4=TRUE,$U$5=FALSE,$U$6=FALSE,$U$7=FALSE)),VLOOKUP($E247,'Status Thresholds'!$E:$AR,3,FALSE),IF((AND($U$4=TRUE,$U$5=FALSE,$U$6=TRUE,$U$7=FALSE)),VLOOKUP($E247,'Status Thresholds'!$E:$AR,13,FALSE),IF((AND($U$4=TRUE,$U$5=FALSE,$U$6=TRUE,$U$7=TRUE)),VLOOKUP($E247,'Status Thresholds'!$E:$AR,18,FALSE),IF((AND($U$4=TRUE,$U$5=FALSE,$U$6=FALSE,$U$7=TRUE)),VLOOKUP($E247,'Status Thresholds'!$E:$AR,8,FALSE),
IF((AND($U$4=FALSE,$U$5=TRUE,$U$6=FALSE,$U$7=FALSE)),VLOOKUP($E247,'Status Thresholds'!$E:$AR,23,FALSE),IF((AND($U$4=FALSE,$U$5=TRUE,$U$6=TRUE,$U$7=FALSE)),VLOOKUP($E247,'Status Thresholds'!$E:$AR,33,FALSE),IF((AND($U$4=FALSE,$U$5=TRUE,$U$6=TRUE,$U$7=TRUE)),VLOOKUP($E247,'Status Thresholds'!$E:$AR,38,FALSE),IF((AND($U$4=FALSE,$U$5=TRUE,$U$6=FALSE,$U$7=TRUE)),VLOOKUP($E247,'Status Thresholds'!$E:$AR,28,FALSE)))))))))
))/
IF(OR($X$5=TRUE,$AC$3=TRUE
),($F$6/2), IF(OR($X$2,$X$3,$X$4,$X$6,$X$7,$X$8,$Z$2,$Z$3,$Z$4,$Z$5,$Z$6,$Z$7,$Z$8)=TRUE,$F$6)),0),"-")</f>
        <v>-</v>
      </c>
      <c r="H247" s="36" t="str">
        <f>IFERROR(
ROUNDUP(
IF(AND($U$5=FALSE,$U$4=FALSE),"-",IF(AND($U$5=TRUE,$U$4=TRUE),"-",
IF((AND($U$4=TRUE,$U$5=FALSE,$U$6=FALSE,$U$7=FALSE)),VLOOKUP($E247,'Status Thresholds'!$E:$AR,4,FALSE),IF((AND($U$4=TRUE,$U$5=FALSE,$U$6=TRUE,$U$7=FALSE)),VLOOKUP($E247,'Status Thresholds'!$E:$AR,14,FALSE),IF((AND($U$4=TRUE,$U$5=FALSE,$U$6=TRUE,$U$7=TRUE)),VLOOKUP($E247,'Status Thresholds'!$E:$AR,19,FALSE),IF((AND($U$4=TRUE,$U$5=FALSE,$U$6=FALSE,$U$7=TRUE)),VLOOKUP($E247,'Status Thresholds'!$E:$AR,9,FALSE),
IF((AND($U$4=FALSE,$U$5=TRUE,$U$6=FALSE,$U$7=FALSE)),VLOOKUP($E247,'Status Thresholds'!$E:$AR,24,FALSE),IF((AND($U$4=FALSE,$U$5=TRUE,$U$6=TRUE,$U$7=FALSE)),VLOOKUP($E247,'Status Thresholds'!$E:$AR,34,FALSE),IF((AND($U$4=FALSE,$U$5=TRUE,$U$6=TRUE,$U$7=TRUE)),VLOOKUP($E247,'Status Thresholds'!$E:$AR,39,FALSE),IF((AND($U$4=FALSE,$U$5=TRUE,$U$6=FALSE,$U$7=TRUE)),VLOOKUP($E247,'Status Thresholds'!$E:$AR,29,FALSE)))))))))
))/
IF(OR($X$5=TRUE,$AC$3=TRUE
),($F$6/2), IF(OR($X$2,$X$3,$X$4,$X$6,$X$7,$X$8,$Z$2,$Z$3,$Z$4,$Z$5,$Z$6,$Z$7,$Z$8)=TRUE,$F$6)),0),"-")</f>
        <v>-</v>
      </c>
      <c r="I247" s="36" t="str">
        <f>IFERROR(
ROUNDUP(
IF(AND($U$5=FALSE,$U$4=FALSE),"-",IF(AND($U$5=TRUE,$U$4=TRUE),"-",
IF((AND($U$4=TRUE,$U$5=FALSE,$U$6=FALSE,$U$7=FALSE)),VLOOKUP($E247,'Status Thresholds'!$E:$AR,5,FALSE),IF((AND($U$4=TRUE,$U$5=FALSE,$U$6=TRUE,$U$7=FALSE)),VLOOKUP($E247,'Status Thresholds'!$E:$AR,15,FALSE),IF((AND($U$4=TRUE,$U$5=FALSE,$U$6=TRUE,$U$7=TRUE)),VLOOKUP($E247,'Status Thresholds'!$E:$AR,20,FALSE),IF((AND($U$4=TRUE,$U$5=FALSE,$U$6=FALSE,$U$7=TRUE)),VLOOKUP($E247,'Status Thresholds'!$E:$AR,10,FALSE),
IF((AND($U$4=FALSE,$U$5=TRUE,$U$6=FALSE,$U$7=FALSE)),VLOOKUP($E247,'Status Thresholds'!$E:$AR,25,FALSE),IF((AND($U$4=FALSE,$U$5=TRUE,$U$6=TRUE,$U$7=FALSE)),VLOOKUP($E247,'Status Thresholds'!$E:$AR,35,FALSE),IF((AND($U$4=FALSE,$U$5=TRUE,$U$6=TRUE,$U$7=TRUE)),VLOOKUP($E247,'Status Thresholds'!$E:$AR,40,FALSE),IF((AND($U$4=FALSE,$U$5=TRUE,$U$6=FALSE,$U$7=TRUE)),VLOOKUP($E247,'Status Thresholds'!$E:$AR,30,FALSE)))))))))
))/
IF(OR($X$5=TRUE,$AC$3=TRUE
),($F$6/2), IF(OR($X$2,$X$3,$X$4,$X$6,$X$7,$X$8,$Z$2,$Z$3,$Z$4,$Z$5,$Z$6,$Z$7,$Z$8)=TRUE,$F$6)),0),"-")</f>
        <v>-</v>
      </c>
      <c r="J247" s="46">
        <f>IFERROR(IF(AND($U$5=FALSE,$U$4=FALSE),"-",VLOOKUP($E247,'Status Thresholds'!$E:$AU,41,FALSE)),"-")</f>
        <v>0</v>
      </c>
      <c r="K247" s="46" t="str">
        <f>IFERROR(IF(AND($U$5=FALSE,$U$4=FALSE),"-",VLOOKUP($E247,'Status Thresholds'!$E:$AU,42,FALSE)),"-")</f>
        <v>-</v>
      </c>
      <c r="L247" s="46" t="str">
        <f>IFERROR(IF(AND($U$5=FALSE,$U$4=FALSE),"-",VLOOKUP($E247,'Status Thresholds'!$E:$AU,43,FALSE)),"-")</f>
        <v>-</v>
      </c>
    </row>
    <row r="248" spans="1:12" hidden="1" x14ac:dyDescent="0.25">
      <c r="A248" s="35"/>
      <c r="B248" s="64" t="str">
        <f>IF('Status Thresholds'!A243=0, "", 'Status Thresholds'!A243)</f>
        <v>Deviant</v>
      </c>
      <c r="C248" s="64" t="str">
        <f>IF('Status Thresholds'!B243=0, "", 'Status Thresholds'!B243)</f>
        <v>Dreadking Rathalos</v>
      </c>
      <c r="D248" s="30" t="s">
        <v>35</v>
      </c>
      <c r="E248" s="36" t="str">
        <f t="shared" si="3"/>
        <v>Dreadking RathalosBlast</v>
      </c>
      <c r="F248" s="36" t="str">
        <f>IFERROR(
ROUNDUP(
IF(AND($U$5=FALSE,$U$4=FALSE),"-",IF(AND($U$5=TRUE,$U$4=TRUE),"-",
IF((AND($U$4=TRUE,$U$5=FALSE,$U$6=FALSE,$U$7=FALSE)),VLOOKUP($E248,'Status Thresholds'!$E:$AR,2,FALSE),IF((AND($U$4=TRUE,$U$5=FALSE,$U$6=TRUE,$U$7=FALSE)),VLOOKUP($E248,'Status Thresholds'!$E:$AR,12,FALSE),IF((AND($U$4=TRUE,$U$5=FALSE,$U$6=TRUE,$U$7=TRUE)),VLOOKUP($E248,'Status Thresholds'!$E:$AR,17,FALSE),IF((AND($U$4=TRUE,$U$5=FALSE,$U$6=FALSE,$U$7=TRUE)),VLOOKUP($E248,'Status Thresholds'!$E:$AR,7,FALSE),
IF((AND($U$4=FALSE,$U$5=TRUE,$U$6=FALSE,$U$7=FALSE)),VLOOKUP($E248,'Status Thresholds'!$E:$AR,22,FALSE),IF((AND($U$4=FALSE,$U$5=TRUE,$U$6=TRUE,$U$7=FALSE)),VLOOKUP($E248,'Status Thresholds'!$E:$AR,32,FALSE),IF((AND($U$4=FALSE,$U$5=TRUE,$U$6=TRUE,$U$7=TRUE)),VLOOKUP($E248,'Status Thresholds'!$E:$AR,37,FALSE),IF((AND($U$4=FALSE,$U$5=TRUE,$U$6=FALSE,$U$7=TRUE)),VLOOKUP($E248,'Status Thresholds'!$E:$AR,27,FALSE)))))))))
))/
IF(OR($X$5=TRUE,$AC$3=TRUE
),($F$7/2), IF(OR($X$2,$X$3,$X$4,$X$6,$X$7,$X$8,$Z$2,$Z$3,$Z$4,$Z$5,$Z$6,$Z$7,$Z$8)=TRUE,$F$7)),0),"-")</f>
        <v>-</v>
      </c>
      <c r="G248" s="36" t="str">
        <f>IFERROR(
ROUNDUP(
IF(AND($U$5=FALSE,$U$4=FALSE),"-",IF(AND($U$5=TRUE,$U$4=TRUE),"-",
IF((AND($U$4=TRUE,$U$5=FALSE,$U$6=FALSE,$U$7=FALSE)),VLOOKUP($E248,'Status Thresholds'!$E:$AR,3,FALSE),IF((AND($U$4=TRUE,$U$5=FALSE,$U$6=TRUE,$U$7=FALSE)),VLOOKUP($E248,'Status Thresholds'!$E:$AR,13,FALSE),IF((AND($U$4=TRUE,$U$5=FALSE,$U$6=TRUE,$U$7=TRUE)),VLOOKUP($E248,'Status Thresholds'!$E:$AR,18,FALSE),IF((AND($U$4=TRUE,$U$5=FALSE,$U$6=FALSE,$U$7=TRUE)),VLOOKUP($E248,'Status Thresholds'!$E:$AR,8,FALSE),
IF((AND($U$4=FALSE,$U$5=TRUE,$U$6=FALSE,$U$7=FALSE)),VLOOKUP($E248,'Status Thresholds'!$E:$AR,23,FALSE),IF((AND($U$4=FALSE,$U$5=TRUE,$U$6=TRUE,$U$7=FALSE)),VLOOKUP($E248,'Status Thresholds'!$E:$AR,33,FALSE),IF((AND($U$4=FALSE,$U$5=TRUE,$U$6=TRUE,$U$7=TRUE)),VLOOKUP($E248,'Status Thresholds'!$E:$AR,38,FALSE),IF((AND($U$4=FALSE,$U$5=TRUE,$U$6=FALSE,$U$7=TRUE)),VLOOKUP($E248,'Status Thresholds'!$E:$AR,28,FALSE)))))))))
))/
IF(OR($X$5=TRUE,$AC$3=TRUE
),($F$7/2), IF(OR($X$2,$X$3,$X$4,$X$6,$X$7,$X$8,$Z$2,$Z$3,$Z$4,$Z$5,$Z$6,$Z$7,$Z$8)=TRUE,$F$7)),0),"-")</f>
        <v>-</v>
      </c>
      <c r="H248" s="36" t="str">
        <f>IFERROR(
ROUNDUP(
IF(AND($U$5=FALSE,$U$4=FALSE),"-",IF(AND($U$5=TRUE,$U$4=TRUE),"-",
IF((AND($U$4=TRUE,$U$5=FALSE,$U$6=FALSE,$U$7=FALSE)),VLOOKUP($E248,'Status Thresholds'!$E:$AR,4,FALSE),IF((AND($U$4=TRUE,$U$5=FALSE,$U$6=TRUE,$U$7=FALSE)),VLOOKUP($E248,'Status Thresholds'!$E:$AR,14,FALSE),IF((AND($U$4=TRUE,$U$5=FALSE,$U$6=TRUE,$U$7=TRUE)),VLOOKUP($E248,'Status Thresholds'!$E:$AR,19,FALSE),IF((AND($U$4=TRUE,$U$5=FALSE,$U$6=FALSE,$U$7=TRUE)),VLOOKUP($E248,'Status Thresholds'!$E:$AR,9,FALSE),
IF((AND($U$4=FALSE,$U$5=TRUE,$U$6=FALSE,$U$7=FALSE)),VLOOKUP($E248,'Status Thresholds'!$E:$AR,24,FALSE),IF((AND($U$4=FALSE,$U$5=TRUE,$U$6=TRUE,$U$7=FALSE)),VLOOKUP($E248,'Status Thresholds'!$E:$AR,34,FALSE),IF((AND($U$4=FALSE,$U$5=TRUE,$U$6=TRUE,$U$7=TRUE)),VLOOKUP($E248,'Status Thresholds'!$E:$AR,39,FALSE),IF((AND($U$4=FALSE,$U$5=TRUE,$U$6=FALSE,$U$7=TRUE)),VLOOKUP($E248,'Status Thresholds'!$E:$AR,29,FALSE)))))))))
))/
IF(OR($X$5=TRUE,$AC$3=TRUE
),($F$7/2), IF(OR($X$2,$X$3,$X$4,$X$6,$X$7,$X$8,$Z$2,$Z$3,$Z$4,$Z$5,$Z$6,$Z$7,$Z$8)=TRUE,$F$7)),0),"-")</f>
        <v>-</v>
      </c>
      <c r="I248" s="36" t="str">
        <f>IFERROR(
ROUNDUP(
IF(AND($U$5=FALSE,$U$4=FALSE),"-",IF(AND($U$5=TRUE,$U$4=TRUE),"-",
IF((AND($U$4=TRUE,$U$5=FALSE,$U$6=FALSE,$U$7=FALSE)),VLOOKUP($E248,'Status Thresholds'!$E:$AR,5,FALSE),IF((AND($U$4=TRUE,$U$5=FALSE,$U$6=TRUE,$U$7=FALSE)),VLOOKUP($E248,'Status Thresholds'!$E:$AR,15,FALSE),IF((AND($U$4=TRUE,$U$5=FALSE,$U$6=TRUE,$U$7=TRUE)),VLOOKUP($E248,'Status Thresholds'!$E:$AR,20,FALSE),IF((AND($U$4=TRUE,$U$5=FALSE,$U$6=FALSE,$U$7=TRUE)),VLOOKUP($E248,'Status Thresholds'!$E:$AR,10,FALSE),
IF((AND($U$4=FALSE,$U$5=TRUE,$U$6=FALSE,$U$7=FALSE)),VLOOKUP($E248,'Status Thresholds'!$E:$AR,25,FALSE),IF((AND($U$4=FALSE,$U$5=TRUE,$U$6=TRUE,$U$7=FALSE)),VLOOKUP($E248,'Status Thresholds'!$E:$AR,35,FALSE),IF((AND($U$4=FALSE,$U$5=TRUE,$U$6=TRUE,$U$7=TRUE)),VLOOKUP($E248,'Status Thresholds'!$E:$AR,40,FALSE),IF((AND($U$4=FALSE,$U$5=TRUE,$U$6=FALSE,$U$7=TRUE)),VLOOKUP($E248,'Status Thresholds'!$E:$AR,30,FALSE)))))))))
))/
IF(OR($X$5=TRUE,$AC$3=TRUE
),($F$7/2), IF(OR($X$2,$X$3,$X$4,$X$6,$X$7,$X$8,$Z$2,$Z$3,$Z$4,$Z$5,$Z$6,$Z$7,$Z$8)=TRUE,$F$7)),0),"-")</f>
        <v>-</v>
      </c>
      <c r="J248" s="46">
        <f>IFERROR(IF(AND($U$5=FALSE,$U$4=FALSE),"-",VLOOKUP($E248,'Status Thresholds'!$E:$AU,41,FALSE)),"-")</f>
        <v>0</v>
      </c>
      <c r="K248" s="46" t="str">
        <f>IFERROR(IF(AND($U$5=FALSE,$U$4=FALSE),"-",VLOOKUP($E248,'Status Thresholds'!$E:$AU,42,FALSE)),"-")</f>
        <v>-</v>
      </c>
      <c r="L248" s="46" t="str">
        <f>IFERROR(IF(AND($U$5=FALSE,$U$4=FALSE),"-",VLOOKUP($E248,'Status Thresholds'!$E:$AU,43,FALSE)),"-")</f>
        <v>-</v>
      </c>
    </row>
    <row r="249" spans="1:12" ht="14.45" hidden="1" customHeight="1" x14ac:dyDescent="0.25">
      <c r="A249" s="35"/>
      <c r="B249" s="64" t="str">
        <f>IF('Status Thresholds'!A244=0, "", 'Status Thresholds'!A244)</f>
        <v>Deviant</v>
      </c>
      <c r="C249" s="64" t="str">
        <f>IF('Status Thresholds'!B244=0, "", 'Status Thresholds'!B244)</f>
        <v>Dreadking Rathalos</v>
      </c>
      <c r="D249" s="34" t="s">
        <v>14</v>
      </c>
      <c r="E249" s="36" t="str">
        <f t="shared" si="3"/>
        <v>Dreadking RathalosKO</v>
      </c>
      <c r="F249" s="36" t="s">
        <v>214</v>
      </c>
      <c r="G249" s="36" t="s">
        <v>214</v>
      </c>
      <c r="H249" s="36" t="s">
        <v>214</v>
      </c>
      <c r="I249" s="36" t="s">
        <v>214</v>
      </c>
      <c r="J249" s="46">
        <f>IFERROR(IF(AND($U$5=FALSE,$U$4=FALSE),"-",VLOOKUP($E249,'Status Thresholds'!$E:$AU,41,FALSE)),"-")</f>
        <v>10</v>
      </c>
      <c r="K249" s="46" t="str">
        <f>IFERROR(IF(AND($U$5=FALSE,$U$4=FALSE),"-",VLOOKUP($E249,'Status Thresholds'!$E:$AU,42,FALSE)),"-")</f>
        <v>-</v>
      </c>
      <c r="L249" s="46" t="str">
        <f>IFERROR(IF(AND($U$5=FALSE,$U$4=FALSE),"-",VLOOKUP($E249,'Status Thresholds'!$E:$AU,43,FALSE)),"-")</f>
        <v>-</v>
      </c>
    </row>
    <row r="250" spans="1:12" hidden="1" x14ac:dyDescent="0.25">
      <c r="A250" s="35"/>
      <c r="B250" s="64" t="str">
        <f>IF('Status Thresholds'!A245=0, "", 'Status Thresholds'!A245)</f>
        <v>Deviant</v>
      </c>
      <c r="C250" s="64" t="str">
        <f>IF('Status Thresholds'!B245=0, "", 'Status Thresholds'!B245)</f>
        <v>Dreadking Rathalos</v>
      </c>
      <c r="D250" s="33" t="s">
        <v>34</v>
      </c>
      <c r="E250" s="36" t="str">
        <f t="shared" si="3"/>
        <v>Dreadking RathalosMount</v>
      </c>
      <c r="F250" s="36" t="str">
        <f>IFERROR(
ROUNDUP(
IF(AND($U$5=FALSE,$U$4=FALSE),"-",IF(AND($U$5=TRUE,$U$4=TRUE),"-",
IF((AND($U$4=TRUE,$U$5=FALSE,$U$6=FALSE,$U$7=FALSE)),VLOOKUP($E250,'Status Thresholds'!$E:$AR,2,FALSE),IF((AND($U$4=TRUE,$U$5=FALSE,$U$6=TRUE,$U$7=FALSE)),VLOOKUP($E250,'Status Thresholds'!$E:$AR,12,FALSE),IF((AND($U$4=TRUE,$U$5=FALSE,$U$6=TRUE,$U$7=TRUE)),VLOOKUP($E250,'Status Thresholds'!$E:$AR,17,FALSE),IF((AND($U$4=TRUE,$U$5=FALSE,$U$6=FALSE,$U$7=TRUE)),VLOOKUP($E250,'Status Thresholds'!$E:$AR,7,FALSE),
IF((AND($U$4=FALSE,$U$5=TRUE,$U$6=FALSE,$U$7=FALSE)),VLOOKUP($E250,'Status Thresholds'!$E:$AR,22,FALSE),IF((AND($U$4=FALSE,$U$5=TRUE,$U$6=TRUE,$U$7=FALSE)),VLOOKUP($E250,'Status Thresholds'!$E:$AR,32,FALSE),IF((AND($U$4=FALSE,$U$5=TRUE,$U$6=TRUE,$U$7=TRUE)),VLOOKUP($E250,'Status Thresholds'!$E:$AR,37,FALSE),IF((AND($U$4=FALSE,$U$5=TRUE,$U$6=FALSE,$U$7=TRUE)),VLOOKUP($E250,'Status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250" s="36" t="str">
        <f>IFERROR(
ROUNDUP(
IF(AND($U$5=FALSE,$U$4=FALSE),"-",IF(AND($U$5=TRUE,$U$4=TRUE),"-",
IF((AND($U$4=TRUE,$U$5=FALSE,$U$6=FALSE,$U$7=FALSE)),VLOOKUP($E249,'Status Thresholds'!$E:$AR,3,FALSE),IF((AND($U$4=TRUE,$U$5=FALSE,$U$6=TRUE,$U$7=FALSE)),VLOOKUP($E249,'Status Thresholds'!$E:$AR,13,FALSE),IF((AND($U$4=TRUE,$U$5=FALSE,$U$6=TRUE,$U$7=TRUE)),VLOOKUP($E249,'Status Thresholds'!$E:$AR,18,FALSE),IF((AND($U$4=TRUE,$U$5=FALSE,$U$6=FALSE,$U$7=TRUE)),VLOOKUP($E249,'Status Thresholds'!$E:$AR,8,FALSE),
IF((AND($U$4=FALSE,$U$5=TRUE,$U$6=FALSE,$U$7=FALSE)),VLOOKUP($E249,'Status Thresholds'!$E:$AR,23,FALSE),IF((AND($U$4=FALSE,$U$5=TRUE,$U$6=TRUE,$U$7=FALSE)),VLOOKUP($E249,'Status Thresholds'!$E:$AR,33,FALSE),IF((AND($U$4=FALSE,$U$5=TRUE,$U$6=TRUE,$U$7=TRUE)),VLOOKUP($E249,'Status Thresholds'!$E:$AR,38,FALSE),IF((AND($U$4=FALSE,$U$5=TRUE,$U$6=FALSE,$U$7=TRUE)),VLOOKUP($E249,'Status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250" s="36" t="str">
        <f>IFERROR(
ROUNDUP(
IF(AND($U$5=FALSE,$U$4=FALSE),"-",IF(AND($U$5=TRUE,$U$4=TRUE),"-",
IF((AND($U$4=TRUE,$U$5=FALSE,$U$6=FALSE,$U$7=FALSE)),VLOOKUP($E249,'Status Thresholds'!$E:$AR,4,FALSE),IF((AND($U$4=TRUE,$U$5=FALSE,$U$6=TRUE,$U$7=FALSE)),VLOOKUP($E249,'Status Thresholds'!$E:$AR,14,FALSE),IF((AND($U$4=TRUE,$U$5=FALSE,$U$6=TRUE,$U$7=TRUE)),VLOOKUP($E249,'Status Thresholds'!$E:$AR,19,FALSE),IF((AND($U$4=TRUE,$U$5=FALSE,$U$6=FALSE,$U$7=TRUE)),VLOOKUP($E249,'Status Thresholds'!$E:$AR,9,FALSE),
IF((AND($U$4=FALSE,$U$5=TRUE,$U$6=FALSE,$U$7=FALSE)),VLOOKUP($E249,'Status Thresholds'!$E:$AR,24,FALSE),IF((AND($U$4=FALSE,$U$5=TRUE,$U$6=TRUE,$U$7=FALSE)),VLOOKUP($E249,'Status Thresholds'!$E:$AR,34,FALSE),IF((AND($U$4=FALSE,$U$5=TRUE,$U$6=TRUE,$U$7=TRUE)),VLOOKUP($E249,'Status Thresholds'!$E:$AR,39,FALSE),IF((AND($U$4=FALSE,$U$5=TRUE,$U$6=FALSE,$U$7=TRUE)),VLOOKUP($E249,'Status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250" s="36" t="str">
        <f>IFERROR(
ROUNDUP(
IF(AND($U$5=FALSE,$U$4=FALSE),"-",IF(AND($U$5=TRUE,$U$4=TRUE),"-",
IF((AND($U$4=TRUE,$U$5=FALSE,$U$6=FALSE,$U$7=FALSE)),VLOOKUP($E249,'Status Thresholds'!$E:$AR,5,FALSE),IF((AND($U$4=TRUE,$U$5=FALSE,$U$6=TRUE,$U$7=FALSE)),VLOOKUP($E249,'Status Thresholds'!$E:$AR,15,FALSE),IF((AND($U$4=TRUE,$U$5=FALSE,$U$6=TRUE,$U$7=TRUE)),VLOOKUP($E249,'Status Thresholds'!$E:$AR,20,FALSE),IF((AND($U$4=TRUE,$U$5=FALSE,$U$6=FALSE,$U$7=TRUE)),VLOOKUP($E249,'Status Thresholds'!$E:$AR,10,FALSE),
IF((AND($U$4=FALSE,$U$5=TRUE,$U$6=FALSE,$U$7=FALSE)),VLOOKUP($E249,'Status Thresholds'!$E:$AR,25,FALSE),IF((AND($U$4=FALSE,$U$5=TRUE,$U$6=TRUE,$U$7=FALSE)),VLOOKUP($E249,'Status Thresholds'!$E:$AR,35,FALSE),IF((AND($U$4=FALSE,$U$5=TRUE,$U$6=TRUE,$U$7=TRUE)),VLOOKUP($E249,'Status Thresholds'!$E:$AR,40,FALSE),IF((AND($U$4=FALSE,$U$5=TRUE,$U$6=FALSE,$U$7=TRUE)),VLOOKUP($E249,'Status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250" s="46">
        <f>IFERROR(IF(AND($U$5=FALSE,$U$4=FALSE),"-",VLOOKUP($E250,'Status Thresholds'!$E:$AU,41,FALSE)),"-")</f>
        <v>0</v>
      </c>
      <c r="K250" s="46" t="str">
        <f>IFERROR(IF(AND($U$5=FALSE,$U$4=FALSE),"-",VLOOKUP($E250,'Status Thresholds'!$E:$AU,42,FALSE)),"-")</f>
        <v>-</v>
      </c>
      <c r="L250" s="46" t="str">
        <f>IFERROR(IF(AND($U$5=FALSE,$U$4=FALSE),"-",VLOOKUP($E250,'Status Thresholds'!$E:$AU,43,FALSE)),"-")</f>
        <v>-</v>
      </c>
    </row>
    <row r="251" spans="1:12" ht="15" hidden="1" customHeight="1" x14ac:dyDescent="0.25">
      <c r="A251" s="35"/>
      <c r="B251" s="64" t="str">
        <f>IF('Status Thresholds'!A246=0, "", 'Status Thresholds'!A246)</f>
        <v>Deviant</v>
      </c>
      <c r="C251" s="64" t="str">
        <f>IF('Status Thresholds'!B246=0, "", 'Status Thresholds'!B246)</f>
        <v>Dreadking Rathalos</v>
      </c>
      <c r="D251" s="77" t="s">
        <v>207</v>
      </c>
      <c r="E251" s="36" t="str">
        <f t="shared" si="3"/>
        <v>Dreadking RathalosShock Trap</v>
      </c>
      <c r="F251" s="76" t="s">
        <v>214</v>
      </c>
      <c r="G251" s="46" t="s">
        <v>214</v>
      </c>
      <c r="H251" s="46" t="s">
        <v>214</v>
      </c>
      <c r="I251" s="46" t="s">
        <v>214</v>
      </c>
      <c r="J251" s="46">
        <f>IFERROR(IF(AND($U$5=FALSE,$U$4=FALSE),"-",VLOOKUP($E251,'Status Thresholds'!$E:$AU,43,FALSE)),"-")</f>
        <v>8</v>
      </c>
      <c r="K251" s="46">
        <f>IFERROR(IF(AND($U$5=FALSE,$U$4=FALSE),"-",VLOOKUP($E251,'Status Thresholds'!$E:$AU,41,FALSE)),"-")</f>
        <v>5</v>
      </c>
      <c r="L251" s="46">
        <f>IFERROR(IF(AND($U$5=FALSE,$U$4=FALSE),"-",VLOOKUP($E251,'Status Thresholds'!$E:$AU,42,FALSE)),"-")</f>
        <v>15</v>
      </c>
    </row>
    <row r="252" spans="1:12" hidden="1" x14ac:dyDescent="0.25">
      <c r="A252" s="35"/>
      <c r="B252" s="64" t="str">
        <f>IF('Status Thresholds'!A247=0, "", 'Status Thresholds'!A247)</f>
        <v>Deviant</v>
      </c>
      <c r="C252" s="64" t="str">
        <f>IF('Status Thresholds'!B247=0, "", 'Status Thresholds'!B247)</f>
        <v>Dreadking Rathalos</v>
      </c>
      <c r="D252" s="77" t="s">
        <v>213</v>
      </c>
      <c r="E252" s="36" t="str">
        <f t="shared" si="3"/>
        <v>Dreadking RathalosPitfall Trap</v>
      </c>
      <c r="F252" s="46" t="s">
        <v>214</v>
      </c>
      <c r="G252" s="46" t="s">
        <v>214</v>
      </c>
      <c r="H252" s="46" t="s">
        <v>214</v>
      </c>
      <c r="I252" s="46" t="s">
        <v>214</v>
      </c>
      <c r="J252" s="46">
        <f>IFERROR(IF(AND($U$5=FALSE,$U$4=FALSE),"-",VLOOKUP($E252,'Status Thresholds'!$E:$AU,43,FALSE)),"-")</f>
        <v>12</v>
      </c>
      <c r="K252" s="46">
        <f>IFERROR(IF(AND($U$5=FALSE,$U$4=FALSE),"-",VLOOKUP($E252,'Status Thresholds'!$E:$AU,41,FALSE)),"-")</f>
        <v>10</v>
      </c>
      <c r="L252" s="46">
        <f>IFERROR(IF(AND($U$5=FALSE,$U$4=FALSE),"-",VLOOKUP($E252,'Status Thresholds'!$E:$AU,42,FALSE)),"-")</f>
        <v>25</v>
      </c>
    </row>
    <row r="253" spans="1:12" s="36" customFormat="1" hidden="1" x14ac:dyDescent="0.25">
      <c r="A253" s="64"/>
      <c r="B253" s="64" t="str">
        <f>IF('Status Thresholds'!A248=0, "", 'Status Thresholds'!A248)</f>
        <v>Deviant</v>
      </c>
      <c r="C253" s="64" t="str">
        <f>IF('Status Thresholds'!B248=0, "", 'Status Thresholds'!B248)</f>
        <v>Dreadqueen Rathian</v>
      </c>
      <c r="D253" s="37" t="s">
        <v>0</v>
      </c>
      <c r="E253" s="36" t="str">
        <f t="shared" si="3"/>
        <v>Dreadqueen RathianPara</v>
      </c>
      <c r="F253" s="36" t="str">
        <f>IFERROR(
ROUNDUP(
IF(AND($U$5=FALSE,$U$4=FALSE),"-",IF(AND($U$5=TRUE,$U$4=TRUE),"-",
IF((AND($U$4=TRUE,$U$5=FALSE,$U$6=FALSE,$U$7=FALSE)),VLOOKUP($E253,'Status Thresholds'!$E:$AR,2,FALSE),IF((AND($U$4=TRUE,$U$5=FALSE,$U$6=TRUE,$U$7=FALSE)),VLOOKUP($E253,'Status Thresholds'!$E:$AR,12,FALSE),IF((AND($U$4=TRUE,$U$5=FALSE,$U$6=TRUE,$U$7=TRUE)),VLOOKUP($E253,'Status Thresholds'!$E:$AR,17,FALSE),IF((AND($U$4=TRUE,$U$5=FALSE,$U$6=FALSE,$U$7=TRUE)),VLOOKUP($E253,'Status Thresholds'!$E:$AR,7,FALSE),
IF((AND($U$4=FALSE,$U$5=TRUE,$U$6=FALSE,$U$7=FALSE)),VLOOKUP($E253,'Status Thresholds'!$E:$AR,22,FALSE),IF((AND($U$4=FALSE,$U$5=TRUE,$U$6=TRUE,$U$7=FALSE)),VLOOKUP($E253,'Status Thresholds'!$E:$AR,32,FALSE),IF((AND($U$4=FALSE,$U$5=TRUE,$U$6=TRUE,$U$7=TRUE)),VLOOKUP($E253,'Status Thresholds'!$E:$AR,37,FALSE),IF((AND($U$4=FALSE,$U$5=TRUE,$U$6=FALSE,$U$7=TRUE)),VLOOKUP($E253,'Status Thresholds'!$E:$AR,27,FALSE)))))))))
))/
IF(OR($X$5=TRUE,$AC$3=TRUE
),($F$3/2), IF(OR($X$2,$X$3,$X$4,$X$6,$X$7,$X$8,$Z$2,$Z$3,$Z$4,$Z$5,$Z$6,$Z$7,$Z$8)=TRUE,$F$3)),0),"-")</f>
        <v>-</v>
      </c>
      <c r="G253" s="36" t="str">
        <f>IFERROR(
ROUNDUP(
IF(AND($U$5=FALSE,$U$4=FALSE),"-",IF(AND($U$5=TRUE,$U$4=TRUE),"-",
IF((AND($U$4=TRUE,$U$5=FALSE,$U$6=FALSE,$U$7=FALSE)),VLOOKUP($E253,'Status Thresholds'!$E:$AR,3,FALSE),IF((AND($U$4=TRUE,$U$5=FALSE,$U$6=TRUE,$U$7=FALSE)),VLOOKUP($E253,'Status Thresholds'!$E:$AR,13,FALSE),IF((AND($U$4=TRUE,$U$5=FALSE,$U$6=TRUE,$U$7=TRUE)),VLOOKUP($E253,'Status Thresholds'!$E:$AR,18,FALSE),IF((AND($U$4=TRUE,$U$5=FALSE,$U$6=FALSE,$U$7=TRUE)),VLOOKUP($E253,'Status Thresholds'!$E:$AR,8,FALSE),
IF((AND($U$4=FALSE,$U$5=TRUE,$U$6=FALSE,$U$7=FALSE)),VLOOKUP($E253,'Status Thresholds'!$E:$AR,23,FALSE),IF((AND($U$4=FALSE,$U$5=TRUE,$U$6=TRUE,$U$7=FALSE)),VLOOKUP($E253,'Status Thresholds'!$E:$AR,33,FALSE),IF((AND($U$4=FALSE,$U$5=TRUE,$U$6=TRUE,$U$7=TRUE)),VLOOKUP($E253,'Status Thresholds'!$E:$AR,38,FALSE),IF((AND($U$4=FALSE,$U$5=TRUE,$U$6=FALSE,$U$7=TRUE)),VLOOKUP($E253,'Status Thresholds'!$E:$AR,28,FALSE)))))))))
))/
IF(OR($X$5=TRUE,$AC$3=TRUE
),($F$3/2), IF(OR($X$2,$X$3,$X$4,$X$6,$X$7,$X$8,$Z$2,$Z$3,$Z$4,$Z$5,$Z$6,$Z$7,$Z$8)=TRUE,$F$3)),0),"-")</f>
        <v>-</v>
      </c>
      <c r="H253" s="36" t="str">
        <f>IFERROR(
ROUNDUP(
IF(AND($U$5=FALSE,$U$4=FALSE),"-",IF(AND($U$5=TRUE,$U$4=TRUE),"-",
IF((AND($U$4=TRUE,$U$5=FALSE,$U$6=FALSE,$U$7=FALSE)),VLOOKUP($E253,'Status Thresholds'!$E:$AR,4,FALSE),IF((AND($U$4=TRUE,$U$5=FALSE,$U$6=TRUE,$U$7=FALSE)),VLOOKUP($E253,'Status Thresholds'!$E:$AR,14,FALSE),IF((AND($U$4=TRUE,$U$5=FALSE,$U$6=TRUE,$U$7=TRUE)),VLOOKUP($E253,'Status Thresholds'!$E:$AR,19,FALSE),IF((AND($U$4=TRUE,$U$5=FALSE,$U$6=FALSE,$U$7=TRUE)),VLOOKUP($E253,'Status Thresholds'!$E:$AR,9,FALSE),
IF((AND($U$4=FALSE,$U$5=TRUE,$U$6=FALSE,$U$7=FALSE)),VLOOKUP($E253,'Status Thresholds'!$E:$AR,24,FALSE),IF((AND($U$4=FALSE,$U$5=TRUE,$U$6=TRUE,$U$7=FALSE)),VLOOKUP($E253,'Status Thresholds'!$E:$AR,34,FALSE),IF((AND($U$4=FALSE,$U$5=TRUE,$U$6=TRUE,$U$7=TRUE)),VLOOKUP($E253,'Status Thresholds'!$E:$AR,39,FALSE),IF((AND($U$4=FALSE,$U$5=TRUE,$U$6=FALSE,$U$7=TRUE)),VLOOKUP($E253,'Status Thresholds'!$E:$AR,29,FALSE)))))))))
))/
IF(OR($X$5=TRUE,$AC$3=TRUE
),($F$3/2), IF(OR($X$2,$X$3,$X$4,$X$6,$X$7,$X$8,$Z$2,$Z$3,$Z$4,$Z$5,$Z$6,$Z$7,$Z$8)=TRUE,$F$3)),0),"-")</f>
        <v>-</v>
      </c>
      <c r="I253" s="36" t="str">
        <f>IFERROR(
ROUNDUP(
IF(AND($U$5=FALSE,$U$4=FALSE),"-",IF(AND($U$5=TRUE,$U$4=TRUE),"-",
IF((AND($U$4=TRUE,$U$5=FALSE,$U$6=FALSE,$U$7=FALSE)),VLOOKUP($E253,'Status Thresholds'!$E:$AR,5,FALSE),IF((AND($U$4=TRUE,$U$5=FALSE,$U$6=TRUE,$U$7=FALSE)),VLOOKUP($E253,'Status Thresholds'!$E:$AR,15,FALSE),IF((AND($U$4=TRUE,$U$5=FALSE,$U$6=TRUE,$U$7=TRUE)),VLOOKUP($E253,'Status Thresholds'!$E:$AR,20,FALSE),IF((AND($U$4=TRUE,$U$5=FALSE,$U$6=FALSE,$U$7=TRUE)),VLOOKUP($E253,'Status Thresholds'!$E:$AR,10,FALSE),
IF((AND($U$4=FALSE,$U$5=TRUE,$U$6=FALSE,$U$7=FALSE)),VLOOKUP($E253,'Status Thresholds'!$E:$AR,25,FALSE),IF((AND($U$4=FALSE,$U$5=TRUE,$U$6=TRUE,$U$7=FALSE)),VLOOKUP($E253,'Status Thresholds'!$E:$AR,35,FALSE),IF((AND($U$4=FALSE,$U$5=TRUE,$U$6=TRUE,$U$7=TRUE)),VLOOKUP($E253,'Status Thresholds'!$E:$AR,40,FALSE),IF((AND($U$4=FALSE,$U$5=TRUE,$U$6=FALSE,$U$7=TRUE)),VLOOKUP($E253,'Status Thresholds'!$E:$AR,30,FALSE)))))))))
))/
IF(OR($X$5=TRUE,$AC$3=TRUE
),($F$3/2), IF(OR($X$2,$X$3,$X$4,$X$6,$X$7,$X$8,$Z$2,$Z$3,$Z$4,$Z$5,$Z$6,$Z$7,$Z$8)=TRUE,$F$3)),0),"-")</f>
        <v>-</v>
      </c>
      <c r="J253" s="36">
        <f>IFERROR(IF(AND($U$5=FALSE,$U$4=FALSE),"-",VLOOKUP($E253,'Status Thresholds'!$E:$AU,41,FALSE)),"-")</f>
        <v>10</v>
      </c>
      <c r="K253" s="36" t="str">
        <f>IFERROR(IF(AND($U$5=FALSE,$U$4=FALSE),"-",VLOOKUP($E253,'Status Thresholds'!$E:$AU,42,FALSE)),"-")</f>
        <v>-</v>
      </c>
      <c r="L253" s="36" t="str">
        <f>IFERROR(IF(AND($U$5=FALSE,$U$4=FALSE),"-",VLOOKUP($E253,'Status Thresholds'!$E:$AU,43,FALSE)),"-")</f>
        <v>-</v>
      </c>
    </row>
    <row r="254" spans="1:12" hidden="1" x14ac:dyDescent="0.25">
      <c r="A254" s="35"/>
      <c r="B254" s="64" t="str">
        <f>IF('Status Thresholds'!A249=0, "", 'Status Thresholds'!A249)</f>
        <v>Deviant</v>
      </c>
      <c r="C254" s="64" t="str">
        <f>IF('Status Thresholds'!B249=0, "", 'Status Thresholds'!B249)</f>
        <v>Dreadqueen Rathian</v>
      </c>
      <c r="D254" s="31" t="s">
        <v>32</v>
      </c>
      <c r="E254" s="36" t="str">
        <f t="shared" si="3"/>
        <v>Dreadqueen RathianSleep</v>
      </c>
      <c r="F254" s="36" t="str">
        <f>IFERROR(
ROUNDUP(
IF(AND($U$5=FALSE,$U$4=FALSE),"-",IF(AND($U$5=TRUE,$U$4=TRUE),"-",
IF((AND($U$4=TRUE,$U$5=FALSE,$U$6=FALSE,$U$7=FALSE)),VLOOKUP($E254,'Status Thresholds'!$E:$AR,2,FALSE),IF((AND($U$4=TRUE,$U$5=FALSE,$U$6=TRUE,$U$7=FALSE)),VLOOKUP($E254,'Status Thresholds'!$E:$AR,12,FALSE),IF((AND($U$4=TRUE,$U$5=FALSE,$U$6=TRUE,$U$7=TRUE)),VLOOKUP($E254,'Status Thresholds'!$E:$AR,17,FALSE),IF((AND($U$4=TRUE,$U$5=FALSE,$U$6=FALSE,$U$7=TRUE)),VLOOKUP($E254,'Status Thresholds'!$E:$AR,7,FALSE),
IF((AND($U$4=FALSE,$U$5=TRUE,$U$6=FALSE,$U$7=FALSE)),VLOOKUP($E254,'Status Thresholds'!$E:$AR,22,FALSE),IF((AND($U$4=FALSE,$U$5=TRUE,$U$6=TRUE,$U$7=FALSE)),VLOOKUP($E254,'Status Thresholds'!$E:$AR,32,FALSE),IF((AND($U$4=FALSE,$U$5=TRUE,$U$6=TRUE,$U$7=TRUE)),VLOOKUP($E254,'Status Thresholds'!$E:$AR,37,FALSE),IF((AND($U$4=FALSE,$U$5=TRUE,$U$6=FALSE,$U$7=TRUE)),VLOOKUP($E254,'Status Thresholds'!$E:$AR,27,FALSE)))))))))
))/
IF(OR($X$5=TRUE,$AC$3=TRUE
),($F$4/2), IF(OR($X$2,$X$3,$X$4,$X$6,$X$7,$X$8,$Z$2,$Z$3,$Z$4,$Z$5,$Z$6,$Z$7,$Z$8)=TRUE,$F$4)),0),"-")</f>
        <v>-</v>
      </c>
      <c r="G254" s="36" t="str">
        <f>IFERROR(
ROUNDUP(
IF(AND($U$5=FALSE,$U$4=FALSE),"-",IF(AND($U$5=TRUE,$U$4=TRUE),"-",
IF((AND($U$4=TRUE,$U$5=FALSE,$U$6=FALSE,$U$7=FALSE)),VLOOKUP($E254,'Status Thresholds'!$E:$AR,3,FALSE),IF((AND($U$4=TRUE,$U$5=FALSE,$U$6=TRUE,$U$7=FALSE)),VLOOKUP($E254,'Status Thresholds'!$E:$AR,13,FALSE),IF((AND($U$4=TRUE,$U$5=FALSE,$U$6=TRUE,$U$7=TRUE)),VLOOKUP($E254,'Status Thresholds'!$E:$AR,18,FALSE),IF((AND($U$4=TRUE,$U$5=FALSE,$U$6=FALSE,$U$7=TRUE)),VLOOKUP($E254,'Status Thresholds'!$E:$AR,8,FALSE),
IF((AND($U$4=FALSE,$U$5=TRUE,$U$6=FALSE,$U$7=FALSE)),VLOOKUP($E254,'Status Thresholds'!$E:$AR,23,FALSE),IF((AND($U$4=FALSE,$U$5=TRUE,$U$6=TRUE,$U$7=FALSE)),VLOOKUP($E254,'Status Thresholds'!$E:$AR,33,FALSE),IF((AND($U$4=FALSE,$U$5=TRUE,$U$6=TRUE,$U$7=TRUE)),VLOOKUP($E254,'Status Thresholds'!$E:$AR,38,FALSE),IF((AND($U$4=FALSE,$U$5=TRUE,$U$6=FALSE,$U$7=TRUE)),VLOOKUP($E254,'Status Thresholds'!$E:$AR,28,FALSE)))))))))
))/
IF(OR($X$5=TRUE,$AC$3=TRUE
),($F$4/2), IF(OR($X$2,$X$3,$X$4,$X$6,$X$7,$X$8,$Z$2,$Z$3,$Z$4,$Z$5,$Z$6,$Z$7,$Z$8)=TRUE,$F$4)),0),"-")</f>
        <v>-</v>
      </c>
      <c r="H254" s="36" t="str">
        <f>IFERROR(
ROUNDUP(
IF(AND($U$5=FALSE,$U$4=FALSE),"-",IF(AND($U$5=TRUE,$U$4=TRUE),"-",
IF((AND($U$4=TRUE,$U$5=FALSE,$U$6=FALSE,$U$7=FALSE)),VLOOKUP($E254,'Status Thresholds'!$E:$AR,4,FALSE),IF((AND($U$4=TRUE,$U$5=FALSE,$U$6=TRUE,$U$7=FALSE)),VLOOKUP($E254,'Status Thresholds'!$E:$AR,14,FALSE),IF((AND($U$4=TRUE,$U$5=FALSE,$U$6=TRUE,$U$7=TRUE)),VLOOKUP($E254,'Status Thresholds'!$E:$AR,19,FALSE),IF((AND($U$4=TRUE,$U$5=FALSE,$U$6=FALSE,$U$7=TRUE)),VLOOKUP($E254,'Status Thresholds'!$E:$AR,9,FALSE),
IF((AND($U$4=FALSE,$U$5=TRUE,$U$6=FALSE,$U$7=FALSE)),VLOOKUP($E254,'Status Thresholds'!$E:$AR,24,FALSE),IF((AND($U$4=FALSE,$U$5=TRUE,$U$6=TRUE,$U$7=FALSE)),VLOOKUP($E254,'Status Thresholds'!$E:$AR,34,FALSE),IF((AND($U$4=FALSE,$U$5=TRUE,$U$6=TRUE,$U$7=TRUE)),VLOOKUP($E254,'Status Thresholds'!$E:$AR,39,FALSE),IF((AND($U$4=FALSE,$U$5=TRUE,$U$6=FALSE,$U$7=TRUE)),VLOOKUP($E254,'Status Thresholds'!$E:$AR,29,FALSE)))))))))
))/
IF(OR($X$5=TRUE,$AC$3=TRUE
),($F$4/2), IF(OR($X$2,$X$3,$X$4,$X$6,$X$7,$X$8,$Z$2,$Z$3,$Z$4,$Z$5,$Z$6,$Z$7,$Z$8)=TRUE,$F$4)),0),"-")</f>
        <v>-</v>
      </c>
      <c r="I254" s="36" t="str">
        <f>IFERROR(
ROUNDUP(
IF(AND($U$5=FALSE,$U$4=FALSE),"-",IF(AND($U$5=TRUE,$U$4=TRUE),"-",
IF((AND($U$4=TRUE,$U$5=FALSE,$U$6=FALSE,$U$7=FALSE)),VLOOKUP($E254,'Status Thresholds'!$E:$AR,5,FALSE),IF((AND($U$4=TRUE,$U$5=FALSE,$U$6=TRUE,$U$7=FALSE)),VLOOKUP($E254,'Status Thresholds'!$E:$AR,15,FALSE),IF((AND($U$4=TRUE,$U$5=FALSE,$U$6=TRUE,$U$7=TRUE)),VLOOKUP($E254,'Status Thresholds'!$E:$AR,20,FALSE),IF((AND($U$4=TRUE,$U$5=FALSE,$U$6=FALSE,$U$7=TRUE)),VLOOKUP($E254,'Status Thresholds'!$E:$AR,10,FALSE),
IF((AND($U$4=FALSE,$U$5=TRUE,$U$6=FALSE,$U$7=FALSE)),VLOOKUP($E254,'Status Thresholds'!$E:$AR,25,FALSE),IF((AND($U$4=FALSE,$U$5=TRUE,$U$6=TRUE,$U$7=FALSE)),VLOOKUP($E254,'Status Thresholds'!$E:$AR,35,FALSE),IF((AND($U$4=FALSE,$U$5=TRUE,$U$6=TRUE,$U$7=TRUE)),VLOOKUP($E254,'Status Thresholds'!$E:$AR,40,FALSE),IF((AND($U$4=FALSE,$U$5=TRUE,$U$6=FALSE,$U$7=TRUE)),VLOOKUP($E254,'Status Thresholds'!$E:$AR,30,FALSE)))))))))
))/
IF(OR($X$5=TRUE,$AC$3=TRUE
),($F$4/2), IF(OR($X$2,$X$3,$X$4,$X$6,$X$7,$X$8,$Z$2,$Z$3,$Z$4,$Z$5,$Z$6,$Z$7,$Z$8)=TRUE,$F$4)),0),"-")</f>
        <v>-</v>
      </c>
      <c r="J254" s="46">
        <f>IFERROR(IF(AND($U$5=FALSE,$U$4=FALSE),"-",VLOOKUP($E254,'Status Thresholds'!$E:$AU,41,FALSE)),"-")</f>
        <v>40</v>
      </c>
      <c r="K254" s="46" t="str">
        <f>IFERROR(IF(AND($U$5=FALSE,$U$4=FALSE),"-",VLOOKUP($E254,'Status Thresholds'!$E:$AU,42,FALSE)),"-")</f>
        <v>-</v>
      </c>
      <c r="L254" s="46" t="str">
        <f>IFERROR(IF(AND($U$5=FALSE,$U$4=FALSE),"-",VLOOKUP($E254,'Status Thresholds'!$E:$AU,43,FALSE)),"-")</f>
        <v>-</v>
      </c>
    </row>
    <row r="255" spans="1:12" hidden="1" x14ac:dyDescent="0.25">
      <c r="A255" s="35"/>
      <c r="B255" s="64" t="str">
        <f>IF('Status Thresholds'!A250=0, "", 'Status Thresholds'!A250)</f>
        <v>Deviant</v>
      </c>
      <c r="C255" s="64" t="str">
        <f>IF('Status Thresholds'!B250=0, "", 'Status Thresholds'!B250)</f>
        <v>Dreadqueen Rathian</v>
      </c>
      <c r="D255" s="32" t="s">
        <v>33</v>
      </c>
      <c r="E255" s="36" t="str">
        <f t="shared" si="3"/>
        <v>Dreadqueen RathianPoison</v>
      </c>
      <c r="F255" s="36" t="str">
        <f>IFERROR(
ROUNDUP(
IF(AND($U$5=FALSE,$U$4=FALSE),"-",IF(AND($U$5=TRUE,$U$4=TRUE),"-",
IF((AND($U$4=TRUE,$U$5=FALSE,$U$6=FALSE,$U$7=FALSE)),VLOOKUP($E255,'Status Thresholds'!$E:$AR,2,FALSE),IF((AND($U$4=TRUE,$U$5=FALSE,$U$6=TRUE,$U$7=FALSE)),VLOOKUP($E255,'Status Thresholds'!$E:$AR,12,FALSE),IF((AND($U$4=TRUE,$U$5=FALSE,$U$6=TRUE,$U$7=TRUE)),VLOOKUP($E255,'Status Thresholds'!$E:$AR,17,FALSE),IF((AND($U$4=TRUE,$U$5=FALSE,$U$6=FALSE,$U$7=TRUE)),VLOOKUP($E255,'Status Thresholds'!$E:$AR,7,FALSE),
IF((AND($U$4=FALSE,$U$5=TRUE,$U$6=FALSE,$U$7=FALSE)),VLOOKUP($E255,'Status Thresholds'!$E:$AR,22,FALSE),IF((AND($U$4=FALSE,$U$5=TRUE,$U$6=TRUE,$U$7=FALSE)),VLOOKUP($E255,'Status Thresholds'!$E:$AR,32,FALSE),IF((AND($U$4=FALSE,$U$5=TRUE,$U$6=TRUE,$U$7=TRUE)),VLOOKUP($E255,'Status Thresholds'!$E:$AR,37,FALSE),IF((AND($U$4=FALSE,$U$5=TRUE,$U$6=FALSE,$U$7=TRUE)),VLOOKUP($E255,'Status Thresholds'!$E:$AR,27,FALSE)))))))))
))/
IF(OR($X$5=TRUE,$AC$3=TRUE
),($F$5/2), IF(OR($X$2,$X$3,$X$4,$X$6,$X$7,$X$8,$Z$2,$Z$3,$Z$4,$Z$5,$Z$6,$Z$7,$Z$8)=TRUE,$F$5)),0),"-")</f>
        <v>-</v>
      </c>
      <c r="G255" s="36" t="str">
        <f>IFERROR(
ROUNDUP(
IF(AND($U$5=FALSE,$U$4=FALSE),"-",IF(AND($U$5=TRUE,$U$4=TRUE),"-",
IF((AND($U$4=TRUE,$U$5=FALSE,$U$6=FALSE,$U$7=FALSE)),VLOOKUP($E255,'Status Thresholds'!$E:$AR,3,FALSE),IF((AND($U$4=TRUE,$U$5=FALSE,$U$6=TRUE,$U$7=FALSE)),VLOOKUP($E255,'Status Thresholds'!$E:$AR,13,FALSE),IF((AND($U$4=TRUE,$U$5=FALSE,$U$6=TRUE,$U$7=TRUE)),VLOOKUP($E255,'Status Thresholds'!$E:$AR,18,FALSE),IF((AND($U$4=TRUE,$U$5=FALSE,$U$6=FALSE,$U$7=TRUE)),VLOOKUP($E255,'Status Thresholds'!$E:$AR,8,FALSE),
IF((AND($U$4=FALSE,$U$5=TRUE,$U$6=FALSE,$U$7=FALSE)),VLOOKUP($E255,'Status Thresholds'!$E:$AR,23,FALSE),IF((AND($U$4=FALSE,$U$5=TRUE,$U$6=TRUE,$U$7=FALSE)),VLOOKUP($E255,'Status Thresholds'!$E:$AR,33,FALSE),IF((AND($U$4=FALSE,$U$5=TRUE,$U$6=TRUE,$U$7=TRUE)),VLOOKUP($E255,'Status Thresholds'!$E:$AR,38,FALSE),IF((AND($U$4=FALSE,$U$5=TRUE,$U$6=FALSE,$U$7=TRUE)),VLOOKUP($E255,'Status Thresholds'!$E:$AR,28,FALSE)))))))))
))/
IF(OR($X$5=TRUE,$AC$3=TRUE
),($F$5/2), IF(OR($X$2,$X$3,$X$4,$X$6,$X$7,$X$8,$Z$2,$Z$3,$Z$4,$Z$5,$Z$6,$Z$7,$Z$8)=TRUE,$F$5)),0),"-")</f>
        <v>-</v>
      </c>
      <c r="H255" s="36" t="str">
        <f>IFERROR(
ROUNDUP(
IF(AND($U$5=FALSE,$U$4=FALSE),"-",IF(AND($U$5=TRUE,$U$4=TRUE),"-",
IF((AND($U$4=TRUE,$U$5=FALSE,$U$6=FALSE,$U$7=FALSE)),VLOOKUP($E255,'Status Thresholds'!$E:$AR,4,FALSE),IF((AND($U$4=TRUE,$U$5=FALSE,$U$6=TRUE,$U$7=FALSE)),VLOOKUP($E255,'Status Thresholds'!$E:$AR,14,FALSE),IF((AND($U$4=TRUE,$U$5=FALSE,$U$6=TRUE,$U$7=TRUE)),VLOOKUP($E255,'Status Thresholds'!$E:$AR,19,FALSE),IF((AND($U$4=TRUE,$U$5=FALSE,$U$6=FALSE,$U$7=TRUE)),VLOOKUP($E255,'Status Thresholds'!$E:$AR,9,FALSE),
IF((AND($U$4=FALSE,$U$5=TRUE,$U$6=FALSE,$U$7=FALSE)),VLOOKUP($E255,'Status Thresholds'!$E:$AR,24,FALSE),IF((AND($U$4=FALSE,$U$5=TRUE,$U$6=TRUE,$U$7=FALSE)),VLOOKUP($E255,'Status Thresholds'!$E:$AR,34,FALSE),IF((AND($U$4=FALSE,$U$5=TRUE,$U$6=TRUE,$U$7=TRUE)),VLOOKUP($E255,'Status Thresholds'!$E:$AR,39,FALSE),IF((AND($U$4=FALSE,$U$5=TRUE,$U$6=FALSE,$U$7=TRUE)),VLOOKUP($E255,'Status Thresholds'!$E:$AR,29,FALSE)))))))))
))/
IF(OR($X$5=TRUE,$AC$3=TRUE
),($F$5/2), IF(OR($X$2,$X$3,$X$4,$X$6,$X$7,$X$8,$Z$2,$Z$3,$Z$4,$Z$5,$Z$6,$Z$7,$Z$8)=TRUE,$F$5)),0),"-")</f>
        <v>-</v>
      </c>
      <c r="I255" s="36" t="str">
        <f>IFERROR(
ROUNDUP(
IF(AND($U$5=FALSE,$U$4=FALSE),"-",IF(AND($U$5=TRUE,$U$4=TRUE),"-",
IF((AND($U$4=TRUE,$U$5=FALSE,$U$6=FALSE,$U$7=FALSE)),VLOOKUP($E255,'Status Thresholds'!$E:$AR,5,FALSE),IF((AND($U$4=TRUE,$U$5=FALSE,$U$6=TRUE,$U$7=FALSE)),VLOOKUP($E255,'Status Thresholds'!$E:$AR,15,FALSE),IF((AND($U$4=TRUE,$U$5=FALSE,$U$6=TRUE,$U$7=TRUE)),VLOOKUP($E255,'Status Thresholds'!$E:$AR,20,FALSE),IF((AND($U$4=TRUE,$U$5=FALSE,$U$6=FALSE,$U$7=TRUE)),VLOOKUP($E255,'Status Thresholds'!$E:$AR,10,FALSE),
IF((AND($U$4=FALSE,$U$5=TRUE,$U$6=FALSE,$U$7=FALSE)),VLOOKUP($E255,'Status Thresholds'!$E:$AR,25,FALSE),IF((AND($U$4=FALSE,$U$5=TRUE,$U$6=TRUE,$U$7=FALSE)),VLOOKUP($E255,'Status Thresholds'!$E:$AR,35,FALSE),IF((AND($U$4=FALSE,$U$5=TRUE,$U$6=TRUE,$U$7=TRUE)),VLOOKUP($E255,'Status Thresholds'!$E:$AR,40,FALSE),IF((AND($U$4=FALSE,$U$5=TRUE,$U$6=FALSE,$U$7=TRUE)),VLOOKUP($E255,'Status Thresholds'!$E:$AR,30,FALSE)))))))))
))/
IF(OR($X$5=TRUE,$AC$3=TRUE
),($F$5/2), IF(OR($X$2,$X$3,$X$4,$X$6,$X$7,$X$8,$Z$2,$Z$3,$Z$4,$Z$5,$Z$6,$Z$7,$Z$8)=TRUE,$F$5)),0),"-")</f>
        <v>-</v>
      </c>
      <c r="J255" s="46">
        <f>IFERROR(IF(AND($U$5=FALSE,$U$4=FALSE),"-",VLOOKUP($E255,'Status Thresholds'!$E:$AU,41,FALSE)),"-")</f>
        <v>60</v>
      </c>
      <c r="K255" s="46" t="str">
        <f>IFERROR(IF(AND($U$5=FALSE,$U$4=FALSE),"-",VLOOKUP($E255,'Status Thresholds'!$E:$AU,42,FALSE)),"-")</f>
        <v>-</v>
      </c>
      <c r="L255" s="46" t="str">
        <f>IFERROR(IF(AND($U$5=FALSE,$U$4=FALSE),"-",VLOOKUP($E255,'Status Thresholds'!$E:$AU,43,FALSE)),"-")</f>
        <v>-</v>
      </c>
    </row>
    <row r="256" spans="1:12" hidden="1" x14ac:dyDescent="0.25">
      <c r="A256" s="35"/>
      <c r="B256" s="64" t="str">
        <f>IF('Status Thresholds'!A251=0, "", 'Status Thresholds'!A251)</f>
        <v>Deviant</v>
      </c>
      <c r="C256" s="64" t="str">
        <f>IF('Status Thresholds'!B251=0, "", 'Status Thresholds'!B251)</f>
        <v>Dreadqueen Rathian</v>
      </c>
      <c r="D256" s="10" t="s">
        <v>22</v>
      </c>
      <c r="E256" s="36" t="str">
        <f t="shared" si="3"/>
        <v>Dreadqueen RathianExhaust</v>
      </c>
      <c r="F256" s="36" t="str">
        <f>IFERROR(
ROUNDUP(
IF(AND($U$5=FALSE,$U$4=FALSE),"-",IF(AND($U$5=TRUE,$U$4=TRUE),"-",
IF((AND($U$4=TRUE,$U$5=FALSE,$U$6=FALSE,$U$7=FALSE)),VLOOKUP($E256,'Status Thresholds'!$E:$AR,2,FALSE),IF((AND($U$4=TRUE,$U$5=FALSE,$U$6=TRUE,$U$7=FALSE)),VLOOKUP($E256,'Status Thresholds'!$E:$AR,12,FALSE),IF((AND($U$4=TRUE,$U$5=FALSE,$U$6=TRUE,$U$7=TRUE)),VLOOKUP($E256,'Status Thresholds'!$E:$AR,17,FALSE),IF((AND($U$4=TRUE,$U$5=FALSE,$U$6=FALSE,$U$7=TRUE)),VLOOKUP($E256,'Status Thresholds'!$E:$AR,7,FALSE),
IF((AND($U$4=FALSE,$U$5=TRUE,$U$6=FALSE,$U$7=FALSE)),VLOOKUP($E256,'Status Thresholds'!$E:$AR,22,FALSE),IF((AND($U$4=FALSE,$U$5=TRUE,$U$6=TRUE,$U$7=FALSE)),VLOOKUP($E256,'Status Thresholds'!$E:$AR,32,FALSE),IF((AND($U$4=FALSE,$U$5=TRUE,$U$6=TRUE,$U$7=TRUE)),VLOOKUP($E256,'Status Thresholds'!$E:$AR,37,FALSE),IF((AND($U$4=FALSE,$U$5=TRUE,$U$6=FALSE,$U$7=TRUE)),VLOOKUP($E256,'Status Thresholds'!$E:$AR,27,FALSE)))))))))
))/
IF(OR($X$5=TRUE,$AC$3=TRUE
),($F$6/2), IF(OR($X$2,$X$3,$X$4,$X$6,$X$7,$X$8,$Z$2,$Z$3,$Z$4,$Z$5,$Z$6,$Z$7,$Z$8)=TRUE,$F$6)),0),"-")</f>
        <v>-</v>
      </c>
      <c r="G256" s="36" t="str">
        <f>IFERROR(
ROUNDUP(
IF(AND($U$5=FALSE,$U$4=FALSE),"-",IF(AND($U$5=TRUE,$U$4=TRUE),"-",
IF((AND($U$4=TRUE,$U$5=FALSE,$U$6=FALSE,$U$7=FALSE)),VLOOKUP($E256,'Status Thresholds'!$E:$AR,3,FALSE),IF((AND($U$4=TRUE,$U$5=FALSE,$U$6=TRUE,$U$7=FALSE)),VLOOKUP($E256,'Status Thresholds'!$E:$AR,13,FALSE),IF((AND($U$4=TRUE,$U$5=FALSE,$U$6=TRUE,$U$7=TRUE)),VLOOKUP($E256,'Status Thresholds'!$E:$AR,18,FALSE),IF((AND($U$4=TRUE,$U$5=FALSE,$U$6=FALSE,$U$7=TRUE)),VLOOKUP($E256,'Status Thresholds'!$E:$AR,8,FALSE),
IF((AND($U$4=FALSE,$U$5=TRUE,$U$6=FALSE,$U$7=FALSE)),VLOOKUP($E256,'Status Thresholds'!$E:$AR,23,FALSE),IF((AND($U$4=FALSE,$U$5=TRUE,$U$6=TRUE,$U$7=FALSE)),VLOOKUP($E256,'Status Thresholds'!$E:$AR,33,FALSE),IF((AND($U$4=FALSE,$U$5=TRUE,$U$6=TRUE,$U$7=TRUE)),VLOOKUP($E256,'Status Thresholds'!$E:$AR,38,FALSE),IF((AND($U$4=FALSE,$U$5=TRUE,$U$6=FALSE,$U$7=TRUE)),VLOOKUP($E256,'Status Thresholds'!$E:$AR,28,FALSE)))))))))
))/
IF(OR($X$5=TRUE,$AC$3=TRUE
),($F$6/2), IF(OR($X$2,$X$3,$X$4,$X$6,$X$7,$X$8,$Z$2,$Z$3,$Z$4,$Z$5,$Z$6,$Z$7,$Z$8)=TRUE,$F$6)),0),"-")</f>
        <v>-</v>
      </c>
      <c r="H256" s="36" t="str">
        <f>IFERROR(
ROUNDUP(
IF(AND($U$5=FALSE,$U$4=FALSE),"-",IF(AND($U$5=TRUE,$U$4=TRUE),"-",
IF((AND($U$4=TRUE,$U$5=FALSE,$U$6=FALSE,$U$7=FALSE)),VLOOKUP($E256,'Status Thresholds'!$E:$AR,4,FALSE),IF((AND($U$4=TRUE,$U$5=FALSE,$U$6=TRUE,$U$7=FALSE)),VLOOKUP($E256,'Status Thresholds'!$E:$AR,14,FALSE),IF((AND($U$4=TRUE,$U$5=FALSE,$U$6=TRUE,$U$7=TRUE)),VLOOKUP($E256,'Status Thresholds'!$E:$AR,19,FALSE),IF((AND($U$4=TRUE,$U$5=FALSE,$U$6=FALSE,$U$7=TRUE)),VLOOKUP($E256,'Status Thresholds'!$E:$AR,9,FALSE),
IF((AND($U$4=FALSE,$U$5=TRUE,$U$6=FALSE,$U$7=FALSE)),VLOOKUP($E256,'Status Thresholds'!$E:$AR,24,FALSE),IF((AND($U$4=FALSE,$U$5=TRUE,$U$6=TRUE,$U$7=FALSE)),VLOOKUP($E256,'Status Thresholds'!$E:$AR,34,FALSE),IF((AND($U$4=FALSE,$U$5=TRUE,$U$6=TRUE,$U$7=TRUE)),VLOOKUP($E256,'Status Thresholds'!$E:$AR,39,FALSE),IF((AND($U$4=FALSE,$U$5=TRUE,$U$6=FALSE,$U$7=TRUE)),VLOOKUP($E256,'Status Thresholds'!$E:$AR,29,FALSE)))))))))
))/
IF(OR($X$5=TRUE,$AC$3=TRUE
),($F$6/2), IF(OR($X$2,$X$3,$X$4,$X$6,$X$7,$X$8,$Z$2,$Z$3,$Z$4,$Z$5,$Z$6,$Z$7,$Z$8)=TRUE,$F$6)),0),"-")</f>
        <v>-</v>
      </c>
      <c r="I256" s="36" t="str">
        <f>IFERROR(
ROUNDUP(
IF(AND($U$5=FALSE,$U$4=FALSE),"-",IF(AND($U$5=TRUE,$U$4=TRUE),"-",
IF((AND($U$4=TRUE,$U$5=FALSE,$U$6=FALSE,$U$7=FALSE)),VLOOKUP($E256,'Status Thresholds'!$E:$AR,5,FALSE),IF((AND($U$4=TRUE,$U$5=FALSE,$U$6=TRUE,$U$7=FALSE)),VLOOKUP($E256,'Status Thresholds'!$E:$AR,15,FALSE),IF((AND($U$4=TRUE,$U$5=FALSE,$U$6=TRUE,$U$7=TRUE)),VLOOKUP($E256,'Status Thresholds'!$E:$AR,20,FALSE),IF((AND($U$4=TRUE,$U$5=FALSE,$U$6=FALSE,$U$7=TRUE)),VLOOKUP($E256,'Status Thresholds'!$E:$AR,10,FALSE),
IF((AND($U$4=FALSE,$U$5=TRUE,$U$6=FALSE,$U$7=FALSE)),VLOOKUP($E256,'Status Thresholds'!$E:$AR,25,FALSE),IF((AND($U$4=FALSE,$U$5=TRUE,$U$6=TRUE,$U$7=FALSE)),VLOOKUP($E256,'Status Thresholds'!$E:$AR,35,FALSE),IF((AND($U$4=FALSE,$U$5=TRUE,$U$6=TRUE,$U$7=TRUE)),VLOOKUP($E256,'Status Thresholds'!$E:$AR,40,FALSE),IF((AND($U$4=FALSE,$U$5=TRUE,$U$6=FALSE,$U$7=TRUE)),VLOOKUP($E256,'Status Thresholds'!$E:$AR,30,FALSE)))))))))
))/
IF(OR($X$5=TRUE,$AC$3=TRUE
),($F$6/2), IF(OR($X$2,$X$3,$X$4,$X$6,$X$7,$X$8,$Z$2,$Z$3,$Z$4,$Z$5,$Z$6,$Z$7,$Z$8)=TRUE,$F$6)),0),"-")</f>
        <v>-</v>
      </c>
      <c r="J256" s="46">
        <f>IFERROR(IF(AND($U$5=FALSE,$U$4=FALSE),"-",VLOOKUP($E256,'Status Thresholds'!$E:$AU,41,FALSE)),"-")</f>
        <v>0</v>
      </c>
      <c r="K256" s="46" t="str">
        <f>IFERROR(IF(AND($U$5=FALSE,$U$4=FALSE),"-",VLOOKUP($E256,'Status Thresholds'!$E:$AU,42,FALSE)),"-")</f>
        <v>-</v>
      </c>
      <c r="L256" s="46" t="str">
        <f>IFERROR(IF(AND($U$5=FALSE,$U$4=FALSE),"-",VLOOKUP($E256,'Status Thresholds'!$E:$AU,43,FALSE)),"-")</f>
        <v>-</v>
      </c>
    </row>
    <row r="257" spans="1:12" hidden="1" x14ac:dyDescent="0.25">
      <c r="A257" s="35"/>
      <c r="B257" s="64" t="str">
        <f>IF('Status Thresholds'!A252=0, "", 'Status Thresholds'!A252)</f>
        <v>Deviant</v>
      </c>
      <c r="C257" s="64" t="str">
        <f>IF('Status Thresholds'!B252=0, "", 'Status Thresholds'!B252)</f>
        <v>Dreadqueen Rathian</v>
      </c>
      <c r="D257" s="30" t="s">
        <v>35</v>
      </c>
      <c r="E257" s="36" t="str">
        <f t="shared" si="3"/>
        <v>Dreadqueen RathianBlast</v>
      </c>
      <c r="F257" s="36" t="str">
        <f>IFERROR(
ROUNDUP(
IF(AND($U$5=FALSE,$U$4=FALSE),"-",IF(AND($U$5=TRUE,$U$4=TRUE),"-",
IF((AND($U$4=TRUE,$U$5=FALSE,$U$6=FALSE,$U$7=FALSE)),VLOOKUP($E257,'Status Thresholds'!$E:$AR,2,FALSE),IF((AND($U$4=TRUE,$U$5=FALSE,$U$6=TRUE,$U$7=FALSE)),VLOOKUP($E257,'Status Thresholds'!$E:$AR,12,FALSE),IF((AND($U$4=TRUE,$U$5=FALSE,$U$6=TRUE,$U$7=TRUE)),VLOOKUP($E257,'Status Thresholds'!$E:$AR,17,FALSE),IF((AND($U$4=TRUE,$U$5=FALSE,$U$6=FALSE,$U$7=TRUE)),VLOOKUP($E257,'Status Thresholds'!$E:$AR,7,FALSE),
IF((AND($U$4=FALSE,$U$5=TRUE,$U$6=FALSE,$U$7=FALSE)),VLOOKUP($E257,'Status Thresholds'!$E:$AR,22,FALSE),IF((AND($U$4=FALSE,$U$5=TRUE,$U$6=TRUE,$U$7=FALSE)),VLOOKUP($E257,'Status Thresholds'!$E:$AR,32,FALSE),IF((AND($U$4=FALSE,$U$5=TRUE,$U$6=TRUE,$U$7=TRUE)),VLOOKUP($E257,'Status Thresholds'!$E:$AR,37,FALSE),IF((AND($U$4=FALSE,$U$5=TRUE,$U$6=FALSE,$U$7=TRUE)),VLOOKUP($E257,'Status Thresholds'!$E:$AR,27,FALSE)))))))))
))/
IF(OR($X$5=TRUE,$AC$3=TRUE
),($F$7/2), IF(OR($X$2,$X$3,$X$4,$X$6,$X$7,$X$8,$Z$2,$Z$3,$Z$4,$Z$5,$Z$6,$Z$7,$Z$8)=TRUE,$F$7)),0),"-")</f>
        <v>-</v>
      </c>
      <c r="G257" s="36" t="str">
        <f>IFERROR(
ROUNDUP(
IF(AND($U$5=FALSE,$U$4=FALSE),"-",IF(AND($U$5=TRUE,$U$4=TRUE),"-",
IF((AND($U$4=TRUE,$U$5=FALSE,$U$6=FALSE,$U$7=FALSE)),VLOOKUP($E257,'Status Thresholds'!$E:$AR,3,FALSE),IF((AND($U$4=TRUE,$U$5=FALSE,$U$6=TRUE,$U$7=FALSE)),VLOOKUP($E257,'Status Thresholds'!$E:$AR,13,FALSE),IF((AND($U$4=TRUE,$U$5=FALSE,$U$6=TRUE,$U$7=TRUE)),VLOOKUP($E257,'Status Thresholds'!$E:$AR,18,FALSE),IF((AND($U$4=TRUE,$U$5=FALSE,$U$6=FALSE,$U$7=TRUE)),VLOOKUP($E257,'Status Thresholds'!$E:$AR,8,FALSE),
IF((AND($U$4=FALSE,$U$5=TRUE,$U$6=FALSE,$U$7=FALSE)),VLOOKUP($E257,'Status Thresholds'!$E:$AR,23,FALSE),IF((AND($U$4=FALSE,$U$5=TRUE,$U$6=TRUE,$U$7=FALSE)),VLOOKUP($E257,'Status Thresholds'!$E:$AR,33,FALSE),IF((AND($U$4=FALSE,$U$5=TRUE,$U$6=TRUE,$U$7=TRUE)),VLOOKUP($E257,'Status Thresholds'!$E:$AR,38,FALSE),IF((AND($U$4=FALSE,$U$5=TRUE,$U$6=FALSE,$U$7=TRUE)),VLOOKUP($E257,'Status Thresholds'!$E:$AR,28,FALSE)))))))))
))/
IF(OR($X$5=TRUE,$AC$3=TRUE
),($F$7/2), IF(OR($X$2,$X$3,$X$4,$X$6,$X$7,$X$8,$Z$2,$Z$3,$Z$4,$Z$5,$Z$6,$Z$7,$Z$8)=TRUE,$F$7)),0),"-")</f>
        <v>-</v>
      </c>
      <c r="H257" s="36" t="str">
        <f>IFERROR(
ROUNDUP(
IF(AND($U$5=FALSE,$U$4=FALSE),"-",IF(AND($U$5=TRUE,$U$4=TRUE),"-",
IF((AND($U$4=TRUE,$U$5=FALSE,$U$6=FALSE,$U$7=FALSE)),VLOOKUP($E257,'Status Thresholds'!$E:$AR,4,FALSE),IF((AND($U$4=TRUE,$U$5=FALSE,$U$6=TRUE,$U$7=FALSE)),VLOOKUP($E257,'Status Thresholds'!$E:$AR,14,FALSE),IF((AND($U$4=TRUE,$U$5=FALSE,$U$6=TRUE,$U$7=TRUE)),VLOOKUP($E257,'Status Thresholds'!$E:$AR,19,FALSE),IF((AND($U$4=TRUE,$U$5=FALSE,$U$6=FALSE,$U$7=TRUE)),VLOOKUP($E257,'Status Thresholds'!$E:$AR,9,FALSE),
IF((AND($U$4=FALSE,$U$5=TRUE,$U$6=FALSE,$U$7=FALSE)),VLOOKUP($E257,'Status Thresholds'!$E:$AR,24,FALSE),IF((AND($U$4=FALSE,$U$5=TRUE,$U$6=TRUE,$U$7=FALSE)),VLOOKUP($E257,'Status Thresholds'!$E:$AR,34,FALSE),IF((AND($U$4=FALSE,$U$5=TRUE,$U$6=TRUE,$U$7=TRUE)),VLOOKUP($E257,'Status Thresholds'!$E:$AR,39,FALSE),IF((AND($U$4=FALSE,$U$5=TRUE,$U$6=FALSE,$U$7=TRUE)),VLOOKUP($E257,'Status Thresholds'!$E:$AR,29,FALSE)))))))))
))/
IF(OR($X$5=TRUE,$AC$3=TRUE
),($F$7/2), IF(OR($X$2,$X$3,$X$4,$X$6,$X$7,$X$8,$Z$2,$Z$3,$Z$4,$Z$5,$Z$6,$Z$7,$Z$8)=TRUE,$F$7)),0),"-")</f>
        <v>-</v>
      </c>
      <c r="I257" s="36" t="str">
        <f>IFERROR(
ROUNDUP(
IF(AND($U$5=FALSE,$U$4=FALSE),"-",IF(AND($U$5=TRUE,$U$4=TRUE),"-",
IF((AND($U$4=TRUE,$U$5=FALSE,$U$6=FALSE,$U$7=FALSE)),VLOOKUP($E257,'Status Thresholds'!$E:$AR,5,FALSE),IF((AND($U$4=TRUE,$U$5=FALSE,$U$6=TRUE,$U$7=FALSE)),VLOOKUP($E257,'Status Thresholds'!$E:$AR,15,FALSE),IF((AND($U$4=TRUE,$U$5=FALSE,$U$6=TRUE,$U$7=TRUE)),VLOOKUP($E257,'Status Thresholds'!$E:$AR,20,FALSE),IF((AND($U$4=TRUE,$U$5=FALSE,$U$6=FALSE,$U$7=TRUE)),VLOOKUP($E257,'Status Thresholds'!$E:$AR,10,FALSE),
IF((AND($U$4=FALSE,$U$5=TRUE,$U$6=FALSE,$U$7=FALSE)),VLOOKUP($E257,'Status Thresholds'!$E:$AR,25,FALSE),IF((AND($U$4=FALSE,$U$5=TRUE,$U$6=TRUE,$U$7=FALSE)),VLOOKUP($E257,'Status Thresholds'!$E:$AR,35,FALSE),IF((AND($U$4=FALSE,$U$5=TRUE,$U$6=TRUE,$U$7=TRUE)),VLOOKUP($E257,'Status Thresholds'!$E:$AR,40,FALSE),IF((AND($U$4=FALSE,$U$5=TRUE,$U$6=FALSE,$U$7=TRUE)),VLOOKUP($E257,'Status Thresholds'!$E:$AR,30,FALSE)))))))))
))/
IF(OR($X$5=TRUE,$AC$3=TRUE
),($F$7/2), IF(OR($X$2,$X$3,$X$4,$X$6,$X$7,$X$8,$Z$2,$Z$3,$Z$4,$Z$5,$Z$6,$Z$7,$Z$8)=TRUE,$F$7)),0),"-")</f>
        <v>-</v>
      </c>
      <c r="J257" s="46">
        <f>IFERROR(IF(AND($U$5=FALSE,$U$4=FALSE),"-",VLOOKUP($E257,'Status Thresholds'!$E:$AU,41,FALSE)),"-")</f>
        <v>0</v>
      </c>
      <c r="K257" s="46" t="str">
        <f>IFERROR(IF(AND($U$5=FALSE,$U$4=FALSE),"-",VLOOKUP($E257,'Status Thresholds'!$E:$AU,42,FALSE)),"-")</f>
        <v>-</v>
      </c>
      <c r="L257" s="46" t="str">
        <f>IFERROR(IF(AND($U$5=FALSE,$U$4=FALSE),"-",VLOOKUP($E257,'Status Thresholds'!$E:$AU,43,FALSE)),"-")</f>
        <v>-</v>
      </c>
    </row>
    <row r="258" spans="1:12" ht="14.45" hidden="1" customHeight="1" x14ac:dyDescent="0.25">
      <c r="A258" s="35"/>
      <c r="B258" s="64" t="str">
        <f>IF('Status Thresholds'!A253=0, "", 'Status Thresholds'!A253)</f>
        <v>Deviant</v>
      </c>
      <c r="C258" s="64" t="str">
        <f>IF('Status Thresholds'!B253=0, "", 'Status Thresholds'!B253)</f>
        <v>Dreadqueen Rathian</v>
      </c>
      <c r="D258" s="34" t="s">
        <v>14</v>
      </c>
      <c r="E258" s="36" t="str">
        <f t="shared" si="3"/>
        <v>Dreadqueen RathianKO</v>
      </c>
      <c r="F258" s="36" t="s">
        <v>214</v>
      </c>
      <c r="G258" s="36" t="s">
        <v>214</v>
      </c>
      <c r="H258" s="36" t="s">
        <v>214</v>
      </c>
      <c r="I258" s="36" t="s">
        <v>214</v>
      </c>
      <c r="J258" s="46">
        <f>IFERROR(IF(AND($U$5=FALSE,$U$4=FALSE),"-",VLOOKUP($E258,'Status Thresholds'!$E:$AU,41,FALSE)),"-")</f>
        <v>10</v>
      </c>
      <c r="K258" s="46" t="str">
        <f>IFERROR(IF(AND($U$5=FALSE,$U$4=FALSE),"-",VLOOKUP($E258,'Status Thresholds'!$E:$AU,42,FALSE)),"-")</f>
        <v>-</v>
      </c>
      <c r="L258" s="46" t="str">
        <f>IFERROR(IF(AND($U$5=FALSE,$U$4=FALSE),"-",VLOOKUP($E258,'Status Thresholds'!$E:$AU,43,FALSE)),"-")</f>
        <v>-</v>
      </c>
    </row>
    <row r="259" spans="1:12" hidden="1" x14ac:dyDescent="0.25">
      <c r="A259" s="35"/>
      <c r="B259" s="64" t="str">
        <f>IF('Status Thresholds'!A254=0, "", 'Status Thresholds'!A254)</f>
        <v>Deviant</v>
      </c>
      <c r="C259" s="64" t="str">
        <f>IF('Status Thresholds'!B254=0, "", 'Status Thresholds'!B254)</f>
        <v>Dreadqueen Rathian</v>
      </c>
      <c r="D259" s="33" t="s">
        <v>34</v>
      </c>
      <c r="E259" s="36" t="str">
        <f t="shared" si="3"/>
        <v>Dreadqueen RathianMount</v>
      </c>
      <c r="F259" s="36" t="str">
        <f>IFERROR(
ROUNDUP(
IF(AND($U$5=FALSE,$U$4=FALSE),"-",IF(AND($U$5=TRUE,$U$4=TRUE),"-",
IF((AND($U$4=TRUE,$U$5=FALSE,$U$6=FALSE,$U$7=FALSE)),VLOOKUP($E259,'Status Thresholds'!$E:$AR,2,FALSE),IF((AND($U$4=TRUE,$U$5=FALSE,$U$6=TRUE,$U$7=FALSE)),VLOOKUP($E259,'Status Thresholds'!$E:$AR,12,FALSE),IF((AND($U$4=TRUE,$U$5=FALSE,$U$6=TRUE,$U$7=TRUE)),VLOOKUP($E259,'Status Thresholds'!$E:$AR,17,FALSE),IF((AND($U$4=TRUE,$U$5=FALSE,$U$6=FALSE,$U$7=TRUE)),VLOOKUP($E259,'Status Thresholds'!$E:$AR,7,FALSE),
IF((AND($U$4=FALSE,$U$5=TRUE,$U$6=FALSE,$U$7=FALSE)),VLOOKUP($E259,'Status Thresholds'!$E:$AR,22,FALSE),IF((AND($U$4=FALSE,$U$5=TRUE,$U$6=TRUE,$U$7=FALSE)),VLOOKUP($E259,'Status Thresholds'!$E:$AR,32,FALSE),IF((AND($U$4=FALSE,$U$5=TRUE,$U$6=TRUE,$U$7=TRUE)),VLOOKUP($E259,'Status Thresholds'!$E:$AR,37,FALSE),IF((AND($U$4=FALSE,$U$5=TRUE,$U$6=FALSE,$U$7=TRUE)),VLOOKUP($E259,'Status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259" s="36" t="str">
        <f>IFERROR(
ROUNDUP(
IF(AND($U$5=FALSE,$U$4=FALSE),"-",IF(AND($U$5=TRUE,$U$4=TRUE),"-",
IF((AND($U$4=TRUE,$U$5=FALSE,$U$6=FALSE,$U$7=FALSE)),VLOOKUP($E258,'Status Thresholds'!$E:$AR,3,FALSE),IF((AND($U$4=TRUE,$U$5=FALSE,$U$6=TRUE,$U$7=FALSE)),VLOOKUP($E258,'Status Thresholds'!$E:$AR,13,FALSE),IF((AND($U$4=TRUE,$U$5=FALSE,$U$6=TRUE,$U$7=TRUE)),VLOOKUP($E258,'Status Thresholds'!$E:$AR,18,FALSE),IF((AND($U$4=TRUE,$U$5=FALSE,$U$6=FALSE,$U$7=TRUE)),VLOOKUP($E258,'Status Thresholds'!$E:$AR,8,FALSE),
IF((AND($U$4=FALSE,$U$5=TRUE,$U$6=FALSE,$U$7=FALSE)),VLOOKUP($E258,'Status Thresholds'!$E:$AR,23,FALSE),IF((AND($U$4=FALSE,$U$5=TRUE,$U$6=TRUE,$U$7=FALSE)),VLOOKUP($E258,'Status Thresholds'!$E:$AR,33,FALSE),IF((AND($U$4=FALSE,$U$5=TRUE,$U$6=TRUE,$U$7=TRUE)),VLOOKUP($E258,'Status Thresholds'!$E:$AR,38,FALSE),IF((AND($U$4=FALSE,$U$5=TRUE,$U$6=FALSE,$U$7=TRUE)),VLOOKUP($E258,'Status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259" s="36" t="str">
        <f>IFERROR(
ROUNDUP(
IF(AND($U$5=FALSE,$U$4=FALSE),"-",IF(AND($U$5=TRUE,$U$4=TRUE),"-",
IF((AND($U$4=TRUE,$U$5=FALSE,$U$6=FALSE,$U$7=FALSE)),VLOOKUP($E258,'Status Thresholds'!$E:$AR,4,FALSE),IF((AND($U$4=TRUE,$U$5=FALSE,$U$6=TRUE,$U$7=FALSE)),VLOOKUP($E258,'Status Thresholds'!$E:$AR,14,FALSE),IF((AND($U$4=TRUE,$U$5=FALSE,$U$6=TRUE,$U$7=TRUE)),VLOOKUP($E258,'Status Thresholds'!$E:$AR,19,FALSE),IF((AND($U$4=TRUE,$U$5=FALSE,$U$6=FALSE,$U$7=TRUE)),VLOOKUP($E258,'Status Thresholds'!$E:$AR,9,FALSE),
IF((AND($U$4=FALSE,$U$5=TRUE,$U$6=FALSE,$U$7=FALSE)),VLOOKUP($E258,'Status Thresholds'!$E:$AR,24,FALSE),IF((AND($U$4=FALSE,$U$5=TRUE,$U$6=TRUE,$U$7=FALSE)),VLOOKUP($E258,'Status Thresholds'!$E:$AR,34,FALSE),IF((AND($U$4=FALSE,$U$5=TRUE,$U$6=TRUE,$U$7=TRUE)),VLOOKUP($E258,'Status Thresholds'!$E:$AR,39,FALSE),IF((AND($U$4=FALSE,$U$5=TRUE,$U$6=FALSE,$U$7=TRUE)),VLOOKUP($E258,'Status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259" s="36" t="str">
        <f>IFERROR(
ROUNDUP(
IF(AND($U$5=FALSE,$U$4=FALSE),"-",IF(AND($U$5=TRUE,$U$4=TRUE),"-",
IF((AND($U$4=TRUE,$U$5=FALSE,$U$6=FALSE,$U$7=FALSE)),VLOOKUP($E258,'Status Thresholds'!$E:$AR,5,FALSE),IF((AND($U$4=TRUE,$U$5=FALSE,$U$6=TRUE,$U$7=FALSE)),VLOOKUP($E258,'Status Thresholds'!$E:$AR,15,FALSE),IF((AND($U$4=TRUE,$U$5=FALSE,$U$6=TRUE,$U$7=TRUE)),VLOOKUP($E258,'Status Thresholds'!$E:$AR,20,FALSE),IF((AND($U$4=TRUE,$U$5=FALSE,$U$6=FALSE,$U$7=TRUE)),VLOOKUP($E258,'Status Thresholds'!$E:$AR,10,FALSE),
IF((AND($U$4=FALSE,$U$5=TRUE,$U$6=FALSE,$U$7=FALSE)),VLOOKUP($E258,'Status Thresholds'!$E:$AR,25,FALSE),IF((AND($U$4=FALSE,$U$5=TRUE,$U$6=TRUE,$U$7=FALSE)),VLOOKUP($E258,'Status Thresholds'!$E:$AR,35,FALSE),IF((AND($U$4=FALSE,$U$5=TRUE,$U$6=TRUE,$U$7=TRUE)),VLOOKUP($E258,'Status Thresholds'!$E:$AR,40,FALSE),IF((AND($U$4=FALSE,$U$5=TRUE,$U$6=FALSE,$U$7=TRUE)),VLOOKUP($E258,'Status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259" s="46">
        <f>IFERROR(IF(AND($U$5=FALSE,$U$4=FALSE),"-",VLOOKUP($E259,'Status Thresholds'!$E:$AU,41,FALSE)),"-")</f>
        <v>0</v>
      </c>
      <c r="K259" s="46" t="str">
        <f>IFERROR(IF(AND($U$5=FALSE,$U$4=FALSE),"-",VLOOKUP($E259,'Status Thresholds'!$E:$AU,42,FALSE)),"-")</f>
        <v>-</v>
      </c>
      <c r="L259" s="46" t="str">
        <f>IFERROR(IF(AND($U$5=FALSE,$U$4=FALSE),"-",VLOOKUP($E259,'Status Thresholds'!$E:$AU,43,FALSE)),"-")</f>
        <v>-</v>
      </c>
    </row>
    <row r="260" spans="1:12" ht="15" hidden="1" customHeight="1" x14ac:dyDescent="0.25">
      <c r="A260" s="35"/>
      <c r="B260" s="64" t="str">
        <f>IF('Status Thresholds'!A255=0, "", 'Status Thresholds'!A255)</f>
        <v>Deviant</v>
      </c>
      <c r="C260" s="64" t="str">
        <f>IF('Status Thresholds'!B255=0, "", 'Status Thresholds'!B255)</f>
        <v>Dreadqueen Rathian</v>
      </c>
      <c r="D260" s="77" t="s">
        <v>207</v>
      </c>
      <c r="E260" s="36" t="str">
        <f t="shared" si="3"/>
        <v>Dreadqueen RathianShock Trap</v>
      </c>
      <c r="F260" s="76" t="s">
        <v>214</v>
      </c>
      <c r="G260" s="46" t="s">
        <v>214</v>
      </c>
      <c r="H260" s="46" t="s">
        <v>214</v>
      </c>
      <c r="I260" s="46" t="s">
        <v>214</v>
      </c>
      <c r="J260" s="46">
        <f>IFERROR(IF(AND($U$5=FALSE,$U$4=FALSE),"-",VLOOKUP($E260,'Status Thresholds'!$E:$AU,43,FALSE)),"-")</f>
        <v>8</v>
      </c>
      <c r="K260" s="46">
        <f>IFERROR(IF(AND($U$5=FALSE,$U$4=FALSE),"-",VLOOKUP($E260,'Status Thresholds'!$E:$AU,41,FALSE)),"-")</f>
        <v>5</v>
      </c>
      <c r="L260" s="46">
        <f>IFERROR(IF(AND($U$5=FALSE,$U$4=FALSE),"-",VLOOKUP($E260,'Status Thresholds'!$E:$AU,42,FALSE)),"-")</f>
        <v>15</v>
      </c>
    </row>
    <row r="261" spans="1:12" hidden="1" x14ac:dyDescent="0.25">
      <c r="A261" s="35"/>
      <c r="B261" s="64" t="str">
        <f>IF('Status Thresholds'!A256=0, "", 'Status Thresholds'!A256)</f>
        <v>Deviant</v>
      </c>
      <c r="C261" s="64" t="str">
        <f>IF('Status Thresholds'!B256=0, "", 'Status Thresholds'!B256)</f>
        <v>Dreadqueen Rathian</v>
      </c>
      <c r="D261" s="77" t="s">
        <v>213</v>
      </c>
      <c r="E261" s="36" t="str">
        <f t="shared" si="3"/>
        <v>Dreadqueen RathianPitfall Trap</v>
      </c>
      <c r="F261" s="46" t="s">
        <v>214</v>
      </c>
      <c r="G261" s="46" t="s">
        <v>214</v>
      </c>
      <c r="H261" s="46" t="s">
        <v>214</v>
      </c>
      <c r="I261" s="46" t="s">
        <v>214</v>
      </c>
      <c r="J261" s="46">
        <f>IFERROR(IF(AND($U$5=FALSE,$U$4=FALSE),"-",VLOOKUP($E261,'Status Thresholds'!$E:$AU,43,FALSE)),"-")</f>
        <v>12</v>
      </c>
      <c r="K261" s="46">
        <f>IFERROR(IF(AND($U$5=FALSE,$U$4=FALSE),"-",VLOOKUP($E261,'Status Thresholds'!$E:$AU,41,FALSE)),"-")</f>
        <v>10</v>
      </c>
      <c r="L261" s="46">
        <f>IFERROR(IF(AND($U$5=FALSE,$U$4=FALSE),"-",VLOOKUP($E261,'Status Thresholds'!$E:$AU,42,FALSE)),"-")</f>
        <v>25</v>
      </c>
    </row>
    <row r="262" spans="1:12" s="36" customFormat="1" hidden="1" x14ac:dyDescent="0.25">
      <c r="A262" s="64"/>
      <c r="B262" s="64" t="str">
        <f>IF('Status Thresholds'!A257=0, "", 'Status Thresholds'!A257)</f>
        <v>Deviant</v>
      </c>
      <c r="C262" s="64" t="str">
        <f>IF('Status Thresholds'!B257=0, "", 'Status Thresholds'!B257)</f>
        <v>Drilltusk Tetsucabra</v>
      </c>
      <c r="D262" s="37" t="s">
        <v>0</v>
      </c>
      <c r="E262" s="36" t="str">
        <f t="shared" si="3"/>
        <v>Drilltusk TetsucabraPara</v>
      </c>
      <c r="F262" s="36" t="str">
        <f>IFERROR(
ROUNDUP(
IF(AND($U$5=FALSE,$U$4=FALSE),"-",IF(AND($U$5=TRUE,$U$4=TRUE),"-",
IF((AND($U$4=TRUE,$U$5=FALSE,$U$6=FALSE,$U$7=FALSE)),VLOOKUP($E262,'Status Thresholds'!$E:$AR,2,FALSE),IF((AND($U$4=TRUE,$U$5=FALSE,$U$6=TRUE,$U$7=FALSE)),VLOOKUP($E262,'Status Thresholds'!$E:$AR,12,FALSE),IF((AND($U$4=TRUE,$U$5=FALSE,$U$6=TRUE,$U$7=TRUE)),VLOOKUP($E262,'Status Thresholds'!$E:$AR,17,FALSE),IF((AND($U$4=TRUE,$U$5=FALSE,$U$6=FALSE,$U$7=TRUE)),VLOOKUP($E262,'Status Thresholds'!$E:$AR,7,FALSE),
IF((AND($U$4=FALSE,$U$5=TRUE,$U$6=FALSE,$U$7=FALSE)),VLOOKUP($E262,'Status Thresholds'!$E:$AR,22,FALSE),IF((AND($U$4=FALSE,$U$5=TRUE,$U$6=TRUE,$U$7=FALSE)),VLOOKUP($E262,'Status Thresholds'!$E:$AR,32,FALSE),IF((AND($U$4=FALSE,$U$5=TRUE,$U$6=TRUE,$U$7=TRUE)),VLOOKUP($E262,'Status Thresholds'!$E:$AR,37,FALSE),IF((AND($U$4=FALSE,$U$5=TRUE,$U$6=FALSE,$U$7=TRUE)),VLOOKUP($E262,'Status Thresholds'!$E:$AR,27,FALSE)))))))))
))/
IF(OR($X$5=TRUE,$AC$3=TRUE
),($F$3/2), IF(OR($X$2,$X$3,$X$4,$X$6,$X$7,$X$8,$Z$2,$Z$3,$Z$4,$Z$5,$Z$6,$Z$7,$Z$8)=TRUE,$F$3)),0),"-")</f>
        <v>-</v>
      </c>
      <c r="G262" s="36" t="str">
        <f>IFERROR(
ROUNDUP(
IF(AND($U$5=FALSE,$U$4=FALSE),"-",IF(AND($U$5=TRUE,$U$4=TRUE),"-",
IF((AND($U$4=TRUE,$U$5=FALSE,$U$6=FALSE,$U$7=FALSE)),VLOOKUP($E262,'Status Thresholds'!$E:$AR,3,FALSE),IF((AND($U$4=TRUE,$U$5=FALSE,$U$6=TRUE,$U$7=FALSE)),VLOOKUP($E262,'Status Thresholds'!$E:$AR,13,FALSE),IF((AND($U$4=TRUE,$U$5=FALSE,$U$6=TRUE,$U$7=TRUE)),VLOOKUP($E262,'Status Thresholds'!$E:$AR,18,FALSE),IF((AND($U$4=TRUE,$U$5=FALSE,$U$6=FALSE,$U$7=TRUE)),VLOOKUP($E262,'Status Thresholds'!$E:$AR,8,FALSE),
IF((AND($U$4=FALSE,$U$5=TRUE,$U$6=FALSE,$U$7=FALSE)),VLOOKUP($E262,'Status Thresholds'!$E:$AR,23,FALSE),IF((AND($U$4=FALSE,$U$5=TRUE,$U$6=TRUE,$U$7=FALSE)),VLOOKUP($E262,'Status Thresholds'!$E:$AR,33,FALSE),IF((AND($U$4=FALSE,$U$5=TRUE,$U$6=TRUE,$U$7=TRUE)),VLOOKUP($E262,'Status Thresholds'!$E:$AR,38,FALSE),IF((AND($U$4=FALSE,$U$5=TRUE,$U$6=FALSE,$U$7=TRUE)),VLOOKUP($E262,'Status Thresholds'!$E:$AR,28,FALSE)))))))))
))/
IF(OR($X$5=TRUE,$AC$3=TRUE
),($F$3/2), IF(OR($X$2,$X$3,$X$4,$X$6,$X$7,$X$8,$Z$2,$Z$3,$Z$4,$Z$5,$Z$6,$Z$7,$Z$8)=TRUE,$F$3)),0),"-")</f>
        <v>-</v>
      </c>
      <c r="H262" s="36" t="str">
        <f>IFERROR(
ROUNDUP(
IF(AND($U$5=FALSE,$U$4=FALSE),"-",IF(AND($U$5=TRUE,$U$4=TRUE),"-",
IF((AND($U$4=TRUE,$U$5=FALSE,$U$6=FALSE,$U$7=FALSE)),VLOOKUP($E262,'Status Thresholds'!$E:$AR,4,FALSE),IF((AND($U$4=TRUE,$U$5=FALSE,$U$6=TRUE,$U$7=FALSE)),VLOOKUP($E262,'Status Thresholds'!$E:$AR,14,FALSE),IF((AND($U$4=TRUE,$U$5=FALSE,$U$6=TRUE,$U$7=TRUE)),VLOOKUP($E262,'Status Thresholds'!$E:$AR,19,FALSE),IF((AND($U$4=TRUE,$U$5=FALSE,$U$6=FALSE,$U$7=TRUE)),VLOOKUP($E262,'Status Thresholds'!$E:$AR,9,FALSE),
IF((AND($U$4=FALSE,$U$5=TRUE,$U$6=FALSE,$U$7=FALSE)),VLOOKUP($E262,'Status Thresholds'!$E:$AR,24,FALSE),IF((AND($U$4=FALSE,$U$5=TRUE,$U$6=TRUE,$U$7=FALSE)),VLOOKUP($E262,'Status Thresholds'!$E:$AR,34,FALSE),IF((AND($U$4=FALSE,$U$5=TRUE,$U$6=TRUE,$U$7=TRUE)),VLOOKUP($E262,'Status Thresholds'!$E:$AR,39,FALSE),IF((AND($U$4=FALSE,$U$5=TRUE,$U$6=FALSE,$U$7=TRUE)),VLOOKUP($E262,'Status Thresholds'!$E:$AR,29,FALSE)))))))))
))/
IF(OR($X$5=TRUE,$AC$3=TRUE
),($F$3/2), IF(OR($X$2,$X$3,$X$4,$X$6,$X$7,$X$8,$Z$2,$Z$3,$Z$4,$Z$5,$Z$6,$Z$7,$Z$8)=TRUE,$F$3)),0),"-")</f>
        <v>-</v>
      </c>
      <c r="I262" s="36" t="str">
        <f>IFERROR(
ROUNDUP(
IF(AND($U$5=FALSE,$U$4=FALSE),"-",IF(AND($U$5=TRUE,$U$4=TRUE),"-",
IF((AND($U$4=TRUE,$U$5=FALSE,$U$6=FALSE,$U$7=FALSE)),VLOOKUP($E262,'Status Thresholds'!$E:$AR,5,FALSE),IF((AND($U$4=TRUE,$U$5=FALSE,$U$6=TRUE,$U$7=FALSE)),VLOOKUP($E262,'Status Thresholds'!$E:$AR,15,FALSE),IF((AND($U$4=TRUE,$U$5=FALSE,$U$6=TRUE,$U$7=TRUE)),VLOOKUP($E262,'Status Thresholds'!$E:$AR,20,FALSE),IF((AND($U$4=TRUE,$U$5=FALSE,$U$6=FALSE,$U$7=TRUE)),VLOOKUP($E262,'Status Thresholds'!$E:$AR,10,FALSE),
IF((AND($U$4=FALSE,$U$5=TRUE,$U$6=FALSE,$U$7=FALSE)),VLOOKUP($E262,'Status Thresholds'!$E:$AR,25,FALSE),IF((AND($U$4=FALSE,$U$5=TRUE,$U$6=TRUE,$U$7=FALSE)),VLOOKUP($E262,'Status Thresholds'!$E:$AR,35,FALSE),IF((AND($U$4=FALSE,$U$5=TRUE,$U$6=TRUE,$U$7=TRUE)),VLOOKUP($E262,'Status Thresholds'!$E:$AR,40,FALSE),IF((AND($U$4=FALSE,$U$5=TRUE,$U$6=FALSE,$U$7=TRUE)),VLOOKUP($E262,'Status Thresholds'!$E:$AR,30,FALSE)))))))))
))/
IF(OR($X$5=TRUE,$AC$3=TRUE
),($F$3/2), IF(OR($X$2,$X$3,$X$4,$X$6,$X$7,$X$8,$Z$2,$Z$3,$Z$4,$Z$5,$Z$6,$Z$7,$Z$8)=TRUE,$F$3)),0),"-")</f>
        <v>-</v>
      </c>
      <c r="J262" s="36">
        <f>IFERROR(IF(AND($U$5=FALSE,$U$4=FALSE),"-",VLOOKUP($E262,'Status Thresholds'!$E:$AU,41,FALSE)),"-")</f>
        <v>10</v>
      </c>
      <c r="K262" s="36" t="str">
        <f>IFERROR(IF(AND($U$5=FALSE,$U$4=FALSE),"-",VLOOKUP($E262,'Status Thresholds'!$E:$AU,42,FALSE)),"-")</f>
        <v>-</v>
      </c>
      <c r="L262" s="36" t="str">
        <f>IFERROR(IF(AND($U$5=FALSE,$U$4=FALSE),"-",VLOOKUP($E262,'Status Thresholds'!$E:$AU,43,FALSE)),"-")</f>
        <v>-</v>
      </c>
    </row>
    <row r="263" spans="1:12" hidden="1" x14ac:dyDescent="0.25">
      <c r="A263" s="35"/>
      <c r="B263" s="64" t="str">
        <f>IF('Status Thresholds'!A258=0, "", 'Status Thresholds'!A258)</f>
        <v>Deviant</v>
      </c>
      <c r="C263" s="64" t="str">
        <f>IF('Status Thresholds'!B258=0, "", 'Status Thresholds'!B258)</f>
        <v>Drilltusk Tetsucabra</v>
      </c>
      <c r="D263" s="31" t="s">
        <v>32</v>
      </c>
      <c r="E263" s="36" t="str">
        <f t="shared" si="3"/>
        <v>Drilltusk TetsucabraSleep</v>
      </c>
      <c r="F263" s="36" t="str">
        <f>IFERROR(
ROUNDUP(
IF(AND($U$5=FALSE,$U$4=FALSE),"-",IF(AND($U$5=TRUE,$U$4=TRUE),"-",
IF((AND($U$4=TRUE,$U$5=FALSE,$U$6=FALSE,$U$7=FALSE)),VLOOKUP($E263,'Status Thresholds'!$E:$AR,2,FALSE),IF((AND($U$4=TRUE,$U$5=FALSE,$U$6=TRUE,$U$7=FALSE)),VLOOKUP($E263,'Status Thresholds'!$E:$AR,12,FALSE),IF((AND($U$4=TRUE,$U$5=FALSE,$U$6=TRUE,$U$7=TRUE)),VLOOKUP($E263,'Status Thresholds'!$E:$AR,17,FALSE),IF((AND($U$4=TRUE,$U$5=FALSE,$U$6=FALSE,$U$7=TRUE)),VLOOKUP($E263,'Status Thresholds'!$E:$AR,7,FALSE),
IF((AND($U$4=FALSE,$U$5=TRUE,$U$6=FALSE,$U$7=FALSE)),VLOOKUP($E263,'Status Thresholds'!$E:$AR,22,FALSE),IF((AND($U$4=FALSE,$U$5=TRUE,$U$6=TRUE,$U$7=FALSE)),VLOOKUP($E263,'Status Thresholds'!$E:$AR,32,FALSE),IF((AND($U$4=FALSE,$U$5=TRUE,$U$6=TRUE,$U$7=TRUE)),VLOOKUP($E263,'Status Thresholds'!$E:$AR,37,FALSE),IF((AND($U$4=FALSE,$U$5=TRUE,$U$6=FALSE,$U$7=TRUE)),VLOOKUP($E263,'Status Thresholds'!$E:$AR,27,FALSE)))))))))
))/
IF(OR($X$5=TRUE,$AC$3=TRUE
),($F$4/2), IF(OR($X$2,$X$3,$X$4,$X$6,$X$7,$X$8,$Z$2,$Z$3,$Z$4,$Z$5,$Z$6,$Z$7,$Z$8)=TRUE,$F$4)),0),"-")</f>
        <v>-</v>
      </c>
      <c r="G263" s="36" t="str">
        <f>IFERROR(
ROUNDUP(
IF(AND($U$5=FALSE,$U$4=FALSE),"-",IF(AND($U$5=TRUE,$U$4=TRUE),"-",
IF((AND($U$4=TRUE,$U$5=FALSE,$U$6=FALSE,$U$7=FALSE)),VLOOKUP($E263,'Status Thresholds'!$E:$AR,3,FALSE),IF((AND($U$4=TRUE,$U$5=FALSE,$U$6=TRUE,$U$7=FALSE)),VLOOKUP($E263,'Status Thresholds'!$E:$AR,13,FALSE),IF((AND($U$4=TRUE,$U$5=FALSE,$U$6=TRUE,$U$7=TRUE)),VLOOKUP($E263,'Status Thresholds'!$E:$AR,18,FALSE),IF((AND($U$4=TRUE,$U$5=FALSE,$U$6=FALSE,$U$7=TRUE)),VLOOKUP($E263,'Status Thresholds'!$E:$AR,8,FALSE),
IF((AND($U$4=FALSE,$U$5=TRUE,$U$6=FALSE,$U$7=FALSE)),VLOOKUP($E263,'Status Thresholds'!$E:$AR,23,FALSE),IF((AND($U$4=FALSE,$U$5=TRUE,$U$6=TRUE,$U$7=FALSE)),VLOOKUP($E263,'Status Thresholds'!$E:$AR,33,FALSE),IF((AND($U$4=FALSE,$U$5=TRUE,$U$6=TRUE,$U$7=TRUE)),VLOOKUP($E263,'Status Thresholds'!$E:$AR,38,FALSE),IF((AND($U$4=FALSE,$U$5=TRUE,$U$6=FALSE,$U$7=TRUE)),VLOOKUP($E263,'Status Thresholds'!$E:$AR,28,FALSE)))))))))
))/
IF(OR($X$5=TRUE,$AC$3=TRUE
),($F$4/2), IF(OR($X$2,$X$3,$X$4,$X$6,$X$7,$X$8,$Z$2,$Z$3,$Z$4,$Z$5,$Z$6,$Z$7,$Z$8)=TRUE,$F$4)),0),"-")</f>
        <v>-</v>
      </c>
      <c r="H263" s="36" t="str">
        <f>IFERROR(
ROUNDUP(
IF(AND($U$5=FALSE,$U$4=FALSE),"-",IF(AND($U$5=TRUE,$U$4=TRUE),"-",
IF((AND($U$4=TRUE,$U$5=FALSE,$U$6=FALSE,$U$7=FALSE)),VLOOKUP($E263,'Status Thresholds'!$E:$AR,4,FALSE),IF((AND($U$4=TRUE,$U$5=FALSE,$U$6=TRUE,$U$7=FALSE)),VLOOKUP($E263,'Status Thresholds'!$E:$AR,14,FALSE),IF((AND($U$4=TRUE,$U$5=FALSE,$U$6=TRUE,$U$7=TRUE)),VLOOKUP($E263,'Status Thresholds'!$E:$AR,19,FALSE),IF((AND($U$4=TRUE,$U$5=FALSE,$U$6=FALSE,$U$7=TRUE)),VLOOKUP($E263,'Status Thresholds'!$E:$AR,9,FALSE),
IF((AND($U$4=FALSE,$U$5=TRUE,$U$6=FALSE,$U$7=FALSE)),VLOOKUP($E263,'Status Thresholds'!$E:$AR,24,FALSE),IF((AND($U$4=FALSE,$U$5=TRUE,$U$6=TRUE,$U$7=FALSE)),VLOOKUP($E263,'Status Thresholds'!$E:$AR,34,FALSE),IF((AND($U$4=FALSE,$U$5=TRUE,$U$6=TRUE,$U$7=TRUE)),VLOOKUP($E263,'Status Thresholds'!$E:$AR,39,FALSE),IF((AND($U$4=FALSE,$U$5=TRUE,$U$6=FALSE,$U$7=TRUE)),VLOOKUP($E263,'Status Thresholds'!$E:$AR,29,FALSE)))))))))
))/
IF(OR($X$5=TRUE,$AC$3=TRUE
),($F$4/2), IF(OR($X$2,$X$3,$X$4,$X$6,$X$7,$X$8,$Z$2,$Z$3,$Z$4,$Z$5,$Z$6,$Z$7,$Z$8)=TRUE,$F$4)),0),"-")</f>
        <v>-</v>
      </c>
      <c r="I263" s="36" t="str">
        <f>IFERROR(
ROUNDUP(
IF(AND($U$5=FALSE,$U$4=FALSE),"-",IF(AND($U$5=TRUE,$U$4=TRUE),"-",
IF((AND($U$4=TRUE,$U$5=FALSE,$U$6=FALSE,$U$7=FALSE)),VLOOKUP($E263,'Status Thresholds'!$E:$AR,5,FALSE),IF((AND($U$4=TRUE,$U$5=FALSE,$U$6=TRUE,$U$7=FALSE)),VLOOKUP($E263,'Status Thresholds'!$E:$AR,15,FALSE),IF((AND($U$4=TRUE,$U$5=FALSE,$U$6=TRUE,$U$7=TRUE)),VLOOKUP($E263,'Status Thresholds'!$E:$AR,20,FALSE),IF((AND($U$4=TRUE,$U$5=FALSE,$U$6=FALSE,$U$7=TRUE)),VLOOKUP($E263,'Status Thresholds'!$E:$AR,10,FALSE),
IF((AND($U$4=FALSE,$U$5=TRUE,$U$6=FALSE,$U$7=FALSE)),VLOOKUP($E263,'Status Thresholds'!$E:$AR,25,FALSE),IF((AND($U$4=FALSE,$U$5=TRUE,$U$6=TRUE,$U$7=FALSE)),VLOOKUP($E263,'Status Thresholds'!$E:$AR,35,FALSE),IF((AND($U$4=FALSE,$U$5=TRUE,$U$6=TRUE,$U$7=TRUE)),VLOOKUP($E263,'Status Thresholds'!$E:$AR,40,FALSE),IF((AND($U$4=FALSE,$U$5=TRUE,$U$6=FALSE,$U$7=TRUE)),VLOOKUP($E263,'Status Thresholds'!$E:$AR,30,FALSE)))))))))
))/
IF(OR($X$5=TRUE,$AC$3=TRUE
),($F$4/2), IF(OR($X$2,$X$3,$X$4,$X$6,$X$7,$X$8,$Z$2,$Z$3,$Z$4,$Z$5,$Z$6,$Z$7,$Z$8)=TRUE,$F$4)),0),"-")</f>
        <v>-</v>
      </c>
      <c r="J263" s="46">
        <f>IFERROR(IF(AND($U$5=FALSE,$U$4=FALSE),"-",VLOOKUP($E263,'Status Thresholds'!$E:$AU,41,FALSE)),"-")</f>
        <v>40</v>
      </c>
      <c r="K263" s="46" t="str">
        <f>IFERROR(IF(AND($U$5=FALSE,$U$4=FALSE),"-",VLOOKUP($E263,'Status Thresholds'!$E:$AU,42,FALSE)),"-")</f>
        <v>-</v>
      </c>
      <c r="L263" s="46" t="str">
        <f>IFERROR(IF(AND($U$5=FALSE,$U$4=FALSE),"-",VLOOKUP($E263,'Status Thresholds'!$E:$AU,43,FALSE)),"-")</f>
        <v>-</v>
      </c>
    </row>
    <row r="264" spans="1:12" hidden="1" x14ac:dyDescent="0.25">
      <c r="A264" s="35"/>
      <c r="B264" s="64" t="str">
        <f>IF('Status Thresholds'!A259=0, "", 'Status Thresholds'!A259)</f>
        <v>Deviant</v>
      </c>
      <c r="C264" s="64" t="str">
        <f>IF('Status Thresholds'!B259=0, "", 'Status Thresholds'!B259)</f>
        <v>Drilltusk Tetsucabra</v>
      </c>
      <c r="D264" s="32" t="s">
        <v>33</v>
      </c>
      <c r="E264" s="36" t="str">
        <f t="shared" si="3"/>
        <v>Drilltusk TetsucabraPoison</v>
      </c>
      <c r="F264" s="36" t="str">
        <f>IFERROR(
ROUNDUP(
IF(AND($U$5=FALSE,$U$4=FALSE),"-",IF(AND($U$5=TRUE,$U$4=TRUE),"-",
IF((AND($U$4=TRUE,$U$5=FALSE,$U$6=FALSE,$U$7=FALSE)),VLOOKUP($E264,'Status Thresholds'!$E:$AR,2,FALSE),IF((AND($U$4=TRUE,$U$5=FALSE,$U$6=TRUE,$U$7=FALSE)),VLOOKUP($E264,'Status Thresholds'!$E:$AR,12,FALSE),IF((AND($U$4=TRUE,$U$5=FALSE,$U$6=TRUE,$U$7=TRUE)),VLOOKUP($E264,'Status Thresholds'!$E:$AR,17,FALSE),IF((AND($U$4=TRUE,$U$5=FALSE,$U$6=FALSE,$U$7=TRUE)),VLOOKUP($E264,'Status Thresholds'!$E:$AR,7,FALSE),
IF((AND($U$4=FALSE,$U$5=TRUE,$U$6=FALSE,$U$7=FALSE)),VLOOKUP($E264,'Status Thresholds'!$E:$AR,22,FALSE),IF((AND($U$4=FALSE,$U$5=TRUE,$U$6=TRUE,$U$7=FALSE)),VLOOKUP($E264,'Status Thresholds'!$E:$AR,32,FALSE),IF((AND($U$4=FALSE,$U$5=TRUE,$U$6=TRUE,$U$7=TRUE)),VLOOKUP($E264,'Status Thresholds'!$E:$AR,37,FALSE),IF((AND($U$4=FALSE,$U$5=TRUE,$U$6=FALSE,$U$7=TRUE)),VLOOKUP($E264,'Status Thresholds'!$E:$AR,27,FALSE)))))))))
))/
IF(OR($X$5=TRUE,$AC$3=TRUE
),($F$5/2), IF(OR($X$2,$X$3,$X$4,$X$6,$X$7,$X$8,$Z$2,$Z$3,$Z$4,$Z$5,$Z$6,$Z$7,$Z$8)=TRUE,$F$5)),0),"-")</f>
        <v>-</v>
      </c>
      <c r="G264" s="36" t="str">
        <f>IFERROR(
ROUNDUP(
IF(AND($U$5=FALSE,$U$4=FALSE),"-",IF(AND($U$5=TRUE,$U$4=TRUE),"-",
IF((AND($U$4=TRUE,$U$5=FALSE,$U$6=FALSE,$U$7=FALSE)),VLOOKUP($E264,'Status Thresholds'!$E:$AR,3,FALSE),IF((AND($U$4=TRUE,$U$5=FALSE,$U$6=TRUE,$U$7=FALSE)),VLOOKUP($E264,'Status Thresholds'!$E:$AR,13,FALSE),IF((AND($U$4=TRUE,$U$5=FALSE,$U$6=TRUE,$U$7=TRUE)),VLOOKUP($E264,'Status Thresholds'!$E:$AR,18,FALSE),IF((AND($U$4=TRUE,$U$5=FALSE,$U$6=FALSE,$U$7=TRUE)),VLOOKUP($E264,'Status Thresholds'!$E:$AR,8,FALSE),
IF((AND($U$4=FALSE,$U$5=TRUE,$U$6=FALSE,$U$7=FALSE)),VLOOKUP($E264,'Status Thresholds'!$E:$AR,23,FALSE),IF((AND($U$4=FALSE,$U$5=TRUE,$U$6=TRUE,$U$7=FALSE)),VLOOKUP($E264,'Status Thresholds'!$E:$AR,33,FALSE),IF((AND($U$4=FALSE,$U$5=TRUE,$U$6=TRUE,$U$7=TRUE)),VLOOKUP($E264,'Status Thresholds'!$E:$AR,38,FALSE),IF((AND($U$4=FALSE,$U$5=TRUE,$U$6=FALSE,$U$7=TRUE)),VLOOKUP($E264,'Status Thresholds'!$E:$AR,28,FALSE)))))))))
))/
IF(OR($X$5=TRUE,$AC$3=TRUE
),($F$5/2), IF(OR($X$2,$X$3,$X$4,$X$6,$X$7,$X$8,$Z$2,$Z$3,$Z$4,$Z$5,$Z$6,$Z$7,$Z$8)=TRUE,$F$5)),0),"-")</f>
        <v>-</v>
      </c>
      <c r="H264" s="36" t="str">
        <f>IFERROR(
ROUNDUP(
IF(AND($U$5=FALSE,$U$4=FALSE),"-",IF(AND($U$5=TRUE,$U$4=TRUE),"-",
IF((AND($U$4=TRUE,$U$5=FALSE,$U$6=FALSE,$U$7=FALSE)),VLOOKUP($E264,'Status Thresholds'!$E:$AR,4,FALSE),IF((AND($U$4=TRUE,$U$5=FALSE,$U$6=TRUE,$U$7=FALSE)),VLOOKUP($E264,'Status Thresholds'!$E:$AR,14,FALSE),IF((AND($U$4=TRUE,$U$5=FALSE,$U$6=TRUE,$U$7=TRUE)),VLOOKUP($E264,'Status Thresholds'!$E:$AR,19,FALSE),IF((AND($U$4=TRUE,$U$5=FALSE,$U$6=FALSE,$U$7=TRUE)),VLOOKUP($E264,'Status Thresholds'!$E:$AR,9,FALSE),
IF((AND($U$4=FALSE,$U$5=TRUE,$U$6=FALSE,$U$7=FALSE)),VLOOKUP($E264,'Status Thresholds'!$E:$AR,24,FALSE),IF((AND($U$4=FALSE,$U$5=TRUE,$U$6=TRUE,$U$7=FALSE)),VLOOKUP($E264,'Status Thresholds'!$E:$AR,34,FALSE),IF((AND($U$4=FALSE,$U$5=TRUE,$U$6=TRUE,$U$7=TRUE)),VLOOKUP($E264,'Status Thresholds'!$E:$AR,39,FALSE),IF((AND($U$4=FALSE,$U$5=TRUE,$U$6=FALSE,$U$7=TRUE)),VLOOKUP($E264,'Status Thresholds'!$E:$AR,29,FALSE)))))))))
))/
IF(OR($X$5=TRUE,$AC$3=TRUE
),($F$5/2), IF(OR($X$2,$X$3,$X$4,$X$6,$X$7,$X$8,$Z$2,$Z$3,$Z$4,$Z$5,$Z$6,$Z$7,$Z$8)=TRUE,$F$5)),0),"-")</f>
        <v>-</v>
      </c>
      <c r="I264" s="36" t="str">
        <f>IFERROR(
ROUNDUP(
IF(AND($U$5=FALSE,$U$4=FALSE),"-",IF(AND($U$5=TRUE,$U$4=TRUE),"-",
IF((AND($U$4=TRUE,$U$5=FALSE,$U$6=FALSE,$U$7=FALSE)),VLOOKUP($E264,'Status Thresholds'!$E:$AR,5,FALSE),IF((AND($U$4=TRUE,$U$5=FALSE,$U$6=TRUE,$U$7=FALSE)),VLOOKUP($E264,'Status Thresholds'!$E:$AR,15,FALSE),IF((AND($U$4=TRUE,$U$5=FALSE,$U$6=TRUE,$U$7=TRUE)),VLOOKUP($E264,'Status Thresholds'!$E:$AR,20,FALSE),IF((AND($U$4=TRUE,$U$5=FALSE,$U$6=FALSE,$U$7=TRUE)),VLOOKUP($E264,'Status Thresholds'!$E:$AR,10,FALSE),
IF((AND($U$4=FALSE,$U$5=TRUE,$U$6=FALSE,$U$7=FALSE)),VLOOKUP($E264,'Status Thresholds'!$E:$AR,25,FALSE),IF((AND($U$4=FALSE,$U$5=TRUE,$U$6=TRUE,$U$7=FALSE)),VLOOKUP($E264,'Status Thresholds'!$E:$AR,35,FALSE),IF((AND($U$4=FALSE,$U$5=TRUE,$U$6=TRUE,$U$7=TRUE)),VLOOKUP($E264,'Status Thresholds'!$E:$AR,40,FALSE),IF((AND($U$4=FALSE,$U$5=TRUE,$U$6=FALSE,$U$7=TRUE)),VLOOKUP($E264,'Status Thresholds'!$E:$AR,30,FALSE)))))))))
))/
IF(OR($X$5=TRUE,$AC$3=TRUE
),($F$5/2), IF(OR($X$2,$X$3,$X$4,$X$6,$X$7,$X$8,$Z$2,$Z$3,$Z$4,$Z$5,$Z$6,$Z$7,$Z$8)=TRUE,$F$5)),0),"-")</f>
        <v>-</v>
      </c>
      <c r="J264" s="46">
        <f>IFERROR(IF(AND($U$5=FALSE,$U$4=FALSE),"-",VLOOKUP($E264,'Status Thresholds'!$E:$AU,41,FALSE)),"-")</f>
        <v>60</v>
      </c>
      <c r="K264" s="46" t="str">
        <f>IFERROR(IF(AND($U$5=FALSE,$U$4=FALSE),"-",VLOOKUP($E264,'Status Thresholds'!$E:$AU,42,FALSE)),"-")</f>
        <v>-</v>
      </c>
      <c r="L264" s="46" t="str">
        <f>IFERROR(IF(AND($U$5=FALSE,$U$4=FALSE),"-",VLOOKUP($E264,'Status Thresholds'!$E:$AU,43,FALSE)),"-")</f>
        <v>-</v>
      </c>
    </row>
    <row r="265" spans="1:12" hidden="1" x14ac:dyDescent="0.25">
      <c r="A265" s="35"/>
      <c r="B265" s="64" t="str">
        <f>IF('Status Thresholds'!A260=0, "", 'Status Thresholds'!A260)</f>
        <v>Deviant</v>
      </c>
      <c r="C265" s="64" t="str">
        <f>IF('Status Thresholds'!B260=0, "", 'Status Thresholds'!B260)</f>
        <v>Drilltusk Tetsucabra</v>
      </c>
      <c r="D265" s="10" t="s">
        <v>22</v>
      </c>
      <c r="E265" s="36" t="str">
        <f t="shared" si="3"/>
        <v>Drilltusk TetsucabraExhaust</v>
      </c>
      <c r="F265" s="36" t="str">
        <f>IFERROR(
ROUNDUP(
IF(AND($U$5=FALSE,$U$4=FALSE),"-",IF(AND($U$5=TRUE,$U$4=TRUE),"-",
IF((AND($U$4=TRUE,$U$5=FALSE,$U$6=FALSE,$U$7=FALSE)),VLOOKUP($E265,'Status Thresholds'!$E:$AR,2,FALSE),IF((AND($U$4=TRUE,$U$5=FALSE,$U$6=TRUE,$U$7=FALSE)),VLOOKUP($E265,'Status Thresholds'!$E:$AR,12,FALSE),IF((AND($U$4=TRUE,$U$5=FALSE,$U$6=TRUE,$U$7=TRUE)),VLOOKUP($E265,'Status Thresholds'!$E:$AR,17,FALSE),IF((AND($U$4=TRUE,$U$5=FALSE,$U$6=FALSE,$U$7=TRUE)),VLOOKUP($E265,'Status Thresholds'!$E:$AR,7,FALSE),
IF((AND($U$4=FALSE,$U$5=TRUE,$U$6=FALSE,$U$7=FALSE)),VLOOKUP($E265,'Status Thresholds'!$E:$AR,22,FALSE),IF((AND($U$4=FALSE,$U$5=TRUE,$U$6=TRUE,$U$7=FALSE)),VLOOKUP($E265,'Status Thresholds'!$E:$AR,32,FALSE),IF((AND($U$4=FALSE,$U$5=TRUE,$U$6=TRUE,$U$7=TRUE)),VLOOKUP($E265,'Status Thresholds'!$E:$AR,37,FALSE),IF((AND($U$4=FALSE,$U$5=TRUE,$U$6=FALSE,$U$7=TRUE)),VLOOKUP($E265,'Status Thresholds'!$E:$AR,27,FALSE)))))))))
))/
IF(OR($X$5=TRUE,$AC$3=TRUE
),($F$6/2), IF(OR($X$2,$X$3,$X$4,$X$6,$X$7,$X$8,$Z$2,$Z$3,$Z$4,$Z$5,$Z$6,$Z$7,$Z$8)=TRUE,$F$6)),0),"-")</f>
        <v>-</v>
      </c>
      <c r="G265" s="36" t="str">
        <f>IFERROR(
ROUNDUP(
IF(AND($U$5=FALSE,$U$4=FALSE),"-",IF(AND($U$5=TRUE,$U$4=TRUE),"-",
IF((AND($U$4=TRUE,$U$5=FALSE,$U$6=FALSE,$U$7=FALSE)),VLOOKUP($E265,'Status Thresholds'!$E:$AR,3,FALSE),IF((AND($U$4=TRUE,$U$5=FALSE,$U$6=TRUE,$U$7=FALSE)),VLOOKUP($E265,'Status Thresholds'!$E:$AR,13,FALSE),IF((AND($U$4=TRUE,$U$5=FALSE,$U$6=TRUE,$U$7=TRUE)),VLOOKUP($E265,'Status Thresholds'!$E:$AR,18,FALSE),IF((AND($U$4=TRUE,$U$5=FALSE,$U$6=FALSE,$U$7=TRUE)),VLOOKUP($E265,'Status Thresholds'!$E:$AR,8,FALSE),
IF((AND($U$4=FALSE,$U$5=TRUE,$U$6=FALSE,$U$7=FALSE)),VLOOKUP($E265,'Status Thresholds'!$E:$AR,23,FALSE),IF((AND($U$4=FALSE,$U$5=TRUE,$U$6=TRUE,$U$7=FALSE)),VLOOKUP($E265,'Status Thresholds'!$E:$AR,33,FALSE),IF((AND($U$4=FALSE,$U$5=TRUE,$U$6=TRUE,$U$7=TRUE)),VLOOKUP($E265,'Status Thresholds'!$E:$AR,38,FALSE),IF((AND($U$4=FALSE,$U$5=TRUE,$U$6=FALSE,$U$7=TRUE)),VLOOKUP($E265,'Status Thresholds'!$E:$AR,28,FALSE)))))))))
))/
IF(OR($X$5=TRUE,$AC$3=TRUE
),($F$6/2), IF(OR($X$2,$X$3,$X$4,$X$6,$X$7,$X$8,$Z$2,$Z$3,$Z$4,$Z$5,$Z$6,$Z$7,$Z$8)=TRUE,$F$6)),0),"-")</f>
        <v>-</v>
      </c>
      <c r="H265" s="36" t="str">
        <f>IFERROR(
ROUNDUP(
IF(AND($U$5=FALSE,$U$4=FALSE),"-",IF(AND($U$5=TRUE,$U$4=TRUE),"-",
IF((AND($U$4=TRUE,$U$5=FALSE,$U$6=FALSE,$U$7=FALSE)),VLOOKUP($E265,'Status Thresholds'!$E:$AR,4,FALSE),IF((AND($U$4=TRUE,$U$5=FALSE,$U$6=TRUE,$U$7=FALSE)),VLOOKUP($E265,'Status Thresholds'!$E:$AR,14,FALSE),IF((AND($U$4=TRUE,$U$5=FALSE,$U$6=TRUE,$U$7=TRUE)),VLOOKUP($E265,'Status Thresholds'!$E:$AR,19,FALSE),IF((AND($U$4=TRUE,$U$5=FALSE,$U$6=FALSE,$U$7=TRUE)),VLOOKUP($E265,'Status Thresholds'!$E:$AR,9,FALSE),
IF((AND($U$4=FALSE,$U$5=TRUE,$U$6=FALSE,$U$7=FALSE)),VLOOKUP($E265,'Status Thresholds'!$E:$AR,24,FALSE),IF((AND($U$4=FALSE,$U$5=TRUE,$U$6=TRUE,$U$7=FALSE)),VLOOKUP($E265,'Status Thresholds'!$E:$AR,34,FALSE),IF((AND($U$4=FALSE,$U$5=TRUE,$U$6=TRUE,$U$7=TRUE)),VLOOKUP($E265,'Status Thresholds'!$E:$AR,39,FALSE),IF((AND($U$4=FALSE,$U$5=TRUE,$U$6=FALSE,$U$7=TRUE)),VLOOKUP($E265,'Status Thresholds'!$E:$AR,29,FALSE)))))))))
))/
IF(OR($X$5=TRUE,$AC$3=TRUE
),($F$6/2), IF(OR($X$2,$X$3,$X$4,$X$6,$X$7,$X$8,$Z$2,$Z$3,$Z$4,$Z$5,$Z$6,$Z$7,$Z$8)=TRUE,$F$6)),0),"-")</f>
        <v>-</v>
      </c>
      <c r="I265" s="36" t="str">
        <f>IFERROR(
ROUNDUP(
IF(AND($U$5=FALSE,$U$4=FALSE),"-",IF(AND($U$5=TRUE,$U$4=TRUE),"-",
IF((AND($U$4=TRUE,$U$5=FALSE,$U$6=FALSE,$U$7=FALSE)),VLOOKUP($E265,'Status Thresholds'!$E:$AR,5,FALSE),IF((AND($U$4=TRUE,$U$5=FALSE,$U$6=TRUE,$U$7=FALSE)),VLOOKUP($E265,'Status Thresholds'!$E:$AR,15,FALSE),IF((AND($U$4=TRUE,$U$5=FALSE,$U$6=TRUE,$U$7=TRUE)),VLOOKUP($E265,'Status Thresholds'!$E:$AR,20,FALSE),IF((AND($U$4=TRUE,$U$5=FALSE,$U$6=FALSE,$U$7=TRUE)),VLOOKUP($E265,'Status Thresholds'!$E:$AR,10,FALSE),
IF((AND($U$4=FALSE,$U$5=TRUE,$U$6=FALSE,$U$7=FALSE)),VLOOKUP($E265,'Status Thresholds'!$E:$AR,25,FALSE),IF((AND($U$4=FALSE,$U$5=TRUE,$U$6=TRUE,$U$7=FALSE)),VLOOKUP($E265,'Status Thresholds'!$E:$AR,35,FALSE),IF((AND($U$4=FALSE,$U$5=TRUE,$U$6=TRUE,$U$7=TRUE)),VLOOKUP($E265,'Status Thresholds'!$E:$AR,40,FALSE),IF((AND($U$4=FALSE,$U$5=TRUE,$U$6=FALSE,$U$7=TRUE)),VLOOKUP($E265,'Status Thresholds'!$E:$AR,30,FALSE)))))))))
))/
IF(OR($X$5=TRUE,$AC$3=TRUE
),($F$6/2), IF(OR($X$2,$X$3,$X$4,$X$6,$X$7,$X$8,$Z$2,$Z$3,$Z$4,$Z$5,$Z$6,$Z$7,$Z$8)=TRUE,$F$6)),0),"-")</f>
        <v>-</v>
      </c>
      <c r="J265" s="46">
        <f>IFERROR(IF(AND($U$5=FALSE,$U$4=FALSE),"-",VLOOKUP($E265,'Status Thresholds'!$E:$AU,41,FALSE)),"-")</f>
        <v>0</v>
      </c>
      <c r="K265" s="46" t="str">
        <f>IFERROR(IF(AND($U$5=FALSE,$U$4=FALSE),"-",VLOOKUP($E265,'Status Thresholds'!$E:$AU,42,FALSE)),"-")</f>
        <v>-</v>
      </c>
      <c r="L265" s="46" t="str">
        <f>IFERROR(IF(AND($U$5=FALSE,$U$4=FALSE),"-",VLOOKUP($E265,'Status Thresholds'!$E:$AU,43,FALSE)),"-")</f>
        <v>-</v>
      </c>
    </row>
    <row r="266" spans="1:12" hidden="1" x14ac:dyDescent="0.25">
      <c r="A266" s="35"/>
      <c r="B266" s="64" t="str">
        <f>IF('Status Thresholds'!A261=0, "", 'Status Thresholds'!A261)</f>
        <v>Deviant</v>
      </c>
      <c r="C266" s="64" t="str">
        <f>IF('Status Thresholds'!B261=0, "", 'Status Thresholds'!B261)</f>
        <v>Drilltusk Tetsucabra</v>
      </c>
      <c r="D266" s="30" t="s">
        <v>35</v>
      </c>
      <c r="E266" s="36" t="str">
        <f t="shared" si="3"/>
        <v>Drilltusk TetsucabraBlast</v>
      </c>
      <c r="F266" s="36" t="str">
        <f>IFERROR(
ROUNDUP(
IF(AND($U$5=FALSE,$U$4=FALSE),"-",IF(AND($U$5=TRUE,$U$4=TRUE),"-",
IF((AND($U$4=TRUE,$U$5=FALSE,$U$6=FALSE,$U$7=FALSE)),VLOOKUP($E266,'Status Thresholds'!$E:$AR,2,FALSE),IF((AND($U$4=TRUE,$U$5=FALSE,$U$6=TRUE,$U$7=FALSE)),VLOOKUP($E266,'Status Thresholds'!$E:$AR,12,FALSE),IF((AND($U$4=TRUE,$U$5=FALSE,$U$6=TRUE,$U$7=TRUE)),VLOOKUP($E266,'Status Thresholds'!$E:$AR,17,FALSE),IF((AND($U$4=TRUE,$U$5=FALSE,$U$6=FALSE,$U$7=TRUE)),VLOOKUP($E266,'Status Thresholds'!$E:$AR,7,FALSE),
IF((AND($U$4=FALSE,$U$5=TRUE,$U$6=FALSE,$U$7=FALSE)),VLOOKUP($E266,'Status Thresholds'!$E:$AR,22,FALSE),IF((AND($U$4=FALSE,$U$5=TRUE,$U$6=TRUE,$U$7=FALSE)),VLOOKUP($E266,'Status Thresholds'!$E:$AR,32,FALSE),IF((AND($U$4=FALSE,$U$5=TRUE,$U$6=TRUE,$U$7=TRUE)),VLOOKUP($E266,'Status Thresholds'!$E:$AR,37,FALSE),IF((AND($U$4=FALSE,$U$5=TRUE,$U$6=FALSE,$U$7=TRUE)),VLOOKUP($E266,'Status Thresholds'!$E:$AR,27,FALSE)))))))))
))/
IF(OR($X$5=TRUE,$AC$3=TRUE
),($F$7/2), IF(OR($X$2,$X$3,$X$4,$X$6,$X$7,$X$8,$Z$2,$Z$3,$Z$4,$Z$5,$Z$6,$Z$7,$Z$8)=TRUE,$F$7)),0),"-")</f>
        <v>-</v>
      </c>
      <c r="G266" s="36" t="str">
        <f>IFERROR(
ROUNDUP(
IF(AND($U$5=FALSE,$U$4=FALSE),"-",IF(AND($U$5=TRUE,$U$4=TRUE),"-",
IF((AND($U$4=TRUE,$U$5=FALSE,$U$6=FALSE,$U$7=FALSE)),VLOOKUP($E266,'Status Thresholds'!$E:$AR,3,FALSE),IF((AND($U$4=TRUE,$U$5=FALSE,$U$6=TRUE,$U$7=FALSE)),VLOOKUP($E266,'Status Thresholds'!$E:$AR,13,FALSE),IF((AND($U$4=TRUE,$U$5=FALSE,$U$6=TRUE,$U$7=TRUE)),VLOOKUP($E266,'Status Thresholds'!$E:$AR,18,FALSE),IF((AND($U$4=TRUE,$U$5=FALSE,$U$6=FALSE,$U$7=TRUE)),VLOOKUP($E266,'Status Thresholds'!$E:$AR,8,FALSE),
IF((AND($U$4=FALSE,$U$5=TRUE,$U$6=FALSE,$U$7=FALSE)),VLOOKUP($E266,'Status Thresholds'!$E:$AR,23,FALSE),IF((AND($U$4=FALSE,$U$5=TRUE,$U$6=TRUE,$U$7=FALSE)),VLOOKUP($E266,'Status Thresholds'!$E:$AR,33,FALSE),IF((AND($U$4=FALSE,$U$5=TRUE,$U$6=TRUE,$U$7=TRUE)),VLOOKUP($E266,'Status Thresholds'!$E:$AR,38,FALSE),IF((AND($U$4=FALSE,$U$5=TRUE,$U$6=FALSE,$U$7=TRUE)),VLOOKUP($E266,'Status Thresholds'!$E:$AR,28,FALSE)))))))))
))/
IF(OR($X$5=TRUE,$AC$3=TRUE
),($F$7/2), IF(OR($X$2,$X$3,$X$4,$X$6,$X$7,$X$8,$Z$2,$Z$3,$Z$4,$Z$5,$Z$6,$Z$7,$Z$8)=TRUE,$F$7)),0),"-")</f>
        <v>-</v>
      </c>
      <c r="H266" s="36" t="str">
        <f>IFERROR(
ROUNDUP(
IF(AND($U$5=FALSE,$U$4=FALSE),"-",IF(AND($U$5=TRUE,$U$4=TRUE),"-",
IF((AND($U$4=TRUE,$U$5=FALSE,$U$6=FALSE,$U$7=FALSE)),VLOOKUP($E266,'Status Thresholds'!$E:$AR,4,FALSE),IF((AND($U$4=TRUE,$U$5=FALSE,$U$6=TRUE,$U$7=FALSE)),VLOOKUP($E266,'Status Thresholds'!$E:$AR,14,FALSE),IF((AND($U$4=TRUE,$U$5=FALSE,$U$6=TRUE,$U$7=TRUE)),VLOOKUP($E266,'Status Thresholds'!$E:$AR,19,FALSE),IF((AND($U$4=TRUE,$U$5=FALSE,$U$6=FALSE,$U$7=TRUE)),VLOOKUP($E266,'Status Thresholds'!$E:$AR,9,FALSE),
IF((AND($U$4=FALSE,$U$5=TRUE,$U$6=FALSE,$U$7=FALSE)),VLOOKUP($E266,'Status Thresholds'!$E:$AR,24,FALSE),IF((AND($U$4=FALSE,$U$5=TRUE,$U$6=TRUE,$U$7=FALSE)),VLOOKUP($E266,'Status Thresholds'!$E:$AR,34,FALSE),IF((AND($U$4=FALSE,$U$5=TRUE,$U$6=TRUE,$U$7=TRUE)),VLOOKUP($E266,'Status Thresholds'!$E:$AR,39,FALSE),IF((AND($U$4=FALSE,$U$5=TRUE,$U$6=FALSE,$U$7=TRUE)),VLOOKUP($E266,'Status Thresholds'!$E:$AR,29,FALSE)))))))))
))/
IF(OR($X$5=TRUE,$AC$3=TRUE
),($F$7/2), IF(OR($X$2,$X$3,$X$4,$X$6,$X$7,$X$8,$Z$2,$Z$3,$Z$4,$Z$5,$Z$6,$Z$7,$Z$8)=TRUE,$F$7)),0),"-")</f>
        <v>-</v>
      </c>
      <c r="I266" s="36" t="str">
        <f>IFERROR(
ROUNDUP(
IF(AND($U$5=FALSE,$U$4=FALSE),"-",IF(AND($U$5=TRUE,$U$4=TRUE),"-",
IF((AND($U$4=TRUE,$U$5=FALSE,$U$6=FALSE,$U$7=FALSE)),VLOOKUP($E266,'Status Thresholds'!$E:$AR,5,FALSE),IF((AND($U$4=TRUE,$U$5=FALSE,$U$6=TRUE,$U$7=FALSE)),VLOOKUP($E266,'Status Thresholds'!$E:$AR,15,FALSE),IF((AND($U$4=TRUE,$U$5=FALSE,$U$6=TRUE,$U$7=TRUE)),VLOOKUP($E266,'Status Thresholds'!$E:$AR,20,FALSE),IF((AND($U$4=TRUE,$U$5=FALSE,$U$6=FALSE,$U$7=TRUE)),VLOOKUP($E266,'Status Thresholds'!$E:$AR,10,FALSE),
IF((AND($U$4=FALSE,$U$5=TRUE,$U$6=FALSE,$U$7=FALSE)),VLOOKUP($E266,'Status Thresholds'!$E:$AR,25,FALSE),IF((AND($U$4=FALSE,$U$5=TRUE,$U$6=TRUE,$U$7=FALSE)),VLOOKUP($E266,'Status Thresholds'!$E:$AR,35,FALSE),IF((AND($U$4=FALSE,$U$5=TRUE,$U$6=TRUE,$U$7=TRUE)),VLOOKUP($E266,'Status Thresholds'!$E:$AR,40,FALSE),IF((AND($U$4=FALSE,$U$5=TRUE,$U$6=FALSE,$U$7=TRUE)),VLOOKUP($E266,'Status Thresholds'!$E:$AR,30,FALSE)))))))))
))/
IF(OR($X$5=TRUE,$AC$3=TRUE
),($F$7/2), IF(OR($X$2,$X$3,$X$4,$X$6,$X$7,$X$8,$Z$2,$Z$3,$Z$4,$Z$5,$Z$6,$Z$7,$Z$8)=TRUE,$F$7)),0),"-")</f>
        <v>-</v>
      </c>
      <c r="J266" s="46">
        <f>IFERROR(IF(AND($U$5=FALSE,$U$4=FALSE),"-",VLOOKUP($E266,'Status Thresholds'!$E:$AU,41,FALSE)),"-")</f>
        <v>0</v>
      </c>
      <c r="K266" s="46" t="str">
        <f>IFERROR(IF(AND($U$5=FALSE,$U$4=FALSE),"-",VLOOKUP($E266,'Status Thresholds'!$E:$AU,42,FALSE)),"-")</f>
        <v>-</v>
      </c>
      <c r="L266" s="46" t="str">
        <f>IFERROR(IF(AND($U$5=FALSE,$U$4=FALSE),"-",VLOOKUP($E266,'Status Thresholds'!$E:$AU,43,FALSE)),"-")</f>
        <v>-</v>
      </c>
    </row>
    <row r="267" spans="1:12" ht="14.45" hidden="1" customHeight="1" x14ac:dyDescent="0.25">
      <c r="A267" s="35"/>
      <c r="B267" s="64" t="str">
        <f>IF('Status Thresholds'!A262=0, "", 'Status Thresholds'!A262)</f>
        <v>Deviant</v>
      </c>
      <c r="C267" s="64" t="str">
        <f>IF('Status Thresholds'!B262=0, "", 'Status Thresholds'!B262)</f>
        <v>Drilltusk Tetsucabra</v>
      </c>
      <c r="D267" s="34" t="s">
        <v>14</v>
      </c>
      <c r="E267" s="36" t="str">
        <f t="shared" si="3"/>
        <v>Drilltusk TetsucabraKO</v>
      </c>
      <c r="F267" s="36" t="s">
        <v>214</v>
      </c>
      <c r="G267" s="36" t="s">
        <v>214</v>
      </c>
      <c r="H267" s="36" t="s">
        <v>214</v>
      </c>
      <c r="I267" s="36" t="s">
        <v>214</v>
      </c>
      <c r="J267" s="46">
        <f>IFERROR(IF(AND($U$5=FALSE,$U$4=FALSE),"-",VLOOKUP($E267,'Status Thresholds'!$E:$AU,41,FALSE)),"-")</f>
        <v>10</v>
      </c>
      <c r="K267" s="46" t="str">
        <f>IFERROR(IF(AND($U$5=FALSE,$U$4=FALSE),"-",VLOOKUP($E267,'Status Thresholds'!$E:$AU,42,FALSE)),"-")</f>
        <v>-</v>
      </c>
      <c r="L267" s="46" t="str">
        <f>IFERROR(IF(AND($U$5=FALSE,$U$4=FALSE),"-",VLOOKUP($E267,'Status Thresholds'!$E:$AU,43,FALSE)),"-")</f>
        <v>-</v>
      </c>
    </row>
    <row r="268" spans="1:12" hidden="1" x14ac:dyDescent="0.25">
      <c r="A268" s="35"/>
      <c r="B268" s="64" t="str">
        <f>IF('Status Thresholds'!A263=0, "", 'Status Thresholds'!A263)</f>
        <v>Deviant</v>
      </c>
      <c r="C268" s="64" t="str">
        <f>IF('Status Thresholds'!B263=0, "", 'Status Thresholds'!B263)</f>
        <v>Drilltusk Tetsucabra</v>
      </c>
      <c r="D268" s="33" t="s">
        <v>34</v>
      </c>
      <c r="E268" s="36" t="str">
        <f t="shared" si="3"/>
        <v>Drilltusk TetsucabraMount</v>
      </c>
      <c r="F268" s="36" t="str">
        <f>IFERROR(
ROUNDUP(
IF(AND($U$5=FALSE,$U$4=FALSE),"-",IF(AND($U$5=TRUE,$U$4=TRUE),"-",
IF((AND($U$4=TRUE,$U$5=FALSE,$U$6=FALSE,$U$7=FALSE)),VLOOKUP($E268,'Status Thresholds'!$E:$AR,2,FALSE),IF((AND($U$4=TRUE,$U$5=FALSE,$U$6=TRUE,$U$7=FALSE)),VLOOKUP($E268,'Status Thresholds'!$E:$AR,12,FALSE),IF((AND($U$4=TRUE,$U$5=FALSE,$U$6=TRUE,$U$7=TRUE)),VLOOKUP($E268,'Status Thresholds'!$E:$AR,17,FALSE),IF((AND($U$4=TRUE,$U$5=FALSE,$U$6=FALSE,$U$7=TRUE)),VLOOKUP($E268,'Status Thresholds'!$E:$AR,7,FALSE),
IF((AND($U$4=FALSE,$U$5=TRUE,$U$6=FALSE,$U$7=FALSE)),VLOOKUP($E268,'Status Thresholds'!$E:$AR,22,FALSE),IF((AND($U$4=FALSE,$U$5=TRUE,$U$6=TRUE,$U$7=FALSE)),VLOOKUP($E268,'Status Thresholds'!$E:$AR,32,FALSE),IF((AND($U$4=FALSE,$U$5=TRUE,$U$6=TRUE,$U$7=TRUE)),VLOOKUP($E268,'Status Thresholds'!$E:$AR,37,FALSE),IF((AND($U$4=FALSE,$U$5=TRUE,$U$6=FALSE,$U$7=TRUE)),VLOOKUP($E268,'Status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268" s="36" t="str">
        <f>IFERROR(
ROUNDUP(
IF(AND($U$5=FALSE,$U$4=FALSE),"-",IF(AND($U$5=TRUE,$U$4=TRUE),"-",
IF((AND($U$4=TRUE,$U$5=FALSE,$U$6=FALSE,$U$7=FALSE)),VLOOKUP($E267,'Status Thresholds'!$E:$AR,3,FALSE),IF((AND($U$4=TRUE,$U$5=FALSE,$U$6=TRUE,$U$7=FALSE)),VLOOKUP($E267,'Status Thresholds'!$E:$AR,13,FALSE),IF((AND($U$4=TRUE,$U$5=FALSE,$U$6=TRUE,$U$7=TRUE)),VLOOKUP($E267,'Status Thresholds'!$E:$AR,18,FALSE),IF((AND($U$4=TRUE,$U$5=FALSE,$U$6=FALSE,$U$7=TRUE)),VLOOKUP($E267,'Status Thresholds'!$E:$AR,8,FALSE),
IF((AND($U$4=FALSE,$U$5=TRUE,$U$6=FALSE,$U$7=FALSE)),VLOOKUP($E267,'Status Thresholds'!$E:$AR,23,FALSE),IF((AND($U$4=FALSE,$U$5=TRUE,$U$6=TRUE,$U$7=FALSE)),VLOOKUP($E267,'Status Thresholds'!$E:$AR,33,FALSE),IF((AND($U$4=FALSE,$U$5=TRUE,$U$6=TRUE,$U$7=TRUE)),VLOOKUP($E267,'Status Thresholds'!$E:$AR,38,FALSE),IF((AND($U$4=FALSE,$U$5=TRUE,$U$6=FALSE,$U$7=TRUE)),VLOOKUP($E267,'Status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268" s="36" t="str">
        <f>IFERROR(
ROUNDUP(
IF(AND($U$5=FALSE,$U$4=FALSE),"-",IF(AND($U$5=TRUE,$U$4=TRUE),"-",
IF((AND($U$4=TRUE,$U$5=FALSE,$U$6=FALSE,$U$7=FALSE)),VLOOKUP($E267,'Status Thresholds'!$E:$AR,4,FALSE),IF((AND($U$4=TRUE,$U$5=FALSE,$U$6=TRUE,$U$7=FALSE)),VLOOKUP($E267,'Status Thresholds'!$E:$AR,14,FALSE),IF((AND($U$4=TRUE,$U$5=FALSE,$U$6=TRUE,$U$7=TRUE)),VLOOKUP($E267,'Status Thresholds'!$E:$AR,19,FALSE),IF((AND($U$4=TRUE,$U$5=FALSE,$U$6=FALSE,$U$7=TRUE)),VLOOKUP($E267,'Status Thresholds'!$E:$AR,9,FALSE),
IF((AND($U$4=FALSE,$U$5=TRUE,$U$6=FALSE,$U$7=FALSE)),VLOOKUP($E267,'Status Thresholds'!$E:$AR,24,FALSE),IF((AND($U$4=FALSE,$U$5=TRUE,$U$6=TRUE,$U$7=FALSE)),VLOOKUP($E267,'Status Thresholds'!$E:$AR,34,FALSE),IF((AND($U$4=FALSE,$U$5=TRUE,$U$6=TRUE,$U$7=TRUE)),VLOOKUP($E267,'Status Thresholds'!$E:$AR,39,FALSE),IF((AND($U$4=FALSE,$U$5=TRUE,$U$6=FALSE,$U$7=TRUE)),VLOOKUP($E267,'Status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268" s="36" t="str">
        <f>IFERROR(
ROUNDUP(
IF(AND($U$5=FALSE,$U$4=FALSE),"-",IF(AND($U$5=TRUE,$U$4=TRUE),"-",
IF((AND($U$4=TRUE,$U$5=FALSE,$U$6=FALSE,$U$7=FALSE)),VLOOKUP($E267,'Status Thresholds'!$E:$AR,5,FALSE),IF((AND($U$4=TRUE,$U$5=FALSE,$U$6=TRUE,$U$7=FALSE)),VLOOKUP($E267,'Status Thresholds'!$E:$AR,15,FALSE),IF((AND($U$4=TRUE,$U$5=FALSE,$U$6=TRUE,$U$7=TRUE)),VLOOKUP($E267,'Status Thresholds'!$E:$AR,20,FALSE),IF((AND($U$4=TRUE,$U$5=FALSE,$U$6=FALSE,$U$7=TRUE)),VLOOKUP($E267,'Status Thresholds'!$E:$AR,10,FALSE),
IF((AND($U$4=FALSE,$U$5=TRUE,$U$6=FALSE,$U$7=FALSE)),VLOOKUP($E267,'Status Thresholds'!$E:$AR,25,FALSE),IF((AND($U$4=FALSE,$U$5=TRUE,$U$6=TRUE,$U$7=FALSE)),VLOOKUP($E267,'Status Thresholds'!$E:$AR,35,FALSE),IF((AND($U$4=FALSE,$U$5=TRUE,$U$6=TRUE,$U$7=TRUE)),VLOOKUP($E267,'Status Thresholds'!$E:$AR,40,FALSE),IF((AND($U$4=FALSE,$U$5=TRUE,$U$6=FALSE,$U$7=TRUE)),VLOOKUP($E267,'Status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268" s="46">
        <f>IFERROR(IF(AND($U$5=FALSE,$U$4=FALSE),"-",VLOOKUP($E268,'Status Thresholds'!$E:$AU,41,FALSE)),"-")</f>
        <v>0</v>
      </c>
      <c r="K268" s="46" t="str">
        <f>IFERROR(IF(AND($U$5=FALSE,$U$4=FALSE),"-",VLOOKUP($E268,'Status Thresholds'!$E:$AU,42,FALSE)),"-")</f>
        <v>-</v>
      </c>
      <c r="L268" s="46" t="str">
        <f>IFERROR(IF(AND($U$5=FALSE,$U$4=FALSE),"-",VLOOKUP($E268,'Status Thresholds'!$E:$AU,43,FALSE)),"-")</f>
        <v>-</v>
      </c>
    </row>
    <row r="269" spans="1:12" ht="15" hidden="1" customHeight="1" x14ac:dyDescent="0.25">
      <c r="A269" s="35"/>
      <c r="B269" s="64" t="str">
        <f>IF('Status Thresholds'!A264=0, "", 'Status Thresholds'!A264)</f>
        <v>Deviant</v>
      </c>
      <c r="C269" s="64" t="str">
        <f>IF('Status Thresholds'!B264=0, "", 'Status Thresholds'!B264)</f>
        <v>Drilltusk Tetsucabra</v>
      </c>
      <c r="D269" s="77" t="s">
        <v>207</v>
      </c>
      <c r="E269" s="36" t="str">
        <f t="shared" si="3"/>
        <v>Drilltusk TetsucabraShock Trap</v>
      </c>
      <c r="F269" s="76" t="s">
        <v>214</v>
      </c>
      <c r="G269" s="46" t="s">
        <v>214</v>
      </c>
      <c r="H269" s="46" t="s">
        <v>214</v>
      </c>
      <c r="I269" s="46" t="s">
        <v>214</v>
      </c>
      <c r="J269" s="46">
        <f>IFERROR(IF(AND($U$5=FALSE,$U$4=FALSE),"-",VLOOKUP($E269,'Status Thresholds'!$E:$AU,43,FALSE)),"-")</f>
        <v>10</v>
      </c>
      <c r="K269" s="46">
        <f>IFERROR(IF(AND($U$5=FALSE,$U$4=FALSE),"-",VLOOKUP($E269,'Status Thresholds'!$E:$AU,41,FALSE)),"-")</f>
        <v>8</v>
      </c>
      <c r="L269" s="46">
        <f>IFERROR(IF(AND($U$5=FALSE,$U$4=FALSE),"-",VLOOKUP($E269,'Status Thresholds'!$E:$AU,42,FALSE)),"-")</f>
        <v>12</v>
      </c>
    </row>
    <row r="270" spans="1:12" hidden="1" x14ac:dyDescent="0.25">
      <c r="A270" s="35"/>
      <c r="B270" s="64" t="str">
        <f>IF('Status Thresholds'!A265=0, "", 'Status Thresholds'!A265)</f>
        <v>Deviant</v>
      </c>
      <c r="C270" s="64" t="str">
        <f>IF('Status Thresholds'!B265=0, "", 'Status Thresholds'!B265)</f>
        <v>Drilltusk Tetsucabra</v>
      </c>
      <c r="D270" s="77" t="s">
        <v>213</v>
      </c>
      <c r="E270" s="36" t="str">
        <f t="shared" si="3"/>
        <v>Drilltusk TetsucabraPitfall Trap</v>
      </c>
      <c r="F270" s="46" t="s">
        <v>214</v>
      </c>
      <c r="G270" s="46" t="s">
        <v>214</v>
      </c>
      <c r="H270" s="46" t="s">
        <v>214</v>
      </c>
      <c r="I270" s="46" t="s">
        <v>214</v>
      </c>
      <c r="J270" s="46">
        <f>IFERROR(IF(AND($U$5=FALSE,$U$4=FALSE),"-",VLOOKUP($E270,'Status Thresholds'!$E:$AU,43,FALSE)),"-")</f>
        <v>15</v>
      </c>
      <c r="K270" s="46">
        <f>IFERROR(IF(AND($U$5=FALSE,$U$4=FALSE),"-",VLOOKUP($E270,'Status Thresholds'!$E:$AU,41,FALSE)),"-")</f>
        <v>12</v>
      </c>
      <c r="L270" s="46">
        <f>IFERROR(IF(AND($U$5=FALSE,$U$4=FALSE),"-",VLOOKUP($E270,'Status Thresholds'!$E:$AU,42,FALSE)),"-")</f>
        <v>20</v>
      </c>
    </row>
    <row r="271" spans="1:12" s="36" customFormat="1" x14ac:dyDescent="0.25">
      <c r="A271" s="64"/>
      <c r="B271" s="64" t="str">
        <f>VLOOKUP(C271,'Status Thresholds'!B:C,2,FALSE)</f>
        <v>MHGen</v>
      </c>
      <c r="C271" s="64" t="str">
        <f>IF('Status Thresholds'!B266=0, "", 'Status Thresholds'!B266)</f>
        <v>Durambros</v>
      </c>
      <c r="D271" s="37" t="s">
        <v>0</v>
      </c>
      <c r="E271" s="36" t="str">
        <f t="shared" si="3"/>
        <v>DurambrosPara</v>
      </c>
      <c r="F271" s="36" t="str">
        <f>IFERROR(
ROUNDUP(
IF(AND($U$5=FALSE,$U$4=FALSE),"-",IF(AND($U$5=TRUE,$U$4=TRUE),"-",
IF((AND($U$4=TRUE,$U$5=FALSE,$U$6=FALSE,$U$7=FALSE)),VLOOKUP($E271,'Status Thresholds'!$E:$AR,2,FALSE),IF((AND($U$4=TRUE,$U$5=FALSE,$U$6=TRUE,$U$7=FALSE)),VLOOKUP($E271,'Status Thresholds'!$E:$AR,12,FALSE),IF((AND($U$4=TRUE,$U$5=FALSE,$U$6=TRUE,$U$7=TRUE)),VLOOKUP($E271,'Status Thresholds'!$E:$AR,17,FALSE),IF((AND($U$4=TRUE,$U$5=FALSE,$U$6=FALSE,$U$7=TRUE)),VLOOKUP($E271,'Status Thresholds'!$E:$AR,7,FALSE),
IF((AND($U$4=FALSE,$U$5=TRUE,$U$6=FALSE,$U$7=FALSE)),VLOOKUP($E271,'Status Thresholds'!$E:$AR,22,FALSE),IF((AND($U$4=FALSE,$U$5=TRUE,$U$6=TRUE,$U$7=FALSE)),VLOOKUP($E271,'Status Thresholds'!$E:$AR,32,FALSE),IF((AND($U$4=FALSE,$U$5=TRUE,$U$6=TRUE,$U$7=TRUE)),VLOOKUP($E271,'Status Thresholds'!$E:$AR,37,FALSE),IF((AND($U$4=FALSE,$U$5=TRUE,$U$6=FALSE,$U$7=TRUE)),VLOOKUP($E271,'Status Thresholds'!$E:$AR,27,FALSE)))))))))
))/
IF(OR($X$5=TRUE,$AC$3=TRUE
),($F$3/2), IF(OR($X$2,$X$3,$X$4,$X$6,$X$7,$X$8,$Z$2,$Z$3,$Z$4,$Z$5,$Z$6,$Z$7,$Z$8)=TRUE,$F$3)),0),"-")</f>
        <v>-</v>
      </c>
      <c r="G271" s="36" t="str">
        <f>IFERROR(
ROUNDUP(
IF(AND($U$5=FALSE,$U$4=FALSE),"-",IF(AND($U$5=TRUE,$U$4=TRUE),"-",
IF((AND($U$4=TRUE,$U$5=FALSE,$U$6=FALSE,$U$7=FALSE)),VLOOKUP($E271,'Status Thresholds'!$E:$AR,3,FALSE),IF((AND($U$4=TRUE,$U$5=FALSE,$U$6=TRUE,$U$7=FALSE)),VLOOKUP($E271,'Status Thresholds'!$E:$AR,13,FALSE),IF((AND($U$4=TRUE,$U$5=FALSE,$U$6=TRUE,$U$7=TRUE)),VLOOKUP($E271,'Status Thresholds'!$E:$AR,18,FALSE),IF((AND($U$4=TRUE,$U$5=FALSE,$U$6=FALSE,$U$7=TRUE)),VLOOKUP($E271,'Status Thresholds'!$E:$AR,8,FALSE),
IF((AND($U$4=FALSE,$U$5=TRUE,$U$6=FALSE,$U$7=FALSE)),VLOOKUP($E271,'Status Thresholds'!$E:$AR,23,FALSE),IF((AND($U$4=FALSE,$U$5=TRUE,$U$6=TRUE,$U$7=FALSE)),VLOOKUP($E271,'Status Thresholds'!$E:$AR,33,FALSE),IF((AND($U$4=FALSE,$U$5=TRUE,$U$6=TRUE,$U$7=TRUE)),VLOOKUP($E271,'Status Thresholds'!$E:$AR,38,FALSE),IF((AND($U$4=FALSE,$U$5=TRUE,$U$6=FALSE,$U$7=TRUE)),VLOOKUP($E271,'Status Thresholds'!$E:$AR,28,FALSE)))))))))
))/
IF(OR($X$5=TRUE,$AC$3=TRUE
),($F$3/2), IF(OR($X$2,$X$3,$X$4,$X$6,$X$7,$X$8,$Z$2,$Z$3,$Z$4,$Z$5,$Z$6,$Z$7,$Z$8)=TRUE,$F$3)),0),"-")</f>
        <v>-</v>
      </c>
      <c r="H271" s="36" t="str">
        <f>IFERROR(
ROUNDUP(
IF(AND($U$5=FALSE,$U$4=FALSE),"-",IF(AND($U$5=TRUE,$U$4=TRUE),"-",
IF((AND($U$4=TRUE,$U$5=FALSE,$U$6=FALSE,$U$7=FALSE)),VLOOKUP($E271,'Status Thresholds'!$E:$AR,4,FALSE),IF((AND($U$4=TRUE,$U$5=FALSE,$U$6=TRUE,$U$7=FALSE)),VLOOKUP($E271,'Status Thresholds'!$E:$AR,14,FALSE),IF((AND($U$4=TRUE,$U$5=FALSE,$U$6=TRUE,$U$7=TRUE)),VLOOKUP($E271,'Status Thresholds'!$E:$AR,19,FALSE),IF((AND($U$4=TRUE,$U$5=FALSE,$U$6=FALSE,$U$7=TRUE)),VLOOKUP($E271,'Status Thresholds'!$E:$AR,9,FALSE),
IF((AND($U$4=FALSE,$U$5=TRUE,$U$6=FALSE,$U$7=FALSE)),VLOOKUP($E271,'Status Thresholds'!$E:$AR,24,FALSE),IF((AND($U$4=FALSE,$U$5=TRUE,$U$6=TRUE,$U$7=FALSE)),VLOOKUP($E271,'Status Thresholds'!$E:$AR,34,FALSE),IF((AND($U$4=FALSE,$U$5=TRUE,$U$6=TRUE,$U$7=TRUE)),VLOOKUP($E271,'Status Thresholds'!$E:$AR,39,FALSE),IF((AND($U$4=FALSE,$U$5=TRUE,$U$6=FALSE,$U$7=TRUE)),VLOOKUP($E271,'Status Thresholds'!$E:$AR,29,FALSE)))))))))
))/
IF(OR($X$5=TRUE,$AC$3=TRUE
),($F$3/2), IF(OR($X$2,$X$3,$X$4,$X$6,$X$7,$X$8,$Z$2,$Z$3,$Z$4,$Z$5,$Z$6,$Z$7,$Z$8)=TRUE,$F$3)),0),"-")</f>
        <v>-</v>
      </c>
      <c r="I271" s="36" t="str">
        <f>IFERROR(
ROUNDUP(
IF(AND($U$5=FALSE,$U$4=FALSE),"-",IF(AND($U$5=TRUE,$U$4=TRUE),"-",
IF((AND($U$4=TRUE,$U$5=FALSE,$U$6=FALSE,$U$7=FALSE)),VLOOKUP($E271,'Status Thresholds'!$E:$AR,5,FALSE),IF((AND($U$4=TRUE,$U$5=FALSE,$U$6=TRUE,$U$7=FALSE)),VLOOKUP($E271,'Status Thresholds'!$E:$AR,15,FALSE),IF((AND($U$4=TRUE,$U$5=FALSE,$U$6=TRUE,$U$7=TRUE)),VLOOKUP($E271,'Status Thresholds'!$E:$AR,20,FALSE),IF((AND($U$4=TRUE,$U$5=FALSE,$U$6=FALSE,$U$7=TRUE)),VLOOKUP($E271,'Status Thresholds'!$E:$AR,10,FALSE),
IF((AND($U$4=FALSE,$U$5=TRUE,$U$6=FALSE,$U$7=FALSE)),VLOOKUP($E271,'Status Thresholds'!$E:$AR,25,FALSE),IF((AND($U$4=FALSE,$U$5=TRUE,$U$6=TRUE,$U$7=FALSE)),VLOOKUP($E271,'Status Thresholds'!$E:$AR,35,FALSE),IF((AND($U$4=FALSE,$U$5=TRUE,$U$6=TRUE,$U$7=TRUE)),VLOOKUP($E271,'Status Thresholds'!$E:$AR,40,FALSE),IF((AND($U$4=FALSE,$U$5=TRUE,$U$6=FALSE,$U$7=TRUE)),VLOOKUP($E271,'Status Thresholds'!$E:$AR,30,FALSE)))))))))
))/
IF(OR($X$5=TRUE,$AC$3=TRUE
),($F$3/2), IF(OR($X$2,$X$3,$X$4,$X$6,$X$7,$X$8,$Z$2,$Z$3,$Z$4,$Z$5,$Z$6,$Z$7,$Z$8)=TRUE,$F$3)),0),"-")</f>
        <v>-</v>
      </c>
      <c r="J271" s="36">
        <f>IFERROR(IF(AND($U$5=FALSE,$U$4=FALSE),"-",VLOOKUP($E271,'Status Thresholds'!$E:$AU,41,FALSE)),"-")</f>
        <v>10</v>
      </c>
      <c r="K271" s="36" t="str">
        <f>IFERROR(IF(AND($U$5=FALSE,$U$4=FALSE),"-",VLOOKUP($E271,'Status Thresholds'!$E:$AU,42,FALSE)),"-")</f>
        <v>-</v>
      </c>
      <c r="L271" s="36" t="str">
        <f>IFERROR(IF(AND($U$5=FALSE,$U$4=FALSE),"-",VLOOKUP($E271,'Status Thresholds'!$E:$AU,43,FALSE)),"-")</f>
        <v>-</v>
      </c>
    </row>
    <row r="272" spans="1:12" x14ac:dyDescent="0.25">
      <c r="A272" s="35"/>
      <c r="B272" s="64" t="str">
        <f>VLOOKUP(C272,'Status Thresholds'!B:C,2,FALSE)</f>
        <v>MHGen</v>
      </c>
      <c r="C272" s="64" t="str">
        <f>IF('Status Thresholds'!B267=0, "", 'Status Thresholds'!B267)</f>
        <v>Durambros</v>
      </c>
      <c r="D272" s="31" t="s">
        <v>32</v>
      </c>
      <c r="E272" s="36" t="str">
        <f t="shared" si="3"/>
        <v>DurambrosSleep</v>
      </c>
      <c r="F272" s="36" t="str">
        <f>IFERROR(
ROUNDUP(
IF(AND($U$5=FALSE,$U$4=FALSE),"-",IF(AND($U$5=TRUE,$U$4=TRUE),"-",
IF((AND($U$4=TRUE,$U$5=FALSE,$U$6=FALSE,$U$7=FALSE)),VLOOKUP($E272,'Status Thresholds'!$E:$AR,2,FALSE),IF((AND($U$4=TRUE,$U$5=FALSE,$U$6=TRUE,$U$7=FALSE)),VLOOKUP($E272,'Status Thresholds'!$E:$AR,12,FALSE),IF((AND($U$4=TRUE,$U$5=FALSE,$U$6=TRUE,$U$7=TRUE)),VLOOKUP($E272,'Status Thresholds'!$E:$AR,17,FALSE),IF((AND($U$4=TRUE,$U$5=FALSE,$U$6=FALSE,$U$7=TRUE)),VLOOKUP($E272,'Status Thresholds'!$E:$AR,7,FALSE),
IF((AND($U$4=FALSE,$U$5=TRUE,$U$6=FALSE,$U$7=FALSE)),VLOOKUP($E272,'Status Thresholds'!$E:$AR,22,FALSE),IF((AND($U$4=FALSE,$U$5=TRUE,$U$6=TRUE,$U$7=FALSE)),VLOOKUP($E272,'Status Thresholds'!$E:$AR,32,FALSE),IF((AND($U$4=FALSE,$U$5=TRUE,$U$6=TRUE,$U$7=TRUE)),VLOOKUP($E272,'Status Thresholds'!$E:$AR,37,FALSE),IF((AND($U$4=FALSE,$U$5=TRUE,$U$6=FALSE,$U$7=TRUE)),VLOOKUP($E272,'Status Thresholds'!$E:$AR,27,FALSE)))))))))
))/
IF(OR($X$5=TRUE,$AC$3=TRUE
),($F$4/2), IF(OR($X$2,$X$3,$X$4,$X$6,$X$7,$X$8,$Z$2,$Z$3,$Z$4,$Z$5,$Z$6,$Z$7,$Z$8)=TRUE,$F$4)),0),"-")</f>
        <v>-</v>
      </c>
      <c r="G272" s="36" t="str">
        <f>IFERROR(
ROUNDUP(
IF(AND($U$5=FALSE,$U$4=FALSE),"-",IF(AND($U$5=TRUE,$U$4=TRUE),"-",
IF((AND($U$4=TRUE,$U$5=FALSE,$U$6=FALSE,$U$7=FALSE)),VLOOKUP($E272,'Status Thresholds'!$E:$AR,3,FALSE),IF((AND($U$4=TRUE,$U$5=FALSE,$U$6=TRUE,$U$7=FALSE)),VLOOKUP($E272,'Status Thresholds'!$E:$AR,13,FALSE),IF((AND($U$4=TRUE,$U$5=FALSE,$U$6=TRUE,$U$7=TRUE)),VLOOKUP($E272,'Status Thresholds'!$E:$AR,18,FALSE),IF((AND($U$4=TRUE,$U$5=FALSE,$U$6=FALSE,$U$7=TRUE)),VLOOKUP($E272,'Status Thresholds'!$E:$AR,8,FALSE),
IF((AND($U$4=FALSE,$U$5=TRUE,$U$6=FALSE,$U$7=FALSE)),VLOOKUP($E272,'Status Thresholds'!$E:$AR,23,FALSE),IF((AND($U$4=FALSE,$U$5=TRUE,$U$6=TRUE,$U$7=FALSE)),VLOOKUP($E272,'Status Thresholds'!$E:$AR,33,FALSE),IF((AND($U$4=FALSE,$U$5=TRUE,$U$6=TRUE,$U$7=TRUE)),VLOOKUP($E272,'Status Thresholds'!$E:$AR,38,FALSE),IF((AND($U$4=FALSE,$U$5=TRUE,$U$6=FALSE,$U$7=TRUE)),VLOOKUP($E272,'Status Thresholds'!$E:$AR,28,FALSE)))))))))
))/
IF(OR($X$5=TRUE,$AC$3=TRUE
),($F$4/2), IF(OR($X$2,$X$3,$X$4,$X$6,$X$7,$X$8,$Z$2,$Z$3,$Z$4,$Z$5,$Z$6,$Z$7,$Z$8)=TRUE,$F$4)),0),"-")</f>
        <v>-</v>
      </c>
      <c r="H272" s="36" t="str">
        <f>IFERROR(
ROUNDUP(
IF(AND($U$5=FALSE,$U$4=FALSE),"-",IF(AND($U$5=TRUE,$U$4=TRUE),"-",
IF((AND($U$4=TRUE,$U$5=FALSE,$U$6=FALSE,$U$7=FALSE)),VLOOKUP($E272,'Status Thresholds'!$E:$AR,4,FALSE),IF((AND($U$4=TRUE,$U$5=FALSE,$U$6=TRUE,$U$7=FALSE)),VLOOKUP($E272,'Status Thresholds'!$E:$AR,14,FALSE),IF((AND($U$4=TRUE,$U$5=FALSE,$U$6=TRUE,$U$7=TRUE)),VLOOKUP($E272,'Status Thresholds'!$E:$AR,19,FALSE),IF((AND($U$4=TRUE,$U$5=FALSE,$U$6=FALSE,$U$7=TRUE)),VLOOKUP($E272,'Status Thresholds'!$E:$AR,9,FALSE),
IF((AND($U$4=FALSE,$U$5=TRUE,$U$6=FALSE,$U$7=FALSE)),VLOOKUP($E272,'Status Thresholds'!$E:$AR,24,FALSE),IF((AND($U$4=FALSE,$U$5=TRUE,$U$6=TRUE,$U$7=FALSE)),VLOOKUP($E272,'Status Thresholds'!$E:$AR,34,FALSE),IF((AND($U$4=FALSE,$U$5=TRUE,$U$6=TRUE,$U$7=TRUE)),VLOOKUP($E272,'Status Thresholds'!$E:$AR,39,FALSE),IF((AND($U$4=FALSE,$U$5=TRUE,$U$6=FALSE,$U$7=TRUE)),VLOOKUP($E272,'Status Thresholds'!$E:$AR,29,FALSE)))))))))
))/
IF(OR($X$5=TRUE,$AC$3=TRUE
),($F$4/2), IF(OR($X$2,$X$3,$X$4,$X$6,$X$7,$X$8,$Z$2,$Z$3,$Z$4,$Z$5,$Z$6,$Z$7,$Z$8)=TRUE,$F$4)),0),"-")</f>
        <v>-</v>
      </c>
      <c r="I272" s="36" t="str">
        <f>IFERROR(
ROUNDUP(
IF(AND($U$5=FALSE,$U$4=FALSE),"-",IF(AND($U$5=TRUE,$U$4=TRUE),"-",
IF((AND($U$4=TRUE,$U$5=FALSE,$U$6=FALSE,$U$7=FALSE)),VLOOKUP($E272,'Status Thresholds'!$E:$AR,5,FALSE),IF((AND($U$4=TRUE,$U$5=FALSE,$U$6=TRUE,$U$7=FALSE)),VLOOKUP($E272,'Status Thresholds'!$E:$AR,15,FALSE),IF((AND($U$4=TRUE,$U$5=FALSE,$U$6=TRUE,$U$7=TRUE)),VLOOKUP($E272,'Status Thresholds'!$E:$AR,20,FALSE),IF((AND($U$4=TRUE,$U$5=FALSE,$U$6=FALSE,$U$7=TRUE)),VLOOKUP($E272,'Status Thresholds'!$E:$AR,10,FALSE),
IF((AND($U$4=FALSE,$U$5=TRUE,$U$6=FALSE,$U$7=FALSE)),VLOOKUP($E272,'Status Thresholds'!$E:$AR,25,FALSE),IF((AND($U$4=FALSE,$U$5=TRUE,$U$6=TRUE,$U$7=FALSE)),VLOOKUP($E272,'Status Thresholds'!$E:$AR,35,FALSE),IF((AND($U$4=FALSE,$U$5=TRUE,$U$6=TRUE,$U$7=TRUE)),VLOOKUP($E272,'Status Thresholds'!$E:$AR,40,FALSE),IF((AND($U$4=FALSE,$U$5=TRUE,$U$6=FALSE,$U$7=TRUE)),VLOOKUP($E272,'Status Thresholds'!$E:$AR,30,FALSE)))))))))
))/
IF(OR($X$5=TRUE,$AC$3=TRUE
),($F$4/2), IF(OR($X$2,$X$3,$X$4,$X$6,$X$7,$X$8,$Z$2,$Z$3,$Z$4,$Z$5,$Z$6,$Z$7,$Z$8)=TRUE,$F$4)),0),"-")</f>
        <v>-</v>
      </c>
      <c r="J272" s="46">
        <f>IFERROR(IF(AND($U$5=FALSE,$U$4=FALSE),"-",VLOOKUP($E272,'Status Thresholds'!$E:$AU,41,FALSE)),"-")</f>
        <v>30</v>
      </c>
      <c r="K272" s="46" t="str">
        <f>IFERROR(IF(AND($U$5=FALSE,$U$4=FALSE),"-",VLOOKUP($E272,'Status Thresholds'!$E:$AU,42,FALSE)),"-")</f>
        <v>-</v>
      </c>
      <c r="L272" s="46" t="str">
        <f>IFERROR(IF(AND($U$5=FALSE,$U$4=FALSE),"-",VLOOKUP($E272,'Status Thresholds'!$E:$AU,43,FALSE)),"-")</f>
        <v>-</v>
      </c>
    </row>
    <row r="273" spans="1:12" x14ac:dyDescent="0.25">
      <c r="A273" s="35"/>
      <c r="B273" s="64" t="str">
        <f>VLOOKUP(C273,'Status Thresholds'!B:C,2,FALSE)</f>
        <v>MHGen</v>
      </c>
      <c r="C273" s="64" t="str">
        <f>IF('Status Thresholds'!B268=0, "", 'Status Thresholds'!B268)</f>
        <v>Durambros</v>
      </c>
      <c r="D273" s="32" t="s">
        <v>33</v>
      </c>
      <c r="E273" s="36" t="str">
        <f t="shared" si="3"/>
        <v>DurambrosPoison</v>
      </c>
      <c r="F273" s="36" t="str">
        <f>IFERROR(
ROUNDUP(
IF(AND($U$5=FALSE,$U$4=FALSE),"-",IF(AND($U$5=TRUE,$U$4=TRUE),"-",
IF((AND($U$4=TRUE,$U$5=FALSE,$U$6=FALSE,$U$7=FALSE)),VLOOKUP($E273,'Status Thresholds'!$E:$AR,2,FALSE),IF((AND($U$4=TRUE,$U$5=FALSE,$U$6=TRUE,$U$7=FALSE)),VLOOKUP($E273,'Status Thresholds'!$E:$AR,12,FALSE),IF((AND($U$4=TRUE,$U$5=FALSE,$U$6=TRUE,$U$7=TRUE)),VLOOKUP($E273,'Status Thresholds'!$E:$AR,17,FALSE),IF((AND($U$4=TRUE,$U$5=FALSE,$U$6=FALSE,$U$7=TRUE)),VLOOKUP($E273,'Status Thresholds'!$E:$AR,7,FALSE),
IF((AND($U$4=FALSE,$U$5=TRUE,$U$6=FALSE,$U$7=FALSE)),VLOOKUP($E273,'Status Thresholds'!$E:$AR,22,FALSE),IF((AND($U$4=FALSE,$U$5=TRUE,$U$6=TRUE,$U$7=FALSE)),VLOOKUP($E273,'Status Thresholds'!$E:$AR,32,FALSE),IF((AND($U$4=FALSE,$U$5=TRUE,$U$6=TRUE,$U$7=TRUE)),VLOOKUP($E273,'Status Thresholds'!$E:$AR,37,FALSE),IF((AND($U$4=FALSE,$U$5=TRUE,$U$6=FALSE,$U$7=TRUE)),VLOOKUP($E273,'Status Thresholds'!$E:$AR,27,FALSE)))))))))
))/
IF(OR($X$5=TRUE,$AC$3=TRUE
),($F$5/2), IF(OR($X$2,$X$3,$X$4,$X$6,$X$7,$X$8,$Z$2,$Z$3,$Z$4,$Z$5,$Z$6,$Z$7,$Z$8)=TRUE,$F$5)),0),"-")</f>
        <v>-</v>
      </c>
      <c r="G273" s="36" t="str">
        <f>IFERROR(
ROUNDUP(
IF(AND($U$5=FALSE,$U$4=FALSE),"-",IF(AND($U$5=TRUE,$U$4=TRUE),"-",
IF((AND($U$4=TRUE,$U$5=FALSE,$U$6=FALSE,$U$7=FALSE)),VLOOKUP($E273,'Status Thresholds'!$E:$AR,3,FALSE),IF((AND($U$4=TRUE,$U$5=FALSE,$U$6=TRUE,$U$7=FALSE)),VLOOKUP($E273,'Status Thresholds'!$E:$AR,13,FALSE),IF((AND($U$4=TRUE,$U$5=FALSE,$U$6=TRUE,$U$7=TRUE)),VLOOKUP($E273,'Status Thresholds'!$E:$AR,18,FALSE),IF((AND($U$4=TRUE,$U$5=FALSE,$U$6=FALSE,$U$7=TRUE)),VLOOKUP($E273,'Status Thresholds'!$E:$AR,8,FALSE),
IF((AND($U$4=FALSE,$U$5=TRUE,$U$6=FALSE,$U$7=FALSE)),VLOOKUP($E273,'Status Thresholds'!$E:$AR,23,FALSE),IF((AND($U$4=FALSE,$U$5=TRUE,$U$6=TRUE,$U$7=FALSE)),VLOOKUP($E273,'Status Thresholds'!$E:$AR,33,FALSE),IF((AND($U$4=FALSE,$U$5=TRUE,$U$6=TRUE,$U$7=TRUE)),VLOOKUP($E273,'Status Thresholds'!$E:$AR,38,FALSE),IF((AND($U$4=FALSE,$U$5=TRUE,$U$6=FALSE,$U$7=TRUE)),VLOOKUP($E273,'Status Thresholds'!$E:$AR,28,FALSE)))))))))
))/
IF(OR($X$5=TRUE,$AC$3=TRUE
),($F$5/2), IF(OR($X$2,$X$3,$X$4,$X$6,$X$7,$X$8,$Z$2,$Z$3,$Z$4,$Z$5,$Z$6,$Z$7,$Z$8)=TRUE,$F$5)),0),"-")</f>
        <v>-</v>
      </c>
      <c r="H273" s="36" t="str">
        <f>IFERROR(
ROUNDUP(
IF(AND($U$5=FALSE,$U$4=FALSE),"-",IF(AND($U$5=TRUE,$U$4=TRUE),"-",
IF((AND($U$4=TRUE,$U$5=FALSE,$U$6=FALSE,$U$7=FALSE)),VLOOKUP($E273,'Status Thresholds'!$E:$AR,4,FALSE),IF((AND($U$4=TRUE,$U$5=FALSE,$U$6=TRUE,$U$7=FALSE)),VLOOKUP($E273,'Status Thresholds'!$E:$AR,14,FALSE),IF((AND($U$4=TRUE,$U$5=FALSE,$U$6=TRUE,$U$7=TRUE)),VLOOKUP($E273,'Status Thresholds'!$E:$AR,19,FALSE),IF((AND($U$4=TRUE,$U$5=FALSE,$U$6=FALSE,$U$7=TRUE)),VLOOKUP($E273,'Status Thresholds'!$E:$AR,9,FALSE),
IF((AND($U$4=FALSE,$U$5=TRUE,$U$6=FALSE,$U$7=FALSE)),VLOOKUP($E273,'Status Thresholds'!$E:$AR,24,FALSE),IF((AND($U$4=FALSE,$U$5=TRUE,$U$6=TRUE,$U$7=FALSE)),VLOOKUP($E273,'Status Thresholds'!$E:$AR,34,FALSE),IF((AND($U$4=FALSE,$U$5=TRUE,$U$6=TRUE,$U$7=TRUE)),VLOOKUP($E273,'Status Thresholds'!$E:$AR,39,FALSE),IF((AND($U$4=FALSE,$U$5=TRUE,$U$6=FALSE,$U$7=TRUE)),VLOOKUP($E273,'Status Thresholds'!$E:$AR,29,FALSE)))))))))
))/
IF(OR($X$5=TRUE,$AC$3=TRUE
),($F$5/2), IF(OR($X$2,$X$3,$X$4,$X$6,$X$7,$X$8,$Z$2,$Z$3,$Z$4,$Z$5,$Z$6,$Z$7,$Z$8)=TRUE,$F$5)),0),"-")</f>
        <v>-</v>
      </c>
      <c r="I273" s="36" t="str">
        <f>IFERROR(
ROUNDUP(
IF(AND($U$5=FALSE,$U$4=FALSE),"-",IF(AND($U$5=TRUE,$U$4=TRUE),"-",
IF((AND($U$4=TRUE,$U$5=FALSE,$U$6=FALSE,$U$7=FALSE)),VLOOKUP($E273,'Status Thresholds'!$E:$AR,5,FALSE),IF((AND($U$4=TRUE,$U$5=FALSE,$U$6=TRUE,$U$7=FALSE)),VLOOKUP($E273,'Status Thresholds'!$E:$AR,15,FALSE),IF((AND($U$4=TRUE,$U$5=FALSE,$U$6=TRUE,$U$7=TRUE)),VLOOKUP($E273,'Status Thresholds'!$E:$AR,20,FALSE),IF((AND($U$4=TRUE,$U$5=FALSE,$U$6=FALSE,$U$7=TRUE)),VLOOKUP($E273,'Status Thresholds'!$E:$AR,10,FALSE),
IF((AND($U$4=FALSE,$U$5=TRUE,$U$6=FALSE,$U$7=FALSE)),VLOOKUP($E273,'Status Thresholds'!$E:$AR,25,FALSE),IF((AND($U$4=FALSE,$U$5=TRUE,$U$6=TRUE,$U$7=FALSE)),VLOOKUP($E273,'Status Thresholds'!$E:$AR,35,FALSE),IF((AND($U$4=FALSE,$U$5=TRUE,$U$6=TRUE,$U$7=TRUE)),VLOOKUP($E273,'Status Thresholds'!$E:$AR,40,FALSE),IF((AND($U$4=FALSE,$U$5=TRUE,$U$6=FALSE,$U$7=TRUE)),VLOOKUP($E273,'Status Thresholds'!$E:$AR,30,FALSE)))))))))
))/
IF(OR($X$5=TRUE,$AC$3=TRUE
),($F$5/2), IF(OR($X$2,$X$3,$X$4,$X$6,$X$7,$X$8,$Z$2,$Z$3,$Z$4,$Z$5,$Z$6,$Z$7,$Z$8)=TRUE,$F$5)),0),"-")</f>
        <v>-</v>
      </c>
      <c r="J273" s="46">
        <f>IFERROR(IF(AND($U$5=FALSE,$U$4=FALSE),"-",VLOOKUP($E273,'Status Thresholds'!$E:$AU,41,FALSE)),"-")</f>
        <v>60</v>
      </c>
      <c r="K273" s="46" t="str">
        <f>IFERROR(IF(AND($U$5=FALSE,$U$4=FALSE),"-",VLOOKUP($E273,'Status Thresholds'!$E:$AU,42,FALSE)),"-")</f>
        <v>-</v>
      </c>
      <c r="L273" s="46" t="str">
        <f>IFERROR(IF(AND($U$5=FALSE,$U$4=FALSE),"-",VLOOKUP($E273,'Status Thresholds'!$E:$AU,43,FALSE)),"-")</f>
        <v>-</v>
      </c>
    </row>
    <row r="274" spans="1:12" x14ac:dyDescent="0.25">
      <c r="A274" s="35"/>
      <c r="B274" s="64" t="str">
        <f>VLOOKUP(C274,'Status Thresholds'!B:C,2,FALSE)</f>
        <v>MHGen</v>
      </c>
      <c r="C274" s="64" t="str">
        <f>IF('Status Thresholds'!B269=0, "", 'Status Thresholds'!B269)</f>
        <v>Durambros</v>
      </c>
      <c r="D274" s="10" t="s">
        <v>22</v>
      </c>
      <c r="E274" s="36" t="str">
        <f t="shared" si="3"/>
        <v>DurambrosExhaust</v>
      </c>
      <c r="F274" s="36" t="str">
        <f>IFERROR(
ROUNDUP(
IF(AND($U$5=FALSE,$U$4=FALSE),"-",IF(AND($U$5=TRUE,$U$4=TRUE),"-",
IF((AND($U$4=TRUE,$U$5=FALSE,$U$6=FALSE,$U$7=FALSE)),VLOOKUP($E274,'Status Thresholds'!$E:$AR,2,FALSE),IF((AND($U$4=TRUE,$U$5=FALSE,$U$6=TRUE,$U$7=FALSE)),VLOOKUP($E274,'Status Thresholds'!$E:$AR,12,FALSE),IF((AND($U$4=TRUE,$U$5=FALSE,$U$6=TRUE,$U$7=TRUE)),VLOOKUP($E274,'Status Thresholds'!$E:$AR,17,FALSE),IF((AND($U$4=TRUE,$U$5=FALSE,$U$6=FALSE,$U$7=TRUE)),VLOOKUP($E274,'Status Thresholds'!$E:$AR,7,FALSE),
IF((AND($U$4=FALSE,$U$5=TRUE,$U$6=FALSE,$U$7=FALSE)),VLOOKUP($E274,'Status Thresholds'!$E:$AR,22,FALSE),IF((AND($U$4=FALSE,$U$5=TRUE,$U$6=TRUE,$U$7=FALSE)),VLOOKUP($E274,'Status Thresholds'!$E:$AR,32,FALSE),IF((AND($U$4=FALSE,$U$5=TRUE,$U$6=TRUE,$U$7=TRUE)),VLOOKUP($E274,'Status Thresholds'!$E:$AR,37,FALSE),IF((AND($U$4=FALSE,$U$5=TRUE,$U$6=FALSE,$U$7=TRUE)),VLOOKUP($E274,'Status Thresholds'!$E:$AR,27,FALSE)))))))))
))/
IF(OR($X$5=TRUE,$AC$3=TRUE
),($F$6/2), IF(OR($X$2,$X$3,$X$4,$X$6,$X$7,$X$8,$Z$2,$Z$3,$Z$4,$Z$5,$Z$6,$Z$7,$Z$8)=TRUE,$F$6)),0),"-")</f>
        <v>-</v>
      </c>
      <c r="G274" s="36" t="str">
        <f>IFERROR(
ROUNDUP(
IF(AND($U$5=FALSE,$U$4=FALSE),"-",IF(AND($U$5=TRUE,$U$4=TRUE),"-",
IF((AND($U$4=TRUE,$U$5=FALSE,$U$6=FALSE,$U$7=FALSE)),VLOOKUP($E274,'Status Thresholds'!$E:$AR,3,FALSE),IF((AND($U$4=TRUE,$U$5=FALSE,$U$6=TRUE,$U$7=FALSE)),VLOOKUP($E274,'Status Thresholds'!$E:$AR,13,FALSE),IF((AND($U$4=TRUE,$U$5=FALSE,$U$6=TRUE,$U$7=TRUE)),VLOOKUP($E274,'Status Thresholds'!$E:$AR,18,FALSE),IF((AND($U$4=TRUE,$U$5=FALSE,$U$6=FALSE,$U$7=TRUE)),VLOOKUP($E274,'Status Thresholds'!$E:$AR,8,FALSE),
IF((AND($U$4=FALSE,$U$5=TRUE,$U$6=FALSE,$U$7=FALSE)),VLOOKUP($E274,'Status Thresholds'!$E:$AR,23,FALSE),IF((AND($U$4=FALSE,$U$5=TRUE,$U$6=TRUE,$U$7=FALSE)),VLOOKUP($E274,'Status Thresholds'!$E:$AR,33,FALSE),IF((AND($U$4=FALSE,$U$5=TRUE,$U$6=TRUE,$U$7=TRUE)),VLOOKUP($E274,'Status Thresholds'!$E:$AR,38,FALSE),IF((AND($U$4=FALSE,$U$5=TRUE,$U$6=FALSE,$U$7=TRUE)),VLOOKUP($E274,'Status Thresholds'!$E:$AR,28,FALSE)))))))))
))/
IF(OR($X$5=TRUE,$AC$3=TRUE
),($F$6/2), IF(OR($X$2,$X$3,$X$4,$X$6,$X$7,$X$8,$Z$2,$Z$3,$Z$4,$Z$5,$Z$6,$Z$7,$Z$8)=TRUE,$F$6)),0),"-")</f>
        <v>-</v>
      </c>
      <c r="H274" s="36" t="str">
        <f>IFERROR(
ROUNDUP(
IF(AND($U$5=FALSE,$U$4=FALSE),"-",IF(AND($U$5=TRUE,$U$4=TRUE),"-",
IF((AND($U$4=TRUE,$U$5=FALSE,$U$6=FALSE,$U$7=FALSE)),VLOOKUP($E274,'Status Thresholds'!$E:$AR,4,FALSE),IF((AND($U$4=TRUE,$U$5=FALSE,$U$6=TRUE,$U$7=FALSE)),VLOOKUP($E274,'Status Thresholds'!$E:$AR,14,FALSE),IF((AND($U$4=TRUE,$U$5=FALSE,$U$6=TRUE,$U$7=TRUE)),VLOOKUP($E274,'Status Thresholds'!$E:$AR,19,FALSE),IF((AND($U$4=TRUE,$U$5=FALSE,$U$6=FALSE,$U$7=TRUE)),VLOOKUP($E274,'Status Thresholds'!$E:$AR,9,FALSE),
IF((AND($U$4=FALSE,$U$5=TRUE,$U$6=FALSE,$U$7=FALSE)),VLOOKUP($E274,'Status Thresholds'!$E:$AR,24,FALSE),IF((AND($U$4=FALSE,$U$5=TRUE,$U$6=TRUE,$U$7=FALSE)),VLOOKUP($E274,'Status Thresholds'!$E:$AR,34,FALSE),IF((AND($U$4=FALSE,$U$5=TRUE,$U$6=TRUE,$U$7=TRUE)),VLOOKUP($E274,'Status Thresholds'!$E:$AR,39,FALSE),IF((AND($U$4=FALSE,$U$5=TRUE,$U$6=FALSE,$U$7=TRUE)),VLOOKUP($E274,'Status Thresholds'!$E:$AR,29,FALSE)))))))))
))/
IF(OR($X$5=TRUE,$AC$3=TRUE
),($F$6/2), IF(OR($X$2,$X$3,$X$4,$X$6,$X$7,$X$8,$Z$2,$Z$3,$Z$4,$Z$5,$Z$6,$Z$7,$Z$8)=TRUE,$F$6)),0),"-")</f>
        <v>-</v>
      </c>
      <c r="I274" s="36" t="str">
        <f>IFERROR(
ROUNDUP(
IF(AND($U$5=FALSE,$U$4=FALSE),"-",IF(AND($U$5=TRUE,$U$4=TRUE),"-",
IF((AND($U$4=TRUE,$U$5=FALSE,$U$6=FALSE,$U$7=FALSE)),VLOOKUP($E274,'Status Thresholds'!$E:$AR,5,FALSE),IF((AND($U$4=TRUE,$U$5=FALSE,$U$6=TRUE,$U$7=FALSE)),VLOOKUP($E274,'Status Thresholds'!$E:$AR,15,FALSE),IF((AND($U$4=TRUE,$U$5=FALSE,$U$6=TRUE,$U$7=TRUE)),VLOOKUP($E274,'Status Thresholds'!$E:$AR,20,FALSE),IF((AND($U$4=TRUE,$U$5=FALSE,$U$6=FALSE,$U$7=TRUE)),VLOOKUP($E274,'Status Thresholds'!$E:$AR,10,FALSE),
IF((AND($U$4=FALSE,$U$5=TRUE,$U$6=FALSE,$U$7=FALSE)),VLOOKUP($E274,'Status Thresholds'!$E:$AR,25,FALSE),IF((AND($U$4=FALSE,$U$5=TRUE,$U$6=TRUE,$U$7=FALSE)),VLOOKUP($E274,'Status Thresholds'!$E:$AR,35,FALSE),IF((AND($U$4=FALSE,$U$5=TRUE,$U$6=TRUE,$U$7=TRUE)),VLOOKUP($E274,'Status Thresholds'!$E:$AR,40,FALSE),IF((AND($U$4=FALSE,$U$5=TRUE,$U$6=FALSE,$U$7=TRUE)),VLOOKUP($E274,'Status Thresholds'!$E:$AR,30,FALSE)))))))))
))/
IF(OR($X$5=TRUE,$AC$3=TRUE
),($F$6/2), IF(OR($X$2,$X$3,$X$4,$X$6,$X$7,$X$8,$Z$2,$Z$3,$Z$4,$Z$5,$Z$6,$Z$7,$Z$8)=TRUE,$F$6)),0),"-")</f>
        <v>-</v>
      </c>
      <c r="J274" s="46">
        <f>IFERROR(IF(AND($U$5=FALSE,$U$4=FALSE),"-",VLOOKUP($E274,'Status Thresholds'!$E:$AU,41,FALSE)),"-")</f>
        <v>0</v>
      </c>
      <c r="K274" s="46" t="str">
        <f>IFERROR(IF(AND($U$5=FALSE,$U$4=FALSE),"-",VLOOKUP($E274,'Status Thresholds'!$E:$AU,42,FALSE)),"-")</f>
        <v>-</v>
      </c>
      <c r="L274" s="46" t="str">
        <f>IFERROR(IF(AND($U$5=FALSE,$U$4=FALSE),"-",VLOOKUP($E274,'Status Thresholds'!$E:$AU,43,FALSE)),"-")</f>
        <v>-</v>
      </c>
    </row>
    <row r="275" spans="1:12" x14ac:dyDescent="0.25">
      <c r="A275" s="35"/>
      <c r="B275" s="64" t="str">
        <f>VLOOKUP(C275,'Status Thresholds'!B:C,2,FALSE)</f>
        <v>MHGen</v>
      </c>
      <c r="C275" s="64" t="str">
        <f>IF('Status Thresholds'!B270=0, "", 'Status Thresholds'!B270)</f>
        <v>Durambros</v>
      </c>
      <c r="D275" s="30" t="s">
        <v>35</v>
      </c>
      <c r="E275" s="36" t="str">
        <f t="shared" si="3"/>
        <v>DurambrosBlast</v>
      </c>
      <c r="F275" s="36" t="str">
        <f>IFERROR(
ROUNDUP(
IF(AND($U$5=FALSE,$U$4=FALSE),"-",IF(AND($U$5=TRUE,$U$4=TRUE),"-",
IF((AND($U$4=TRUE,$U$5=FALSE,$U$6=FALSE,$U$7=FALSE)),VLOOKUP($E275,'Status Thresholds'!$E:$AR,2,FALSE),IF((AND($U$4=TRUE,$U$5=FALSE,$U$6=TRUE,$U$7=FALSE)),VLOOKUP($E275,'Status Thresholds'!$E:$AR,12,FALSE),IF((AND($U$4=TRUE,$U$5=FALSE,$U$6=TRUE,$U$7=TRUE)),VLOOKUP($E275,'Status Thresholds'!$E:$AR,17,FALSE),IF((AND($U$4=TRUE,$U$5=FALSE,$U$6=FALSE,$U$7=TRUE)),VLOOKUP($E275,'Status Thresholds'!$E:$AR,7,FALSE),
IF((AND($U$4=FALSE,$U$5=TRUE,$U$6=FALSE,$U$7=FALSE)),VLOOKUP($E275,'Status Thresholds'!$E:$AR,22,FALSE),IF((AND($U$4=FALSE,$U$5=TRUE,$U$6=TRUE,$U$7=FALSE)),VLOOKUP($E275,'Status Thresholds'!$E:$AR,32,FALSE),IF((AND($U$4=FALSE,$U$5=TRUE,$U$6=TRUE,$U$7=TRUE)),VLOOKUP($E275,'Status Thresholds'!$E:$AR,37,FALSE),IF((AND($U$4=FALSE,$U$5=TRUE,$U$6=FALSE,$U$7=TRUE)),VLOOKUP($E275,'Status Thresholds'!$E:$AR,27,FALSE)))))))))
))/
IF(OR($X$5=TRUE,$AC$3=TRUE
),($F$7/2), IF(OR($X$2,$X$3,$X$4,$X$6,$X$7,$X$8,$Z$2,$Z$3,$Z$4,$Z$5,$Z$6,$Z$7,$Z$8)=TRUE,$F$7)),0),"-")</f>
        <v>-</v>
      </c>
      <c r="G275" s="36" t="str">
        <f>IFERROR(
ROUNDUP(
IF(AND($U$5=FALSE,$U$4=FALSE),"-",IF(AND($U$5=TRUE,$U$4=TRUE),"-",
IF((AND($U$4=TRUE,$U$5=FALSE,$U$6=FALSE,$U$7=FALSE)),VLOOKUP($E275,'Status Thresholds'!$E:$AR,3,FALSE),IF((AND($U$4=TRUE,$U$5=FALSE,$U$6=TRUE,$U$7=FALSE)),VLOOKUP($E275,'Status Thresholds'!$E:$AR,13,FALSE),IF((AND($U$4=TRUE,$U$5=FALSE,$U$6=TRUE,$U$7=TRUE)),VLOOKUP($E275,'Status Thresholds'!$E:$AR,18,FALSE),IF((AND($U$4=TRUE,$U$5=FALSE,$U$6=FALSE,$U$7=TRUE)),VLOOKUP($E275,'Status Thresholds'!$E:$AR,8,FALSE),
IF((AND($U$4=FALSE,$U$5=TRUE,$U$6=FALSE,$U$7=FALSE)),VLOOKUP($E275,'Status Thresholds'!$E:$AR,23,FALSE),IF((AND($U$4=FALSE,$U$5=TRUE,$U$6=TRUE,$U$7=FALSE)),VLOOKUP($E275,'Status Thresholds'!$E:$AR,33,FALSE),IF((AND($U$4=FALSE,$U$5=TRUE,$U$6=TRUE,$U$7=TRUE)),VLOOKUP($E275,'Status Thresholds'!$E:$AR,38,FALSE),IF((AND($U$4=FALSE,$U$5=TRUE,$U$6=FALSE,$U$7=TRUE)),VLOOKUP($E275,'Status Thresholds'!$E:$AR,28,FALSE)))))))))
))/
IF(OR($X$5=TRUE,$AC$3=TRUE
),($F$7/2), IF(OR($X$2,$X$3,$X$4,$X$6,$X$7,$X$8,$Z$2,$Z$3,$Z$4,$Z$5,$Z$6,$Z$7,$Z$8)=TRUE,$F$7)),0),"-")</f>
        <v>-</v>
      </c>
      <c r="H275" s="36" t="str">
        <f>IFERROR(
ROUNDUP(
IF(AND($U$5=FALSE,$U$4=FALSE),"-",IF(AND($U$5=TRUE,$U$4=TRUE),"-",
IF((AND($U$4=TRUE,$U$5=FALSE,$U$6=FALSE,$U$7=FALSE)),VLOOKUP($E275,'Status Thresholds'!$E:$AR,4,FALSE),IF((AND($U$4=TRUE,$U$5=FALSE,$U$6=TRUE,$U$7=FALSE)),VLOOKUP($E275,'Status Thresholds'!$E:$AR,14,FALSE),IF((AND($U$4=TRUE,$U$5=FALSE,$U$6=TRUE,$U$7=TRUE)),VLOOKUP($E275,'Status Thresholds'!$E:$AR,19,FALSE),IF((AND($U$4=TRUE,$U$5=FALSE,$U$6=FALSE,$U$7=TRUE)),VLOOKUP($E275,'Status Thresholds'!$E:$AR,9,FALSE),
IF((AND($U$4=FALSE,$U$5=TRUE,$U$6=FALSE,$U$7=FALSE)),VLOOKUP($E275,'Status Thresholds'!$E:$AR,24,FALSE),IF((AND($U$4=FALSE,$U$5=TRUE,$U$6=TRUE,$U$7=FALSE)),VLOOKUP($E275,'Status Thresholds'!$E:$AR,34,FALSE),IF((AND($U$4=FALSE,$U$5=TRUE,$U$6=TRUE,$U$7=TRUE)),VLOOKUP($E275,'Status Thresholds'!$E:$AR,39,FALSE),IF((AND($U$4=FALSE,$U$5=TRUE,$U$6=FALSE,$U$7=TRUE)),VLOOKUP($E275,'Status Thresholds'!$E:$AR,29,FALSE)))))))))
))/
IF(OR($X$5=TRUE,$AC$3=TRUE
),($F$7/2), IF(OR($X$2,$X$3,$X$4,$X$6,$X$7,$X$8,$Z$2,$Z$3,$Z$4,$Z$5,$Z$6,$Z$7,$Z$8)=TRUE,$F$7)),0),"-")</f>
        <v>-</v>
      </c>
      <c r="I275" s="36" t="str">
        <f>IFERROR(
ROUNDUP(
IF(AND($U$5=FALSE,$U$4=FALSE),"-",IF(AND($U$5=TRUE,$U$4=TRUE),"-",
IF((AND($U$4=TRUE,$U$5=FALSE,$U$6=FALSE,$U$7=FALSE)),VLOOKUP($E275,'Status Thresholds'!$E:$AR,5,FALSE),IF((AND($U$4=TRUE,$U$5=FALSE,$U$6=TRUE,$U$7=FALSE)),VLOOKUP($E275,'Status Thresholds'!$E:$AR,15,FALSE),IF((AND($U$4=TRUE,$U$5=FALSE,$U$6=TRUE,$U$7=TRUE)),VLOOKUP($E275,'Status Thresholds'!$E:$AR,20,FALSE),IF((AND($U$4=TRUE,$U$5=FALSE,$U$6=FALSE,$U$7=TRUE)),VLOOKUP($E275,'Status Thresholds'!$E:$AR,10,FALSE),
IF((AND($U$4=FALSE,$U$5=TRUE,$U$6=FALSE,$U$7=FALSE)),VLOOKUP($E275,'Status Thresholds'!$E:$AR,25,FALSE),IF((AND($U$4=FALSE,$U$5=TRUE,$U$6=TRUE,$U$7=FALSE)),VLOOKUP($E275,'Status Thresholds'!$E:$AR,35,FALSE),IF((AND($U$4=FALSE,$U$5=TRUE,$U$6=TRUE,$U$7=TRUE)),VLOOKUP($E275,'Status Thresholds'!$E:$AR,40,FALSE),IF((AND($U$4=FALSE,$U$5=TRUE,$U$6=FALSE,$U$7=TRUE)),VLOOKUP($E275,'Status Thresholds'!$E:$AR,30,FALSE)))))))))
))/
IF(OR($X$5=TRUE,$AC$3=TRUE
),($F$7/2), IF(OR($X$2,$X$3,$X$4,$X$6,$X$7,$X$8,$Z$2,$Z$3,$Z$4,$Z$5,$Z$6,$Z$7,$Z$8)=TRUE,$F$7)),0),"-")</f>
        <v>-</v>
      </c>
      <c r="J275" s="46">
        <f>IFERROR(IF(AND($U$5=FALSE,$U$4=FALSE),"-",VLOOKUP($E275,'Status Thresholds'!$E:$AU,41,FALSE)),"-")</f>
        <v>0</v>
      </c>
      <c r="K275" s="46" t="str">
        <f>IFERROR(IF(AND($U$5=FALSE,$U$4=FALSE),"-",VLOOKUP($E275,'Status Thresholds'!$E:$AU,42,FALSE)),"-")</f>
        <v>-</v>
      </c>
      <c r="L275" s="46" t="str">
        <f>IFERROR(IF(AND($U$5=FALSE,$U$4=FALSE),"-",VLOOKUP($E275,'Status Thresholds'!$E:$AU,43,FALSE)),"-")</f>
        <v>-</v>
      </c>
    </row>
    <row r="276" spans="1:12" ht="14.45" customHeight="1" x14ac:dyDescent="0.25">
      <c r="A276" s="35"/>
      <c r="B276" s="64" t="str">
        <f>VLOOKUP(C276,'Status Thresholds'!B:C,2,FALSE)</f>
        <v>MHGen</v>
      </c>
      <c r="C276" s="64" t="str">
        <f>IF('Status Thresholds'!B271=0, "", 'Status Thresholds'!B271)</f>
        <v>Durambros</v>
      </c>
      <c r="D276" s="34" t="s">
        <v>14</v>
      </c>
      <c r="E276" s="36" t="str">
        <f t="shared" si="3"/>
        <v>DurambrosKO</v>
      </c>
      <c r="F276" s="36" t="s">
        <v>214</v>
      </c>
      <c r="G276" s="36" t="s">
        <v>214</v>
      </c>
      <c r="H276" s="36" t="s">
        <v>214</v>
      </c>
      <c r="I276" s="36" t="s">
        <v>214</v>
      </c>
      <c r="J276" s="46">
        <f>IFERROR(IF(AND($U$5=FALSE,$U$4=FALSE),"-",VLOOKUP($E276,'Status Thresholds'!$E:$AU,41,FALSE)),"-")</f>
        <v>15</v>
      </c>
      <c r="K276" s="46" t="str">
        <f>IFERROR(IF(AND($U$5=FALSE,$U$4=FALSE),"-",VLOOKUP($E276,'Status Thresholds'!$E:$AU,42,FALSE)),"-")</f>
        <v>-</v>
      </c>
      <c r="L276" s="46" t="str">
        <f>IFERROR(IF(AND($U$5=FALSE,$U$4=FALSE),"-",VLOOKUP($E276,'Status Thresholds'!$E:$AU,43,FALSE)),"-")</f>
        <v>-</v>
      </c>
    </row>
    <row r="277" spans="1:12" x14ac:dyDescent="0.25">
      <c r="A277" s="35"/>
      <c r="B277" s="64" t="str">
        <f>VLOOKUP(C277,'Status Thresholds'!B:C,2,FALSE)</f>
        <v>MHGen</v>
      </c>
      <c r="C277" s="64" t="str">
        <f>IF('Status Thresholds'!B272=0, "", 'Status Thresholds'!B272)</f>
        <v>Durambros</v>
      </c>
      <c r="D277" s="33" t="s">
        <v>34</v>
      </c>
      <c r="E277" s="36" t="str">
        <f t="shared" si="3"/>
        <v>DurambrosMount</v>
      </c>
      <c r="F277" s="36" t="str">
        <f>IFERROR(
ROUNDUP(
IF(AND($U$5=FALSE,$U$4=FALSE),"-",IF(AND($U$5=TRUE,$U$4=TRUE),"-",
IF((AND($U$4=TRUE,$U$5=FALSE,$U$6=FALSE,$U$7=FALSE)),VLOOKUP($E277,'Status Thresholds'!$E:$AR,2,FALSE),IF((AND($U$4=TRUE,$U$5=FALSE,$U$6=TRUE,$U$7=FALSE)),VLOOKUP($E277,'Status Thresholds'!$E:$AR,12,FALSE),IF((AND($U$4=TRUE,$U$5=FALSE,$U$6=TRUE,$U$7=TRUE)),VLOOKUP($E277,'Status Thresholds'!$E:$AR,17,FALSE),IF((AND($U$4=TRUE,$U$5=FALSE,$U$6=FALSE,$U$7=TRUE)),VLOOKUP($E277,'Status Thresholds'!$E:$AR,7,FALSE),
IF((AND($U$4=FALSE,$U$5=TRUE,$U$6=FALSE,$U$7=FALSE)),VLOOKUP($E277,'Status Thresholds'!$E:$AR,22,FALSE),IF((AND($U$4=FALSE,$U$5=TRUE,$U$6=TRUE,$U$7=FALSE)),VLOOKUP($E277,'Status Thresholds'!$E:$AR,32,FALSE),IF((AND($U$4=FALSE,$U$5=TRUE,$U$6=TRUE,$U$7=TRUE)),VLOOKUP($E277,'Status Thresholds'!$E:$AR,37,FALSE),IF((AND($U$4=FALSE,$U$5=TRUE,$U$6=FALSE,$U$7=TRUE)),VLOOKUP($E277,'Status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277" s="36" t="str">
        <f>IFERROR(
ROUNDUP(
IF(AND($U$5=FALSE,$U$4=FALSE),"-",IF(AND($U$5=TRUE,$U$4=TRUE),"-",
IF((AND($U$4=TRUE,$U$5=FALSE,$U$6=FALSE,$U$7=FALSE)),VLOOKUP($E276,'Status Thresholds'!$E:$AR,3,FALSE),IF((AND($U$4=TRUE,$U$5=FALSE,$U$6=TRUE,$U$7=FALSE)),VLOOKUP($E276,'Status Thresholds'!$E:$AR,13,FALSE),IF((AND($U$4=TRUE,$U$5=FALSE,$U$6=TRUE,$U$7=TRUE)),VLOOKUP($E276,'Status Thresholds'!$E:$AR,18,FALSE),IF((AND($U$4=TRUE,$U$5=FALSE,$U$6=FALSE,$U$7=TRUE)),VLOOKUP($E276,'Status Thresholds'!$E:$AR,8,FALSE),
IF((AND($U$4=FALSE,$U$5=TRUE,$U$6=FALSE,$U$7=FALSE)),VLOOKUP($E276,'Status Thresholds'!$E:$AR,23,FALSE),IF((AND($U$4=FALSE,$U$5=TRUE,$U$6=TRUE,$U$7=FALSE)),VLOOKUP($E276,'Status Thresholds'!$E:$AR,33,FALSE),IF((AND($U$4=FALSE,$U$5=TRUE,$U$6=TRUE,$U$7=TRUE)),VLOOKUP($E276,'Status Thresholds'!$E:$AR,38,FALSE),IF((AND($U$4=FALSE,$U$5=TRUE,$U$6=FALSE,$U$7=TRUE)),VLOOKUP($E276,'Status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277" s="36" t="str">
        <f>IFERROR(
ROUNDUP(
IF(AND($U$5=FALSE,$U$4=FALSE),"-",IF(AND($U$5=TRUE,$U$4=TRUE),"-",
IF((AND($U$4=TRUE,$U$5=FALSE,$U$6=FALSE,$U$7=FALSE)),VLOOKUP($E276,'Status Thresholds'!$E:$AR,4,FALSE),IF((AND($U$4=TRUE,$U$5=FALSE,$U$6=TRUE,$U$7=FALSE)),VLOOKUP($E276,'Status Thresholds'!$E:$AR,14,FALSE),IF((AND($U$4=TRUE,$U$5=FALSE,$U$6=TRUE,$U$7=TRUE)),VLOOKUP($E276,'Status Thresholds'!$E:$AR,19,FALSE),IF((AND($U$4=TRUE,$U$5=FALSE,$U$6=FALSE,$U$7=TRUE)),VLOOKUP($E276,'Status Thresholds'!$E:$AR,9,FALSE),
IF((AND($U$4=FALSE,$U$5=TRUE,$U$6=FALSE,$U$7=FALSE)),VLOOKUP($E276,'Status Thresholds'!$E:$AR,24,FALSE),IF((AND($U$4=FALSE,$U$5=TRUE,$U$6=TRUE,$U$7=FALSE)),VLOOKUP($E276,'Status Thresholds'!$E:$AR,34,FALSE),IF((AND($U$4=FALSE,$U$5=TRUE,$U$6=TRUE,$U$7=TRUE)),VLOOKUP($E276,'Status Thresholds'!$E:$AR,39,FALSE),IF((AND($U$4=FALSE,$U$5=TRUE,$U$6=FALSE,$U$7=TRUE)),VLOOKUP($E276,'Status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277" s="36" t="str">
        <f>IFERROR(
ROUNDUP(
IF(AND($U$5=FALSE,$U$4=FALSE),"-",IF(AND($U$5=TRUE,$U$4=TRUE),"-",
IF((AND($U$4=TRUE,$U$5=FALSE,$U$6=FALSE,$U$7=FALSE)),VLOOKUP($E276,'Status Thresholds'!$E:$AR,5,FALSE),IF((AND($U$4=TRUE,$U$5=FALSE,$U$6=TRUE,$U$7=FALSE)),VLOOKUP($E276,'Status Thresholds'!$E:$AR,15,FALSE),IF((AND($U$4=TRUE,$U$5=FALSE,$U$6=TRUE,$U$7=TRUE)),VLOOKUP($E276,'Status Thresholds'!$E:$AR,20,FALSE),IF((AND($U$4=TRUE,$U$5=FALSE,$U$6=FALSE,$U$7=TRUE)),VLOOKUP($E276,'Status Thresholds'!$E:$AR,10,FALSE),
IF((AND($U$4=FALSE,$U$5=TRUE,$U$6=FALSE,$U$7=FALSE)),VLOOKUP($E276,'Status Thresholds'!$E:$AR,25,FALSE),IF((AND($U$4=FALSE,$U$5=TRUE,$U$6=TRUE,$U$7=FALSE)),VLOOKUP($E276,'Status Thresholds'!$E:$AR,35,FALSE),IF((AND($U$4=FALSE,$U$5=TRUE,$U$6=TRUE,$U$7=TRUE)),VLOOKUP($E276,'Status Thresholds'!$E:$AR,40,FALSE),IF((AND($U$4=FALSE,$U$5=TRUE,$U$6=FALSE,$U$7=TRUE)),VLOOKUP($E276,'Status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277" s="46">
        <f>IFERROR(IF(AND($U$5=FALSE,$U$4=FALSE),"-",VLOOKUP($E277,'Status Thresholds'!$E:$AU,41,FALSE)),"-")</f>
        <v>0</v>
      </c>
      <c r="K277" s="46" t="str">
        <f>IFERROR(IF(AND($U$5=FALSE,$U$4=FALSE),"-",VLOOKUP($E277,'Status Thresholds'!$E:$AU,42,FALSE)),"-")</f>
        <v>-</v>
      </c>
      <c r="L277" s="46" t="str">
        <f>IFERROR(IF(AND($U$5=FALSE,$U$4=FALSE),"-",VLOOKUP($E277,'Status Thresholds'!$E:$AU,43,FALSE)),"-")</f>
        <v>-</v>
      </c>
    </row>
    <row r="278" spans="1:12" ht="15" customHeight="1" x14ac:dyDescent="0.25">
      <c r="A278" s="35"/>
      <c r="B278" s="64" t="str">
        <f>VLOOKUP(C278,'Status Thresholds'!B:C,2,FALSE)</f>
        <v>MHGen</v>
      </c>
      <c r="C278" s="64" t="str">
        <f>IF('Status Thresholds'!B273=0, "", 'Status Thresholds'!B273)</f>
        <v>Durambros</v>
      </c>
      <c r="D278" s="77" t="s">
        <v>207</v>
      </c>
      <c r="E278" s="36" t="str">
        <f t="shared" si="3"/>
        <v>DurambrosShock Trap</v>
      </c>
      <c r="F278" s="76" t="s">
        <v>214</v>
      </c>
      <c r="G278" s="46" t="s">
        <v>214</v>
      </c>
      <c r="H278" s="46" t="s">
        <v>214</v>
      </c>
      <c r="I278" s="46" t="s">
        <v>214</v>
      </c>
      <c r="J278" s="46">
        <f>IFERROR(IF(AND($U$5=FALSE,$U$4=FALSE),"-",VLOOKUP($E278,'Status Thresholds'!$E:$AU,43,FALSE)),"-")</f>
        <v>12</v>
      </c>
      <c r="K278" s="46">
        <f>IFERROR(IF(AND($U$5=FALSE,$U$4=FALSE),"-",VLOOKUP($E278,'Status Thresholds'!$E:$AU,41,FALSE)),"-")</f>
        <v>10</v>
      </c>
      <c r="L278" s="46">
        <f>IFERROR(IF(AND($U$5=FALSE,$U$4=FALSE),"-",VLOOKUP($E278,'Status Thresholds'!$E:$AU,42,FALSE)),"-")</f>
        <v>15</v>
      </c>
    </row>
    <row r="279" spans="1:12" x14ac:dyDescent="0.25">
      <c r="A279" s="35"/>
      <c r="B279" s="64" t="str">
        <f>VLOOKUP(C279,'Status Thresholds'!B:C,2,FALSE)</f>
        <v>MHGen</v>
      </c>
      <c r="C279" s="64" t="str">
        <f>IF('Status Thresholds'!B274=0, "", 'Status Thresholds'!B274)</f>
        <v>Durambros</v>
      </c>
      <c r="D279" s="77" t="s">
        <v>213</v>
      </c>
      <c r="E279" s="36" t="str">
        <f t="shared" si="3"/>
        <v>DurambrosPitfall Trap</v>
      </c>
      <c r="F279" s="46" t="s">
        <v>214</v>
      </c>
      <c r="G279" s="46" t="s">
        <v>214</v>
      </c>
      <c r="H279" s="46" t="s">
        <v>214</v>
      </c>
      <c r="I279" s="46" t="s">
        <v>214</v>
      </c>
      <c r="J279" s="46">
        <f>IFERROR(IF(AND($U$5=FALSE,$U$4=FALSE),"-",VLOOKUP($E279,'Status Thresholds'!$E:$AU,43,FALSE)),"-")</f>
        <v>16</v>
      </c>
      <c r="K279" s="46">
        <f>IFERROR(IF(AND($U$5=FALSE,$U$4=FALSE),"-",VLOOKUP($E279,'Status Thresholds'!$E:$AU,41,FALSE)),"-")</f>
        <v>11</v>
      </c>
      <c r="L279" s="46">
        <f>IFERROR(IF(AND($U$5=FALSE,$U$4=FALSE),"-",VLOOKUP($E279,'Status Thresholds'!$E:$AU,42,FALSE)),"-")</f>
        <v>16</v>
      </c>
    </row>
    <row r="280" spans="1:12" s="36" customFormat="1" hidden="1" x14ac:dyDescent="0.25">
      <c r="A280" s="64"/>
      <c r="B280" s="64" t="str">
        <f>IF('Status Thresholds'!A275=0, "", 'Status Thresholds'!A275)</f>
        <v>Deviant</v>
      </c>
      <c r="C280" s="64" t="str">
        <f>IF('Status Thresholds'!B275=0, "", 'Status Thresholds'!B275)</f>
        <v>Elderfrost Gammoth</v>
      </c>
      <c r="D280" s="37" t="s">
        <v>0</v>
      </c>
      <c r="E280" s="36" t="str">
        <f t="shared" si="3"/>
        <v>Elderfrost GammothPara</v>
      </c>
      <c r="F280" s="36" t="str">
        <f>IFERROR(
ROUNDUP(
IF(AND($U$5=FALSE,$U$4=FALSE),"-",IF(AND($U$5=TRUE,$U$4=TRUE),"-",
IF((AND($U$4=TRUE,$U$5=FALSE,$U$6=FALSE,$U$7=FALSE)),VLOOKUP($E280,'Status Thresholds'!$E:$AR,2,FALSE),IF((AND($U$4=TRUE,$U$5=FALSE,$U$6=TRUE,$U$7=FALSE)),VLOOKUP($E280,'Status Thresholds'!$E:$AR,12,FALSE),IF((AND($U$4=TRUE,$U$5=FALSE,$U$6=TRUE,$U$7=TRUE)),VLOOKUP($E280,'Status Thresholds'!$E:$AR,17,FALSE),IF((AND($U$4=TRUE,$U$5=FALSE,$U$6=FALSE,$U$7=TRUE)),VLOOKUP($E280,'Status Thresholds'!$E:$AR,7,FALSE),
IF((AND($U$4=FALSE,$U$5=TRUE,$U$6=FALSE,$U$7=FALSE)),VLOOKUP($E280,'Status Thresholds'!$E:$AR,22,FALSE),IF((AND($U$4=FALSE,$U$5=TRUE,$U$6=TRUE,$U$7=FALSE)),VLOOKUP($E280,'Status Thresholds'!$E:$AR,32,FALSE),IF((AND($U$4=FALSE,$U$5=TRUE,$U$6=TRUE,$U$7=TRUE)),VLOOKUP($E280,'Status Thresholds'!$E:$AR,37,FALSE),IF((AND($U$4=FALSE,$U$5=TRUE,$U$6=FALSE,$U$7=TRUE)),VLOOKUP($E280,'Status Thresholds'!$E:$AR,27,FALSE)))))))))
))/
IF(OR($X$5=TRUE,$AC$3=TRUE
),($F$3/2), IF(OR($X$2,$X$3,$X$4,$X$6,$X$7,$X$8,$Z$2,$Z$3,$Z$4,$Z$5,$Z$6,$Z$7,$Z$8)=TRUE,$F$3)),0),"-")</f>
        <v>-</v>
      </c>
      <c r="G280" s="36" t="str">
        <f>IFERROR(
ROUNDUP(
IF(AND($U$5=FALSE,$U$4=FALSE),"-",IF(AND($U$5=TRUE,$U$4=TRUE),"-",
IF((AND($U$4=TRUE,$U$5=FALSE,$U$6=FALSE,$U$7=FALSE)),VLOOKUP($E280,'Status Thresholds'!$E:$AR,3,FALSE),IF((AND($U$4=TRUE,$U$5=FALSE,$U$6=TRUE,$U$7=FALSE)),VLOOKUP($E280,'Status Thresholds'!$E:$AR,13,FALSE),IF((AND($U$4=TRUE,$U$5=FALSE,$U$6=TRUE,$U$7=TRUE)),VLOOKUP($E280,'Status Thresholds'!$E:$AR,18,FALSE),IF((AND($U$4=TRUE,$U$5=FALSE,$U$6=FALSE,$U$7=TRUE)),VLOOKUP($E280,'Status Thresholds'!$E:$AR,8,FALSE),
IF((AND($U$4=FALSE,$U$5=TRUE,$U$6=FALSE,$U$7=FALSE)),VLOOKUP($E280,'Status Thresholds'!$E:$AR,23,FALSE),IF((AND($U$4=FALSE,$U$5=TRUE,$U$6=TRUE,$U$7=FALSE)),VLOOKUP($E280,'Status Thresholds'!$E:$AR,33,FALSE),IF((AND($U$4=FALSE,$U$5=TRUE,$U$6=TRUE,$U$7=TRUE)),VLOOKUP($E280,'Status Thresholds'!$E:$AR,38,FALSE),IF((AND($U$4=FALSE,$U$5=TRUE,$U$6=FALSE,$U$7=TRUE)),VLOOKUP($E280,'Status Thresholds'!$E:$AR,28,FALSE)))))))))
))/
IF(OR($X$5=TRUE,$AC$3=TRUE
),($F$3/2), IF(OR($X$2,$X$3,$X$4,$X$6,$X$7,$X$8,$Z$2,$Z$3,$Z$4,$Z$5,$Z$6,$Z$7,$Z$8)=TRUE,$F$3)),0),"-")</f>
        <v>-</v>
      </c>
      <c r="H280" s="36" t="str">
        <f>IFERROR(
ROUNDUP(
IF(AND($U$5=FALSE,$U$4=FALSE),"-",IF(AND($U$5=TRUE,$U$4=TRUE),"-",
IF((AND($U$4=TRUE,$U$5=FALSE,$U$6=FALSE,$U$7=FALSE)),VLOOKUP($E280,'Status Thresholds'!$E:$AR,4,FALSE),IF((AND($U$4=TRUE,$U$5=FALSE,$U$6=TRUE,$U$7=FALSE)),VLOOKUP($E280,'Status Thresholds'!$E:$AR,14,FALSE),IF((AND($U$4=TRUE,$U$5=FALSE,$U$6=TRUE,$U$7=TRUE)),VLOOKUP($E280,'Status Thresholds'!$E:$AR,19,FALSE),IF((AND($U$4=TRUE,$U$5=FALSE,$U$6=FALSE,$U$7=TRUE)),VLOOKUP($E280,'Status Thresholds'!$E:$AR,9,FALSE),
IF((AND($U$4=FALSE,$U$5=TRUE,$U$6=FALSE,$U$7=FALSE)),VLOOKUP($E280,'Status Thresholds'!$E:$AR,24,FALSE),IF((AND($U$4=FALSE,$U$5=TRUE,$U$6=TRUE,$U$7=FALSE)),VLOOKUP($E280,'Status Thresholds'!$E:$AR,34,FALSE),IF((AND($U$4=FALSE,$U$5=TRUE,$U$6=TRUE,$U$7=TRUE)),VLOOKUP($E280,'Status Thresholds'!$E:$AR,39,FALSE),IF((AND($U$4=FALSE,$U$5=TRUE,$U$6=FALSE,$U$7=TRUE)),VLOOKUP($E280,'Status Thresholds'!$E:$AR,29,FALSE)))))))))
))/
IF(OR($X$5=TRUE,$AC$3=TRUE
),($F$3/2), IF(OR($X$2,$X$3,$X$4,$X$6,$X$7,$X$8,$Z$2,$Z$3,$Z$4,$Z$5,$Z$6,$Z$7,$Z$8)=TRUE,$F$3)),0),"-")</f>
        <v>-</v>
      </c>
      <c r="I280" s="36" t="str">
        <f>IFERROR(
ROUNDUP(
IF(AND($U$5=FALSE,$U$4=FALSE),"-",IF(AND($U$5=TRUE,$U$4=TRUE),"-",
IF((AND($U$4=TRUE,$U$5=FALSE,$U$6=FALSE,$U$7=FALSE)),VLOOKUP($E280,'Status Thresholds'!$E:$AR,5,FALSE),IF((AND($U$4=TRUE,$U$5=FALSE,$U$6=TRUE,$U$7=FALSE)),VLOOKUP($E280,'Status Thresholds'!$E:$AR,15,FALSE),IF((AND($U$4=TRUE,$U$5=FALSE,$U$6=TRUE,$U$7=TRUE)),VLOOKUP($E280,'Status Thresholds'!$E:$AR,20,FALSE),IF((AND($U$4=TRUE,$U$5=FALSE,$U$6=FALSE,$U$7=TRUE)),VLOOKUP($E280,'Status Thresholds'!$E:$AR,10,FALSE),
IF((AND($U$4=FALSE,$U$5=TRUE,$U$6=FALSE,$U$7=FALSE)),VLOOKUP($E280,'Status Thresholds'!$E:$AR,25,FALSE),IF((AND($U$4=FALSE,$U$5=TRUE,$U$6=TRUE,$U$7=FALSE)),VLOOKUP($E280,'Status Thresholds'!$E:$AR,35,FALSE),IF((AND($U$4=FALSE,$U$5=TRUE,$U$6=TRUE,$U$7=TRUE)),VLOOKUP($E280,'Status Thresholds'!$E:$AR,40,FALSE),IF((AND($U$4=FALSE,$U$5=TRUE,$U$6=FALSE,$U$7=TRUE)),VLOOKUP($E280,'Status Thresholds'!$E:$AR,30,FALSE)))))))))
))/
IF(OR($X$5=TRUE,$AC$3=TRUE
),($F$3/2), IF(OR($X$2,$X$3,$X$4,$X$6,$X$7,$X$8,$Z$2,$Z$3,$Z$4,$Z$5,$Z$6,$Z$7,$Z$8)=TRUE,$F$3)),0),"-")</f>
        <v>-</v>
      </c>
      <c r="J280" s="36">
        <f>IFERROR(IF(AND($U$5=FALSE,$U$4=FALSE),"-",VLOOKUP($E280,'Status Thresholds'!$E:$AU,41,FALSE)),"-")</f>
        <v>15</v>
      </c>
      <c r="K280" s="36" t="str">
        <f>IFERROR(IF(AND($U$5=FALSE,$U$4=FALSE),"-",VLOOKUP($E280,'Status Thresholds'!$E:$AU,42,FALSE)),"-")</f>
        <v>-</v>
      </c>
      <c r="L280" s="36" t="str">
        <f>IFERROR(IF(AND($U$5=FALSE,$U$4=FALSE),"-",VLOOKUP($E280,'Status Thresholds'!$E:$AU,43,FALSE)),"-")</f>
        <v>-</v>
      </c>
    </row>
    <row r="281" spans="1:12" hidden="1" x14ac:dyDescent="0.25">
      <c r="A281" s="35"/>
      <c r="B281" s="64" t="str">
        <f>IF('Status Thresholds'!A276=0, "", 'Status Thresholds'!A276)</f>
        <v>Deviant</v>
      </c>
      <c r="C281" s="64" t="str">
        <f>IF('Status Thresholds'!B276=0, "", 'Status Thresholds'!B276)</f>
        <v>Elderfrost Gammoth</v>
      </c>
      <c r="D281" s="31" t="s">
        <v>32</v>
      </c>
      <c r="E281" s="36" t="str">
        <f t="shared" si="3"/>
        <v>Elderfrost GammothSleep</v>
      </c>
      <c r="F281" s="36" t="str">
        <f>IFERROR(
ROUNDUP(
IF(AND($U$5=FALSE,$U$4=FALSE),"-",IF(AND($U$5=TRUE,$U$4=TRUE),"-",
IF((AND($U$4=TRUE,$U$5=FALSE,$U$6=FALSE,$U$7=FALSE)),VLOOKUP($E281,'Status Thresholds'!$E:$AR,2,FALSE),IF((AND($U$4=TRUE,$U$5=FALSE,$U$6=TRUE,$U$7=FALSE)),VLOOKUP($E281,'Status Thresholds'!$E:$AR,12,FALSE),IF((AND($U$4=TRUE,$U$5=FALSE,$U$6=TRUE,$U$7=TRUE)),VLOOKUP($E281,'Status Thresholds'!$E:$AR,17,FALSE),IF((AND($U$4=TRUE,$U$5=FALSE,$U$6=FALSE,$U$7=TRUE)),VLOOKUP($E281,'Status Thresholds'!$E:$AR,7,FALSE),
IF((AND($U$4=FALSE,$U$5=TRUE,$U$6=FALSE,$U$7=FALSE)),VLOOKUP($E281,'Status Thresholds'!$E:$AR,22,FALSE),IF((AND($U$4=FALSE,$U$5=TRUE,$U$6=TRUE,$U$7=FALSE)),VLOOKUP($E281,'Status Thresholds'!$E:$AR,32,FALSE),IF((AND($U$4=FALSE,$U$5=TRUE,$U$6=TRUE,$U$7=TRUE)),VLOOKUP($E281,'Status Thresholds'!$E:$AR,37,FALSE),IF((AND($U$4=FALSE,$U$5=TRUE,$U$6=FALSE,$U$7=TRUE)),VLOOKUP($E281,'Status Thresholds'!$E:$AR,27,FALSE)))))))))
))/
IF(OR($X$5=TRUE,$AC$3=TRUE
),($F$4/2), IF(OR($X$2,$X$3,$X$4,$X$6,$X$7,$X$8,$Z$2,$Z$3,$Z$4,$Z$5,$Z$6,$Z$7,$Z$8)=TRUE,$F$4)),0),"-")</f>
        <v>-</v>
      </c>
      <c r="G281" s="36" t="str">
        <f>IFERROR(
ROUNDUP(
IF(AND($U$5=FALSE,$U$4=FALSE),"-",IF(AND($U$5=TRUE,$U$4=TRUE),"-",
IF((AND($U$4=TRUE,$U$5=FALSE,$U$6=FALSE,$U$7=FALSE)),VLOOKUP($E281,'Status Thresholds'!$E:$AR,3,FALSE),IF((AND($U$4=TRUE,$U$5=FALSE,$U$6=TRUE,$U$7=FALSE)),VLOOKUP($E281,'Status Thresholds'!$E:$AR,13,FALSE),IF((AND($U$4=TRUE,$U$5=FALSE,$U$6=TRUE,$U$7=TRUE)),VLOOKUP($E281,'Status Thresholds'!$E:$AR,18,FALSE),IF((AND($U$4=TRUE,$U$5=FALSE,$U$6=FALSE,$U$7=TRUE)),VLOOKUP($E281,'Status Thresholds'!$E:$AR,8,FALSE),
IF((AND($U$4=FALSE,$U$5=TRUE,$U$6=FALSE,$U$7=FALSE)),VLOOKUP($E281,'Status Thresholds'!$E:$AR,23,FALSE),IF((AND($U$4=FALSE,$U$5=TRUE,$U$6=TRUE,$U$7=FALSE)),VLOOKUP($E281,'Status Thresholds'!$E:$AR,33,FALSE),IF((AND($U$4=FALSE,$U$5=TRUE,$U$6=TRUE,$U$7=TRUE)),VLOOKUP($E281,'Status Thresholds'!$E:$AR,38,FALSE),IF((AND($U$4=FALSE,$U$5=TRUE,$U$6=FALSE,$U$7=TRUE)),VLOOKUP($E281,'Status Thresholds'!$E:$AR,28,FALSE)))))))))
))/
IF(OR($X$5=TRUE,$AC$3=TRUE
),($F$4/2), IF(OR($X$2,$X$3,$X$4,$X$6,$X$7,$X$8,$Z$2,$Z$3,$Z$4,$Z$5,$Z$6,$Z$7,$Z$8)=TRUE,$F$4)),0),"-")</f>
        <v>-</v>
      </c>
      <c r="H281" s="36" t="str">
        <f>IFERROR(
ROUNDUP(
IF(AND($U$5=FALSE,$U$4=FALSE),"-",IF(AND($U$5=TRUE,$U$4=TRUE),"-",
IF((AND($U$4=TRUE,$U$5=FALSE,$U$6=FALSE,$U$7=FALSE)),VLOOKUP($E281,'Status Thresholds'!$E:$AR,4,FALSE),IF((AND($U$4=TRUE,$U$5=FALSE,$U$6=TRUE,$U$7=FALSE)),VLOOKUP($E281,'Status Thresholds'!$E:$AR,14,FALSE),IF((AND($U$4=TRUE,$U$5=FALSE,$U$6=TRUE,$U$7=TRUE)),VLOOKUP($E281,'Status Thresholds'!$E:$AR,19,FALSE),IF((AND($U$4=TRUE,$U$5=FALSE,$U$6=FALSE,$U$7=TRUE)),VLOOKUP($E281,'Status Thresholds'!$E:$AR,9,FALSE),
IF((AND($U$4=FALSE,$U$5=TRUE,$U$6=FALSE,$U$7=FALSE)),VLOOKUP($E281,'Status Thresholds'!$E:$AR,24,FALSE),IF((AND($U$4=FALSE,$U$5=TRUE,$U$6=TRUE,$U$7=FALSE)),VLOOKUP($E281,'Status Thresholds'!$E:$AR,34,FALSE),IF((AND($U$4=FALSE,$U$5=TRUE,$U$6=TRUE,$U$7=TRUE)),VLOOKUP($E281,'Status Thresholds'!$E:$AR,39,FALSE),IF((AND($U$4=FALSE,$U$5=TRUE,$U$6=FALSE,$U$7=TRUE)),VLOOKUP($E281,'Status Thresholds'!$E:$AR,29,FALSE)))))))))
))/
IF(OR($X$5=TRUE,$AC$3=TRUE
),($F$4/2), IF(OR($X$2,$X$3,$X$4,$X$6,$X$7,$X$8,$Z$2,$Z$3,$Z$4,$Z$5,$Z$6,$Z$7,$Z$8)=TRUE,$F$4)),0),"-")</f>
        <v>-</v>
      </c>
      <c r="I281" s="36" t="str">
        <f>IFERROR(
ROUNDUP(
IF(AND($U$5=FALSE,$U$4=FALSE),"-",IF(AND($U$5=TRUE,$U$4=TRUE),"-",
IF((AND($U$4=TRUE,$U$5=FALSE,$U$6=FALSE,$U$7=FALSE)),VLOOKUP($E281,'Status Thresholds'!$E:$AR,5,FALSE),IF((AND($U$4=TRUE,$U$5=FALSE,$U$6=TRUE,$U$7=FALSE)),VLOOKUP($E281,'Status Thresholds'!$E:$AR,15,FALSE),IF((AND($U$4=TRUE,$U$5=FALSE,$U$6=TRUE,$U$7=TRUE)),VLOOKUP($E281,'Status Thresholds'!$E:$AR,20,FALSE),IF((AND($U$4=TRUE,$U$5=FALSE,$U$6=FALSE,$U$7=TRUE)),VLOOKUP($E281,'Status Thresholds'!$E:$AR,10,FALSE),
IF((AND($U$4=FALSE,$U$5=TRUE,$U$6=FALSE,$U$7=FALSE)),VLOOKUP($E281,'Status Thresholds'!$E:$AR,25,FALSE),IF((AND($U$4=FALSE,$U$5=TRUE,$U$6=TRUE,$U$7=FALSE)),VLOOKUP($E281,'Status Thresholds'!$E:$AR,35,FALSE),IF((AND($U$4=FALSE,$U$5=TRUE,$U$6=TRUE,$U$7=TRUE)),VLOOKUP($E281,'Status Thresholds'!$E:$AR,40,FALSE),IF((AND($U$4=FALSE,$U$5=TRUE,$U$6=FALSE,$U$7=TRUE)),VLOOKUP($E281,'Status Thresholds'!$E:$AR,30,FALSE)))))))))
))/
IF(OR($X$5=TRUE,$AC$3=TRUE
),($F$4/2), IF(OR($X$2,$X$3,$X$4,$X$6,$X$7,$X$8,$Z$2,$Z$3,$Z$4,$Z$5,$Z$6,$Z$7,$Z$8)=TRUE,$F$4)),0),"-")</f>
        <v>-</v>
      </c>
      <c r="J281" s="46">
        <f>IFERROR(IF(AND($U$5=FALSE,$U$4=FALSE),"-",VLOOKUP($E281,'Status Thresholds'!$E:$AU,41,FALSE)),"-")</f>
        <v>25</v>
      </c>
      <c r="K281" s="46" t="str">
        <f>IFERROR(IF(AND($U$5=FALSE,$U$4=FALSE),"-",VLOOKUP($E281,'Status Thresholds'!$E:$AU,42,FALSE)),"-")</f>
        <v>-</v>
      </c>
      <c r="L281" s="46" t="str">
        <f>IFERROR(IF(AND($U$5=FALSE,$U$4=FALSE),"-",VLOOKUP($E281,'Status Thresholds'!$E:$AU,43,FALSE)),"-")</f>
        <v>-</v>
      </c>
    </row>
    <row r="282" spans="1:12" hidden="1" x14ac:dyDescent="0.25">
      <c r="A282" s="35"/>
      <c r="B282" s="64" t="str">
        <f>IF('Status Thresholds'!A277=0, "", 'Status Thresholds'!A277)</f>
        <v>Deviant</v>
      </c>
      <c r="C282" s="64" t="str">
        <f>IF('Status Thresholds'!B277=0, "", 'Status Thresholds'!B277)</f>
        <v>Elderfrost Gammoth</v>
      </c>
      <c r="D282" s="32" t="s">
        <v>33</v>
      </c>
      <c r="E282" s="36" t="str">
        <f t="shared" si="3"/>
        <v>Elderfrost GammothPoison</v>
      </c>
      <c r="F282" s="36" t="str">
        <f>IFERROR(
ROUNDUP(
IF(AND($U$5=FALSE,$U$4=FALSE),"-",IF(AND($U$5=TRUE,$U$4=TRUE),"-",
IF((AND($U$4=TRUE,$U$5=FALSE,$U$6=FALSE,$U$7=FALSE)),VLOOKUP($E282,'Status Thresholds'!$E:$AR,2,FALSE),IF((AND($U$4=TRUE,$U$5=FALSE,$U$6=TRUE,$U$7=FALSE)),VLOOKUP($E282,'Status Thresholds'!$E:$AR,12,FALSE),IF((AND($U$4=TRUE,$U$5=FALSE,$U$6=TRUE,$U$7=TRUE)),VLOOKUP($E282,'Status Thresholds'!$E:$AR,17,FALSE),IF((AND($U$4=TRUE,$U$5=FALSE,$U$6=FALSE,$U$7=TRUE)),VLOOKUP($E282,'Status Thresholds'!$E:$AR,7,FALSE),
IF((AND($U$4=FALSE,$U$5=TRUE,$U$6=FALSE,$U$7=FALSE)),VLOOKUP($E282,'Status Thresholds'!$E:$AR,22,FALSE),IF((AND($U$4=FALSE,$U$5=TRUE,$U$6=TRUE,$U$7=FALSE)),VLOOKUP($E282,'Status Thresholds'!$E:$AR,32,FALSE),IF((AND($U$4=FALSE,$U$5=TRUE,$U$6=TRUE,$U$7=TRUE)),VLOOKUP($E282,'Status Thresholds'!$E:$AR,37,FALSE),IF((AND($U$4=FALSE,$U$5=TRUE,$U$6=FALSE,$U$7=TRUE)),VLOOKUP($E282,'Status Thresholds'!$E:$AR,27,FALSE)))))))))
))/
IF(OR($X$5=TRUE,$AC$3=TRUE
),($F$5/2), IF(OR($X$2,$X$3,$X$4,$X$6,$X$7,$X$8,$Z$2,$Z$3,$Z$4,$Z$5,$Z$6,$Z$7,$Z$8)=TRUE,$F$5)),0),"-")</f>
        <v>-</v>
      </c>
      <c r="G282" s="36" t="str">
        <f>IFERROR(
ROUNDUP(
IF(AND($U$5=FALSE,$U$4=FALSE),"-",IF(AND($U$5=TRUE,$U$4=TRUE),"-",
IF((AND($U$4=TRUE,$U$5=FALSE,$U$6=FALSE,$U$7=FALSE)),VLOOKUP($E282,'Status Thresholds'!$E:$AR,3,FALSE),IF((AND($U$4=TRUE,$U$5=FALSE,$U$6=TRUE,$U$7=FALSE)),VLOOKUP($E282,'Status Thresholds'!$E:$AR,13,FALSE),IF((AND($U$4=TRUE,$U$5=FALSE,$U$6=TRUE,$U$7=TRUE)),VLOOKUP($E282,'Status Thresholds'!$E:$AR,18,FALSE),IF((AND($U$4=TRUE,$U$5=FALSE,$U$6=FALSE,$U$7=TRUE)),VLOOKUP($E282,'Status Thresholds'!$E:$AR,8,FALSE),
IF((AND($U$4=FALSE,$U$5=TRUE,$U$6=FALSE,$U$7=FALSE)),VLOOKUP($E282,'Status Thresholds'!$E:$AR,23,FALSE),IF((AND($U$4=FALSE,$U$5=TRUE,$U$6=TRUE,$U$7=FALSE)),VLOOKUP($E282,'Status Thresholds'!$E:$AR,33,FALSE),IF((AND($U$4=FALSE,$U$5=TRUE,$U$6=TRUE,$U$7=TRUE)),VLOOKUP($E282,'Status Thresholds'!$E:$AR,38,FALSE),IF((AND($U$4=FALSE,$U$5=TRUE,$U$6=FALSE,$U$7=TRUE)),VLOOKUP($E282,'Status Thresholds'!$E:$AR,28,FALSE)))))))))
))/
IF(OR($X$5=TRUE,$AC$3=TRUE
),($F$5/2), IF(OR($X$2,$X$3,$X$4,$X$6,$X$7,$X$8,$Z$2,$Z$3,$Z$4,$Z$5,$Z$6,$Z$7,$Z$8)=TRUE,$F$5)),0),"-")</f>
        <v>-</v>
      </c>
      <c r="H282" s="36" t="str">
        <f>IFERROR(
ROUNDUP(
IF(AND($U$5=FALSE,$U$4=FALSE),"-",IF(AND($U$5=TRUE,$U$4=TRUE),"-",
IF((AND($U$4=TRUE,$U$5=FALSE,$U$6=FALSE,$U$7=FALSE)),VLOOKUP($E282,'Status Thresholds'!$E:$AR,4,FALSE),IF((AND($U$4=TRUE,$U$5=FALSE,$U$6=TRUE,$U$7=FALSE)),VLOOKUP($E282,'Status Thresholds'!$E:$AR,14,FALSE),IF((AND($U$4=TRUE,$U$5=FALSE,$U$6=TRUE,$U$7=TRUE)),VLOOKUP($E282,'Status Thresholds'!$E:$AR,19,FALSE),IF((AND($U$4=TRUE,$U$5=FALSE,$U$6=FALSE,$U$7=TRUE)),VLOOKUP($E282,'Status Thresholds'!$E:$AR,9,FALSE),
IF((AND($U$4=FALSE,$U$5=TRUE,$U$6=FALSE,$U$7=FALSE)),VLOOKUP($E282,'Status Thresholds'!$E:$AR,24,FALSE),IF((AND($U$4=FALSE,$U$5=TRUE,$U$6=TRUE,$U$7=FALSE)),VLOOKUP($E282,'Status Thresholds'!$E:$AR,34,FALSE),IF((AND($U$4=FALSE,$U$5=TRUE,$U$6=TRUE,$U$7=TRUE)),VLOOKUP($E282,'Status Thresholds'!$E:$AR,39,FALSE),IF((AND($U$4=FALSE,$U$5=TRUE,$U$6=FALSE,$U$7=TRUE)),VLOOKUP($E282,'Status Thresholds'!$E:$AR,29,FALSE)))))))))
))/
IF(OR($X$5=TRUE,$AC$3=TRUE
),($F$5/2), IF(OR($X$2,$X$3,$X$4,$X$6,$X$7,$X$8,$Z$2,$Z$3,$Z$4,$Z$5,$Z$6,$Z$7,$Z$8)=TRUE,$F$5)),0),"-")</f>
        <v>-</v>
      </c>
      <c r="I282" s="36" t="str">
        <f>IFERROR(
ROUNDUP(
IF(AND($U$5=FALSE,$U$4=FALSE),"-",IF(AND($U$5=TRUE,$U$4=TRUE),"-",
IF((AND($U$4=TRUE,$U$5=FALSE,$U$6=FALSE,$U$7=FALSE)),VLOOKUP($E282,'Status Thresholds'!$E:$AR,5,FALSE),IF((AND($U$4=TRUE,$U$5=FALSE,$U$6=TRUE,$U$7=FALSE)),VLOOKUP($E282,'Status Thresholds'!$E:$AR,15,FALSE),IF((AND($U$4=TRUE,$U$5=FALSE,$U$6=TRUE,$U$7=TRUE)),VLOOKUP($E282,'Status Thresholds'!$E:$AR,20,FALSE),IF((AND($U$4=TRUE,$U$5=FALSE,$U$6=FALSE,$U$7=TRUE)),VLOOKUP($E282,'Status Thresholds'!$E:$AR,10,FALSE),
IF((AND($U$4=FALSE,$U$5=TRUE,$U$6=FALSE,$U$7=FALSE)),VLOOKUP($E282,'Status Thresholds'!$E:$AR,25,FALSE),IF((AND($U$4=FALSE,$U$5=TRUE,$U$6=TRUE,$U$7=FALSE)),VLOOKUP($E282,'Status Thresholds'!$E:$AR,35,FALSE),IF((AND($U$4=FALSE,$U$5=TRUE,$U$6=TRUE,$U$7=TRUE)),VLOOKUP($E282,'Status Thresholds'!$E:$AR,40,FALSE),IF((AND($U$4=FALSE,$U$5=TRUE,$U$6=FALSE,$U$7=TRUE)),VLOOKUP($E282,'Status Thresholds'!$E:$AR,30,FALSE)))))))))
))/
IF(OR($X$5=TRUE,$AC$3=TRUE
),($F$5/2), IF(OR($X$2,$X$3,$X$4,$X$6,$X$7,$X$8,$Z$2,$Z$3,$Z$4,$Z$5,$Z$6,$Z$7,$Z$8)=TRUE,$F$5)),0),"-")</f>
        <v>-</v>
      </c>
      <c r="J282" s="46">
        <f>IFERROR(IF(AND($U$5=FALSE,$U$4=FALSE),"-",VLOOKUP($E282,'Status Thresholds'!$E:$AU,41,FALSE)),"-")</f>
        <v>50</v>
      </c>
      <c r="K282" s="46" t="str">
        <f>IFERROR(IF(AND($U$5=FALSE,$U$4=FALSE),"-",VLOOKUP($E282,'Status Thresholds'!$E:$AU,42,FALSE)),"-")</f>
        <v>-</v>
      </c>
      <c r="L282" s="46" t="str">
        <f>IFERROR(IF(AND($U$5=FALSE,$U$4=FALSE),"-",VLOOKUP($E282,'Status Thresholds'!$E:$AU,43,FALSE)),"-")</f>
        <v>-</v>
      </c>
    </row>
    <row r="283" spans="1:12" hidden="1" x14ac:dyDescent="0.25">
      <c r="A283" s="35"/>
      <c r="B283" s="64" t="str">
        <f>IF('Status Thresholds'!A278=0, "", 'Status Thresholds'!A278)</f>
        <v>Deviant</v>
      </c>
      <c r="C283" s="64" t="str">
        <f>IF('Status Thresholds'!B278=0, "", 'Status Thresholds'!B278)</f>
        <v>Elderfrost Gammoth</v>
      </c>
      <c r="D283" s="10" t="s">
        <v>22</v>
      </c>
      <c r="E283" s="36" t="str">
        <f t="shared" si="3"/>
        <v>Elderfrost GammothExhaust</v>
      </c>
      <c r="F283" s="36" t="str">
        <f>IFERROR(
ROUNDUP(
IF(AND($U$5=FALSE,$U$4=FALSE),"-",IF(AND($U$5=TRUE,$U$4=TRUE),"-",
IF((AND($U$4=TRUE,$U$5=FALSE,$U$6=FALSE,$U$7=FALSE)),VLOOKUP($E283,'Status Thresholds'!$E:$AR,2,FALSE),IF((AND($U$4=TRUE,$U$5=FALSE,$U$6=TRUE,$U$7=FALSE)),VLOOKUP($E283,'Status Thresholds'!$E:$AR,12,FALSE),IF((AND($U$4=TRUE,$U$5=FALSE,$U$6=TRUE,$U$7=TRUE)),VLOOKUP($E283,'Status Thresholds'!$E:$AR,17,FALSE),IF((AND($U$4=TRUE,$U$5=FALSE,$U$6=FALSE,$U$7=TRUE)),VLOOKUP($E283,'Status Thresholds'!$E:$AR,7,FALSE),
IF((AND($U$4=FALSE,$U$5=TRUE,$U$6=FALSE,$U$7=FALSE)),VLOOKUP($E283,'Status Thresholds'!$E:$AR,22,FALSE),IF((AND($U$4=FALSE,$U$5=TRUE,$U$6=TRUE,$U$7=FALSE)),VLOOKUP($E283,'Status Thresholds'!$E:$AR,32,FALSE),IF((AND($U$4=FALSE,$U$5=TRUE,$U$6=TRUE,$U$7=TRUE)),VLOOKUP($E283,'Status Thresholds'!$E:$AR,37,FALSE),IF((AND($U$4=FALSE,$U$5=TRUE,$U$6=FALSE,$U$7=TRUE)),VLOOKUP($E283,'Status Thresholds'!$E:$AR,27,FALSE)))))))))
))/
IF(OR($X$5=TRUE,$AC$3=TRUE
),($F$6/2), IF(OR($X$2,$X$3,$X$4,$X$6,$X$7,$X$8,$Z$2,$Z$3,$Z$4,$Z$5,$Z$6,$Z$7,$Z$8)=TRUE,$F$6)),0),"-")</f>
        <v>-</v>
      </c>
      <c r="G283" s="36" t="str">
        <f>IFERROR(
ROUNDUP(
IF(AND($U$5=FALSE,$U$4=FALSE),"-",IF(AND($U$5=TRUE,$U$4=TRUE),"-",
IF((AND($U$4=TRUE,$U$5=FALSE,$U$6=FALSE,$U$7=FALSE)),VLOOKUP($E283,'Status Thresholds'!$E:$AR,3,FALSE),IF((AND($U$4=TRUE,$U$5=FALSE,$U$6=TRUE,$U$7=FALSE)),VLOOKUP($E283,'Status Thresholds'!$E:$AR,13,FALSE),IF((AND($U$4=TRUE,$U$5=FALSE,$U$6=TRUE,$U$7=TRUE)),VLOOKUP($E283,'Status Thresholds'!$E:$AR,18,FALSE),IF((AND($U$4=TRUE,$U$5=FALSE,$U$6=FALSE,$U$7=TRUE)),VLOOKUP($E283,'Status Thresholds'!$E:$AR,8,FALSE),
IF((AND($U$4=FALSE,$U$5=TRUE,$U$6=FALSE,$U$7=FALSE)),VLOOKUP($E283,'Status Thresholds'!$E:$AR,23,FALSE),IF((AND($U$4=FALSE,$U$5=TRUE,$U$6=TRUE,$U$7=FALSE)),VLOOKUP($E283,'Status Thresholds'!$E:$AR,33,FALSE),IF((AND($U$4=FALSE,$U$5=TRUE,$U$6=TRUE,$U$7=TRUE)),VLOOKUP($E283,'Status Thresholds'!$E:$AR,38,FALSE),IF((AND($U$4=FALSE,$U$5=TRUE,$U$6=FALSE,$U$7=TRUE)),VLOOKUP($E283,'Status Thresholds'!$E:$AR,28,FALSE)))))))))
))/
IF(OR($X$5=TRUE,$AC$3=TRUE
),($F$6/2), IF(OR($X$2,$X$3,$X$4,$X$6,$X$7,$X$8,$Z$2,$Z$3,$Z$4,$Z$5,$Z$6,$Z$7,$Z$8)=TRUE,$F$6)),0),"-")</f>
        <v>-</v>
      </c>
      <c r="H283" s="36" t="str">
        <f>IFERROR(
ROUNDUP(
IF(AND($U$5=FALSE,$U$4=FALSE),"-",IF(AND($U$5=TRUE,$U$4=TRUE),"-",
IF((AND($U$4=TRUE,$U$5=FALSE,$U$6=FALSE,$U$7=FALSE)),VLOOKUP($E283,'Status Thresholds'!$E:$AR,4,FALSE),IF((AND($U$4=TRUE,$U$5=FALSE,$U$6=TRUE,$U$7=FALSE)),VLOOKUP($E283,'Status Thresholds'!$E:$AR,14,FALSE),IF((AND($U$4=TRUE,$U$5=FALSE,$U$6=TRUE,$U$7=TRUE)),VLOOKUP($E283,'Status Thresholds'!$E:$AR,19,FALSE),IF((AND($U$4=TRUE,$U$5=FALSE,$U$6=FALSE,$U$7=TRUE)),VLOOKUP($E283,'Status Thresholds'!$E:$AR,9,FALSE),
IF((AND($U$4=FALSE,$U$5=TRUE,$U$6=FALSE,$U$7=FALSE)),VLOOKUP($E283,'Status Thresholds'!$E:$AR,24,FALSE),IF((AND($U$4=FALSE,$U$5=TRUE,$U$6=TRUE,$U$7=FALSE)),VLOOKUP($E283,'Status Thresholds'!$E:$AR,34,FALSE),IF((AND($U$4=FALSE,$U$5=TRUE,$U$6=TRUE,$U$7=TRUE)),VLOOKUP($E283,'Status Thresholds'!$E:$AR,39,FALSE),IF((AND($U$4=FALSE,$U$5=TRUE,$U$6=FALSE,$U$7=TRUE)),VLOOKUP($E283,'Status Thresholds'!$E:$AR,29,FALSE)))))))))
))/
IF(OR($X$5=TRUE,$AC$3=TRUE
),($F$6/2), IF(OR($X$2,$X$3,$X$4,$X$6,$X$7,$X$8,$Z$2,$Z$3,$Z$4,$Z$5,$Z$6,$Z$7,$Z$8)=TRUE,$F$6)),0),"-")</f>
        <v>-</v>
      </c>
      <c r="I283" s="36" t="str">
        <f>IFERROR(
ROUNDUP(
IF(AND($U$5=FALSE,$U$4=FALSE),"-",IF(AND($U$5=TRUE,$U$4=TRUE),"-",
IF((AND($U$4=TRUE,$U$5=FALSE,$U$6=FALSE,$U$7=FALSE)),VLOOKUP($E283,'Status Thresholds'!$E:$AR,5,FALSE),IF((AND($U$4=TRUE,$U$5=FALSE,$U$6=TRUE,$U$7=FALSE)),VLOOKUP($E283,'Status Thresholds'!$E:$AR,15,FALSE),IF((AND($U$4=TRUE,$U$5=FALSE,$U$6=TRUE,$U$7=TRUE)),VLOOKUP($E283,'Status Thresholds'!$E:$AR,20,FALSE),IF((AND($U$4=TRUE,$U$5=FALSE,$U$6=FALSE,$U$7=TRUE)),VLOOKUP($E283,'Status Thresholds'!$E:$AR,10,FALSE),
IF((AND($U$4=FALSE,$U$5=TRUE,$U$6=FALSE,$U$7=FALSE)),VLOOKUP($E283,'Status Thresholds'!$E:$AR,25,FALSE),IF((AND($U$4=FALSE,$U$5=TRUE,$U$6=TRUE,$U$7=FALSE)),VLOOKUP($E283,'Status Thresholds'!$E:$AR,35,FALSE),IF((AND($U$4=FALSE,$U$5=TRUE,$U$6=TRUE,$U$7=TRUE)),VLOOKUP($E283,'Status Thresholds'!$E:$AR,40,FALSE),IF((AND($U$4=FALSE,$U$5=TRUE,$U$6=FALSE,$U$7=TRUE)),VLOOKUP($E283,'Status Thresholds'!$E:$AR,30,FALSE)))))))))
))/
IF(OR($X$5=TRUE,$AC$3=TRUE
),($F$6/2), IF(OR($X$2,$X$3,$X$4,$X$6,$X$7,$X$8,$Z$2,$Z$3,$Z$4,$Z$5,$Z$6,$Z$7,$Z$8)=TRUE,$F$6)),0),"-")</f>
        <v>-</v>
      </c>
      <c r="J283" s="46">
        <f>IFERROR(IF(AND($U$5=FALSE,$U$4=FALSE),"-",VLOOKUP($E283,'Status Thresholds'!$E:$AU,41,FALSE)),"-")</f>
        <v>0</v>
      </c>
      <c r="K283" s="46" t="str">
        <f>IFERROR(IF(AND($U$5=FALSE,$U$4=FALSE),"-",VLOOKUP($E283,'Status Thresholds'!$E:$AU,42,FALSE)),"-")</f>
        <v>-</v>
      </c>
      <c r="L283" s="46" t="str">
        <f>IFERROR(IF(AND($U$5=FALSE,$U$4=FALSE),"-",VLOOKUP($E283,'Status Thresholds'!$E:$AU,43,FALSE)),"-")</f>
        <v>-</v>
      </c>
    </row>
    <row r="284" spans="1:12" hidden="1" x14ac:dyDescent="0.25">
      <c r="A284" s="35"/>
      <c r="B284" s="64" t="str">
        <f>IF('Status Thresholds'!A279=0, "", 'Status Thresholds'!A279)</f>
        <v>Deviant</v>
      </c>
      <c r="C284" s="64" t="str">
        <f>IF('Status Thresholds'!B279=0, "", 'Status Thresholds'!B279)</f>
        <v>Elderfrost Gammoth</v>
      </c>
      <c r="D284" s="30" t="s">
        <v>35</v>
      </c>
      <c r="E284" s="36" t="str">
        <f t="shared" ref="E284:E347" si="4">$C284&amp;$D284</f>
        <v>Elderfrost GammothBlast</v>
      </c>
      <c r="F284" s="36" t="str">
        <f>IFERROR(
ROUNDUP(
IF(AND($U$5=FALSE,$U$4=FALSE),"-",IF(AND($U$5=TRUE,$U$4=TRUE),"-",
IF((AND($U$4=TRUE,$U$5=FALSE,$U$6=FALSE,$U$7=FALSE)),VLOOKUP($E284,'Status Thresholds'!$E:$AR,2,FALSE),IF((AND($U$4=TRUE,$U$5=FALSE,$U$6=TRUE,$U$7=FALSE)),VLOOKUP($E284,'Status Thresholds'!$E:$AR,12,FALSE),IF((AND($U$4=TRUE,$U$5=FALSE,$U$6=TRUE,$U$7=TRUE)),VLOOKUP($E284,'Status Thresholds'!$E:$AR,17,FALSE),IF((AND($U$4=TRUE,$U$5=FALSE,$U$6=FALSE,$U$7=TRUE)),VLOOKUP($E284,'Status Thresholds'!$E:$AR,7,FALSE),
IF((AND($U$4=FALSE,$U$5=TRUE,$U$6=FALSE,$U$7=FALSE)),VLOOKUP($E284,'Status Thresholds'!$E:$AR,22,FALSE),IF((AND($U$4=FALSE,$U$5=TRUE,$U$6=TRUE,$U$7=FALSE)),VLOOKUP($E284,'Status Thresholds'!$E:$AR,32,FALSE),IF((AND($U$4=FALSE,$U$5=TRUE,$U$6=TRUE,$U$7=TRUE)),VLOOKUP($E284,'Status Thresholds'!$E:$AR,37,FALSE),IF((AND($U$4=FALSE,$U$5=TRUE,$U$6=FALSE,$U$7=TRUE)),VLOOKUP($E284,'Status Thresholds'!$E:$AR,27,FALSE)))))))))
))/
IF(OR($X$5=TRUE,$AC$3=TRUE
),($F$7/2), IF(OR($X$2,$X$3,$X$4,$X$6,$X$7,$X$8,$Z$2,$Z$3,$Z$4,$Z$5,$Z$6,$Z$7,$Z$8)=TRUE,$F$7)),0),"-")</f>
        <v>-</v>
      </c>
      <c r="G284" s="36" t="str">
        <f>IFERROR(
ROUNDUP(
IF(AND($U$5=FALSE,$U$4=FALSE),"-",IF(AND($U$5=TRUE,$U$4=TRUE),"-",
IF((AND($U$4=TRUE,$U$5=FALSE,$U$6=FALSE,$U$7=FALSE)),VLOOKUP($E284,'Status Thresholds'!$E:$AR,3,FALSE),IF((AND($U$4=TRUE,$U$5=FALSE,$U$6=TRUE,$U$7=FALSE)),VLOOKUP($E284,'Status Thresholds'!$E:$AR,13,FALSE),IF((AND($U$4=TRUE,$U$5=FALSE,$U$6=TRUE,$U$7=TRUE)),VLOOKUP($E284,'Status Thresholds'!$E:$AR,18,FALSE),IF((AND($U$4=TRUE,$U$5=FALSE,$U$6=FALSE,$U$7=TRUE)),VLOOKUP($E284,'Status Thresholds'!$E:$AR,8,FALSE),
IF((AND($U$4=FALSE,$U$5=TRUE,$U$6=FALSE,$U$7=FALSE)),VLOOKUP($E284,'Status Thresholds'!$E:$AR,23,FALSE),IF((AND($U$4=FALSE,$U$5=TRUE,$U$6=TRUE,$U$7=FALSE)),VLOOKUP($E284,'Status Thresholds'!$E:$AR,33,FALSE),IF((AND($U$4=FALSE,$U$5=TRUE,$U$6=TRUE,$U$7=TRUE)),VLOOKUP($E284,'Status Thresholds'!$E:$AR,38,FALSE),IF((AND($U$4=FALSE,$U$5=TRUE,$U$6=FALSE,$U$7=TRUE)),VLOOKUP($E284,'Status Thresholds'!$E:$AR,28,FALSE)))))))))
))/
IF(OR($X$5=TRUE,$AC$3=TRUE
),($F$7/2), IF(OR($X$2,$X$3,$X$4,$X$6,$X$7,$X$8,$Z$2,$Z$3,$Z$4,$Z$5,$Z$6,$Z$7,$Z$8)=TRUE,$F$7)),0),"-")</f>
        <v>-</v>
      </c>
      <c r="H284" s="36" t="str">
        <f>IFERROR(
ROUNDUP(
IF(AND($U$5=FALSE,$U$4=FALSE),"-",IF(AND($U$5=TRUE,$U$4=TRUE),"-",
IF((AND($U$4=TRUE,$U$5=FALSE,$U$6=FALSE,$U$7=FALSE)),VLOOKUP($E284,'Status Thresholds'!$E:$AR,4,FALSE),IF((AND($U$4=TRUE,$U$5=FALSE,$U$6=TRUE,$U$7=FALSE)),VLOOKUP($E284,'Status Thresholds'!$E:$AR,14,FALSE),IF((AND($U$4=TRUE,$U$5=FALSE,$U$6=TRUE,$U$7=TRUE)),VLOOKUP($E284,'Status Thresholds'!$E:$AR,19,FALSE),IF((AND($U$4=TRUE,$U$5=FALSE,$U$6=FALSE,$U$7=TRUE)),VLOOKUP($E284,'Status Thresholds'!$E:$AR,9,FALSE),
IF((AND($U$4=FALSE,$U$5=TRUE,$U$6=FALSE,$U$7=FALSE)),VLOOKUP($E284,'Status Thresholds'!$E:$AR,24,FALSE),IF((AND($U$4=FALSE,$U$5=TRUE,$U$6=TRUE,$U$7=FALSE)),VLOOKUP($E284,'Status Thresholds'!$E:$AR,34,FALSE),IF((AND($U$4=FALSE,$U$5=TRUE,$U$6=TRUE,$U$7=TRUE)),VLOOKUP($E284,'Status Thresholds'!$E:$AR,39,FALSE),IF((AND($U$4=FALSE,$U$5=TRUE,$U$6=FALSE,$U$7=TRUE)),VLOOKUP($E284,'Status Thresholds'!$E:$AR,29,FALSE)))))))))
))/
IF(OR($X$5=TRUE,$AC$3=TRUE
),($F$7/2), IF(OR($X$2,$X$3,$X$4,$X$6,$X$7,$X$8,$Z$2,$Z$3,$Z$4,$Z$5,$Z$6,$Z$7,$Z$8)=TRUE,$F$7)),0),"-")</f>
        <v>-</v>
      </c>
      <c r="I284" s="36" t="str">
        <f>IFERROR(
ROUNDUP(
IF(AND($U$5=FALSE,$U$4=FALSE),"-",IF(AND($U$5=TRUE,$U$4=TRUE),"-",
IF((AND($U$4=TRUE,$U$5=FALSE,$U$6=FALSE,$U$7=FALSE)),VLOOKUP($E284,'Status Thresholds'!$E:$AR,5,FALSE),IF((AND($U$4=TRUE,$U$5=FALSE,$U$6=TRUE,$U$7=FALSE)),VLOOKUP($E284,'Status Thresholds'!$E:$AR,15,FALSE),IF((AND($U$4=TRUE,$U$5=FALSE,$U$6=TRUE,$U$7=TRUE)),VLOOKUP($E284,'Status Thresholds'!$E:$AR,20,FALSE),IF((AND($U$4=TRUE,$U$5=FALSE,$U$6=FALSE,$U$7=TRUE)),VLOOKUP($E284,'Status Thresholds'!$E:$AR,10,FALSE),
IF((AND($U$4=FALSE,$U$5=TRUE,$U$6=FALSE,$U$7=FALSE)),VLOOKUP($E284,'Status Thresholds'!$E:$AR,25,FALSE),IF((AND($U$4=FALSE,$U$5=TRUE,$U$6=TRUE,$U$7=FALSE)),VLOOKUP($E284,'Status Thresholds'!$E:$AR,35,FALSE),IF((AND($U$4=FALSE,$U$5=TRUE,$U$6=TRUE,$U$7=TRUE)),VLOOKUP($E284,'Status Thresholds'!$E:$AR,40,FALSE),IF((AND($U$4=FALSE,$U$5=TRUE,$U$6=FALSE,$U$7=TRUE)),VLOOKUP($E284,'Status Thresholds'!$E:$AR,30,FALSE)))))))))
))/
IF(OR($X$5=TRUE,$AC$3=TRUE
),($F$7/2), IF(OR($X$2,$X$3,$X$4,$X$6,$X$7,$X$8,$Z$2,$Z$3,$Z$4,$Z$5,$Z$6,$Z$7,$Z$8)=TRUE,$F$7)),0),"-")</f>
        <v>-</v>
      </c>
      <c r="J284" s="46">
        <f>IFERROR(IF(AND($U$5=FALSE,$U$4=FALSE),"-",VLOOKUP($E284,'Status Thresholds'!$E:$AU,41,FALSE)),"-")</f>
        <v>0</v>
      </c>
      <c r="K284" s="46" t="str">
        <f>IFERROR(IF(AND($U$5=FALSE,$U$4=FALSE),"-",VLOOKUP($E284,'Status Thresholds'!$E:$AU,42,FALSE)),"-")</f>
        <v>-</v>
      </c>
      <c r="L284" s="46" t="str">
        <f>IFERROR(IF(AND($U$5=FALSE,$U$4=FALSE),"-",VLOOKUP($E284,'Status Thresholds'!$E:$AU,43,FALSE)),"-")</f>
        <v>-</v>
      </c>
    </row>
    <row r="285" spans="1:12" ht="14.45" hidden="1" customHeight="1" x14ac:dyDescent="0.25">
      <c r="A285" s="35"/>
      <c r="B285" s="64" t="str">
        <f>IF('Status Thresholds'!A280=0, "", 'Status Thresholds'!A280)</f>
        <v>Deviant</v>
      </c>
      <c r="C285" s="64" t="str">
        <f>IF('Status Thresholds'!B280=0, "", 'Status Thresholds'!B280)</f>
        <v>Elderfrost Gammoth</v>
      </c>
      <c r="D285" s="34" t="s">
        <v>14</v>
      </c>
      <c r="E285" s="36" t="str">
        <f t="shared" si="4"/>
        <v>Elderfrost GammothKO</v>
      </c>
      <c r="F285" s="36" t="s">
        <v>214</v>
      </c>
      <c r="G285" s="36" t="s">
        <v>214</v>
      </c>
      <c r="H285" s="36" t="s">
        <v>214</v>
      </c>
      <c r="I285" s="36" t="s">
        <v>214</v>
      </c>
      <c r="J285" s="46">
        <f>IFERROR(IF(AND($U$5=FALSE,$U$4=FALSE),"-",VLOOKUP($E285,'Status Thresholds'!$E:$AU,41,FALSE)),"-")</f>
        <v>15</v>
      </c>
      <c r="K285" s="46" t="str">
        <f>IFERROR(IF(AND($U$5=FALSE,$U$4=FALSE),"-",VLOOKUP($E285,'Status Thresholds'!$E:$AU,42,FALSE)),"-")</f>
        <v>-</v>
      </c>
      <c r="L285" s="46" t="str">
        <f>IFERROR(IF(AND($U$5=FALSE,$U$4=FALSE),"-",VLOOKUP($E285,'Status Thresholds'!$E:$AU,43,FALSE)),"-")</f>
        <v>-</v>
      </c>
    </row>
    <row r="286" spans="1:12" hidden="1" x14ac:dyDescent="0.25">
      <c r="A286" s="35"/>
      <c r="B286" s="64" t="str">
        <f>IF('Status Thresholds'!A281=0, "", 'Status Thresholds'!A281)</f>
        <v>Deviant</v>
      </c>
      <c r="C286" s="64" t="str">
        <f>IF('Status Thresholds'!B281=0, "", 'Status Thresholds'!B281)</f>
        <v>Elderfrost Gammoth</v>
      </c>
      <c r="D286" s="33" t="s">
        <v>34</v>
      </c>
      <c r="E286" s="36" t="str">
        <f t="shared" si="4"/>
        <v>Elderfrost GammothMount</v>
      </c>
      <c r="F286" s="36" t="str">
        <f>IFERROR(
ROUNDUP(
IF(AND($U$5=FALSE,$U$4=FALSE),"-",IF(AND($U$5=TRUE,$U$4=TRUE),"-",
IF((AND($U$4=TRUE,$U$5=FALSE,$U$6=FALSE,$U$7=FALSE)),VLOOKUP($E286,'Status Thresholds'!$E:$AR,2,FALSE),IF((AND($U$4=TRUE,$U$5=FALSE,$U$6=TRUE,$U$7=FALSE)),VLOOKUP($E286,'Status Thresholds'!$E:$AR,12,FALSE),IF((AND($U$4=TRUE,$U$5=FALSE,$U$6=TRUE,$U$7=TRUE)),VLOOKUP($E286,'Status Thresholds'!$E:$AR,17,FALSE),IF((AND($U$4=TRUE,$U$5=FALSE,$U$6=FALSE,$U$7=TRUE)),VLOOKUP($E286,'Status Thresholds'!$E:$AR,7,FALSE),
IF((AND($U$4=FALSE,$U$5=TRUE,$U$6=FALSE,$U$7=FALSE)),VLOOKUP($E286,'Status Thresholds'!$E:$AR,22,FALSE),IF((AND($U$4=FALSE,$U$5=TRUE,$U$6=TRUE,$U$7=FALSE)),VLOOKUP($E286,'Status Thresholds'!$E:$AR,32,FALSE),IF((AND($U$4=FALSE,$U$5=TRUE,$U$6=TRUE,$U$7=TRUE)),VLOOKUP($E286,'Status Thresholds'!$E:$AR,37,FALSE),IF((AND($U$4=FALSE,$U$5=TRUE,$U$6=FALSE,$U$7=TRUE)),VLOOKUP($E286,'Status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286" s="36" t="str">
        <f>IFERROR(
ROUNDUP(
IF(AND($U$5=FALSE,$U$4=FALSE),"-",IF(AND($U$5=TRUE,$U$4=TRUE),"-",
IF((AND($U$4=TRUE,$U$5=FALSE,$U$6=FALSE,$U$7=FALSE)),VLOOKUP($E285,'Status Thresholds'!$E:$AR,3,FALSE),IF((AND($U$4=TRUE,$U$5=FALSE,$U$6=TRUE,$U$7=FALSE)),VLOOKUP($E285,'Status Thresholds'!$E:$AR,13,FALSE),IF((AND($U$4=TRUE,$U$5=FALSE,$U$6=TRUE,$U$7=TRUE)),VLOOKUP($E285,'Status Thresholds'!$E:$AR,18,FALSE),IF((AND($U$4=TRUE,$U$5=FALSE,$U$6=FALSE,$U$7=TRUE)),VLOOKUP($E285,'Status Thresholds'!$E:$AR,8,FALSE),
IF((AND($U$4=FALSE,$U$5=TRUE,$U$6=FALSE,$U$7=FALSE)),VLOOKUP($E285,'Status Thresholds'!$E:$AR,23,FALSE),IF((AND($U$4=FALSE,$U$5=TRUE,$U$6=TRUE,$U$7=FALSE)),VLOOKUP($E285,'Status Thresholds'!$E:$AR,33,FALSE),IF((AND($U$4=FALSE,$U$5=TRUE,$U$6=TRUE,$U$7=TRUE)),VLOOKUP($E285,'Status Thresholds'!$E:$AR,38,FALSE),IF((AND($U$4=FALSE,$U$5=TRUE,$U$6=FALSE,$U$7=TRUE)),VLOOKUP($E285,'Status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286" s="36" t="str">
        <f>IFERROR(
ROUNDUP(
IF(AND($U$5=FALSE,$U$4=FALSE),"-",IF(AND($U$5=TRUE,$U$4=TRUE),"-",
IF((AND($U$4=TRUE,$U$5=FALSE,$U$6=FALSE,$U$7=FALSE)),VLOOKUP($E285,'Status Thresholds'!$E:$AR,4,FALSE),IF((AND($U$4=TRUE,$U$5=FALSE,$U$6=TRUE,$U$7=FALSE)),VLOOKUP($E285,'Status Thresholds'!$E:$AR,14,FALSE),IF((AND($U$4=TRUE,$U$5=FALSE,$U$6=TRUE,$U$7=TRUE)),VLOOKUP($E285,'Status Thresholds'!$E:$AR,19,FALSE),IF((AND($U$4=TRUE,$U$5=FALSE,$U$6=FALSE,$U$7=TRUE)),VLOOKUP($E285,'Status Thresholds'!$E:$AR,9,FALSE),
IF((AND($U$4=FALSE,$U$5=TRUE,$U$6=FALSE,$U$7=FALSE)),VLOOKUP($E285,'Status Thresholds'!$E:$AR,24,FALSE),IF((AND($U$4=FALSE,$U$5=TRUE,$U$6=TRUE,$U$7=FALSE)),VLOOKUP($E285,'Status Thresholds'!$E:$AR,34,FALSE),IF((AND($U$4=FALSE,$U$5=TRUE,$U$6=TRUE,$U$7=TRUE)),VLOOKUP($E285,'Status Thresholds'!$E:$AR,39,FALSE),IF((AND($U$4=FALSE,$U$5=TRUE,$U$6=FALSE,$U$7=TRUE)),VLOOKUP($E285,'Status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286" s="36" t="str">
        <f>IFERROR(
ROUNDUP(
IF(AND($U$5=FALSE,$U$4=FALSE),"-",IF(AND($U$5=TRUE,$U$4=TRUE),"-",
IF((AND($U$4=TRUE,$U$5=FALSE,$U$6=FALSE,$U$7=FALSE)),VLOOKUP($E285,'Status Thresholds'!$E:$AR,5,FALSE),IF((AND($U$4=TRUE,$U$5=FALSE,$U$6=TRUE,$U$7=FALSE)),VLOOKUP($E285,'Status Thresholds'!$E:$AR,15,FALSE),IF((AND($U$4=TRUE,$U$5=FALSE,$U$6=TRUE,$U$7=TRUE)),VLOOKUP($E285,'Status Thresholds'!$E:$AR,20,FALSE),IF((AND($U$4=TRUE,$U$5=FALSE,$U$6=FALSE,$U$7=TRUE)),VLOOKUP($E285,'Status Thresholds'!$E:$AR,10,FALSE),
IF((AND($U$4=FALSE,$U$5=TRUE,$U$6=FALSE,$U$7=FALSE)),VLOOKUP($E285,'Status Thresholds'!$E:$AR,25,FALSE),IF((AND($U$4=FALSE,$U$5=TRUE,$U$6=TRUE,$U$7=FALSE)),VLOOKUP($E285,'Status Thresholds'!$E:$AR,35,FALSE),IF((AND($U$4=FALSE,$U$5=TRUE,$U$6=TRUE,$U$7=TRUE)),VLOOKUP($E285,'Status Thresholds'!$E:$AR,40,FALSE),IF((AND($U$4=FALSE,$U$5=TRUE,$U$6=FALSE,$U$7=TRUE)),VLOOKUP($E285,'Status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286" s="46">
        <f>IFERROR(IF(AND($U$5=FALSE,$U$4=FALSE),"-",VLOOKUP($E286,'Status Thresholds'!$E:$AU,41,FALSE)),"-")</f>
        <v>0</v>
      </c>
      <c r="K286" s="46" t="str">
        <f>IFERROR(IF(AND($U$5=FALSE,$U$4=FALSE),"-",VLOOKUP($E286,'Status Thresholds'!$E:$AU,42,FALSE)),"-")</f>
        <v>-</v>
      </c>
      <c r="L286" s="46" t="str">
        <f>IFERROR(IF(AND($U$5=FALSE,$U$4=FALSE),"-",VLOOKUP($E286,'Status Thresholds'!$E:$AU,43,FALSE)),"-")</f>
        <v>-</v>
      </c>
    </row>
    <row r="287" spans="1:12" ht="15" hidden="1" customHeight="1" x14ac:dyDescent="0.25">
      <c r="A287" s="35"/>
      <c r="B287" s="64" t="str">
        <f>IF('Status Thresholds'!A282=0, "", 'Status Thresholds'!A282)</f>
        <v>Deviant</v>
      </c>
      <c r="C287" s="64" t="str">
        <f>IF('Status Thresholds'!B282=0, "", 'Status Thresholds'!B282)</f>
        <v>Elderfrost Gammoth</v>
      </c>
      <c r="D287" s="77" t="s">
        <v>207</v>
      </c>
      <c r="E287" s="36" t="str">
        <f t="shared" si="4"/>
        <v>Elderfrost GammothShock Trap</v>
      </c>
      <c r="F287" s="76" t="s">
        <v>214</v>
      </c>
      <c r="G287" s="46" t="s">
        <v>214</v>
      </c>
      <c r="H287" s="46" t="s">
        <v>214</v>
      </c>
      <c r="I287" s="46" t="s">
        <v>214</v>
      </c>
      <c r="J287" s="46">
        <f>IFERROR(IF(AND($U$5=FALSE,$U$4=FALSE),"-",VLOOKUP($E287,'Status Thresholds'!$E:$AU,43,FALSE)),"-")</f>
        <v>0</v>
      </c>
      <c r="K287" s="46">
        <f>IFERROR(IF(AND($U$5=FALSE,$U$4=FALSE),"-",VLOOKUP($E287,'Status Thresholds'!$E:$AU,41,FALSE)),"-")</f>
        <v>0</v>
      </c>
      <c r="L287" s="46">
        <f>IFERROR(IF(AND($U$5=FALSE,$U$4=FALSE),"-",VLOOKUP($E287,'Status Thresholds'!$E:$AU,42,FALSE)),"-")</f>
        <v>0</v>
      </c>
    </row>
    <row r="288" spans="1:12" hidden="1" x14ac:dyDescent="0.25">
      <c r="A288" s="35"/>
      <c r="B288" s="64" t="str">
        <f>IF('Status Thresholds'!A283=0, "", 'Status Thresholds'!A283)</f>
        <v>Deviant</v>
      </c>
      <c r="C288" s="64" t="str">
        <f>IF('Status Thresholds'!B283=0, "", 'Status Thresholds'!B283)</f>
        <v>Elderfrost Gammoth</v>
      </c>
      <c r="D288" s="77" t="s">
        <v>213</v>
      </c>
      <c r="E288" s="36" t="str">
        <f t="shared" si="4"/>
        <v>Elderfrost GammothPitfall Trap</v>
      </c>
      <c r="F288" s="46" t="s">
        <v>214</v>
      </c>
      <c r="G288" s="46" t="s">
        <v>214</v>
      </c>
      <c r="H288" s="46" t="s">
        <v>214</v>
      </c>
      <c r="I288" s="46" t="s">
        <v>214</v>
      </c>
      <c r="J288" s="46">
        <f>IFERROR(IF(AND($U$5=FALSE,$U$4=FALSE),"-",VLOOKUP($E288,'Status Thresholds'!$E:$AU,43,FALSE)),"-")</f>
        <v>0</v>
      </c>
      <c r="K288" s="46">
        <f>IFERROR(IF(AND($U$5=FALSE,$U$4=FALSE),"-",VLOOKUP($E288,'Status Thresholds'!$E:$AU,41,FALSE)),"-")</f>
        <v>0</v>
      </c>
      <c r="L288" s="46">
        <f>IFERROR(IF(AND($U$5=FALSE,$U$4=FALSE),"-",VLOOKUP($E288,'Status Thresholds'!$E:$AU,42,FALSE)),"-")</f>
        <v>0</v>
      </c>
    </row>
    <row r="289" spans="1:12" s="36" customFormat="1" x14ac:dyDescent="0.25">
      <c r="A289" s="64"/>
      <c r="B289" s="64" t="str">
        <f>VLOOKUP(C289,'Status Thresholds'!B:C,2,FALSE)</f>
        <v>MHGU</v>
      </c>
      <c r="C289" s="64" t="str">
        <f>IF('Status Thresholds'!B284=0, "", 'Status Thresholds'!B284)</f>
        <v>Fatalis (Black)</v>
      </c>
      <c r="D289" s="37" t="s">
        <v>0</v>
      </c>
      <c r="E289" s="36" t="str">
        <f t="shared" si="4"/>
        <v>Fatalis (Black)Para</v>
      </c>
      <c r="F289" s="36" t="str">
        <f>IFERROR(
ROUNDUP(
IF(AND($U$5=FALSE,$U$4=FALSE),"-",IF(AND($U$5=TRUE,$U$4=TRUE),"-",
IF((AND($U$4=TRUE,$U$5=FALSE,$U$6=FALSE,$U$7=FALSE)),VLOOKUP($E289,'Status Thresholds'!$E:$AR,2,FALSE),IF((AND($U$4=TRUE,$U$5=FALSE,$U$6=TRUE,$U$7=FALSE)),VLOOKUP($E289,'Status Thresholds'!$E:$AR,12,FALSE),IF((AND($U$4=TRUE,$U$5=FALSE,$U$6=TRUE,$U$7=TRUE)),VLOOKUP($E289,'Status Thresholds'!$E:$AR,17,FALSE),IF((AND($U$4=TRUE,$U$5=FALSE,$U$6=FALSE,$U$7=TRUE)),VLOOKUP($E289,'Status Thresholds'!$E:$AR,7,FALSE),
IF((AND($U$4=FALSE,$U$5=TRUE,$U$6=FALSE,$U$7=FALSE)),VLOOKUP($E289,'Status Thresholds'!$E:$AR,22,FALSE),IF((AND($U$4=FALSE,$U$5=TRUE,$U$6=TRUE,$U$7=FALSE)),VLOOKUP($E289,'Status Thresholds'!$E:$AR,32,FALSE),IF((AND($U$4=FALSE,$U$5=TRUE,$U$6=TRUE,$U$7=TRUE)),VLOOKUP($E289,'Status Thresholds'!$E:$AR,37,FALSE),IF((AND($U$4=FALSE,$U$5=TRUE,$U$6=FALSE,$U$7=TRUE)),VLOOKUP($E289,'Status Thresholds'!$E:$AR,27,FALSE)))))))))
))/
IF(OR($X$5=TRUE,$AC$3=TRUE
),($F$3/2), IF(OR($X$2,$X$3,$X$4,$X$6,$X$7,$X$8,$Z$2,$Z$3,$Z$4,$Z$5,$Z$6,$Z$7,$Z$8)=TRUE,$F$3)),0),"-")</f>
        <v>-</v>
      </c>
      <c r="G289" s="36" t="str">
        <f>IFERROR(
ROUNDUP(
IF(AND($U$5=FALSE,$U$4=FALSE),"-",IF(AND($U$5=TRUE,$U$4=TRUE),"-",
IF((AND($U$4=TRUE,$U$5=FALSE,$U$6=FALSE,$U$7=FALSE)),VLOOKUP($E289,'Status Thresholds'!$E:$AR,3,FALSE),IF((AND($U$4=TRUE,$U$5=FALSE,$U$6=TRUE,$U$7=FALSE)),VLOOKUP($E289,'Status Thresholds'!$E:$AR,13,FALSE),IF((AND($U$4=TRUE,$U$5=FALSE,$U$6=TRUE,$U$7=TRUE)),VLOOKUP($E289,'Status Thresholds'!$E:$AR,18,FALSE),IF((AND($U$4=TRUE,$U$5=FALSE,$U$6=FALSE,$U$7=TRUE)),VLOOKUP($E289,'Status Thresholds'!$E:$AR,8,FALSE),
IF((AND($U$4=FALSE,$U$5=TRUE,$U$6=FALSE,$U$7=FALSE)),VLOOKUP($E289,'Status Thresholds'!$E:$AR,23,FALSE),IF((AND($U$4=FALSE,$U$5=TRUE,$U$6=TRUE,$U$7=FALSE)),VLOOKUP($E289,'Status Thresholds'!$E:$AR,33,FALSE),IF((AND($U$4=FALSE,$U$5=TRUE,$U$6=TRUE,$U$7=TRUE)),VLOOKUP($E289,'Status Thresholds'!$E:$AR,38,FALSE),IF((AND($U$4=FALSE,$U$5=TRUE,$U$6=FALSE,$U$7=TRUE)),VLOOKUP($E289,'Status Thresholds'!$E:$AR,28,FALSE)))))))))
))/
IF(OR($X$5=TRUE,$AC$3=TRUE
),($F$3/2), IF(OR($X$2,$X$3,$X$4,$X$6,$X$7,$X$8,$Z$2,$Z$3,$Z$4,$Z$5,$Z$6,$Z$7,$Z$8)=TRUE,$F$3)),0),"-")</f>
        <v>-</v>
      </c>
      <c r="H289" s="36" t="str">
        <f>IFERROR(
ROUNDUP(
IF(AND($U$5=FALSE,$U$4=FALSE),"-",IF(AND($U$5=TRUE,$U$4=TRUE),"-",
IF((AND($U$4=TRUE,$U$5=FALSE,$U$6=FALSE,$U$7=FALSE)),VLOOKUP($E289,'Status Thresholds'!$E:$AR,4,FALSE),IF((AND($U$4=TRUE,$U$5=FALSE,$U$6=TRUE,$U$7=FALSE)),VLOOKUP($E289,'Status Thresholds'!$E:$AR,14,FALSE),IF((AND($U$4=TRUE,$U$5=FALSE,$U$6=TRUE,$U$7=TRUE)),VLOOKUP($E289,'Status Thresholds'!$E:$AR,19,FALSE),IF((AND($U$4=TRUE,$U$5=FALSE,$U$6=FALSE,$U$7=TRUE)),VLOOKUP($E289,'Status Thresholds'!$E:$AR,9,FALSE),
IF((AND($U$4=FALSE,$U$5=TRUE,$U$6=FALSE,$U$7=FALSE)),VLOOKUP($E289,'Status Thresholds'!$E:$AR,24,FALSE),IF((AND($U$4=FALSE,$U$5=TRUE,$U$6=TRUE,$U$7=FALSE)),VLOOKUP($E289,'Status Thresholds'!$E:$AR,34,FALSE),IF((AND($U$4=FALSE,$U$5=TRUE,$U$6=TRUE,$U$7=TRUE)),VLOOKUP($E289,'Status Thresholds'!$E:$AR,39,FALSE),IF((AND($U$4=FALSE,$U$5=TRUE,$U$6=FALSE,$U$7=TRUE)),VLOOKUP($E289,'Status Thresholds'!$E:$AR,29,FALSE)))))))))
))/
IF(OR($X$5=TRUE,$AC$3=TRUE
),($F$3/2), IF(OR($X$2,$X$3,$X$4,$X$6,$X$7,$X$8,$Z$2,$Z$3,$Z$4,$Z$5,$Z$6,$Z$7,$Z$8)=TRUE,$F$3)),0),"-")</f>
        <v>-</v>
      </c>
      <c r="I289" s="36" t="str">
        <f>IFERROR(
ROUNDUP(
IF(AND($U$5=FALSE,$U$4=FALSE),"-",IF(AND($U$5=TRUE,$U$4=TRUE),"-",
IF((AND($U$4=TRUE,$U$5=FALSE,$U$6=FALSE,$U$7=FALSE)),VLOOKUP($E289,'Status Thresholds'!$E:$AR,5,FALSE),IF((AND($U$4=TRUE,$U$5=FALSE,$U$6=TRUE,$U$7=FALSE)),VLOOKUP($E289,'Status Thresholds'!$E:$AR,15,FALSE),IF((AND($U$4=TRUE,$U$5=FALSE,$U$6=TRUE,$U$7=TRUE)),VLOOKUP($E289,'Status Thresholds'!$E:$AR,20,FALSE),IF((AND($U$4=TRUE,$U$5=FALSE,$U$6=FALSE,$U$7=TRUE)),VLOOKUP($E289,'Status Thresholds'!$E:$AR,10,FALSE),
IF((AND($U$4=FALSE,$U$5=TRUE,$U$6=FALSE,$U$7=FALSE)),VLOOKUP($E289,'Status Thresholds'!$E:$AR,25,FALSE),IF((AND($U$4=FALSE,$U$5=TRUE,$U$6=TRUE,$U$7=FALSE)),VLOOKUP($E289,'Status Thresholds'!$E:$AR,35,FALSE),IF((AND($U$4=FALSE,$U$5=TRUE,$U$6=TRUE,$U$7=TRUE)),VLOOKUP($E289,'Status Thresholds'!$E:$AR,40,FALSE),IF((AND($U$4=FALSE,$U$5=TRUE,$U$6=FALSE,$U$7=TRUE)),VLOOKUP($E289,'Status Thresholds'!$E:$AR,30,FALSE)))))))))
))/
IF(OR($X$5=TRUE,$AC$3=TRUE
),($F$3/2), IF(OR($X$2,$X$3,$X$4,$X$6,$X$7,$X$8,$Z$2,$Z$3,$Z$4,$Z$5,$Z$6,$Z$7,$Z$8)=TRUE,$F$3)),0),"-")</f>
        <v>-</v>
      </c>
      <c r="J289" s="36">
        <f>IFERROR(IF(AND($U$5=FALSE,$U$4=FALSE),"-",VLOOKUP($E289,'Status Thresholds'!$E:$AU,41,FALSE)),"-")</f>
        <v>10</v>
      </c>
      <c r="K289" s="36" t="str">
        <f>IFERROR(IF(AND($U$5=FALSE,$U$4=FALSE),"-",VLOOKUP($E289,'Status Thresholds'!$E:$AU,42,FALSE)),"-")</f>
        <v>-</v>
      </c>
      <c r="L289" s="36" t="str">
        <f>IFERROR(IF(AND($U$5=FALSE,$U$4=FALSE),"-",VLOOKUP($E289,'Status Thresholds'!$E:$AU,43,FALSE)),"-")</f>
        <v>-</v>
      </c>
    </row>
    <row r="290" spans="1:12" x14ac:dyDescent="0.25">
      <c r="A290" s="35"/>
      <c r="B290" s="64" t="str">
        <f>VLOOKUP(C290,'Status Thresholds'!B:C,2,FALSE)</f>
        <v>MHGU</v>
      </c>
      <c r="C290" s="64" t="str">
        <f>IF('Status Thresholds'!B285=0, "", 'Status Thresholds'!B285)</f>
        <v>Fatalis (Black)</v>
      </c>
      <c r="D290" s="31" t="s">
        <v>32</v>
      </c>
      <c r="E290" s="36" t="str">
        <f t="shared" si="4"/>
        <v>Fatalis (Black)Sleep</v>
      </c>
      <c r="F290" s="36" t="str">
        <f>IFERROR(
ROUNDUP(
IF(AND($U$5=FALSE,$U$4=FALSE),"-",IF(AND($U$5=TRUE,$U$4=TRUE),"-",
IF((AND($U$4=TRUE,$U$5=FALSE,$U$6=FALSE,$U$7=FALSE)),VLOOKUP($E290,'Status Thresholds'!$E:$AR,2,FALSE),IF((AND($U$4=TRUE,$U$5=FALSE,$U$6=TRUE,$U$7=FALSE)),VLOOKUP($E290,'Status Thresholds'!$E:$AR,12,FALSE),IF((AND($U$4=TRUE,$U$5=FALSE,$U$6=TRUE,$U$7=TRUE)),VLOOKUP($E290,'Status Thresholds'!$E:$AR,17,FALSE),IF((AND($U$4=TRUE,$U$5=FALSE,$U$6=FALSE,$U$7=TRUE)),VLOOKUP($E290,'Status Thresholds'!$E:$AR,7,FALSE),
IF((AND($U$4=FALSE,$U$5=TRUE,$U$6=FALSE,$U$7=FALSE)),VLOOKUP($E290,'Status Thresholds'!$E:$AR,22,FALSE),IF((AND($U$4=FALSE,$U$5=TRUE,$U$6=TRUE,$U$7=FALSE)),VLOOKUP($E290,'Status Thresholds'!$E:$AR,32,FALSE),IF((AND($U$4=FALSE,$U$5=TRUE,$U$6=TRUE,$U$7=TRUE)),VLOOKUP($E290,'Status Thresholds'!$E:$AR,37,FALSE),IF((AND($U$4=FALSE,$U$5=TRUE,$U$6=FALSE,$U$7=TRUE)),VLOOKUP($E290,'Status Thresholds'!$E:$AR,27,FALSE)))))))))
))/
IF(OR($X$5=TRUE,$AC$3=TRUE
),($F$4/2), IF(OR($X$2,$X$3,$X$4,$X$6,$X$7,$X$8,$Z$2,$Z$3,$Z$4,$Z$5,$Z$6,$Z$7,$Z$8)=TRUE,$F$4)),0),"-")</f>
        <v>-</v>
      </c>
      <c r="G290" s="36" t="str">
        <f>IFERROR(
ROUNDUP(
IF(AND($U$5=FALSE,$U$4=FALSE),"-",IF(AND($U$5=TRUE,$U$4=TRUE),"-",
IF((AND($U$4=TRUE,$U$5=FALSE,$U$6=FALSE,$U$7=FALSE)),VLOOKUP($E290,'Status Thresholds'!$E:$AR,3,FALSE),IF((AND($U$4=TRUE,$U$5=FALSE,$U$6=TRUE,$U$7=FALSE)),VLOOKUP($E290,'Status Thresholds'!$E:$AR,13,FALSE),IF((AND($U$4=TRUE,$U$5=FALSE,$U$6=TRUE,$U$7=TRUE)),VLOOKUP($E290,'Status Thresholds'!$E:$AR,18,FALSE),IF((AND($U$4=TRUE,$U$5=FALSE,$U$6=FALSE,$U$7=TRUE)),VLOOKUP($E290,'Status Thresholds'!$E:$AR,8,FALSE),
IF((AND($U$4=FALSE,$U$5=TRUE,$U$6=FALSE,$U$7=FALSE)),VLOOKUP($E290,'Status Thresholds'!$E:$AR,23,FALSE),IF((AND($U$4=FALSE,$U$5=TRUE,$U$6=TRUE,$U$7=FALSE)),VLOOKUP($E290,'Status Thresholds'!$E:$AR,33,FALSE),IF((AND($U$4=FALSE,$U$5=TRUE,$U$6=TRUE,$U$7=TRUE)),VLOOKUP($E290,'Status Thresholds'!$E:$AR,38,FALSE),IF((AND($U$4=FALSE,$U$5=TRUE,$U$6=FALSE,$U$7=TRUE)),VLOOKUP($E290,'Status Thresholds'!$E:$AR,28,FALSE)))))))))
))/
IF(OR($X$5=TRUE,$AC$3=TRUE
),($F$4/2), IF(OR($X$2,$X$3,$X$4,$X$6,$X$7,$X$8,$Z$2,$Z$3,$Z$4,$Z$5,$Z$6,$Z$7,$Z$8)=TRUE,$F$4)),0),"-")</f>
        <v>-</v>
      </c>
      <c r="H290" s="36" t="str">
        <f>IFERROR(
ROUNDUP(
IF(AND($U$5=FALSE,$U$4=FALSE),"-",IF(AND($U$5=TRUE,$U$4=TRUE),"-",
IF((AND($U$4=TRUE,$U$5=FALSE,$U$6=FALSE,$U$7=FALSE)),VLOOKUP($E290,'Status Thresholds'!$E:$AR,4,FALSE),IF((AND($U$4=TRUE,$U$5=FALSE,$U$6=TRUE,$U$7=FALSE)),VLOOKUP($E290,'Status Thresholds'!$E:$AR,14,FALSE),IF((AND($U$4=TRUE,$U$5=FALSE,$U$6=TRUE,$U$7=TRUE)),VLOOKUP($E290,'Status Thresholds'!$E:$AR,19,FALSE),IF((AND($U$4=TRUE,$U$5=FALSE,$U$6=FALSE,$U$7=TRUE)),VLOOKUP($E290,'Status Thresholds'!$E:$AR,9,FALSE),
IF((AND($U$4=FALSE,$U$5=TRUE,$U$6=FALSE,$U$7=FALSE)),VLOOKUP($E290,'Status Thresholds'!$E:$AR,24,FALSE),IF((AND($U$4=FALSE,$U$5=TRUE,$U$6=TRUE,$U$7=FALSE)),VLOOKUP($E290,'Status Thresholds'!$E:$AR,34,FALSE),IF((AND($U$4=FALSE,$U$5=TRUE,$U$6=TRUE,$U$7=TRUE)),VLOOKUP($E290,'Status Thresholds'!$E:$AR,39,FALSE),IF((AND($U$4=FALSE,$U$5=TRUE,$U$6=FALSE,$U$7=TRUE)),VLOOKUP($E290,'Status Thresholds'!$E:$AR,29,FALSE)))))))))
))/
IF(OR($X$5=TRUE,$AC$3=TRUE
),($F$4/2), IF(OR($X$2,$X$3,$X$4,$X$6,$X$7,$X$8,$Z$2,$Z$3,$Z$4,$Z$5,$Z$6,$Z$7,$Z$8)=TRUE,$F$4)),0),"-")</f>
        <v>-</v>
      </c>
      <c r="I290" s="36" t="str">
        <f>IFERROR(
ROUNDUP(
IF(AND($U$5=FALSE,$U$4=FALSE),"-",IF(AND($U$5=TRUE,$U$4=TRUE),"-",
IF((AND($U$4=TRUE,$U$5=FALSE,$U$6=FALSE,$U$7=FALSE)),VLOOKUP($E290,'Status Thresholds'!$E:$AR,5,FALSE),IF((AND($U$4=TRUE,$U$5=FALSE,$U$6=TRUE,$U$7=FALSE)),VLOOKUP($E290,'Status Thresholds'!$E:$AR,15,FALSE),IF((AND($U$4=TRUE,$U$5=FALSE,$U$6=TRUE,$U$7=TRUE)),VLOOKUP($E290,'Status Thresholds'!$E:$AR,20,FALSE),IF((AND($U$4=TRUE,$U$5=FALSE,$U$6=FALSE,$U$7=TRUE)),VLOOKUP($E290,'Status Thresholds'!$E:$AR,10,FALSE),
IF((AND($U$4=FALSE,$U$5=TRUE,$U$6=FALSE,$U$7=FALSE)),VLOOKUP($E290,'Status Thresholds'!$E:$AR,25,FALSE),IF((AND($U$4=FALSE,$U$5=TRUE,$U$6=TRUE,$U$7=FALSE)),VLOOKUP($E290,'Status Thresholds'!$E:$AR,35,FALSE),IF((AND($U$4=FALSE,$U$5=TRUE,$U$6=TRUE,$U$7=TRUE)),VLOOKUP($E290,'Status Thresholds'!$E:$AR,40,FALSE),IF((AND($U$4=FALSE,$U$5=TRUE,$U$6=FALSE,$U$7=TRUE)),VLOOKUP($E290,'Status Thresholds'!$E:$AR,30,FALSE)))))))))
))/
IF(OR($X$5=TRUE,$AC$3=TRUE
),($F$4/2), IF(OR($X$2,$X$3,$X$4,$X$6,$X$7,$X$8,$Z$2,$Z$3,$Z$4,$Z$5,$Z$6,$Z$7,$Z$8)=TRUE,$F$4)),0),"-")</f>
        <v>-</v>
      </c>
      <c r="J290" s="46">
        <f>IFERROR(IF(AND($U$5=FALSE,$U$4=FALSE),"-",VLOOKUP($E290,'Status Thresholds'!$E:$AU,41,FALSE)),"-")</f>
        <v>40</v>
      </c>
      <c r="K290" s="46" t="str">
        <f>IFERROR(IF(AND($U$5=FALSE,$U$4=FALSE),"-",VLOOKUP($E290,'Status Thresholds'!$E:$AU,42,FALSE)),"-")</f>
        <v>-</v>
      </c>
      <c r="L290" s="46" t="str">
        <f>IFERROR(IF(AND($U$5=FALSE,$U$4=FALSE),"-",VLOOKUP($E290,'Status Thresholds'!$E:$AU,43,FALSE)),"-")</f>
        <v>-</v>
      </c>
    </row>
    <row r="291" spans="1:12" x14ac:dyDescent="0.25">
      <c r="A291" s="35"/>
      <c r="B291" s="64" t="str">
        <f>VLOOKUP(C291,'Status Thresholds'!B:C,2,FALSE)</f>
        <v>MHGU</v>
      </c>
      <c r="C291" s="64" t="str">
        <f>IF('Status Thresholds'!B286=0, "", 'Status Thresholds'!B286)</f>
        <v>Fatalis (Black)</v>
      </c>
      <c r="D291" s="32" t="s">
        <v>33</v>
      </c>
      <c r="E291" s="36" t="str">
        <f t="shared" si="4"/>
        <v>Fatalis (Black)Poison</v>
      </c>
      <c r="F291" s="36" t="str">
        <f>IFERROR(
ROUNDUP(
IF(AND($U$5=FALSE,$U$4=FALSE),"-",IF(AND($U$5=TRUE,$U$4=TRUE),"-",
IF((AND($U$4=TRUE,$U$5=FALSE,$U$6=FALSE,$U$7=FALSE)),VLOOKUP($E291,'Status Thresholds'!$E:$AR,2,FALSE),IF((AND($U$4=TRUE,$U$5=FALSE,$U$6=TRUE,$U$7=FALSE)),VLOOKUP($E291,'Status Thresholds'!$E:$AR,12,FALSE),IF((AND($U$4=TRUE,$U$5=FALSE,$U$6=TRUE,$U$7=TRUE)),VLOOKUP($E291,'Status Thresholds'!$E:$AR,17,FALSE),IF((AND($U$4=TRUE,$U$5=FALSE,$U$6=FALSE,$U$7=TRUE)),VLOOKUP($E291,'Status Thresholds'!$E:$AR,7,FALSE),
IF((AND($U$4=FALSE,$U$5=TRUE,$U$6=FALSE,$U$7=FALSE)),VLOOKUP($E291,'Status Thresholds'!$E:$AR,22,FALSE),IF((AND($U$4=FALSE,$U$5=TRUE,$U$6=TRUE,$U$7=FALSE)),VLOOKUP($E291,'Status Thresholds'!$E:$AR,32,FALSE),IF((AND($U$4=FALSE,$U$5=TRUE,$U$6=TRUE,$U$7=TRUE)),VLOOKUP($E291,'Status Thresholds'!$E:$AR,37,FALSE),IF((AND($U$4=FALSE,$U$5=TRUE,$U$6=FALSE,$U$7=TRUE)),VLOOKUP($E291,'Status Thresholds'!$E:$AR,27,FALSE)))))))))
))/
IF(OR($X$5=TRUE,$AC$3=TRUE
),($F$5/2), IF(OR($X$2,$X$3,$X$4,$X$6,$X$7,$X$8,$Z$2,$Z$3,$Z$4,$Z$5,$Z$6,$Z$7,$Z$8)=TRUE,$F$5)),0),"-")</f>
        <v>-</v>
      </c>
      <c r="G291" s="36" t="str">
        <f>IFERROR(
ROUNDUP(
IF(AND($U$5=FALSE,$U$4=FALSE),"-",IF(AND($U$5=TRUE,$U$4=TRUE),"-",
IF((AND($U$4=TRUE,$U$5=FALSE,$U$6=FALSE,$U$7=FALSE)),VLOOKUP($E291,'Status Thresholds'!$E:$AR,3,FALSE),IF((AND($U$4=TRUE,$U$5=FALSE,$U$6=TRUE,$U$7=FALSE)),VLOOKUP($E291,'Status Thresholds'!$E:$AR,13,FALSE),IF((AND($U$4=TRUE,$U$5=FALSE,$U$6=TRUE,$U$7=TRUE)),VLOOKUP($E291,'Status Thresholds'!$E:$AR,18,FALSE),IF((AND($U$4=TRUE,$U$5=FALSE,$U$6=FALSE,$U$7=TRUE)),VLOOKUP($E291,'Status Thresholds'!$E:$AR,8,FALSE),
IF((AND($U$4=FALSE,$U$5=TRUE,$U$6=FALSE,$U$7=FALSE)),VLOOKUP($E291,'Status Thresholds'!$E:$AR,23,FALSE),IF((AND($U$4=FALSE,$U$5=TRUE,$U$6=TRUE,$U$7=FALSE)),VLOOKUP($E291,'Status Thresholds'!$E:$AR,33,FALSE),IF((AND($U$4=FALSE,$U$5=TRUE,$U$6=TRUE,$U$7=TRUE)),VLOOKUP($E291,'Status Thresholds'!$E:$AR,38,FALSE),IF((AND($U$4=FALSE,$U$5=TRUE,$U$6=FALSE,$U$7=TRUE)),VLOOKUP($E291,'Status Thresholds'!$E:$AR,28,FALSE)))))))))
))/
IF(OR($X$5=TRUE,$AC$3=TRUE
),($F$5/2), IF(OR($X$2,$X$3,$X$4,$X$6,$X$7,$X$8,$Z$2,$Z$3,$Z$4,$Z$5,$Z$6,$Z$7,$Z$8)=TRUE,$F$5)),0),"-")</f>
        <v>-</v>
      </c>
      <c r="H291" s="36" t="str">
        <f>IFERROR(
ROUNDUP(
IF(AND($U$5=FALSE,$U$4=FALSE),"-",IF(AND($U$5=TRUE,$U$4=TRUE),"-",
IF((AND($U$4=TRUE,$U$5=FALSE,$U$6=FALSE,$U$7=FALSE)),VLOOKUP($E291,'Status Thresholds'!$E:$AR,4,FALSE),IF((AND($U$4=TRUE,$U$5=FALSE,$U$6=TRUE,$U$7=FALSE)),VLOOKUP($E291,'Status Thresholds'!$E:$AR,14,FALSE),IF((AND($U$4=TRUE,$U$5=FALSE,$U$6=TRUE,$U$7=TRUE)),VLOOKUP($E291,'Status Thresholds'!$E:$AR,19,FALSE),IF((AND($U$4=TRUE,$U$5=FALSE,$U$6=FALSE,$U$7=TRUE)),VLOOKUP($E291,'Status Thresholds'!$E:$AR,9,FALSE),
IF((AND($U$4=FALSE,$U$5=TRUE,$U$6=FALSE,$U$7=FALSE)),VLOOKUP($E291,'Status Thresholds'!$E:$AR,24,FALSE),IF((AND($U$4=FALSE,$U$5=TRUE,$U$6=TRUE,$U$7=FALSE)),VLOOKUP($E291,'Status Thresholds'!$E:$AR,34,FALSE),IF((AND($U$4=FALSE,$U$5=TRUE,$U$6=TRUE,$U$7=TRUE)),VLOOKUP($E291,'Status Thresholds'!$E:$AR,39,FALSE),IF((AND($U$4=FALSE,$U$5=TRUE,$U$6=FALSE,$U$7=TRUE)),VLOOKUP($E291,'Status Thresholds'!$E:$AR,29,FALSE)))))))))
))/
IF(OR($X$5=TRUE,$AC$3=TRUE
),($F$5/2), IF(OR($X$2,$X$3,$X$4,$X$6,$X$7,$X$8,$Z$2,$Z$3,$Z$4,$Z$5,$Z$6,$Z$7,$Z$8)=TRUE,$F$5)),0),"-")</f>
        <v>-</v>
      </c>
      <c r="I291" s="36" t="str">
        <f>IFERROR(
ROUNDUP(
IF(AND($U$5=FALSE,$U$4=FALSE),"-",IF(AND($U$5=TRUE,$U$4=TRUE),"-",
IF((AND($U$4=TRUE,$U$5=FALSE,$U$6=FALSE,$U$7=FALSE)),VLOOKUP($E291,'Status Thresholds'!$E:$AR,5,FALSE),IF((AND($U$4=TRUE,$U$5=FALSE,$U$6=TRUE,$U$7=FALSE)),VLOOKUP($E291,'Status Thresholds'!$E:$AR,15,FALSE),IF((AND($U$4=TRUE,$U$5=FALSE,$U$6=TRUE,$U$7=TRUE)),VLOOKUP($E291,'Status Thresholds'!$E:$AR,20,FALSE),IF((AND($U$4=TRUE,$U$5=FALSE,$U$6=FALSE,$U$7=TRUE)),VLOOKUP($E291,'Status Thresholds'!$E:$AR,10,FALSE),
IF((AND($U$4=FALSE,$U$5=TRUE,$U$6=FALSE,$U$7=FALSE)),VLOOKUP($E291,'Status Thresholds'!$E:$AR,25,FALSE),IF((AND($U$4=FALSE,$U$5=TRUE,$U$6=TRUE,$U$7=FALSE)),VLOOKUP($E291,'Status Thresholds'!$E:$AR,35,FALSE),IF((AND($U$4=FALSE,$U$5=TRUE,$U$6=TRUE,$U$7=TRUE)),VLOOKUP($E291,'Status Thresholds'!$E:$AR,40,FALSE),IF((AND($U$4=FALSE,$U$5=TRUE,$U$6=FALSE,$U$7=TRUE)),VLOOKUP($E291,'Status Thresholds'!$E:$AR,30,FALSE)))))))))
))/
IF(OR($X$5=TRUE,$AC$3=TRUE
),($F$5/2), IF(OR($X$2,$X$3,$X$4,$X$6,$X$7,$X$8,$Z$2,$Z$3,$Z$4,$Z$5,$Z$6,$Z$7,$Z$8)=TRUE,$F$5)),0),"-")</f>
        <v>-</v>
      </c>
      <c r="J291" s="46">
        <f>IFERROR(IF(AND($U$5=FALSE,$U$4=FALSE),"-",VLOOKUP($E291,'Status Thresholds'!$E:$AU,41,FALSE)),"-")</f>
        <v>40</v>
      </c>
      <c r="K291" s="46" t="str">
        <f>IFERROR(IF(AND($U$5=FALSE,$U$4=FALSE),"-",VLOOKUP($E291,'Status Thresholds'!$E:$AU,42,FALSE)),"-")</f>
        <v>-</v>
      </c>
      <c r="L291" s="46" t="str">
        <f>IFERROR(IF(AND($U$5=FALSE,$U$4=FALSE),"-",VLOOKUP($E291,'Status Thresholds'!$E:$AU,43,FALSE)),"-")</f>
        <v>-</v>
      </c>
    </row>
    <row r="292" spans="1:12" x14ac:dyDescent="0.25">
      <c r="A292" s="35"/>
      <c r="B292" s="64" t="str">
        <f>VLOOKUP(C292,'Status Thresholds'!B:C,2,FALSE)</f>
        <v>MHGU</v>
      </c>
      <c r="C292" s="64" t="str">
        <f>IF('Status Thresholds'!B287=0, "", 'Status Thresholds'!B287)</f>
        <v>Fatalis (Black)</v>
      </c>
      <c r="D292" s="10" t="s">
        <v>22</v>
      </c>
      <c r="E292" s="36" t="str">
        <f t="shared" si="4"/>
        <v>Fatalis (Black)Exhaust</v>
      </c>
      <c r="F292" s="36" t="str">
        <f>IFERROR(
ROUNDUP(
IF(AND($U$5=FALSE,$U$4=FALSE),"-",IF(AND($U$5=TRUE,$U$4=TRUE),"-",
IF((AND($U$4=TRUE,$U$5=FALSE,$U$6=FALSE,$U$7=FALSE)),VLOOKUP($E292,'Status Thresholds'!$E:$AR,2,FALSE),IF((AND($U$4=TRUE,$U$5=FALSE,$U$6=TRUE,$U$7=FALSE)),VLOOKUP($E292,'Status Thresholds'!$E:$AR,12,FALSE),IF((AND($U$4=TRUE,$U$5=FALSE,$U$6=TRUE,$U$7=TRUE)),VLOOKUP($E292,'Status Thresholds'!$E:$AR,17,FALSE),IF((AND($U$4=TRUE,$U$5=FALSE,$U$6=FALSE,$U$7=TRUE)),VLOOKUP($E292,'Status Thresholds'!$E:$AR,7,FALSE),
IF((AND($U$4=FALSE,$U$5=TRUE,$U$6=FALSE,$U$7=FALSE)),VLOOKUP($E292,'Status Thresholds'!$E:$AR,22,FALSE),IF((AND($U$4=FALSE,$U$5=TRUE,$U$6=TRUE,$U$7=FALSE)),VLOOKUP($E292,'Status Thresholds'!$E:$AR,32,FALSE),IF((AND($U$4=FALSE,$U$5=TRUE,$U$6=TRUE,$U$7=TRUE)),VLOOKUP($E292,'Status Thresholds'!$E:$AR,37,FALSE),IF((AND($U$4=FALSE,$U$5=TRUE,$U$6=FALSE,$U$7=TRUE)),VLOOKUP($E292,'Status Thresholds'!$E:$AR,27,FALSE)))))))))
))/
IF(OR($X$5=TRUE,$AC$3=TRUE
),($F$6/2), IF(OR($X$2,$X$3,$X$4,$X$6,$X$7,$X$8,$Z$2,$Z$3,$Z$4,$Z$5,$Z$6,$Z$7,$Z$8)=TRUE,$F$6)),0),"-")</f>
        <v>-</v>
      </c>
      <c r="G292" s="36" t="str">
        <f>IFERROR(
ROUNDUP(
IF(AND($U$5=FALSE,$U$4=FALSE),"-",IF(AND($U$5=TRUE,$U$4=TRUE),"-",
IF((AND($U$4=TRUE,$U$5=FALSE,$U$6=FALSE,$U$7=FALSE)),VLOOKUP($E292,'Status Thresholds'!$E:$AR,3,FALSE),IF((AND($U$4=TRUE,$U$5=FALSE,$U$6=TRUE,$U$7=FALSE)),VLOOKUP($E292,'Status Thresholds'!$E:$AR,13,FALSE),IF((AND($U$4=TRUE,$U$5=FALSE,$U$6=TRUE,$U$7=TRUE)),VLOOKUP($E292,'Status Thresholds'!$E:$AR,18,FALSE),IF((AND($U$4=TRUE,$U$5=FALSE,$U$6=FALSE,$U$7=TRUE)),VLOOKUP($E292,'Status Thresholds'!$E:$AR,8,FALSE),
IF((AND($U$4=FALSE,$U$5=TRUE,$U$6=FALSE,$U$7=FALSE)),VLOOKUP($E292,'Status Thresholds'!$E:$AR,23,FALSE),IF((AND($U$4=FALSE,$U$5=TRUE,$U$6=TRUE,$U$7=FALSE)),VLOOKUP($E292,'Status Thresholds'!$E:$AR,33,FALSE),IF((AND($U$4=FALSE,$U$5=TRUE,$U$6=TRUE,$U$7=TRUE)),VLOOKUP($E292,'Status Thresholds'!$E:$AR,38,FALSE),IF((AND($U$4=FALSE,$U$5=TRUE,$U$6=FALSE,$U$7=TRUE)),VLOOKUP($E292,'Status Thresholds'!$E:$AR,28,FALSE)))))))))
))/
IF(OR($X$5=TRUE,$AC$3=TRUE
),($F$6/2), IF(OR($X$2,$X$3,$X$4,$X$6,$X$7,$X$8,$Z$2,$Z$3,$Z$4,$Z$5,$Z$6,$Z$7,$Z$8)=TRUE,$F$6)),0),"-")</f>
        <v>-</v>
      </c>
      <c r="H292" s="36" t="str">
        <f>IFERROR(
ROUNDUP(
IF(AND($U$5=FALSE,$U$4=FALSE),"-",IF(AND($U$5=TRUE,$U$4=TRUE),"-",
IF((AND($U$4=TRUE,$U$5=FALSE,$U$6=FALSE,$U$7=FALSE)),VLOOKUP($E292,'Status Thresholds'!$E:$AR,4,FALSE),IF((AND($U$4=TRUE,$U$5=FALSE,$U$6=TRUE,$U$7=FALSE)),VLOOKUP($E292,'Status Thresholds'!$E:$AR,14,FALSE),IF((AND($U$4=TRUE,$U$5=FALSE,$U$6=TRUE,$U$7=TRUE)),VLOOKUP($E292,'Status Thresholds'!$E:$AR,19,FALSE),IF((AND($U$4=TRUE,$U$5=FALSE,$U$6=FALSE,$U$7=TRUE)),VLOOKUP($E292,'Status Thresholds'!$E:$AR,9,FALSE),
IF((AND($U$4=FALSE,$U$5=TRUE,$U$6=FALSE,$U$7=FALSE)),VLOOKUP($E292,'Status Thresholds'!$E:$AR,24,FALSE),IF((AND($U$4=FALSE,$U$5=TRUE,$U$6=TRUE,$U$7=FALSE)),VLOOKUP($E292,'Status Thresholds'!$E:$AR,34,FALSE),IF((AND($U$4=FALSE,$U$5=TRUE,$U$6=TRUE,$U$7=TRUE)),VLOOKUP($E292,'Status Thresholds'!$E:$AR,39,FALSE),IF((AND($U$4=FALSE,$U$5=TRUE,$U$6=FALSE,$U$7=TRUE)),VLOOKUP($E292,'Status Thresholds'!$E:$AR,29,FALSE)))))))))
))/
IF(OR($X$5=TRUE,$AC$3=TRUE
),($F$6/2), IF(OR($X$2,$X$3,$X$4,$X$6,$X$7,$X$8,$Z$2,$Z$3,$Z$4,$Z$5,$Z$6,$Z$7,$Z$8)=TRUE,$F$6)),0),"-")</f>
        <v>-</v>
      </c>
      <c r="I292" s="36" t="str">
        <f>IFERROR(
ROUNDUP(
IF(AND($U$5=FALSE,$U$4=FALSE),"-",IF(AND($U$5=TRUE,$U$4=TRUE),"-",
IF((AND($U$4=TRUE,$U$5=FALSE,$U$6=FALSE,$U$7=FALSE)),VLOOKUP($E292,'Status Thresholds'!$E:$AR,5,FALSE),IF((AND($U$4=TRUE,$U$5=FALSE,$U$6=TRUE,$U$7=FALSE)),VLOOKUP($E292,'Status Thresholds'!$E:$AR,15,FALSE),IF((AND($U$4=TRUE,$U$5=FALSE,$U$6=TRUE,$U$7=TRUE)),VLOOKUP($E292,'Status Thresholds'!$E:$AR,20,FALSE),IF((AND($U$4=TRUE,$U$5=FALSE,$U$6=FALSE,$U$7=TRUE)),VLOOKUP($E292,'Status Thresholds'!$E:$AR,10,FALSE),
IF((AND($U$4=FALSE,$U$5=TRUE,$U$6=FALSE,$U$7=FALSE)),VLOOKUP($E292,'Status Thresholds'!$E:$AR,25,FALSE),IF((AND($U$4=FALSE,$U$5=TRUE,$U$6=TRUE,$U$7=FALSE)),VLOOKUP($E292,'Status Thresholds'!$E:$AR,35,FALSE),IF((AND($U$4=FALSE,$U$5=TRUE,$U$6=TRUE,$U$7=TRUE)),VLOOKUP($E292,'Status Thresholds'!$E:$AR,40,FALSE),IF((AND($U$4=FALSE,$U$5=TRUE,$U$6=FALSE,$U$7=TRUE)),VLOOKUP($E292,'Status Thresholds'!$E:$AR,30,FALSE)))))))))
))/
IF(OR($X$5=TRUE,$AC$3=TRUE
),($F$6/2), IF(OR($X$2,$X$3,$X$4,$X$6,$X$7,$X$8,$Z$2,$Z$3,$Z$4,$Z$5,$Z$6,$Z$7,$Z$8)=TRUE,$F$6)),0),"-")</f>
        <v>-</v>
      </c>
      <c r="J292" s="46">
        <f>IFERROR(IF(AND($U$5=FALSE,$U$4=FALSE),"-",VLOOKUP($E292,'Status Thresholds'!$E:$AU,41,FALSE)),"-")</f>
        <v>0</v>
      </c>
      <c r="K292" s="46" t="str">
        <f>IFERROR(IF(AND($U$5=FALSE,$U$4=FALSE),"-",VLOOKUP($E292,'Status Thresholds'!$E:$AU,42,FALSE)),"-")</f>
        <v>-</v>
      </c>
      <c r="L292" s="46" t="str">
        <f>IFERROR(IF(AND($U$5=FALSE,$U$4=FALSE),"-",VLOOKUP($E292,'Status Thresholds'!$E:$AU,43,FALSE)),"-")</f>
        <v>-</v>
      </c>
    </row>
    <row r="293" spans="1:12" x14ac:dyDescent="0.25">
      <c r="A293" s="35"/>
      <c r="B293" s="64" t="str">
        <f>VLOOKUP(C293,'Status Thresholds'!B:C,2,FALSE)</f>
        <v>MHGU</v>
      </c>
      <c r="C293" s="64" t="str">
        <f>IF('Status Thresholds'!B288=0, "", 'Status Thresholds'!B288)</f>
        <v>Fatalis (Black)</v>
      </c>
      <c r="D293" s="30" t="s">
        <v>35</v>
      </c>
      <c r="E293" s="36" t="str">
        <f t="shared" si="4"/>
        <v>Fatalis (Black)Blast</v>
      </c>
      <c r="F293" s="36" t="str">
        <f>IFERROR(
ROUNDUP(
IF(AND($U$5=FALSE,$U$4=FALSE),"-",IF(AND($U$5=TRUE,$U$4=TRUE),"-",
IF((AND($U$4=TRUE,$U$5=FALSE,$U$6=FALSE,$U$7=FALSE)),VLOOKUP($E293,'Status Thresholds'!$E:$AR,2,FALSE),IF((AND($U$4=TRUE,$U$5=FALSE,$U$6=TRUE,$U$7=FALSE)),VLOOKUP($E293,'Status Thresholds'!$E:$AR,12,FALSE),IF((AND($U$4=TRUE,$U$5=FALSE,$U$6=TRUE,$U$7=TRUE)),VLOOKUP($E293,'Status Thresholds'!$E:$AR,17,FALSE),IF((AND($U$4=TRUE,$U$5=FALSE,$U$6=FALSE,$U$7=TRUE)),VLOOKUP($E293,'Status Thresholds'!$E:$AR,7,FALSE),
IF((AND($U$4=FALSE,$U$5=TRUE,$U$6=FALSE,$U$7=FALSE)),VLOOKUP($E293,'Status Thresholds'!$E:$AR,22,FALSE),IF((AND($U$4=FALSE,$U$5=TRUE,$U$6=TRUE,$U$7=FALSE)),VLOOKUP($E293,'Status Thresholds'!$E:$AR,32,FALSE),IF((AND($U$4=FALSE,$U$5=TRUE,$U$6=TRUE,$U$7=TRUE)),VLOOKUP($E293,'Status Thresholds'!$E:$AR,37,FALSE),IF((AND($U$4=FALSE,$U$5=TRUE,$U$6=FALSE,$U$7=TRUE)),VLOOKUP($E293,'Status Thresholds'!$E:$AR,27,FALSE)))))))))
))/
IF(OR($X$5=TRUE,$AC$3=TRUE
),($F$7/2), IF(OR($X$2,$X$3,$X$4,$X$6,$X$7,$X$8,$Z$2,$Z$3,$Z$4,$Z$5,$Z$6,$Z$7,$Z$8)=TRUE,$F$7)),0),"-")</f>
        <v>-</v>
      </c>
      <c r="G293" s="36" t="str">
        <f>IFERROR(
ROUNDUP(
IF(AND($U$5=FALSE,$U$4=FALSE),"-",IF(AND($U$5=TRUE,$U$4=TRUE),"-",
IF((AND($U$4=TRUE,$U$5=FALSE,$U$6=FALSE,$U$7=FALSE)),VLOOKUP($E293,'Status Thresholds'!$E:$AR,3,FALSE),IF((AND($U$4=TRUE,$U$5=FALSE,$U$6=TRUE,$U$7=FALSE)),VLOOKUP($E293,'Status Thresholds'!$E:$AR,13,FALSE),IF((AND($U$4=TRUE,$U$5=FALSE,$U$6=TRUE,$U$7=TRUE)),VLOOKUP($E293,'Status Thresholds'!$E:$AR,18,FALSE),IF((AND($U$4=TRUE,$U$5=FALSE,$U$6=FALSE,$U$7=TRUE)),VLOOKUP($E293,'Status Thresholds'!$E:$AR,8,FALSE),
IF((AND($U$4=FALSE,$U$5=TRUE,$U$6=FALSE,$U$7=FALSE)),VLOOKUP($E293,'Status Thresholds'!$E:$AR,23,FALSE),IF((AND($U$4=FALSE,$U$5=TRUE,$U$6=TRUE,$U$7=FALSE)),VLOOKUP($E293,'Status Thresholds'!$E:$AR,33,FALSE),IF((AND($U$4=FALSE,$U$5=TRUE,$U$6=TRUE,$U$7=TRUE)),VLOOKUP($E293,'Status Thresholds'!$E:$AR,38,FALSE),IF((AND($U$4=FALSE,$U$5=TRUE,$U$6=FALSE,$U$7=TRUE)),VLOOKUP($E293,'Status Thresholds'!$E:$AR,28,FALSE)))))))))
))/
IF(OR($X$5=TRUE,$AC$3=TRUE
),($F$7/2), IF(OR($X$2,$X$3,$X$4,$X$6,$X$7,$X$8,$Z$2,$Z$3,$Z$4,$Z$5,$Z$6,$Z$7,$Z$8)=TRUE,$F$7)),0),"-")</f>
        <v>-</v>
      </c>
      <c r="H293" s="36" t="str">
        <f>IFERROR(
ROUNDUP(
IF(AND($U$5=FALSE,$U$4=FALSE),"-",IF(AND($U$5=TRUE,$U$4=TRUE),"-",
IF((AND($U$4=TRUE,$U$5=FALSE,$U$6=FALSE,$U$7=FALSE)),VLOOKUP($E293,'Status Thresholds'!$E:$AR,4,FALSE),IF((AND($U$4=TRUE,$U$5=FALSE,$U$6=TRUE,$U$7=FALSE)),VLOOKUP($E293,'Status Thresholds'!$E:$AR,14,FALSE),IF((AND($U$4=TRUE,$U$5=FALSE,$U$6=TRUE,$U$7=TRUE)),VLOOKUP($E293,'Status Thresholds'!$E:$AR,19,FALSE),IF((AND($U$4=TRUE,$U$5=FALSE,$U$6=FALSE,$U$7=TRUE)),VLOOKUP($E293,'Status Thresholds'!$E:$AR,9,FALSE),
IF((AND($U$4=FALSE,$U$5=TRUE,$U$6=FALSE,$U$7=FALSE)),VLOOKUP($E293,'Status Thresholds'!$E:$AR,24,FALSE),IF((AND($U$4=FALSE,$U$5=TRUE,$U$6=TRUE,$U$7=FALSE)),VLOOKUP($E293,'Status Thresholds'!$E:$AR,34,FALSE),IF((AND($U$4=FALSE,$U$5=TRUE,$U$6=TRUE,$U$7=TRUE)),VLOOKUP($E293,'Status Thresholds'!$E:$AR,39,FALSE),IF((AND($U$4=FALSE,$U$5=TRUE,$U$6=FALSE,$U$7=TRUE)),VLOOKUP($E293,'Status Thresholds'!$E:$AR,29,FALSE)))))))))
))/
IF(OR($X$5=TRUE,$AC$3=TRUE
),($F$7/2), IF(OR($X$2,$X$3,$X$4,$X$6,$X$7,$X$8,$Z$2,$Z$3,$Z$4,$Z$5,$Z$6,$Z$7,$Z$8)=TRUE,$F$7)),0),"-")</f>
        <v>-</v>
      </c>
      <c r="I293" s="36" t="str">
        <f>IFERROR(
ROUNDUP(
IF(AND($U$5=FALSE,$U$4=FALSE),"-",IF(AND($U$5=TRUE,$U$4=TRUE),"-",
IF((AND($U$4=TRUE,$U$5=FALSE,$U$6=FALSE,$U$7=FALSE)),VLOOKUP($E293,'Status Thresholds'!$E:$AR,5,FALSE),IF((AND($U$4=TRUE,$U$5=FALSE,$U$6=TRUE,$U$7=FALSE)),VLOOKUP($E293,'Status Thresholds'!$E:$AR,15,FALSE),IF((AND($U$4=TRUE,$U$5=FALSE,$U$6=TRUE,$U$7=TRUE)),VLOOKUP($E293,'Status Thresholds'!$E:$AR,20,FALSE),IF((AND($U$4=TRUE,$U$5=FALSE,$U$6=FALSE,$U$7=TRUE)),VLOOKUP($E293,'Status Thresholds'!$E:$AR,10,FALSE),
IF((AND($U$4=FALSE,$U$5=TRUE,$U$6=FALSE,$U$7=FALSE)),VLOOKUP($E293,'Status Thresholds'!$E:$AR,25,FALSE),IF((AND($U$4=FALSE,$U$5=TRUE,$U$6=TRUE,$U$7=FALSE)),VLOOKUP($E293,'Status Thresholds'!$E:$AR,35,FALSE),IF((AND($U$4=FALSE,$U$5=TRUE,$U$6=TRUE,$U$7=TRUE)),VLOOKUP($E293,'Status Thresholds'!$E:$AR,40,FALSE),IF((AND($U$4=FALSE,$U$5=TRUE,$U$6=FALSE,$U$7=TRUE)),VLOOKUP($E293,'Status Thresholds'!$E:$AR,30,FALSE)))))))))
))/
IF(OR($X$5=TRUE,$AC$3=TRUE
),($F$7/2), IF(OR($X$2,$X$3,$X$4,$X$6,$X$7,$X$8,$Z$2,$Z$3,$Z$4,$Z$5,$Z$6,$Z$7,$Z$8)=TRUE,$F$7)),0),"-")</f>
        <v>-</v>
      </c>
      <c r="J293" s="46">
        <f>IFERROR(IF(AND($U$5=FALSE,$U$4=FALSE),"-",VLOOKUP($E293,'Status Thresholds'!$E:$AU,41,FALSE)),"-")</f>
        <v>0</v>
      </c>
      <c r="K293" s="46" t="str">
        <f>IFERROR(IF(AND($U$5=FALSE,$U$4=FALSE),"-",VLOOKUP($E293,'Status Thresholds'!$E:$AU,42,FALSE)),"-")</f>
        <v>-</v>
      </c>
      <c r="L293" s="46" t="str">
        <f>IFERROR(IF(AND($U$5=FALSE,$U$4=FALSE),"-",VLOOKUP($E293,'Status Thresholds'!$E:$AU,43,FALSE)),"-")</f>
        <v>-</v>
      </c>
    </row>
    <row r="294" spans="1:12" ht="14.45" customHeight="1" x14ac:dyDescent="0.25">
      <c r="A294" s="35"/>
      <c r="B294" s="64" t="str">
        <f>VLOOKUP(C294,'Status Thresholds'!B:C,2,FALSE)</f>
        <v>MHGU</v>
      </c>
      <c r="C294" s="64" t="str">
        <f>IF('Status Thresholds'!B289=0, "", 'Status Thresholds'!B289)</f>
        <v>Fatalis (Black)</v>
      </c>
      <c r="D294" s="34" t="s">
        <v>14</v>
      </c>
      <c r="E294" s="36" t="str">
        <f t="shared" si="4"/>
        <v>Fatalis (Black)KO</v>
      </c>
      <c r="F294" s="36" t="s">
        <v>214</v>
      </c>
      <c r="G294" s="36" t="s">
        <v>214</v>
      </c>
      <c r="H294" s="36" t="s">
        <v>214</v>
      </c>
      <c r="I294" s="36" t="s">
        <v>214</v>
      </c>
      <c r="J294" s="46">
        <f>IFERROR(IF(AND($U$5=FALSE,$U$4=FALSE),"-",VLOOKUP($E294,'Status Thresholds'!$E:$AU,41,FALSE)),"-")</f>
        <v>0</v>
      </c>
      <c r="K294" s="46" t="str">
        <f>IFERROR(IF(AND($U$5=FALSE,$U$4=FALSE),"-",VLOOKUP($E294,'Status Thresholds'!$E:$AU,42,FALSE)),"-")</f>
        <v>-</v>
      </c>
      <c r="L294" s="46" t="str">
        <f>IFERROR(IF(AND($U$5=FALSE,$U$4=FALSE),"-",VLOOKUP($E294,'Status Thresholds'!$E:$AU,43,FALSE)),"-")</f>
        <v>-</v>
      </c>
    </row>
    <row r="295" spans="1:12" x14ac:dyDescent="0.25">
      <c r="A295" s="35"/>
      <c r="B295" s="64" t="str">
        <f>VLOOKUP(C295,'Status Thresholds'!B:C,2,FALSE)</f>
        <v>MHGU</v>
      </c>
      <c r="C295" s="64" t="str">
        <f>IF('Status Thresholds'!B290=0, "", 'Status Thresholds'!B290)</f>
        <v>Fatalis (Black)</v>
      </c>
      <c r="D295" s="33" t="s">
        <v>34</v>
      </c>
      <c r="E295" s="36" t="str">
        <f t="shared" si="4"/>
        <v>Fatalis (Black)Mount</v>
      </c>
      <c r="F295" s="36" t="str">
        <f>IFERROR(
ROUNDUP(
IF(AND($U$5=FALSE,$U$4=FALSE),"-",IF(AND($U$5=TRUE,$U$4=TRUE),"-",
IF((AND($U$4=TRUE,$U$5=FALSE,$U$6=FALSE,$U$7=FALSE)),VLOOKUP($E295,'Status Thresholds'!$E:$AR,2,FALSE),IF((AND($U$4=TRUE,$U$5=FALSE,$U$6=TRUE,$U$7=FALSE)),VLOOKUP($E295,'Status Thresholds'!$E:$AR,12,FALSE),IF((AND($U$4=TRUE,$U$5=FALSE,$U$6=TRUE,$U$7=TRUE)),VLOOKUP($E295,'Status Thresholds'!$E:$AR,17,FALSE),IF((AND($U$4=TRUE,$U$5=FALSE,$U$6=FALSE,$U$7=TRUE)),VLOOKUP($E295,'Status Thresholds'!$E:$AR,7,FALSE),
IF((AND($U$4=FALSE,$U$5=TRUE,$U$6=FALSE,$U$7=FALSE)),VLOOKUP($E295,'Status Thresholds'!$E:$AR,22,FALSE),IF((AND($U$4=FALSE,$U$5=TRUE,$U$6=TRUE,$U$7=FALSE)),VLOOKUP($E295,'Status Thresholds'!$E:$AR,32,FALSE),IF((AND($U$4=FALSE,$U$5=TRUE,$U$6=TRUE,$U$7=TRUE)),VLOOKUP($E295,'Status Thresholds'!$E:$AR,37,FALSE),IF((AND($U$4=FALSE,$U$5=TRUE,$U$6=FALSE,$U$7=TRUE)),VLOOKUP($E295,'Status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295" s="36" t="str">
        <f>IFERROR(
ROUNDUP(
IF(AND($U$5=FALSE,$U$4=FALSE),"-",IF(AND($U$5=TRUE,$U$4=TRUE),"-",
IF((AND($U$4=TRUE,$U$5=FALSE,$U$6=FALSE,$U$7=FALSE)),VLOOKUP($E294,'Status Thresholds'!$E:$AR,3,FALSE),IF((AND($U$4=TRUE,$U$5=FALSE,$U$6=TRUE,$U$7=FALSE)),VLOOKUP($E294,'Status Thresholds'!$E:$AR,13,FALSE),IF((AND($U$4=TRUE,$U$5=FALSE,$U$6=TRUE,$U$7=TRUE)),VLOOKUP($E294,'Status Thresholds'!$E:$AR,18,FALSE),IF((AND($U$4=TRUE,$U$5=FALSE,$U$6=FALSE,$U$7=TRUE)),VLOOKUP($E294,'Status Thresholds'!$E:$AR,8,FALSE),
IF((AND($U$4=FALSE,$U$5=TRUE,$U$6=FALSE,$U$7=FALSE)),VLOOKUP($E294,'Status Thresholds'!$E:$AR,23,FALSE),IF((AND($U$4=FALSE,$U$5=TRUE,$U$6=TRUE,$U$7=FALSE)),VLOOKUP($E294,'Status Thresholds'!$E:$AR,33,FALSE),IF((AND($U$4=FALSE,$U$5=TRUE,$U$6=TRUE,$U$7=TRUE)),VLOOKUP($E294,'Status Thresholds'!$E:$AR,38,FALSE),IF((AND($U$4=FALSE,$U$5=TRUE,$U$6=FALSE,$U$7=TRUE)),VLOOKUP($E294,'Status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295" s="36" t="str">
        <f>IFERROR(
ROUNDUP(
IF(AND($U$5=FALSE,$U$4=FALSE),"-",IF(AND($U$5=TRUE,$U$4=TRUE),"-",
IF((AND($U$4=TRUE,$U$5=FALSE,$U$6=FALSE,$U$7=FALSE)),VLOOKUP($E294,'Status Thresholds'!$E:$AR,4,FALSE),IF((AND($U$4=TRUE,$U$5=FALSE,$U$6=TRUE,$U$7=FALSE)),VLOOKUP($E294,'Status Thresholds'!$E:$AR,14,FALSE),IF((AND($U$4=TRUE,$U$5=FALSE,$U$6=TRUE,$U$7=TRUE)),VLOOKUP($E294,'Status Thresholds'!$E:$AR,19,FALSE),IF((AND($U$4=TRUE,$U$5=FALSE,$U$6=FALSE,$U$7=TRUE)),VLOOKUP($E294,'Status Thresholds'!$E:$AR,9,FALSE),
IF((AND($U$4=FALSE,$U$5=TRUE,$U$6=FALSE,$U$7=FALSE)),VLOOKUP($E294,'Status Thresholds'!$E:$AR,24,FALSE),IF((AND($U$4=FALSE,$U$5=TRUE,$U$6=TRUE,$U$7=FALSE)),VLOOKUP($E294,'Status Thresholds'!$E:$AR,34,FALSE),IF((AND($U$4=FALSE,$U$5=TRUE,$U$6=TRUE,$U$7=TRUE)),VLOOKUP($E294,'Status Thresholds'!$E:$AR,39,FALSE),IF((AND($U$4=FALSE,$U$5=TRUE,$U$6=FALSE,$U$7=TRUE)),VLOOKUP($E294,'Status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295" s="36" t="str">
        <f>IFERROR(
ROUNDUP(
IF(AND($U$5=FALSE,$U$4=FALSE),"-",IF(AND($U$5=TRUE,$U$4=TRUE),"-",
IF((AND($U$4=TRUE,$U$5=FALSE,$U$6=FALSE,$U$7=FALSE)),VLOOKUP($E294,'Status Thresholds'!$E:$AR,5,FALSE),IF((AND($U$4=TRUE,$U$5=FALSE,$U$6=TRUE,$U$7=FALSE)),VLOOKUP($E294,'Status Thresholds'!$E:$AR,15,FALSE),IF((AND($U$4=TRUE,$U$5=FALSE,$U$6=TRUE,$U$7=TRUE)),VLOOKUP($E294,'Status Thresholds'!$E:$AR,20,FALSE),IF((AND($U$4=TRUE,$U$5=FALSE,$U$6=FALSE,$U$7=TRUE)),VLOOKUP($E294,'Status Thresholds'!$E:$AR,10,FALSE),
IF((AND($U$4=FALSE,$U$5=TRUE,$U$6=FALSE,$U$7=FALSE)),VLOOKUP($E294,'Status Thresholds'!$E:$AR,25,FALSE),IF((AND($U$4=FALSE,$U$5=TRUE,$U$6=TRUE,$U$7=FALSE)),VLOOKUP($E294,'Status Thresholds'!$E:$AR,35,FALSE),IF((AND($U$4=FALSE,$U$5=TRUE,$U$6=TRUE,$U$7=TRUE)),VLOOKUP($E294,'Status Thresholds'!$E:$AR,40,FALSE),IF((AND($U$4=FALSE,$U$5=TRUE,$U$6=FALSE,$U$7=TRUE)),VLOOKUP($E294,'Status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295" s="46">
        <f>IFERROR(IF(AND($U$5=FALSE,$U$4=FALSE),"-",VLOOKUP($E295,'Status Thresholds'!$E:$AU,41,FALSE)),"-")</f>
        <v>0</v>
      </c>
      <c r="K295" s="46" t="str">
        <f>IFERROR(IF(AND($U$5=FALSE,$U$4=FALSE),"-",VLOOKUP($E295,'Status Thresholds'!$E:$AU,42,FALSE)),"-")</f>
        <v>-</v>
      </c>
      <c r="L295" s="46" t="str">
        <f>IFERROR(IF(AND($U$5=FALSE,$U$4=FALSE),"-",VLOOKUP($E295,'Status Thresholds'!$E:$AU,43,FALSE)),"-")</f>
        <v>-</v>
      </c>
    </row>
    <row r="296" spans="1:12" ht="15" customHeight="1" x14ac:dyDescent="0.25">
      <c r="A296" s="35"/>
      <c r="B296" s="64" t="str">
        <f>VLOOKUP(C296,'Status Thresholds'!B:C,2,FALSE)</f>
        <v>MHGU</v>
      </c>
      <c r="C296" s="64" t="str">
        <f>IF('Status Thresholds'!B291=0, "", 'Status Thresholds'!B291)</f>
        <v>Fatalis (Black)</v>
      </c>
      <c r="D296" s="77" t="s">
        <v>207</v>
      </c>
      <c r="E296" s="36" t="str">
        <f t="shared" si="4"/>
        <v>Fatalis (Black)Shock Trap</v>
      </c>
      <c r="F296" s="76" t="s">
        <v>214</v>
      </c>
      <c r="G296" s="46" t="s">
        <v>214</v>
      </c>
      <c r="H296" s="46" t="s">
        <v>214</v>
      </c>
      <c r="I296" s="46" t="s">
        <v>214</v>
      </c>
      <c r="J296" s="46">
        <f>IFERROR(IF(AND($U$5=FALSE,$U$4=FALSE),"-",VLOOKUP($E296,'Status Thresholds'!$E:$AU,43,FALSE)),"-")</f>
        <v>0</v>
      </c>
      <c r="K296" s="46">
        <f>IFERROR(IF(AND($U$5=FALSE,$U$4=FALSE),"-",VLOOKUP($E296,'Status Thresholds'!$E:$AU,41,FALSE)),"-")</f>
        <v>0</v>
      </c>
      <c r="L296" s="46">
        <f>IFERROR(IF(AND($U$5=FALSE,$U$4=FALSE),"-",VLOOKUP($E296,'Status Thresholds'!$E:$AU,42,FALSE)),"-")</f>
        <v>0</v>
      </c>
    </row>
    <row r="297" spans="1:12" x14ac:dyDescent="0.25">
      <c r="A297" s="35"/>
      <c r="B297" s="64" t="str">
        <f>VLOOKUP(C297,'Status Thresholds'!B:C,2,FALSE)</f>
        <v>MHGU</v>
      </c>
      <c r="C297" s="64" t="str">
        <f>IF('Status Thresholds'!B292=0, "", 'Status Thresholds'!B292)</f>
        <v>Fatalis (Black)</v>
      </c>
      <c r="D297" s="77" t="s">
        <v>213</v>
      </c>
      <c r="E297" s="36" t="str">
        <f t="shared" si="4"/>
        <v>Fatalis (Black)Pitfall Trap</v>
      </c>
      <c r="F297" s="46" t="s">
        <v>214</v>
      </c>
      <c r="G297" s="46" t="s">
        <v>214</v>
      </c>
      <c r="H297" s="46" t="s">
        <v>214</v>
      </c>
      <c r="I297" s="46" t="s">
        <v>214</v>
      </c>
      <c r="J297" s="46">
        <f>IFERROR(IF(AND($U$5=FALSE,$U$4=FALSE),"-",VLOOKUP($E297,'Status Thresholds'!$E:$AU,43,FALSE)),"-")</f>
        <v>0</v>
      </c>
      <c r="K297" s="46">
        <f>IFERROR(IF(AND($U$5=FALSE,$U$4=FALSE),"-",VLOOKUP($E297,'Status Thresholds'!$E:$AU,41,FALSE)),"-")</f>
        <v>0</v>
      </c>
      <c r="L297" s="46">
        <f>IFERROR(IF(AND($U$5=FALSE,$U$4=FALSE),"-",VLOOKUP($E297,'Status Thresholds'!$E:$AU,42,FALSE)),"-")</f>
        <v>0</v>
      </c>
    </row>
    <row r="298" spans="1:12" s="36" customFormat="1" x14ac:dyDescent="0.25">
      <c r="A298" s="64"/>
      <c r="B298" s="64" t="str">
        <f>VLOOKUP(C298,'Status Thresholds'!B:C,2,FALSE)</f>
        <v>MHGU</v>
      </c>
      <c r="C298" s="64" t="str">
        <f>IF('Status Thresholds'!B293=0, "", 'Status Thresholds'!B293)</f>
        <v>Fatalis (Crimson)</v>
      </c>
      <c r="D298" s="37" t="s">
        <v>0</v>
      </c>
      <c r="E298" s="36" t="str">
        <f t="shared" si="4"/>
        <v>Fatalis (Crimson)Para</v>
      </c>
      <c r="F298" s="36" t="str">
        <f>IFERROR(
ROUNDUP(
IF(AND($U$5=FALSE,$U$4=FALSE),"-",IF(AND($U$5=TRUE,$U$4=TRUE),"-",
IF((AND($U$4=TRUE,$U$5=FALSE,$U$6=FALSE,$U$7=FALSE)),VLOOKUP($E298,'Status Thresholds'!$E:$AR,2,FALSE),IF((AND($U$4=TRUE,$U$5=FALSE,$U$6=TRUE,$U$7=FALSE)),VLOOKUP($E298,'Status Thresholds'!$E:$AR,12,FALSE),IF((AND($U$4=TRUE,$U$5=FALSE,$U$6=TRUE,$U$7=TRUE)),VLOOKUP($E298,'Status Thresholds'!$E:$AR,17,FALSE),IF((AND($U$4=TRUE,$U$5=FALSE,$U$6=FALSE,$U$7=TRUE)),VLOOKUP($E298,'Status Thresholds'!$E:$AR,7,FALSE),
IF((AND($U$4=FALSE,$U$5=TRUE,$U$6=FALSE,$U$7=FALSE)),VLOOKUP($E298,'Status Thresholds'!$E:$AR,22,FALSE),IF((AND($U$4=FALSE,$U$5=TRUE,$U$6=TRUE,$U$7=FALSE)),VLOOKUP($E298,'Status Thresholds'!$E:$AR,32,FALSE),IF((AND($U$4=FALSE,$U$5=TRUE,$U$6=TRUE,$U$7=TRUE)),VLOOKUP($E298,'Status Thresholds'!$E:$AR,37,FALSE),IF((AND($U$4=FALSE,$U$5=TRUE,$U$6=FALSE,$U$7=TRUE)),VLOOKUP($E298,'Status Thresholds'!$E:$AR,27,FALSE)))))))))
))/
IF(OR($X$5=TRUE,$AC$3=TRUE
),($F$3/2), IF(OR($X$2,$X$3,$X$4,$X$6,$X$7,$X$8,$Z$2,$Z$3,$Z$4,$Z$5,$Z$6,$Z$7,$Z$8)=TRUE,$F$3)),0),"-")</f>
        <v>-</v>
      </c>
      <c r="G298" s="36" t="str">
        <f>IFERROR(
ROUNDUP(
IF(AND($U$5=FALSE,$U$4=FALSE),"-",IF(AND($U$5=TRUE,$U$4=TRUE),"-",
IF((AND($U$4=TRUE,$U$5=FALSE,$U$6=FALSE,$U$7=FALSE)),VLOOKUP($E298,'Status Thresholds'!$E:$AR,3,FALSE),IF((AND($U$4=TRUE,$U$5=FALSE,$U$6=TRUE,$U$7=FALSE)),VLOOKUP($E298,'Status Thresholds'!$E:$AR,13,FALSE),IF((AND($U$4=TRUE,$U$5=FALSE,$U$6=TRUE,$U$7=TRUE)),VLOOKUP($E298,'Status Thresholds'!$E:$AR,18,FALSE),IF((AND($U$4=TRUE,$U$5=FALSE,$U$6=FALSE,$U$7=TRUE)),VLOOKUP($E298,'Status Thresholds'!$E:$AR,8,FALSE),
IF((AND($U$4=FALSE,$U$5=TRUE,$U$6=FALSE,$U$7=FALSE)),VLOOKUP($E298,'Status Thresholds'!$E:$AR,23,FALSE),IF((AND($U$4=FALSE,$U$5=TRUE,$U$6=TRUE,$U$7=FALSE)),VLOOKUP($E298,'Status Thresholds'!$E:$AR,33,FALSE),IF((AND($U$4=FALSE,$U$5=TRUE,$U$6=TRUE,$U$7=TRUE)),VLOOKUP($E298,'Status Thresholds'!$E:$AR,38,FALSE),IF((AND($U$4=FALSE,$U$5=TRUE,$U$6=FALSE,$U$7=TRUE)),VLOOKUP($E298,'Status Thresholds'!$E:$AR,28,FALSE)))))))))
))/
IF(OR($X$5=TRUE,$AC$3=TRUE
),($F$3/2), IF(OR($X$2,$X$3,$X$4,$X$6,$X$7,$X$8,$Z$2,$Z$3,$Z$4,$Z$5,$Z$6,$Z$7,$Z$8)=TRUE,$F$3)),0),"-")</f>
        <v>-</v>
      </c>
      <c r="H298" s="36" t="str">
        <f>IFERROR(
ROUNDUP(
IF(AND($U$5=FALSE,$U$4=FALSE),"-",IF(AND($U$5=TRUE,$U$4=TRUE),"-",
IF((AND($U$4=TRUE,$U$5=FALSE,$U$6=FALSE,$U$7=FALSE)),VLOOKUP($E298,'Status Thresholds'!$E:$AR,4,FALSE),IF((AND($U$4=TRUE,$U$5=FALSE,$U$6=TRUE,$U$7=FALSE)),VLOOKUP($E298,'Status Thresholds'!$E:$AR,14,FALSE),IF((AND($U$4=TRUE,$U$5=FALSE,$U$6=TRUE,$U$7=TRUE)),VLOOKUP($E298,'Status Thresholds'!$E:$AR,19,FALSE),IF((AND($U$4=TRUE,$U$5=FALSE,$U$6=FALSE,$U$7=TRUE)),VLOOKUP($E298,'Status Thresholds'!$E:$AR,9,FALSE),
IF((AND($U$4=FALSE,$U$5=TRUE,$U$6=FALSE,$U$7=FALSE)),VLOOKUP($E298,'Status Thresholds'!$E:$AR,24,FALSE),IF((AND($U$4=FALSE,$U$5=TRUE,$U$6=TRUE,$U$7=FALSE)),VLOOKUP($E298,'Status Thresholds'!$E:$AR,34,FALSE),IF((AND($U$4=FALSE,$U$5=TRUE,$U$6=TRUE,$U$7=TRUE)),VLOOKUP($E298,'Status Thresholds'!$E:$AR,39,FALSE),IF((AND($U$4=FALSE,$U$5=TRUE,$U$6=FALSE,$U$7=TRUE)),VLOOKUP($E298,'Status Thresholds'!$E:$AR,29,FALSE)))))))))
))/
IF(OR($X$5=TRUE,$AC$3=TRUE
),($F$3/2), IF(OR($X$2,$X$3,$X$4,$X$6,$X$7,$X$8,$Z$2,$Z$3,$Z$4,$Z$5,$Z$6,$Z$7,$Z$8)=TRUE,$F$3)),0),"-")</f>
        <v>-</v>
      </c>
      <c r="I298" s="36" t="str">
        <f>IFERROR(
ROUNDUP(
IF(AND($U$5=FALSE,$U$4=FALSE),"-",IF(AND($U$5=TRUE,$U$4=TRUE),"-",
IF((AND($U$4=TRUE,$U$5=FALSE,$U$6=FALSE,$U$7=FALSE)),VLOOKUP($E298,'Status Thresholds'!$E:$AR,5,FALSE),IF((AND($U$4=TRUE,$U$5=FALSE,$U$6=TRUE,$U$7=FALSE)),VLOOKUP($E298,'Status Thresholds'!$E:$AR,15,FALSE),IF((AND($U$4=TRUE,$U$5=FALSE,$U$6=TRUE,$U$7=TRUE)),VLOOKUP($E298,'Status Thresholds'!$E:$AR,20,FALSE),IF((AND($U$4=TRUE,$U$5=FALSE,$U$6=FALSE,$U$7=TRUE)),VLOOKUP($E298,'Status Thresholds'!$E:$AR,10,FALSE),
IF((AND($U$4=FALSE,$U$5=TRUE,$U$6=FALSE,$U$7=FALSE)),VLOOKUP($E298,'Status Thresholds'!$E:$AR,25,FALSE),IF((AND($U$4=FALSE,$U$5=TRUE,$U$6=TRUE,$U$7=FALSE)),VLOOKUP($E298,'Status Thresholds'!$E:$AR,35,FALSE),IF((AND($U$4=FALSE,$U$5=TRUE,$U$6=TRUE,$U$7=TRUE)),VLOOKUP($E298,'Status Thresholds'!$E:$AR,40,FALSE),IF((AND($U$4=FALSE,$U$5=TRUE,$U$6=FALSE,$U$7=TRUE)),VLOOKUP($E298,'Status Thresholds'!$E:$AR,30,FALSE)))))))))
))/
IF(OR($X$5=TRUE,$AC$3=TRUE
),($F$3/2), IF(OR($X$2,$X$3,$X$4,$X$6,$X$7,$X$8,$Z$2,$Z$3,$Z$4,$Z$5,$Z$6,$Z$7,$Z$8)=TRUE,$F$3)),0),"-")</f>
        <v>-</v>
      </c>
      <c r="J298" s="36">
        <f>IFERROR(IF(AND($U$5=FALSE,$U$4=FALSE),"-",VLOOKUP($E298,'Status Thresholds'!$E:$AU,41,FALSE)),"-")</f>
        <v>10</v>
      </c>
      <c r="K298" s="36" t="str">
        <f>IFERROR(IF(AND($U$5=FALSE,$U$4=FALSE),"-",VLOOKUP($E298,'Status Thresholds'!$E:$AU,42,FALSE)),"-")</f>
        <v>-</v>
      </c>
      <c r="L298" s="36" t="str">
        <f>IFERROR(IF(AND($U$5=FALSE,$U$4=FALSE),"-",VLOOKUP($E298,'Status Thresholds'!$E:$AU,43,FALSE)),"-")</f>
        <v>-</v>
      </c>
    </row>
    <row r="299" spans="1:12" x14ac:dyDescent="0.25">
      <c r="A299" s="35"/>
      <c r="B299" s="64" t="str">
        <f>VLOOKUP(C299,'Status Thresholds'!B:C,2,FALSE)</f>
        <v>MHGU</v>
      </c>
      <c r="C299" s="64" t="str">
        <f>IF('Status Thresholds'!B294=0, "", 'Status Thresholds'!B294)</f>
        <v>Fatalis (Crimson)</v>
      </c>
      <c r="D299" s="31" t="s">
        <v>32</v>
      </c>
      <c r="E299" s="36" t="str">
        <f t="shared" si="4"/>
        <v>Fatalis (Crimson)Sleep</v>
      </c>
      <c r="F299" s="36" t="str">
        <f>IFERROR(
ROUNDUP(
IF(AND($U$5=FALSE,$U$4=FALSE),"-",IF(AND($U$5=TRUE,$U$4=TRUE),"-",
IF((AND($U$4=TRUE,$U$5=FALSE,$U$6=FALSE,$U$7=FALSE)),VLOOKUP($E299,'Status Thresholds'!$E:$AR,2,FALSE),IF((AND($U$4=TRUE,$U$5=FALSE,$U$6=TRUE,$U$7=FALSE)),VLOOKUP($E299,'Status Thresholds'!$E:$AR,12,FALSE),IF((AND($U$4=TRUE,$U$5=FALSE,$U$6=TRUE,$U$7=TRUE)),VLOOKUP($E299,'Status Thresholds'!$E:$AR,17,FALSE),IF((AND($U$4=TRUE,$U$5=FALSE,$U$6=FALSE,$U$7=TRUE)),VLOOKUP($E299,'Status Thresholds'!$E:$AR,7,FALSE),
IF((AND($U$4=FALSE,$U$5=TRUE,$U$6=FALSE,$U$7=FALSE)),VLOOKUP($E299,'Status Thresholds'!$E:$AR,22,FALSE),IF((AND($U$4=FALSE,$U$5=TRUE,$U$6=TRUE,$U$7=FALSE)),VLOOKUP($E299,'Status Thresholds'!$E:$AR,32,FALSE),IF((AND($U$4=FALSE,$U$5=TRUE,$U$6=TRUE,$U$7=TRUE)),VLOOKUP($E299,'Status Thresholds'!$E:$AR,37,FALSE),IF((AND($U$4=FALSE,$U$5=TRUE,$U$6=FALSE,$U$7=TRUE)),VLOOKUP($E299,'Status Thresholds'!$E:$AR,27,FALSE)))))))))
))/
IF(OR($X$5=TRUE,$AC$3=TRUE
),($F$4/2), IF(OR($X$2,$X$3,$X$4,$X$6,$X$7,$X$8,$Z$2,$Z$3,$Z$4,$Z$5,$Z$6,$Z$7,$Z$8)=TRUE,$F$4)),0),"-")</f>
        <v>-</v>
      </c>
      <c r="G299" s="36" t="str">
        <f>IFERROR(
ROUNDUP(
IF(AND($U$5=FALSE,$U$4=FALSE),"-",IF(AND($U$5=TRUE,$U$4=TRUE),"-",
IF((AND($U$4=TRUE,$U$5=FALSE,$U$6=FALSE,$U$7=FALSE)),VLOOKUP($E299,'Status Thresholds'!$E:$AR,3,FALSE),IF((AND($U$4=TRUE,$U$5=FALSE,$U$6=TRUE,$U$7=FALSE)),VLOOKUP($E299,'Status Thresholds'!$E:$AR,13,FALSE),IF((AND($U$4=TRUE,$U$5=FALSE,$U$6=TRUE,$U$7=TRUE)),VLOOKUP($E299,'Status Thresholds'!$E:$AR,18,FALSE),IF((AND($U$4=TRUE,$U$5=FALSE,$U$6=FALSE,$U$7=TRUE)),VLOOKUP($E299,'Status Thresholds'!$E:$AR,8,FALSE),
IF((AND($U$4=FALSE,$U$5=TRUE,$U$6=FALSE,$U$7=FALSE)),VLOOKUP($E299,'Status Thresholds'!$E:$AR,23,FALSE),IF((AND($U$4=FALSE,$U$5=TRUE,$U$6=TRUE,$U$7=FALSE)),VLOOKUP($E299,'Status Thresholds'!$E:$AR,33,FALSE),IF((AND($U$4=FALSE,$U$5=TRUE,$U$6=TRUE,$U$7=TRUE)),VLOOKUP($E299,'Status Thresholds'!$E:$AR,38,FALSE),IF((AND($U$4=FALSE,$U$5=TRUE,$U$6=FALSE,$U$7=TRUE)),VLOOKUP($E299,'Status Thresholds'!$E:$AR,28,FALSE)))))))))
))/
IF(OR($X$5=TRUE,$AC$3=TRUE
),($F$4/2), IF(OR($X$2,$X$3,$X$4,$X$6,$X$7,$X$8,$Z$2,$Z$3,$Z$4,$Z$5,$Z$6,$Z$7,$Z$8)=TRUE,$F$4)),0),"-")</f>
        <v>-</v>
      </c>
      <c r="H299" s="36" t="str">
        <f>IFERROR(
ROUNDUP(
IF(AND($U$5=FALSE,$U$4=FALSE),"-",IF(AND($U$5=TRUE,$U$4=TRUE),"-",
IF((AND($U$4=TRUE,$U$5=FALSE,$U$6=FALSE,$U$7=FALSE)),VLOOKUP($E299,'Status Thresholds'!$E:$AR,4,FALSE),IF((AND($U$4=TRUE,$U$5=FALSE,$U$6=TRUE,$U$7=FALSE)),VLOOKUP($E299,'Status Thresholds'!$E:$AR,14,FALSE),IF((AND($U$4=TRUE,$U$5=FALSE,$U$6=TRUE,$U$7=TRUE)),VLOOKUP($E299,'Status Thresholds'!$E:$AR,19,FALSE),IF((AND($U$4=TRUE,$U$5=FALSE,$U$6=FALSE,$U$7=TRUE)),VLOOKUP($E299,'Status Thresholds'!$E:$AR,9,FALSE),
IF((AND($U$4=FALSE,$U$5=TRUE,$U$6=FALSE,$U$7=FALSE)),VLOOKUP($E299,'Status Thresholds'!$E:$AR,24,FALSE),IF((AND($U$4=FALSE,$U$5=TRUE,$U$6=TRUE,$U$7=FALSE)),VLOOKUP($E299,'Status Thresholds'!$E:$AR,34,FALSE),IF((AND($U$4=FALSE,$U$5=TRUE,$U$6=TRUE,$U$7=TRUE)),VLOOKUP($E299,'Status Thresholds'!$E:$AR,39,FALSE),IF((AND($U$4=FALSE,$U$5=TRUE,$U$6=FALSE,$U$7=TRUE)),VLOOKUP($E299,'Status Thresholds'!$E:$AR,29,FALSE)))))))))
))/
IF(OR($X$5=TRUE,$AC$3=TRUE
),($F$4/2), IF(OR($X$2,$X$3,$X$4,$X$6,$X$7,$X$8,$Z$2,$Z$3,$Z$4,$Z$5,$Z$6,$Z$7,$Z$8)=TRUE,$F$4)),0),"-")</f>
        <v>-</v>
      </c>
      <c r="I299" s="36" t="str">
        <f>IFERROR(
ROUNDUP(
IF(AND($U$5=FALSE,$U$4=FALSE),"-",IF(AND($U$5=TRUE,$U$4=TRUE),"-",
IF((AND($U$4=TRUE,$U$5=FALSE,$U$6=FALSE,$U$7=FALSE)),VLOOKUP($E299,'Status Thresholds'!$E:$AR,5,FALSE),IF((AND($U$4=TRUE,$U$5=FALSE,$U$6=TRUE,$U$7=FALSE)),VLOOKUP($E299,'Status Thresholds'!$E:$AR,15,FALSE),IF((AND($U$4=TRUE,$U$5=FALSE,$U$6=TRUE,$U$7=TRUE)),VLOOKUP($E299,'Status Thresholds'!$E:$AR,20,FALSE),IF((AND($U$4=TRUE,$U$5=FALSE,$U$6=FALSE,$U$7=TRUE)),VLOOKUP($E299,'Status Thresholds'!$E:$AR,10,FALSE),
IF((AND($U$4=FALSE,$U$5=TRUE,$U$6=FALSE,$U$7=FALSE)),VLOOKUP($E299,'Status Thresholds'!$E:$AR,25,FALSE),IF((AND($U$4=FALSE,$U$5=TRUE,$U$6=TRUE,$U$7=FALSE)),VLOOKUP($E299,'Status Thresholds'!$E:$AR,35,FALSE),IF((AND($U$4=FALSE,$U$5=TRUE,$U$6=TRUE,$U$7=TRUE)),VLOOKUP($E299,'Status Thresholds'!$E:$AR,40,FALSE),IF((AND($U$4=FALSE,$U$5=TRUE,$U$6=FALSE,$U$7=TRUE)),VLOOKUP($E299,'Status Thresholds'!$E:$AR,30,FALSE)))))))))
))/
IF(OR($X$5=TRUE,$AC$3=TRUE
),($F$4/2), IF(OR($X$2,$X$3,$X$4,$X$6,$X$7,$X$8,$Z$2,$Z$3,$Z$4,$Z$5,$Z$6,$Z$7,$Z$8)=TRUE,$F$4)),0),"-")</f>
        <v>-</v>
      </c>
      <c r="J299" s="46">
        <f>IFERROR(IF(AND($U$5=FALSE,$U$4=FALSE),"-",VLOOKUP($E299,'Status Thresholds'!$E:$AU,41,FALSE)),"-")</f>
        <v>40</v>
      </c>
      <c r="K299" s="46" t="str">
        <f>IFERROR(IF(AND($U$5=FALSE,$U$4=FALSE),"-",VLOOKUP($E299,'Status Thresholds'!$E:$AU,42,FALSE)),"-")</f>
        <v>-</v>
      </c>
      <c r="L299" s="46" t="str">
        <f>IFERROR(IF(AND($U$5=FALSE,$U$4=FALSE),"-",VLOOKUP($E299,'Status Thresholds'!$E:$AU,43,FALSE)),"-")</f>
        <v>-</v>
      </c>
    </row>
    <row r="300" spans="1:12" x14ac:dyDescent="0.25">
      <c r="A300" s="35"/>
      <c r="B300" s="64" t="str">
        <f>VLOOKUP(C300,'Status Thresholds'!B:C,2,FALSE)</f>
        <v>MHGU</v>
      </c>
      <c r="C300" s="64" t="str">
        <f>IF('Status Thresholds'!B295=0, "", 'Status Thresholds'!B295)</f>
        <v>Fatalis (Crimson)</v>
      </c>
      <c r="D300" s="32" t="s">
        <v>33</v>
      </c>
      <c r="E300" s="36" t="str">
        <f t="shared" si="4"/>
        <v>Fatalis (Crimson)Poison</v>
      </c>
      <c r="F300" s="36" t="str">
        <f>IFERROR(
ROUNDUP(
IF(AND($U$5=FALSE,$U$4=FALSE),"-",IF(AND($U$5=TRUE,$U$4=TRUE),"-",
IF((AND($U$4=TRUE,$U$5=FALSE,$U$6=FALSE,$U$7=FALSE)),VLOOKUP($E300,'Status Thresholds'!$E:$AR,2,FALSE),IF((AND($U$4=TRUE,$U$5=FALSE,$U$6=TRUE,$U$7=FALSE)),VLOOKUP($E300,'Status Thresholds'!$E:$AR,12,FALSE),IF((AND($U$4=TRUE,$U$5=FALSE,$U$6=TRUE,$U$7=TRUE)),VLOOKUP($E300,'Status Thresholds'!$E:$AR,17,FALSE),IF((AND($U$4=TRUE,$U$5=FALSE,$U$6=FALSE,$U$7=TRUE)),VLOOKUP($E300,'Status Thresholds'!$E:$AR,7,FALSE),
IF((AND($U$4=FALSE,$U$5=TRUE,$U$6=FALSE,$U$7=FALSE)),VLOOKUP($E300,'Status Thresholds'!$E:$AR,22,FALSE),IF((AND($U$4=FALSE,$U$5=TRUE,$U$6=TRUE,$U$7=FALSE)),VLOOKUP($E300,'Status Thresholds'!$E:$AR,32,FALSE),IF((AND($U$4=FALSE,$U$5=TRUE,$U$6=TRUE,$U$7=TRUE)),VLOOKUP($E300,'Status Thresholds'!$E:$AR,37,FALSE),IF((AND($U$4=FALSE,$U$5=TRUE,$U$6=FALSE,$U$7=TRUE)),VLOOKUP($E300,'Status Thresholds'!$E:$AR,27,FALSE)))))))))
))/
IF(OR($X$5=TRUE,$AC$3=TRUE
),($F$5/2), IF(OR($X$2,$X$3,$X$4,$X$6,$X$7,$X$8,$Z$2,$Z$3,$Z$4,$Z$5,$Z$6,$Z$7,$Z$8)=TRUE,$F$5)),0),"-")</f>
        <v>-</v>
      </c>
      <c r="G300" s="36" t="str">
        <f>IFERROR(
ROUNDUP(
IF(AND($U$5=FALSE,$U$4=FALSE),"-",IF(AND($U$5=TRUE,$U$4=TRUE),"-",
IF((AND($U$4=TRUE,$U$5=FALSE,$U$6=FALSE,$U$7=FALSE)),VLOOKUP($E300,'Status Thresholds'!$E:$AR,3,FALSE),IF((AND($U$4=TRUE,$U$5=FALSE,$U$6=TRUE,$U$7=FALSE)),VLOOKUP($E300,'Status Thresholds'!$E:$AR,13,FALSE),IF((AND($U$4=TRUE,$U$5=FALSE,$U$6=TRUE,$U$7=TRUE)),VLOOKUP($E300,'Status Thresholds'!$E:$AR,18,FALSE),IF((AND($U$4=TRUE,$U$5=FALSE,$U$6=FALSE,$U$7=TRUE)),VLOOKUP($E300,'Status Thresholds'!$E:$AR,8,FALSE),
IF((AND($U$4=FALSE,$U$5=TRUE,$U$6=FALSE,$U$7=FALSE)),VLOOKUP($E300,'Status Thresholds'!$E:$AR,23,FALSE),IF((AND($U$4=FALSE,$U$5=TRUE,$U$6=TRUE,$U$7=FALSE)),VLOOKUP($E300,'Status Thresholds'!$E:$AR,33,FALSE),IF((AND($U$4=FALSE,$U$5=TRUE,$U$6=TRUE,$U$7=TRUE)),VLOOKUP($E300,'Status Thresholds'!$E:$AR,38,FALSE),IF((AND($U$4=FALSE,$U$5=TRUE,$U$6=FALSE,$U$7=TRUE)),VLOOKUP($E300,'Status Thresholds'!$E:$AR,28,FALSE)))))))))
))/
IF(OR($X$5=TRUE,$AC$3=TRUE
),($F$5/2), IF(OR($X$2,$X$3,$X$4,$X$6,$X$7,$X$8,$Z$2,$Z$3,$Z$4,$Z$5,$Z$6,$Z$7,$Z$8)=TRUE,$F$5)),0),"-")</f>
        <v>-</v>
      </c>
      <c r="H300" s="36" t="str">
        <f>IFERROR(
ROUNDUP(
IF(AND($U$5=FALSE,$U$4=FALSE),"-",IF(AND($U$5=TRUE,$U$4=TRUE),"-",
IF((AND($U$4=TRUE,$U$5=FALSE,$U$6=FALSE,$U$7=FALSE)),VLOOKUP($E300,'Status Thresholds'!$E:$AR,4,FALSE),IF((AND($U$4=TRUE,$U$5=FALSE,$U$6=TRUE,$U$7=FALSE)),VLOOKUP($E300,'Status Thresholds'!$E:$AR,14,FALSE),IF((AND($U$4=TRUE,$U$5=FALSE,$U$6=TRUE,$U$7=TRUE)),VLOOKUP($E300,'Status Thresholds'!$E:$AR,19,FALSE),IF((AND($U$4=TRUE,$U$5=FALSE,$U$6=FALSE,$U$7=TRUE)),VLOOKUP($E300,'Status Thresholds'!$E:$AR,9,FALSE),
IF((AND($U$4=FALSE,$U$5=TRUE,$U$6=FALSE,$U$7=FALSE)),VLOOKUP($E300,'Status Thresholds'!$E:$AR,24,FALSE),IF((AND($U$4=FALSE,$U$5=TRUE,$U$6=TRUE,$U$7=FALSE)),VLOOKUP($E300,'Status Thresholds'!$E:$AR,34,FALSE),IF((AND($U$4=FALSE,$U$5=TRUE,$U$6=TRUE,$U$7=TRUE)),VLOOKUP($E300,'Status Thresholds'!$E:$AR,39,FALSE),IF((AND($U$4=FALSE,$U$5=TRUE,$U$6=FALSE,$U$7=TRUE)),VLOOKUP($E300,'Status Thresholds'!$E:$AR,29,FALSE)))))))))
))/
IF(OR($X$5=TRUE,$AC$3=TRUE
),($F$5/2), IF(OR($X$2,$X$3,$X$4,$X$6,$X$7,$X$8,$Z$2,$Z$3,$Z$4,$Z$5,$Z$6,$Z$7,$Z$8)=TRUE,$F$5)),0),"-")</f>
        <v>-</v>
      </c>
      <c r="I300" s="36" t="str">
        <f>IFERROR(
ROUNDUP(
IF(AND($U$5=FALSE,$U$4=FALSE),"-",IF(AND($U$5=TRUE,$U$4=TRUE),"-",
IF((AND($U$4=TRUE,$U$5=FALSE,$U$6=FALSE,$U$7=FALSE)),VLOOKUP($E300,'Status Thresholds'!$E:$AR,5,FALSE),IF((AND($U$4=TRUE,$U$5=FALSE,$U$6=TRUE,$U$7=FALSE)),VLOOKUP($E300,'Status Thresholds'!$E:$AR,15,FALSE),IF((AND($U$4=TRUE,$U$5=FALSE,$U$6=TRUE,$U$7=TRUE)),VLOOKUP($E300,'Status Thresholds'!$E:$AR,20,FALSE),IF((AND($U$4=TRUE,$U$5=FALSE,$U$6=FALSE,$U$7=TRUE)),VLOOKUP($E300,'Status Thresholds'!$E:$AR,10,FALSE),
IF((AND($U$4=FALSE,$U$5=TRUE,$U$6=FALSE,$U$7=FALSE)),VLOOKUP($E300,'Status Thresholds'!$E:$AR,25,FALSE),IF((AND($U$4=FALSE,$U$5=TRUE,$U$6=TRUE,$U$7=FALSE)),VLOOKUP($E300,'Status Thresholds'!$E:$AR,35,FALSE),IF((AND($U$4=FALSE,$U$5=TRUE,$U$6=TRUE,$U$7=TRUE)),VLOOKUP($E300,'Status Thresholds'!$E:$AR,40,FALSE),IF((AND($U$4=FALSE,$U$5=TRUE,$U$6=FALSE,$U$7=TRUE)),VLOOKUP($E300,'Status Thresholds'!$E:$AR,30,FALSE)))))))))
))/
IF(OR($X$5=TRUE,$AC$3=TRUE
),($F$5/2), IF(OR($X$2,$X$3,$X$4,$X$6,$X$7,$X$8,$Z$2,$Z$3,$Z$4,$Z$5,$Z$6,$Z$7,$Z$8)=TRUE,$F$5)),0),"-")</f>
        <v>-</v>
      </c>
      <c r="J300" s="46">
        <f>IFERROR(IF(AND($U$5=FALSE,$U$4=FALSE),"-",VLOOKUP($E300,'Status Thresholds'!$E:$AU,41,FALSE)),"-")</f>
        <v>40</v>
      </c>
      <c r="K300" s="46" t="str">
        <f>IFERROR(IF(AND($U$5=FALSE,$U$4=FALSE),"-",VLOOKUP($E300,'Status Thresholds'!$E:$AU,42,FALSE)),"-")</f>
        <v>-</v>
      </c>
      <c r="L300" s="46" t="str">
        <f>IFERROR(IF(AND($U$5=FALSE,$U$4=FALSE),"-",VLOOKUP($E300,'Status Thresholds'!$E:$AU,43,FALSE)),"-")</f>
        <v>-</v>
      </c>
    </row>
    <row r="301" spans="1:12" x14ac:dyDescent="0.25">
      <c r="A301" s="35"/>
      <c r="B301" s="64" t="str">
        <f>VLOOKUP(C301,'Status Thresholds'!B:C,2,FALSE)</f>
        <v>MHGU</v>
      </c>
      <c r="C301" s="64" t="str">
        <f>IF('Status Thresholds'!B296=0, "", 'Status Thresholds'!B296)</f>
        <v>Fatalis (Crimson)</v>
      </c>
      <c r="D301" s="10" t="s">
        <v>22</v>
      </c>
      <c r="E301" s="36" t="str">
        <f t="shared" si="4"/>
        <v>Fatalis (Crimson)Exhaust</v>
      </c>
      <c r="F301" s="36" t="str">
        <f>IFERROR(
ROUNDUP(
IF(AND($U$5=FALSE,$U$4=FALSE),"-",IF(AND($U$5=TRUE,$U$4=TRUE),"-",
IF((AND($U$4=TRUE,$U$5=FALSE,$U$6=FALSE,$U$7=FALSE)),VLOOKUP($E301,'Status Thresholds'!$E:$AR,2,FALSE),IF((AND($U$4=TRUE,$U$5=FALSE,$U$6=TRUE,$U$7=FALSE)),VLOOKUP($E301,'Status Thresholds'!$E:$AR,12,FALSE),IF((AND($U$4=TRUE,$U$5=FALSE,$U$6=TRUE,$U$7=TRUE)),VLOOKUP($E301,'Status Thresholds'!$E:$AR,17,FALSE),IF((AND($U$4=TRUE,$U$5=FALSE,$U$6=FALSE,$U$7=TRUE)),VLOOKUP($E301,'Status Thresholds'!$E:$AR,7,FALSE),
IF((AND($U$4=FALSE,$U$5=TRUE,$U$6=FALSE,$U$7=FALSE)),VLOOKUP($E301,'Status Thresholds'!$E:$AR,22,FALSE),IF((AND($U$4=FALSE,$U$5=TRUE,$U$6=TRUE,$U$7=FALSE)),VLOOKUP($E301,'Status Thresholds'!$E:$AR,32,FALSE),IF((AND($U$4=FALSE,$U$5=TRUE,$U$6=TRUE,$U$7=TRUE)),VLOOKUP($E301,'Status Thresholds'!$E:$AR,37,FALSE),IF((AND($U$4=FALSE,$U$5=TRUE,$U$6=FALSE,$U$7=TRUE)),VLOOKUP($E301,'Status Thresholds'!$E:$AR,27,FALSE)))))))))
))/
IF(OR($X$5=TRUE,$AC$3=TRUE
),($F$6/2), IF(OR($X$2,$X$3,$X$4,$X$6,$X$7,$X$8,$Z$2,$Z$3,$Z$4,$Z$5,$Z$6,$Z$7,$Z$8)=TRUE,$F$6)),0),"-")</f>
        <v>-</v>
      </c>
      <c r="G301" s="36" t="str">
        <f>IFERROR(
ROUNDUP(
IF(AND($U$5=FALSE,$U$4=FALSE),"-",IF(AND($U$5=TRUE,$U$4=TRUE),"-",
IF((AND($U$4=TRUE,$U$5=FALSE,$U$6=FALSE,$U$7=FALSE)),VLOOKUP($E301,'Status Thresholds'!$E:$AR,3,FALSE),IF((AND($U$4=TRUE,$U$5=FALSE,$U$6=TRUE,$U$7=FALSE)),VLOOKUP($E301,'Status Thresholds'!$E:$AR,13,FALSE),IF((AND($U$4=TRUE,$U$5=FALSE,$U$6=TRUE,$U$7=TRUE)),VLOOKUP($E301,'Status Thresholds'!$E:$AR,18,FALSE),IF((AND($U$4=TRUE,$U$5=FALSE,$U$6=FALSE,$U$7=TRUE)),VLOOKUP($E301,'Status Thresholds'!$E:$AR,8,FALSE),
IF((AND($U$4=FALSE,$U$5=TRUE,$U$6=FALSE,$U$7=FALSE)),VLOOKUP($E301,'Status Thresholds'!$E:$AR,23,FALSE),IF((AND($U$4=FALSE,$U$5=TRUE,$U$6=TRUE,$U$7=FALSE)),VLOOKUP($E301,'Status Thresholds'!$E:$AR,33,FALSE),IF((AND($U$4=FALSE,$U$5=TRUE,$U$6=TRUE,$U$7=TRUE)),VLOOKUP($E301,'Status Thresholds'!$E:$AR,38,FALSE),IF((AND($U$4=FALSE,$U$5=TRUE,$U$6=FALSE,$U$7=TRUE)),VLOOKUP($E301,'Status Thresholds'!$E:$AR,28,FALSE)))))))))
))/
IF(OR($X$5=TRUE,$AC$3=TRUE
),($F$6/2), IF(OR($X$2,$X$3,$X$4,$X$6,$X$7,$X$8,$Z$2,$Z$3,$Z$4,$Z$5,$Z$6,$Z$7,$Z$8)=TRUE,$F$6)),0),"-")</f>
        <v>-</v>
      </c>
      <c r="H301" s="36" t="str">
        <f>IFERROR(
ROUNDUP(
IF(AND($U$5=FALSE,$U$4=FALSE),"-",IF(AND($U$5=TRUE,$U$4=TRUE),"-",
IF((AND($U$4=TRUE,$U$5=FALSE,$U$6=FALSE,$U$7=FALSE)),VLOOKUP($E301,'Status Thresholds'!$E:$AR,4,FALSE),IF((AND($U$4=TRUE,$U$5=FALSE,$U$6=TRUE,$U$7=FALSE)),VLOOKUP($E301,'Status Thresholds'!$E:$AR,14,FALSE),IF((AND($U$4=TRUE,$U$5=FALSE,$U$6=TRUE,$U$7=TRUE)),VLOOKUP($E301,'Status Thresholds'!$E:$AR,19,FALSE),IF((AND($U$4=TRUE,$U$5=FALSE,$U$6=FALSE,$U$7=TRUE)),VLOOKUP($E301,'Status Thresholds'!$E:$AR,9,FALSE),
IF((AND($U$4=FALSE,$U$5=TRUE,$U$6=FALSE,$U$7=FALSE)),VLOOKUP($E301,'Status Thresholds'!$E:$AR,24,FALSE),IF((AND($U$4=FALSE,$U$5=TRUE,$U$6=TRUE,$U$7=FALSE)),VLOOKUP($E301,'Status Thresholds'!$E:$AR,34,FALSE),IF((AND($U$4=FALSE,$U$5=TRUE,$U$6=TRUE,$U$7=TRUE)),VLOOKUP($E301,'Status Thresholds'!$E:$AR,39,FALSE),IF((AND($U$4=FALSE,$U$5=TRUE,$U$6=FALSE,$U$7=TRUE)),VLOOKUP($E301,'Status Thresholds'!$E:$AR,29,FALSE)))))))))
))/
IF(OR($X$5=TRUE,$AC$3=TRUE
),($F$6/2), IF(OR($X$2,$X$3,$X$4,$X$6,$X$7,$X$8,$Z$2,$Z$3,$Z$4,$Z$5,$Z$6,$Z$7,$Z$8)=TRUE,$F$6)),0),"-")</f>
        <v>-</v>
      </c>
      <c r="I301" s="36" t="str">
        <f>IFERROR(
ROUNDUP(
IF(AND($U$5=FALSE,$U$4=FALSE),"-",IF(AND($U$5=TRUE,$U$4=TRUE),"-",
IF((AND($U$4=TRUE,$U$5=FALSE,$U$6=FALSE,$U$7=FALSE)),VLOOKUP($E301,'Status Thresholds'!$E:$AR,5,FALSE),IF((AND($U$4=TRUE,$U$5=FALSE,$U$6=TRUE,$U$7=FALSE)),VLOOKUP($E301,'Status Thresholds'!$E:$AR,15,FALSE),IF((AND($U$4=TRUE,$U$5=FALSE,$U$6=TRUE,$U$7=TRUE)),VLOOKUP($E301,'Status Thresholds'!$E:$AR,20,FALSE),IF((AND($U$4=TRUE,$U$5=FALSE,$U$6=FALSE,$U$7=TRUE)),VLOOKUP($E301,'Status Thresholds'!$E:$AR,10,FALSE),
IF((AND($U$4=FALSE,$U$5=TRUE,$U$6=FALSE,$U$7=FALSE)),VLOOKUP($E301,'Status Thresholds'!$E:$AR,25,FALSE),IF((AND($U$4=FALSE,$U$5=TRUE,$U$6=TRUE,$U$7=FALSE)),VLOOKUP($E301,'Status Thresholds'!$E:$AR,35,FALSE),IF((AND($U$4=FALSE,$U$5=TRUE,$U$6=TRUE,$U$7=TRUE)),VLOOKUP($E301,'Status Thresholds'!$E:$AR,40,FALSE),IF((AND($U$4=FALSE,$U$5=TRUE,$U$6=FALSE,$U$7=TRUE)),VLOOKUP($E301,'Status Thresholds'!$E:$AR,30,FALSE)))))))))
))/
IF(OR($X$5=TRUE,$AC$3=TRUE
),($F$6/2), IF(OR($X$2,$X$3,$X$4,$X$6,$X$7,$X$8,$Z$2,$Z$3,$Z$4,$Z$5,$Z$6,$Z$7,$Z$8)=TRUE,$F$6)),0),"-")</f>
        <v>-</v>
      </c>
      <c r="J301" s="46">
        <f>IFERROR(IF(AND($U$5=FALSE,$U$4=FALSE),"-",VLOOKUP($E301,'Status Thresholds'!$E:$AU,41,FALSE)),"-")</f>
        <v>0</v>
      </c>
      <c r="K301" s="46" t="str">
        <f>IFERROR(IF(AND($U$5=FALSE,$U$4=FALSE),"-",VLOOKUP($E301,'Status Thresholds'!$E:$AU,42,FALSE)),"-")</f>
        <v>-</v>
      </c>
      <c r="L301" s="46" t="str">
        <f>IFERROR(IF(AND($U$5=FALSE,$U$4=FALSE),"-",VLOOKUP($E301,'Status Thresholds'!$E:$AU,43,FALSE)),"-")</f>
        <v>-</v>
      </c>
    </row>
    <row r="302" spans="1:12" x14ac:dyDescent="0.25">
      <c r="A302" s="35"/>
      <c r="B302" s="64" t="str">
        <f>VLOOKUP(C302,'Status Thresholds'!B:C,2,FALSE)</f>
        <v>MHGU</v>
      </c>
      <c r="C302" s="64" t="str">
        <f>IF('Status Thresholds'!B297=0, "", 'Status Thresholds'!B297)</f>
        <v>Fatalis (Crimson)</v>
      </c>
      <c r="D302" s="30" t="s">
        <v>35</v>
      </c>
      <c r="E302" s="36" t="str">
        <f t="shared" si="4"/>
        <v>Fatalis (Crimson)Blast</v>
      </c>
      <c r="F302" s="36" t="str">
        <f>IFERROR(
ROUNDUP(
IF(AND($U$5=FALSE,$U$4=FALSE),"-",IF(AND($U$5=TRUE,$U$4=TRUE),"-",
IF((AND($U$4=TRUE,$U$5=FALSE,$U$6=FALSE,$U$7=FALSE)),VLOOKUP($E302,'Status Thresholds'!$E:$AR,2,FALSE),IF((AND($U$4=TRUE,$U$5=FALSE,$U$6=TRUE,$U$7=FALSE)),VLOOKUP($E302,'Status Thresholds'!$E:$AR,12,FALSE),IF((AND($U$4=TRUE,$U$5=FALSE,$U$6=TRUE,$U$7=TRUE)),VLOOKUP($E302,'Status Thresholds'!$E:$AR,17,FALSE),IF((AND($U$4=TRUE,$U$5=FALSE,$U$6=FALSE,$U$7=TRUE)),VLOOKUP($E302,'Status Thresholds'!$E:$AR,7,FALSE),
IF((AND($U$4=FALSE,$U$5=TRUE,$U$6=FALSE,$U$7=FALSE)),VLOOKUP($E302,'Status Thresholds'!$E:$AR,22,FALSE),IF((AND($U$4=FALSE,$U$5=TRUE,$U$6=TRUE,$U$7=FALSE)),VLOOKUP($E302,'Status Thresholds'!$E:$AR,32,FALSE),IF((AND($U$4=FALSE,$U$5=TRUE,$U$6=TRUE,$U$7=TRUE)),VLOOKUP($E302,'Status Thresholds'!$E:$AR,37,FALSE),IF((AND($U$4=FALSE,$U$5=TRUE,$U$6=FALSE,$U$7=TRUE)),VLOOKUP($E302,'Status Thresholds'!$E:$AR,27,FALSE)))))))))
))/
IF(OR($X$5=TRUE,$AC$3=TRUE
),($F$7/2), IF(OR($X$2,$X$3,$X$4,$X$6,$X$7,$X$8,$Z$2,$Z$3,$Z$4,$Z$5,$Z$6,$Z$7,$Z$8)=TRUE,$F$7)),0),"-")</f>
        <v>-</v>
      </c>
      <c r="G302" s="36" t="str">
        <f>IFERROR(
ROUNDUP(
IF(AND($U$5=FALSE,$U$4=FALSE),"-",IF(AND($U$5=TRUE,$U$4=TRUE),"-",
IF((AND($U$4=TRUE,$U$5=FALSE,$U$6=FALSE,$U$7=FALSE)),VLOOKUP($E302,'Status Thresholds'!$E:$AR,3,FALSE),IF((AND($U$4=TRUE,$U$5=FALSE,$U$6=TRUE,$U$7=FALSE)),VLOOKUP($E302,'Status Thresholds'!$E:$AR,13,FALSE),IF((AND($U$4=TRUE,$U$5=FALSE,$U$6=TRUE,$U$7=TRUE)),VLOOKUP($E302,'Status Thresholds'!$E:$AR,18,FALSE),IF((AND($U$4=TRUE,$U$5=FALSE,$U$6=FALSE,$U$7=TRUE)),VLOOKUP($E302,'Status Thresholds'!$E:$AR,8,FALSE),
IF((AND($U$4=FALSE,$U$5=TRUE,$U$6=FALSE,$U$7=FALSE)),VLOOKUP($E302,'Status Thresholds'!$E:$AR,23,FALSE),IF((AND($U$4=FALSE,$U$5=TRUE,$U$6=TRUE,$U$7=FALSE)),VLOOKUP($E302,'Status Thresholds'!$E:$AR,33,FALSE),IF((AND($U$4=FALSE,$U$5=TRUE,$U$6=TRUE,$U$7=TRUE)),VLOOKUP($E302,'Status Thresholds'!$E:$AR,38,FALSE),IF((AND($U$4=FALSE,$U$5=TRUE,$U$6=FALSE,$U$7=TRUE)),VLOOKUP($E302,'Status Thresholds'!$E:$AR,28,FALSE)))))))))
))/
IF(OR($X$5=TRUE,$AC$3=TRUE
),($F$7/2), IF(OR($X$2,$X$3,$X$4,$X$6,$X$7,$X$8,$Z$2,$Z$3,$Z$4,$Z$5,$Z$6,$Z$7,$Z$8)=TRUE,$F$7)),0),"-")</f>
        <v>-</v>
      </c>
      <c r="H302" s="36" t="str">
        <f>IFERROR(
ROUNDUP(
IF(AND($U$5=FALSE,$U$4=FALSE),"-",IF(AND($U$5=TRUE,$U$4=TRUE),"-",
IF((AND($U$4=TRUE,$U$5=FALSE,$U$6=FALSE,$U$7=FALSE)),VLOOKUP($E302,'Status Thresholds'!$E:$AR,4,FALSE),IF((AND($U$4=TRUE,$U$5=FALSE,$U$6=TRUE,$U$7=FALSE)),VLOOKUP($E302,'Status Thresholds'!$E:$AR,14,FALSE),IF((AND($U$4=TRUE,$U$5=FALSE,$U$6=TRUE,$U$7=TRUE)),VLOOKUP($E302,'Status Thresholds'!$E:$AR,19,FALSE),IF((AND($U$4=TRUE,$U$5=FALSE,$U$6=FALSE,$U$7=TRUE)),VLOOKUP($E302,'Status Thresholds'!$E:$AR,9,FALSE),
IF((AND($U$4=FALSE,$U$5=TRUE,$U$6=FALSE,$U$7=FALSE)),VLOOKUP($E302,'Status Thresholds'!$E:$AR,24,FALSE),IF((AND($U$4=FALSE,$U$5=TRUE,$U$6=TRUE,$U$7=FALSE)),VLOOKUP($E302,'Status Thresholds'!$E:$AR,34,FALSE),IF((AND($U$4=FALSE,$U$5=TRUE,$U$6=TRUE,$U$7=TRUE)),VLOOKUP($E302,'Status Thresholds'!$E:$AR,39,FALSE),IF((AND($U$4=FALSE,$U$5=TRUE,$U$6=FALSE,$U$7=TRUE)),VLOOKUP($E302,'Status Thresholds'!$E:$AR,29,FALSE)))))))))
))/
IF(OR($X$5=TRUE,$AC$3=TRUE
),($F$7/2), IF(OR($X$2,$X$3,$X$4,$X$6,$X$7,$X$8,$Z$2,$Z$3,$Z$4,$Z$5,$Z$6,$Z$7,$Z$8)=TRUE,$F$7)),0),"-")</f>
        <v>-</v>
      </c>
      <c r="I302" s="36" t="str">
        <f>IFERROR(
ROUNDUP(
IF(AND($U$5=FALSE,$U$4=FALSE),"-",IF(AND($U$5=TRUE,$U$4=TRUE),"-",
IF((AND($U$4=TRUE,$U$5=FALSE,$U$6=FALSE,$U$7=FALSE)),VLOOKUP($E302,'Status Thresholds'!$E:$AR,5,FALSE),IF((AND($U$4=TRUE,$U$5=FALSE,$U$6=TRUE,$U$7=FALSE)),VLOOKUP($E302,'Status Thresholds'!$E:$AR,15,FALSE),IF((AND($U$4=TRUE,$U$5=FALSE,$U$6=TRUE,$U$7=TRUE)),VLOOKUP($E302,'Status Thresholds'!$E:$AR,20,FALSE),IF((AND($U$4=TRUE,$U$5=FALSE,$U$6=FALSE,$U$7=TRUE)),VLOOKUP($E302,'Status Thresholds'!$E:$AR,10,FALSE),
IF((AND($U$4=FALSE,$U$5=TRUE,$U$6=FALSE,$U$7=FALSE)),VLOOKUP($E302,'Status Thresholds'!$E:$AR,25,FALSE),IF((AND($U$4=FALSE,$U$5=TRUE,$U$6=TRUE,$U$7=FALSE)),VLOOKUP($E302,'Status Thresholds'!$E:$AR,35,FALSE),IF((AND($U$4=FALSE,$U$5=TRUE,$U$6=TRUE,$U$7=TRUE)),VLOOKUP($E302,'Status Thresholds'!$E:$AR,40,FALSE),IF((AND($U$4=FALSE,$U$5=TRUE,$U$6=FALSE,$U$7=TRUE)),VLOOKUP($E302,'Status Thresholds'!$E:$AR,30,FALSE)))))))))
))/
IF(OR($X$5=TRUE,$AC$3=TRUE
),($F$7/2), IF(OR($X$2,$X$3,$X$4,$X$6,$X$7,$X$8,$Z$2,$Z$3,$Z$4,$Z$5,$Z$6,$Z$7,$Z$8)=TRUE,$F$7)),0),"-")</f>
        <v>-</v>
      </c>
      <c r="J302" s="46">
        <f>IFERROR(IF(AND($U$5=FALSE,$U$4=FALSE),"-",VLOOKUP($E302,'Status Thresholds'!$E:$AU,41,FALSE)),"-")</f>
        <v>0</v>
      </c>
      <c r="K302" s="46" t="str">
        <f>IFERROR(IF(AND($U$5=FALSE,$U$4=FALSE),"-",VLOOKUP($E302,'Status Thresholds'!$E:$AU,42,FALSE)),"-")</f>
        <v>-</v>
      </c>
      <c r="L302" s="46" t="str">
        <f>IFERROR(IF(AND($U$5=FALSE,$U$4=FALSE),"-",VLOOKUP($E302,'Status Thresholds'!$E:$AU,43,FALSE)),"-")</f>
        <v>-</v>
      </c>
    </row>
    <row r="303" spans="1:12" ht="14.45" customHeight="1" x14ac:dyDescent="0.25">
      <c r="A303" s="35"/>
      <c r="B303" s="64" t="str">
        <f>VLOOKUP(C303,'Status Thresholds'!B:C,2,FALSE)</f>
        <v>MHGU</v>
      </c>
      <c r="C303" s="64" t="str">
        <f>IF('Status Thresholds'!B298=0, "", 'Status Thresholds'!B298)</f>
        <v>Fatalis (Crimson)</v>
      </c>
      <c r="D303" s="34" t="s">
        <v>14</v>
      </c>
      <c r="E303" s="36" t="str">
        <f t="shared" si="4"/>
        <v>Fatalis (Crimson)KO</v>
      </c>
      <c r="F303" s="36" t="s">
        <v>214</v>
      </c>
      <c r="G303" s="36" t="s">
        <v>214</v>
      </c>
      <c r="H303" s="36" t="s">
        <v>214</v>
      </c>
      <c r="I303" s="36" t="s">
        <v>214</v>
      </c>
      <c r="J303" s="46">
        <f>IFERROR(IF(AND($U$5=FALSE,$U$4=FALSE),"-",VLOOKUP($E303,'Status Thresholds'!$E:$AU,41,FALSE)),"-")</f>
        <v>0</v>
      </c>
      <c r="K303" s="46" t="str">
        <f>IFERROR(IF(AND($U$5=FALSE,$U$4=FALSE),"-",VLOOKUP($E303,'Status Thresholds'!$E:$AU,42,FALSE)),"-")</f>
        <v>-</v>
      </c>
      <c r="L303" s="46" t="str">
        <f>IFERROR(IF(AND($U$5=FALSE,$U$4=FALSE),"-",VLOOKUP($E303,'Status Thresholds'!$E:$AU,43,FALSE)),"-")</f>
        <v>-</v>
      </c>
    </row>
    <row r="304" spans="1:12" x14ac:dyDescent="0.25">
      <c r="A304" s="35"/>
      <c r="B304" s="64" t="str">
        <f>VLOOKUP(C304,'Status Thresholds'!B:C,2,FALSE)</f>
        <v>MHGU</v>
      </c>
      <c r="C304" s="64" t="str">
        <f>IF('Status Thresholds'!B299=0, "", 'Status Thresholds'!B299)</f>
        <v>Fatalis (Crimson)</v>
      </c>
      <c r="D304" s="33" t="s">
        <v>34</v>
      </c>
      <c r="E304" s="36" t="str">
        <f t="shared" si="4"/>
        <v>Fatalis (Crimson)Mount</v>
      </c>
      <c r="F304" s="36" t="str">
        <f>IFERROR(
ROUNDUP(
IF(AND($U$5=FALSE,$U$4=FALSE),"-",IF(AND($U$5=TRUE,$U$4=TRUE),"-",
IF((AND($U$4=TRUE,$U$5=FALSE,$U$6=FALSE,$U$7=FALSE)),VLOOKUP($E304,'Status Thresholds'!$E:$AR,2,FALSE),IF((AND($U$4=TRUE,$U$5=FALSE,$U$6=TRUE,$U$7=FALSE)),VLOOKUP($E304,'Status Thresholds'!$E:$AR,12,FALSE),IF((AND($U$4=TRUE,$U$5=FALSE,$U$6=TRUE,$U$7=TRUE)),VLOOKUP($E304,'Status Thresholds'!$E:$AR,17,FALSE),IF((AND($U$4=TRUE,$U$5=FALSE,$U$6=FALSE,$U$7=TRUE)),VLOOKUP($E304,'Status Thresholds'!$E:$AR,7,FALSE),
IF((AND($U$4=FALSE,$U$5=TRUE,$U$6=FALSE,$U$7=FALSE)),VLOOKUP($E304,'Status Thresholds'!$E:$AR,22,FALSE),IF((AND($U$4=FALSE,$U$5=TRUE,$U$6=TRUE,$U$7=FALSE)),VLOOKUP($E304,'Status Thresholds'!$E:$AR,32,FALSE),IF((AND($U$4=FALSE,$U$5=TRUE,$U$6=TRUE,$U$7=TRUE)),VLOOKUP($E304,'Status Thresholds'!$E:$AR,37,FALSE),IF((AND($U$4=FALSE,$U$5=TRUE,$U$6=FALSE,$U$7=TRUE)),VLOOKUP($E304,'Status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304" s="36" t="str">
        <f>IFERROR(
ROUNDUP(
IF(AND($U$5=FALSE,$U$4=FALSE),"-",IF(AND($U$5=TRUE,$U$4=TRUE),"-",
IF((AND($U$4=TRUE,$U$5=FALSE,$U$6=FALSE,$U$7=FALSE)),VLOOKUP($E303,'Status Thresholds'!$E:$AR,3,FALSE),IF((AND($U$4=TRUE,$U$5=FALSE,$U$6=TRUE,$U$7=FALSE)),VLOOKUP($E303,'Status Thresholds'!$E:$AR,13,FALSE),IF((AND($U$4=TRUE,$U$5=FALSE,$U$6=TRUE,$U$7=TRUE)),VLOOKUP($E303,'Status Thresholds'!$E:$AR,18,FALSE),IF((AND($U$4=TRUE,$U$5=FALSE,$U$6=FALSE,$U$7=TRUE)),VLOOKUP($E303,'Status Thresholds'!$E:$AR,8,FALSE),
IF((AND($U$4=FALSE,$U$5=TRUE,$U$6=FALSE,$U$7=FALSE)),VLOOKUP($E303,'Status Thresholds'!$E:$AR,23,FALSE),IF((AND($U$4=FALSE,$U$5=TRUE,$U$6=TRUE,$U$7=FALSE)),VLOOKUP($E303,'Status Thresholds'!$E:$AR,33,FALSE),IF((AND($U$4=FALSE,$U$5=TRUE,$U$6=TRUE,$U$7=TRUE)),VLOOKUP($E303,'Status Thresholds'!$E:$AR,38,FALSE),IF((AND($U$4=FALSE,$U$5=TRUE,$U$6=FALSE,$U$7=TRUE)),VLOOKUP($E303,'Status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304" s="36" t="str">
        <f>IFERROR(
ROUNDUP(
IF(AND($U$5=FALSE,$U$4=FALSE),"-",IF(AND($U$5=TRUE,$U$4=TRUE),"-",
IF((AND($U$4=TRUE,$U$5=FALSE,$U$6=FALSE,$U$7=FALSE)),VLOOKUP($E303,'Status Thresholds'!$E:$AR,4,FALSE),IF((AND($U$4=TRUE,$U$5=FALSE,$U$6=TRUE,$U$7=FALSE)),VLOOKUP($E303,'Status Thresholds'!$E:$AR,14,FALSE),IF((AND($U$4=TRUE,$U$5=FALSE,$U$6=TRUE,$U$7=TRUE)),VLOOKUP($E303,'Status Thresholds'!$E:$AR,19,FALSE),IF((AND($U$4=TRUE,$U$5=FALSE,$U$6=FALSE,$U$7=TRUE)),VLOOKUP($E303,'Status Thresholds'!$E:$AR,9,FALSE),
IF((AND($U$4=FALSE,$U$5=TRUE,$U$6=FALSE,$U$7=FALSE)),VLOOKUP($E303,'Status Thresholds'!$E:$AR,24,FALSE),IF((AND($U$4=FALSE,$U$5=TRUE,$U$6=TRUE,$U$7=FALSE)),VLOOKUP($E303,'Status Thresholds'!$E:$AR,34,FALSE),IF((AND($U$4=FALSE,$U$5=TRUE,$U$6=TRUE,$U$7=TRUE)),VLOOKUP($E303,'Status Thresholds'!$E:$AR,39,FALSE),IF((AND($U$4=FALSE,$U$5=TRUE,$U$6=FALSE,$U$7=TRUE)),VLOOKUP($E303,'Status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304" s="36" t="str">
        <f>IFERROR(
ROUNDUP(
IF(AND($U$5=FALSE,$U$4=FALSE),"-",IF(AND($U$5=TRUE,$U$4=TRUE),"-",
IF((AND($U$4=TRUE,$U$5=FALSE,$U$6=FALSE,$U$7=FALSE)),VLOOKUP($E303,'Status Thresholds'!$E:$AR,5,FALSE),IF((AND($U$4=TRUE,$U$5=FALSE,$U$6=TRUE,$U$7=FALSE)),VLOOKUP($E303,'Status Thresholds'!$E:$AR,15,FALSE),IF((AND($U$4=TRUE,$U$5=FALSE,$U$6=TRUE,$U$7=TRUE)),VLOOKUP($E303,'Status Thresholds'!$E:$AR,20,FALSE),IF((AND($U$4=TRUE,$U$5=FALSE,$U$6=FALSE,$U$7=TRUE)),VLOOKUP($E303,'Status Thresholds'!$E:$AR,10,FALSE),
IF((AND($U$4=FALSE,$U$5=TRUE,$U$6=FALSE,$U$7=FALSE)),VLOOKUP($E303,'Status Thresholds'!$E:$AR,25,FALSE),IF((AND($U$4=FALSE,$U$5=TRUE,$U$6=TRUE,$U$7=FALSE)),VLOOKUP($E303,'Status Thresholds'!$E:$AR,35,FALSE),IF((AND($U$4=FALSE,$U$5=TRUE,$U$6=TRUE,$U$7=TRUE)),VLOOKUP($E303,'Status Thresholds'!$E:$AR,40,FALSE),IF((AND($U$4=FALSE,$U$5=TRUE,$U$6=FALSE,$U$7=TRUE)),VLOOKUP($E303,'Status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304" s="46">
        <f>IFERROR(IF(AND($U$5=FALSE,$U$4=FALSE),"-",VLOOKUP($E304,'Status Thresholds'!$E:$AU,41,FALSE)),"-")</f>
        <v>0</v>
      </c>
      <c r="K304" s="46" t="str">
        <f>IFERROR(IF(AND($U$5=FALSE,$U$4=FALSE),"-",VLOOKUP($E304,'Status Thresholds'!$E:$AU,42,FALSE)),"-")</f>
        <v>-</v>
      </c>
      <c r="L304" s="46" t="str">
        <f>IFERROR(IF(AND($U$5=FALSE,$U$4=FALSE),"-",VLOOKUP($E304,'Status Thresholds'!$E:$AU,43,FALSE)),"-")</f>
        <v>-</v>
      </c>
    </row>
    <row r="305" spans="1:12" ht="15" customHeight="1" x14ac:dyDescent="0.25">
      <c r="A305" s="35"/>
      <c r="B305" s="64" t="str">
        <f>VLOOKUP(C305,'Status Thresholds'!B:C,2,FALSE)</f>
        <v>MHGU</v>
      </c>
      <c r="C305" s="64" t="str">
        <f>IF('Status Thresholds'!B300=0, "", 'Status Thresholds'!B300)</f>
        <v>Fatalis (Crimson)</v>
      </c>
      <c r="D305" s="77" t="s">
        <v>207</v>
      </c>
      <c r="E305" s="36" t="str">
        <f t="shared" si="4"/>
        <v>Fatalis (Crimson)Shock Trap</v>
      </c>
      <c r="F305" s="76" t="s">
        <v>214</v>
      </c>
      <c r="G305" s="46" t="s">
        <v>214</v>
      </c>
      <c r="H305" s="46" t="s">
        <v>214</v>
      </c>
      <c r="I305" s="46" t="s">
        <v>214</v>
      </c>
      <c r="J305" s="46">
        <f>IFERROR(IF(AND($U$5=FALSE,$U$4=FALSE),"-",VLOOKUP($E305,'Status Thresholds'!$E:$AU,43,FALSE)),"-")</f>
        <v>0</v>
      </c>
      <c r="K305" s="46">
        <f>IFERROR(IF(AND($U$5=FALSE,$U$4=FALSE),"-",VLOOKUP($E305,'Status Thresholds'!$E:$AU,41,FALSE)),"-")</f>
        <v>0</v>
      </c>
      <c r="L305" s="46">
        <f>IFERROR(IF(AND($U$5=FALSE,$U$4=FALSE),"-",VLOOKUP($E305,'Status Thresholds'!$E:$AU,42,FALSE)),"-")</f>
        <v>0</v>
      </c>
    </row>
    <row r="306" spans="1:12" x14ac:dyDescent="0.25">
      <c r="A306" s="35"/>
      <c r="B306" s="64" t="str">
        <f>VLOOKUP(C306,'Status Thresholds'!B:C,2,FALSE)</f>
        <v>MHGU</v>
      </c>
      <c r="C306" s="64" t="str">
        <f>IF('Status Thresholds'!B301=0, "", 'Status Thresholds'!B301)</f>
        <v>Fatalis (Crimson)</v>
      </c>
      <c r="D306" s="77" t="s">
        <v>213</v>
      </c>
      <c r="E306" s="36" t="str">
        <f t="shared" si="4"/>
        <v>Fatalis (Crimson)Pitfall Trap</v>
      </c>
      <c r="F306" s="46" t="s">
        <v>214</v>
      </c>
      <c r="G306" s="46" t="s">
        <v>214</v>
      </c>
      <c r="H306" s="46" t="s">
        <v>214</v>
      </c>
      <c r="I306" s="46" t="s">
        <v>214</v>
      </c>
      <c r="J306" s="46">
        <f>IFERROR(IF(AND($U$5=FALSE,$U$4=FALSE),"-",VLOOKUP($E306,'Status Thresholds'!$E:$AU,43,FALSE)),"-")</f>
        <v>0</v>
      </c>
      <c r="K306" s="46">
        <f>IFERROR(IF(AND($U$5=FALSE,$U$4=FALSE),"-",VLOOKUP($E306,'Status Thresholds'!$E:$AU,41,FALSE)),"-")</f>
        <v>0</v>
      </c>
      <c r="L306" s="46">
        <f>IFERROR(IF(AND($U$5=FALSE,$U$4=FALSE),"-",VLOOKUP($E306,'Status Thresholds'!$E:$AU,42,FALSE)),"-")</f>
        <v>0</v>
      </c>
    </row>
    <row r="307" spans="1:12" s="36" customFormat="1" x14ac:dyDescent="0.25">
      <c r="A307" s="64"/>
      <c r="B307" s="64" t="str">
        <f>VLOOKUP(C307,'Status Thresholds'!B:C,2,FALSE)</f>
        <v>MHGU</v>
      </c>
      <c r="C307" s="64" t="str">
        <f>IF('Status Thresholds'!B302=0, "", 'Status Thresholds'!B302)</f>
        <v>Fatalis (White, Old)</v>
      </c>
      <c r="D307" s="37" t="s">
        <v>0</v>
      </c>
      <c r="E307" s="36" t="str">
        <f t="shared" si="4"/>
        <v>Fatalis (White, Old)Para</v>
      </c>
      <c r="F307" s="36" t="str">
        <f>IFERROR(
ROUNDUP(
IF(AND($U$5=FALSE,$U$4=FALSE),"-",IF(AND($U$5=TRUE,$U$4=TRUE),"-",
IF((AND($U$4=TRUE,$U$5=FALSE,$U$6=FALSE,$U$7=FALSE)),VLOOKUP($E307,'Status Thresholds'!$E:$AR,2,FALSE),IF((AND($U$4=TRUE,$U$5=FALSE,$U$6=TRUE,$U$7=FALSE)),VLOOKUP($E307,'Status Thresholds'!$E:$AR,12,FALSE),IF((AND($U$4=TRUE,$U$5=FALSE,$U$6=TRUE,$U$7=TRUE)),VLOOKUP($E307,'Status Thresholds'!$E:$AR,17,FALSE),IF((AND($U$4=TRUE,$U$5=FALSE,$U$6=FALSE,$U$7=TRUE)),VLOOKUP($E307,'Status Thresholds'!$E:$AR,7,FALSE),
IF((AND($U$4=FALSE,$U$5=TRUE,$U$6=FALSE,$U$7=FALSE)),VLOOKUP($E307,'Status Thresholds'!$E:$AR,22,FALSE),IF((AND($U$4=FALSE,$U$5=TRUE,$U$6=TRUE,$U$7=FALSE)),VLOOKUP($E307,'Status Thresholds'!$E:$AR,32,FALSE),IF((AND($U$4=FALSE,$U$5=TRUE,$U$6=TRUE,$U$7=TRUE)),VLOOKUP($E307,'Status Thresholds'!$E:$AR,37,FALSE),IF((AND($U$4=FALSE,$U$5=TRUE,$U$6=FALSE,$U$7=TRUE)),VLOOKUP($E307,'Status Thresholds'!$E:$AR,27,FALSE)))))))))
))/
IF(OR($X$5=TRUE,$AC$3=TRUE
),($F$3/2), IF(OR($X$2,$X$3,$X$4,$X$6,$X$7,$X$8,$Z$2,$Z$3,$Z$4,$Z$5,$Z$6,$Z$7,$Z$8)=TRUE,$F$3)),0),"-")</f>
        <v>-</v>
      </c>
      <c r="G307" s="36" t="str">
        <f>IFERROR(
ROUNDUP(
IF(AND($U$5=FALSE,$U$4=FALSE),"-",IF(AND($U$5=TRUE,$U$4=TRUE),"-",
IF((AND($U$4=TRUE,$U$5=FALSE,$U$6=FALSE,$U$7=FALSE)),VLOOKUP($E307,'Status Thresholds'!$E:$AR,3,FALSE),IF((AND($U$4=TRUE,$U$5=FALSE,$U$6=TRUE,$U$7=FALSE)),VLOOKUP($E307,'Status Thresholds'!$E:$AR,13,FALSE),IF((AND($U$4=TRUE,$U$5=FALSE,$U$6=TRUE,$U$7=TRUE)),VLOOKUP($E307,'Status Thresholds'!$E:$AR,18,FALSE),IF((AND($U$4=TRUE,$U$5=FALSE,$U$6=FALSE,$U$7=TRUE)),VLOOKUP($E307,'Status Thresholds'!$E:$AR,8,FALSE),
IF((AND($U$4=FALSE,$U$5=TRUE,$U$6=FALSE,$U$7=FALSE)),VLOOKUP($E307,'Status Thresholds'!$E:$AR,23,FALSE),IF((AND($U$4=FALSE,$U$5=TRUE,$U$6=TRUE,$U$7=FALSE)),VLOOKUP($E307,'Status Thresholds'!$E:$AR,33,FALSE),IF((AND($U$4=FALSE,$U$5=TRUE,$U$6=TRUE,$U$7=TRUE)),VLOOKUP($E307,'Status Thresholds'!$E:$AR,38,FALSE),IF((AND($U$4=FALSE,$U$5=TRUE,$U$6=FALSE,$U$7=TRUE)),VLOOKUP($E307,'Status Thresholds'!$E:$AR,28,FALSE)))))))))
))/
IF(OR($X$5=TRUE,$AC$3=TRUE
),($F$3/2), IF(OR($X$2,$X$3,$X$4,$X$6,$X$7,$X$8,$Z$2,$Z$3,$Z$4,$Z$5,$Z$6,$Z$7,$Z$8)=TRUE,$F$3)),0),"-")</f>
        <v>-</v>
      </c>
      <c r="H307" s="36" t="str">
        <f>IFERROR(
ROUNDUP(
IF(AND($U$5=FALSE,$U$4=FALSE),"-",IF(AND($U$5=TRUE,$U$4=TRUE),"-",
IF((AND($U$4=TRUE,$U$5=FALSE,$U$6=FALSE,$U$7=FALSE)),VLOOKUP($E307,'Status Thresholds'!$E:$AR,4,FALSE),IF((AND($U$4=TRUE,$U$5=FALSE,$U$6=TRUE,$U$7=FALSE)),VLOOKUP($E307,'Status Thresholds'!$E:$AR,14,FALSE),IF((AND($U$4=TRUE,$U$5=FALSE,$U$6=TRUE,$U$7=TRUE)),VLOOKUP($E307,'Status Thresholds'!$E:$AR,19,FALSE),IF((AND($U$4=TRUE,$U$5=FALSE,$U$6=FALSE,$U$7=TRUE)),VLOOKUP($E307,'Status Thresholds'!$E:$AR,9,FALSE),
IF((AND($U$4=FALSE,$U$5=TRUE,$U$6=FALSE,$U$7=FALSE)),VLOOKUP($E307,'Status Thresholds'!$E:$AR,24,FALSE),IF((AND($U$4=FALSE,$U$5=TRUE,$U$6=TRUE,$U$7=FALSE)),VLOOKUP($E307,'Status Thresholds'!$E:$AR,34,FALSE),IF((AND($U$4=FALSE,$U$5=TRUE,$U$6=TRUE,$U$7=TRUE)),VLOOKUP($E307,'Status Thresholds'!$E:$AR,39,FALSE),IF((AND($U$4=FALSE,$U$5=TRUE,$U$6=FALSE,$U$7=TRUE)),VLOOKUP($E307,'Status Thresholds'!$E:$AR,29,FALSE)))))))))
))/
IF(OR($X$5=TRUE,$AC$3=TRUE
),($F$3/2), IF(OR($X$2,$X$3,$X$4,$X$6,$X$7,$X$8,$Z$2,$Z$3,$Z$4,$Z$5,$Z$6,$Z$7,$Z$8)=TRUE,$F$3)),0),"-")</f>
        <v>-</v>
      </c>
      <c r="I307" s="36" t="str">
        <f>IFERROR(
ROUNDUP(
IF(AND($U$5=FALSE,$U$4=FALSE),"-",IF(AND($U$5=TRUE,$U$4=TRUE),"-",
IF((AND($U$4=TRUE,$U$5=FALSE,$U$6=FALSE,$U$7=FALSE)),VLOOKUP($E307,'Status Thresholds'!$E:$AR,5,FALSE),IF((AND($U$4=TRUE,$U$5=FALSE,$U$6=TRUE,$U$7=FALSE)),VLOOKUP($E307,'Status Thresholds'!$E:$AR,15,FALSE),IF((AND($U$4=TRUE,$U$5=FALSE,$U$6=TRUE,$U$7=TRUE)),VLOOKUP($E307,'Status Thresholds'!$E:$AR,20,FALSE),IF((AND($U$4=TRUE,$U$5=FALSE,$U$6=FALSE,$U$7=TRUE)),VLOOKUP($E307,'Status Thresholds'!$E:$AR,10,FALSE),
IF((AND($U$4=FALSE,$U$5=TRUE,$U$6=FALSE,$U$7=FALSE)),VLOOKUP($E307,'Status Thresholds'!$E:$AR,25,FALSE),IF((AND($U$4=FALSE,$U$5=TRUE,$U$6=TRUE,$U$7=FALSE)),VLOOKUP($E307,'Status Thresholds'!$E:$AR,35,FALSE),IF((AND($U$4=FALSE,$U$5=TRUE,$U$6=TRUE,$U$7=TRUE)),VLOOKUP($E307,'Status Thresholds'!$E:$AR,40,FALSE),IF((AND($U$4=FALSE,$U$5=TRUE,$U$6=FALSE,$U$7=TRUE)),VLOOKUP($E307,'Status Thresholds'!$E:$AR,30,FALSE)))))))))
))/
IF(OR($X$5=TRUE,$AC$3=TRUE
),($F$3/2), IF(OR($X$2,$X$3,$X$4,$X$6,$X$7,$X$8,$Z$2,$Z$3,$Z$4,$Z$5,$Z$6,$Z$7,$Z$8)=TRUE,$F$3)),0),"-")</f>
        <v>-</v>
      </c>
      <c r="J307" s="36">
        <f>IFERROR(IF(AND($U$5=FALSE,$U$4=FALSE),"-",VLOOKUP($E307,'Status Thresholds'!$E:$AU,41,FALSE)),"-")</f>
        <v>10</v>
      </c>
      <c r="K307" s="36" t="str">
        <f>IFERROR(IF(AND($U$5=FALSE,$U$4=FALSE),"-",VLOOKUP($E307,'Status Thresholds'!$E:$AU,42,FALSE)),"-")</f>
        <v>-</v>
      </c>
      <c r="L307" s="36" t="str">
        <f>IFERROR(IF(AND($U$5=FALSE,$U$4=FALSE),"-",VLOOKUP($E307,'Status Thresholds'!$E:$AU,43,FALSE)),"-")</f>
        <v>-</v>
      </c>
    </row>
    <row r="308" spans="1:12" x14ac:dyDescent="0.25">
      <c r="A308" s="35"/>
      <c r="B308" s="64" t="str">
        <f>VLOOKUP(C308,'Status Thresholds'!B:C,2,FALSE)</f>
        <v>MHGU</v>
      </c>
      <c r="C308" s="64" t="str">
        <f>IF('Status Thresholds'!B303=0, "", 'Status Thresholds'!B303)</f>
        <v>Fatalis (White, Old)</v>
      </c>
      <c r="D308" s="31" t="s">
        <v>32</v>
      </c>
      <c r="E308" s="36" t="str">
        <f t="shared" si="4"/>
        <v>Fatalis (White, Old)Sleep</v>
      </c>
      <c r="F308" s="36" t="str">
        <f>IFERROR(
ROUNDUP(
IF(AND($U$5=FALSE,$U$4=FALSE),"-",IF(AND($U$5=TRUE,$U$4=TRUE),"-",
IF((AND($U$4=TRUE,$U$5=FALSE,$U$6=FALSE,$U$7=FALSE)),VLOOKUP($E308,'Status Thresholds'!$E:$AR,2,FALSE),IF((AND($U$4=TRUE,$U$5=FALSE,$U$6=TRUE,$U$7=FALSE)),VLOOKUP($E308,'Status Thresholds'!$E:$AR,12,FALSE),IF((AND($U$4=TRUE,$U$5=FALSE,$U$6=TRUE,$U$7=TRUE)),VLOOKUP($E308,'Status Thresholds'!$E:$AR,17,FALSE),IF((AND($U$4=TRUE,$U$5=FALSE,$U$6=FALSE,$U$7=TRUE)),VLOOKUP($E308,'Status Thresholds'!$E:$AR,7,FALSE),
IF((AND($U$4=FALSE,$U$5=TRUE,$U$6=FALSE,$U$7=FALSE)),VLOOKUP($E308,'Status Thresholds'!$E:$AR,22,FALSE),IF((AND($U$4=FALSE,$U$5=TRUE,$U$6=TRUE,$U$7=FALSE)),VLOOKUP($E308,'Status Thresholds'!$E:$AR,32,FALSE),IF((AND($U$4=FALSE,$U$5=TRUE,$U$6=TRUE,$U$7=TRUE)),VLOOKUP($E308,'Status Thresholds'!$E:$AR,37,FALSE),IF((AND($U$4=FALSE,$U$5=TRUE,$U$6=FALSE,$U$7=TRUE)),VLOOKUP($E308,'Status Thresholds'!$E:$AR,27,FALSE)))))))))
))/
IF(OR($X$5=TRUE,$AC$3=TRUE
),($F$4/2), IF(OR($X$2,$X$3,$X$4,$X$6,$X$7,$X$8,$Z$2,$Z$3,$Z$4,$Z$5,$Z$6,$Z$7,$Z$8)=TRUE,$F$4)),0),"-")</f>
        <v>-</v>
      </c>
      <c r="G308" s="36" t="str">
        <f>IFERROR(
ROUNDUP(
IF(AND($U$5=FALSE,$U$4=FALSE),"-",IF(AND($U$5=TRUE,$U$4=TRUE),"-",
IF((AND($U$4=TRUE,$U$5=FALSE,$U$6=FALSE,$U$7=FALSE)),VLOOKUP($E308,'Status Thresholds'!$E:$AR,3,FALSE),IF((AND($U$4=TRUE,$U$5=FALSE,$U$6=TRUE,$U$7=FALSE)),VLOOKUP($E308,'Status Thresholds'!$E:$AR,13,FALSE),IF((AND($U$4=TRUE,$U$5=FALSE,$U$6=TRUE,$U$7=TRUE)),VLOOKUP($E308,'Status Thresholds'!$E:$AR,18,FALSE),IF((AND($U$4=TRUE,$U$5=FALSE,$U$6=FALSE,$U$7=TRUE)),VLOOKUP($E308,'Status Thresholds'!$E:$AR,8,FALSE),
IF((AND($U$4=FALSE,$U$5=TRUE,$U$6=FALSE,$U$7=FALSE)),VLOOKUP($E308,'Status Thresholds'!$E:$AR,23,FALSE),IF((AND($U$4=FALSE,$U$5=TRUE,$U$6=TRUE,$U$7=FALSE)),VLOOKUP($E308,'Status Thresholds'!$E:$AR,33,FALSE),IF((AND($U$4=FALSE,$U$5=TRUE,$U$6=TRUE,$U$7=TRUE)),VLOOKUP($E308,'Status Thresholds'!$E:$AR,38,FALSE),IF((AND($U$4=FALSE,$U$5=TRUE,$U$6=FALSE,$U$7=TRUE)),VLOOKUP($E308,'Status Thresholds'!$E:$AR,28,FALSE)))))))))
))/
IF(OR($X$5=TRUE,$AC$3=TRUE
),($F$4/2), IF(OR($X$2,$X$3,$X$4,$X$6,$X$7,$X$8,$Z$2,$Z$3,$Z$4,$Z$5,$Z$6,$Z$7,$Z$8)=TRUE,$F$4)),0),"-")</f>
        <v>-</v>
      </c>
      <c r="H308" s="36" t="str">
        <f>IFERROR(
ROUNDUP(
IF(AND($U$5=FALSE,$U$4=FALSE),"-",IF(AND($U$5=TRUE,$U$4=TRUE),"-",
IF((AND($U$4=TRUE,$U$5=FALSE,$U$6=FALSE,$U$7=FALSE)),VLOOKUP($E308,'Status Thresholds'!$E:$AR,4,FALSE),IF((AND($U$4=TRUE,$U$5=FALSE,$U$6=TRUE,$U$7=FALSE)),VLOOKUP($E308,'Status Thresholds'!$E:$AR,14,FALSE),IF((AND($U$4=TRUE,$U$5=FALSE,$U$6=TRUE,$U$7=TRUE)),VLOOKUP($E308,'Status Thresholds'!$E:$AR,19,FALSE),IF((AND($U$4=TRUE,$U$5=FALSE,$U$6=FALSE,$U$7=TRUE)),VLOOKUP($E308,'Status Thresholds'!$E:$AR,9,FALSE),
IF((AND($U$4=FALSE,$U$5=TRUE,$U$6=FALSE,$U$7=FALSE)),VLOOKUP($E308,'Status Thresholds'!$E:$AR,24,FALSE),IF((AND($U$4=FALSE,$U$5=TRUE,$U$6=TRUE,$U$7=FALSE)),VLOOKUP($E308,'Status Thresholds'!$E:$AR,34,FALSE),IF((AND($U$4=FALSE,$U$5=TRUE,$U$6=TRUE,$U$7=TRUE)),VLOOKUP($E308,'Status Thresholds'!$E:$AR,39,FALSE),IF((AND($U$4=FALSE,$U$5=TRUE,$U$6=FALSE,$U$7=TRUE)),VLOOKUP($E308,'Status Thresholds'!$E:$AR,29,FALSE)))))))))
))/
IF(OR($X$5=TRUE,$AC$3=TRUE
),($F$4/2), IF(OR($X$2,$X$3,$X$4,$X$6,$X$7,$X$8,$Z$2,$Z$3,$Z$4,$Z$5,$Z$6,$Z$7,$Z$8)=TRUE,$F$4)),0),"-")</f>
        <v>-</v>
      </c>
      <c r="I308" s="36" t="str">
        <f>IFERROR(
ROUNDUP(
IF(AND($U$5=FALSE,$U$4=FALSE),"-",IF(AND($U$5=TRUE,$U$4=TRUE),"-",
IF((AND($U$4=TRUE,$U$5=FALSE,$U$6=FALSE,$U$7=FALSE)),VLOOKUP($E308,'Status Thresholds'!$E:$AR,5,FALSE),IF((AND($U$4=TRUE,$U$5=FALSE,$U$6=TRUE,$U$7=FALSE)),VLOOKUP($E308,'Status Thresholds'!$E:$AR,15,FALSE),IF((AND($U$4=TRUE,$U$5=FALSE,$U$6=TRUE,$U$7=TRUE)),VLOOKUP($E308,'Status Thresholds'!$E:$AR,20,FALSE),IF((AND($U$4=TRUE,$U$5=FALSE,$U$6=FALSE,$U$7=TRUE)),VLOOKUP($E308,'Status Thresholds'!$E:$AR,10,FALSE),
IF((AND($U$4=FALSE,$U$5=TRUE,$U$6=FALSE,$U$7=FALSE)),VLOOKUP($E308,'Status Thresholds'!$E:$AR,25,FALSE),IF((AND($U$4=FALSE,$U$5=TRUE,$U$6=TRUE,$U$7=FALSE)),VLOOKUP($E308,'Status Thresholds'!$E:$AR,35,FALSE),IF((AND($U$4=FALSE,$U$5=TRUE,$U$6=TRUE,$U$7=TRUE)),VLOOKUP($E308,'Status Thresholds'!$E:$AR,40,FALSE),IF((AND($U$4=FALSE,$U$5=TRUE,$U$6=FALSE,$U$7=TRUE)),VLOOKUP($E308,'Status Thresholds'!$E:$AR,30,FALSE)))))))))
))/
IF(OR($X$5=TRUE,$AC$3=TRUE
),($F$4/2), IF(OR($X$2,$X$3,$X$4,$X$6,$X$7,$X$8,$Z$2,$Z$3,$Z$4,$Z$5,$Z$6,$Z$7,$Z$8)=TRUE,$F$4)),0),"-")</f>
        <v>-</v>
      </c>
      <c r="J308" s="46">
        <f>IFERROR(IF(AND($U$5=FALSE,$U$4=FALSE),"-",VLOOKUP($E308,'Status Thresholds'!$E:$AU,41,FALSE)),"-")</f>
        <v>30</v>
      </c>
      <c r="K308" s="46" t="str">
        <f>IFERROR(IF(AND($U$5=FALSE,$U$4=FALSE),"-",VLOOKUP($E308,'Status Thresholds'!$E:$AU,42,FALSE)),"-")</f>
        <v>-</v>
      </c>
      <c r="L308" s="46" t="str">
        <f>IFERROR(IF(AND($U$5=FALSE,$U$4=FALSE),"-",VLOOKUP($E308,'Status Thresholds'!$E:$AU,43,FALSE)),"-")</f>
        <v>-</v>
      </c>
    </row>
    <row r="309" spans="1:12" x14ac:dyDescent="0.25">
      <c r="A309" s="35"/>
      <c r="B309" s="64" t="str">
        <f>VLOOKUP(C309,'Status Thresholds'!B:C,2,FALSE)</f>
        <v>MHGU</v>
      </c>
      <c r="C309" s="64" t="str">
        <f>IF('Status Thresholds'!B304=0, "", 'Status Thresholds'!B304)</f>
        <v>Fatalis (White, Old)</v>
      </c>
      <c r="D309" s="32" t="s">
        <v>33</v>
      </c>
      <c r="E309" s="36" t="str">
        <f t="shared" si="4"/>
        <v>Fatalis (White, Old)Poison</v>
      </c>
      <c r="F309" s="36" t="str">
        <f>IFERROR(
ROUNDUP(
IF(AND($U$5=FALSE,$U$4=FALSE),"-",IF(AND($U$5=TRUE,$U$4=TRUE),"-",
IF((AND($U$4=TRUE,$U$5=FALSE,$U$6=FALSE,$U$7=FALSE)),VLOOKUP($E309,'Status Thresholds'!$E:$AR,2,FALSE),IF((AND($U$4=TRUE,$U$5=FALSE,$U$6=TRUE,$U$7=FALSE)),VLOOKUP($E309,'Status Thresholds'!$E:$AR,12,FALSE),IF((AND($U$4=TRUE,$U$5=FALSE,$U$6=TRUE,$U$7=TRUE)),VLOOKUP($E309,'Status Thresholds'!$E:$AR,17,FALSE),IF((AND($U$4=TRUE,$U$5=FALSE,$U$6=FALSE,$U$7=TRUE)),VLOOKUP($E309,'Status Thresholds'!$E:$AR,7,FALSE),
IF((AND($U$4=FALSE,$U$5=TRUE,$U$6=FALSE,$U$7=FALSE)),VLOOKUP($E309,'Status Thresholds'!$E:$AR,22,FALSE),IF((AND($U$4=FALSE,$U$5=TRUE,$U$6=TRUE,$U$7=FALSE)),VLOOKUP($E309,'Status Thresholds'!$E:$AR,32,FALSE),IF((AND($U$4=FALSE,$U$5=TRUE,$U$6=TRUE,$U$7=TRUE)),VLOOKUP($E309,'Status Thresholds'!$E:$AR,37,FALSE),IF((AND($U$4=FALSE,$U$5=TRUE,$U$6=FALSE,$U$7=TRUE)),VLOOKUP($E309,'Status Thresholds'!$E:$AR,27,FALSE)))))))))
))/
IF(OR($X$5=TRUE,$AC$3=TRUE
),($F$5/2), IF(OR($X$2,$X$3,$X$4,$X$6,$X$7,$X$8,$Z$2,$Z$3,$Z$4,$Z$5,$Z$6,$Z$7,$Z$8)=TRUE,$F$5)),0),"-")</f>
        <v>-</v>
      </c>
      <c r="G309" s="36" t="str">
        <f>IFERROR(
ROUNDUP(
IF(AND($U$5=FALSE,$U$4=FALSE),"-",IF(AND($U$5=TRUE,$U$4=TRUE),"-",
IF((AND($U$4=TRUE,$U$5=FALSE,$U$6=FALSE,$U$7=FALSE)),VLOOKUP($E309,'Status Thresholds'!$E:$AR,3,FALSE),IF((AND($U$4=TRUE,$U$5=FALSE,$U$6=TRUE,$U$7=FALSE)),VLOOKUP($E309,'Status Thresholds'!$E:$AR,13,FALSE),IF((AND($U$4=TRUE,$U$5=FALSE,$U$6=TRUE,$U$7=TRUE)),VLOOKUP($E309,'Status Thresholds'!$E:$AR,18,FALSE),IF((AND($U$4=TRUE,$U$5=FALSE,$U$6=FALSE,$U$7=TRUE)),VLOOKUP($E309,'Status Thresholds'!$E:$AR,8,FALSE),
IF((AND($U$4=FALSE,$U$5=TRUE,$U$6=FALSE,$U$7=FALSE)),VLOOKUP($E309,'Status Thresholds'!$E:$AR,23,FALSE),IF((AND($U$4=FALSE,$U$5=TRUE,$U$6=TRUE,$U$7=FALSE)),VLOOKUP($E309,'Status Thresholds'!$E:$AR,33,FALSE),IF((AND($U$4=FALSE,$U$5=TRUE,$U$6=TRUE,$U$7=TRUE)),VLOOKUP($E309,'Status Thresholds'!$E:$AR,38,FALSE),IF((AND($U$4=FALSE,$U$5=TRUE,$U$6=FALSE,$U$7=TRUE)),VLOOKUP($E309,'Status Thresholds'!$E:$AR,28,FALSE)))))))))
))/
IF(OR($X$5=TRUE,$AC$3=TRUE
),($F$5/2), IF(OR($X$2,$X$3,$X$4,$X$6,$X$7,$X$8,$Z$2,$Z$3,$Z$4,$Z$5,$Z$6,$Z$7,$Z$8)=TRUE,$F$5)),0),"-")</f>
        <v>-</v>
      </c>
      <c r="H309" s="36" t="str">
        <f>IFERROR(
ROUNDUP(
IF(AND($U$5=FALSE,$U$4=FALSE),"-",IF(AND($U$5=TRUE,$U$4=TRUE),"-",
IF((AND($U$4=TRUE,$U$5=FALSE,$U$6=FALSE,$U$7=FALSE)),VLOOKUP($E309,'Status Thresholds'!$E:$AR,4,FALSE),IF((AND($U$4=TRUE,$U$5=FALSE,$U$6=TRUE,$U$7=FALSE)),VLOOKUP($E309,'Status Thresholds'!$E:$AR,14,FALSE),IF((AND($U$4=TRUE,$U$5=FALSE,$U$6=TRUE,$U$7=TRUE)),VLOOKUP($E309,'Status Thresholds'!$E:$AR,19,FALSE),IF((AND($U$4=TRUE,$U$5=FALSE,$U$6=FALSE,$U$7=TRUE)),VLOOKUP($E309,'Status Thresholds'!$E:$AR,9,FALSE),
IF((AND($U$4=FALSE,$U$5=TRUE,$U$6=FALSE,$U$7=FALSE)),VLOOKUP($E309,'Status Thresholds'!$E:$AR,24,FALSE),IF((AND($U$4=FALSE,$U$5=TRUE,$U$6=TRUE,$U$7=FALSE)),VLOOKUP($E309,'Status Thresholds'!$E:$AR,34,FALSE),IF((AND($U$4=FALSE,$U$5=TRUE,$U$6=TRUE,$U$7=TRUE)),VLOOKUP($E309,'Status Thresholds'!$E:$AR,39,FALSE),IF((AND($U$4=FALSE,$U$5=TRUE,$U$6=FALSE,$U$7=TRUE)),VLOOKUP($E309,'Status Thresholds'!$E:$AR,29,FALSE)))))))))
))/
IF(OR($X$5=TRUE,$AC$3=TRUE
),($F$5/2), IF(OR($X$2,$X$3,$X$4,$X$6,$X$7,$X$8,$Z$2,$Z$3,$Z$4,$Z$5,$Z$6,$Z$7,$Z$8)=TRUE,$F$5)),0),"-")</f>
        <v>-</v>
      </c>
      <c r="I309" s="36" t="str">
        <f>IFERROR(
ROUNDUP(
IF(AND($U$5=FALSE,$U$4=FALSE),"-",IF(AND($U$5=TRUE,$U$4=TRUE),"-",
IF((AND($U$4=TRUE,$U$5=FALSE,$U$6=FALSE,$U$7=FALSE)),VLOOKUP($E309,'Status Thresholds'!$E:$AR,5,FALSE),IF((AND($U$4=TRUE,$U$5=FALSE,$U$6=TRUE,$U$7=FALSE)),VLOOKUP($E309,'Status Thresholds'!$E:$AR,15,FALSE),IF((AND($U$4=TRUE,$U$5=FALSE,$U$6=TRUE,$U$7=TRUE)),VLOOKUP($E309,'Status Thresholds'!$E:$AR,20,FALSE),IF((AND($U$4=TRUE,$U$5=FALSE,$U$6=FALSE,$U$7=TRUE)),VLOOKUP($E309,'Status Thresholds'!$E:$AR,10,FALSE),
IF((AND($U$4=FALSE,$U$5=TRUE,$U$6=FALSE,$U$7=FALSE)),VLOOKUP($E309,'Status Thresholds'!$E:$AR,25,FALSE),IF((AND($U$4=FALSE,$U$5=TRUE,$U$6=TRUE,$U$7=FALSE)),VLOOKUP($E309,'Status Thresholds'!$E:$AR,35,FALSE),IF((AND($U$4=FALSE,$U$5=TRUE,$U$6=TRUE,$U$7=TRUE)),VLOOKUP($E309,'Status Thresholds'!$E:$AR,40,FALSE),IF((AND($U$4=FALSE,$U$5=TRUE,$U$6=FALSE,$U$7=TRUE)),VLOOKUP($E309,'Status Thresholds'!$E:$AR,30,FALSE)))))))))
))/
IF(OR($X$5=TRUE,$AC$3=TRUE
),($F$5/2), IF(OR($X$2,$X$3,$X$4,$X$6,$X$7,$X$8,$Z$2,$Z$3,$Z$4,$Z$5,$Z$6,$Z$7,$Z$8)=TRUE,$F$5)),0),"-")</f>
        <v>-</v>
      </c>
      <c r="J309" s="46">
        <f>IFERROR(IF(AND($U$5=FALSE,$U$4=FALSE),"-",VLOOKUP($E309,'Status Thresholds'!$E:$AU,41,FALSE)),"-")</f>
        <v>30</v>
      </c>
      <c r="K309" s="46" t="str">
        <f>IFERROR(IF(AND($U$5=FALSE,$U$4=FALSE),"-",VLOOKUP($E309,'Status Thresholds'!$E:$AU,42,FALSE)),"-")</f>
        <v>-</v>
      </c>
      <c r="L309" s="46" t="str">
        <f>IFERROR(IF(AND($U$5=FALSE,$U$4=FALSE),"-",VLOOKUP($E309,'Status Thresholds'!$E:$AU,43,FALSE)),"-")</f>
        <v>-</v>
      </c>
    </row>
    <row r="310" spans="1:12" x14ac:dyDescent="0.25">
      <c r="A310" s="35"/>
      <c r="B310" s="64" t="str">
        <f>VLOOKUP(C310,'Status Thresholds'!B:C,2,FALSE)</f>
        <v>MHGU</v>
      </c>
      <c r="C310" s="64" t="str">
        <f>IF('Status Thresholds'!B305=0, "", 'Status Thresholds'!B305)</f>
        <v>Fatalis (White, Old)</v>
      </c>
      <c r="D310" s="10" t="s">
        <v>22</v>
      </c>
      <c r="E310" s="36" t="str">
        <f t="shared" si="4"/>
        <v>Fatalis (White, Old)Exhaust</v>
      </c>
      <c r="F310" s="36" t="str">
        <f>IFERROR(
ROUNDUP(
IF(AND($U$5=FALSE,$U$4=FALSE),"-",IF(AND($U$5=TRUE,$U$4=TRUE),"-",
IF((AND($U$4=TRUE,$U$5=FALSE,$U$6=FALSE,$U$7=FALSE)),VLOOKUP($E310,'Status Thresholds'!$E:$AR,2,FALSE),IF((AND($U$4=TRUE,$U$5=FALSE,$U$6=TRUE,$U$7=FALSE)),VLOOKUP($E310,'Status Thresholds'!$E:$AR,12,FALSE),IF((AND($U$4=TRUE,$U$5=FALSE,$U$6=TRUE,$U$7=TRUE)),VLOOKUP($E310,'Status Thresholds'!$E:$AR,17,FALSE),IF((AND($U$4=TRUE,$U$5=FALSE,$U$6=FALSE,$U$7=TRUE)),VLOOKUP($E310,'Status Thresholds'!$E:$AR,7,FALSE),
IF((AND($U$4=FALSE,$U$5=TRUE,$U$6=FALSE,$U$7=FALSE)),VLOOKUP($E310,'Status Thresholds'!$E:$AR,22,FALSE),IF((AND($U$4=FALSE,$U$5=TRUE,$U$6=TRUE,$U$7=FALSE)),VLOOKUP($E310,'Status Thresholds'!$E:$AR,32,FALSE),IF((AND($U$4=FALSE,$U$5=TRUE,$U$6=TRUE,$U$7=TRUE)),VLOOKUP($E310,'Status Thresholds'!$E:$AR,37,FALSE),IF((AND($U$4=FALSE,$U$5=TRUE,$U$6=FALSE,$U$7=TRUE)),VLOOKUP($E310,'Status Thresholds'!$E:$AR,27,FALSE)))))))))
))/
IF(OR($X$5=TRUE,$AC$3=TRUE
),($F$6/2), IF(OR($X$2,$X$3,$X$4,$X$6,$X$7,$X$8,$Z$2,$Z$3,$Z$4,$Z$5,$Z$6,$Z$7,$Z$8)=TRUE,$F$6)),0),"-")</f>
        <v>-</v>
      </c>
      <c r="G310" s="36" t="str">
        <f>IFERROR(
ROUNDUP(
IF(AND($U$5=FALSE,$U$4=FALSE),"-",IF(AND($U$5=TRUE,$U$4=TRUE),"-",
IF((AND($U$4=TRUE,$U$5=FALSE,$U$6=FALSE,$U$7=FALSE)),VLOOKUP($E310,'Status Thresholds'!$E:$AR,3,FALSE),IF((AND($U$4=TRUE,$U$5=FALSE,$U$6=TRUE,$U$7=FALSE)),VLOOKUP($E310,'Status Thresholds'!$E:$AR,13,FALSE),IF((AND($U$4=TRUE,$U$5=FALSE,$U$6=TRUE,$U$7=TRUE)),VLOOKUP($E310,'Status Thresholds'!$E:$AR,18,FALSE),IF((AND($U$4=TRUE,$U$5=FALSE,$U$6=FALSE,$U$7=TRUE)),VLOOKUP($E310,'Status Thresholds'!$E:$AR,8,FALSE),
IF((AND($U$4=FALSE,$U$5=TRUE,$U$6=FALSE,$U$7=FALSE)),VLOOKUP($E310,'Status Thresholds'!$E:$AR,23,FALSE),IF((AND($U$4=FALSE,$U$5=TRUE,$U$6=TRUE,$U$7=FALSE)),VLOOKUP($E310,'Status Thresholds'!$E:$AR,33,FALSE),IF((AND($U$4=FALSE,$U$5=TRUE,$U$6=TRUE,$U$7=TRUE)),VLOOKUP($E310,'Status Thresholds'!$E:$AR,38,FALSE),IF((AND($U$4=FALSE,$U$5=TRUE,$U$6=FALSE,$U$7=TRUE)),VLOOKUP($E310,'Status Thresholds'!$E:$AR,28,FALSE)))))))))
))/
IF(OR($X$5=TRUE,$AC$3=TRUE
),($F$6/2), IF(OR($X$2,$X$3,$X$4,$X$6,$X$7,$X$8,$Z$2,$Z$3,$Z$4,$Z$5,$Z$6,$Z$7,$Z$8)=TRUE,$F$6)),0),"-")</f>
        <v>-</v>
      </c>
      <c r="H310" s="36" t="str">
        <f>IFERROR(
ROUNDUP(
IF(AND($U$5=FALSE,$U$4=FALSE),"-",IF(AND($U$5=TRUE,$U$4=TRUE),"-",
IF((AND($U$4=TRUE,$U$5=FALSE,$U$6=FALSE,$U$7=FALSE)),VLOOKUP($E310,'Status Thresholds'!$E:$AR,4,FALSE),IF((AND($U$4=TRUE,$U$5=FALSE,$U$6=TRUE,$U$7=FALSE)),VLOOKUP($E310,'Status Thresholds'!$E:$AR,14,FALSE),IF((AND($U$4=TRUE,$U$5=FALSE,$U$6=TRUE,$U$7=TRUE)),VLOOKUP($E310,'Status Thresholds'!$E:$AR,19,FALSE),IF((AND($U$4=TRUE,$U$5=FALSE,$U$6=FALSE,$U$7=TRUE)),VLOOKUP($E310,'Status Thresholds'!$E:$AR,9,FALSE),
IF((AND($U$4=FALSE,$U$5=TRUE,$U$6=FALSE,$U$7=FALSE)),VLOOKUP($E310,'Status Thresholds'!$E:$AR,24,FALSE),IF((AND($U$4=FALSE,$U$5=TRUE,$U$6=TRUE,$U$7=FALSE)),VLOOKUP($E310,'Status Thresholds'!$E:$AR,34,FALSE),IF((AND($U$4=FALSE,$U$5=TRUE,$U$6=TRUE,$U$7=TRUE)),VLOOKUP($E310,'Status Thresholds'!$E:$AR,39,FALSE),IF((AND($U$4=FALSE,$U$5=TRUE,$U$6=FALSE,$U$7=TRUE)),VLOOKUP($E310,'Status Thresholds'!$E:$AR,29,FALSE)))))))))
))/
IF(OR($X$5=TRUE,$AC$3=TRUE
),($F$6/2), IF(OR($X$2,$X$3,$X$4,$X$6,$X$7,$X$8,$Z$2,$Z$3,$Z$4,$Z$5,$Z$6,$Z$7,$Z$8)=TRUE,$F$6)),0),"-")</f>
        <v>-</v>
      </c>
      <c r="I310" s="36" t="str">
        <f>IFERROR(
ROUNDUP(
IF(AND($U$5=FALSE,$U$4=FALSE),"-",IF(AND($U$5=TRUE,$U$4=TRUE),"-",
IF((AND($U$4=TRUE,$U$5=FALSE,$U$6=FALSE,$U$7=FALSE)),VLOOKUP($E310,'Status Thresholds'!$E:$AR,5,FALSE),IF((AND($U$4=TRUE,$U$5=FALSE,$U$6=TRUE,$U$7=FALSE)),VLOOKUP($E310,'Status Thresholds'!$E:$AR,15,FALSE),IF((AND($U$4=TRUE,$U$5=FALSE,$U$6=TRUE,$U$7=TRUE)),VLOOKUP($E310,'Status Thresholds'!$E:$AR,20,FALSE),IF((AND($U$4=TRUE,$U$5=FALSE,$U$6=FALSE,$U$7=TRUE)),VLOOKUP($E310,'Status Thresholds'!$E:$AR,10,FALSE),
IF((AND($U$4=FALSE,$U$5=TRUE,$U$6=FALSE,$U$7=FALSE)),VLOOKUP($E310,'Status Thresholds'!$E:$AR,25,FALSE),IF((AND($U$4=FALSE,$U$5=TRUE,$U$6=TRUE,$U$7=FALSE)),VLOOKUP($E310,'Status Thresholds'!$E:$AR,35,FALSE),IF((AND($U$4=FALSE,$U$5=TRUE,$U$6=TRUE,$U$7=TRUE)),VLOOKUP($E310,'Status Thresholds'!$E:$AR,40,FALSE),IF((AND($U$4=FALSE,$U$5=TRUE,$U$6=FALSE,$U$7=TRUE)),VLOOKUP($E310,'Status Thresholds'!$E:$AR,30,FALSE)))))))))
))/
IF(OR($X$5=TRUE,$AC$3=TRUE
),($F$6/2), IF(OR($X$2,$X$3,$X$4,$X$6,$X$7,$X$8,$Z$2,$Z$3,$Z$4,$Z$5,$Z$6,$Z$7,$Z$8)=TRUE,$F$6)),0),"-")</f>
        <v>-</v>
      </c>
      <c r="J310" s="46">
        <f>IFERROR(IF(AND($U$5=FALSE,$U$4=FALSE),"-",VLOOKUP($E310,'Status Thresholds'!$E:$AU,41,FALSE)),"-")</f>
        <v>0</v>
      </c>
      <c r="K310" s="46" t="str">
        <f>IFERROR(IF(AND($U$5=FALSE,$U$4=FALSE),"-",VLOOKUP($E310,'Status Thresholds'!$E:$AU,42,FALSE)),"-")</f>
        <v>-</v>
      </c>
      <c r="L310" s="46" t="str">
        <f>IFERROR(IF(AND($U$5=FALSE,$U$4=FALSE),"-",VLOOKUP($E310,'Status Thresholds'!$E:$AU,43,FALSE)),"-")</f>
        <v>-</v>
      </c>
    </row>
    <row r="311" spans="1:12" x14ac:dyDescent="0.25">
      <c r="A311" s="35"/>
      <c r="B311" s="64" t="str">
        <f>VLOOKUP(C311,'Status Thresholds'!B:C,2,FALSE)</f>
        <v>MHGU</v>
      </c>
      <c r="C311" s="64" t="str">
        <f>IF('Status Thresholds'!B306=0, "", 'Status Thresholds'!B306)</f>
        <v>Fatalis (White, Old)</v>
      </c>
      <c r="D311" s="30" t="s">
        <v>35</v>
      </c>
      <c r="E311" s="36" t="str">
        <f t="shared" si="4"/>
        <v>Fatalis (White, Old)Blast</v>
      </c>
      <c r="F311" s="36" t="str">
        <f>IFERROR(
ROUNDUP(
IF(AND($U$5=FALSE,$U$4=FALSE),"-",IF(AND($U$5=TRUE,$U$4=TRUE),"-",
IF((AND($U$4=TRUE,$U$5=FALSE,$U$6=FALSE,$U$7=FALSE)),VLOOKUP($E311,'Status Thresholds'!$E:$AR,2,FALSE),IF((AND($U$4=TRUE,$U$5=FALSE,$U$6=TRUE,$U$7=FALSE)),VLOOKUP($E311,'Status Thresholds'!$E:$AR,12,FALSE),IF((AND($U$4=TRUE,$U$5=FALSE,$U$6=TRUE,$U$7=TRUE)),VLOOKUP($E311,'Status Thresholds'!$E:$AR,17,FALSE),IF((AND($U$4=TRUE,$U$5=FALSE,$U$6=FALSE,$U$7=TRUE)),VLOOKUP($E311,'Status Thresholds'!$E:$AR,7,FALSE),
IF((AND($U$4=FALSE,$U$5=TRUE,$U$6=FALSE,$U$7=FALSE)),VLOOKUP($E311,'Status Thresholds'!$E:$AR,22,FALSE),IF((AND($U$4=FALSE,$U$5=TRUE,$U$6=TRUE,$U$7=FALSE)),VLOOKUP($E311,'Status Thresholds'!$E:$AR,32,FALSE),IF((AND($U$4=FALSE,$U$5=TRUE,$U$6=TRUE,$U$7=TRUE)),VLOOKUP($E311,'Status Thresholds'!$E:$AR,37,FALSE),IF((AND($U$4=FALSE,$U$5=TRUE,$U$6=FALSE,$U$7=TRUE)),VLOOKUP($E311,'Status Thresholds'!$E:$AR,27,FALSE)))))))))
))/
IF(OR($X$5=TRUE,$AC$3=TRUE
),($F$7/2), IF(OR($X$2,$X$3,$X$4,$X$6,$X$7,$X$8,$Z$2,$Z$3,$Z$4,$Z$5,$Z$6,$Z$7,$Z$8)=TRUE,$F$7)),0),"-")</f>
        <v>-</v>
      </c>
      <c r="G311" s="36" t="str">
        <f>IFERROR(
ROUNDUP(
IF(AND($U$5=FALSE,$U$4=FALSE),"-",IF(AND($U$5=TRUE,$U$4=TRUE),"-",
IF((AND($U$4=TRUE,$U$5=FALSE,$U$6=FALSE,$U$7=FALSE)),VLOOKUP($E311,'Status Thresholds'!$E:$AR,3,FALSE),IF((AND($U$4=TRUE,$U$5=FALSE,$U$6=TRUE,$U$7=FALSE)),VLOOKUP($E311,'Status Thresholds'!$E:$AR,13,FALSE),IF((AND($U$4=TRUE,$U$5=FALSE,$U$6=TRUE,$U$7=TRUE)),VLOOKUP($E311,'Status Thresholds'!$E:$AR,18,FALSE),IF((AND($U$4=TRUE,$U$5=FALSE,$U$6=FALSE,$U$7=TRUE)),VLOOKUP($E311,'Status Thresholds'!$E:$AR,8,FALSE),
IF((AND($U$4=FALSE,$U$5=TRUE,$U$6=FALSE,$U$7=FALSE)),VLOOKUP($E311,'Status Thresholds'!$E:$AR,23,FALSE),IF((AND($U$4=FALSE,$U$5=TRUE,$U$6=TRUE,$U$7=FALSE)),VLOOKUP($E311,'Status Thresholds'!$E:$AR,33,FALSE),IF((AND($U$4=FALSE,$U$5=TRUE,$U$6=TRUE,$U$7=TRUE)),VLOOKUP($E311,'Status Thresholds'!$E:$AR,38,FALSE),IF((AND($U$4=FALSE,$U$5=TRUE,$U$6=FALSE,$U$7=TRUE)),VLOOKUP($E311,'Status Thresholds'!$E:$AR,28,FALSE)))))))))
))/
IF(OR($X$5=TRUE,$AC$3=TRUE
),($F$7/2), IF(OR($X$2,$X$3,$X$4,$X$6,$X$7,$X$8,$Z$2,$Z$3,$Z$4,$Z$5,$Z$6,$Z$7,$Z$8)=TRUE,$F$7)),0),"-")</f>
        <v>-</v>
      </c>
      <c r="H311" s="36" t="str">
        <f>IFERROR(
ROUNDUP(
IF(AND($U$5=FALSE,$U$4=FALSE),"-",IF(AND($U$5=TRUE,$U$4=TRUE),"-",
IF((AND($U$4=TRUE,$U$5=FALSE,$U$6=FALSE,$U$7=FALSE)),VLOOKUP($E311,'Status Thresholds'!$E:$AR,4,FALSE),IF((AND($U$4=TRUE,$U$5=FALSE,$U$6=TRUE,$U$7=FALSE)),VLOOKUP($E311,'Status Thresholds'!$E:$AR,14,FALSE),IF((AND($U$4=TRUE,$U$5=FALSE,$U$6=TRUE,$U$7=TRUE)),VLOOKUP($E311,'Status Thresholds'!$E:$AR,19,FALSE),IF((AND($U$4=TRUE,$U$5=FALSE,$U$6=FALSE,$U$7=TRUE)),VLOOKUP($E311,'Status Thresholds'!$E:$AR,9,FALSE),
IF((AND($U$4=FALSE,$U$5=TRUE,$U$6=FALSE,$U$7=FALSE)),VLOOKUP($E311,'Status Thresholds'!$E:$AR,24,FALSE),IF((AND($U$4=FALSE,$U$5=TRUE,$U$6=TRUE,$U$7=FALSE)),VLOOKUP($E311,'Status Thresholds'!$E:$AR,34,FALSE),IF((AND($U$4=FALSE,$U$5=TRUE,$U$6=TRUE,$U$7=TRUE)),VLOOKUP($E311,'Status Thresholds'!$E:$AR,39,FALSE),IF((AND($U$4=FALSE,$U$5=TRUE,$U$6=FALSE,$U$7=TRUE)),VLOOKUP($E311,'Status Thresholds'!$E:$AR,29,FALSE)))))))))
))/
IF(OR($X$5=TRUE,$AC$3=TRUE
),($F$7/2), IF(OR($X$2,$X$3,$X$4,$X$6,$X$7,$X$8,$Z$2,$Z$3,$Z$4,$Z$5,$Z$6,$Z$7,$Z$8)=TRUE,$F$7)),0),"-")</f>
        <v>-</v>
      </c>
      <c r="I311" s="36" t="str">
        <f>IFERROR(
ROUNDUP(
IF(AND($U$5=FALSE,$U$4=FALSE),"-",IF(AND($U$5=TRUE,$U$4=TRUE),"-",
IF((AND($U$4=TRUE,$U$5=FALSE,$U$6=FALSE,$U$7=FALSE)),VLOOKUP($E311,'Status Thresholds'!$E:$AR,5,FALSE),IF((AND($U$4=TRUE,$U$5=FALSE,$U$6=TRUE,$U$7=FALSE)),VLOOKUP($E311,'Status Thresholds'!$E:$AR,15,FALSE),IF((AND($U$4=TRUE,$U$5=FALSE,$U$6=TRUE,$U$7=TRUE)),VLOOKUP($E311,'Status Thresholds'!$E:$AR,20,FALSE),IF((AND($U$4=TRUE,$U$5=FALSE,$U$6=FALSE,$U$7=TRUE)),VLOOKUP($E311,'Status Thresholds'!$E:$AR,10,FALSE),
IF((AND($U$4=FALSE,$U$5=TRUE,$U$6=FALSE,$U$7=FALSE)),VLOOKUP($E311,'Status Thresholds'!$E:$AR,25,FALSE),IF((AND($U$4=FALSE,$U$5=TRUE,$U$6=TRUE,$U$7=FALSE)),VLOOKUP($E311,'Status Thresholds'!$E:$AR,35,FALSE),IF((AND($U$4=FALSE,$U$5=TRUE,$U$6=TRUE,$U$7=TRUE)),VLOOKUP($E311,'Status Thresholds'!$E:$AR,40,FALSE),IF((AND($U$4=FALSE,$U$5=TRUE,$U$6=FALSE,$U$7=TRUE)),VLOOKUP($E311,'Status Thresholds'!$E:$AR,30,FALSE)))))))))
))/
IF(OR($X$5=TRUE,$AC$3=TRUE
),($F$7/2), IF(OR($X$2,$X$3,$X$4,$X$6,$X$7,$X$8,$Z$2,$Z$3,$Z$4,$Z$5,$Z$6,$Z$7,$Z$8)=TRUE,$F$7)),0),"-")</f>
        <v>-</v>
      </c>
      <c r="J311" s="46">
        <f>IFERROR(IF(AND($U$5=FALSE,$U$4=FALSE),"-",VLOOKUP($E311,'Status Thresholds'!$E:$AU,41,FALSE)),"-")</f>
        <v>0</v>
      </c>
      <c r="K311" s="46" t="str">
        <f>IFERROR(IF(AND($U$5=FALSE,$U$4=FALSE),"-",VLOOKUP($E311,'Status Thresholds'!$E:$AU,42,FALSE)),"-")</f>
        <v>-</v>
      </c>
      <c r="L311" s="46" t="str">
        <f>IFERROR(IF(AND($U$5=FALSE,$U$4=FALSE),"-",VLOOKUP($E311,'Status Thresholds'!$E:$AU,43,FALSE)),"-")</f>
        <v>-</v>
      </c>
    </row>
    <row r="312" spans="1:12" ht="14.45" customHeight="1" x14ac:dyDescent="0.25">
      <c r="A312" s="35"/>
      <c r="B312" s="64" t="str">
        <f>VLOOKUP(C312,'Status Thresholds'!B:C,2,FALSE)</f>
        <v>MHGU</v>
      </c>
      <c r="C312" s="64" t="str">
        <f>IF('Status Thresholds'!B307=0, "", 'Status Thresholds'!B307)</f>
        <v>Fatalis (White, Old)</v>
      </c>
      <c r="D312" s="34" t="s">
        <v>14</v>
      </c>
      <c r="E312" s="36" t="str">
        <f t="shared" si="4"/>
        <v>Fatalis (White, Old)KO</v>
      </c>
      <c r="F312" s="36" t="s">
        <v>214</v>
      </c>
      <c r="G312" s="36" t="s">
        <v>214</v>
      </c>
      <c r="H312" s="36" t="s">
        <v>214</v>
      </c>
      <c r="I312" s="36" t="s">
        <v>214</v>
      </c>
      <c r="J312" s="46">
        <f>IFERROR(IF(AND($U$5=FALSE,$U$4=FALSE),"-",VLOOKUP($E312,'Status Thresholds'!$E:$AU,41,FALSE)),"-")</f>
        <v>0</v>
      </c>
      <c r="K312" s="46" t="str">
        <f>IFERROR(IF(AND($U$5=FALSE,$U$4=FALSE),"-",VLOOKUP($E312,'Status Thresholds'!$E:$AU,42,FALSE)),"-")</f>
        <v>-</v>
      </c>
      <c r="L312" s="46" t="str">
        <f>IFERROR(IF(AND($U$5=FALSE,$U$4=FALSE),"-",VLOOKUP($E312,'Status Thresholds'!$E:$AU,43,FALSE)),"-")</f>
        <v>-</v>
      </c>
    </row>
    <row r="313" spans="1:12" x14ac:dyDescent="0.25">
      <c r="A313" s="35"/>
      <c r="B313" s="64" t="str">
        <f>VLOOKUP(C313,'Status Thresholds'!B:C,2,FALSE)</f>
        <v>MHGU</v>
      </c>
      <c r="C313" s="64" t="str">
        <f>IF('Status Thresholds'!B308=0, "", 'Status Thresholds'!B308)</f>
        <v>Fatalis (White, Old)</v>
      </c>
      <c r="D313" s="33" t="s">
        <v>34</v>
      </c>
      <c r="E313" s="36" t="str">
        <f t="shared" si="4"/>
        <v>Fatalis (White, Old)Mount</v>
      </c>
      <c r="F313" s="36" t="str">
        <f>IFERROR(
ROUNDUP(
IF(AND($U$5=FALSE,$U$4=FALSE),"-",IF(AND($U$5=TRUE,$U$4=TRUE),"-",
IF((AND($U$4=TRUE,$U$5=FALSE,$U$6=FALSE,$U$7=FALSE)),VLOOKUP($E313,'Status Thresholds'!$E:$AR,2,FALSE),IF((AND($U$4=TRUE,$U$5=FALSE,$U$6=TRUE,$U$7=FALSE)),VLOOKUP($E313,'Status Thresholds'!$E:$AR,12,FALSE),IF((AND($U$4=TRUE,$U$5=FALSE,$U$6=TRUE,$U$7=TRUE)),VLOOKUP($E313,'Status Thresholds'!$E:$AR,17,FALSE),IF((AND($U$4=TRUE,$U$5=FALSE,$U$6=FALSE,$U$7=TRUE)),VLOOKUP($E313,'Status Thresholds'!$E:$AR,7,FALSE),
IF((AND($U$4=FALSE,$U$5=TRUE,$U$6=FALSE,$U$7=FALSE)),VLOOKUP($E313,'Status Thresholds'!$E:$AR,22,FALSE),IF((AND($U$4=FALSE,$U$5=TRUE,$U$6=TRUE,$U$7=FALSE)),VLOOKUP($E313,'Status Thresholds'!$E:$AR,32,FALSE),IF((AND($U$4=FALSE,$U$5=TRUE,$U$6=TRUE,$U$7=TRUE)),VLOOKUP($E313,'Status Thresholds'!$E:$AR,37,FALSE),IF((AND($U$4=FALSE,$U$5=TRUE,$U$6=FALSE,$U$7=TRUE)),VLOOKUP($E313,'Status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313" s="36" t="str">
        <f>IFERROR(
ROUNDUP(
IF(AND($U$5=FALSE,$U$4=FALSE),"-",IF(AND($U$5=TRUE,$U$4=TRUE),"-",
IF((AND($U$4=TRUE,$U$5=FALSE,$U$6=FALSE,$U$7=FALSE)),VLOOKUP($E312,'Status Thresholds'!$E:$AR,3,FALSE),IF((AND($U$4=TRUE,$U$5=FALSE,$U$6=TRUE,$U$7=FALSE)),VLOOKUP($E312,'Status Thresholds'!$E:$AR,13,FALSE),IF((AND($U$4=TRUE,$U$5=FALSE,$U$6=TRUE,$U$7=TRUE)),VLOOKUP($E312,'Status Thresholds'!$E:$AR,18,FALSE),IF((AND($U$4=TRUE,$U$5=FALSE,$U$6=FALSE,$U$7=TRUE)),VLOOKUP($E312,'Status Thresholds'!$E:$AR,8,FALSE),
IF((AND($U$4=FALSE,$U$5=TRUE,$U$6=FALSE,$U$7=FALSE)),VLOOKUP($E312,'Status Thresholds'!$E:$AR,23,FALSE),IF((AND($U$4=FALSE,$U$5=TRUE,$U$6=TRUE,$U$7=FALSE)),VLOOKUP($E312,'Status Thresholds'!$E:$AR,33,FALSE),IF((AND($U$4=FALSE,$U$5=TRUE,$U$6=TRUE,$U$7=TRUE)),VLOOKUP($E312,'Status Thresholds'!$E:$AR,38,FALSE),IF((AND($U$4=FALSE,$U$5=TRUE,$U$6=FALSE,$U$7=TRUE)),VLOOKUP($E312,'Status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313" s="36" t="str">
        <f>IFERROR(
ROUNDUP(
IF(AND($U$5=FALSE,$U$4=FALSE),"-",IF(AND($U$5=TRUE,$U$4=TRUE),"-",
IF((AND($U$4=TRUE,$U$5=FALSE,$U$6=FALSE,$U$7=FALSE)),VLOOKUP($E312,'Status Thresholds'!$E:$AR,4,FALSE),IF((AND($U$4=TRUE,$U$5=FALSE,$U$6=TRUE,$U$7=FALSE)),VLOOKUP($E312,'Status Thresholds'!$E:$AR,14,FALSE),IF((AND($U$4=TRUE,$U$5=FALSE,$U$6=TRUE,$U$7=TRUE)),VLOOKUP($E312,'Status Thresholds'!$E:$AR,19,FALSE),IF((AND($U$4=TRUE,$U$5=FALSE,$U$6=FALSE,$U$7=TRUE)),VLOOKUP($E312,'Status Thresholds'!$E:$AR,9,FALSE),
IF((AND($U$4=FALSE,$U$5=TRUE,$U$6=FALSE,$U$7=FALSE)),VLOOKUP($E312,'Status Thresholds'!$E:$AR,24,FALSE),IF((AND($U$4=FALSE,$U$5=TRUE,$U$6=TRUE,$U$7=FALSE)),VLOOKUP($E312,'Status Thresholds'!$E:$AR,34,FALSE),IF((AND($U$4=FALSE,$U$5=TRUE,$U$6=TRUE,$U$7=TRUE)),VLOOKUP($E312,'Status Thresholds'!$E:$AR,39,FALSE),IF((AND($U$4=FALSE,$U$5=TRUE,$U$6=FALSE,$U$7=TRUE)),VLOOKUP($E312,'Status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313" s="36" t="str">
        <f>IFERROR(
ROUNDUP(
IF(AND($U$5=FALSE,$U$4=FALSE),"-",IF(AND($U$5=TRUE,$U$4=TRUE),"-",
IF((AND($U$4=TRUE,$U$5=FALSE,$U$6=FALSE,$U$7=FALSE)),VLOOKUP($E312,'Status Thresholds'!$E:$AR,5,FALSE),IF((AND($U$4=TRUE,$U$5=FALSE,$U$6=TRUE,$U$7=FALSE)),VLOOKUP($E312,'Status Thresholds'!$E:$AR,15,FALSE),IF((AND($U$4=TRUE,$U$5=FALSE,$U$6=TRUE,$U$7=TRUE)),VLOOKUP($E312,'Status Thresholds'!$E:$AR,20,FALSE),IF((AND($U$4=TRUE,$U$5=FALSE,$U$6=FALSE,$U$7=TRUE)),VLOOKUP($E312,'Status Thresholds'!$E:$AR,10,FALSE),
IF((AND($U$4=FALSE,$U$5=TRUE,$U$6=FALSE,$U$7=FALSE)),VLOOKUP($E312,'Status Thresholds'!$E:$AR,25,FALSE),IF((AND($U$4=FALSE,$U$5=TRUE,$U$6=TRUE,$U$7=FALSE)),VLOOKUP($E312,'Status Thresholds'!$E:$AR,35,FALSE),IF((AND($U$4=FALSE,$U$5=TRUE,$U$6=TRUE,$U$7=TRUE)),VLOOKUP($E312,'Status Thresholds'!$E:$AR,40,FALSE),IF((AND($U$4=FALSE,$U$5=TRUE,$U$6=FALSE,$U$7=TRUE)),VLOOKUP($E312,'Status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313" s="46">
        <f>IFERROR(IF(AND($U$5=FALSE,$U$4=FALSE),"-",VLOOKUP($E313,'Status Thresholds'!$E:$AU,41,FALSE)),"-")</f>
        <v>0</v>
      </c>
      <c r="K313" s="46" t="str">
        <f>IFERROR(IF(AND($U$5=FALSE,$U$4=FALSE),"-",VLOOKUP($E313,'Status Thresholds'!$E:$AU,42,FALSE)),"-")</f>
        <v>-</v>
      </c>
      <c r="L313" s="46" t="str">
        <f>IFERROR(IF(AND($U$5=FALSE,$U$4=FALSE),"-",VLOOKUP($E313,'Status Thresholds'!$E:$AU,43,FALSE)),"-")</f>
        <v>-</v>
      </c>
    </row>
    <row r="314" spans="1:12" ht="15" customHeight="1" x14ac:dyDescent="0.25">
      <c r="A314" s="35"/>
      <c r="B314" s="64" t="str">
        <f>VLOOKUP(C314,'Status Thresholds'!B:C,2,FALSE)</f>
        <v>MHGU</v>
      </c>
      <c r="C314" s="64" t="str">
        <f>IF('Status Thresholds'!B309=0, "", 'Status Thresholds'!B309)</f>
        <v>Fatalis (White, Old)</v>
      </c>
      <c r="D314" s="77" t="s">
        <v>207</v>
      </c>
      <c r="E314" s="36" t="str">
        <f t="shared" si="4"/>
        <v>Fatalis (White, Old)Shock Trap</v>
      </c>
      <c r="F314" s="76" t="s">
        <v>214</v>
      </c>
      <c r="G314" s="46" t="s">
        <v>214</v>
      </c>
      <c r="H314" s="46" t="s">
        <v>214</v>
      </c>
      <c r="I314" s="46" t="s">
        <v>214</v>
      </c>
      <c r="J314" s="46">
        <f>IFERROR(IF(AND($U$5=FALSE,$U$4=FALSE),"-",VLOOKUP($E314,'Status Thresholds'!$E:$AU,43,FALSE)),"-")</f>
        <v>0</v>
      </c>
      <c r="K314" s="46">
        <f>IFERROR(IF(AND($U$5=FALSE,$U$4=FALSE),"-",VLOOKUP($E314,'Status Thresholds'!$E:$AU,41,FALSE)),"-")</f>
        <v>0</v>
      </c>
      <c r="L314" s="46">
        <f>IFERROR(IF(AND($U$5=FALSE,$U$4=FALSE),"-",VLOOKUP($E314,'Status Thresholds'!$E:$AU,42,FALSE)),"-")</f>
        <v>0</v>
      </c>
    </row>
    <row r="315" spans="1:12" x14ac:dyDescent="0.25">
      <c r="A315" s="35"/>
      <c r="B315" s="64" t="str">
        <f>VLOOKUP(C315,'Status Thresholds'!B:C,2,FALSE)</f>
        <v>MHGU</v>
      </c>
      <c r="C315" s="64" t="str">
        <f>IF('Status Thresholds'!B310=0, "", 'Status Thresholds'!B310)</f>
        <v>Fatalis (White, Old)</v>
      </c>
      <c r="D315" s="77" t="s">
        <v>213</v>
      </c>
      <c r="E315" s="36" t="str">
        <f t="shared" si="4"/>
        <v>Fatalis (White, Old)Pitfall Trap</v>
      </c>
      <c r="F315" s="46" t="s">
        <v>214</v>
      </c>
      <c r="G315" s="46" t="s">
        <v>214</v>
      </c>
      <c r="H315" s="46" t="s">
        <v>214</v>
      </c>
      <c r="I315" s="46" t="s">
        <v>214</v>
      </c>
      <c r="J315" s="46">
        <f>IFERROR(IF(AND($U$5=FALSE,$U$4=FALSE),"-",VLOOKUP($E315,'Status Thresholds'!$E:$AU,43,FALSE)),"-")</f>
        <v>0</v>
      </c>
      <c r="K315" s="46">
        <f>IFERROR(IF(AND($U$5=FALSE,$U$4=FALSE),"-",VLOOKUP($E315,'Status Thresholds'!$E:$AU,41,FALSE)),"-")</f>
        <v>0</v>
      </c>
      <c r="L315" s="46">
        <f>IFERROR(IF(AND($U$5=FALSE,$U$4=FALSE),"-",VLOOKUP($E315,'Status Thresholds'!$E:$AU,42,FALSE)),"-")</f>
        <v>0</v>
      </c>
    </row>
    <row r="316" spans="1:12" s="36" customFormat="1" x14ac:dyDescent="0.25">
      <c r="A316" s="64"/>
      <c r="B316" s="64" t="str">
        <f>VLOOKUP(C316,'Status Thresholds'!B:C,2,FALSE)</f>
        <v>MHGen</v>
      </c>
      <c r="C316" s="64" t="str">
        <f>IF('Status Thresholds'!B311=0, "", 'Status Thresholds'!B311)</f>
        <v>Gammoth</v>
      </c>
      <c r="D316" s="37" t="s">
        <v>0</v>
      </c>
      <c r="E316" s="36" t="str">
        <f t="shared" si="4"/>
        <v>GammothPara</v>
      </c>
      <c r="F316" s="36" t="str">
        <f>IFERROR(
ROUNDUP(
IF(AND($U$5=FALSE,$U$4=FALSE),"-",IF(AND($U$5=TRUE,$U$4=TRUE),"-",
IF((AND($U$4=TRUE,$U$5=FALSE,$U$6=FALSE,$U$7=FALSE)),VLOOKUP($E316,'Status Thresholds'!$E:$AR,2,FALSE),IF((AND($U$4=TRUE,$U$5=FALSE,$U$6=TRUE,$U$7=FALSE)),VLOOKUP($E316,'Status Thresholds'!$E:$AR,12,FALSE),IF((AND($U$4=TRUE,$U$5=FALSE,$U$6=TRUE,$U$7=TRUE)),VLOOKUP($E316,'Status Thresholds'!$E:$AR,17,FALSE),IF((AND($U$4=TRUE,$U$5=FALSE,$U$6=FALSE,$U$7=TRUE)),VLOOKUP($E316,'Status Thresholds'!$E:$AR,7,FALSE),
IF((AND($U$4=FALSE,$U$5=TRUE,$U$6=FALSE,$U$7=FALSE)),VLOOKUP($E316,'Status Thresholds'!$E:$AR,22,FALSE),IF((AND($U$4=FALSE,$U$5=TRUE,$U$6=TRUE,$U$7=FALSE)),VLOOKUP($E316,'Status Thresholds'!$E:$AR,32,FALSE),IF((AND($U$4=FALSE,$U$5=TRUE,$U$6=TRUE,$U$7=TRUE)),VLOOKUP($E316,'Status Thresholds'!$E:$AR,37,FALSE),IF((AND($U$4=FALSE,$U$5=TRUE,$U$6=FALSE,$U$7=TRUE)),VLOOKUP($E316,'Status Thresholds'!$E:$AR,27,FALSE)))))))))
))/
IF(OR($X$5=TRUE,$AC$3=TRUE
),($F$3/2), IF(OR($X$2,$X$3,$X$4,$X$6,$X$7,$X$8,$Z$2,$Z$3,$Z$4,$Z$5,$Z$6,$Z$7,$Z$8)=TRUE,$F$3)),0),"-")</f>
        <v>-</v>
      </c>
      <c r="G316" s="36" t="str">
        <f>IFERROR(
ROUNDUP(
IF(AND($U$5=FALSE,$U$4=FALSE),"-",IF(AND($U$5=TRUE,$U$4=TRUE),"-",
IF((AND($U$4=TRUE,$U$5=FALSE,$U$6=FALSE,$U$7=FALSE)),VLOOKUP($E316,'Status Thresholds'!$E:$AR,3,FALSE),IF((AND($U$4=TRUE,$U$5=FALSE,$U$6=TRUE,$U$7=FALSE)),VLOOKUP($E316,'Status Thresholds'!$E:$AR,13,FALSE),IF((AND($U$4=TRUE,$U$5=FALSE,$U$6=TRUE,$U$7=TRUE)),VLOOKUP($E316,'Status Thresholds'!$E:$AR,18,FALSE),IF((AND($U$4=TRUE,$U$5=FALSE,$U$6=FALSE,$U$7=TRUE)),VLOOKUP($E316,'Status Thresholds'!$E:$AR,8,FALSE),
IF((AND($U$4=FALSE,$U$5=TRUE,$U$6=FALSE,$U$7=FALSE)),VLOOKUP($E316,'Status Thresholds'!$E:$AR,23,FALSE),IF((AND($U$4=FALSE,$U$5=TRUE,$U$6=TRUE,$U$7=FALSE)),VLOOKUP($E316,'Status Thresholds'!$E:$AR,33,FALSE),IF((AND($U$4=FALSE,$U$5=TRUE,$U$6=TRUE,$U$7=TRUE)),VLOOKUP($E316,'Status Thresholds'!$E:$AR,38,FALSE),IF((AND($U$4=FALSE,$U$5=TRUE,$U$6=FALSE,$U$7=TRUE)),VLOOKUP($E316,'Status Thresholds'!$E:$AR,28,FALSE)))))))))
))/
IF(OR($X$5=TRUE,$AC$3=TRUE
),($F$3/2), IF(OR($X$2,$X$3,$X$4,$X$6,$X$7,$X$8,$Z$2,$Z$3,$Z$4,$Z$5,$Z$6,$Z$7,$Z$8)=TRUE,$F$3)),0),"-")</f>
        <v>-</v>
      </c>
      <c r="H316" s="36" t="str">
        <f>IFERROR(
ROUNDUP(
IF(AND($U$5=FALSE,$U$4=FALSE),"-",IF(AND($U$5=TRUE,$U$4=TRUE),"-",
IF((AND($U$4=TRUE,$U$5=FALSE,$U$6=FALSE,$U$7=FALSE)),VLOOKUP($E316,'Status Thresholds'!$E:$AR,4,FALSE),IF((AND($U$4=TRUE,$U$5=FALSE,$U$6=TRUE,$U$7=FALSE)),VLOOKUP($E316,'Status Thresholds'!$E:$AR,14,FALSE),IF((AND($U$4=TRUE,$U$5=FALSE,$U$6=TRUE,$U$7=TRUE)),VLOOKUP($E316,'Status Thresholds'!$E:$AR,19,FALSE),IF((AND($U$4=TRUE,$U$5=FALSE,$U$6=FALSE,$U$7=TRUE)),VLOOKUP($E316,'Status Thresholds'!$E:$AR,9,FALSE),
IF((AND($U$4=FALSE,$U$5=TRUE,$U$6=FALSE,$U$7=FALSE)),VLOOKUP($E316,'Status Thresholds'!$E:$AR,24,FALSE),IF((AND($U$4=FALSE,$U$5=TRUE,$U$6=TRUE,$U$7=FALSE)),VLOOKUP($E316,'Status Thresholds'!$E:$AR,34,FALSE),IF((AND($U$4=FALSE,$U$5=TRUE,$U$6=TRUE,$U$7=TRUE)),VLOOKUP($E316,'Status Thresholds'!$E:$AR,39,FALSE),IF((AND($U$4=FALSE,$U$5=TRUE,$U$6=FALSE,$U$7=TRUE)),VLOOKUP($E316,'Status Thresholds'!$E:$AR,29,FALSE)))))))))
))/
IF(OR($X$5=TRUE,$AC$3=TRUE
),($F$3/2), IF(OR($X$2,$X$3,$X$4,$X$6,$X$7,$X$8,$Z$2,$Z$3,$Z$4,$Z$5,$Z$6,$Z$7,$Z$8)=TRUE,$F$3)),0),"-")</f>
        <v>-</v>
      </c>
      <c r="I316" s="36" t="str">
        <f>IFERROR(
ROUNDUP(
IF(AND($U$5=FALSE,$U$4=FALSE),"-",IF(AND($U$5=TRUE,$U$4=TRUE),"-",
IF((AND($U$4=TRUE,$U$5=FALSE,$U$6=FALSE,$U$7=FALSE)),VLOOKUP($E316,'Status Thresholds'!$E:$AR,5,FALSE),IF((AND($U$4=TRUE,$U$5=FALSE,$U$6=TRUE,$U$7=FALSE)),VLOOKUP($E316,'Status Thresholds'!$E:$AR,15,FALSE),IF((AND($U$4=TRUE,$U$5=FALSE,$U$6=TRUE,$U$7=TRUE)),VLOOKUP($E316,'Status Thresholds'!$E:$AR,20,FALSE),IF((AND($U$4=TRUE,$U$5=FALSE,$U$6=FALSE,$U$7=TRUE)),VLOOKUP($E316,'Status Thresholds'!$E:$AR,10,FALSE),
IF((AND($U$4=FALSE,$U$5=TRUE,$U$6=FALSE,$U$7=FALSE)),VLOOKUP($E316,'Status Thresholds'!$E:$AR,25,FALSE),IF((AND($U$4=FALSE,$U$5=TRUE,$U$6=TRUE,$U$7=FALSE)),VLOOKUP($E316,'Status Thresholds'!$E:$AR,35,FALSE),IF((AND($U$4=FALSE,$U$5=TRUE,$U$6=TRUE,$U$7=TRUE)),VLOOKUP($E316,'Status Thresholds'!$E:$AR,40,FALSE),IF((AND($U$4=FALSE,$U$5=TRUE,$U$6=FALSE,$U$7=TRUE)),VLOOKUP($E316,'Status Thresholds'!$E:$AR,30,FALSE)))))))))
))/
IF(OR($X$5=TRUE,$AC$3=TRUE
),($F$3/2), IF(OR($X$2,$X$3,$X$4,$X$6,$X$7,$X$8,$Z$2,$Z$3,$Z$4,$Z$5,$Z$6,$Z$7,$Z$8)=TRUE,$F$3)),0),"-")</f>
        <v>-</v>
      </c>
      <c r="J316" s="36">
        <f>IFERROR(IF(AND($U$5=FALSE,$U$4=FALSE),"-",VLOOKUP($E316,'Status Thresholds'!$E:$AU,41,FALSE)),"-")</f>
        <v>15</v>
      </c>
      <c r="K316" s="36" t="str">
        <f>IFERROR(IF(AND($U$5=FALSE,$U$4=FALSE),"-",VLOOKUP($E316,'Status Thresholds'!$E:$AU,42,FALSE)),"-")</f>
        <v>-</v>
      </c>
      <c r="L316" s="36" t="str">
        <f>IFERROR(IF(AND($U$5=FALSE,$U$4=FALSE),"-",VLOOKUP($E316,'Status Thresholds'!$E:$AU,43,FALSE)),"-")</f>
        <v>-</v>
      </c>
    </row>
    <row r="317" spans="1:12" x14ac:dyDescent="0.25">
      <c r="A317" s="35"/>
      <c r="B317" s="64" t="str">
        <f>VLOOKUP(C317,'Status Thresholds'!B:C,2,FALSE)</f>
        <v>MHGen</v>
      </c>
      <c r="C317" s="64" t="str">
        <f>IF('Status Thresholds'!B312=0, "", 'Status Thresholds'!B312)</f>
        <v>Gammoth</v>
      </c>
      <c r="D317" s="31" t="s">
        <v>32</v>
      </c>
      <c r="E317" s="36" t="str">
        <f t="shared" si="4"/>
        <v>GammothSleep</v>
      </c>
      <c r="F317" s="36" t="str">
        <f>IFERROR(
ROUNDUP(
IF(AND($U$5=FALSE,$U$4=FALSE),"-",IF(AND($U$5=TRUE,$U$4=TRUE),"-",
IF((AND($U$4=TRUE,$U$5=FALSE,$U$6=FALSE,$U$7=FALSE)),VLOOKUP($E317,'Status Thresholds'!$E:$AR,2,FALSE),IF((AND($U$4=TRUE,$U$5=FALSE,$U$6=TRUE,$U$7=FALSE)),VLOOKUP($E317,'Status Thresholds'!$E:$AR,12,FALSE),IF((AND($U$4=TRUE,$U$5=FALSE,$U$6=TRUE,$U$7=TRUE)),VLOOKUP($E317,'Status Thresholds'!$E:$AR,17,FALSE),IF((AND($U$4=TRUE,$U$5=FALSE,$U$6=FALSE,$U$7=TRUE)),VLOOKUP($E317,'Status Thresholds'!$E:$AR,7,FALSE),
IF((AND($U$4=FALSE,$U$5=TRUE,$U$6=FALSE,$U$7=FALSE)),VLOOKUP($E317,'Status Thresholds'!$E:$AR,22,FALSE),IF((AND($U$4=FALSE,$U$5=TRUE,$U$6=TRUE,$U$7=FALSE)),VLOOKUP($E317,'Status Thresholds'!$E:$AR,32,FALSE),IF((AND($U$4=FALSE,$U$5=TRUE,$U$6=TRUE,$U$7=TRUE)),VLOOKUP($E317,'Status Thresholds'!$E:$AR,37,FALSE),IF((AND($U$4=FALSE,$U$5=TRUE,$U$6=FALSE,$U$7=TRUE)),VLOOKUP($E317,'Status Thresholds'!$E:$AR,27,FALSE)))))))))
))/
IF(OR($X$5=TRUE,$AC$3=TRUE
),($F$4/2), IF(OR($X$2,$X$3,$X$4,$X$6,$X$7,$X$8,$Z$2,$Z$3,$Z$4,$Z$5,$Z$6,$Z$7,$Z$8)=TRUE,$F$4)),0),"-")</f>
        <v>-</v>
      </c>
      <c r="G317" s="36" t="str">
        <f>IFERROR(
ROUNDUP(
IF(AND($U$5=FALSE,$U$4=FALSE),"-",IF(AND($U$5=TRUE,$U$4=TRUE),"-",
IF((AND($U$4=TRUE,$U$5=FALSE,$U$6=FALSE,$U$7=FALSE)),VLOOKUP($E317,'Status Thresholds'!$E:$AR,3,FALSE),IF((AND($U$4=TRUE,$U$5=FALSE,$U$6=TRUE,$U$7=FALSE)),VLOOKUP($E317,'Status Thresholds'!$E:$AR,13,FALSE),IF((AND($U$4=TRUE,$U$5=FALSE,$U$6=TRUE,$U$7=TRUE)),VLOOKUP($E317,'Status Thresholds'!$E:$AR,18,FALSE),IF((AND($U$4=TRUE,$U$5=FALSE,$U$6=FALSE,$U$7=TRUE)),VLOOKUP($E317,'Status Thresholds'!$E:$AR,8,FALSE),
IF((AND($U$4=FALSE,$U$5=TRUE,$U$6=FALSE,$U$7=FALSE)),VLOOKUP($E317,'Status Thresholds'!$E:$AR,23,FALSE),IF((AND($U$4=FALSE,$U$5=TRUE,$U$6=TRUE,$U$7=FALSE)),VLOOKUP($E317,'Status Thresholds'!$E:$AR,33,FALSE),IF((AND($U$4=FALSE,$U$5=TRUE,$U$6=TRUE,$U$7=TRUE)),VLOOKUP($E317,'Status Thresholds'!$E:$AR,38,FALSE),IF((AND($U$4=FALSE,$U$5=TRUE,$U$6=FALSE,$U$7=TRUE)),VLOOKUP($E317,'Status Thresholds'!$E:$AR,28,FALSE)))))))))
))/
IF(OR($X$5=TRUE,$AC$3=TRUE
),($F$4/2), IF(OR($X$2,$X$3,$X$4,$X$6,$X$7,$X$8,$Z$2,$Z$3,$Z$4,$Z$5,$Z$6,$Z$7,$Z$8)=TRUE,$F$4)),0),"-")</f>
        <v>-</v>
      </c>
      <c r="H317" s="36" t="str">
        <f>IFERROR(
ROUNDUP(
IF(AND($U$5=FALSE,$U$4=FALSE),"-",IF(AND($U$5=TRUE,$U$4=TRUE),"-",
IF((AND($U$4=TRUE,$U$5=FALSE,$U$6=FALSE,$U$7=FALSE)),VLOOKUP($E317,'Status Thresholds'!$E:$AR,4,FALSE),IF((AND($U$4=TRUE,$U$5=FALSE,$U$6=TRUE,$U$7=FALSE)),VLOOKUP($E317,'Status Thresholds'!$E:$AR,14,FALSE),IF((AND($U$4=TRUE,$U$5=FALSE,$U$6=TRUE,$U$7=TRUE)),VLOOKUP($E317,'Status Thresholds'!$E:$AR,19,FALSE),IF((AND($U$4=TRUE,$U$5=FALSE,$U$6=FALSE,$U$7=TRUE)),VLOOKUP($E317,'Status Thresholds'!$E:$AR,9,FALSE),
IF((AND($U$4=FALSE,$U$5=TRUE,$U$6=FALSE,$U$7=FALSE)),VLOOKUP($E317,'Status Thresholds'!$E:$AR,24,FALSE),IF((AND($U$4=FALSE,$U$5=TRUE,$U$6=TRUE,$U$7=FALSE)),VLOOKUP($E317,'Status Thresholds'!$E:$AR,34,FALSE),IF((AND($U$4=FALSE,$U$5=TRUE,$U$6=TRUE,$U$7=TRUE)),VLOOKUP($E317,'Status Thresholds'!$E:$AR,39,FALSE),IF((AND($U$4=FALSE,$U$5=TRUE,$U$6=FALSE,$U$7=TRUE)),VLOOKUP($E317,'Status Thresholds'!$E:$AR,29,FALSE)))))))))
))/
IF(OR($X$5=TRUE,$AC$3=TRUE
),($F$4/2), IF(OR($X$2,$X$3,$X$4,$X$6,$X$7,$X$8,$Z$2,$Z$3,$Z$4,$Z$5,$Z$6,$Z$7,$Z$8)=TRUE,$F$4)),0),"-")</f>
        <v>-</v>
      </c>
      <c r="I317" s="36" t="str">
        <f>IFERROR(
ROUNDUP(
IF(AND($U$5=FALSE,$U$4=FALSE),"-",IF(AND($U$5=TRUE,$U$4=TRUE),"-",
IF((AND($U$4=TRUE,$U$5=FALSE,$U$6=FALSE,$U$7=FALSE)),VLOOKUP($E317,'Status Thresholds'!$E:$AR,5,FALSE),IF((AND($U$4=TRUE,$U$5=FALSE,$U$6=TRUE,$U$7=FALSE)),VLOOKUP($E317,'Status Thresholds'!$E:$AR,15,FALSE),IF((AND($U$4=TRUE,$U$5=FALSE,$U$6=TRUE,$U$7=TRUE)),VLOOKUP($E317,'Status Thresholds'!$E:$AR,20,FALSE),IF((AND($U$4=TRUE,$U$5=FALSE,$U$6=FALSE,$U$7=TRUE)),VLOOKUP($E317,'Status Thresholds'!$E:$AR,10,FALSE),
IF((AND($U$4=FALSE,$U$5=TRUE,$U$6=FALSE,$U$7=FALSE)),VLOOKUP($E317,'Status Thresholds'!$E:$AR,25,FALSE),IF((AND($U$4=FALSE,$U$5=TRUE,$U$6=TRUE,$U$7=FALSE)),VLOOKUP($E317,'Status Thresholds'!$E:$AR,35,FALSE),IF((AND($U$4=FALSE,$U$5=TRUE,$U$6=TRUE,$U$7=TRUE)),VLOOKUP($E317,'Status Thresholds'!$E:$AR,40,FALSE),IF((AND($U$4=FALSE,$U$5=TRUE,$U$6=FALSE,$U$7=TRUE)),VLOOKUP($E317,'Status Thresholds'!$E:$AR,30,FALSE)))))))))
))/
IF(OR($X$5=TRUE,$AC$3=TRUE
),($F$4/2), IF(OR($X$2,$X$3,$X$4,$X$6,$X$7,$X$8,$Z$2,$Z$3,$Z$4,$Z$5,$Z$6,$Z$7,$Z$8)=TRUE,$F$4)),0),"-")</f>
        <v>-</v>
      </c>
      <c r="J317" s="46">
        <f>IFERROR(IF(AND($U$5=FALSE,$U$4=FALSE),"-",VLOOKUP($E317,'Status Thresholds'!$E:$AU,41,FALSE)),"-")</f>
        <v>25</v>
      </c>
      <c r="K317" s="46" t="str">
        <f>IFERROR(IF(AND($U$5=FALSE,$U$4=FALSE),"-",VLOOKUP($E317,'Status Thresholds'!$E:$AU,42,FALSE)),"-")</f>
        <v>-</v>
      </c>
      <c r="L317" s="46" t="str">
        <f>IFERROR(IF(AND($U$5=FALSE,$U$4=FALSE),"-",VLOOKUP($E317,'Status Thresholds'!$E:$AU,43,FALSE)),"-")</f>
        <v>-</v>
      </c>
    </row>
    <row r="318" spans="1:12" x14ac:dyDescent="0.25">
      <c r="A318" s="35"/>
      <c r="B318" s="64" t="str">
        <f>VLOOKUP(C318,'Status Thresholds'!B:C,2,FALSE)</f>
        <v>MHGen</v>
      </c>
      <c r="C318" s="64" t="str">
        <f>IF('Status Thresholds'!B313=0, "", 'Status Thresholds'!B313)</f>
        <v>Gammoth</v>
      </c>
      <c r="D318" s="32" t="s">
        <v>33</v>
      </c>
      <c r="E318" s="36" t="str">
        <f t="shared" si="4"/>
        <v>GammothPoison</v>
      </c>
      <c r="F318" s="36" t="str">
        <f>IFERROR(
ROUNDUP(
IF(AND($U$5=FALSE,$U$4=FALSE),"-",IF(AND($U$5=TRUE,$U$4=TRUE),"-",
IF((AND($U$4=TRUE,$U$5=FALSE,$U$6=FALSE,$U$7=FALSE)),VLOOKUP($E318,'Status Thresholds'!$E:$AR,2,FALSE),IF((AND($U$4=TRUE,$U$5=FALSE,$U$6=TRUE,$U$7=FALSE)),VLOOKUP($E318,'Status Thresholds'!$E:$AR,12,FALSE),IF((AND($U$4=TRUE,$U$5=FALSE,$U$6=TRUE,$U$7=TRUE)),VLOOKUP($E318,'Status Thresholds'!$E:$AR,17,FALSE),IF((AND($U$4=TRUE,$U$5=FALSE,$U$6=FALSE,$U$7=TRUE)),VLOOKUP($E318,'Status Thresholds'!$E:$AR,7,FALSE),
IF((AND($U$4=FALSE,$U$5=TRUE,$U$6=FALSE,$U$7=FALSE)),VLOOKUP($E318,'Status Thresholds'!$E:$AR,22,FALSE),IF((AND($U$4=FALSE,$U$5=TRUE,$U$6=TRUE,$U$7=FALSE)),VLOOKUP($E318,'Status Thresholds'!$E:$AR,32,FALSE),IF((AND($U$4=FALSE,$U$5=TRUE,$U$6=TRUE,$U$7=TRUE)),VLOOKUP($E318,'Status Thresholds'!$E:$AR,37,FALSE),IF((AND($U$4=FALSE,$U$5=TRUE,$U$6=FALSE,$U$7=TRUE)),VLOOKUP($E318,'Status Thresholds'!$E:$AR,27,FALSE)))))))))
))/
IF(OR($X$5=TRUE,$AC$3=TRUE
),($F$5/2), IF(OR($X$2,$X$3,$X$4,$X$6,$X$7,$X$8,$Z$2,$Z$3,$Z$4,$Z$5,$Z$6,$Z$7,$Z$8)=TRUE,$F$5)),0),"-")</f>
        <v>-</v>
      </c>
      <c r="G318" s="36" t="str">
        <f>IFERROR(
ROUNDUP(
IF(AND($U$5=FALSE,$U$4=FALSE),"-",IF(AND($U$5=TRUE,$U$4=TRUE),"-",
IF((AND($U$4=TRUE,$U$5=FALSE,$U$6=FALSE,$U$7=FALSE)),VLOOKUP($E318,'Status Thresholds'!$E:$AR,3,FALSE),IF((AND($U$4=TRUE,$U$5=FALSE,$U$6=TRUE,$U$7=FALSE)),VLOOKUP($E318,'Status Thresholds'!$E:$AR,13,FALSE),IF((AND($U$4=TRUE,$U$5=FALSE,$U$6=TRUE,$U$7=TRUE)),VLOOKUP($E318,'Status Thresholds'!$E:$AR,18,FALSE),IF((AND($U$4=TRUE,$U$5=FALSE,$U$6=FALSE,$U$7=TRUE)),VLOOKUP($E318,'Status Thresholds'!$E:$AR,8,FALSE),
IF((AND($U$4=FALSE,$U$5=TRUE,$U$6=FALSE,$U$7=FALSE)),VLOOKUP($E318,'Status Thresholds'!$E:$AR,23,FALSE),IF((AND($U$4=FALSE,$U$5=TRUE,$U$6=TRUE,$U$7=FALSE)),VLOOKUP($E318,'Status Thresholds'!$E:$AR,33,FALSE),IF((AND($U$4=FALSE,$U$5=TRUE,$U$6=TRUE,$U$7=TRUE)),VLOOKUP($E318,'Status Thresholds'!$E:$AR,38,FALSE),IF((AND($U$4=FALSE,$U$5=TRUE,$U$6=FALSE,$U$7=TRUE)),VLOOKUP($E318,'Status Thresholds'!$E:$AR,28,FALSE)))))))))
))/
IF(OR($X$5=TRUE,$AC$3=TRUE
),($F$5/2), IF(OR($X$2,$X$3,$X$4,$X$6,$X$7,$X$8,$Z$2,$Z$3,$Z$4,$Z$5,$Z$6,$Z$7,$Z$8)=TRUE,$F$5)),0),"-")</f>
        <v>-</v>
      </c>
      <c r="H318" s="36" t="str">
        <f>IFERROR(
ROUNDUP(
IF(AND($U$5=FALSE,$U$4=FALSE),"-",IF(AND($U$5=TRUE,$U$4=TRUE),"-",
IF((AND($U$4=TRUE,$U$5=FALSE,$U$6=FALSE,$U$7=FALSE)),VLOOKUP($E318,'Status Thresholds'!$E:$AR,4,FALSE),IF((AND($U$4=TRUE,$U$5=FALSE,$U$6=TRUE,$U$7=FALSE)),VLOOKUP($E318,'Status Thresholds'!$E:$AR,14,FALSE),IF((AND($U$4=TRUE,$U$5=FALSE,$U$6=TRUE,$U$7=TRUE)),VLOOKUP($E318,'Status Thresholds'!$E:$AR,19,FALSE),IF((AND($U$4=TRUE,$U$5=FALSE,$U$6=FALSE,$U$7=TRUE)),VLOOKUP($E318,'Status Thresholds'!$E:$AR,9,FALSE),
IF((AND($U$4=FALSE,$U$5=TRUE,$U$6=FALSE,$U$7=FALSE)),VLOOKUP($E318,'Status Thresholds'!$E:$AR,24,FALSE),IF((AND($U$4=FALSE,$U$5=TRUE,$U$6=TRUE,$U$7=FALSE)),VLOOKUP($E318,'Status Thresholds'!$E:$AR,34,FALSE),IF((AND($U$4=FALSE,$U$5=TRUE,$U$6=TRUE,$U$7=TRUE)),VLOOKUP($E318,'Status Thresholds'!$E:$AR,39,FALSE),IF((AND($U$4=FALSE,$U$5=TRUE,$U$6=FALSE,$U$7=TRUE)),VLOOKUP($E318,'Status Thresholds'!$E:$AR,29,FALSE)))))))))
))/
IF(OR($X$5=TRUE,$AC$3=TRUE
),($F$5/2), IF(OR($X$2,$X$3,$X$4,$X$6,$X$7,$X$8,$Z$2,$Z$3,$Z$4,$Z$5,$Z$6,$Z$7,$Z$8)=TRUE,$F$5)),0),"-")</f>
        <v>-</v>
      </c>
      <c r="I318" s="36" t="str">
        <f>IFERROR(
ROUNDUP(
IF(AND($U$5=FALSE,$U$4=FALSE),"-",IF(AND($U$5=TRUE,$U$4=TRUE),"-",
IF((AND($U$4=TRUE,$U$5=FALSE,$U$6=FALSE,$U$7=FALSE)),VLOOKUP($E318,'Status Thresholds'!$E:$AR,5,FALSE),IF((AND($U$4=TRUE,$U$5=FALSE,$U$6=TRUE,$U$7=FALSE)),VLOOKUP($E318,'Status Thresholds'!$E:$AR,15,FALSE),IF((AND($U$4=TRUE,$U$5=FALSE,$U$6=TRUE,$U$7=TRUE)),VLOOKUP($E318,'Status Thresholds'!$E:$AR,20,FALSE),IF((AND($U$4=TRUE,$U$5=FALSE,$U$6=FALSE,$U$7=TRUE)),VLOOKUP($E318,'Status Thresholds'!$E:$AR,10,FALSE),
IF((AND($U$4=FALSE,$U$5=TRUE,$U$6=FALSE,$U$7=FALSE)),VLOOKUP($E318,'Status Thresholds'!$E:$AR,25,FALSE),IF((AND($U$4=FALSE,$U$5=TRUE,$U$6=TRUE,$U$7=FALSE)),VLOOKUP($E318,'Status Thresholds'!$E:$AR,35,FALSE),IF((AND($U$4=FALSE,$U$5=TRUE,$U$6=TRUE,$U$7=TRUE)),VLOOKUP($E318,'Status Thresholds'!$E:$AR,40,FALSE),IF((AND($U$4=FALSE,$U$5=TRUE,$U$6=FALSE,$U$7=TRUE)),VLOOKUP($E318,'Status Thresholds'!$E:$AR,30,FALSE)))))))))
))/
IF(OR($X$5=TRUE,$AC$3=TRUE
),($F$5/2), IF(OR($X$2,$X$3,$X$4,$X$6,$X$7,$X$8,$Z$2,$Z$3,$Z$4,$Z$5,$Z$6,$Z$7,$Z$8)=TRUE,$F$5)),0),"-")</f>
        <v>-</v>
      </c>
      <c r="J318" s="46">
        <f>IFERROR(IF(AND($U$5=FALSE,$U$4=FALSE),"-",VLOOKUP($E318,'Status Thresholds'!$E:$AU,41,FALSE)),"-")</f>
        <v>50</v>
      </c>
      <c r="K318" s="46" t="str">
        <f>IFERROR(IF(AND($U$5=FALSE,$U$4=FALSE),"-",VLOOKUP($E318,'Status Thresholds'!$E:$AU,42,FALSE)),"-")</f>
        <v>-</v>
      </c>
      <c r="L318" s="46" t="str">
        <f>IFERROR(IF(AND($U$5=FALSE,$U$4=FALSE),"-",VLOOKUP($E318,'Status Thresholds'!$E:$AU,43,FALSE)),"-")</f>
        <v>-</v>
      </c>
    </row>
    <row r="319" spans="1:12" x14ac:dyDescent="0.25">
      <c r="A319" s="35"/>
      <c r="B319" s="64" t="str">
        <f>VLOOKUP(C319,'Status Thresholds'!B:C,2,FALSE)</f>
        <v>MHGen</v>
      </c>
      <c r="C319" s="64" t="str">
        <f>IF('Status Thresholds'!B314=0, "", 'Status Thresholds'!B314)</f>
        <v>Gammoth</v>
      </c>
      <c r="D319" s="10" t="s">
        <v>22</v>
      </c>
      <c r="E319" s="36" t="str">
        <f t="shared" si="4"/>
        <v>GammothExhaust</v>
      </c>
      <c r="F319" s="36" t="str">
        <f>IFERROR(
ROUNDUP(
IF(AND($U$5=FALSE,$U$4=FALSE),"-",IF(AND($U$5=TRUE,$U$4=TRUE),"-",
IF((AND($U$4=TRUE,$U$5=FALSE,$U$6=FALSE,$U$7=FALSE)),VLOOKUP($E319,'Status Thresholds'!$E:$AR,2,FALSE),IF((AND($U$4=TRUE,$U$5=FALSE,$U$6=TRUE,$U$7=FALSE)),VLOOKUP($E319,'Status Thresholds'!$E:$AR,12,FALSE),IF((AND($U$4=TRUE,$U$5=FALSE,$U$6=TRUE,$U$7=TRUE)),VLOOKUP($E319,'Status Thresholds'!$E:$AR,17,FALSE),IF((AND($U$4=TRUE,$U$5=FALSE,$U$6=FALSE,$U$7=TRUE)),VLOOKUP($E319,'Status Thresholds'!$E:$AR,7,FALSE),
IF((AND($U$4=FALSE,$U$5=TRUE,$U$6=FALSE,$U$7=FALSE)),VLOOKUP($E319,'Status Thresholds'!$E:$AR,22,FALSE),IF((AND($U$4=FALSE,$U$5=TRUE,$U$6=TRUE,$U$7=FALSE)),VLOOKUP($E319,'Status Thresholds'!$E:$AR,32,FALSE),IF((AND($U$4=FALSE,$U$5=TRUE,$U$6=TRUE,$U$7=TRUE)),VLOOKUP($E319,'Status Thresholds'!$E:$AR,37,FALSE),IF((AND($U$4=FALSE,$U$5=TRUE,$U$6=FALSE,$U$7=TRUE)),VLOOKUP($E319,'Status Thresholds'!$E:$AR,27,FALSE)))))))))
))/
IF(OR($X$5=TRUE,$AC$3=TRUE
),($F$6/2), IF(OR($X$2,$X$3,$X$4,$X$6,$X$7,$X$8,$Z$2,$Z$3,$Z$4,$Z$5,$Z$6,$Z$7,$Z$8)=TRUE,$F$6)),0),"-")</f>
        <v>-</v>
      </c>
      <c r="G319" s="36" t="str">
        <f>IFERROR(
ROUNDUP(
IF(AND($U$5=FALSE,$U$4=FALSE),"-",IF(AND($U$5=TRUE,$U$4=TRUE),"-",
IF((AND($U$4=TRUE,$U$5=FALSE,$U$6=FALSE,$U$7=FALSE)),VLOOKUP($E319,'Status Thresholds'!$E:$AR,3,FALSE),IF((AND($U$4=TRUE,$U$5=FALSE,$U$6=TRUE,$U$7=FALSE)),VLOOKUP($E319,'Status Thresholds'!$E:$AR,13,FALSE),IF((AND($U$4=TRUE,$U$5=FALSE,$U$6=TRUE,$U$7=TRUE)),VLOOKUP($E319,'Status Thresholds'!$E:$AR,18,FALSE),IF((AND($U$4=TRUE,$U$5=FALSE,$U$6=FALSE,$U$7=TRUE)),VLOOKUP($E319,'Status Thresholds'!$E:$AR,8,FALSE),
IF((AND($U$4=FALSE,$U$5=TRUE,$U$6=FALSE,$U$7=FALSE)),VLOOKUP($E319,'Status Thresholds'!$E:$AR,23,FALSE),IF((AND($U$4=FALSE,$U$5=TRUE,$U$6=TRUE,$U$7=FALSE)),VLOOKUP($E319,'Status Thresholds'!$E:$AR,33,FALSE),IF((AND($U$4=FALSE,$U$5=TRUE,$U$6=TRUE,$U$7=TRUE)),VLOOKUP($E319,'Status Thresholds'!$E:$AR,38,FALSE),IF((AND($U$4=FALSE,$U$5=TRUE,$U$6=FALSE,$U$7=TRUE)),VLOOKUP($E319,'Status Thresholds'!$E:$AR,28,FALSE)))))))))
))/
IF(OR($X$5=TRUE,$AC$3=TRUE
),($F$6/2), IF(OR($X$2,$X$3,$X$4,$X$6,$X$7,$X$8,$Z$2,$Z$3,$Z$4,$Z$5,$Z$6,$Z$7,$Z$8)=TRUE,$F$6)),0),"-")</f>
        <v>-</v>
      </c>
      <c r="H319" s="36" t="str">
        <f>IFERROR(
ROUNDUP(
IF(AND($U$5=FALSE,$U$4=FALSE),"-",IF(AND($U$5=TRUE,$U$4=TRUE),"-",
IF((AND($U$4=TRUE,$U$5=FALSE,$U$6=FALSE,$U$7=FALSE)),VLOOKUP($E319,'Status Thresholds'!$E:$AR,4,FALSE),IF((AND($U$4=TRUE,$U$5=FALSE,$U$6=TRUE,$U$7=FALSE)),VLOOKUP($E319,'Status Thresholds'!$E:$AR,14,FALSE),IF((AND($U$4=TRUE,$U$5=FALSE,$U$6=TRUE,$U$7=TRUE)),VLOOKUP($E319,'Status Thresholds'!$E:$AR,19,FALSE),IF((AND($U$4=TRUE,$U$5=FALSE,$U$6=FALSE,$U$7=TRUE)),VLOOKUP($E319,'Status Thresholds'!$E:$AR,9,FALSE),
IF((AND($U$4=FALSE,$U$5=TRUE,$U$6=FALSE,$U$7=FALSE)),VLOOKUP($E319,'Status Thresholds'!$E:$AR,24,FALSE),IF((AND($U$4=FALSE,$U$5=TRUE,$U$6=TRUE,$U$7=FALSE)),VLOOKUP($E319,'Status Thresholds'!$E:$AR,34,FALSE),IF((AND($U$4=FALSE,$U$5=TRUE,$U$6=TRUE,$U$7=TRUE)),VLOOKUP($E319,'Status Thresholds'!$E:$AR,39,FALSE),IF((AND($U$4=FALSE,$U$5=TRUE,$U$6=FALSE,$U$7=TRUE)),VLOOKUP($E319,'Status Thresholds'!$E:$AR,29,FALSE)))))))))
))/
IF(OR($X$5=TRUE,$AC$3=TRUE
),($F$6/2), IF(OR($X$2,$X$3,$X$4,$X$6,$X$7,$X$8,$Z$2,$Z$3,$Z$4,$Z$5,$Z$6,$Z$7,$Z$8)=TRUE,$F$6)),0),"-")</f>
        <v>-</v>
      </c>
      <c r="I319" s="36" t="str">
        <f>IFERROR(
ROUNDUP(
IF(AND($U$5=FALSE,$U$4=FALSE),"-",IF(AND($U$5=TRUE,$U$4=TRUE),"-",
IF((AND($U$4=TRUE,$U$5=FALSE,$U$6=FALSE,$U$7=FALSE)),VLOOKUP($E319,'Status Thresholds'!$E:$AR,5,FALSE),IF((AND($U$4=TRUE,$U$5=FALSE,$U$6=TRUE,$U$7=FALSE)),VLOOKUP($E319,'Status Thresholds'!$E:$AR,15,FALSE),IF((AND($U$4=TRUE,$U$5=FALSE,$U$6=TRUE,$U$7=TRUE)),VLOOKUP($E319,'Status Thresholds'!$E:$AR,20,FALSE),IF((AND($U$4=TRUE,$U$5=FALSE,$U$6=FALSE,$U$7=TRUE)),VLOOKUP($E319,'Status Thresholds'!$E:$AR,10,FALSE),
IF((AND($U$4=FALSE,$U$5=TRUE,$U$6=FALSE,$U$7=FALSE)),VLOOKUP($E319,'Status Thresholds'!$E:$AR,25,FALSE),IF((AND($U$4=FALSE,$U$5=TRUE,$U$6=TRUE,$U$7=FALSE)),VLOOKUP($E319,'Status Thresholds'!$E:$AR,35,FALSE),IF((AND($U$4=FALSE,$U$5=TRUE,$U$6=TRUE,$U$7=TRUE)),VLOOKUP($E319,'Status Thresholds'!$E:$AR,40,FALSE),IF((AND($U$4=FALSE,$U$5=TRUE,$U$6=FALSE,$U$7=TRUE)),VLOOKUP($E319,'Status Thresholds'!$E:$AR,30,FALSE)))))))))
))/
IF(OR($X$5=TRUE,$AC$3=TRUE
),($F$6/2), IF(OR($X$2,$X$3,$X$4,$X$6,$X$7,$X$8,$Z$2,$Z$3,$Z$4,$Z$5,$Z$6,$Z$7,$Z$8)=TRUE,$F$6)),0),"-")</f>
        <v>-</v>
      </c>
      <c r="J319" s="46">
        <f>IFERROR(IF(AND($U$5=FALSE,$U$4=FALSE),"-",VLOOKUP($E319,'Status Thresholds'!$E:$AU,41,FALSE)),"-")</f>
        <v>0</v>
      </c>
      <c r="K319" s="46" t="str">
        <f>IFERROR(IF(AND($U$5=FALSE,$U$4=FALSE),"-",VLOOKUP($E319,'Status Thresholds'!$E:$AU,42,FALSE)),"-")</f>
        <v>-</v>
      </c>
      <c r="L319" s="46" t="str">
        <f>IFERROR(IF(AND($U$5=FALSE,$U$4=FALSE),"-",VLOOKUP($E319,'Status Thresholds'!$E:$AU,43,FALSE)),"-")</f>
        <v>-</v>
      </c>
    </row>
    <row r="320" spans="1:12" x14ac:dyDescent="0.25">
      <c r="A320" s="35"/>
      <c r="B320" s="64" t="str">
        <f>VLOOKUP(C320,'Status Thresholds'!B:C,2,FALSE)</f>
        <v>MHGen</v>
      </c>
      <c r="C320" s="64" t="str">
        <f>IF('Status Thresholds'!B315=0, "", 'Status Thresholds'!B315)</f>
        <v>Gammoth</v>
      </c>
      <c r="D320" s="30" t="s">
        <v>35</v>
      </c>
      <c r="E320" s="36" t="str">
        <f t="shared" si="4"/>
        <v>GammothBlast</v>
      </c>
      <c r="F320" s="36" t="str">
        <f>IFERROR(
ROUNDUP(
IF(AND($U$5=FALSE,$U$4=FALSE),"-",IF(AND($U$5=TRUE,$U$4=TRUE),"-",
IF((AND($U$4=TRUE,$U$5=FALSE,$U$6=FALSE,$U$7=FALSE)),VLOOKUP($E320,'Status Thresholds'!$E:$AR,2,FALSE),IF((AND($U$4=TRUE,$U$5=FALSE,$U$6=TRUE,$U$7=FALSE)),VLOOKUP($E320,'Status Thresholds'!$E:$AR,12,FALSE),IF((AND($U$4=TRUE,$U$5=FALSE,$U$6=TRUE,$U$7=TRUE)),VLOOKUP($E320,'Status Thresholds'!$E:$AR,17,FALSE),IF((AND($U$4=TRUE,$U$5=FALSE,$U$6=FALSE,$U$7=TRUE)),VLOOKUP($E320,'Status Thresholds'!$E:$AR,7,FALSE),
IF((AND($U$4=FALSE,$U$5=TRUE,$U$6=FALSE,$U$7=FALSE)),VLOOKUP($E320,'Status Thresholds'!$E:$AR,22,FALSE),IF((AND($U$4=FALSE,$U$5=TRUE,$U$6=TRUE,$U$7=FALSE)),VLOOKUP($E320,'Status Thresholds'!$E:$AR,32,FALSE),IF((AND($U$4=FALSE,$U$5=TRUE,$U$6=TRUE,$U$7=TRUE)),VLOOKUP($E320,'Status Thresholds'!$E:$AR,37,FALSE),IF((AND($U$4=FALSE,$U$5=TRUE,$U$6=FALSE,$U$7=TRUE)),VLOOKUP($E320,'Status Thresholds'!$E:$AR,27,FALSE)))))))))
))/
IF(OR($X$5=TRUE,$AC$3=TRUE
),($F$7/2), IF(OR($X$2,$X$3,$X$4,$X$6,$X$7,$X$8,$Z$2,$Z$3,$Z$4,$Z$5,$Z$6,$Z$7,$Z$8)=TRUE,$F$7)),0),"-")</f>
        <v>-</v>
      </c>
      <c r="G320" s="36" t="str">
        <f>IFERROR(
ROUNDUP(
IF(AND($U$5=FALSE,$U$4=FALSE),"-",IF(AND($U$5=TRUE,$U$4=TRUE),"-",
IF((AND($U$4=TRUE,$U$5=FALSE,$U$6=FALSE,$U$7=FALSE)),VLOOKUP($E320,'Status Thresholds'!$E:$AR,3,FALSE),IF((AND($U$4=TRUE,$U$5=FALSE,$U$6=TRUE,$U$7=FALSE)),VLOOKUP($E320,'Status Thresholds'!$E:$AR,13,FALSE),IF((AND($U$4=TRUE,$U$5=FALSE,$U$6=TRUE,$U$7=TRUE)),VLOOKUP($E320,'Status Thresholds'!$E:$AR,18,FALSE),IF((AND($U$4=TRUE,$U$5=FALSE,$U$6=FALSE,$U$7=TRUE)),VLOOKUP($E320,'Status Thresholds'!$E:$AR,8,FALSE),
IF((AND($U$4=FALSE,$U$5=TRUE,$U$6=FALSE,$U$7=FALSE)),VLOOKUP($E320,'Status Thresholds'!$E:$AR,23,FALSE),IF((AND($U$4=FALSE,$U$5=TRUE,$U$6=TRUE,$U$7=FALSE)),VLOOKUP($E320,'Status Thresholds'!$E:$AR,33,FALSE),IF((AND($U$4=FALSE,$U$5=TRUE,$U$6=TRUE,$U$7=TRUE)),VLOOKUP($E320,'Status Thresholds'!$E:$AR,38,FALSE),IF((AND($U$4=FALSE,$U$5=TRUE,$U$6=FALSE,$U$7=TRUE)),VLOOKUP($E320,'Status Thresholds'!$E:$AR,28,FALSE)))))))))
))/
IF(OR($X$5=TRUE,$AC$3=TRUE
),($F$7/2), IF(OR($X$2,$X$3,$X$4,$X$6,$X$7,$X$8,$Z$2,$Z$3,$Z$4,$Z$5,$Z$6,$Z$7,$Z$8)=TRUE,$F$7)),0),"-")</f>
        <v>-</v>
      </c>
      <c r="H320" s="36" t="str">
        <f>IFERROR(
ROUNDUP(
IF(AND($U$5=FALSE,$U$4=FALSE),"-",IF(AND($U$5=TRUE,$U$4=TRUE),"-",
IF((AND($U$4=TRUE,$U$5=FALSE,$U$6=FALSE,$U$7=FALSE)),VLOOKUP($E320,'Status Thresholds'!$E:$AR,4,FALSE),IF((AND($U$4=TRUE,$U$5=FALSE,$U$6=TRUE,$U$7=FALSE)),VLOOKUP($E320,'Status Thresholds'!$E:$AR,14,FALSE),IF((AND($U$4=TRUE,$U$5=FALSE,$U$6=TRUE,$U$7=TRUE)),VLOOKUP($E320,'Status Thresholds'!$E:$AR,19,FALSE),IF((AND($U$4=TRUE,$U$5=FALSE,$U$6=FALSE,$U$7=TRUE)),VLOOKUP($E320,'Status Thresholds'!$E:$AR,9,FALSE),
IF((AND($U$4=FALSE,$U$5=TRUE,$U$6=FALSE,$U$7=FALSE)),VLOOKUP($E320,'Status Thresholds'!$E:$AR,24,FALSE),IF((AND($U$4=FALSE,$U$5=TRUE,$U$6=TRUE,$U$7=FALSE)),VLOOKUP($E320,'Status Thresholds'!$E:$AR,34,FALSE),IF((AND($U$4=FALSE,$U$5=TRUE,$U$6=TRUE,$U$7=TRUE)),VLOOKUP($E320,'Status Thresholds'!$E:$AR,39,FALSE),IF((AND($U$4=FALSE,$U$5=TRUE,$U$6=FALSE,$U$7=TRUE)),VLOOKUP($E320,'Status Thresholds'!$E:$AR,29,FALSE)))))))))
))/
IF(OR($X$5=TRUE,$AC$3=TRUE
),($F$7/2), IF(OR($X$2,$X$3,$X$4,$X$6,$X$7,$X$8,$Z$2,$Z$3,$Z$4,$Z$5,$Z$6,$Z$7,$Z$8)=TRUE,$F$7)),0),"-")</f>
        <v>-</v>
      </c>
      <c r="I320" s="36" t="str">
        <f>IFERROR(
ROUNDUP(
IF(AND($U$5=FALSE,$U$4=FALSE),"-",IF(AND($U$5=TRUE,$U$4=TRUE),"-",
IF((AND($U$4=TRUE,$U$5=FALSE,$U$6=FALSE,$U$7=FALSE)),VLOOKUP($E320,'Status Thresholds'!$E:$AR,5,FALSE),IF((AND($U$4=TRUE,$U$5=FALSE,$U$6=TRUE,$U$7=FALSE)),VLOOKUP($E320,'Status Thresholds'!$E:$AR,15,FALSE),IF((AND($U$4=TRUE,$U$5=FALSE,$U$6=TRUE,$U$7=TRUE)),VLOOKUP($E320,'Status Thresholds'!$E:$AR,20,FALSE),IF((AND($U$4=TRUE,$U$5=FALSE,$U$6=FALSE,$U$7=TRUE)),VLOOKUP($E320,'Status Thresholds'!$E:$AR,10,FALSE),
IF((AND($U$4=FALSE,$U$5=TRUE,$U$6=FALSE,$U$7=FALSE)),VLOOKUP($E320,'Status Thresholds'!$E:$AR,25,FALSE),IF((AND($U$4=FALSE,$U$5=TRUE,$U$6=TRUE,$U$7=FALSE)),VLOOKUP($E320,'Status Thresholds'!$E:$AR,35,FALSE),IF((AND($U$4=FALSE,$U$5=TRUE,$U$6=TRUE,$U$7=TRUE)),VLOOKUP($E320,'Status Thresholds'!$E:$AR,40,FALSE),IF((AND($U$4=FALSE,$U$5=TRUE,$U$6=FALSE,$U$7=TRUE)),VLOOKUP($E320,'Status Thresholds'!$E:$AR,30,FALSE)))))))))
))/
IF(OR($X$5=TRUE,$AC$3=TRUE
),($F$7/2), IF(OR($X$2,$X$3,$X$4,$X$6,$X$7,$X$8,$Z$2,$Z$3,$Z$4,$Z$5,$Z$6,$Z$7,$Z$8)=TRUE,$F$7)),0),"-")</f>
        <v>-</v>
      </c>
      <c r="J320" s="46">
        <f>IFERROR(IF(AND($U$5=FALSE,$U$4=FALSE),"-",VLOOKUP($E320,'Status Thresholds'!$E:$AU,41,FALSE)),"-")</f>
        <v>0</v>
      </c>
      <c r="K320" s="46" t="str">
        <f>IFERROR(IF(AND($U$5=FALSE,$U$4=FALSE),"-",VLOOKUP($E320,'Status Thresholds'!$E:$AU,42,FALSE)),"-")</f>
        <v>-</v>
      </c>
      <c r="L320" s="46" t="str">
        <f>IFERROR(IF(AND($U$5=FALSE,$U$4=FALSE),"-",VLOOKUP($E320,'Status Thresholds'!$E:$AU,43,FALSE)),"-")</f>
        <v>-</v>
      </c>
    </row>
    <row r="321" spans="1:12" ht="14.45" customHeight="1" x14ac:dyDescent="0.25">
      <c r="A321" s="35"/>
      <c r="B321" s="64" t="str">
        <f>VLOOKUP(C321,'Status Thresholds'!B:C,2,FALSE)</f>
        <v>MHGen</v>
      </c>
      <c r="C321" s="64" t="str">
        <f>IF('Status Thresholds'!B316=0, "", 'Status Thresholds'!B316)</f>
        <v>Gammoth</v>
      </c>
      <c r="D321" s="34" t="s">
        <v>14</v>
      </c>
      <c r="E321" s="36" t="str">
        <f t="shared" si="4"/>
        <v>GammothKO</v>
      </c>
      <c r="F321" s="36" t="s">
        <v>214</v>
      </c>
      <c r="G321" s="36" t="s">
        <v>214</v>
      </c>
      <c r="H321" s="36" t="s">
        <v>214</v>
      </c>
      <c r="I321" s="36" t="s">
        <v>214</v>
      </c>
      <c r="J321" s="46">
        <f>IFERROR(IF(AND($U$5=FALSE,$U$4=FALSE),"-",VLOOKUP($E321,'Status Thresholds'!$E:$AU,41,FALSE)),"-")</f>
        <v>15</v>
      </c>
      <c r="K321" s="46" t="str">
        <f>IFERROR(IF(AND($U$5=FALSE,$U$4=FALSE),"-",VLOOKUP($E321,'Status Thresholds'!$E:$AU,42,FALSE)),"-")</f>
        <v>-</v>
      </c>
      <c r="L321" s="46" t="str">
        <f>IFERROR(IF(AND($U$5=FALSE,$U$4=FALSE),"-",VLOOKUP($E321,'Status Thresholds'!$E:$AU,43,FALSE)),"-")</f>
        <v>-</v>
      </c>
    </row>
    <row r="322" spans="1:12" x14ac:dyDescent="0.25">
      <c r="A322" s="35"/>
      <c r="B322" s="64" t="str">
        <f>VLOOKUP(C322,'Status Thresholds'!B:C,2,FALSE)</f>
        <v>MHGen</v>
      </c>
      <c r="C322" s="64" t="str">
        <f>IF('Status Thresholds'!B317=0, "", 'Status Thresholds'!B317)</f>
        <v>Gammoth</v>
      </c>
      <c r="D322" s="33" t="s">
        <v>34</v>
      </c>
      <c r="E322" s="36" t="str">
        <f t="shared" si="4"/>
        <v>GammothMount</v>
      </c>
      <c r="F322" s="36" t="str">
        <f>IFERROR(
ROUNDUP(
IF(AND($U$5=FALSE,$U$4=FALSE),"-",IF(AND($U$5=TRUE,$U$4=TRUE),"-",
IF((AND($U$4=TRUE,$U$5=FALSE,$U$6=FALSE,$U$7=FALSE)),VLOOKUP($E322,'Status Thresholds'!$E:$AR,2,FALSE),IF((AND($U$4=TRUE,$U$5=FALSE,$U$6=TRUE,$U$7=FALSE)),VLOOKUP($E322,'Status Thresholds'!$E:$AR,12,FALSE),IF((AND($U$4=TRUE,$U$5=FALSE,$U$6=TRUE,$U$7=TRUE)),VLOOKUP($E322,'Status Thresholds'!$E:$AR,17,FALSE),IF((AND($U$4=TRUE,$U$5=FALSE,$U$6=FALSE,$U$7=TRUE)),VLOOKUP($E322,'Status Thresholds'!$E:$AR,7,FALSE),
IF((AND($U$4=FALSE,$U$5=TRUE,$U$6=FALSE,$U$7=FALSE)),VLOOKUP($E322,'Status Thresholds'!$E:$AR,22,FALSE),IF((AND($U$4=FALSE,$U$5=TRUE,$U$6=TRUE,$U$7=FALSE)),VLOOKUP($E322,'Status Thresholds'!$E:$AR,32,FALSE),IF((AND($U$4=FALSE,$U$5=TRUE,$U$6=TRUE,$U$7=TRUE)),VLOOKUP($E322,'Status Thresholds'!$E:$AR,37,FALSE),IF((AND($U$4=FALSE,$U$5=TRUE,$U$6=FALSE,$U$7=TRUE)),VLOOKUP($E322,'Status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322" s="36" t="str">
        <f>IFERROR(
ROUNDUP(
IF(AND($U$5=FALSE,$U$4=FALSE),"-",IF(AND($U$5=TRUE,$U$4=TRUE),"-",
IF((AND($U$4=TRUE,$U$5=FALSE,$U$6=FALSE,$U$7=FALSE)),VLOOKUP($E321,'Status Thresholds'!$E:$AR,3,FALSE),IF((AND($U$4=TRUE,$U$5=FALSE,$U$6=TRUE,$U$7=FALSE)),VLOOKUP($E321,'Status Thresholds'!$E:$AR,13,FALSE),IF((AND($U$4=TRUE,$U$5=FALSE,$U$6=TRUE,$U$7=TRUE)),VLOOKUP($E321,'Status Thresholds'!$E:$AR,18,FALSE),IF((AND($U$4=TRUE,$U$5=FALSE,$U$6=FALSE,$U$7=TRUE)),VLOOKUP($E321,'Status Thresholds'!$E:$AR,8,FALSE),
IF((AND($U$4=FALSE,$U$5=TRUE,$U$6=FALSE,$U$7=FALSE)),VLOOKUP($E321,'Status Thresholds'!$E:$AR,23,FALSE),IF((AND($U$4=FALSE,$U$5=TRUE,$U$6=TRUE,$U$7=FALSE)),VLOOKUP($E321,'Status Thresholds'!$E:$AR,33,FALSE),IF((AND($U$4=FALSE,$U$5=TRUE,$U$6=TRUE,$U$7=TRUE)),VLOOKUP($E321,'Status Thresholds'!$E:$AR,38,FALSE),IF((AND($U$4=FALSE,$U$5=TRUE,$U$6=FALSE,$U$7=TRUE)),VLOOKUP($E321,'Status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322" s="36" t="str">
        <f>IFERROR(
ROUNDUP(
IF(AND($U$5=FALSE,$U$4=FALSE),"-",IF(AND($U$5=TRUE,$U$4=TRUE),"-",
IF((AND($U$4=TRUE,$U$5=FALSE,$U$6=FALSE,$U$7=FALSE)),VLOOKUP($E321,'Status Thresholds'!$E:$AR,4,FALSE),IF((AND($U$4=TRUE,$U$5=FALSE,$U$6=TRUE,$U$7=FALSE)),VLOOKUP($E321,'Status Thresholds'!$E:$AR,14,FALSE),IF((AND($U$4=TRUE,$U$5=FALSE,$U$6=TRUE,$U$7=TRUE)),VLOOKUP($E321,'Status Thresholds'!$E:$AR,19,FALSE),IF((AND($U$4=TRUE,$U$5=FALSE,$U$6=FALSE,$U$7=TRUE)),VLOOKUP($E321,'Status Thresholds'!$E:$AR,9,FALSE),
IF((AND($U$4=FALSE,$U$5=TRUE,$U$6=FALSE,$U$7=FALSE)),VLOOKUP($E321,'Status Thresholds'!$E:$AR,24,FALSE),IF((AND($U$4=FALSE,$U$5=TRUE,$U$6=TRUE,$U$7=FALSE)),VLOOKUP($E321,'Status Thresholds'!$E:$AR,34,FALSE),IF((AND($U$4=FALSE,$U$5=TRUE,$U$6=TRUE,$U$7=TRUE)),VLOOKUP($E321,'Status Thresholds'!$E:$AR,39,FALSE),IF((AND($U$4=FALSE,$U$5=TRUE,$U$6=FALSE,$U$7=TRUE)),VLOOKUP($E321,'Status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322" s="36" t="str">
        <f>IFERROR(
ROUNDUP(
IF(AND($U$5=FALSE,$U$4=FALSE),"-",IF(AND($U$5=TRUE,$U$4=TRUE),"-",
IF((AND($U$4=TRUE,$U$5=FALSE,$U$6=FALSE,$U$7=FALSE)),VLOOKUP($E321,'Status Thresholds'!$E:$AR,5,FALSE),IF((AND($U$4=TRUE,$U$5=FALSE,$U$6=TRUE,$U$7=FALSE)),VLOOKUP($E321,'Status Thresholds'!$E:$AR,15,FALSE),IF((AND($U$4=TRUE,$U$5=FALSE,$U$6=TRUE,$U$7=TRUE)),VLOOKUP($E321,'Status Thresholds'!$E:$AR,20,FALSE),IF((AND($U$4=TRUE,$U$5=FALSE,$U$6=FALSE,$U$7=TRUE)),VLOOKUP($E321,'Status Thresholds'!$E:$AR,10,FALSE),
IF((AND($U$4=FALSE,$U$5=TRUE,$U$6=FALSE,$U$7=FALSE)),VLOOKUP($E321,'Status Thresholds'!$E:$AR,25,FALSE),IF((AND($U$4=FALSE,$U$5=TRUE,$U$6=TRUE,$U$7=FALSE)),VLOOKUP($E321,'Status Thresholds'!$E:$AR,35,FALSE),IF((AND($U$4=FALSE,$U$5=TRUE,$U$6=TRUE,$U$7=TRUE)),VLOOKUP($E321,'Status Thresholds'!$E:$AR,40,FALSE),IF((AND($U$4=FALSE,$U$5=TRUE,$U$6=FALSE,$U$7=TRUE)),VLOOKUP($E321,'Status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322" s="46">
        <f>IFERROR(IF(AND($U$5=FALSE,$U$4=FALSE),"-",VLOOKUP($E322,'Status Thresholds'!$E:$AU,41,FALSE)),"-")</f>
        <v>0</v>
      </c>
      <c r="K322" s="46" t="str">
        <f>IFERROR(IF(AND($U$5=FALSE,$U$4=FALSE),"-",VLOOKUP($E322,'Status Thresholds'!$E:$AU,42,FALSE)),"-")</f>
        <v>-</v>
      </c>
      <c r="L322" s="46" t="str">
        <f>IFERROR(IF(AND($U$5=FALSE,$U$4=FALSE),"-",VLOOKUP($E322,'Status Thresholds'!$E:$AU,43,FALSE)),"-")</f>
        <v>-</v>
      </c>
    </row>
    <row r="323" spans="1:12" ht="15" customHeight="1" x14ac:dyDescent="0.25">
      <c r="A323" s="35"/>
      <c r="B323" s="64" t="str">
        <f>VLOOKUP(C323,'Status Thresholds'!B:C,2,FALSE)</f>
        <v>MHGen</v>
      </c>
      <c r="C323" s="64" t="str">
        <f>IF('Status Thresholds'!B318=0, "", 'Status Thresholds'!B318)</f>
        <v>Gammoth</v>
      </c>
      <c r="D323" s="77" t="s">
        <v>207</v>
      </c>
      <c r="E323" s="36" t="str">
        <f t="shared" si="4"/>
        <v>GammothShock Trap</v>
      </c>
      <c r="F323" s="76" t="s">
        <v>214</v>
      </c>
      <c r="G323" s="46" t="s">
        <v>214</v>
      </c>
      <c r="H323" s="46" t="s">
        <v>214</v>
      </c>
      <c r="I323" s="46" t="s">
        <v>214</v>
      </c>
      <c r="J323" s="46">
        <f>IFERROR(IF(AND($U$5=FALSE,$U$4=FALSE),"-",VLOOKUP($E323,'Status Thresholds'!$E:$AU,43,FALSE)),"-")</f>
        <v>8</v>
      </c>
      <c r="K323" s="46">
        <f>IFERROR(IF(AND($U$5=FALSE,$U$4=FALSE),"-",VLOOKUP($E323,'Status Thresholds'!$E:$AU,41,FALSE)),"-")</f>
        <v>8</v>
      </c>
      <c r="L323" s="46">
        <f>IFERROR(IF(AND($U$5=FALSE,$U$4=FALSE),"-",VLOOKUP($E323,'Status Thresholds'!$E:$AU,42,FALSE)),"-")</f>
        <v>15</v>
      </c>
    </row>
    <row r="324" spans="1:12" x14ac:dyDescent="0.25">
      <c r="A324" s="35"/>
      <c r="B324" s="64" t="str">
        <f>VLOOKUP(C324,'Status Thresholds'!B:C,2,FALSE)</f>
        <v>MHGen</v>
      </c>
      <c r="C324" s="64" t="str">
        <f>IF('Status Thresholds'!B319=0, "", 'Status Thresholds'!B319)</f>
        <v>Gammoth</v>
      </c>
      <c r="D324" s="77" t="s">
        <v>213</v>
      </c>
      <c r="E324" s="36" t="str">
        <f t="shared" si="4"/>
        <v>GammothPitfall Trap</v>
      </c>
      <c r="F324" s="46" t="s">
        <v>214</v>
      </c>
      <c r="G324" s="46" t="s">
        <v>214</v>
      </c>
      <c r="H324" s="46" t="s">
        <v>214</v>
      </c>
      <c r="I324" s="46" t="s">
        <v>214</v>
      </c>
      <c r="J324" s="46">
        <f>IFERROR(IF(AND($U$5=FALSE,$U$4=FALSE),"-",VLOOKUP($E324,'Status Thresholds'!$E:$AU,43,FALSE)),"-")</f>
        <v>12</v>
      </c>
      <c r="K324" s="46">
        <f>IFERROR(IF(AND($U$5=FALSE,$U$4=FALSE),"-",VLOOKUP($E324,'Status Thresholds'!$E:$AU,41,FALSE)),"-")</f>
        <v>12</v>
      </c>
      <c r="L324" s="46">
        <f>IFERROR(IF(AND($U$5=FALSE,$U$4=FALSE),"-",VLOOKUP($E324,'Status Thresholds'!$E:$AU,42,FALSE)),"-")</f>
        <v>25</v>
      </c>
    </row>
    <row r="325" spans="1:12" s="36" customFormat="1" x14ac:dyDescent="0.25">
      <c r="A325" s="64"/>
      <c r="B325" s="64" t="str">
        <f>VLOOKUP(C325,'Status Thresholds'!B:C,2,FALSE)</f>
        <v>MHGen</v>
      </c>
      <c r="C325" s="64" t="str">
        <f>IF('Status Thresholds'!B320=0, "", 'Status Thresholds'!B320)</f>
        <v>Gendrome</v>
      </c>
      <c r="D325" s="37" t="s">
        <v>0</v>
      </c>
      <c r="E325" s="36" t="str">
        <f t="shared" si="4"/>
        <v>GendromePara</v>
      </c>
      <c r="F325" s="36" t="str">
        <f>IFERROR(
ROUNDUP(
IF(AND($U$5=FALSE,$U$4=FALSE),"-",IF(AND($U$5=TRUE,$U$4=TRUE),"-",
IF((AND($U$4=TRUE,$U$5=FALSE,$U$6=FALSE,$U$7=FALSE)),VLOOKUP($E325,'Status Thresholds'!$E:$AR,2,FALSE),IF((AND($U$4=TRUE,$U$5=FALSE,$U$6=TRUE,$U$7=FALSE)),VLOOKUP($E325,'Status Thresholds'!$E:$AR,12,FALSE),IF((AND($U$4=TRUE,$U$5=FALSE,$U$6=TRUE,$U$7=TRUE)),VLOOKUP($E325,'Status Thresholds'!$E:$AR,17,FALSE),IF((AND($U$4=TRUE,$U$5=FALSE,$U$6=FALSE,$U$7=TRUE)),VLOOKUP($E325,'Status Thresholds'!$E:$AR,7,FALSE),
IF((AND($U$4=FALSE,$U$5=TRUE,$U$6=FALSE,$U$7=FALSE)),VLOOKUP($E325,'Status Thresholds'!$E:$AR,22,FALSE),IF((AND($U$4=FALSE,$U$5=TRUE,$U$6=TRUE,$U$7=FALSE)),VLOOKUP($E325,'Status Thresholds'!$E:$AR,32,FALSE),IF((AND($U$4=FALSE,$U$5=TRUE,$U$6=TRUE,$U$7=TRUE)),VLOOKUP($E325,'Status Thresholds'!$E:$AR,37,FALSE),IF((AND($U$4=FALSE,$U$5=TRUE,$U$6=FALSE,$U$7=TRUE)),VLOOKUP($E325,'Status Thresholds'!$E:$AR,27,FALSE)))))))))
))/
IF(OR($X$5=TRUE,$AC$3=TRUE
),($F$3/2), IF(OR($X$2,$X$3,$X$4,$X$6,$X$7,$X$8,$Z$2,$Z$3,$Z$4,$Z$5,$Z$6,$Z$7,$Z$8)=TRUE,$F$3)),0),"-")</f>
        <v>-</v>
      </c>
      <c r="G325" s="36" t="str">
        <f>IFERROR(
ROUNDUP(
IF(AND($U$5=FALSE,$U$4=FALSE),"-",IF(AND($U$5=TRUE,$U$4=TRUE),"-",
IF((AND($U$4=TRUE,$U$5=FALSE,$U$6=FALSE,$U$7=FALSE)),VLOOKUP($E325,'Status Thresholds'!$E:$AR,3,FALSE),IF((AND($U$4=TRUE,$U$5=FALSE,$U$6=TRUE,$U$7=FALSE)),VLOOKUP($E325,'Status Thresholds'!$E:$AR,13,FALSE),IF((AND($U$4=TRUE,$U$5=FALSE,$U$6=TRUE,$U$7=TRUE)),VLOOKUP($E325,'Status Thresholds'!$E:$AR,18,FALSE),IF((AND($U$4=TRUE,$U$5=FALSE,$U$6=FALSE,$U$7=TRUE)),VLOOKUP($E325,'Status Thresholds'!$E:$AR,8,FALSE),
IF((AND($U$4=FALSE,$U$5=TRUE,$U$6=FALSE,$U$7=FALSE)),VLOOKUP($E325,'Status Thresholds'!$E:$AR,23,FALSE),IF((AND($U$4=FALSE,$U$5=TRUE,$U$6=TRUE,$U$7=FALSE)),VLOOKUP($E325,'Status Thresholds'!$E:$AR,33,FALSE),IF((AND($U$4=FALSE,$U$5=TRUE,$U$6=TRUE,$U$7=TRUE)),VLOOKUP($E325,'Status Thresholds'!$E:$AR,38,FALSE),IF((AND($U$4=FALSE,$U$5=TRUE,$U$6=FALSE,$U$7=TRUE)),VLOOKUP($E325,'Status Thresholds'!$E:$AR,28,FALSE)))))))))
))/
IF(OR($X$5=TRUE,$AC$3=TRUE
),($F$3/2), IF(OR($X$2,$X$3,$X$4,$X$6,$X$7,$X$8,$Z$2,$Z$3,$Z$4,$Z$5,$Z$6,$Z$7,$Z$8)=TRUE,$F$3)),0),"-")</f>
        <v>-</v>
      </c>
      <c r="H325" s="36" t="str">
        <f>IFERROR(
ROUNDUP(
IF(AND($U$5=FALSE,$U$4=FALSE),"-",IF(AND($U$5=TRUE,$U$4=TRUE),"-",
IF((AND($U$4=TRUE,$U$5=FALSE,$U$6=FALSE,$U$7=FALSE)),VLOOKUP($E325,'Status Thresholds'!$E:$AR,4,FALSE),IF((AND($U$4=TRUE,$U$5=FALSE,$U$6=TRUE,$U$7=FALSE)),VLOOKUP($E325,'Status Thresholds'!$E:$AR,14,FALSE),IF((AND($U$4=TRUE,$U$5=FALSE,$U$6=TRUE,$U$7=TRUE)),VLOOKUP($E325,'Status Thresholds'!$E:$AR,19,FALSE),IF((AND($U$4=TRUE,$U$5=FALSE,$U$6=FALSE,$U$7=TRUE)),VLOOKUP($E325,'Status Thresholds'!$E:$AR,9,FALSE),
IF((AND($U$4=FALSE,$U$5=TRUE,$U$6=FALSE,$U$7=FALSE)),VLOOKUP($E325,'Status Thresholds'!$E:$AR,24,FALSE),IF((AND($U$4=FALSE,$U$5=TRUE,$U$6=TRUE,$U$7=FALSE)),VLOOKUP($E325,'Status Thresholds'!$E:$AR,34,FALSE),IF((AND($U$4=FALSE,$U$5=TRUE,$U$6=TRUE,$U$7=TRUE)),VLOOKUP($E325,'Status Thresholds'!$E:$AR,39,FALSE),IF((AND($U$4=FALSE,$U$5=TRUE,$U$6=FALSE,$U$7=TRUE)),VLOOKUP($E325,'Status Thresholds'!$E:$AR,29,FALSE)))))))))
))/
IF(OR($X$5=TRUE,$AC$3=TRUE
),($F$3/2), IF(OR($X$2,$X$3,$X$4,$X$6,$X$7,$X$8,$Z$2,$Z$3,$Z$4,$Z$5,$Z$6,$Z$7,$Z$8)=TRUE,$F$3)),0),"-")</f>
        <v>-</v>
      </c>
      <c r="I325" s="36" t="str">
        <f>IFERROR(
ROUNDUP(
IF(AND($U$5=FALSE,$U$4=FALSE),"-",IF(AND($U$5=TRUE,$U$4=TRUE),"-",
IF((AND($U$4=TRUE,$U$5=FALSE,$U$6=FALSE,$U$7=FALSE)),VLOOKUP($E325,'Status Thresholds'!$E:$AR,5,FALSE),IF((AND($U$4=TRUE,$U$5=FALSE,$U$6=TRUE,$U$7=FALSE)),VLOOKUP($E325,'Status Thresholds'!$E:$AR,15,FALSE),IF((AND($U$4=TRUE,$U$5=FALSE,$U$6=TRUE,$U$7=TRUE)),VLOOKUP($E325,'Status Thresholds'!$E:$AR,20,FALSE),IF((AND($U$4=TRUE,$U$5=FALSE,$U$6=FALSE,$U$7=TRUE)),VLOOKUP($E325,'Status Thresholds'!$E:$AR,10,FALSE),
IF((AND($U$4=FALSE,$U$5=TRUE,$U$6=FALSE,$U$7=FALSE)),VLOOKUP($E325,'Status Thresholds'!$E:$AR,25,FALSE),IF((AND($U$4=FALSE,$U$5=TRUE,$U$6=TRUE,$U$7=FALSE)),VLOOKUP($E325,'Status Thresholds'!$E:$AR,35,FALSE),IF((AND($U$4=FALSE,$U$5=TRUE,$U$6=TRUE,$U$7=TRUE)),VLOOKUP($E325,'Status Thresholds'!$E:$AR,40,FALSE),IF((AND($U$4=FALSE,$U$5=TRUE,$U$6=FALSE,$U$7=TRUE)),VLOOKUP($E325,'Status Thresholds'!$E:$AR,30,FALSE)))))))))
))/
IF(OR($X$5=TRUE,$AC$3=TRUE
),($F$3/2), IF(OR($X$2,$X$3,$X$4,$X$6,$X$7,$X$8,$Z$2,$Z$3,$Z$4,$Z$5,$Z$6,$Z$7,$Z$8)=TRUE,$F$3)),0),"-")</f>
        <v>-</v>
      </c>
      <c r="J325" s="36">
        <f>IFERROR(IF(AND($U$5=FALSE,$U$4=FALSE),"-",VLOOKUP($E325,'Status Thresholds'!$E:$AU,41,FALSE)),"-")</f>
        <v>5</v>
      </c>
      <c r="K325" s="36" t="str">
        <f>IFERROR(IF(AND($U$5=FALSE,$U$4=FALSE),"-",VLOOKUP($E325,'Status Thresholds'!$E:$AU,42,FALSE)),"-")</f>
        <v>-</v>
      </c>
      <c r="L325" s="36" t="str">
        <f>IFERROR(IF(AND($U$5=FALSE,$U$4=FALSE),"-",VLOOKUP($E325,'Status Thresholds'!$E:$AU,43,FALSE)),"-")</f>
        <v>-</v>
      </c>
    </row>
    <row r="326" spans="1:12" x14ac:dyDescent="0.25">
      <c r="A326" s="35"/>
      <c r="B326" s="64" t="str">
        <f>VLOOKUP(C326,'Status Thresholds'!B:C,2,FALSE)</f>
        <v>MHGen</v>
      </c>
      <c r="C326" s="64" t="str">
        <f>IF('Status Thresholds'!B321=0, "", 'Status Thresholds'!B321)</f>
        <v>Gendrome</v>
      </c>
      <c r="D326" s="31" t="s">
        <v>32</v>
      </c>
      <c r="E326" s="36" t="str">
        <f t="shared" si="4"/>
        <v>GendromeSleep</v>
      </c>
      <c r="F326" s="36" t="str">
        <f>IFERROR(
ROUNDUP(
IF(AND($U$5=FALSE,$U$4=FALSE),"-",IF(AND($U$5=TRUE,$U$4=TRUE),"-",
IF((AND($U$4=TRUE,$U$5=FALSE,$U$6=FALSE,$U$7=FALSE)),VLOOKUP($E326,'Status Thresholds'!$E:$AR,2,FALSE),IF((AND($U$4=TRUE,$U$5=FALSE,$U$6=TRUE,$U$7=FALSE)),VLOOKUP($E326,'Status Thresholds'!$E:$AR,12,FALSE),IF((AND($U$4=TRUE,$U$5=FALSE,$U$6=TRUE,$U$7=TRUE)),VLOOKUP($E326,'Status Thresholds'!$E:$AR,17,FALSE),IF((AND($U$4=TRUE,$U$5=FALSE,$U$6=FALSE,$U$7=TRUE)),VLOOKUP($E326,'Status Thresholds'!$E:$AR,7,FALSE),
IF((AND($U$4=FALSE,$U$5=TRUE,$U$6=FALSE,$U$7=FALSE)),VLOOKUP($E326,'Status Thresholds'!$E:$AR,22,FALSE),IF((AND($U$4=FALSE,$U$5=TRUE,$U$6=TRUE,$U$7=FALSE)),VLOOKUP($E326,'Status Thresholds'!$E:$AR,32,FALSE),IF((AND($U$4=FALSE,$U$5=TRUE,$U$6=TRUE,$U$7=TRUE)),VLOOKUP($E326,'Status Thresholds'!$E:$AR,37,FALSE),IF((AND($U$4=FALSE,$U$5=TRUE,$U$6=FALSE,$U$7=TRUE)),VLOOKUP($E326,'Status Thresholds'!$E:$AR,27,FALSE)))))))))
))/
IF(OR($X$5=TRUE,$AC$3=TRUE
),($F$4/2), IF(OR($X$2,$X$3,$X$4,$X$6,$X$7,$X$8,$Z$2,$Z$3,$Z$4,$Z$5,$Z$6,$Z$7,$Z$8)=TRUE,$F$4)),0),"-")</f>
        <v>-</v>
      </c>
      <c r="G326" s="36" t="str">
        <f>IFERROR(
ROUNDUP(
IF(AND($U$5=FALSE,$U$4=FALSE),"-",IF(AND($U$5=TRUE,$U$4=TRUE),"-",
IF((AND($U$4=TRUE,$U$5=FALSE,$U$6=FALSE,$U$7=FALSE)),VLOOKUP($E326,'Status Thresholds'!$E:$AR,3,FALSE),IF((AND($U$4=TRUE,$U$5=FALSE,$U$6=TRUE,$U$7=FALSE)),VLOOKUP($E326,'Status Thresholds'!$E:$AR,13,FALSE),IF((AND($U$4=TRUE,$U$5=FALSE,$U$6=TRUE,$U$7=TRUE)),VLOOKUP($E326,'Status Thresholds'!$E:$AR,18,FALSE),IF((AND($U$4=TRUE,$U$5=FALSE,$U$6=FALSE,$U$7=TRUE)),VLOOKUP($E326,'Status Thresholds'!$E:$AR,8,FALSE),
IF((AND($U$4=FALSE,$U$5=TRUE,$U$6=FALSE,$U$7=FALSE)),VLOOKUP($E326,'Status Thresholds'!$E:$AR,23,FALSE),IF((AND($U$4=FALSE,$U$5=TRUE,$U$6=TRUE,$U$7=FALSE)),VLOOKUP($E326,'Status Thresholds'!$E:$AR,33,FALSE),IF((AND($U$4=FALSE,$U$5=TRUE,$U$6=TRUE,$U$7=TRUE)),VLOOKUP($E326,'Status Thresholds'!$E:$AR,38,FALSE),IF((AND($U$4=FALSE,$U$5=TRUE,$U$6=FALSE,$U$7=TRUE)),VLOOKUP($E326,'Status Thresholds'!$E:$AR,28,FALSE)))))))))
))/
IF(OR($X$5=TRUE,$AC$3=TRUE
),($F$4/2), IF(OR($X$2,$X$3,$X$4,$X$6,$X$7,$X$8,$Z$2,$Z$3,$Z$4,$Z$5,$Z$6,$Z$7,$Z$8)=TRUE,$F$4)),0),"-")</f>
        <v>-</v>
      </c>
      <c r="H326" s="36" t="str">
        <f>IFERROR(
ROUNDUP(
IF(AND($U$5=FALSE,$U$4=FALSE),"-",IF(AND($U$5=TRUE,$U$4=TRUE),"-",
IF((AND($U$4=TRUE,$U$5=FALSE,$U$6=FALSE,$U$7=FALSE)),VLOOKUP($E326,'Status Thresholds'!$E:$AR,4,FALSE),IF((AND($U$4=TRUE,$U$5=FALSE,$U$6=TRUE,$U$7=FALSE)),VLOOKUP($E326,'Status Thresholds'!$E:$AR,14,FALSE),IF((AND($U$4=TRUE,$U$5=FALSE,$U$6=TRUE,$U$7=TRUE)),VLOOKUP($E326,'Status Thresholds'!$E:$AR,19,FALSE),IF((AND($U$4=TRUE,$U$5=FALSE,$U$6=FALSE,$U$7=TRUE)),VLOOKUP($E326,'Status Thresholds'!$E:$AR,9,FALSE),
IF((AND($U$4=FALSE,$U$5=TRUE,$U$6=FALSE,$U$7=FALSE)),VLOOKUP($E326,'Status Thresholds'!$E:$AR,24,FALSE),IF((AND($U$4=FALSE,$U$5=TRUE,$U$6=TRUE,$U$7=FALSE)),VLOOKUP($E326,'Status Thresholds'!$E:$AR,34,FALSE),IF((AND($U$4=FALSE,$U$5=TRUE,$U$6=TRUE,$U$7=TRUE)),VLOOKUP($E326,'Status Thresholds'!$E:$AR,39,FALSE),IF((AND($U$4=FALSE,$U$5=TRUE,$U$6=FALSE,$U$7=TRUE)),VLOOKUP($E326,'Status Thresholds'!$E:$AR,29,FALSE)))))))))
))/
IF(OR($X$5=TRUE,$AC$3=TRUE
),($F$4/2), IF(OR($X$2,$X$3,$X$4,$X$6,$X$7,$X$8,$Z$2,$Z$3,$Z$4,$Z$5,$Z$6,$Z$7,$Z$8)=TRUE,$F$4)),0),"-")</f>
        <v>-</v>
      </c>
      <c r="I326" s="36" t="str">
        <f>IFERROR(
ROUNDUP(
IF(AND($U$5=FALSE,$U$4=FALSE),"-",IF(AND($U$5=TRUE,$U$4=TRUE),"-",
IF((AND($U$4=TRUE,$U$5=FALSE,$U$6=FALSE,$U$7=FALSE)),VLOOKUP($E326,'Status Thresholds'!$E:$AR,5,FALSE),IF((AND($U$4=TRUE,$U$5=FALSE,$U$6=TRUE,$U$7=FALSE)),VLOOKUP($E326,'Status Thresholds'!$E:$AR,15,FALSE),IF((AND($U$4=TRUE,$U$5=FALSE,$U$6=TRUE,$U$7=TRUE)),VLOOKUP($E326,'Status Thresholds'!$E:$AR,20,FALSE),IF((AND($U$4=TRUE,$U$5=FALSE,$U$6=FALSE,$U$7=TRUE)),VLOOKUP($E326,'Status Thresholds'!$E:$AR,10,FALSE),
IF((AND($U$4=FALSE,$U$5=TRUE,$U$6=FALSE,$U$7=FALSE)),VLOOKUP($E326,'Status Thresholds'!$E:$AR,25,FALSE),IF((AND($U$4=FALSE,$U$5=TRUE,$U$6=TRUE,$U$7=FALSE)),VLOOKUP($E326,'Status Thresholds'!$E:$AR,35,FALSE),IF((AND($U$4=FALSE,$U$5=TRUE,$U$6=TRUE,$U$7=TRUE)),VLOOKUP($E326,'Status Thresholds'!$E:$AR,40,FALSE),IF((AND($U$4=FALSE,$U$5=TRUE,$U$6=FALSE,$U$7=TRUE)),VLOOKUP($E326,'Status Thresholds'!$E:$AR,30,FALSE)))))))))
))/
IF(OR($X$5=TRUE,$AC$3=TRUE
),($F$4/2), IF(OR($X$2,$X$3,$X$4,$X$6,$X$7,$X$8,$Z$2,$Z$3,$Z$4,$Z$5,$Z$6,$Z$7,$Z$8)=TRUE,$F$4)),0),"-")</f>
        <v>-</v>
      </c>
      <c r="J326" s="46">
        <f>IFERROR(IF(AND($U$5=FALSE,$U$4=FALSE),"-",VLOOKUP($E326,'Status Thresholds'!$E:$AU,41,FALSE)),"-")</f>
        <v>40</v>
      </c>
      <c r="K326" s="46" t="str">
        <f>IFERROR(IF(AND($U$5=FALSE,$U$4=FALSE),"-",VLOOKUP($E326,'Status Thresholds'!$E:$AU,42,FALSE)),"-")</f>
        <v>-</v>
      </c>
      <c r="L326" s="46" t="str">
        <f>IFERROR(IF(AND($U$5=FALSE,$U$4=FALSE),"-",VLOOKUP($E326,'Status Thresholds'!$E:$AU,43,FALSE)),"-")</f>
        <v>-</v>
      </c>
    </row>
    <row r="327" spans="1:12" x14ac:dyDescent="0.25">
      <c r="A327" s="35"/>
      <c r="B327" s="64" t="str">
        <f>VLOOKUP(C327,'Status Thresholds'!B:C,2,FALSE)</f>
        <v>MHGen</v>
      </c>
      <c r="C327" s="64" t="str">
        <f>IF('Status Thresholds'!B322=0, "", 'Status Thresholds'!B322)</f>
        <v>Gendrome</v>
      </c>
      <c r="D327" s="32" t="s">
        <v>33</v>
      </c>
      <c r="E327" s="36" t="str">
        <f t="shared" si="4"/>
        <v>GendromePoison</v>
      </c>
      <c r="F327" s="36" t="str">
        <f>IFERROR(
ROUNDUP(
IF(AND($U$5=FALSE,$U$4=FALSE),"-",IF(AND($U$5=TRUE,$U$4=TRUE),"-",
IF((AND($U$4=TRUE,$U$5=FALSE,$U$6=FALSE,$U$7=FALSE)),VLOOKUP($E327,'Status Thresholds'!$E:$AR,2,FALSE),IF((AND($U$4=TRUE,$U$5=FALSE,$U$6=TRUE,$U$7=FALSE)),VLOOKUP($E327,'Status Thresholds'!$E:$AR,12,FALSE),IF((AND($U$4=TRUE,$U$5=FALSE,$U$6=TRUE,$U$7=TRUE)),VLOOKUP($E327,'Status Thresholds'!$E:$AR,17,FALSE),IF((AND($U$4=TRUE,$U$5=FALSE,$U$6=FALSE,$U$7=TRUE)),VLOOKUP($E327,'Status Thresholds'!$E:$AR,7,FALSE),
IF((AND($U$4=FALSE,$U$5=TRUE,$U$6=FALSE,$U$7=FALSE)),VLOOKUP($E327,'Status Thresholds'!$E:$AR,22,FALSE),IF((AND($U$4=FALSE,$U$5=TRUE,$U$6=TRUE,$U$7=FALSE)),VLOOKUP($E327,'Status Thresholds'!$E:$AR,32,FALSE),IF((AND($U$4=FALSE,$U$5=TRUE,$U$6=TRUE,$U$7=TRUE)),VLOOKUP($E327,'Status Thresholds'!$E:$AR,37,FALSE),IF((AND($U$4=FALSE,$U$5=TRUE,$U$6=FALSE,$U$7=TRUE)),VLOOKUP($E327,'Status Thresholds'!$E:$AR,27,FALSE)))))))))
))/
IF(OR($X$5=TRUE,$AC$3=TRUE
),($F$5/2), IF(OR($X$2,$X$3,$X$4,$X$6,$X$7,$X$8,$Z$2,$Z$3,$Z$4,$Z$5,$Z$6,$Z$7,$Z$8)=TRUE,$F$5)),0),"-")</f>
        <v>-</v>
      </c>
      <c r="G327" s="36" t="str">
        <f>IFERROR(
ROUNDUP(
IF(AND($U$5=FALSE,$U$4=FALSE),"-",IF(AND($U$5=TRUE,$U$4=TRUE),"-",
IF((AND($U$4=TRUE,$U$5=FALSE,$U$6=FALSE,$U$7=FALSE)),VLOOKUP($E327,'Status Thresholds'!$E:$AR,3,FALSE),IF((AND($U$4=TRUE,$U$5=FALSE,$U$6=TRUE,$U$7=FALSE)),VLOOKUP($E327,'Status Thresholds'!$E:$AR,13,FALSE),IF((AND($U$4=TRUE,$U$5=FALSE,$U$6=TRUE,$U$7=TRUE)),VLOOKUP($E327,'Status Thresholds'!$E:$AR,18,FALSE),IF((AND($U$4=TRUE,$U$5=FALSE,$U$6=FALSE,$U$7=TRUE)),VLOOKUP($E327,'Status Thresholds'!$E:$AR,8,FALSE),
IF((AND($U$4=FALSE,$U$5=TRUE,$U$6=FALSE,$U$7=FALSE)),VLOOKUP($E327,'Status Thresholds'!$E:$AR,23,FALSE),IF((AND($U$4=FALSE,$U$5=TRUE,$U$6=TRUE,$U$7=FALSE)),VLOOKUP($E327,'Status Thresholds'!$E:$AR,33,FALSE),IF((AND($U$4=FALSE,$U$5=TRUE,$U$6=TRUE,$U$7=TRUE)),VLOOKUP($E327,'Status Thresholds'!$E:$AR,38,FALSE),IF((AND($U$4=FALSE,$U$5=TRUE,$U$6=FALSE,$U$7=TRUE)),VLOOKUP($E327,'Status Thresholds'!$E:$AR,28,FALSE)))))))))
))/
IF(OR($X$5=TRUE,$AC$3=TRUE
),($F$5/2), IF(OR($X$2,$X$3,$X$4,$X$6,$X$7,$X$8,$Z$2,$Z$3,$Z$4,$Z$5,$Z$6,$Z$7,$Z$8)=TRUE,$F$5)),0),"-")</f>
        <v>-</v>
      </c>
      <c r="H327" s="36" t="str">
        <f>IFERROR(
ROUNDUP(
IF(AND($U$5=FALSE,$U$4=FALSE),"-",IF(AND($U$5=TRUE,$U$4=TRUE),"-",
IF((AND($U$4=TRUE,$U$5=FALSE,$U$6=FALSE,$U$7=FALSE)),VLOOKUP($E327,'Status Thresholds'!$E:$AR,4,FALSE),IF((AND($U$4=TRUE,$U$5=FALSE,$U$6=TRUE,$U$7=FALSE)),VLOOKUP($E327,'Status Thresholds'!$E:$AR,14,FALSE),IF((AND($U$4=TRUE,$U$5=FALSE,$U$6=TRUE,$U$7=TRUE)),VLOOKUP($E327,'Status Thresholds'!$E:$AR,19,FALSE),IF((AND($U$4=TRUE,$U$5=FALSE,$U$6=FALSE,$U$7=TRUE)),VLOOKUP($E327,'Status Thresholds'!$E:$AR,9,FALSE),
IF((AND($U$4=FALSE,$U$5=TRUE,$U$6=FALSE,$U$7=FALSE)),VLOOKUP($E327,'Status Thresholds'!$E:$AR,24,FALSE),IF((AND($U$4=FALSE,$U$5=TRUE,$U$6=TRUE,$U$7=FALSE)),VLOOKUP($E327,'Status Thresholds'!$E:$AR,34,FALSE),IF((AND($U$4=FALSE,$U$5=TRUE,$U$6=TRUE,$U$7=TRUE)),VLOOKUP($E327,'Status Thresholds'!$E:$AR,39,FALSE),IF((AND($U$4=FALSE,$U$5=TRUE,$U$6=FALSE,$U$7=TRUE)),VLOOKUP($E327,'Status Thresholds'!$E:$AR,29,FALSE)))))))))
))/
IF(OR($X$5=TRUE,$AC$3=TRUE
),($F$5/2), IF(OR($X$2,$X$3,$X$4,$X$6,$X$7,$X$8,$Z$2,$Z$3,$Z$4,$Z$5,$Z$6,$Z$7,$Z$8)=TRUE,$F$5)),0),"-")</f>
        <v>-</v>
      </c>
      <c r="I327" s="36" t="str">
        <f>IFERROR(
ROUNDUP(
IF(AND($U$5=FALSE,$U$4=FALSE),"-",IF(AND($U$5=TRUE,$U$4=TRUE),"-",
IF((AND($U$4=TRUE,$U$5=FALSE,$U$6=FALSE,$U$7=FALSE)),VLOOKUP($E327,'Status Thresholds'!$E:$AR,5,FALSE),IF((AND($U$4=TRUE,$U$5=FALSE,$U$6=TRUE,$U$7=FALSE)),VLOOKUP($E327,'Status Thresholds'!$E:$AR,15,FALSE),IF((AND($U$4=TRUE,$U$5=FALSE,$U$6=TRUE,$U$7=TRUE)),VLOOKUP($E327,'Status Thresholds'!$E:$AR,20,FALSE),IF((AND($U$4=TRUE,$U$5=FALSE,$U$6=FALSE,$U$7=TRUE)),VLOOKUP($E327,'Status Thresholds'!$E:$AR,10,FALSE),
IF((AND($U$4=FALSE,$U$5=TRUE,$U$6=FALSE,$U$7=FALSE)),VLOOKUP($E327,'Status Thresholds'!$E:$AR,25,FALSE),IF((AND($U$4=FALSE,$U$5=TRUE,$U$6=TRUE,$U$7=FALSE)),VLOOKUP($E327,'Status Thresholds'!$E:$AR,35,FALSE),IF((AND($U$4=FALSE,$U$5=TRUE,$U$6=TRUE,$U$7=TRUE)),VLOOKUP($E327,'Status Thresholds'!$E:$AR,40,FALSE),IF((AND($U$4=FALSE,$U$5=TRUE,$U$6=FALSE,$U$7=TRUE)),VLOOKUP($E327,'Status Thresholds'!$E:$AR,30,FALSE)))))))))
))/
IF(OR($X$5=TRUE,$AC$3=TRUE
),($F$5/2), IF(OR($X$2,$X$3,$X$4,$X$6,$X$7,$X$8,$Z$2,$Z$3,$Z$4,$Z$5,$Z$6,$Z$7,$Z$8)=TRUE,$F$5)),0),"-")</f>
        <v>-</v>
      </c>
      <c r="J327" s="46">
        <f>IFERROR(IF(AND($U$5=FALSE,$U$4=FALSE),"-",VLOOKUP($E327,'Status Thresholds'!$E:$AU,41,FALSE)),"-")</f>
        <v>30</v>
      </c>
      <c r="K327" s="46" t="str">
        <f>IFERROR(IF(AND($U$5=FALSE,$U$4=FALSE),"-",VLOOKUP($E327,'Status Thresholds'!$E:$AU,42,FALSE)),"-")</f>
        <v>-</v>
      </c>
      <c r="L327" s="46" t="str">
        <f>IFERROR(IF(AND($U$5=FALSE,$U$4=FALSE),"-",VLOOKUP($E327,'Status Thresholds'!$E:$AU,43,FALSE)),"-")</f>
        <v>-</v>
      </c>
    </row>
    <row r="328" spans="1:12" x14ac:dyDescent="0.25">
      <c r="A328" s="35"/>
      <c r="B328" s="64" t="str">
        <f>VLOOKUP(C328,'Status Thresholds'!B:C,2,FALSE)</f>
        <v>MHGen</v>
      </c>
      <c r="C328" s="64" t="str">
        <f>IF('Status Thresholds'!B323=0, "", 'Status Thresholds'!B323)</f>
        <v>Gendrome</v>
      </c>
      <c r="D328" s="10" t="s">
        <v>22</v>
      </c>
      <c r="E328" s="36" t="str">
        <f t="shared" si="4"/>
        <v>GendromeExhaust</v>
      </c>
      <c r="F328" s="36" t="str">
        <f>IFERROR(
ROUNDUP(
IF(AND($U$5=FALSE,$U$4=FALSE),"-",IF(AND($U$5=TRUE,$U$4=TRUE),"-",
IF((AND($U$4=TRUE,$U$5=FALSE,$U$6=FALSE,$U$7=FALSE)),VLOOKUP($E328,'Status Thresholds'!$E:$AR,2,FALSE),IF((AND($U$4=TRUE,$U$5=FALSE,$U$6=TRUE,$U$7=FALSE)),VLOOKUP($E328,'Status Thresholds'!$E:$AR,12,FALSE),IF((AND($U$4=TRUE,$U$5=FALSE,$U$6=TRUE,$U$7=TRUE)),VLOOKUP($E328,'Status Thresholds'!$E:$AR,17,FALSE),IF((AND($U$4=TRUE,$U$5=FALSE,$U$6=FALSE,$U$7=TRUE)),VLOOKUP($E328,'Status Thresholds'!$E:$AR,7,FALSE),
IF((AND($U$4=FALSE,$U$5=TRUE,$U$6=FALSE,$U$7=FALSE)),VLOOKUP($E328,'Status Thresholds'!$E:$AR,22,FALSE),IF((AND($U$4=FALSE,$U$5=TRUE,$U$6=TRUE,$U$7=FALSE)),VLOOKUP($E328,'Status Thresholds'!$E:$AR,32,FALSE),IF((AND($U$4=FALSE,$U$5=TRUE,$U$6=TRUE,$U$7=TRUE)),VLOOKUP($E328,'Status Thresholds'!$E:$AR,37,FALSE),IF((AND($U$4=FALSE,$U$5=TRUE,$U$6=FALSE,$U$7=TRUE)),VLOOKUP($E328,'Status Thresholds'!$E:$AR,27,FALSE)))))))))
))/
IF(OR($X$5=TRUE,$AC$3=TRUE
),($F$6/2), IF(OR($X$2,$X$3,$X$4,$X$6,$X$7,$X$8,$Z$2,$Z$3,$Z$4,$Z$5,$Z$6,$Z$7,$Z$8)=TRUE,$F$6)),0),"-")</f>
        <v>-</v>
      </c>
      <c r="G328" s="36" t="str">
        <f>IFERROR(
ROUNDUP(
IF(AND($U$5=FALSE,$U$4=FALSE),"-",IF(AND($U$5=TRUE,$U$4=TRUE),"-",
IF((AND($U$4=TRUE,$U$5=FALSE,$U$6=FALSE,$U$7=FALSE)),VLOOKUP($E328,'Status Thresholds'!$E:$AR,3,FALSE),IF((AND($U$4=TRUE,$U$5=FALSE,$U$6=TRUE,$U$7=FALSE)),VLOOKUP($E328,'Status Thresholds'!$E:$AR,13,FALSE),IF((AND($U$4=TRUE,$U$5=FALSE,$U$6=TRUE,$U$7=TRUE)),VLOOKUP($E328,'Status Thresholds'!$E:$AR,18,FALSE),IF((AND($U$4=TRUE,$U$5=FALSE,$U$6=FALSE,$U$7=TRUE)),VLOOKUP($E328,'Status Thresholds'!$E:$AR,8,FALSE),
IF((AND($U$4=FALSE,$U$5=TRUE,$U$6=FALSE,$U$7=FALSE)),VLOOKUP($E328,'Status Thresholds'!$E:$AR,23,FALSE),IF((AND($U$4=FALSE,$U$5=TRUE,$U$6=TRUE,$U$7=FALSE)),VLOOKUP($E328,'Status Thresholds'!$E:$AR,33,FALSE),IF((AND($U$4=FALSE,$U$5=TRUE,$U$6=TRUE,$U$7=TRUE)),VLOOKUP($E328,'Status Thresholds'!$E:$AR,38,FALSE),IF((AND($U$4=FALSE,$U$5=TRUE,$U$6=FALSE,$U$7=TRUE)),VLOOKUP($E328,'Status Thresholds'!$E:$AR,28,FALSE)))))))))
))/
IF(OR($X$5=TRUE,$AC$3=TRUE
),($F$6/2), IF(OR($X$2,$X$3,$X$4,$X$6,$X$7,$X$8,$Z$2,$Z$3,$Z$4,$Z$5,$Z$6,$Z$7,$Z$8)=TRUE,$F$6)),0),"-")</f>
        <v>-</v>
      </c>
      <c r="H328" s="36" t="str">
        <f>IFERROR(
ROUNDUP(
IF(AND($U$5=FALSE,$U$4=FALSE),"-",IF(AND($U$5=TRUE,$U$4=TRUE),"-",
IF((AND($U$4=TRUE,$U$5=FALSE,$U$6=FALSE,$U$7=FALSE)),VLOOKUP($E328,'Status Thresholds'!$E:$AR,4,FALSE),IF((AND($U$4=TRUE,$U$5=FALSE,$U$6=TRUE,$U$7=FALSE)),VLOOKUP($E328,'Status Thresholds'!$E:$AR,14,FALSE),IF((AND($U$4=TRUE,$U$5=FALSE,$U$6=TRUE,$U$7=TRUE)),VLOOKUP($E328,'Status Thresholds'!$E:$AR,19,FALSE),IF((AND($U$4=TRUE,$U$5=FALSE,$U$6=FALSE,$U$7=TRUE)),VLOOKUP($E328,'Status Thresholds'!$E:$AR,9,FALSE),
IF((AND($U$4=FALSE,$U$5=TRUE,$U$6=FALSE,$U$7=FALSE)),VLOOKUP($E328,'Status Thresholds'!$E:$AR,24,FALSE),IF((AND($U$4=FALSE,$U$5=TRUE,$U$6=TRUE,$U$7=FALSE)),VLOOKUP($E328,'Status Thresholds'!$E:$AR,34,FALSE),IF((AND($U$4=FALSE,$U$5=TRUE,$U$6=TRUE,$U$7=TRUE)),VLOOKUP($E328,'Status Thresholds'!$E:$AR,39,FALSE),IF((AND($U$4=FALSE,$U$5=TRUE,$U$6=FALSE,$U$7=TRUE)),VLOOKUP($E328,'Status Thresholds'!$E:$AR,29,FALSE)))))))))
))/
IF(OR($X$5=TRUE,$AC$3=TRUE
),($F$6/2), IF(OR($X$2,$X$3,$X$4,$X$6,$X$7,$X$8,$Z$2,$Z$3,$Z$4,$Z$5,$Z$6,$Z$7,$Z$8)=TRUE,$F$6)),0),"-")</f>
        <v>-</v>
      </c>
      <c r="I328" s="36" t="str">
        <f>IFERROR(
ROUNDUP(
IF(AND($U$5=FALSE,$U$4=FALSE),"-",IF(AND($U$5=TRUE,$U$4=TRUE),"-",
IF((AND($U$4=TRUE,$U$5=FALSE,$U$6=FALSE,$U$7=FALSE)),VLOOKUP($E328,'Status Thresholds'!$E:$AR,5,FALSE),IF((AND($U$4=TRUE,$U$5=FALSE,$U$6=TRUE,$U$7=FALSE)),VLOOKUP($E328,'Status Thresholds'!$E:$AR,15,FALSE),IF((AND($U$4=TRUE,$U$5=FALSE,$U$6=TRUE,$U$7=TRUE)),VLOOKUP($E328,'Status Thresholds'!$E:$AR,20,FALSE),IF((AND($U$4=TRUE,$U$5=FALSE,$U$6=FALSE,$U$7=TRUE)),VLOOKUP($E328,'Status Thresholds'!$E:$AR,10,FALSE),
IF((AND($U$4=FALSE,$U$5=TRUE,$U$6=FALSE,$U$7=FALSE)),VLOOKUP($E328,'Status Thresholds'!$E:$AR,25,FALSE),IF((AND($U$4=FALSE,$U$5=TRUE,$U$6=TRUE,$U$7=FALSE)),VLOOKUP($E328,'Status Thresholds'!$E:$AR,35,FALSE),IF((AND($U$4=FALSE,$U$5=TRUE,$U$6=TRUE,$U$7=TRUE)),VLOOKUP($E328,'Status Thresholds'!$E:$AR,40,FALSE),IF((AND($U$4=FALSE,$U$5=TRUE,$U$6=FALSE,$U$7=TRUE)),VLOOKUP($E328,'Status Thresholds'!$E:$AR,30,FALSE)))))))))
))/
IF(OR($X$5=TRUE,$AC$3=TRUE
),($F$6/2), IF(OR($X$2,$X$3,$X$4,$X$6,$X$7,$X$8,$Z$2,$Z$3,$Z$4,$Z$5,$Z$6,$Z$7,$Z$8)=TRUE,$F$6)),0),"-")</f>
        <v>-</v>
      </c>
      <c r="J328" s="46">
        <f>IFERROR(IF(AND($U$5=FALSE,$U$4=FALSE),"-",VLOOKUP($E328,'Status Thresholds'!$E:$AU,41,FALSE)),"-")</f>
        <v>0</v>
      </c>
      <c r="K328" s="46" t="str">
        <f>IFERROR(IF(AND($U$5=FALSE,$U$4=FALSE),"-",VLOOKUP($E328,'Status Thresholds'!$E:$AU,42,FALSE)),"-")</f>
        <v>-</v>
      </c>
      <c r="L328" s="46" t="str">
        <f>IFERROR(IF(AND($U$5=FALSE,$U$4=FALSE),"-",VLOOKUP($E328,'Status Thresholds'!$E:$AU,43,FALSE)),"-")</f>
        <v>-</v>
      </c>
    </row>
    <row r="329" spans="1:12" x14ac:dyDescent="0.25">
      <c r="A329" s="35"/>
      <c r="B329" s="64" t="str">
        <f>VLOOKUP(C329,'Status Thresholds'!B:C,2,FALSE)</f>
        <v>MHGen</v>
      </c>
      <c r="C329" s="64" t="str">
        <f>IF('Status Thresholds'!B324=0, "", 'Status Thresholds'!B324)</f>
        <v>Gendrome</v>
      </c>
      <c r="D329" s="30" t="s">
        <v>35</v>
      </c>
      <c r="E329" s="36" t="str">
        <f t="shared" si="4"/>
        <v>GendromeBlast</v>
      </c>
      <c r="F329" s="36" t="str">
        <f>IFERROR(
ROUNDUP(
IF(AND($U$5=FALSE,$U$4=FALSE),"-",IF(AND($U$5=TRUE,$U$4=TRUE),"-",
IF((AND($U$4=TRUE,$U$5=FALSE,$U$6=FALSE,$U$7=FALSE)),VLOOKUP($E329,'Status Thresholds'!$E:$AR,2,FALSE),IF((AND($U$4=TRUE,$U$5=FALSE,$U$6=TRUE,$U$7=FALSE)),VLOOKUP($E329,'Status Thresholds'!$E:$AR,12,FALSE),IF((AND($U$4=TRUE,$U$5=FALSE,$U$6=TRUE,$U$7=TRUE)),VLOOKUP($E329,'Status Thresholds'!$E:$AR,17,FALSE),IF((AND($U$4=TRUE,$U$5=FALSE,$U$6=FALSE,$U$7=TRUE)),VLOOKUP($E329,'Status Thresholds'!$E:$AR,7,FALSE),
IF((AND($U$4=FALSE,$U$5=TRUE,$U$6=FALSE,$U$7=FALSE)),VLOOKUP($E329,'Status Thresholds'!$E:$AR,22,FALSE),IF((AND($U$4=FALSE,$U$5=TRUE,$U$6=TRUE,$U$7=FALSE)),VLOOKUP($E329,'Status Thresholds'!$E:$AR,32,FALSE),IF((AND($U$4=FALSE,$U$5=TRUE,$U$6=TRUE,$U$7=TRUE)),VLOOKUP($E329,'Status Thresholds'!$E:$AR,37,FALSE),IF((AND($U$4=FALSE,$U$5=TRUE,$U$6=FALSE,$U$7=TRUE)),VLOOKUP($E329,'Status Thresholds'!$E:$AR,27,FALSE)))))))))
))/
IF(OR($X$5=TRUE,$AC$3=TRUE
),($F$7/2), IF(OR($X$2,$X$3,$X$4,$X$6,$X$7,$X$8,$Z$2,$Z$3,$Z$4,$Z$5,$Z$6,$Z$7,$Z$8)=TRUE,$F$7)),0),"-")</f>
        <v>-</v>
      </c>
      <c r="G329" s="36" t="str">
        <f>IFERROR(
ROUNDUP(
IF(AND($U$5=FALSE,$U$4=FALSE),"-",IF(AND($U$5=TRUE,$U$4=TRUE),"-",
IF((AND($U$4=TRUE,$U$5=FALSE,$U$6=FALSE,$U$7=FALSE)),VLOOKUP($E329,'Status Thresholds'!$E:$AR,3,FALSE),IF((AND($U$4=TRUE,$U$5=FALSE,$U$6=TRUE,$U$7=FALSE)),VLOOKUP($E329,'Status Thresholds'!$E:$AR,13,FALSE),IF((AND($U$4=TRUE,$U$5=FALSE,$U$6=TRUE,$U$7=TRUE)),VLOOKUP($E329,'Status Thresholds'!$E:$AR,18,FALSE),IF((AND($U$4=TRUE,$U$5=FALSE,$U$6=FALSE,$U$7=TRUE)),VLOOKUP($E329,'Status Thresholds'!$E:$AR,8,FALSE),
IF((AND($U$4=FALSE,$U$5=TRUE,$U$6=FALSE,$U$7=FALSE)),VLOOKUP($E329,'Status Thresholds'!$E:$AR,23,FALSE),IF((AND($U$4=FALSE,$U$5=TRUE,$U$6=TRUE,$U$7=FALSE)),VLOOKUP($E329,'Status Thresholds'!$E:$AR,33,FALSE),IF((AND($U$4=FALSE,$U$5=TRUE,$U$6=TRUE,$U$7=TRUE)),VLOOKUP($E329,'Status Thresholds'!$E:$AR,38,FALSE),IF((AND($U$4=FALSE,$U$5=TRUE,$U$6=FALSE,$U$7=TRUE)),VLOOKUP($E329,'Status Thresholds'!$E:$AR,28,FALSE)))))))))
))/
IF(OR($X$5=TRUE,$AC$3=TRUE
),($F$7/2), IF(OR($X$2,$X$3,$X$4,$X$6,$X$7,$X$8,$Z$2,$Z$3,$Z$4,$Z$5,$Z$6,$Z$7,$Z$8)=TRUE,$F$7)),0),"-")</f>
        <v>-</v>
      </c>
      <c r="H329" s="36" t="str">
        <f>IFERROR(
ROUNDUP(
IF(AND($U$5=FALSE,$U$4=FALSE),"-",IF(AND($U$5=TRUE,$U$4=TRUE),"-",
IF((AND($U$4=TRUE,$U$5=FALSE,$U$6=FALSE,$U$7=FALSE)),VLOOKUP($E329,'Status Thresholds'!$E:$AR,4,FALSE),IF((AND($U$4=TRUE,$U$5=FALSE,$U$6=TRUE,$U$7=FALSE)),VLOOKUP($E329,'Status Thresholds'!$E:$AR,14,FALSE),IF((AND($U$4=TRUE,$U$5=FALSE,$U$6=TRUE,$U$7=TRUE)),VLOOKUP($E329,'Status Thresholds'!$E:$AR,19,FALSE),IF((AND($U$4=TRUE,$U$5=FALSE,$U$6=FALSE,$U$7=TRUE)),VLOOKUP($E329,'Status Thresholds'!$E:$AR,9,FALSE),
IF((AND($U$4=FALSE,$U$5=TRUE,$U$6=FALSE,$U$7=FALSE)),VLOOKUP($E329,'Status Thresholds'!$E:$AR,24,FALSE),IF((AND($U$4=FALSE,$U$5=TRUE,$U$6=TRUE,$U$7=FALSE)),VLOOKUP($E329,'Status Thresholds'!$E:$AR,34,FALSE),IF((AND($U$4=FALSE,$U$5=TRUE,$U$6=TRUE,$U$7=TRUE)),VLOOKUP($E329,'Status Thresholds'!$E:$AR,39,FALSE),IF((AND($U$4=FALSE,$U$5=TRUE,$U$6=FALSE,$U$7=TRUE)),VLOOKUP($E329,'Status Thresholds'!$E:$AR,29,FALSE)))))))))
))/
IF(OR($X$5=TRUE,$AC$3=TRUE
),($F$7/2), IF(OR($X$2,$X$3,$X$4,$X$6,$X$7,$X$8,$Z$2,$Z$3,$Z$4,$Z$5,$Z$6,$Z$7,$Z$8)=TRUE,$F$7)),0),"-")</f>
        <v>-</v>
      </c>
      <c r="I329" s="36" t="str">
        <f>IFERROR(
ROUNDUP(
IF(AND($U$5=FALSE,$U$4=FALSE),"-",IF(AND($U$5=TRUE,$U$4=TRUE),"-",
IF((AND($U$4=TRUE,$U$5=FALSE,$U$6=FALSE,$U$7=FALSE)),VLOOKUP($E329,'Status Thresholds'!$E:$AR,5,FALSE),IF((AND($U$4=TRUE,$U$5=FALSE,$U$6=TRUE,$U$7=FALSE)),VLOOKUP($E329,'Status Thresholds'!$E:$AR,15,FALSE),IF((AND($U$4=TRUE,$U$5=FALSE,$U$6=TRUE,$U$7=TRUE)),VLOOKUP($E329,'Status Thresholds'!$E:$AR,20,FALSE),IF((AND($U$4=TRUE,$U$5=FALSE,$U$6=FALSE,$U$7=TRUE)),VLOOKUP($E329,'Status Thresholds'!$E:$AR,10,FALSE),
IF((AND($U$4=FALSE,$U$5=TRUE,$U$6=FALSE,$U$7=FALSE)),VLOOKUP($E329,'Status Thresholds'!$E:$AR,25,FALSE),IF((AND($U$4=FALSE,$U$5=TRUE,$U$6=TRUE,$U$7=FALSE)),VLOOKUP($E329,'Status Thresholds'!$E:$AR,35,FALSE),IF((AND($U$4=FALSE,$U$5=TRUE,$U$6=TRUE,$U$7=TRUE)),VLOOKUP($E329,'Status Thresholds'!$E:$AR,40,FALSE),IF((AND($U$4=FALSE,$U$5=TRUE,$U$6=FALSE,$U$7=TRUE)),VLOOKUP($E329,'Status Thresholds'!$E:$AR,30,FALSE)))))))))
))/
IF(OR($X$5=TRUE,$AC$3=TRUE
),($F$7/2), IF(OR($X$2,$X$3,$X$4,$X$6,$X$7,$X$8,$Z$2,$Z$3,$Z$4,$Z$5,$Z$6,$Z$7,$Z$8)=TRUE,$F$7)),0),"-")</f>
        <v>-</v>
      </c>
      <c r="J329" s="46">
        <f>IFERROR(IF(AND($U$5=FALSE,$U$4=FALSE),"-",VLOOKUP($E329,'Status Thresholds'!$E:$AU,41,FALSE)),"-")</f>
        <v>0</v>
      </c>
      <c r="K329" s="46" t="str">
        <f>IFERROR(IF(AND($U$5=FALSE,$U$4=FALSE),"-",VLOOKUP($E329,'Status Thresholds'!$E:$AU,42,FALSE)),"-")</f>
        <v>-</v>
      </c>
      <c r="L329" s="46" t="str">
        <f>IFERROR(IF(AND($U$5=FALSE,$U$4=FALSE),"-",VLOOKUP($E329,'Status Thresholds'!$E:$AU,43,FALSE)),"-")</f>
        <v>-</v>
      </c>
    </row>
    <row r="330" spans="1:12" ht="14.45" customHeight="1" x14ac:dyDescent="0.25">
      <c r="A330" s="35"/>
      <c r="B330" s="64" t="str">
        <f>VLOOKUP(C330,'Status Thresholds'!B:C,2,FALSE)</f>
        <v>MHGen</v>
      </c>
      <c r="C330" s="64" t="str">
        <f>IF('Status Thresholds'!B325=0, "", 'Status Thresholds'!B325)</f>
        <v>Gendrome</v>
      </c>
      <c r="D330" s="34" t="s">
        <v>14</v>
      </c>
      <c r="E330" s="36" t="str">
        <f t="shared" si="4"/>
        <v>GendromeKO</v>
      </c>
      <c r="F330" s="36" t="s">
        <v>214</v>
      </c>
      <c r="G330" s="36" t="s">
        <v>214</v>
      </c>
      <c r="H330" s="36" t="s">
        <v>214</v>
      </c>
      <c r="I330" s="36" t="s">
        <v>214</v>
      </c>
      <c r="J330" s="46">
        <f>IFERROR(IF(AND($U$5=FALSE,$U$4=FALSE),"-",VLOOKUP($E330,'Status Thresholds'!$E:$AU,41,FALSE)),"-")</f>
        <v>10</v>
      </c>
      <c r="K330" s="46" t="str">
        <f>IFERROR(IF(AND($U$5=FALSE,$U$4=FALSE),"-",VLOOKUP($E330,'Status Thresholds'!$E:$AU,42,FALSE)),"-")</f>
        <v>-</v>
      </c>
      <c r="L330" s="46" t="str">
        <f>IFERROR(IF(AND($U$5=FALSE,$U$4=FALSE),"-",VLOOKUP($E330,'Status Thresholds'!$E:$AU,43,FALSE)),"-")</f>
        <v>-</v>
      </c>
    </row>
    <row r="331" spans="1:12" x14ac:dyDescent="0.25">
      <c r="A331" s="35"/>
      <c r="B331" s="64" t="str">
        <f>VLOOKUP(C331,'Status Thresholds'!B:C,2,FALSE)</f>
        <v>MHGen</v>
      </c>
      <c r="C331" s="64" t="str">
        <f>IF('Status Thresholds'!B326=0, "", 'Status Thresholds'!B326)</f>
        <v>Gendrome</v>
      </c>
      <c r="D331" s="33" t="s">
        <v>34</v>
      </c>
      <c r="E331" s="36" t="str">
        <f t="shared" si="4"/>
        <v>GendromeMount</v>
      </c>
      <c r="F331" s="36" t="str">
        <f>IFERROR(
ROUNDUP(
IF(AND($U$5=FALSE,$U$4=FALSE),"-",IF(AND($U$5=TRUE,$U$4=TRUE),"-",
IF((AND($U$4=TRUE,$U$5=FALSE,$U$6=FALSE,$U$7=FALSE)),VLOOKUP($E331,'Status Thresholds'!$E:$AR,2,FALSE),IF((AND($U$4=TRUE,$U$5=FALSE,$U$6=TRUE,$U$7=FALSE)),VLOOKUP($E331,'Status Thresholds'!$E:$AR,12,FALSE),IF((AND($U$4=TRUE,$U$5=FALSE,$U$6=TRUE,$U$7=TRUE)),VLOOKUP($E331,'Status Thresholds'!$E:$AR,17,FALSE),IF((AND($U$4=TRUE,$U$5=FALSE,$U$6=FALSE,$U$7=TRUE)),VLOOKUP($E331,'Status Thresholds'!$E:$AR,7,FALSE),
IF((AND($U$4=FALSE,$U$5=TRUE,$U$6=FALSE,$U$7=FALSE)),VLOOKUP($E331,'Status Thresholds'!$E:$AR,22,FALSE),IF((AND($U$4=FALSE,$U$5=TRUE,$U$6=TRUE,$U$7=FALSE)),VLOOKUP($E331,'Status Thresholds'!$E:$AR,32,FALSE),IF((AND($U$4=FALSE,$U$5=TRUE,$U$6=TRUE,$U$7=TRUE)),VLOOKUP($E331,'Status Thresholds'!$E:$AR,37,FALSE),IF((AND($U$4=FALSE,$U$5=TRUE,$U$6=FALSE,$U$7=TRUE)),VLOOKUP($E331,'Status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331" s="36" t="str">
        <f>IFERROR(
ROUNDUP(
IF(AND($U$5=FALSE,$U$4=FALSE),"-",IF(AND($U$5=TRUE,$U$4=TRUE),"-",
IF((AND($U$4=TRUE,$U$5=FALSE,$U$6=FALSE,$U$7=FALSE)),VLOOKUP($E330,'Status Thresholds'!$E:$AR,3,FALSE),IF((AND($U$4=TRUE,$U$5=FALSE,$U$6=TRUE,$U$7=FALSE)),VLOOKUP($E330,'Status Thresholds'!$E:$AR,13,FALSE),IF((AND($U$4=TRUE,$U$5=FALSE,$U$6=TRUE,$U$7=TRUE)),VLOOKUP($E330,'Status Thresholds'!$E:$AR,18,FALSE),IF((AND($U$4=TRUE,$U$5=FALSE,$U$6=FALSE,$U$7=TRUE)),VLOOKUP($E330,'Status Thresholds'!$E:$AR,8,FALSE),
IF((AND($U$4=FALSE,$U$5=TRUE,$U$6=FALSE,$U$7=FALSE)),VLOOKUP($E330,'Status Thresholds'!$E:$AR,23,FALSE),IF((AND($U$4=FALSE,$U$5=TRUE,$U$6=TRUE,$U$7=FALSE)),VLOOKUP($E330,'Status Thresholds'!$E:$AR,33,FALSE),IF((AND($U$4=FALSE,$U$5=TRUE,$U$6=TRUE,$U$7=TRUE)),VLOOKUP($E330,'Status Thresholds'!$E:$AR,38,FALSE),IF((AND($U$4=FALSE,$U$5=TRUE,$U$6=FALSE,$U$7=TRUE)),VLOOKUP($E330,'Status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331" s="36" t="str">
        <f>IFERROR(
ROUNDUP(
IF(AND($U$5=FALSE,$U$4=FALSE),"-",IF(AND($U$5=TRUE,$U$4=TRUE),"-",
IF((AND($U$4=TRUE,$U$5=FALSE,$U$6=FALSE,$U$7=FALSE)),VLOOKUP($E330,'Status Thresholds'!$E:$AR,4,FALSE),IF((AND($U$4=TRUE,$U$5=FALSE,$U$6=TRUE,$U$7=FALSE)),VLOOKUP($E330,'Status Thresholds'!$E:$AR,14,FALSE),IF((AND($U$4=TRUE,$U$5=FALSE,$U$6=TRUE,$U$7=TRUE)),VLOOKUP($E330,'Status Thresholds'!$E:$AR,19,FALSE),IF((AND($U$4=TRUE,$U$5=FALSE,$U$6=FALSE,$U$7=TRUE)),VLOOKUP($E330,'Status Thresholds'!$E:$AR,9,FALSE),
IF((AND($U$4=FALSE,$U$5=TRUE,$U$6=FALSE,$U$7=FALSE)),VLOOKUP($E330,'Status Thresholds'!$E:$AR,24,FALSE),IF((AND($U$4=FALSE,$U$5=TRUE,$U$6=TRUE,$U$7=FALSE)),VLOOKUP($E330,'Status Thresholds'!$E:$AR,34,FALSE),IF((AND($U$4=FALSE,$U$5=TRUE,$U$6=TRUE,$U$7=TRUE)),VLOOKUP($E330,'Status Thresholds'!$E:$AR,39,FALSE),IF((AND($U$4=FALSE,$U$5=TRUE,$U$6=FALSE,$U$7=TRUE)),VLOOKUP($E330,'Status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331" s="36" t="str">
        <f>IFERROR(
ROUNDUP(
IF(AND($U$5=FALSE,$U$4=FALSE),"-",IF(AND($U$5=TRUE,$U$4=TRUE),"-",
IF((AND($U$4=TRUE,$U$5=FALSE,$U$6=FALSE,$U$7=FALSE)),VLOOKUP($E330,'Status Thresholds'!$E:$AR,5,FALSE),IF((AND($U$4=TRUE,$U$5=FALSE,$U$6=TRUE,$U$7=FALSE)),VLOOKUP($E330,'Status Thresholds'!$E:$AR,15,FALSE),IF((AND($U$4=TRUE,$U$5=FALSE,$U$6=TRUE,$U$7=TRUE)),VLOOKUP($E330,'Status Thresholds'!$E:$AR,20,FALSE),IF((AND($U$4=TRUE,$U$5=FALSE,$U$6=FALSE,$U$7=TRUE)),VLOOKUP($E330,'Status Thresholds'!$E:$AR,10,FALSE),
IF((AND($U$4=FALSE,$U$5=TRUE,$U$6=FALSE,$U$7=FALSE)),VLOOKUP($E330,'Status Thresholds'!$E:$AR,25,FALSE),IF((AND($U$4=FALSE,$U$5=TRUE,$U$6=TRUE,$U$7=FALSE)),VLOOKUP($E330,'Status Thresholds'!$E:$AR,35,FALSE),IF((AND($U$4=FALSE,$U$5=TRUE,$U$6=TRUE,$U$7=TRUE)),VLOOKUP($E330,'Status Thresholds'!$E:$AR,40,FALSE),IF((AND($U$4=FALSE,$U$5=TRUE,$U$6=FALSE,$U$7=TRUE)),VLOOKUP($E330,'Status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331" s="46">
        <f>IFERROR(IF(AND($U$5=FALSE,$U$4=FALSE),"-",VLOOKUP($E331,'Status Thresholds'!$E:$AU,41,FALSE)),"-")</f>
        <v>0</v>
      </c>
      <c r="K331" s="46" t="str">
        <f>IFERROR(IF(AND($U$5=FALSE,$U$4=FALSE),"-",VLOOKUP($E331,'Status Thresholds'!$E:$AU,42,FALSE)),"-")</f>
        <v>-</v>
      </c>
      <c r="L331" s="46" t="str">
        <f>IFERROR(IF(AND($U$5=FALSE,$U$4=FALSE),"-",VLOOKUP($E331,'Status Thresholds'!$E:$AU,43,FALSE)),"-")</f>
        <v>-</v>
      </c>
    </row>
    <row r="332" spans="1:12" ht="15" customHeight="1" x14ac:dyDescent="0.25">
      <c r="A332" s="35"/>
      <c r="B332" s="64" t="str">
        <f>VLOOKUP(C332,'Status Thresholds'!B:C,2,FALSE)</f>
        <v>MHGen</v>
      </c>
      <c r="C332" s="64" t="str">
        <f>IF('Status Thresholds'!B327=0, "", 'Status Thresholds'!B327)</f>
        <v>Gendrome</v>
      </c>
      <c r="D332" s="77" t="s">
        <v>207</v>
      </c>
      <c r="E332" s="36" t="str">
        <f t="shared" si="4"/>
        <v>GendromeShock Trap</v>
      </c>
      <c r="F332" s="76" t="s">
        <v>214</v>
      </c>
      <c r="G332" s="46" t="s">
        <v>214</v>
      </c>
      <c r="H332" s="46" t="s">
        <v>214</v>
      </c>
      <c r="I332" s="46" t="s">
        <v>214</v>
      </c>
      <c r="J332" s="46">
        <f>IFERROR(IF(AND($U$5=FALSE,$U$4=FALSE),"-",VLOOKUP($E332,'Status Thresholds'!$E:$AU,43,FALSE)),"-")</f>
        <v>15</v>
      </c>
      <c r="K332" s="46">
        <f>IFERROR(IF(AND($U$5=FALSE,$U$4=FALSE),"-",VLOOKUP($E332,'Status Thresholds'!$E:$AU,41,FALSE)),"-")</f>
        <v>12</v>
      </c>
      <c r="L332" s="46">
        <f>IFERROR(IF(AND($U$5=FALSE,$U$4=FALSE),"-",VLOOKUP($E332,'Status Thresholds'!$E:$AU,42,FALSE)),"-")</f>
        <v>18</v>
      </c>
    </row>
    <row r="333" spans="1:12" x14ac:dyDescent="0.25">
      <c r="A333" s="35"/>
      <c r="B333" s="64" t="str">
        <f>VLOOKUP(C333,'Status Thresholds'!B:C,2,FALSE)</f>
        <v>MHGen</v>
      </c>
      <c r="C333" s="64" t="str">
        <f>IF('Status Thresholds'!B328=0, "", 'Status Thresholds'!B328)</f>
        <v>Gendrome</v>
      </c>
      <c r="D333" s="77" t="s">
        <v>213</v>
      </c>
      <c r="E333" s="36" t="str">
        <f t="shared" si="4"/>
        <v>GendromePitfall Trap</v>
      </c>
      <c r="F333" s="46" t="s">
        <v>214</v>
      </c>
      <c r="G333" s="46" t="s">
        <v>214</v>
      </c>
      <c r="H333" s="46" t="s">
        <v>214</v>
      </c>
      <c r="I333" s="46" t="s">
        <v>214</v>
      </c>
      <c r="J333" s="46">
        <f>IFERROR(IF(AND($U$5=FALSE,$U$4=FALSE),"-",VLOOKUP($E333,'Status Thresholds'!$E:$AU,43,FALSE)),"-")</f>
        <v>18</v>
      </c>
      <c r="K333" s="46">
        <f>IFERROR(IF(AND($U$5=FALSE,$U$4=FALSE),"-",VLOOKUP($E333,'Status Thresholds'!$E:$AU,41,FALSE)),"-")</f>
        <v>15</v>
      </c>
      <c r="L333" s="46">
        <f>IFERROR(IF(AND($U$5=FALSE,$U$4=FALSE),"-",VLOOKUP($E333,'Status Thresholds'!$E:$AU,42,FALSE)),"-")</f>
        <v>25</v>
      </c>
    </row>
    <row r="334" spans="1:12" s="36" customFormat="1" x14ac:dyDescent="0.25">
      <c r="A334" s="64"/>
      <c r="B334" s="64" t="str">
        <f>VLOOKUP(C334,'Status Thresholds'!B:C,2,FALSE)</f>
        <v>MHGen</v>
      </c>
      <c r="C334" s="64" t="str">
        <f>IF('Status Thresholds'!B329=0, "", 'Status Thresholds'!B329)</f>
        <v>Glavenus</v>
      </c>
      <c r="D334" s="37" t="s">
        <v>0</v>
      </c>
      <c r="E334" s="36" t="str">
        <f t="shared" si="4"/>
        <v>GlavenusPara</v>
      </c>
      <c r="F334" s="36" t="str">
        <f>IFERROR(
ROUNDUP(
IF(AND($U$5=FALSE,$U$4=FALSE),"-",IF(AND($U$5=TRUE,$U$4=TRUE),"-",
IF((AND($U$4=TRUE,$U$5=FALSE,$U$6=FALSE,$U$7=FALSE)),VLOOKUP($E334,'Status Thresholds'!$E:$AR,2,FALSE),IF((AND($U$4=TRUE,$U$5=FALSE,$U$6=TRUE,$U$7=FALSE)),VLOOKUP($E334,'Status Thresholds'!$E:$AR,12,FALSE),IF((AND($U$4=TRUE,$U$5=FALSE,$U$6=TRUE,$U$7=TRUE)),VLOOKUP($E334,'Status Thresholds'!$E:$AR,17,FALSE),IF((AND($U$4=TRUE,$U$5=FALSE,$U$6=FALSE,$U$7=TRUE)),VLOOKUP($E334,'Status Thresholds'!$E:$AR,7,FALSE),
IF((AND($U$4=FALSE,$U$5=TRUE,$U$6=FALSE,$U$7=FALSE)),VLOOKUP($E334,'Status Thresholds'!$E:$AR,22,FALSE),IF((AND($U$4=FALSE,$U$5=TRUE,$U$6=TRUE,$U$7=FALSE)),VLOOKUP($E334,'Status Thresholds'!$E:$AR,32,FALSE),IF((AND($U$4=FALSE,$U$5=TRUE,$U$6=TRUE,$U$7=TRUE)),VLOOKUP($E334,'Status Thresholds'!$E:$AR,37,FALSE),IF((AND($U$4=FALSE,$U$5=TRUE,$U$6=FALSE,$U$7=TRUE)),VLOOKUP($E334,'Status Thresholds'!$E:$AR,27,FALSE)))))))))
))/
IF(OR($X$5=TRUE,$AC$3=TRUE
),($F$3/2), IF(OR($X$2,$X$3,$X$4,$X$6,$X$7,$X$8,$Z$2,$Z$3,$Z$4,$Z$5,$Z$6,$Z$7,$Z$8)=TRUE,$F$3)),0),"-")</f>
        <v>-</v>
      </c>
      <c r="G334" s="36" t="str">
        <f>IFERROR(
ROUNDUP(
IF(AND($U$5=FALSE,$U$4=FALSE),"-",IF(AND($U$5=TRUE,$U$4=TRUE),"-",
IF((AND($U$4=TRUE,$U$5=FALSE,$U$6=FALSE,$U$7=FALSE)),VLOOKUP($E334,'Status Thresholds'!$E:$AR,3,FALSE),IF((AND($U$4=TRUE,$U$5=FALSE,$U$6=TRUE,$U$7=FALSE)),VLOOKUP($E334,'Status Thresholds'!$E:$AR,13,FALSE),IF((AND($U$4=TRUE,$U$5=FALSE,$U$6=TRUE,$U$7=TRUE)),VLOOKUP($E334,'Status Thresholds'!$E:$AR,18,FALSE),IF((AND($U$4=TRUE,$U$5=FALSE,$U$6=FALSE,$U$7=TRUE)),VLOOKUP($E334,'Status Thresholds'!$E:$AR,8,FALSE),
IF((AND($U$4=FALSE,$U$5=TRUE,$U$6=FALSE,$U$7=FALSE)),VLOOKUP($E334,'Status Thresholds'!$E:$AR,23,FALSE),IF((AND($U$4=FALSE,$U$5=TRUE,$U$6=TRUE,$U$7=FALSE)),VLOOKUP($E334,'Status Thresholds'!$E:$AR,33,FALSE),IF((AND($U$4=FALSE,$U$5=TRUE,$U$6=TRUE,$U$7=TRUE)),VLOOKUP($E334,'Status Thresholds'!$E:$AR,38,FALSE),IF((AND($U$4=FALSE,$U$5=TRUE,$U$6=FALSE,$U$7=TRUE)),VLOOKUP($E334,'Status Thresholds'!$E:$AR,28,FALSE)))))))))
))/
IF(OR($X$5=TRUE,$AC$3=TRUE
),($F$3/2), IF(OR($X$2,$X$3,$X$4,$X$6,$X$7,$X$8,$Z$2,$Z$3,$Z$4,$Z$5,$Z$6,$Z$7,$Z$8)=TRUE,$F$3)),0),"-")</f>
        <v>-</v>
      </c>
      <c r="H334" s="36" t="str">
        <f>IFERROR(
ROUNDUP(
IF(AND($U$5=FALSE,$U$4=FALSE),"-",IF(AND($U$5=TRUE,$U$4=TRUE),"-",
IF((AND($U$4=TRUE,$U$5=FALSE,$U$6=FALSE,$U$7=FALSE)),VLOOKUP($E334,'Status Thresholds'!$E:$AR,4,FALSE),IF((AND($U$4=TRUE,$U$5=FALSE,$U$6=TRUE,$U$7=FALSE)),VLOOKUP($E334,'Status Thresholds'!$E:$AR,14,FALSE),IF((AND($U$4=TRUE,$U$5=FALSE,$U$6=TRUE,$U$7=TRUE)),VLOOKUP($E334,'Status Thresholds'!$E:$AR,19,FALSE),IF((AND($U$4=TRUE,$U$5=FALSE,$U$6=FALSE,$U$7=TRUE)),VLOOKUP($E334,'Status Thresholds'!$E:$AR,9,FALSE),
IF((AND($U$4=FALSE,$U$5=TRUE,$U$6=FALSE,$U$7=FALSE)),VLOOKUP($E334,'Status Thresholds'!$E:$AR,24,FALSE),IF((AND($U$4=FALSE,$U$5=TRUE,$U$6=TRUE,$U$7=FALSE)),VLOOKUP($E334,'Status Thresholds'!$E:$AR,34,FALSE),IF((AND($U$4=FALSE,$U$5=TRUE,$U$6=TRUE,$U$7=TRUE)),VLOOKUP($E334,'Status Thresholds'!$E:$AR,39,FALSE),IF((AND($U$4=FALSE,$U$5=TRUE,$U$6=FALSE,$U$7=TRUE)),VLOOKUP($E334,'Status Thresholds'!$E:$AR,29,FALSE)))))))))
))/
IF(OR($X$5=TRUE,$AC$3=TRUE
),($F$3/2), IF(OR($X$2,$X$3,$X$4,$X$6,$X$7,$X$8,$Z$2,$Z$3,$Z$4,$Z$5,$Z$6,$Z$7,$Z$8)=TRUE,$F$3)),0),"-")</f>
        <v>-</v>
      </c>
      <c r="I334" s="36" t="str">
        <f>IFERROR(
ROUNDUP(
IF(AND($U$5=FALSE,$U$4=FALSE),"-",IF(AND($U$5=TRUE,$U$4=TRUE),"-",
IF((AND($U$4=TRUE,$U$5=FALSE,$U$6=FALSE,$U$7=FALSE)),VLOOKUP($E334,'Status Thresholds'!$E:$AR,5,FALSE),IF((AND($U$4=TRUE,$U$5=FALSE,$U$6=TRUE,$U$7=FALSE)),VLOOKUP($E334,'Status Thresholds'!$E:$AR,15,FALSE),IF((AND($U$4=TRUE,$U$5=FALSE,$U$6=TRUE,$U$7=TRUE)),VLOOKUP($E334,'Status Thresholds'!$E:$AR,20,FALSE),IF((AND($U$4=TRUE,$U$5=FALSE,$U$6=FALSE,$U$7=TRUE)),VLOOKUP($E334,'Status Thresholds'!$E:$AR,10,FALSE),
IF((AND($U$4=FALSE,$U$5=TRUE,$U$6=FALSE,$U$7=FALSE)),VLOOKUP($E334,'Status Thresholds'!$E:$AR,25,FALSE),IF((AND($U$4=FALSE,$U$5=TRUE,$U$6=TRUE,$U$7=FALSE)),VLOOKUP($E334,'Status Thresholds'!$E:$AR,35,FALSE),IF((AND($U$4=FALSE,$U$5=TRUE,$U$6=TRUE,$U$7=TRUE)),VLOOKUP($E334,'Status Thresholds'!$E:$AR,40,FALSE),IF((AND($U$4=FALSE,$U$5=TRUE,$U$6=FALSE,$U$7=TRUE)),VLOOKUP($E334,'Status Thresholds'!$E:$AR,30,FALSE)))))))))
))/
IF(OR($X$5=TRUE,$AC$3=TRUE
),($F$3/2), IF(OR($X$2,$X$3,$X$4,$X$6,$X$7,$X$8,$Z$2,$Z$3,$Z$4,$Z$5,$Z$6,$Z$7,$Z$8)=TRUE,$F$3)),0),"-")</f>
        <v>-</v>
      </c>
      <c r="J334" s="36">
        <f>IFERROR(IF(AND($U$5=FALSE,$U$4=FALSE),"-",VLOOKUP($E334,'Status Thresholds'!$E:$AU,41,FALSE)),"-")</f>
        <v>12</v>
      </c>
      <c r="K334" s="36" t="str">
        <f>IFERROR(IF(AND($U$5=FALSE,$U$4=FALSE),"-",VLOOKUP($E334,'Status Thresholds'!$E:$AU,42,FALSE)),"-")</f>
        <v>-</v>
      </c>
      <c r="L334" s="36" t="str">
        <f>IFERROR(IF(AND($U$5=FALSE,$U$4=FALSE),"-",VLOOKUP($E334,'Status Thresholds'!$E:$AU,43,FALSE)),"-")</f>
        <v>-</v>
      </c>
    </row>
    <row r="335" spans="1:12" x14ac:dyDescent="0.25">
      <c r="A335" s="35"/>
      <c r="B335" s="64" t="str">
        <f>VLOOKUP(C335,'Status Thresholds'!B:C,2,FALSE)</f>
        <v>MHGen</v>
      </c>
      <c r="C335" s="64" t="str">
        <f>IF('Status Thresholds'!B330=0, "", 'Status Thresholds'!B330)</f>
        <v>Glavenus</v>
      </c>
      <c r="D335" s="31" t="s">
        <v>32</v>
      </c>
      <c r="E335" s="36" t="str">
        <f t="shared" si="4"/>
        <v>GlavenusSleep</v>
      </c>
      <c r="F335" s="36" t="str">
        <f>IFERROR(
ROUNDUP(
IF(AND($U$5=FALSE,$U$4=FALSE),"-",IF(AND($U$5=TRUE,$U$4=TRUE),"-",
IF((AND($U$4=TRUE,$U$5=FALSE,$U$6=FALSE,$U$7=FALSE)),VLOOKUP($E335,'Status Thresholds'!$E:$AR,2,FALSE),IF((AND($U$4=TRUE,$U$5=FALSE,$U$6=TRUE,$U$7=FALSE)),VLOOKUP($E335,'Status Thresholds'!$E:$AR,12,FALSE),IF((AND($U$4=TRUE,$U$5=FALSE,$U$6=TRUE,$U$7=TRUE)),VLOOKUP($E335,'Status Thresholds'!$E:$AR,17,FALSE),IF((AND($U$4=TRUE,$U$5=FALSE,$U$6=FALSE,$U$7=TRUE)),VLOOKUP($E335,'Status Thresholds'!$E:$AR,7,FALSE),
IF((AND($U$4=FALSE,$U$5=TRUE,$U$6=FALSE,$U$7=FALSE)),VLOOKUP($E335,'Status Thresholds'!$E:$AR,22,FALSE),IF((AND($U$4=FALSE,$U$5=TRUE,$U$6=TRUE,$U$7=FALSE)),VLOOKUP($E335,'Status Thresholds'!$E:$AR,32,FALSE),IF((AND($U$4=FALSE,$U$5=TRUE,$U$6=TRUE,$U$7=TRUE)),VLOOKUP($E335,'Status Thresholds'!$E:$AR,37,FALSE),IF((AND($U$4=FALSE,$U$5=TRUE,$U$6=FALSE,$U$7=TRUE)),VLOOKUP($E335,'Status Thresholds'!$E:$AR,27,FALSE)))))))))
))/
IF(OR($X$5=TRUE,$AC$3=TRUE
),($F$4/2), IF(OR($X$2,$X$3,$X$4,$X$6,$X$7,$X$8,$Z$2,$Z$3,$Z$4,$Z$5,$Z$6,$Z$7,$Z$8)=TRUE,$F$4)),0),"-")</f>
        <v>-</v>
      </c>
      <c r="G335" s="36" t="str">
        <f>IFERROR(
ROUNDUP(
IF(AND($U$5=FALSE,$U$4=FALSE),"-",IF(AND($U$5=TRUE,$U$4=TRUE),"-",
IF((AND($U$4=TRUE,$U$5=FALSE,$U$6=FALSE,$U$7=FALSE)),VLOOKUP($E335,'Status Thresholds'!$E:$AR,3,FALSE),IF((AND($U$4=TRUE,$U$5=FALSE,$U$6=TRUE,$U$7=FALSE)),VLOOKUP($E335,'Status Thresholds'!$E:$AR,13,FALSE),IF((AND($U$4=TRUE,$U$5=FALSE,$U$6=TRUE,$U$7=TRUE)),VLOOKUP($E335,'Status Thresholds'!$E:$AR,18,FALSE),IF((AND($U$4=TRUE,$U$5=FALSE,$U$6=FALSE,$U$7=TRUE)),VLOOKUP($E335,'Status Thresholds'!$E:$AR,8,FALSE),
IF((AND($U$4=FALSE,$U$5=TRUE,$U$6=FALSE,$U$7=FALSE)),VLOOKUP($E335,'Status Thresholds'!$E:$AR,23,FALSE),IF((AND($U$4=FALSE,$U$5=TRUE,$U$6=TRUE,$U$7=FALSE)),VLOOKUP($E335,'Status Thresholds'!$E:$AR,33,FALSE),IF((AND($U$4=FALSE,$U$5=TRUE,$U$6=TRUE,$U$7=TRUE)),VLOOKUP($E335,'Status Thresholds'!$E:$AR,38,FALSE),IF((AND($U$4=FALSE,$U$5=TRUE,$U$6=FALSE,$U$7=TRUE)),VLOOKUP($E335,'Status Thresholds'!$E:$AR,28,FALSE)))))))))
))/
IF(OR($X$5=TRUE,$AC$3=TRUE
),($F$4/2), IF(OR($X$2,$X$3,$X$4,$X$6,$X$7,$X$8,$Z$2,$Z$3,$Z$4,$Z$5,$Z$6,$Z$7,$Z$8)=TRUE,$F$4)),0),"-")</f>
        <v>-</v>
      </c>
      <c r="H335" s="36" t="str">
        <f>IFERROR(
ROUNDUP(
IF(AND($U$5=FALSE,$U$4=FALSE),"-",IF(AND($U$5=TRUE,$U$4=TRUE),"-",
IF((AND($U$4=TRUE,$U$5=FALSE,$U$6=FALSE,$U$7=FALSE)),VLOOKUP($E335,'Status Thresholds'!$E:$AR,4,FALSE),IF((AND($U$4=TRUE,$U$5=FALSE,$U$6=TRUE,$U$7=FALSE)),VLOOKUP($E335,'Status Thresholds'!$E:$AR,14,FALSE),IF((AND($U$4=TRUE,$U$5=FALSE,$U$6=TRUE,$U$7=TRUE)),VLOOKUP($E335,'Status Thresholds'!$E:$AR,19,FALSE),IF((AND($U$4=TRUE,$U$5=FALSE,$U$6=FALSE,$U$7=TRUE)),VLOOKUP($E335,'Status Thresholds'!$E:$AR,9,FALSE),
IF((AND($U$4=FALSE,$U$5=TRUE,$U$6=FALSE,$U$7=FALSE)),VLOOKUP($E335,'Status Thresholds'!$E:$AR,24,FALSE),IF((AND($U$4=FALSE,$U$5=TRUE,$U$6=TRUE,$U$7=FALSE)),VLOOKUP($E335,'Status Thresholds'!$E:$AR,34,FALSE),IF((AND($U$4=FALSE,$U$5=TRUE,$U$6=TRUE,$U$7=TRUE)),VLOOKUP($E335,'Status Thresholds'!$E:$AR,39,FALSE),IF((AND($U$4=FALSE,$U$5=TRUE,$U$6=FALSE,$U$7=TRUE)),VLOOKUP($E335,'Status Thresholds'!$E:$AR,29,FALSE)))))))))
))/
IF(OR($X$5=TRUE,$AC$3=TRUE
),($F$4/2), IF(OR($X$2,$X$3,$X$4,$X$6,$X$7,$X$8,$Z$2,$Z$3,$Z$4,$Z$5,$Z$6,$Z$7,$Z$8)=TRUE,$F$4)),0),"-")</f>
        <v>-</v>
      </c>
      <c r="I335" s="36" t="str">
        <f>IFERROR(
ROUNDUP(
IF(AND($U$5=FALSE,$U$4=FALSE),"-",IF(AND($U$5=TRUE,$U$4=TRUE),"-",
IF((AND($U$4=TRUE,$U$5=FALSE,$U$6=FALSE,$U$7=FALSE)),VLOOKUP($E335,'Status Thresholds'!$E:$AR,5,FALSE),IF((AND($U$4=TRUE,$U$5=FALSE,$U$6=TRUE,$U$7=FALSE)),VLOOKUP($E335,'Status Thresholds'!$E:$AR,15,FALSE),IF((AND($U$4=TRUE,$U$5=FALSE,$U$6=TRUE,$U$7=TRUE)),VLOOKUP($E335,'Status Thresholds'!$E:$AR,20,FALSE),IF((AND($U$4=TRUE,$U$5=FALSE,$U$6=FALSE,$U$7=TRUE)),VLOOKUP($E335,'Status Thresholds'!$E:$AR,10,FALSE),
IF((AND($U$4=FALSE,$U$5=TRUE,$U$6=FALSE,$U$7=FALSE)),VLOOKUP($E335,'Status Thresholds'!$E:$AR,25,FALSE),IF((AND($U$4=FALSE,$U$5=TRUE,$U$6=TRUE,$U$7=FALSE)),VLOOKUP($E335,'Status Thresholds'!$E:$AR,35,FALSE),IF((AND($U$4=FALSE,$U$5=TRUE,$U$6=TRUE,$U$7=TRUE)),VLOOKUP($E335,'Status Thresholds'!$E:$AR,40,FALSE),IF((AND($U$4=FALSE,$U$5=TRUE,$U$6=FALSE,$U$7=TRUE)),VLOOKUP($E335,'Status Thresholds'!$E:$AR,30,FALSE)))))))))
))/
IF(OR($X$5=TRUE,$AC$3=TRUE
),($F$4/2), IF(OR($X$2,$X$3,$X$4,$X$6,$X$7,$X$8,$Z$2,$Z$3,$Z$4,$Z$5,$Z$6,$Z$7,$Z$8)=TRUE,$F$4)),0),"-")</f>
        <v>-</v>
      </c>
      <c r="J335" s="46">
        <f>IFERROR(IF(AND($U$5=FALSE,$U$4=FALSE),"-",VLOOKUP($E335,'Status Thresholds'!$E:$AU,41,FALSE)),"-")</f>
        <v>60</v>
      </c>
      <c r="K335" s="46" t="str">
        <f>IFERROR(IF(AND($U$5=FALSE,$U$4=FALSE),"-",VLOOKUP($E335,'Status Thresholds'!$E:$AU,42,FALSE)),"-")</f>
        <v>-</v>
      </c>
      <c r="L335" s="46" t="str">
        <f>IFERROR(IF(AND($U$5=FALSE,$U$4=FALSE),"-",VLOOKUP($E335,'Status Thresholds'!$E:$AU,43,FALSE)),"-")</f>
        <v>-</v>
      </c>
    </row>
    <row r="336" spans="1:12" x14ac:dyDescent="0.25">
      <c r="A336" s="35"/>
      <c r="B336" s="64" t="str">
        <f>VLOOKUP(C336,'Status Thresholds'!B:C,2,FALSE)</f>
        <v>MHGen</v>
      </c>
      <c r="C336" s="64" t="str">
        <f>IF('Status Thresholds'!B331=0, "", 'Status Thresholds'!B331)</f>
        <v>Glavenus</v>
      </c>
      <c r="D336" s="32" t="s">
        <v>33</v>
      </c>
      <c r="E336" s="36" t="str">
        <f t="shared" si="4"/>
        <v>GlavenusPoison</v>
      </c>
      <c r="F336" s="36" t="str">
        <f>IFERROR(
ROUNDUP(
IF(AND($U$5=FALSE,$U$4=FALSE),"-",IF(AND($U$5=TRUE,$U$4=TRUE),"-",
IF((AND($U$4=TRUE,$U$5=FALSE,$U$6=FALSE,$U$7=FALSE)),VLOOKUP($E336,'Status Thresholds'!$E:$AR,2,FALSE),IF((AND($U$4=TRUE,$U$5=FALSE,$U$6=TRUE,$U$7=FALSE)),VLOOKUP($E336,'Status Thresholds'!$E:$AR,12,FALSE),IF((AND($U$4=TRUE,$U$5=FALSE,$U$6=TRUE,$U$7=TRUE)),VLOOKUP($E336,'Status Thresholds'!$E:$AR,17,FALSE),IF((AND($U$4=TRUE,$U$5=FALSE,$U$6=FALSE,$U$7=TRUE)),VLOOKUP($E336,'Status Thresholds'!$E:$AR,7,FALSE),
IF((AND($U$4=FALSE,$U$5=TRUE,$U$6=FALSE,$U$7=FALSE)),VLOOKUP($E336,'Status Thresholds'!$E:$AR,22,FALSE),IF((AND($U$4=FALSE,$U$5=TRUE,$U$6=TRUE,$U$7=FALSE)),VLOOKUP($E336,'Status Thresholds'!$E:$AR,32,FALSE),IF((AND($U$4=FALSE,$U$5=TRUE,$U$6=TRUE,$U$7=TRUE)),VLOOKUP($E336,'Status Thresholds'!$E:$AR,37,FALSE),IF((AND($U$4=FALSE,$U$5=TRUE,$U$6=FALSE,$U$7=TRUE)),VLOOKUP($E336,'Status Thresholds'!$E:$AR,27,FALSE)))))))))
))/
IF(OR($X$5=TRUE,$AC$3=TRUE
),($F$5/2), IF(OR($X$2,$X$3,$X$4,$X$6,$X$7,$X$8,$Z$2,$Z$3,$Z$4,$Z$5,$Z$6,$Z$7,$Z$8)=TRUE,$F$5)),0),"-")</f>
        <v>-</v>
      </c>
      <c r="G336" s="36" t="str">
        <f>IFERROR(
ROUNDUP(
IF(AND($U$5=FALSE,$U$4=FALSE),"-",IF(AND($U$5=TRUE,$U$4=TRUE),"-",
IF((AND($U$4=TRUE,$U$5=FALSE,$U$6=FALSE,$U$7=FALSE)),VLOOKUP($E336,'Status Thresholds'!$E:$AR,3,FALSE),IF((AND($U$4=TRUE,$U$5=FALSE,$U$6=TRUE,$U$7=FALSE)),VLOOKUP($E336,'Status Thresholds'!$E:$AR,13,FALSE),IF((AND($U$4=TRUE,$U$5=FALSE,$U$6=TRUE,$U$7=TRUE)),VLOOKUP($E336,'Status Thresholds'!$E:$AR,18,FALSE),IF((AND($U$4=TRUE,$U$5=FALSE,$U$6=FALSE,$U$7=TRUE)),VLOOKUP($E336,'Status Thresholds'!$E:$AR,8,FALSE),
IF((AND($U$4=FALSE,$U$5=TRUE,$U$6=FALSE,$U$7=FALSE)),VLOOKUP($E336,'Status Thresholds'!$E:$AR,23,FALSE),IF((AND($U$4=FALSE,$U$5=TRUE,$U$6=TRUE,$U$7=FALSE)),VLOOKUP($E336,'Status Thresholds'!$E:$AR,33,FALSE),IF((AND($U$4=FALSE,$U$5=TRUE,$U$6=TRUE,$U$7=TRUE)),VLOOKUP($E336,'Status Thresholds'!$E:$AR,38,FALSE),IF((AND($U$4=FALSE,$U$5=TRUE,$U$6=FALSE,$U$7=TRUE)),VLOOKUP($E336,'Status Thresholds'!$E:$AR,28,FALSE)))))))))
))/
IF(OR($X$5=TRUE,$AC$3=TRUE
),($F$5/2), IF(OR($X$2,$X$3,$X$4,$X$6,$X$7,$X$8,$Z$2,$Z$3,$Z$4,$Z$5,$Z$6,$Z$7,$Z$8)=TRUE,$F$5)),0),"-")</f>
        <v>-</v>
      </c>
      <c r="H336" s="36" t="str">
        <f>IFERROR(
ROUNDUP(
IF(AND($U$5=FALSE,$U$4=FALSE),"-",IF(AND($U$5=TRUE,$U$4=TRUE),"-",
IF((AND($U$4=TRUE,$U$5=FALSE,$U$6=FALSE,$U$7=FALSE)),VLOOKUP($E336,'Status Thresholds'!$E:$AR,4,FALSE),IF((AND($U$4=TRUE,$U$5=FALSE,$U$6=TRUE,$U$7=FALSE)),VLOOKUP($E336,'Status Thresholds'!$E:$AR,14,FALSE),IF((AND($U$4=TRUE,$U$5=FALSE,$U$6=TRUE,$U$7=TRUE)),VLOOKUP($E336,'Status Thresholds'!$E:$AR,19,FALSE),IF((AND($U$4=TRUE,$U$5=FALSE,$U$6=FALSE,$U$7=TRUE)),VLOOKUP($E336,'Status Thresholds'!$E:$AR,9,FALSE),
IF((AND($U$4=FALSE,$U$5=TRUE,$U$6=FALSE,$U$7=FALSE)),VLOOKUP($E336,'Status Thresholds'!$E:$AR,24,FALSE),IF((AND($U$4=FALSE,$U$5=TRUE,$U$6=TRUE,$U$7=FALSE)),VLOOKUP($E336,'Status Thresholds'!$E:$AR,34,FALSE),IF((AND($U$4=FALSE,$U$5=TRUE,$U$6=TRUE,$U$7=TRUE)),VLOOKUP($E336,'Status Thresholds'!$E:$AR,39,FALSE),IF((AND($U$4=FALSE,$U$5=TRUE,$U$6=FALSE,$U$7=TRUE)),VLOOKUP($E336,'Status Thresholds'!$E:$AR,29,FALSE)))))))))
))/
IF(OR($X$5=TRUE,$AC$3=TRUE
),($F$5/2), IF(OR($X$2,$X$3,$X$4,$X$6,$X$7,$X$8,$Z$2,$Z$3,$Z$4,$Z$5,$Z$6,$Z$7,$Z$8)=TRUE,$F$5)),0),"-")</f>
        <v>-</v>
      </c>
      <c r="I336" s="36" t="str">
        <f>IFERROR(
ROUNDUP(
IF(AND($U$5=FALSE,$U$4=FALSE),"-",IF(AND($U$5=TRUE,$U$4=TRUE),"-",
IF((AND($U$4=TRUE,$U$5=FALSE,$U$6=FALSE,$U$7=FALSE)),VLOOKUP($E336,'Status Thresholds'!$E:$AR,5,FALSE),IF((AND($U$4=TRUE,$U$5=FALSE,$U$6=TRUE,$U$7=FALSE)),VLOOKUP($E336,'Status Thresholds'!$E:$AR,15,FALSE),IF((AND($U$4=TRUE,$U$5=FALSE,$U$6=TRUE,$U$7=TRUE)),VLOOKUP($E336,'Status Thresholds'!$E:$AR,20,FALSE),IF((AND($U$4=TRUE,$U$5=FALSE,$U$6=FALSE,$U$7=TRUE)),VLOOKUP($E336,'Status Thresholds'!$E:$AR,10,FALSE),
IF((AND($U$4=FALSE,$U$5=TRUE,$U$6=FALSE,$U$7=FALSE)),VLOOKUP($E336,'Status Thresholds'!$E:$AR,25,FALSE),IF((AND($U$4=FALSE,$U$5=TRUE,$U$6=TRUE,$U$7=FALSE)),VLOOKUP($E336,'Status Thresholds'!$E:$AR,35,FALSE),IF((AND($U$4=FALSE,$U$5=TRUE,$U$6=TRUE,$U$7=TRUE)),VLOOKUP($E336,'Status Thresholds'!$E:$AR,40,FALSE),IF((AND($U$4=FALSE,$U$5=TRUE,$U$6=FALSE,$U$7=TRUE)),VLOOKUP($E336,'Status Thresholds'!$E:$AR,30,FALSE)))))))))
))/
IF(OR($X$5=TRUE,$AC$3=TRUE
),($F$5/2), IF(OR($X$2,$X$3,$X$4,$X$6,$X$7,$X$8,$Z$2,$Z$3,$Z$4,$Z$5,$Z$6,$Z$7,$Z$8)=TRUE,$F$5)),0),"-")</f>
        <v>-</v>
      </c>
      <c r="J336" s="46">
        <f>IFERROR(IF(AND($U$5=FALSE,$U$4=FALSE),"-",VLOOKUP($E336,'Status Thresholds'!$E:$AU,41,FALSE)),"-")</f>
        <v>50</v>
      </c>
      <c r="K336" s="46" t="str">
        <f>IFERROR(IF(AND($U$5=FALSE,$U$4=FALSE),"-",VLOOKUP($E336,'Status Thresholds'!$E:$AU,42,FALSE)),"-")</f>
        <v>-</v>
      </c>
      <c r="L336" s="46" t="str">
        <f>IFERROR(IF(AND($U$5=FALSE,$U$4=FALSE),"-",VLOOKUP($E336,'Status Thresholds'!$E:$AU,43,FALSE)),"-")</f>
        <v>-</v>
      </c>
    </row>
    <row r="337" spans="1:12" x14ac:dyDescent="0.25">
      <c r="A337" s="35"/>
      <c r="B337" s="64" t="str">
        <f>VLOOKUP(C337,'Status Thresholds'!B:C,2,FALSE)</f>
        <v>MHGen</v>
      </c>
      <c r="C337" s="64" t="str">
        <f>IF('Status Thresholds'!B332=0, "", 'Status Thresholds'!B332)</f>
        <v>Glavenus</v>
      </c>
      <c r="D337" s="10" t="s">
        <v>22</v>
      </c>
      <c r="E337" s="36" t="str">
        <f t="shared" si="4"/>
        <v>GlavenusExhaust</v>
      </c>
      <c r="F337" s="36" t="str">
        <f>IFERROR(
ROUNDUP(
IF(AND($U$5=FALSE,$U$4=FALSE),"-",IF(AND($U$5=TRUE,$U$4=TRUE),"-",
IF((AND($U$4=TRUE,$U$5=FALSE,$U$6=FALSE,$U$7=FALSE)),VLOOKUP($E337,'Status Thresholds'!$E:$AR,2,FALSE),IF((AND($U$4=TRUE,$U$5=FALSE,$U$6=TRUE,$U$7=FALSE)),VLOOKUP($E337,'Status Thresholds'!$E:$AR,12,FALSE),IF((AND($U$4=TRUE,$U$5=FALSE,$U$6=TRUE,$U$7=TRUE)),VLOOKUP($E337,'Status Thresholds'!$E:$AR,17,FALSE),IF((AND($U$4=TRUE,$U$5=FALSE,$U$6=FALSE,$U$7=TRUE)),VLOOKUP($E337,'Status Thresholds'!$E:$AR,7,FALSE),
IF((AND($U$4=FALSE,$U$5=TRUE,$U$6=FALSE,$U$7=FALSE)),VLOOKUP($E337,'Status Thresholds'!$E:$AR,22,FALSE),IF((AND($U$4=FALSE,$U$5=TRUE,$U$6=TRUE,$U$7=FALSE)),VLOOKUP($E337,'Status Thresholds'!$E:$AR,32,FALSE),IF((AND($U$4=FALSE,$U$5=TRUE,$U$6=TRUE,$U$7=TRUE)),VLOOKUP($E337,'Status Thresholds'!$E:$AR,37,FALSE),IF((AND($U$4=FALSE,$U$5=TRUE,$U$6=FALSE,$U$7=TRUE)),VLOOKUP($E337,'Status Thresholds'!$E:$AR,27,FALSE)))))))))
))/
IF(OR($X$5=TRUE,$AC$3=TRUE
),($F$6/2), IF(OR($X$2,$X$3,$X$4,$X$6,$X$7,$X$8,$Z$2,$Z$3,$Z$4,$Z$5,$Z$6,$Z$7,$Z$8)=TRUE,$F$6)),0),"-")</f>
        <v>-</v>
      </c>
      <c r="G337" s="36" t="str">
        <f>IFERROR(
ROUNDUP(
IF(AND($U$5=FALSE,$U$4=FALSE),"-",IF(AND($U$5=TRUE,$U$4=TRUE),"-",
IF((AND($U$4=TRUE,$U$5=FALSE,$U$6=FALSE,$U$7=FALSE)),VLOOKUP($E337,'Status Thresholds'!$E:$AR,3,FALSE),IF((AND($U$4=TRUE,$U$5=FALSE,$U$6=TRUE,$U$7=FALSE)),VLOOKUP($E337,'Status Thresholds'!$E:$AR,13,FALSE),IF((AND($U$4=TRUE,$U$5=FALSE,$U$6=TRUE,$U$7=TRUE)),VLOOKUP($E337,'Status Thresholds'!$E:$AR,18,FALSE),IF((AND($U$4=TRUE,$U$5=FALSE,$U$6=FALSE,$U$7=TRUE)),VLOOKUP($E337,'Status Thresholds'!$E:$AR,8,FALSE),
IF((AND($U$4=FALSE,$U$5=TRUE,$U$6=FALSE,$U$7=FALSE)),VLOOKUP($E337,'Status Thresholds'!$E:$AR,23,FALSE),IF((AND($U$4=FALSE,$U$5=TRUE,$U$6=TRUE,$U$7=FALSE)),VLOOKUP($E337,'Status Thresholds'!$E:$AR,33,FALSE),IF((AND($U$4=FALSE,$U$5=TRUE,$U$6=TRUE,$U$7=TRUE)),VLOOKUP($E337,'Status Thresholds'!$E:$AR,38,FALSE),IF((AND($U$4=FALSE,$U$5=TRUE,$U$6=FALSE,$U$7=TRUE)),VLOOKUP($E337,'Status Thresholds'!$E:$AR,28,FALSE)))))))))
))/
IF(OR($X$5=TRUE,$AC$3=TRUE
),($F$6/2), IF(OR($X$2,$X$3,$X$4,$X$6,$X$7,$X$8,$Z$2,$Z$3,$Z$4,$Z$5,$Z$6,$Z$7,$Z$8)=TRUE,$F$6)),0),"-")</f>
        <v>-</v>
      </c>
      <c r="H337" s="36" t="str">
        <f>IFERROR(
ROUNDUP(
IF(AND($U$5=FALSE,$U$4=FALSE),"-",IF(AND($U$5=TRUE,$U$4=TRUE),"-",
IF((AND($U$4=TRUE,$U$5=FALSE,$U$6=FALSE,$U$7=FALSE)),VLOOKUP($E337,'Status Thresholds'!$E:$AR,4,FALSE),IF((AND($U$4=TRUE,$U$5=FALSE,$U$6=TRUE,$U$7=FALSE)),VLOOKUP($E337,'Status Thresholds'!$E:$AR,14,FALSE),IF((AND($U$4=TRUE,$U$5=FALSE,$U$6=TRUE,$U$7=TRUE)),VLOOKUP($E337,'Status Thresholds'!$E:$AR,19,FALSE),IF((AND($U$4=TRUE,$U$5=FALSE,$U$6=FALSE,$U$7=TRUE)),VLOOKUP($E337,'Status Thresholds'!$E:$AR,9,FALSE),
IF((AND($U$4=FALSE,$U$5=TRUE,$U$6=FALSE,$U$7=FALSE)),VLOOKUP($E337,'Status Thresholds'!$E:$AR,24,FALSE),IF((AND($U$4=FALSE,$U$5=TRUE,$U$6=TRUE,$U$7=FALSE)),VLOOKUP($E337,'Status Thresholds'!$E:$AR,34,FALSE),IF((AND($U$4=FALSE,$U$5=TRUE,$U$6=TRUE,$U$7=TRUE)),VLOOKUP($E337,'Status Thresholds'!$E:$AR,39,FALSE),IF((AND($U$4=FALSE,$U$5=TRUE,$U$6=FALSE,$U$7=TRUE)),VLOOKUP($E337,'Status Thresholds'!$E:$AR,29,FALSE)))))))))
))/
IF(OR($X$5=TRUE,$AC$3=TRUE
),($F$6/2), IF(OR($X$2,$X$3,$X$4,$X$6,$X$7,$X$8,$Z$2,$Z$3,$Z$4,$Z$5,$Z$6,$Z$7,$Z$8)=TRUE,$F$6)),0),"-")</f>
        <v>-</v>
      </c>
      <c r="I337" s="36" t="str">
        <f>IFERROR(
ROUNDUP(
IF(AND($U$5=FALSE,$U$4=FALSE),"-",IF(AND($U$5=TRUE,$U$4=TRUE),"-",
IF((AND($U$4=TRUE,$U$5=FALSE,$U$6=FALSE,$U$7=FALSE)),VLOOKUP($E337,'Status Thresholds'!$E:$AR,5,FALSE),IF((AND($U$4=TRUE,$U$5=FALSE,$U$6=TRUE,$U$7=FALSE)),VLOOKUP($E337,'Status Thresholds'!$E:$AR,15,FALSE),IF((AND($U$4=TRUE,$U$5=FALSE,$U$6=TRUE,$U$7=TRUE)),VLOOKUP($E337,'Status Thresholds'!$E:$AR,20,FALSE),IF((AND($U$4=TRUE,$U$5=FALSE,$U$6=FALSE,$U$7=TRUE)),VLOOKUP($E337,'Status Thresholds'!$E:$AR,10,FALSE),
IF((AND($U$4=FALSE,$U$5=TRUE,$U$6=FALSE,$U$7=FALSE)),VLOOKUP($E337,'Status Thresholds'!$E:$AR,25,FALSE),IF((AND($U$4=FALSE,$U$5=TRUE,$U$6=TRUE,$U$7=FALSE)),VLOOKUP($E337,'Status Thresholds'!$E:$AR,35,FALSE),IF((AND($U$4=FALSE,$U$5=TRUE,$U$6=TRUE,$U$7=TRUE)),VLOOKUP($E337,'Status Thresholds'!$E:$AR,40,FALSE),IF((AND($U$4=FALSE,$U$5=TRUE,$U$6=FALSE,$U$7=TRUE)),VLOOKUP($E337,'Status Thresholds'!$E:$AR,30,FALSE)))))))))
))/
IF(OR($X$5=TRUE,$AC$3=TRUE
),($F$6/2), IF(OR($X$2,$X$3,$X$4,$X$6,$X$7,$X$8,$Z$2,$Z$3,$Z$4,$Z$5,$Z$6,$Z$7,$Z$8)=TRUE,$F$6)),0),"-")</f>
        <v>-</v>
      </c>
      <c r="J337" s="46">
        <f>IFERROR(IF(AND($U$5=FALSE,$U$4=FALSE),"-",VLOOKUP($E337,'Status Thresholds'!$E:$AU,41,FALSE)),"-")</f>
        <v>0</v>
      </c>
      <c r="K337" s="46" t="str">
        <f>IFERROR(IF(AND($U$5=FALSE,$U$4=FALSE),"-",VLOOKUP($E337,'Status Thresholds'!$E:$AU,42,FALSE)),"-")</f>
        <v>-</v>
      </c>
      <c r="L337" s="46" t="str">
        <f>IFERROR(IF(AND($U$5=FALSE,$U$4=FALSE),"-",VLOOKUP($E337,'Status Thresholds'!$E:$AU,43,FALSE)),"-")</f>
        <v>-</v>
      </c>
    </row>
    <row r="338" spans="1:12" x14ac:dyDescent="0.25">
      <c r="A338" s="35"/>
      <c r="B338" s="64" t="str">
        <f>VLOOKUP(C338,'Status Thresholds'!B:C,2,FALSE)</f>
        <v>MHGen</v>
      </c>
      <c r="C338" s="64" t="str">
        <f>IF('Status Thresholds'!B333=0, "", 'Status Thresholds'!B333)</f>
        <v>Glavenus</v>
      </c>
      <c r="D338" s="30" t="s">
        <v>35</v>
      </c>
      <c r="E338" s="36" t="str">
        <f t="shared" si="4"/>
        <v>GlavenusBlast</v>
      </c>
      <c r="F338" s="36" t="str">
        <f>IFERROR(
ROUNDUP(
IF(AND($U$5=FALSE,$U$4=FALSE),"-",IF(AND($U$5=TRUE,$U$4=TRUE),"-",
IF((AND($U$4=TRUE,$U$5=FALSE,$U$6=FALSE,$U$7=FALSE)),VLOOKUP($E338,'Status Thresholds'!$E:$AR,2,FALSE),IF((AND($U$4=TRUE,$U$5=FALSE,$U$6=TRUE,$U$7=FALSE)),VLOOKUP($E338,'Status Thresholds'!$E:$AR,12,FALSE),IF((AND($U$4=TRUE,$U$5=FALSE,$U$6=TRUE,$U$7=TRUE)),VLOOKUP($E338,'Status Thresholds'!$E:$AR,17,FALSE),IF((AND($U$4=TRUE,$U$5=FALSE,$U$6=FALSE,$U$7=TRUE)),VLOOKUP($E338,'Status Thresholds'!$E:$AR,7,FALSE),
IF((AND($U$4=FALSE,$U$5=TRUE,$U$6=FALSE,$U$7=FALSE)),VLOOKUP($E338,'Status Thresholds'!$E:$AR,22,FALSE),IF((AND($U$4=FALSE,$U$5=TRUE,$U$6=TRUE,$U$7=FALSE)),VLOOKUP($E338,'Status Thresholds'!$E:$AR,32,FALSE),IF((AND($U$4=FALSE,$U$5=TRUE,$U$6=TRUE,$U$7=TRUE)),VLOOKUP($E338,'Status Thresholds'!$E:$AR,37,FALSE),IF((AND($U$4=FALSE,$U$5=TRUE,$U$6=FALSE,$U$7=TRUE)),VLOOKUP($E338,'Status Thresholds'!$E:$AR,27,FALSE)))))))))
))/
IF(OR($X$5=TRUE,$AC$3=TRUE
),($F$7/2), IF(OR($X$2,$X$3,$X$4,$X$6,$X$7,$X$8,$Z$2,$Z$3,$Z$4,$Z$5,$Z$6,$Z$7,$Z$8)=TRUE,$F$7)),0),"-")</f>
        <v>-</v>
      </c>
      <c r="G338" s="36" t="str">
        <f>IFERROR(
ROUNDUP(
IF(AND($U$5=FALSE,$U$4=FALSE),"-",IF(AND($U$5=TRUE,$U$4=TRUE),"-",
IF((AND($U$4=TRUE,$U$5=FALSE,$U$6=FALSE,$U$7=FALSE)),VLOOKUP($E338,'Status Thresholds'!$E:$AR,3,FALSE),IF((AND($U$4=TRUE,$U$5=FALSE,$U$6=TRUE,$U$7=FALSE)),VLOOKUP($E338,'Status Thresholds'!$E:$AR,13,FALSE),IF((AND($U$4=TRUE,$U$5=FALSE,$U$6=TRUE,$U$7=TRUE)),VLOOKUP($E338,'Status Thresholds'!$E:$AR,18,FALSE),IF((AND($U$4=TRUE,$U$5=FALSE,$U$6=FALSE,$U$7=TRUE)),VLOOKUP($E338,'Status Thresholds'!$E:$AR,8,FALSE),
IF((AND($U$4=FALSE,$U$5=TRUE,$U$6=FALSE,$U$7=FALSE)),VLOOKUP($E338,'Status Thresholds'!$E:$AR,23,FALSE),IF((AND($U$4=FALSE,$U$5=TRUE,$U$6=TRUE,$U$7=FALSE)),VLOOKUP($E338,'Status Thresholds'!$E:$AR,33,FALSE),IF((AND($U$4=FALSE,$U$5=TRUE,$U$6=TRUE,$U$7=TRUE)),VLOOKUP($E338,'Status Thresholds'!$E:$AR,38,FALSE),IF((AND($U$4=FALSE,$U$5=TRUE,$U$6=FALSE,$U$7=TRUE)),VLOOKUP($E338,'Status Thresholds'!$E:$AR,28,FALSE)))))))))
))/
IF(OR($X$5=TRUE,$AC$3=TRUE
),($F$7/2), IF(OR($X$2,$X$3,$X$4,$X$6,$X$7,$X$8,$Z$2,$Z$3,$Z$4,$Z$5,$Z$6,$Z$7,$Z$8)=TRUE,$F$7)),0),"-")</f>
        <v>-</v>
      </c>
      <c r="H338" s="36" t="str">
        <f>IFERROR(
ROUNDUP(
IF(AND($U$5=FALSE,$U$4=FALSE),"-",IF(AND($U$5=TRUE,$U$4=TRUE),"-",
IF((AND($U$4=TRUE,$U$5=FALSE,$U$6=FALSE,$U$7=FALSE)),VLOOKUP($E338,'Status Thresholds'!$E:$AR,4,FALSE),IF((AND($U$4=TRUE,$U$5=FALSE,$U$6=TRUE,$U$7=FALSE)),VLOOKUP($E338,'Status Thresholds'!$E:$AR,14,FALSE),IF((AND($U$4=TRUE,$U$5=FALSE,$U$6=TRUE,$U$7=TRUE)),VLOOKUP($E338,'Status Thresholds'!$E:$AR,19,FALSE),IF((AND($U$4=TRUE,$U$5=FALSE,$U$6=FALSE,$U$7=TRUE)),VLOOKUP($E338,'Status Thresholds'!$E:$AR,9,FALSE),
IF((AND($U$4=FALSE,$U$5=TRUE,$U$6=FALSE,$U$7=FALSE)),VLOOKUP($E338,'Status Thresholds'!$E:$AR,24,FALSE),IF((AND($U$4=FALSE,$U$5=TRUE,$U$6=TRUE,$U$7=FALSE)),VLOOKUP($E338,'Status Thresholds'!$E:$AR,34,FALSE),IF((AND($U$4=FALSE,$U$5=TRUE,$U$6=TRUE,$U$7=TRUE)),VLOOKUP($E338,'Status Thresholds'!$E:$AR,39,FALSE),IF((AND($U$4=FALSE,$U$5=TRUE,$U$6=FALSE,$U$7=TRUE)),VLOOKUP($E338,'Status Thresholds'!$E:$AR,29,FALSE)))))))))
))/
IF(OR($X$5=TRUE,$AC$3=TRUE
),($F$7/2), IF(OR($X$2,$X$3,$X$4,$X$6,$X$7,$X$8,$Z$2,$Z$3,$Z$4,$Z$5,$Z$6,$Z$7,$Z$8)=TRUE,$F$7)),0),"-")</f>
        <v>-</v>
      </c>
      <c r="I338" s="36" t="str">
        <f>IFERROR(
ROUNDUP(
IF(AND($U$5=FALSE,$U$4=FALSE),"-",IF(AND($U$5=TRUE,$U$4=TRUE),"-",
IF((AND($U$4=TRUE,$U$5=FALSE,$U$6=FALSE,$U$7=FALSE)),VLOOKUP($E338,'Status Thresholds'!$E:$AR,5,FALSE),IF((AND($U$4=TRUE,$U$5=FALSE,$U$6=TRUE,$U$7=FALSE)),VLOOKUP($E338,'Status Thresholds'!$E:$AR,15,FALSE),IF((AND($U$4=TRUE,$U$5=FALSE,$U$6=TRUE,$U$7=TRUE)),VLOOKUP($E338,'Status Thresholds'!$E:$AR,20,FALSE),IF((AND($U$4=TRUE,$U$5=FALSE,$U$6=FALSE,$U$7=TRUE)),VLOOKUP($E338,'Status Thresholds'!$E:$AR,10,FALSE),
IF((AND($U$4=FALSE,$U$5=TRUE,$U$6=FALSE,$U$7=FALSE)),VLOOKUP($E338,'Status Thresholds'!$E:$AR,25,FALSE),IF((AND($U$4=FALSE,$U$5=TRUE,$U$6=TRUE,$U$7=FALSE)),VLOOKUP($E338,'Status Thresholds'!$E:$AR,35,FALSE),IF((AND($U$4=FALSE,$U$5=TRUE,$U$6=TRUE,$U$7=TRUE)),VLOOKUP($E338,'Status Thresholds'!$E:$AR,40,FALSE),IF((AND($U$4=FALSE,$U$5=TRUE,$U$6=FALSE,$U$7=TRUE)),VLOOKUP($E338,'Status Thresholds'!$E:$AR,30,FALSE)))))))))
))/
IF(OR($X$5=TRUE,$AC$3=TRUE
),($F$7/2), IF(OR($X$2,$X$3,$X$4,$X$6,$X$7,$X$8,$Z$2,$Z$3,$Z$4,$Z$5,$Z$6,$Z$7,$Z$8)=TRUE,$F$7)),0),"-")</f>
        <v>-</v>
      </c>
      <c r="J338" s="46">
        <f>IFERROR(IF(AND($U$5=FALSE,$U$4=FALSE),"-",VLOOKUP($E338,'Status Thresholds'!$E:$AU,41,FALSE)),"-")</f>
        <v>0</v>
      </c>
      <c r="K338" s="46" t="str">
        <f>IFERROR(IF(AND($U$5=FALSE,$U$4=FALSE),"-",VLOOKUP($E338,'Status Thresholds'!$E:$AU,42,FALSE)),"-")</f>
        <v>-</v>
      </c>
      <c r="L338" s="46" t="str">
        <f>IFERROR(IF(AND($U$5=FALSE,$U$4=FALSE),"-",VLOOKUP($E338,'Status Thresholds'!$E:$AU,43,FALSE)),"-")</f>
        <v>-</v>
      </c>
    </row>
    <row r="339" spans="1:12" ht="14.45" customHeight="1" x14ac:dyDescent="0.25">
      <c r="A339" s="35"/>
      <c r="B339" s="64" t="str">
        <f>VLOOKUP(C339,'Status Thresholds'!B:C,2,FALSE)</f>
        <v>MHGen</v>
      </c>
      <c r="C339" s="64" t="str">
        <f>IF('Status Thresholds'!B334=0, "", 'Status Thresholds'!B334)</f>
        <v>Glavenus</v>
      </c>
      <c r="D339" s="34" t="s">
        <v>14</v>
      </c>
      <c r="E339" s="36" t="str">
        <f t="shared" si="4"/>
        <v>GlavenusKO</v>
      </c>
      <c r="F339" s="36" t="s">
        <v>214</v>
      </c>
      <c r="G339" s="36" t="s">
        <v>214</v>
      </c>
      <c r="H339" s="36" t="s">
        <v>214</v>
      </c>
      <c r="I339" s="36" t="s">
        <v>214</v>
      </c>
      <c r="J339" s="46">
        <f>IFERROR(IF(AND($U$5=FALSE,$U$4=FALSE),"-",VLOOKUP($E339,'Status Thresholds'!$E:$AU,41,FALSE)),"-")</f>
        <v>10</v>
      </c>
      <c r="K339" s="46" t="str">
        <f>IFERROR(IF(AND($U$5=FALSE,$U$4=FALSE),"-",VLOOKUP($E339,'Status Thresholds'!$E:$AU,42,FALSE)),"-")</f>
        <v>-</v>
      </c>
      <c r="L339" s="46" t="str">
        <f>IFERROR(IF(AND($U$5=FALSE,$U$4=FALSE),"-",VLOOKUP($E339,'Status Thresholds'!$E:$AU,43,FALSE)),"-")</f>
        <v>-</v>
      </c>
    </row>
    <row r="340" spans="1:12" x14ac:dyDescent="0.25">
      <c r="A340" s="35"/>
      <c r="B340" s="64" t="str">
        <f>VLOOKUP(C340,'Status Thresholds'!B:C,2,FALSE)</f>
        <v>MHGen</v>
      </c>
      <c r="C340" s="64" t="str">
        <f>IF('Status Thresholds'!B335=0, "", 'Status Thresholds'!B335)</f>
        <v>Glavenus</v>
      </c>
      <c r="D340" s="33" t="s">
        <v>34</v>
      </c>
      <c r="E340" s="36" t="str">
        <f t="shared" si="4"/>
        <v>GlavenusMount</v>
      </c>
      <c r="F340" s="36" t="str">
        <f>IFERROR(
ROUNDUP(
IF(AND($U$5=FALSE,$U$4=FALSE),"-",IF(AND($U$5=TRUE,$U$4=TRUE),"-",
IF((AND($U$4=TRUE,$U$5=FALSE,$U$6=FALSE,$U$7=FALSE)),VLOOKUP($E340,'Status Thresholds'!$E:$AR,2,FALSE),IF((AND($U$4=TRUE,$U$5=FALSE,$U$6=TRUE,$U$7=FALSE)),VLOOKUP($E340,'Status Thresholds'!$E:$AR,12,FALSE),IF((AND($U$4=TRUE,$U$5=FALSE,$U$6=TRUE,$U$7=TRUE)),VLOOKUP($E340,'Status Thresholds'!$E:$AR,17,FALSE),IF((AND($U$4=TRUE,$U$5=FALSE,$U$6=FALSE,$U$7=TRUE)),VLOOKUP($E340,'Status Thresholds'!$E:$AR,7,FALSE),
IF((AND($U$4=FALSE,$U$5=TRUE,$U$6=FALSE,$U$7=FALSE)),VLOOKUP($E340,'Status Thresholds'!$E:$AR,22,FALSE),IF((AND($U$4=FALSE,$U$5=TRUE,$U$6=TRUE,$U$7=FALSE)),VLOOKUP($E340,'Status Thresholds'!$E:$AR,32,FALSE),IF((AND($U$4=FALSE,$U$5=TRUE,$U$6=TRUE,$U$7=TRUE)),VLOOKUP($E340,'Status Thresholds'!$E:$AR,37,FALSE),IF((AND($U$4=FALSE,$U$5=TRUE,$U$6=FALSE,$U$7=TRUE)),VLOOKUP($E340,'Status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340" s="36" t="str">
        <f>IFERROR(
ROUNDUP(
IF(AND($U$5=FALSE,$U$4=FALSE),"-",IF(AND($U$5=TRUE,$U$4=TRUE),"-",
IF((AND($U$4=TRUE,$U$5=FALSE,$U$6=FALSE,$U$7=FALSE)),VLOOKUP($E339,'Status Thresholds'!$E:$AR,3,FALSE),IF((AND($U$4=TRUE,$U$5=FALSE,$U$6=TRUE,$U$7=FALSE)),VLOOKUP($E339,'Status Thresholds'!$E:$AR,13,FALSE),IF((AND($U$4=TRUE,$U$5=FALSE,$U$6=TRUE,$U$7=TRUE)),VLOOKUP($E339,'Status Thresholds'!$E:$AR,18,FALSE),IF((AND($U$4=TRUE,$U$5=FALSE,$U$6=FALSE,$U$7=TRUE)),VLOOKUP($E339,'Status Thresholds'!$E:$AR,8,FALSE),
IF((AND($U$4=FALSE,$U$5=TRUE,$U$6=FALSE,$U$7=FALSE)),VLOOKUP($E339,'Status Thresholds'!$E:$AR,23,FALSE),IF((AND($U$4=FALSE,$U$5=TRUE,$U$6=TRUE,$U$7=FALSE)),VLOOKUP($E339,'Status Thresholds'!$E:$AR,33,FALSE),IF((AND($U$4=FALSE,$U$5=TRUE,$U$6=TRUE,$U$7=TRUE)),VLOOKUP($E339,'Status Thresholds'!$E:$AR,38,FALSE),IF((AND($U$4=FALSE,$U$5=TRUE,$U$6=FALSE,$U$7=TRUE)),VLOOKUP($E339,'Status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340" s="36" t="str">
        <f>IFERROR(
ROUNDUP(
IF(AND($U$5=FALSE,$U$4=FALSE),"-",IF(AND($U$5=TRUE,$U$4=TRUE),"-",
IF((AND($U$4=TRUE,$U$5=FALSE,$U$6=FALSE,$U$7=FALSE)),VLOOKUP($E339,'Status Thresholds'!$E:$AR,4,FALSE),IF((AND($U$4=TRUE,$U$5=FALSE,$U$6=TRUE,$U$7=FALSE)),VLOOKUP($E339,'Status Thresholds'!$E:$AR,14,FALSE),IF((AND($U$4=TRUE,$U$5=FALSE,$U$6=TRUE,$U$7=TRUE)),VLOOKUP($E339,'Status Thresholds'!$E:$AR,19,FALSE),IF((AND($U$4=TRUE,$U$5=FALSE,$U$6=FALSE,$U$7=TRUE)),VLOOKUP($E339,'Status Thresholds'!$E:$AR,9,FALSE),
IF((AND($U$4=FALSE,$U$5=TRUE,$U$6=FALSE,$U$7=FALSE)),VLOOKUP($E339,'Status Thresholds'!$E:$AR,24,FALSE),IF((AND($U$4=FALSE,$U$5=TRUE,$U$6=TRUE,$U$7=FALSE)),VLOOKUP($E339,'Status Thresholds'!$E:$AR,34,FALSE),IF((AND($U$4=FALSE,$U$5=TRUE,$U$6=TRUE,$U$7=TRUE)),VLOOKUP($E339,'Status Thresholds'!$E:$AR,39,FALSE),IF((AND($U$4=FALSE,$U$5=TRUE,$U$6=FALSE,$U$7=TRUE)),VLOOKUP($E339,'Status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340" s="36" t="str">
        <f>IFERROR(
ROUNDUP(
IF(AND($U$5=FALSE,$U$4=FALSE),"-",IF(AND($U$5=TRUE,$U$4=TRUE),"-",
IF((AND($U$4=TRUE,$U$5=FALSE,$U$6=FALSE,$U$7=FALSE)),VLOOKUP($E339,'Status Thresholds'!$E:$AR,5,FALSE),IF((AND($U$4=TRUE,$U$5=FALSE,$U$6=TRUE,$U$7=FALSE)),VLOOKUP($E339,'Status Thresholds'!$E:$AR,15,FALSE),IF((AND($U$4=TRUE,$U$5=FALSE,$U$6=TRUE,$U$7=TRUE)),VLOOKUP($E339,'Status Thresholds'!$E:$AR,20,FALSE),IF((AND($U$4=TRUE,$U$5=FALSE,$U$6=FALSE,$U$7=TRUE)),VLOOKUP($E339,'Status Thresholds'!$E:$AR,10,FALSE),
IF((AND($U$4=FALSE,$U$5=TRUE,$U$6=FALSE,$U$7=FALSE)),VLOOKUP($E339,'Status Thresholds'!$E:$AR,25,FALSE),IF((AND($U$4=FALSE,$U$5=TRUE,$U$6=TRUE,$U$7=FALSE)),VLOOKUP($E339,'Status Thresholds'!$E:$AR,35,FALSE),IF((AND($U$4=FALSE,$U$5=TRUE,$U$6=TRUE,$U$7=TRUE)),VLOOKUP($E339,'Status Thresholds'!$E:$AR,40,FALSE),IF((AND($U$4=FALSE,$U$5=TRUE,$U$6=FALSE,$U$7=TRUE)),VLOOKUP($E339,'Status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340" s="46">
        <f>IFERROR(IF(AND($U$5=FALSE,$U$4=FALSE),"-",VLOOKUP($E340,'Status Thresholds'!$E:$AU,41,FALSE)),"-")</f>
        <v>0</v>
      </c>
      <c r="K340" s="46" t="str">
        <f>IFERROR(IF(AND($U$5=FALSE,$U$4=FALSE),"-",VLOOKUP($E340,'Status Thresholds'!$E:$AU,42,FALSE)),"-")</f>
        <v>-</v>
      </c>
      <c r="L340" s="46" t="str">
        <f>IFERROR(IF(AND($U$5=FALSE,$U$4=FALSE),"-",VLOOKUP($E340,'Status Thresholds'!$E:$AU,43,FALSE)),"-")</f>
        <v>-</v>
      </c>
    </row>
    <row r="341" spans="1:12" ht="15" customHeight="1" x14ac:dyDescent="0.25">
      <c r="A341" s="35"/>
      <c r="B341" s="64" t="str">
        <f>VLOOKUP(C341,'Status Thresholds'!B:C,2,FALSE)</f>
        <v>MHGen</v>
      </c>
      <c r="C341" s="64" t="str">
        <f>IF('Status Thresholds'!B336=0, "", 'Status Thresholds'!B336)</f>
        <v>Glavenus</v>
      </c>
      <c r="D341" s="77" t="s">
        <v>207</v>
      </c>
      <c r="E341" s="36" t="str">
        <f t="shared" si="4"/>
        <v>GlavenusShock Trap</v>
      </c>
      <c r="F341" s="76" t="s">
        <v>214</v>
      </c>
      <c r="G341" s="46" t="s">
        <v>214</v>
      </c>
      <c r="H341" s="46" t="s">
        <v>214</v>
      </c>
      <c r="I341" s="46" t="s">
        <v>214</v>
      </c>
      <c r="J341" s="46">
        <f>IFERROR(IF(AND($U$5=FALSE,$U$4=FALSE),"-",VLOOKUP($E341,'Status Thresholds'!$E:$AU,43,FALSE)),"-")</f>
        <v>12</v>
      </c>
      <c r="K341" s="46">
        <f>IFERROR(IF(AND($U$5=FALSE,$U$4=FALSE),"-",VLOOKUP($E341,'Status Thresholds'!$E:$AU,41,FALSE)),"-")</f>
        <v>10</v>
      </c>
      <c r="L341" s="46">
        <f>IFERROR(IF(AND($U$5=FALSE,$U$4=FALSE),"-",VLOOKUP($E341,'Status Thresholds'!$E:$AU,42,FALSE)),"-")</f>
        <v>15</v>
      </c>
    </row>
    <row r="342" spans="1:12" x14ac:dyDescent="0.25">
      <c r="A342" s="35"/>
      <c r="B342" s="64" t="str">
        <f>VLOOKUP(C342,'Status Thresholds'!B:C,2,FALSE)</f>
        <v>MHGen</v>
      </c>
      <c r="C342" s="64" t="str">
        <f>IF('Status Thresholds'!B337=0, "", 'Status Thresholds'!B337)</f>
        <v>Glavenus</v>
      </c>
      <c r="D342" s="77" t="s">
        <v>213</v>
      </c>
      <c r="E342" s="36" t="str">
        <f t="shared" si="4"/>
        <v>GlavenusPitfall Trap</v>
      </c>
      <c r="F342" s="46" t="s">
        <v>214</v>
      </c>
      <c r="G342" s="46" t="s">
        <v>214</v>
      </c>
      <c r="H342" s="46" t="s">
        <v>214</v>
      </c>
      <c r="I342" s="46" t="s">
        <v>214</v>
      </c>
      <c r="J342" s="46">
        <f>IFERROR(IF(AND($U$5=FALSE,$U$4=FALSE),"-",VLOOKUP($E342,'Status Thresholds'!$E:$AU,43,FALSE)),"-")</f>
        <v>12</v>
      </c>
      <c r="K342" s="46">
        <f>IFERROR(IF(AND($U$5=FALSE,$U$4=FALSE),"-",VLOOKUP($E342,'Status Thresholds'!$E:$AU,41,FALSE)),"-")</f>
        <v>10</v>
      </c>
      <c r="L342" s="46">
        <f>IFERROR(IF(AND($U$5=FALSE,$U$4=FALSE),"-",VLOOKUP($E342,'Status Thresholds'!$E:$AU,42,FALSE)),"-")</f>
        <v>20</v>
      </c>
    </row>
    <row r="343" spans="1:12" s="36" customFormat="1" x14ac:dyDescent="0.25">
      <c r="A343" s="64"/>
      <c r="B343" s="64" t="str">
        <f>VLOOKUP(C343,'Status Thresholds'!B:C,2,FALSE)</f>
        <v>MHGen</v>
      </c>
      <c r="C343" s="64" t="str">
        <f>IF('Status Thresholds'!B338=0, "", 'Status Thresholds'!B338)</f>
        <v>Gore Magala</v>
      </c>
      <c r="D343" s="37" t="s">
        <v>0</v>
      </c>
      <c r="E343" s="36" t="str">
        <f t="shared" si="4"/>
        <v>Gore MagalaPara</v>
      </c>
      <c r="F343" s="36" t="str">
        <f>IFERROR(
ROUNDUP(
IF(AND($U$5=FALSE,$U$4=FALSE),"-",IF(AND($U$5=TRUE,$U$4=TRUE),"-",
IF((AND($U$4=TRUE,$U$5=FALSE,$U$6=FALSE,$U$7=FALSE)),VLOOKUP($E343,'Status Thresholds'!$E:$AR,2,FALSE),IF((AND($U$4=TRUE,$U$5=FALSE,$U$6=TRUE,$U$7=FALSE)),VLOOKUP($E343,'Status Thresholds'!$E:$AR,12,FALSE),IF((AND($U$4=TRUE,$U$5=FALSE,$U$6=TRUE,$U$7=TRUE)),VLOOKUP($E343,'Status Thresholds'!$E:$AR,17,FALSE),IF((AND($U$4=TRUE,$U$5=FALSE,$U$6=FALSE,$U$7=TRUE)),VLOOKUP($E343,'Status Thresholds'!$E:$AR,7,FALSE),
IF((AND($U$4=FALSE,$U$5=TRUE,$U$6=FALSE,$U$7=FALSE)),VLOOKUP($E343,'Status Thresholds'!$E:$AR,22,FALSE),IF((AND($U$4=FALSE,$U$5=TRUE,$U$6=TRUE,$U$7=FALSE)),VLOOKUP($E343,'Status Thresholds'!$E:$AR,32,FALSE),IF((AND($U$4=FALSE,$U$5=TRUE,$U$6=TRUE,$U$7=TRUE)),VLOOKUP($E343,'Status Thresholds'!$E:$AR,37,FALSE),IF((AND($U$4=FALSE,$U$5=TRUE,$U$6=FALSE,$U$7=TRUE)),VLOOKUP($E343,'Status Thresholds'!$E:$AR,27,FALSE)))))))))
))/
IF(OR($X$5=TRUE,$AC$3=TRUE
),($F$3/2), IF(OR($X$2,$X$3,$X$4,$X$6,$X$7,$X$8,$Z$2,$Z$3,$Z$4,$Z$5,$Z$6,$Z$7,$Z$8)=TRUE,$F$3)),0),"-")</f>
        <v>-</v>
      </c>
      <c r="G343" s="36" t="str">
        <f>IFERROR(
ROUNDUP(
IF(AND($U$5=FALSE,$U$4=FALSE),"-",IF(AND($U$5=TRUE,$U$4=TRUE),"-",
IF((AND($U$4=TRUE,$U$5=FALSE,$U$6=FALSE,$U$7=FALSE)),VLOOKUP($E343,'Status Thresholds'!$E:$AR,3,FALSE),IF((AND($U$4=TRUE,$U$5=FALSE,$U$6=TRUE,$U$7=FALSE)),VLOOKUP($E343,'Status Thresholds'!$E:$AR,13,FALSE),IF((AND($U$4=TRUE,$U$5=FALSE,$U$6=TRUE,$U$7=TRUE)),VLOOKUP($E343,'Status Thresholds'!$E:$AR,18,FALSE),IF((AND($U$4=TRUE,$U$5=FALSE,$U$6=FALSE,$U$7=TRUE)),VLOOKUP($E343,'Status Thresholds'!$E:$AR,8,FALSE),
IF((AND($U$4=FALSE,$U$5=TRUE,$U$6=FALSE,$U$7=FALSE)),VLOOKUP($E343,'Status Thresholds'!$E:$AR,23,FALSE),IF((AND($U$4=FALSE,$U$5=TRUE,$U$6=TRUE,$U$7=FALSE)),VLOOKUP($E343,'Status Thresholds'!$E:$AR,33,FALSE),IF((AND($U$4=FALSE,$U$5=TRUE,$U$6=TRUE,$U$7=TRUE)),VLOOKUP($E343,'Status Thresholds'!$E:$AR,38,FALSE),IF((AND($U$4=FALSE,$U$5=TRUE,$U$6=FALSE,$U$7=TRUE)),VLOOKUP($E343,'Status Thresholds'!$E:$AR,28,FALSE)))))))))
))/
IF(OR($X$5=TRUE,$AC$3=TRUE
),($F$3/2), IF(OR($X$2,$X$3,$X$4,$X$6,$X$7,$X$8,$Z$2,$Z$3,$Z$4,$Z$5,$Z$6,$Z$7,$Z$8)=TRUE,$F$3)),0),"-")</f>
        <v>-</v>
      </c>
      <c r="H343" s="36" t="str">
        <f>IFERROR(
ROUNDUP(
IF(AND($U$5=FALSE,$U$4=FALSE),"-",IF(AND($U$5=TRUE,$U$4=TRUE),"-",
IF((AND($U$4=TRUE,$U$5=FALSE,$U$6=FALSE,$U$7=FALSE)),VLOOKUP($E343,'Status Thresholds'!$E:$AR,4,FALSE),IF((AND($U$4=TRUE,$U$5=FALSE,$U$6=TRUE,$U$7=FALSE)),VLOOKUP($E343,'Status Thresholds'!$E:$AR,14,FALSE),IF((AND($U$4=TRUE,$U$5=FALSE,$U$6=TRUE,$U$7=TRUE)),VLOOKUP($E343,'Status Thresholds'!$E:$AR,19,FALSE),IF((AND($U$4=TRUE,$U$5=FALSE,$U$6=FALSE,$U$7=TRUE)),VLOOKUP($E343,'Status Thresholds'!$E:$AR,9,FALSE),
IF((AND($U$4=FALSE,$U$5=TRUE,$U$6=FALSE,$U$7=FALSE)),VLOOKUP($E343,'Status Thresholds'!$E:$AR,24,FALSE),IF((AND($U$4=FALSE,$U$5=TRUE,$U$6=TRUE,$U$7=FALSE)),VLOOKUP($E343,'Status Thresholds'!$E:$AR,34,FALSE),IF((AND($U$4=FALSE,$U$5=TRUE,$U$6=TRUE,$U$7=TRUE)),VLOOKUP($E343,'Status Thresholds'!$E:$AR,39,FALSE),IF((AND($U$4=FALSE,$U$5=TRUE,$U$6=FALSE,$U$7=TRUE)),VLOOKUP($E343,'Status Thresholds'!$E:$AR,29,FALSE)))))))))
))/
IF(OR($X$5=TRUE,$AC$3=TRUE
),($F$3/2), IF(OR($X$2,$X$3,$X$4,$X$6,$X$7,$X$8,$Z$2,$Z$3,$Z$4,$Z$5,$Z$6,$Z$7,$Z$8)=TRUE,$F$3)),0),"-")</f>
        <v>-</v>
      </c>
      <c r="I343" s="36" t="str">
        <f>IFERROR(
ROUNDUP(
IF(AND($U$5=FALSE,$U$4=FALSE),"-",IF(AND($U$5=TRUE,$U$4=TRUE),"-",
IF((AND($U$4=TRUE,$U$5=FALSE,$U$6=FALSE,$U$7=FALSE)),VLOOKUP($E343,'Status Thresholds'!$E:$AR,5,FALSE),IF((AND($U$4=TRUE,$U$5=FALSE,$U$6=TRUE,$U$7=FALSE)),VLOOKUP($E343,'Status Thresholds'!$E:$AR,15,FALSE),IF((AND($U$4=TRUE,$U$5=FALSE,$U$6=TRUE,$U$7=TRUE)),VLOOKUP($E343,'Status Thresholds'!$E:$AR,20,FALSE),IF((AND($U$4=TRUE,$U$5=FALSE,$U$6=FALSE,$U$7=TRUE)),VLOOKUP($E343,'Status Thresholds'!$E:$AR,10,FALSE),
IF((AND($U$4=FALSE,$U$5=TRUE,$U$6=FALSE,$U$7=FALSE)),VLOOKUP($E343,'Status Thresholds'!$E:$AR,25,FALSE),IF((AND($U$4=FALSE,$U$5=TRUE,$U$6=TRUE,$U$7=FALSE)),VLOOKUP($E343,'Status Thresholds'!$E:$AR,35,FALSE),IF((AND($U$4=FALSE,$U$5=TRUE,$U$6=TRUE,$U$7=TRUE)),VLOOKUP($E343,'Status Thresholds'!$E:$AR,40,FALSE),IF((AND($U$4=FALSE,$U$5=TRUE,$U$6=FALSE,$U$7=TRUE)),VLOOKUP($E343,'Status Thresholds'!$E:$AR,30,FALSE)))))))))
))/
IF(OR($X$5=TRUE,$AC$3=TRUE
),($F$3/2), IF(OR($X$2,$X$3,$X$4,$X$6,$X$7,$X$8,$Z$2,$Z$3,$Z$4,$Z$5,$Z$6,$Z$7,$Z$8)=TRUE,$F$3)),0),"-")</f>
        <v>-</v>
      </c>
      <c r="J343" s="36">
        <f>IFERROR(IF(AND($U$5=FALSE,$U$4=FALSE),"-",VLOOKUP($E343,'Status Thresholds'!$E:$AU,41,FALSE)),"-")</f>
        <v>10</v>
      </c>
      <c r="K343" s="36" t="str">
        <f>IFERROR(IF(AND($U$5=FALSE,$U$4=FALSE),"-",VLOOKUP($E343,'Status Thresholds'!$E:$AU,42,FALSE)),"-")</f>
        <v>-</v>
      </c>
      <c r="L343" s="36" t="str">
        <f>IFERROR(IF(AND($U$5=FALSE,$U$4=FALSE),"-",VLOOKUP($E343,'Status Thresholds'!$E:$AU,43,FALSE)),"-")</f>
        <v>-</v>
      </c>
    </row>
    <row r="344" spans="1:12" x14ac:dyDescent="0.25">
      <c r="A344" s="35"/>
      <c r="B344" s="64" t="str">
        <f>VLOOKUP(C344,'Status Thresholds'!B:C,2,FALSE)</f>
        <v>MHGen</v>
      </c>
      <c r="C344" s="64" t="str">
        <f>IF('Status Thresholds'!B339=0, "", 'Status Thresholds'!B339)</f>
        <v>Gore Magala</v>
      </c>
      <c r="D344" s="31" t="s">
        <v>32</v>
      </c>
      <c r="E344" s="36" t="str">
        <f t="shared" si="4"/>
        <v>Gore MagalaSleep</v>
      </c>
      <c r="F344" s="36" t="str">
        <f>IFERROR(
ROUNDUP(
IF(AND($U$5=FALSE,$U$4=FALSE),"-",IF(AND($U$5=TRUE,$U$4=TRUE),"-",
IF((AND($U$4=TRUE,$U$5=FALSE,$U$6=FALSE,$U$7=FALSE)),VLOOKUP($E344,'Status Thresholds'!$E:$AR,2,FALSE),IF((AND($U$4=TRUE,$U$5=FALSE,$U$6=TRUE,$U$7=FALSE)),VLOOKUP($E344,'Status Thresholds'!$E:$AR,12,FALSE),IF((AND($U$4=TRUE,$U$5=FALSE,$U$6=TRUE,$U$7=TRUE)),VLOOKUP($E344,'Status Thresholds'!$E:$AR,17,FALSE),IF((AND($U$4=TRUE,$U$5=FALSE,$U$6=FALSE,$U$7=TRUE)),VLOOKUP($E344,'Status Thresholds'!$E:$AR,7,FALSE),
IF((AND($U$4=FALSE,$U$5=TRUE,$U$6=FALSE,$U$7=FALSE)),VLOOKUP($E344,'Status Thresholds'!$E:$AR,22,FALSE),IF((AND($U$4=FALSE,$U$5=TRUE,$U$6=TRUE,$U$7=FALSE)),VLOOKUP($E344,'Status Thresholds'!$E:$AR,32,FALSE),IF((AND($U$4=FALSE,$U$5=TRUE,$U$6=TRUE,$U$7=TRUE)),VLOOKUP($E344,'Status Thresholds'!$E:$AR,37,FALSE),IF((AND($U$4=FALSE,$U$5=TRUE,$U$6=FALSE,$U$7=TRUE)),VLOOKUP($E344,'Status Thresholds'!$E:$AR,27,FALSE)))))))))
))/
IF(OR($X$5=TRUE,$AC$3=TRUE
),($F$4/2), IF(OR($X$2,$X$3,$X$4,$X$6,$X$7,$X$8,$Z$2,$Z$3,$Z$4,$Z$5,$Z$6,$Z$7,$Z$8)=TRUE,$F$4)),0),"-")</f>
        <v>-</v>
      </c>
      <c r="G344" s="36" t="str">
        <f>IFERROR(
ROUNDUP(
IF(AND($U$5=FALSE,$U$4=FALSE),"-",IF(AND($U$5=TRUE,$U$4=TRUE),"-",
IF((AND($U$4=TRUE,$U$5=FALSE,$U$6=FALSE,$U$7=FALSE)),VLOOKUP($E344,'Status Thresholds'!$E:$AR,3,FALSE),IF((AND($U$4=TRUE,$U$5=FALSE,$U$6=TRUE,$U$7=FALSE)),VLOOKUP($E344,'Status Thresholds'!$E:$AR,13,FALSE),IF((AND($U$4=TRUE,$U$5=FALSE,$U$6=TRUE,$U$7=TRUE)),VLOOKUP($E344,'Status Thresholds'!$E:$AR,18,FALSE),IF((AND($U$4=TRUE,$U$5=FALSE,$U$6=FALSE,$U$7=TRUE)),VLOOKUP($E344,'Status Thresholds'!$E:$AR,8,FALSE),
IF((AND($U$4=FALSE,$U$5=TRUE,$U$6=FALSE,$U$7=FALSE)),VLOOKUP($E344,'Status Thresholds'!$E:$AR,23,FALSE),IF((AND($U$4=FALSE,$U$5=TRUE,$U$6=TRUE,$U$7=FALSE)),VLOOKUP($E344,'Status Thresholds'!$E:$AR,33,FALSE),IF((AND($U$4=FALSE,$U$5=TRUE,$U$6=TRUE,$U$7=TRUE)),VLOOKUP($E344,'Status Thresholds'!$E:$AR,38,FALSE),IF((AND($U$4=FALSE,$U$5=TRUE,$U$6=FALSE,$U$7=TRUE)),VLOOKUP($E344,'Status Thresholds'!$E:$AR,28,FALSE)))))))))
))/
IF(OR($X$5=TRUE,$AC$3=TRUE
),($F$4/2), IF(OR($X$2,$X$3,$X$4,$X$6,$X$7,$X$8,$Z$2,$Z$3,$Z$4,$Z$5,$Z$6,$Z$7,$Z$8)=TRUE,$F$4)),0),"-")</f>
        <v>-</v>
      </c>
      <c r="H344" s="36" t="str">
        <f>IFERROR(
ROUNDUP(
IF(AND($U$5=FALSE,$U$4=FALSE),"-",IF(AND($U$5=TRUE,$U$4=TRUE),"-",
IF((AND($U$4=TRUE,$U$5=FALSE,$U$6=FALSE,$U$7=FALSE)),VLOOKUP($E344,'Status Thresholds'!$E:$AR,4,FALSE),IF((AND($U$4=TRUE,$U$5=FALSE,$U$6=TRUE,$U$7=FALSE)),VLOOKUP($E344,'Status Thresholds'!$E:$AR,14,FALSE),IF((AND($U$4=TRUE,$U$5=FALSE,$U$6=TRUE,$U$7=TRUE)),VLOOKUP($E344,'Status Thresholds'!$E:$AR,19,FALSE),IF((AND($U$4=TRUE,$U$5=FALSE,$U$6=FALSE,$U$7=TRUE)),VLOOKUP($E344,'Status Thresholds'!$E:$AR,9,FALSE),
IF((AND($U$4=FALSE,$U$5=TRUE,$U$6=FALSE,$U$7=FALSE)),VLOOKUP($E344,'Status Thresholds'!$E:$AR,24,FALSE),IF((AND($U$4=FALSE,$U$5=TRUE,$U$6=TRUE,$U$7=FALSE)),VLOOKUP($E344,'Status Thresholds'!$E:$AR,34,FALSE),IF((AND($U$4=FALSE,$U$5=TRUE,$U$6=TRUE,$U$7=TRUE)),VLOOKUP($E344,'Status Thresholds'!$E:$AR,39,FALSE),IF((AND($U$4=FALSE,$U$5=TRUE,$U$6=FALSE,$U$7=TRUE)),VLOOKUP($E344,'Status Thresholds'!$E:$AR,29,FALSE)))))))))
))/
IF(OR($X$5=TRUE,$AC$3=TRUE
),($F$4/2), IF(OR($X$2,$X$3,$X$4,$X$6,$X$7,$X$8,$Z$2,$Z$3,$Z$4,$Z$5,$Z$6,$Z$7,$Z$8)=TRUE,$F$4)),0),"-")</f>
        <v>-</v>
      </c>
      <c r="I344" s="36" t="str">
        <f>IFERROR(
ROUNDUP(
IF(AND($U$5=FALSE,$U$4=FALSE),"-",IF(AND($U$5=TRUE,$U$4=TRUE),"-",
IF((AND($U$4=TRUE,$U$5=FALSE,$U$6=FALSE,$U$7=FALSE)),VLOOKUP($E344,'Status Thresholds'!$E:$AR,5,FALSE),IF((AND($U$4=TRUE,$U$5=FALSE,$U$6=TRUE,$U$7=FALSE)),VLOOKUP($E344,'Status Thresholds'!$E:$AR,15,FALSE),IF((AND($U$4=TRUE,$U$5=FALSE,$U$6=TRUE,$U$7=TRUE)),VLOOKUP($E344,'Status Thresholds'!$E:$AR,20,FALSE),IF((AND($U$4=TRUE,$U$5=FALSE,$U$6=FALSE,$U$7=TRUE)),VLOOKUP($E344,'Status Thresholds'!$E:$AR,10,FALSE),
IF((AND($U$4=FALSE,$U$5=TRUE,$U$6=FALSE,$U$7=FALSE)),VLOOKUP($E344,'Status Thresholds'!$E:$AR,25,FALSE),IF((AND($U$4=FALSE,$U$5=TRUE,$U$6=TRUE,$U$7=FALSE)),VLOOKUP($E344,'Status Thresholds'!$E:$AR,35,FALSE),IF((AND($U$4=FALSE,$U$5=TRUE,$U$6=TRUE,$U$7=TRUE)),VLOOKUP($E344,'Status Thresholds'!$E:$AR,40,FALSE),IF((AND($U$4=FALSE,$U$5=TRUE,$U$6=FALSE,$U$7=TRUE)),VLOOKUP($E344,'Status Thresholds'!$E:$AR,30,FALSE)))))))))
))/
IF(OR($X$5=TRUE,$AC$3=TRUE
),($F$4/2), IF(OR($X$2,$X$3,$X$4,$X$6,$X$7,$X$8,$Z$2,$Z$3,$Z$4,$Z$5,$Z$6,$Z$7,$Z$8)=TRUE,$F$4)),0),"-")</f>
        <v>-</v>
      </c>
      <c r="J344" s="46">
        <f>IFERROR(IF(AND($U$5=FALSE,$U$4=FALSE),"-",VLOOKUP($E344,'Status Thresholds'!$E:$AU,41,FALSE)),"-")</f>
        <v>40</v>
      </c>
      <c r="K344" s="46" t="str">
        <f>IFERROR(IF(AND($U$5=FALSE,$U$4=FALSE),"-",VLOOKUP($E344,'Status Thresholds'!$E:$AU,42,FALSE)),"-")</f>
        <v>-</v>
      </c>
      <c r="L344" s="46" t="str">
        <f>IFERROR(IF(AND($U$5=FALSE,$U$4=FALSE),"-",VLOOKUP($E344,'Status Thresholds'!$E:$AU,43,FALSE)),"-")</f>
        <v>-</v>
      </c>
    </row>
    <row r="345" spans="1:12" x14ac:dyDescent="0.25">
      <c r="A345" s="35"/>
      <c r="B345" s="64" t="str">
        <f>VLOOKUP(C345,'Status Thresholds'!B:C,2,FALSE)</f>
        <v>MHGen</v>
      </c>
      <c r="C345" s="64" t="str">
        <f>IF('Status Thresholds'!B340=0, "", 'Status Thresholds'!B340)</f>
        <v>Gore Magala</v>
      </c>
      <c r="D345" s="32" t="s">
        <v>33</v>
      </c>
      <c r="E345" s="36" t="str">
        <f t="shared" si="4"/>
        <v>Gore MagalaPoison</v>
      </c>
      <c r="F345" s="36" t="str">
        <f>IFERROR(
ROUNDUP(
IF(AND($U$5=FALSE,$U$4=FALSE),"-",IF(AND($U$5=TRUE,$U$4=TRUE),"-",
IF((AND($U$4=TRUE,$U$5=FALSE,$U$6=FALSE,$U$7=FALSE)),VLOOKUP($E345,'Status Thresholds'!$E:$AR,2,FALSE),IF((AND($U$4=TRUE,$U$5=FALSE,$U$6=TRUE,$U$7=FALSE)),VLOOKUP($E345,'Status Thresholds'!$E:$AR,12,FALSE),IF((AND($U$4=TRUE,$U$5=FALSE,$U$6=TRUE,$U$7=TRUE)),VLOOKUP($E345,'Status Thresholds'!$E:$AR,17,FALSE),IF((AND($U$4=TRUE,$U$5=FALSE,$U$6=FALSE,$U$7=TRUE)),VLOOKUP($E345,'Status Thresholds'!$E:$AR,7,FALSE),
IF((AND($U$4=FALSE,$U$5=TRUE,$U$6=FALSE,$U$7=FALSE)),VLOOKUP($E345,'Status Thresholds'!$E:$AR,22,FALSE),IF((AND($U$4=FALSE,$U$5=TRUE,$U$6=TRUE,$U$7=FALSE)),VLOOKUP($E345,'Status Thresholds'!$E:$AR,32,FALSE),IF((AND($U$4=FALSE,$U$5=TRUE,$U$6=TRUE,$U$7=TRUE)),VLOOKUP($E345,'Status Thresholds'!$E:$AR,37,FALSE),IF((AND($U$4=FALSE,$U$5=TRUE,$U$6=FALSE,$U$7=TRUE)),VLOOKUP($E345,'Status Thresholds'!$E:$AR,27,FALSE)))))))))
))/
IF(OR($X$5=TRUE,$AC$3=TRUE
),($F$5/2), IF(OR($X$2,$X$3,$X$4,$X$6,$X$7,$X$8,$Z$2,$Z$3,$Z$4,$Z$5,$Z$6,$Z$7,$Z$8)=TRUE,$F$5)),0),"-")</f>
        <v>-</v>
      </c>
      <c r="G345" s="36" t="str">
        <f>IFERROR(
ROUNDUP(
IF(AND($U$5=FALSE,$U$4=FALSE),"-",IF(AND($U$5=TRUE,$U$4=TRUE),"-",
IF((AND($U$4=TRUE,$U$5=FALSE,$U$6=FALSE,$U$7=FALSE)),VLOOKUP($E345,'Status Thresholds'!$E:$AR,3,FALSE),IF((AND($U$4=TRUE,$U$5=FALSE,$U$6=TRUE,$U$7=FALSE)),VLOOKUP($E345,'Status Thresholds'!$E:$AR,13,FALSE),IF((AND($U$4=TRUE,$U$5=FALSE,$U$6=TRUE,$U$7=TRUE)),VLOOKUP($E345,'Status Thresholds'!$E:$AR,18,FALSE),IF((AND($U$4=TRUE,$U$5=FALSE,$U$6=FALSE,$U$7=TRUE)),VLOOKUP($E345,'Status Thresholds'!$E:$AR,8,FALSE),
IF((AND($U$4=FALSE,$U$5=TRUE,$U$6=FALSE,$U$7=FALSE)),VLOOKUP($E345,'Status Thresholds'!$E:$AR,23,FALSE),IF((AND($U$4=FALSE,$U$5=TRUE,$U$6=TRUE,$U$7=FALSE)),VLOOKUP($E345,'Status Thresholds'!$E:$AR,33,FALSE),IF((AND($U$4=FALSE,$U$5=TRUE,$U$6=TRUE,$U$7=TRUE)),VLOOKUP($E345,'Status Thresholds'!$E:$AR,38,FALSE),IF((AND($U$4=FALSE,$U$5=TRUE,$U$6=FALSE,$U$7=TRUE)),VLOOKUP($E345,'Status Thresholds'!$E:$AR,28,FALSE)))))))))
))/
IF(OR($X$5=TRUE,$AC$3=TRUE
),($F$5/2), IF(OR($X$2,$X$3,$X$4,$X$6,$X$7,$X$8,$Z$2,$Z$3,$Z$4,$Z$5,$Z$6,$Z$7,$Z$8)=TRUE,$F$5)),0),"-")</f>
        <v>-</v>
      </c>
      <c r="H345" s="36" t="str">
        <f>IFERROR(
ROUNDUP(
IF(AND($U$5=FALSE,$U$4=FALSE),"-",IF(AND($U$5=TRUE,$U$4=TRUE),"-",
IF((AND($U$4=TRUE,$U$5=FALSE,$U$6=FALSE,$U$7=FALSE)),VLOOKUP($E345,'Status Thresholds'!$E:$AR,4,FALSE),IF((AND($U$4=TRUE,$U$5=FALSE,$U$6=TRUE,$U$7=FALSE)),VLOOKUP($E345,'Status Thresholds'!$E:$AR,14,FALSE),IF((AND($U$4=TRUE,$U$5=FALSE,$U$6=TRUE,$U$7=TRUE)),VLOOKUP($E345,'Status Thresholds'!$E:$AR,19,FALSE),IF((AND($U$4=TRUE,$U$5=FALSE,$U$6=FALSE,$U$7=TRUE)),VLOOKUP($E345,'Status Thresholds'!$E:$AR,9,FALSE),
IF((AND($U$4=FALSE,$U$5=TRUE,$U$6=FALSE,$U$7=FALSE)),VLOOKUP($E345,'Status Thresholds'!$E:$AR,24,FALSE),IF((AND($U$4=FALSE,$U$5=TRUE,$U$6=TRUE,$U$7=FALSE)),VLOOKUP($E345,'Status Thresholds'!$E:$AR,34,FALSE),IF((AND($U$4=FALSE,$U$5=TRUE,$U$6=TRUE,$U$7=TRUE)),VLOOKUP($E345,'Status Thresholds'!$E:$AR,39,FALSE),IF((AND($U$4=FALSE,$U$5=TRUE,$U$6=FALSE,$U$7=TRUE)),VLOOKUP($E345,'Status Thresholds'!$E:$AR,29,FALSE)))))))))
))/
IF(OR($X$5=TRUE,$AC$3=TRUE
),($F$5/2), IF(OR($X$2,$X$3,$X$4,$X$6,$X$7,$X$8,$Z$2,$Z$3,$Z$4,$Z$5,$Z$6,$Z$7,$Z$8)=TRUE,$F$5)),0),"-")</f>
        <v>-</v>
      </c>
      <c r="I345" s="36" t="str">
        <f>IFERROR(
ROUNDUP(
IF(AND($U$5=FALSE,$U$4=FALSE),"-",IF(AND($U$5=TRUE,$U$4=TRUE),"-",
IF((AND($U$4=TRUE,$U$5=FALSE,$U$6=FALSE,$U$7=FALSE)),VLOOKUP($E345,'Status Thresholds'!$E:$AR,5,FALSE),IF((AND($U$4=TRUE,$U$5=FALSE,$U$6=TRUE,$U$7=FALSE)),VLOOKUP($E345,'Status Thresholds'!$E:$AR,15,FALSE),IF((AND($U$4=TRUE,$U$5=FALSE,$U$6=TRUE,$U$7=TRUE)),VLOOKUP($E345,'Status Thresholds'!$E:$AR,20,FALSE),IF((AND($U$4=TRUE,$U$5=FALSE,$U$6=FALSE,$U$7=TRUE)),VLOOKUP($E345,'Status Thresholds'!$E:$AR,10,FALSE),
IF((AND($U$4=FALSE,$U$5=TRUE,$U$6=FALSE,$U$7=FALSE)),VLOOKUP($E345,'Status Thresholds'!$E:$AR,25,FALSE),IF((AND($U$4=FALSE,$U$5=TRUE,$U$6=TRUE,$U$7=FALSE)),VLOOKUP($E345,'Status Thresholds'!$E:$AR,35,FALSE),IF((AND($U$4=FALSE,$U$5=TRUE,$U$6=TRUE,$U$7=TRUE)),VLOOKUP($E345,'Status Thresholds'!$E:$AR,40,FALSE),IF((AND($U$4=FALSE,$U$5=TRUE,$U$6=FALSE,$U$7=TRUE)),VLOOKUP($E345,'Status Thresholds'!$E:$AR,30,FALSE)))))))))
))/
IF(OR($X$5=TRUE,$AC$3=TRUE
),($F$5/2), IF(OR($X$2,$X$3,$X$4,$X$6,$X$7,$X$8,$Z$2,$Z$3,$Z$4,$Z$5,$Z$6,$Z$7,$Z$8)=TRUE,$F$5)),0),"-")</f>
        <v>-</v>
      </c>
      <c r="J345" s="46">
        <f>IFERROR(IF(AND($U$5=FALSE,$U$4=FALSE),"-",VLOOKUP($E345,'Status Thresholds'!$E:$AU,41,FALSE)),"-")</f>
        <v>60</v>
      </c>
      <c r="K345" s="46" t="str">
        <f>IFERROR(IF(AND($U$5=FALSE,$U$4=FALSE),"-",VLOOKUP($E345,'Status Thresholds'!$E:$AU,42,FALSE)),"-")</f>
        <v>-</v>
      </c>
      <c r="L345" s="46" t="str">
        <f>IFERROR(IF(AND($U$5=FALSE,$U$4=FALSE),"-",VLOOKUP($E345,'Status Thresholds'!$E:$AU,43,FALSE)),"-")</f>
        <v>-</v>
      </c>
    </row>
    <row r="346" spans="1:12" x14ac:dyDescent="0.25">
      <c r="A346" s="35"/>
      <c r="B346" s="64" t="str">
        <f>VLOOKUP(C346,'Status Thresholds'!B:C,2,FALSE)</f>
        <v>MHGen</v>
      </c>
      <c r="C346" s="64" t="str">
        <f>IF('Status Thresholds'!B341=0, "", 'Status Thresholds'!B341)</f>
        <v>Gore Magala</v>
      </c>
      <c r="D346" s="10" t="s">
        <v>22</v>
      </c>
      <c r="E346" s="36" t="str">
        <f t="shared" si="4"/>
        <v>Gore MagalaExhaust</v>
      </c>
      <c r="F346" s="36" t="str">
        <f>IFERROR(
ROUNDUP(
IF(AND($U$5=FALSE,$U$4=FALSE),"-",IF(AND($U$5=TRUE,$U$4=TRUE),"-",
IF((AND($U$4=TRUE,$U$5=FALSE,$U$6=FALSE,$U$7=FALSE)),VLOOKUP($E346,'Status Thresholds'!$E:$AR,2,FALSE),IF((AND($U$4=TRUE,$U$5=FALSE,$U$6=TRUE,$U$7=FALSE)),VLOOKUP($E346,'Status Thresholds'!$E:$AR,12,FALSE),IF((AND($U$4=TRUE,$U$5=FALSE,$U$6=TRUE,$U$7=TRUE)),VLOOKUP($E346,'Status Thresholds'!$E:$AR,17,FALSE),IF((AND($U$4=TRUE,$U$5=FALSE,$U$6=FALSE,$U$7=TRUE)),VLOOKUP($E346,'Status Thresholds'!$E:$AR,7,FALSE),
IF((AND($U$4=FALSE,$U$5=TRUE,$U$6=FALSE,$U$7=FALSE)),VLOOKUP($E346,'Status Thresholds'!$E:$AR,22,FALSE),IF((AND($U$4=FALSE,$U$5=TRUE,$U$6=TRUE,$U$7=FALSE)),VLOOKUP($E346,'Status Thresholds'!$E:$AR,32,FALSE),IF((AND($U$4=FALSE,$U$5=TRUE,$U$6=TRUE,$U$7=TRUE)),VLOOKUP($E346,'Status Thresholds'!$E:$AR,37,FALSE),IF((AND($U$4=FALSE,$U$5=TRUE,$U$6=FALSE,$U$7=TRUE)),VLOOKUP($E346,'Status Thresholds'!$E:$AR,27,FALSE)))))))))
))/
IF(OR($X$5=TRUE,$AC$3=TRUE
),($F$6/2), IF(OR($X$2,$X$3,$X$4,$X$6,$X$7,$X$8,$Z$2,$Z$3,$Z$4,$Z$5,$Z$6,$Z$7,$Z$8)=TRUE,$F$6)),0),"-")</f>
        <v>-</v>
      </c>
      <c r="G346" s="36" t="str">
        <f>IFERROR(
ROUNDUP(
IF(AND($U$5=FALSE,$U$4=FALSE),"-",IF(AND($U$5=TRUE,$U$4=TRUE),"-",
IF((AND($U$4=TRUE,$U$5=FALSE,$U$6=FALSE,$U$7=FALSE)),VLOOKUP($E346,'Status Thresholds'!$E:$AR,3,FALSE),IF((AND($U$4=TRUE,$U$5=FALSE,$U$6=TRUE,$U$7=FALSE)),VLOOKUP($E346,'Status Thresholds'!$E:$AR,13,FALSE),IF((AND($U$4=TRUE,$U$5=FALSE,$U$6=TRUE,$U$7=TRUE)),VLOOKUP($E346,'Status Thresholds'!$E:$AR,18,FALSE),IF((AND($U$4=TRUE,$U$5=FALSE,$U$6=FALSE,$U$7=TRUE)),VLOOKUP($E346,'Status Thresholds'!$E:$AR,8,FALSE),
IF((AND($U$4=FALSE,$U$5=TRUE,$U$6=FALSE,$U$7=FALSE)),VLOOKUP($E346,'Status Thresholds'!$E:$AR,23,FALSE),IF((AND($U$4=FALSE,$U$5=TRUE,$U$6=TRUE,$U$7=FALSE)),VLOOKUP($E346,'Status Thresholds'!$E:$AR,33,FALSE),IF((AND($U$4=FALSE,$U$5=TRUE,$U$6=TRUE,$U$7=TRUE)),VLOOKUP($E346,'Status Thresholds'!$E:$AR,38,FALSE),IF((AND($U$4=FALSE,$U$5=TRUE,$U$6=FALSE,$U$7=TRUE)),VLOOKUP($E346,'Status Thresholds'!$E:$AR,28,FALSE)))))))))
))/
IF(OR($X$5=TRUE,$AC$3=TRUE
),($F$6/2), IF(OR($X$2,$X$3,$X$4,$X$6,$X$7,$X$8,$Z$2,$Z$3,$Z$4,$Z$5,$Z$6,$Z$7,$Z$8)=TRUE,$F$6)),0),"-")</f>
        <v>-</v>
      </c>
      <c r="H346" s="36" t="str">
        <f>IFERROR(
ROUNDUP(
IF(AND($U$5=FALSE,$U$4=FALSE),"-",IF(AND($U$5=TRUE,$U$4=TRUE),"-",
IF((AND($U$4=TRUE,$U$5=FALSE,$U$6=FALSE,$U$7=FALSE)),VLOOKUP($E346,'Status Thresholds'!$E:$AR,4,FALSE),IF((AND($U$4=TRUE,$U$5=FALSE,$U$6=TRUE,$U$7=FALSE)),VLOOKUP($E346,'Status Thresholds'!$E:$AR,14,FALSE),IF((AND($U$4=TRUE,$U$5=FALSE,$U$6=TRUE,$U$7=TRUE)),VLOOKUP($E346,'Status Thresholds'!$E:$AR,19,FALSE),IF((AND($U$4=TRUE,$U$5=FALSE,$U$6=FALSE,$U$7=TRUE)),VLOOKUP($E346,'Status Thresholds'!$E:$AR,9,FALSE),
IF((AND($U$4=FALSE,$U$5=TRUE,$U$6=FALSE,$U$7=FALSE)),VLOOKUP($E346,'Status Thresholds'!$E:$AR,24,FALSE),IF((AND($U$4=FALSE,$U$5=TRUE,$U$6=TRUE,$U$7=FALSE)),VLOOKUP($E346,'Status Thresholds'!$E:$AR,34,FALSE),IF((AND($U$4=FALSE,$U$5=TRUE,$U$6=TRUE,$U$7=TRUE)),VLOOKUP($E346,'Status Thresholds'!$E:$AR,39,FALSE),IF((AND($U$4=FALSE,$U$5=TRUE,$U$6=FALSE,$U$7=TRUE)),VLOOKUP($E346,'Status Thresholds'!$E:$AR,29,FALSE)))))))))
))/
IF(OR($X$5=TRUE,$AC$3=TRUE
),($F$6/2), IF(OR($X$2,$X$3,$X$4,$X$6,$X$7,$X$8,$Z$2,$Z$3,$Z$4,$Z$5,$Z$6,$Z$7,$Z$8)=TRUE,$F$6)),0),"-")</f>
        <v>-</v>
      </c>
      <c r="I346" s="36" t="str">
        <f>IFERROR(
ROUNDUP(
IF(AND($U$5=FALSE,$U$4=FALSE),"-",IF(AND($U$5=TRUE,$U$4=TRUE),"-",
IF((AND($U$4=TRUE,$U$5=FALSE,$U$6=FALSE,$U$7=FALSE)),VLOOKUP($E346,'Status Thresholds'!$E:$AR,5,FALSE),IF((AND($U$4=TRUE,$U$5=FALSE,$U$6=TRUE,$U$7=FALSE)),VLOOKUP($E346,'Status Thresholds'!$E:$AR,15,FALSE),IF((AND($U$4=TRUE,$U$5=FALSE,$U$6=TRUE,$U$7=TRUE)),VLOOKUP($E346,'Status Thresholds'!$E:$AR,20,FALSE),IF((AND($U$4=TRUE,$U$5=FALSE,$U$6=FALSE,$U$7=TRUE)),VLOOKUP($E346,'Status Thresholds'!$E:$AR,10,FALSE),
IF((AND($U$4=FALSE,$U$5=TRUE,$U$6=FALSE,$U$7=FALSE)),VLOOKUP($E346,'Status Thresholds'!$E:$AR,25,FALSE),IF((AND($U$4=FALSE,$U$5=TRUE,$U$6=TRUE,$U$7=FALSE)),VLOOKUP($E346,'Status Thresholds'!$E:$AR,35,FALSE),IF((AND($U$4=FALSE,$U$5=TRUE,$U$6=TRUE,$U$7=TRUE)),VLOOKUP($E346,'Status Thresholds'!$E:$AR,40,FALSE),IF((AND($U$4=FALSE,$U$5=TRUE,$U$6=FALSE,$U$7=TRUE)),VLOOKUP($E346,'Status Thresholds'!$E:$AR,30,FALSE)))))))))
))/
IF(OR($X$5=TRUE,$AC$3=TRUE
),($F$6/2), IF(OR($X$2,$X$3,$X$4,$X$6,$X$7,$X$8,$Z$2,$Z$3,$Z$4,$Z$5,$Z$6,$Z$7,$Z$8)=TRUE,$F$6)),0),"-")</f>
        <v>-</v>
      </c>
      <c r="J346" s="46">
        <f>IFERROR(IF(AND($U$5=FALSE,$U$4=FALSE),"-",VLOOKUP($E346,'Status Thresholds'!$E:$AU,41,FALSE)),"-")</f>
        <v>0</v>
      </c>
      <c r="K346" s="46" t="str">
        <f>IFERROR(IF(AND($U$5=FALSE,$U$4=FALSE),"-",VLOOKUP($E346,'Status Thresholds'!$E:$AU,42,FALSE)),"-")</f>
        <v>-</v>
      </c>
      <c r="L346" s="46" t="str">
        <f>IFERROR(IF(AND($U$5=FALSE,$U$4=FALSE),"-",VLOOKUP($E346,'Status Thresholds'!$E:$AU,43,FALSE)),"-")</f>
        <v>-</v>
      </c>
    </row>
    <row r="347" spans="1:12" x14ac:dyDescent="0.25">
      <c r="A347" s="35"/>
      <c r="B347" s="64" t="str">
        <f>VLOOKUP(C347,'Status Thresholds'!B:C,2,FALSE)</f>
        <v>MHGen</v>
      </c>
      <c r="C347" s="64" t="str">
        <f>IF('Status Thresholds'!B342=0, "", 'Status Thresholds'!B342)</f>
        <v>Gore Magala</v>
      </c>
      <c r="D347" s="30" t="s">
        <v>35</v>
      </c>
      <c r="E347" s="36" t="str">
        <f t="shared" si="4"/>
        <v>Gore MagalaBlast</v>
      </c>
      <c r="F347" s="36" t="str">
        <f>IFERROR(
ROUNDUP(
IF(AND($U$5=FALSE,$U$4=FALSE),"-",IF(AND($U$5=TRUE,$U$4=TRUE),"-",
IF((AND($U$4=TRUE,$U$5=FALSE,$U$6=FALSE,$U$7=FALSE)),VLOOKUP($E347,'Status Thresholds'!$E:$AR,2,FALSE),IF((AND($U$4=TRUE,$U$5=FALSE,$U$6=TRUE,$U$7=FALSE)),VLOOKUP($E347,'Status Thresholds'!$E:$AR,12,FALSE),IF((AND($U$4=TRUE,$U$5=FALSE,$U$6=TRUE,$U$7=TRUE)),VLOOKUP($E347,'Status Thresholds'!$E:$AR,17,FALSE),IF((AND($U$4=TRUE,$U$5=FALSE,$U$6=FALSE,$U$7=TRUE)),VLOOKUP($E347,'Status Thresholds'!$E:$AR,7,FALSE),
IF((AND($U$4=FALSE,$U$5=TRUE,$U$6=FALSE,$U$7=FALSE)),VLOOKUP($E347,'Status Thresholds'!$E:$AR,22,FALSE),IF((AND($U$4=FALSE,$U$5=TRUE,$U$6=TRUE,$U$7=FALSE)),VLOOKUP($E347,'Status Thresholds'!$E:$AR,32,FALSE),IF((AND($U$4=FALSE,$U$5=TRUE,$U$6=TRUE,$U$7=TRUE)),VLOOKUP($E347,'Status Thresholds'!$E:$AR,37,FALSE),IF((AND($U$4=FALSE,$U$5=TRUE,$U$6=FALSE,$U$7=TRUE)),VLOOKUP($E347,'Status Thresholds'!$E:$AR,27,FALSE)))))))))
))/
IF(OR($X$5=TRUE,$AC$3=TRUE
),($F$7/2), IF(OR($X$2,$X$3,$X$4,$X$6,$X$7,$X$8,$Z$2,$Z$3,$Z$4,$Z$5,$Z$6,$Z$7,$Z$8)=TRUE,$F$7)),0),"-")</f>
        <v>-</v>
      </c>
      <c r="G347" s="36" t="str">
        <f>IFERROR(
ROUNDUP(
IF(AND($U$5=FALSE,$U$4=FALSE),"-",IF(AND($U$5=TRUE,$U$4=TRUE),"-",
IF((AND($U$4=TRUE,$U$5=FALSE,$U$6=FALSE,$U$7=FALSE)),VLOOKUP($E347,'Status Thresholds'!$E:$AR,3,FALSE),IF((AND($U$4=TRUE,$U$5=FALSE,$U$6=TRUE,$U$7=FALSE)),VLOOKUP($E347,'Status Thresholds'!$E:$AR,13,FALSE),IF((AND($U$4=TRUE,$U$5=FALSE,$U$6=TRUE,$U$7=TRUE)),VLOOKUP($E347,'Status Thresholds'!$E:$AR,18,FALSE),IF((AND($U$4=TRUE,$U$5=FALSE,$U$6=FALSE,$U$7=TRUE)),VLOOKUP($E347,'Status Thresholds'!$E:$AR,8,FALSE),
IF((AND($U$4=FALSE,$U$5=TRUE,$U$6=FALSE,$U$7=FALSE)),VLOOKUP($E347,'Status Thresholds'!$E:$AR,23,FALSE),IF((AND($U$4=FALSE,$U$5=TRUE,$U$6=TRUE,$U$7=FALSE)),VLOOKUP($E347,'Status Thresholds'!$E:$AR,33,FALSE),IF((AND($U$4=FALSE,$U$5=TRUE,$U$6=TRUE,$U$7=TRUE)),VLOOKUP($E347,'Status Thresholds'!$E:$AR,38,FALSE),IF((AND($U$4=FALSE,$U$5=TRUE,$U$6=FALSE,$U$7=TRUE)),VLOOKUP($E347,'Status Thresholds'!$E:$AR,28,FALSE)))))))))
))/
IF(OR($X$5=TRUE,$AC$3=TRUE
),($F$7/2), IF(OR($X$2,$X$3,$X$4,$X$6,$X$7,$X$8,$Z$2,$Z$3,$Z$4,$Z$5,$Z$6,$Z$7,$Z$8)=TRUE,$F$7)),0),"-")</f>
        <v>-</v>
      </c>
      <c r="H347" s="36" t="str">
        <f>IFERROR(
ROUNDUP(
IF(AND($U$5=FALSE,$U$4=FALSE),"-",IF(AND($U$5=TRUE,$U$4=TRUE),"-",
IF((AND($U$4=TRUE,$U$5=FALSE,$U$6=FALSE,$U$7=FALSE)),VLOOKUP($E347,'Status Thresholds'!$E:$AR,4,FALSE),IF((AND($U$4=TRUE,$U$5=FALSE,$U$6=TRUE,$U$7=FALSE)),VLOOKUP($E347,'Status Thresholds'!$E:$AR,14,FALSE),IF((AND($U$4=TRUE,$U$5=FALSE,$U$6=TRUE,$U$7=TRUE)),VLOOKUP($E347,'Status Thresholds'!$E:$AR,19,FALSE),IF((AND($U$4=TRUE,$U$5=FALSE,$U$6=FALSE,$U$7=TRUE)),VLOOKUP($E347,'Status Thresholds'!$E:$AR,9,FALSE),
IF((AND($U$4=FALSE,$U$5=TRUE,$U$6=FALSE,$U$7=FALSE)),VLOOKUP($E347,'Status Thresholds'!$E:$AR,24,FALSE),IF((AND($U$4=FALSE,$U$5=TRUE,$U$6=TRUE,$U$7=FALSE)),VLOOKUP($E347,'Status Thresholds'!$E:$AR,34,FALSE),IF((AND($U$4=FALSE,$U$5=TRUE,$U$6=TRUE,$U$7=TRUE)),VLOOKUP($E347,'Status Thresholds'!$E:$AR,39,FALSE),IF((AND($U$4=FALSE,$U$5=TRUE,$U$6=FALSE,$U$7=TRUE)),VLOOKUP($E347,'Status Thresholds'!$E:$AR,29,FALSE)))))))))
))/
IF(OR($X$5=TRUE,$AC$3=TRUE
),($F$7/2), IF(OR($X$2,$X$3,$X$4,$X$6,$X$7,$X$8,$Z$2,$Z$3,$Z$4,$Z$5,$Z$6,$Z$7,$Z$8)=TRUE,$F$7)),0),"-")</f>
        <v>-</v>
      </c>
      <c r="I347" s="36" t="str">
        <f>IFERROR(
ROUNDUP(
IF(AND($U$5=FALSE,$U$4=FALSE),"-",IF(AND($U$5=TRUE,$U$4=TRUE),"-",
IF((AND($U$4=TRUE,$U$5=FALSE,$U$6=FALSE,$U$7=FALSE)),VLOOKUP($E347,'Status Thresholds'!$E:$AR,5,FALSE),IF((AND($U$4=TRUE,$U$5=FALSE,$U$6=TRUE,$U$7=FALSE)),VLOOKUP($E347,'Status Thresholds'!$E:$AR,15,FALSE),IF((AND($U$4=TRUE,$U$5=FALSE,$U$6=TRUE,$U$7=TRUE)),VLOOKUP($E347,'Status Thresholds'!$E:$AR,20,FALSE),IF((AND($U$4=TRUE,$U$5=FALSE,$U$6=FALSE,$U$7=TRUE)),VLOOKUP($E347,'Status Thresholds'!$E:$AR,10,FALSE),
IF((AND($U$4=FALSE,$U$5=TRUE,$U$6=FALSE,$U$7=FALSE)),VLOOKUP($E347,'Status Thresholds'!$E:$AR,25,FALSE),IF((AND($U$4=FALSE,$U$5=TRUE,$U$6=TRUE,$U$7=FALSE)),VLOOKUP($E347,'Status Thresholds'!$E:$AR,35,FALSE),IF((AND($U$4=FALSE,$U$5=TRUE,$U$6=TRUE,$U$7=TRUE)),VLOOKUP($E347,'Status Thresholds'!$E:$AR,40,FALSE),IF((AND($U$4=FALSE,$U$5=TRUE,$U$6=FALSE,$U$7=TRUE)),VLOOKUP($E347,'Status Thresholds'!$E:$AR,30,FALSE)))))))))
))/
IF(OR($X$5=TRUE,$AC$3=TRUE
),($F$7/2), IF(OR($X$2,$X$3,$X$4,$X$6,$X$7,$X$8,$Z$2,$Z$3,$Z$4,$Z$5,$Z$6,$Z$7,$Z$8)=TRUE,$F$7)),0),"-")</f>
        <v>-</v>
      </c>
      <c r="J347" s="46">
        <f>IFERROR(IF(AND($U$5=FALSE,$U$4=FALSE),"-",VLOOKUP($E347,'Status Thresholds'!$E:$AU,41,FALSE)),"-")</f>
        <v>0</v>
      </c>
      <c r="K347" s="46" t="str">
        <f>IFERROR(IF(AND($U$5=FALSE,$U$4=FALSE),"-",VLOOKUP($E347,'Status Thresholds'!$E:$AU,42,FALSE)),"-")</f>
        <v>-</v>
      </c>
      <c r="L347" s="46" t="str">
        <f>IFERROR(IF(AND($U$5=FALSE,$U$4=FALSE),"-",VLOOKUP($E347,'Status Thresholds'!$E:$AU,43,FALSE)),"-")</f>
        <v>-</v>
      </c>
    </row>
    <row r="348" spans="1:12" ht="14.45" customHeight="1" x14ac:dyDescent="0.25">
      <c r="A348" s="35"/>
      <c r="B348" s="64" t="str">
        <f>VLOOKUP(C348,'Status Thresholds'!B:C,2,FALSE)</f>
        <v>MHGen</v>
      </c>
      <c r="C348" s="64" t="str">
        <f>IF('Status Thresholds'!B343=0, "", 'Status Thresholds'!B343)</f>
        <v>Gore Magala</v>
      </c>
      <c r="D348" s="34" t="s">
        <v>14</v>
      </c>
      <c r="E348" s="36" t="str">
        <f t="shared" ref="E348:E411" si="5">$C348&amp;$D348</f>
        <v>Gore MagalaKO</v>
      </c>
      <c r="F348" s="36" t="s">
        <v>214</v>
      </c>
      <c r="G348" s="36" t="s">
        <v>214</v>
      </c>
      <c r="H348" s="36" t="s">
        <v>214</v>
      </c>
      <c r="I348" s="36" t="s">
        <v>214</v>
      </c>
      <c r="J348" s="46">
        <f>IFERROR(IF(AND($U$5=FALSE,$U$4=FALSE),"-",VLOOKUP($E348,'Status Thresholds'!$E:$AU,41,FALSE)),"-")</f>
        <v>10</v>
      </c>
      <c r="K348" s="46" t="str">
        <f>IFERROR(IF(AND($U$5=FALSE,$U$4=FALSE),"-",VLOOKUP($E348,'Status Thresholds'!$E:$AU,42,FALSE)),"-")</f>
        <v>-</v>
      </c>
      <c r="L348" s="46" t="str">
        <f>IFERROR(IF(AND($U$5=FALSE,$U$4=FALSE),"-",VLOOKUP($E348,'Status Thresholds'!$E:$AU,43,FALSE)),"-")</f>
        <v>-</v>
      </c>
    </row>
    <row r="349" spans="1:12" x14ac:dyDescent="0.25">
      <c r="A349" s="35"/>
      <c r="B349" s="64" t="str">
        <f>VLOOKUP(C349,'Status Thresholds'!B:C,2,FALSE)</f>
        <v>MHGen</v>
      </c>
      <c r="C349" s="64" t="str">
        <f>IF('Status Thresholds'!B344=0, "", 'Status Thresholds'!B344)</f>
        <v>Gore Magala</v>
      </c>
      <c r="D349" s="33" t="s">
        <v>34</v>
      </c>
      <c r="E349" s="36" t="str">
        <f t="shared" si="5"/>
        <v>Gore MagalaMount</v>
      </c>
      <c r="F349" s="36" t="str">
        <f>IFERROR(
ROUNDUP(
IF(AND($U$5=FALSE,$U$4=FALSE),"-",IF(AND($U$5=TRUE,$U$4=TRUE),"-",
IF((AND($U$4=TRUE,$U$5=FALSE,$U$6=FALSE,$U$7=FALSE)),VLOOKUP($E349,'Status Thresholds'!$E:$AR,2,FALSE),IF((AND($U$4=TRUE,$U$5=FALSE,$U$6=TRUE,$U$7=FALSE)),VLOOKUP($E349,'Status Thresholds'!$E:$AR,12,FALSE),IF((AND($U$4=TRUE,$U$5=FALSE,$U$6=TRUE,$U$7=TRUE)),VLOOKUP($E349,'Status Thresholds'!$E:$AR,17,FALSE),IF((AND($U$4=TRUE,$U$5=FALSE,$U$6=FALSE,$U$7=TRUE)),VLOOKUP($E349,'Status Thresholds'!$E:$AR,7,FALSE),
IF((AND($U$4=FALSE,$U$5=TRUE,$U$6=FALSE,$U$7=FALSE)),VLOOKUP($E349,'Status Thresholds'!$E:$AR,22,FALSE),IF((AND($U$4=FALSE,$U$5=TRUE,$U$6=TRUE,$U$7=FALSE)),VLOOKUP($E349,'Status Thresholds'!$E:$AR,32,FALSE),IF((AND($U$4=FALSE,$U$5=TRUE,$U$6=TRUE,$U$7=TRUE)),VLOOKUP($E349,'Status Thresholds'!$E:$AR,37,FALSE),IF((AND($U$4=FALSE,$U$5=TRUE,$U$6=FALSE,$U$7=TRUE)),VLOOKUP($E349,'Status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349" s="36" t="str">
        <f>IFERROR(
ROUNDUP(
IF(AND($U$5=FALSE,$U$4=FALSE),"-",IF(AND($U$5=TRUE,$U$4=TRUE),"-",
IF((AND($U$4=TRUE,$U$5=FALSE,$U$6=FALSE,$U$7=FALSE)),VLOOKUP($E348,'Status Thresholds'!$E:$AR,3,FALSE),IF((AND($U$4=TRUE,$U$5=FALSE,$U$6=TRUE,$U$7=FALSE)),VLOOKUP($E348,'Status Thresholds'!$E:$AR,13,FALSE),IF((AND($U$4=TRUE,$U$5=FALSE,$U$6=TRUE,$U$7=TRUE)),VLOOKUP($E348,'Status Thresholds'!$E:$AR,18,FALSE),IF((AND($U$4=TRUE,$U$5=FALSE,$U$6=FALSE,$U$7=TRUE)),VLOOKUP($E348,'Status Thresholds'!$E:$AR,8,FALSE),
IF((AND($U$4=FALSE,$U$5=TRUE,$U$6=FALSE,$U$7=FALSE)),VLOOKUP($E348,'Status Thresholds'!$E:$AR,23,FALSE),IF((AND($U$4=FALSE,$U$5=TRUE,$U$6=TRUE,$U$7=FALSE)),VLOOKUP($E348,'Status Thresholds'!$E:$AR,33,FALSE),IF((AND($U$4=FALSE,$U$5=TRUE,$U$6=TRUE,$U$7=TRUE)),VLOOKUP($E348,'Status Thresholds'!$E:$AR,38,FALSE),IF((AND($U$4=FALSE,$U$5=TRUE,$U$6=FALSE,$U$7=TRUE)),VLOOKUP($E348,'Status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349" s="36" t="str">
        <f>IFERROR(
ROUNDUP(
IF(AND($U$5=FALSE,$U$4=FALSE),"-",IF(AND($U$5=TRUE,$U$4=TRUE),"-",
IF((AND($U$4=TRUE,$U$5=FALSE,$U$6=FALSE,$U$7=FALSE)),VLOOKUP($E348,'Status Thresholds'!$E:$AR,4,FALSE),IF((AND($U$4=TRUE,$U$5=FALSE,$U$6=TRUE,$U$7=FALSE)),VLOOKUP($E348,'Status Thresholds'!$E:$AR,14,FALSE),IF((AND($U$4=TRUE,$U$5=FALSE,$U$6=TRUE,$U$7=TRUE)),VLOOKUP($E348,'Status Thresholds'!$E:$AR,19,FALSE),IF((AND($U$4=TRUE,$U$5=FALSE,$U$6=FALSE,$U$7=TRUE)),VLOOKUP($E348,'Status Thresholds'!$E:$AR,9,FALSE),
IF((AND($U$4=FALSE,$U$5=TRUE,$U$6=FALSE,$U$7=FALSE)),VLOOKUP($E348,'Status Thresholds'!$E:$AR,24,FALSE),IF((AND($U$4=FALSE,$U$5=TRUE,$U$6=TRUE,$U$7=FALSE)),VLOOKUP($E348,'Status Thresholds'!$E:$AR,34,FALSE),IF((AND($U$4=FALSE,$U$5=TRUE,$U$6=TRUE,$U$7=TRUE)),VLOOKUP($E348,'Status Thresholds'!$E:$AR,39,FALSE),IF((AND($U$4=FALSE,$U$5=TRUE,$U$6=FALSE,$U$7=TRUE)),VLOOKUP($E348,'Status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349" s="36" t="str">
        <f>IFERROR(
ROUNDUP(
IF(AND($U$5=FALSE,$U$4=FALSE),"-",IF(AND($U$5=TRUE,$U$4=TRUE),"-",
IF((AND($U$4=TRUE,$U$5=FALSE,$U$6=FALSE,$U$7=FALSE)),VLOOKUP($E348,'Status Thresholds'!$E:$AR,5,FALSE),IF((AND($U$4=TRUE,$U$5=FALSE,$U$6=TRUE,$U$7=FALSE)),VLOOKUP($E348,'Status Thresholds'!$E:$AR,15,FALSE),IF((AND($U$4=TRUE,$U$5=FALSE,$U$6=TRUE,$U$7=TRUE)),VLOOKUP($E348,'Status Thresholds'!$E:$AR,20,FALSE),IF((AND($U$4=TRUE,$U$5=FALSE,$U$6=FALSE,$U$7=TRUE)),VLOOKUP($E348,'Status Thresholds'!$E:$AR,10,FALSE),
IF((AND($U$4=FALSE,$U$5=TRUE,$U$6=FALSE,$U$7=FALSE)),VLOOKUP($E348,'Status Thresholds'!$E:$AR,25,FALSE),IF((AND($U$4=FALSE,$U$5=TRUE,$U$6=TRUE,$U$7=FALSE)),VLOOKUP($E348,'Status Thresholds'!$E:$AR,35,FALSE),IF((AND($U$4=FALSE,$U$5=TRUE,$U$6=TRUE,$U$7=TRUE)),VLOOKUP($E348,'Status Thresholds'!$E:$AR,40,FALSE),IF((AND($U$4=FALSE,$U$5=TRUE,$U$6=FALSE,$U$7=TRUE)),VLOOKUP($E348,'Status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349" s="46">
        <f>IFERROR(IF(AND($U$5=FALSE,$U$4=FALSE),"-",VLOOKUP($E349,'Status Thresholds'!$E:$AU,41,FALSE)),"-")</f>
        <v>0</v>
      </c>
      <c r="K349" s="46" t="str">
        <f>IFERROR(IF(AND($U$5=FALSE,$U$4=FALSE),"-",VLOOKUP($E349,'Status Thresholds'!$E:$AU,42,FALSE)),"-")</f>
        <v>-</v>
      </c>
      <c r="L349" s="46" t="str">
        <f>IFERROR(IF(AND($U$5=FALSE,$U$4=FALSE),"-",VLOOKUP($E349,'Status Thresholds'!$E:$AU,43,FALSE)),"-")</f>
        <v>-</v>
      </c>
    </row>
    <row r="350" spans="1:12" ht="15" customHeight="1" x14ac:dyDescent="0.25">
      <c r="A350" s="35"/>
      <c r="B350" s="64" t="str">
        <f>VLOOKUP(C350,'Status Thresholds'!B:C,2,FALSE)</f>
        <v>MHGen</v>
      </c>
      <c r="C350" s="64" t="str">
        <f>IF('Status Thresholds'!B345=0, "", 'Status Thresholds'!B345)</f>
        <v>Gore Magala</v>
      </c>
      <c r="D350" s="77" t="s">
        <v>207</v>
      </c>
      <c r="E350" s="36" t="str">
        <f t="shared" si="5"/>
        <v>Gore MagalaShock Trap</v>
      </c>
      <c r="F350" s="76" t="s">
        <v>214</v>
      </c>
      <c r="G350" s="46" t="s">
        <v>214</v>
      </c>
      <c r="H350" s="46" t="s">
        <v>214</v>
      </c>
      <c r="I350" s="46" t="s">
        <v>214</v>
      </c>
      <c r="J350" s="46">
        <f>IFERROR(IF(AND($U$5=FALSE,$U$4=FALSE),"-",VLOOKUP($E350,'Status Thresholds'!$E:$AU,43,FALSE)),"-")</f>
        <v>8</v>
      </c>
      <c r="K350" s="46">
        <f>IFERROR(IF(AND($U$5=FALSE,$U$4=FALSE),"-",VLOOKUP($E350,'Status Thresholds'!$E:$AU,41,FALSE)),"-")</f>
        <v>8</v>
      </c>
      <c r="L350" s="46">
        <f>IFERROR(IF(AND($U$5=FALSE,$U$4=FALSE),"-",VLOOKUP($E350,'Status Thresholds'!$E:$AU,42,FALSE)),"-")</f>
        <v>15</v>
      </c>
    </row>
    <row r="351" spans="1:12" x14ac:dyDescent="0.25">
      <c r="A351" s="35"/>
      <c r="B351" s="64" t="str">
        <f>VLOOKUP(C351,'Status Thresholds'!B:C,2,FALSE)</f>
        <v>MHGen</v>
      </c>
      <c r="C351" s="64" t="str">
        <f>IF('Status Thresholds'!B346=0, "", 'Status Thresholds'!B346)</f>
        <v>Gore Magala</v>
      </c>
      <c r="D351" s="77" t="s">
        <v>213</v>
      </c>
      <c r="E351" s="36" t="str">
        <f t="shared" si="5"/>
        <v>Gore MagalaPitfall Trap</v>
      </c>
      <c r="F351" s="46" t="s">
        <v>214</v>
      </c>
      <c r="G351" s="46" t="s">
        <v>214</v>
      </c>
      <c r="H351" s="46" t="s">
        <v>214</v>
      </c>
      <c r="I351" s="46" t="s">
        <v>214</v>
      </c>
      <c r="J351" s="46">
        <f>IFERROR(IF(AND($U$5=FALSE,$U$4=FALSE),"-",VLOOKUP($E351,'Status Thresholds'!$E:$AU,43,FALSE)),"-")</f>
        <v>10</v>
      </c>
      <c r="K351" s="46">
        <f>IFERROR(IF(AND($U$5=FALSE,$U$4=FALSE),"-",VLOOKUP($E351,'Status Thresholds'!$E:$AU,41,FALSE)),"-")</f>
        <v>10</v>
      </c>
      <c r="L351" s="46">
        <f>IFERROR(IF(AND($U$5=FALSE,$U$4=FALSE),"-",VLOOKUP($E351,'Status Thresholds'!$E:$AU,42,FALSE)),"-")</f>
        <v>20</v>
      </c>
    </row>
    <row r="352" spans="1:12" s="36" customFormat="1" x14ac:dyDescent="0.25">
      <c r="A352" s="64"/>
      <c r="B352" s="64" t="str">
        <f>VLOOKUP(C352,'Status Thresholds'!B:C,2,FALSE)</f>
        <v>MHGU</v>
      </c>
      <c r="C352" s="64" t="str">
        <f>IF('Status Thresholds'!B347=0, "", 'Status Thresholds'!B347)</f>
        <v>Gore Magala (Chaotic)</v>
      </c>
      <c r="D352" s="37" t="s">
        <v>0</v>
      </c>
      <c r="E352" s="36" t="str">
        <f t="shared" si="5"/>
        <v>Gore Magala (Chaotic)Para</v>
      </c>
      <c r="F352" s="36" t="str">
        <f>IFERROR(
ROUNDUP(
IF(AND($U$5=FALSE,$U$4=FALSE),"-",IF(AND($U$5=TRUE,$U$4=TRUE),"-",
IF((AND($U$4=TRUE,$U$5=FALSE,$U$6=FALSE,$U$7=FALSE)),VLOOKUP($E352,'Status Thresholds'!$E:$AR,2,FALSE),IF((AND($U$4=TRUE,$U$5=FALSE,$U$6=TRUE,$U$7=FALSE)),VLOOKUP($E352,'Status Thresholds'!$E:$AR,12,FALSE),IF((AND($U$4=TRUE,$U$5=FALSE,$U$6=TRUE,$U$7=TRUE)),VLOOKUP($E352,'Status Thresholds'!$E:$AR,17,FALSE),IF((AND($U$4=TRUE,$U$5=FALSE,$U$6=FALSE,$U$7=TRUE)),VLOOKUP($E352,'Status Thresholds'!$E:$AR,7,FALSE),
IF((AND($U$4=FALSE,$U$5=TRUE,$U$6=FALSE,$U$7=FALSE)),VLOOKUP($E352,'Status Thresholds'!$E:$AR,22,FALSE),IF((AND($U$4=FALSE,$U$5=TRUE,$U$6=TRUE,$U$7=FALSE)),VLOOKUP($E352,'Status Thresholds'!$E:$AR,32,FALSE),IF((AND($U$4=FALSE,$U$5=TRUE,$U$6=TRUE,$U$7=TRUE)),VLOOKUP($E352,'Status Thresholds'!$E:$AR,37,FALSE),IF((AND($U$4=FALSE,$U$5=TRUE,$U$6=FALSE,$U$7=TRUE)),VLOOKUP($E352,'Status Thresholds'!$E:$AR,27,FALSE)))))))))
))/
IF(OR($X$5=TRUE,$AC$3=TRUE
),($F$3/2), IF(OR($X$2,$X$3,$X$4,$X$6,$X$7,$X$8,$Z$2,$Z$3,$Z$4,$Z$5,$Z$6,$Z$7,$Z$8)=TRUE,$F$3)),0),"-")</f>
        <v>-</v>
      </c>
      <c r="G352" s="36" t="str">
        <f>IFERROR(
ROUNDUP(
IF(AND($U$5=FALSE,$U$4=FALSE),"-",IF(AND($U$5=TRUE,$U$4=TRUE),"-",
IF((AND($U$4=TRUE,$U$5=FALSE,$U$6=FALSE,$U$7=FALSE)),VLOOKUP($E352,'Status Thresholds'!$E:$AR,3,FALSE),IF((AND($U$4=TRUE,$U$5=FALSE,$U$6=TRUE,$U$7=FALSE)),VLOOKUP($E352,'Status Thresholds'!$E:$AR,13,FALSE),IF((AND($U$4=TRUE,$U$5=FALSE,$U$6=TRUE,$U$7=TRUE)),VLOOKUP($E352,'Status Thresholds'!$E:$AR,18,FALSE),IF((AND($U$4=TRUE,$U$5=FALSE,$U$6=FALSE,$U$7=TRUE)),VLOOKUP($E352,'Status Thresholds'!$E:$AR,8,FALSE),
IF((AND($U$4=FALSE,$U$5=TRUE,$U$6=FALSE,$U$7=FALSE)),VLOOKUP($E352,'Status Thresholds'!$E:$AR,23,FALSE),IF((AND($U$4=FALSE,$U$5=TRUE,$U$6=TRUE,$U$7=FALSE)),VLOOKUP($E352,'Status Thresholds'!$E:$AR,33,FALSE),IF((AND($U$4=FALSE,$U$5=TRUE,$U$6=TRUE,$U$7=TRUE)),VLOOKUP($E352,'Status Thresholds'!$E:$AR,38,FALSE),IF((AND($U$4=FALSE,$U$5=TRUE,$U$6=FALSE,$U$7=TRUE)),VLOOKUP($E352,'Status Thresholds'!$E:$AR,28,FALSE)))))))))
))/
IF(OR($X$5=TRUE,$AC$3=TRUE
),($F$3/2), IF(OR($X$2,$X$3,$X$4,$X$6,$X$7,$X$8,$Z$2,$Z$3,$Z$4,$Z$5,$Z$6,$Z$7,$Z$8)=TRUE,$F$3)),0),"-")</f>
        <v>-</v>
      </c>
      <c r="H352" s="36" t="str">
        <f>IFERROR(
ROUNDUP(
IF(AND($U$5=FALSE,$U$4=FALSE),"-",IF(AND($U$5=TRUE,$U$4=TRUE),"-",
IF((AND($U$4=TRUE,$U$5=FALSE,$U$6=FALSE,$U$7=FALSE)),VLOOKUP($E352,'Status Thresholds'!$E:$AR,4,FALSE),IF((AND($U$4=TRUE,$U$5=FALSE,$U$6=TRUE,$U$7=FALSE)),VLOOKUP($E352,'Status Thresholds'!$E:$AR,14,FALSE),IF((AND($U$4=TRUE,$U$5=FALSE,$U$6=TRUE,$U$7=TRUE)),VLOOKUP($E352,'Status Thresholds'!$E:$AR,19,FALSE),IF((AND($U$4=TRUE,$U$5=FALSE,$U$6=FALSE,$U$7=TRUE)),VLOOKUP($E352,'Status Thresholds'!$E:$AR,9,FALSE),
IF((AND($U$4=FALSE,$U$5=TRUE,$U$6=FALSE,$U$7=FALSE)),VLOOKUP($E352,'Status Thresholds'!$E:$AR,24,FALSE),IF((AND($U$4=FALSE,$U$5=TRUE,$U$6=TRUE,$U$7=FALSE)),VLOOKUP($E352,'Status Thresholds'!$E:$AR,34,FALSE),IF((AND($U$4=FALSE,$U$5=TRUE,$U$6=TRUE,$U$7=TRUE)),VLOOKUP($E352,'Status Thresholds'!$E:$AR,39,FALSE),IF((AND($U$4=FALSE,$U$5=TRUE,$U$6=FALSE,$U$7=TRUE)),VLOOKUP($E352,'Status Thresholds'!$E:$AR,29,FALSE)))))))))
))/
IF(OR($X$5=TRUE,$AC$3=TRUE
),($F$3/2), IF(OR($X$2,$X$3,$X$4,$X$6,$X$7,$X$8,$Z$2,$Z$3,$Z$4,$Z$5,$Z$6,$Z$7,$Z$8)=TRUE,$F$3)),0),"-")</f>
        <v>-</v>
      </c>
      <c r="I352" s="36" t="str">
        <f>IFERROR(
ROUNDUP(
IF(AND($U$5=FALSE,$U$4=FALSE),"-",IF(AND($U$5=TRUE,$U$4=TRUE),"-",
IF((AND($U$4=TRUE,$U$5=FALSE,$U$6=FALSE,$U$7=FALSE)),VLOOKUP($E352,'Status Thresholds'!$E:$AR,5,FALSE),IF((AND($U$4=TRUE,$U$5=FALSE,$U$6=TRUE,$U$7=FALSE)),VLOOKUP($E352,'Status Thresholds'!$E:$AR,15,FALSE),IF((AND($U$4=TRUE,$U$5=FALSE,$U$6=TRUE,$U$7=TRUE)),VLOOKUP($E352,'Status Thresholds'!$E:$AR,20,FALSE),IF((AND($U$4=TRUE,$U$5=FALSE,$U$6=FALSE,$U$7=TRUE)),VLOOKUP($E352,'Status Thresholds'!$E:$AR,10,FALSE),
IF((AND($U$4=FALSE,$U$5=TRUE,$U$6=FALSE,$U$7=FALSE)),VLOOKUP($E352,'Status Thresholds'!$E:$AR,25,FALSE),IF((AND($U$4=FALSE,$U$5=TRUE,$U$6=TRUE,$U$7=FALSE)),VLOOKUP($E352,'Status Thresholds'!$E:$AR,35,FALSE),IF((AND($U$4=FALSE,$U$5=TRUE,$U$6=TRUE,$U$7=TRUE)),VLOOKUP($E352,'Status Thresholds'!$E:$AR,40,FALSE),IF((AND($U$4=FALSE,$U$5=TRUE,$U$6=FALSE,$U$7=TRUE)),VLOOKUP($E352,'Status Thresholds'!$E:$AR,30,FALSE)))))))))
))/
IF(OR($X$5=TRUE,$AC$3=TRUE
),($F$3/2), IF(OR($X$2,$X$3,$X$4,$X$6,$X$7,$X$8,$Z$2,$Z$3,$Z$4,$Z$5,$Z$6,$Z$7,$Z$8)=TRUE,$F$3)),0),"-")</f>
        <v>-</v>
      </c>
      <c r="J352" s="36">
        <f>IFERROR(IF(AND($U$5=FALSE,$U$4=FALSE),"-",VLOOKUP($E352,'Status Thresholds'!$E:$AU,41,FALSE)),"-")</f>
        <v>10</v>
      </c>
      <c r="K352" s="36" t="str">
        <f>IFERROR(IF(AND($U$5=FALSE,$U$4=FALSE),"-",VLOOKUP($E352,'Status Thresholds'!$E:$AU,42,FALSE)),"-")</f>
        <v>-</v>
      </c>
      <c r="L352" s="36" t="str">
        <f>IFERROR(IF(AND($U$5=FALSE,$U$4=FALSE),"-",VLOOKUP($E352,'Status Thresholds'!$E:$AU,43,FALSE)),"-")</f>
        <v>-</v>
      </c>
    </row>
    <row r="353" spans="1:12" x14ac:dyDescent="0.25">
      <c r="A353" s="35"/>
      <c r="B353" s="64" t="str">
        <f>VLOOKUP(C353,'Status Thresholds'!B:C,2,FALSE)</f>
        <v>MHGU</v>
      </c>
      <c r="C353" s="64" t="str">
        <f>IF('Status Thresholds'!B348=0, "", 'Status Thresholds'!B348)</f>
        <v>Gore Magala (Chaotic)</v>
      </c>
      <c r="D353" s="31" t="s">
        <v>32</v>
      </c>
      <c r="E353" s="36" t="str">
        <f t="shared" si="5"/>
        <v>Gore Magala (Chaotic)Sleep</v>
      </c>
      <c r="F353" s="36" t="str">
        <f>IFERROR(
ROUNDUP(
IF(AND($U$5=FALSE,$U$4=FALSE),"-",IF(AND($U$5=TRUE,$U$4=TRUE),"-",
IF((AND($U$4=TRUE,$U$5=FALSE,$U$6=FALSE,$U$7=FALSE)),VLOOKUP($E353,'Status Thresholds'!$E:$AR,2,FALSE),IF((AND($U$4=TRUE,$U$5=FALSE,$U$6=TRUE,$U$7=FALSE)),VLOOKUP($E353,'Status Thresholds'!$E:$AR,12,FALSE),IF((AND($U$4=TRUE,$U$5=FALSE,$U$6=TRUE,$U$7=TRUE)),VLOOKUP($E353,'Status Thresholds'!$E:$AR,17,FALSE),IF((AND($U$4=TRUE,$U$5=FALSE,$U$6=FALSE,$U$7=TRUE)),VLOOKUP($E353,'Status Thresholds'!$E:$AR,7,FALSE),
IF((AND($U$4=FALSE,$U$5=TRUE,$U$6=FALSE,$U$7=FALSE)),VLOOKUP($E353,'Status Thresholds'!$E:$AR,22,FALSE),IF((AND($U$4=FALSE,$U$5=TRUE,$U$6=TRUE,$U$7=FALSE)),VLOOKUP($E353,'Status Thresholds'!$E:$AR,32,FALSE),IF((AND($U$4=FALSE,$U$5=TRUE,$U$6=TRUE,$U$7=TRUE)),VLOOKUP($E353,'Status Thresholds'!$E:$AR,37,FALSE),IF((AND($U$4=FALSE,$U$5=TRUE,$U$6=FALSE,$U$7=TRUE)),VLOOKUP($E353,'Status Thresholds'!$E:$AR,27,FALSE)))))))))
))/
IF(OR($X$5=TRUE,$AC$3=TRUE
),($F$4/2), IF(OR($X$2,$X$3,$X$4,$X$6,$X$7,$X$8,$Z$2,$Z$3,$Z$4,$Z$5,$Z$6,$Z$7,$Z$8)=TRUE,$F$4)),0),"-")</f>
        <v>-</v>
      </c>
      <c r="G353" s="36" t="str">
        <f>IFERROR(
ROUNDUP(
IF(AND($U$5=FALSE,$U$4=FALSE),"-",IF(AND($U$5=TRUE,$U$4=TRUE),"-",
IF((AND($U$4=TRUE,$U$5=FALSE,$U$6=FALSE,$U$7=FALSE)),VLOOKUP($E353,'Status Thresholds'!$E:$AR,3,FALSE),IF((AND($U$4=TRUE,$U$5=FALSE,$U$6=TRUE,$U$7=FALSE)),VLOOKUP($E353,'Status Thresholds'!$E:$AR,13,FALSE),IF((AND($U$4=TRUE,$U$5=FALSE,$U$6=TRUE,$U$7=TRUE)),VLOOKUP($E353,'Status Thresholds'!$E:$AR,18,FALSE),IF((AND($U$4=TRUE,$U$5=FALSE,$U$6=FALSE,$U$7=TRUE)),VLOOKUP($E353,'Status Thresholds'!$E:$AR,8,FALSE),
IF((AND($U$4=FALSE,$U$5=TRUE,$U$6=FALSE,$U$7=FALSE)),VLOOKUP($E353,'Status Thresholds'!$E:$AR,23,FALSE),IF((AND($U$4=FALSE,$U$5=TRUE,$U$6=TRUE,$U$7=FALSE)),VLOOKUP($E353,'Status Thresholds'!$E:$AR,33,FALSE),IF((AND($U$4=FALSE,$U$5=TRUE,$U$6=TRUE,$U$7=TRUE)),VLOOKUP($E353,'Status Thresholds'!$E:$AR,38,FALSE),IF((AND($U$4=FALSE,$U$5=TRUE,$U$6=FALSE,$U$7=TRUE)),VLOOKUP($E353,'Status Thresholds'!$E:$AR,28,FALSE)))))))))
))/
IF(OR($X$5=TRUE,$AC$3=TRUE
),($F$4/2), IF(OR($X$2,$X$3,$X$4,$X$6,$X$7,$X$8,$Z$2,$Z$3,$Z$4,$Z$5,$Z$6,$Z$7,$Z$8)=TRUE,$F$4)),0),"-")</f>
        <v>-</v>
      </c>
      <c r="H353" s="36" t="str">
        <f>IFERROR(
ROUNDUP(
IF(AND($U$5=FALSE,$U$4=FALSE),"-",IF(AND($U$5=TRUE,$U$4=TRUE),"-",
IF((AND($U$4=TRUE,$U$5=FALSE,$U$6=FALSE,$U$7=FALSE)),VLOOKUP($E353,'Status Thresholds'!$E:$AR,4,FALSE),IF((AND($U$4=TRUE,$U$5=FALSE,$U$6=TRUE,$U$7=FALSE)),VLOOKUP($E353,'Status Thresholds'!$E:$AR,14,FALSE),IF((AND($U$4=TRUE,$U$5=FALSE,$U$6=TRUE,$U$7=TRUE)),VLOOKUP($E353,'Status Thresholds'!$E:$AR,19,FALSE),IF((AND($U$4=TRUE,$U$5=FALSE,$U$6=FALSE,$U$7=TRUE)),VLOOKUP($E353,'Status Thresholds'!$E:$AR,9,FALSE),
IF((AND($U$4=FALSE,$U$5=TRUE,$U$6=FALSE,$U$7=FALSE)),VLOOKUP($E353,'Status Thresholds'!$E:$AR,24,FALSE),IF((AND($U$4=FALSE,$U$5=TRUE,$U$6=TRUE,$U$7=FALSE)),VLOOKUP($E353,'Status Thresholds'!$E:$AR,34,FALSE),IF((AND($U$4=FALSE,$U$5=TRUE,$U$6=TRUE,$U$7=TRUE)),VLOOKUP($E353,'Status Thresholds'!$E:$AR,39,FALSE),IF((AND($U$4=FALSE,$U$5=TRUE,$U$6=FALSE,$U$7=TRUE)),VLOOKUP($E353,'Status Thresholds'!$E:$AR,29,FALSE)))))))))
))/
IF(OR($X$5=TRUE,$AC$3=TRUE
),($F$4/2), IF(OR($X$2,$X$3,$X$4,$X$6,$X$7,$X$8,$Z$2,$Z$3,$Z$4,$Z$5,$Z$6,$Z$7,$Z$8)=TRUE,$F$4)),0),"-")</f>
        <v>-</v>
      </c>
      <c r="I353" s="36" t="str">
        <f>IFERROR(
ROUNDUP(
IF(AND($U$5=FALSE,$U$4=FALSE),"-",IF(AND($U$5=TRUE,$U$4=TRUE),"-",
IF((AND($U$4=TRUE,$U$5=FALSE,$U$6=FALSE,$U$7=FALSE)),VLOOKUP($E353,'Status Thresholds'!$E:$AR,5,FALSE),IF((AND($U$4=TRUE,$U$5=FALSE,$U$6=TRUE,$U$7=FALSE)),VLOOKUP($E353,'Status Thresholds'!$E:$AR,15,FALSE),IF((AND($U$4=TRUE,$U$5=FALSE,$U$6=TRUE,$U$7=TRUE)),VLOOKUP($E353,'Status Thresholds'!$E:$AR,20,FALSE),IF((AND($U$4=TRUE,$U$5=FALSE,$U$6=FALSE,$U$7=TRUE)),VLOOKUP($E353,'Status Thresholds'!$E:$AR,10,FALSE),
IF((AND($U$4=FALSE,$U$5=TRUE,$U$6=FALSE,$U$7=FALSE)),VLOOKUP($E353,'Status Thresholds'!$E:$AR,25,FALSE),IF((AND($U$4=FALSE,$U$5=TRUE,$U$6=TRUE,$U$7=FALSE)),VLOOKUP($E353,'Status Thresholds'!$E:$AR,35,FALSE),IF((AND($U$4=FALSE,$U$5=TRUE,$U$6=TRUE,$U$7=TRUE)),VLOOKUP($E353,'Status Thresholds'!$E:$AR,40,FALSE),IF((AND($U$4=FALSE,$U$5=TRUE,$U$6=FALSE,$U$7=TRUE)),VLOOKUP($E353,'Status Thresholds'!$E:$AR,30,FALSE)))))))))
))/
IF(OR($X$5=TRUE,$AC$3=TRUE
),($F$4/2), IF(OR($X$2,$X$3,$X$4,$X$6,$X$7,$X$8,$Z$2,$Z$3,$Z$4,$Z$5,$Z$6,$Z$7,$Z$8)=TRUE,$F$4)),0),"-")</f>
        <v>-</v>
      </c>
      <c r="J353" s="46">
        <f>IFERROR(IF(AND($U$5=FALSE,$U$4=FALSE),"-",VLOOKUP($E353,'Status Thresholds'!$E:$AU,41,FALSE)),"-")</f>
        <v>40</v>
      </c>
      <c r="K353" s="46" t="str">
        <f>IFERROR(IF(AND($U$5=FALSE,$U$4=FALSE),"-",VLOOKUP($E353,'Status Thresholds'!$E:$AU,42,FALSE)),"-")</f>
        <v>-</v>
      </c>
      <c r="L353" s="46" t="str">
        <f>IFERROR(IF(AND($U$5=FALSE,$U$4=FALSE),"-",VLOOKUP($E353,'Status Thresholds'!$E:$AU,43,FALSE)),"-")</f>
        <v>-</v>
      </c>
    </row>
    <row r="354" spans="1:12" x14ac:dyDescent="0.25">
      <c r="A354" s="35"/>
      <c r="B354" s="64" t="str">
        <f>VLOOKUP(C354,'Status Thresholds'!B:C,2,FALSE)</f>
        <v>MHGU</v>
      </c>
      <c r="C354" s="64" t="str">
        <f>IF('Status Thresholds'!B349=0, "", 'Status Thresholds'!B349)</f>
        <v>Gore Magala (Chaotic)</v>
      </c>
      <c r="D354" s="32" t="s">
        <v>33</v>
      </c>
      <c r="E354" s="36" t="str">
        <f t="shared" si="5"/>
        <v>Gore Magala (Chaotic)Poison</v>
      </c>
      <c r="F354" s="36" t="str">
        <f>IFERROR(
ROUNDUP(
IF(AND($U$5=FALSE,$U$4=FALSE),"-",IF(AND($U$5=TRUE,$U$4=TRUE),"-",
IF((AND($U$4=TRUE,$U$5=FALSE,$U$6=FALSE,$U$7=FALSE)),VLOOKUP($E354,'Status Thresholds'!$E:$AR,2,FALSE),IF((AND($U$4=TRUE,$U$5=FALSE,$U$6=TRUE,$U$7=FALSE)),VLOOKUP($E354,'Status Thresholds'!$E:$AR,12,FALSE),IF((AND($U$4=TRUE,$U$5=FALSE,$U$6=TRUE,$U$7=TRUE)),VLOOKUP($E354,'Status Thresholds'!$E:$AR,17,FALSE),IF((AND($U$4=TRUE,$U$5=FALSE,$U$6=FALSE,$U$7=TRUE)),VLOOKUP($E354,'Status Thresholds'!$E:$AR,7,FALSE),
IF((AND($U$4=FALSE,$U$5=TRUE,$U$6=FALSE,$U$7=FALSE)),VLOOKUP($E354,'Status Thresholds'!$E:$AR,22,FALSE),IF((AND($U$4=FALSE,$U$5=TRUE,$U$6=TRUE,$U$7=FALSE)),VLOOKUP($E354,'Status Thresholds'!$E:$AR,32,FALSE),IF((AND($U$4=FALSE,$U$5=TRUE,$U$6=TRUE,$U$7=TRUE)),VLOOKUP($E354,'Status Thresholds'!$E:$AR,37,FALSE),IF((AND($U$4=FALSE,$U$5=TRUE,$U$6=FALSE,$U$7=TRUE)),VLOOKUP($E354,'Status Thresholds'!$E:$AR,27,FALSE)))))))))
))/
IF(OR($X$5=TRUE,$AC$3=TRUE
),($F$5/2), IF(OR($X$2,$X$3,$X$4,$X$6,$X$7,$X$8,$Z$2,$Z$3,$Z$4,$Z$5,$Z$6,$Z$7,$Z$8)=TRUE,$F$5)),0),"-")</f>
        <v>-</v>
      </c>
      <c r="G354" s="36" t="str">
        <f>IFERROR(
ROUNDUP(
IF(AND($U$5=FALSE,$U$4=FALSE),"-",IF(AND($U$5=TRUE,$U$4=TRUE),"-",
IF((AND($U$4=TRUE,$U$5=FALSE,$U$6=FALSE,$U$7=FALSE)),VLOOKUP($E354,'Status Thresholds'!$E:$AR,3,FALSE),IF((AND($U$4=TRUE,$U$5=FALSE,$U$6=TRUE,$U$7=FALSE)),VLOOKUP($E354,'Status Thresholds'!$E:$AR,13,FALSE),IF((AND($U$4=TRUE,$U$5=FALSE,$U$6=TRUE,$U$7=TRUE)),VLOOKUP($E354,'Status Thresholds'!$E:$AR,18,FALSE),IF((AND($U$4=TRUE,$U$5=FALSE,$U$6=FALSE,$U$7=TRUE)),VLOOKUP($E354,'Status Thresholds'!$E:$AR,8,FALSE),
IF((AND($U$4=FALSE,$U$5=TRUE,$U$6=FALSE,$U$7=FALSE)),VLOOKUP($E354,'Status Thresholds'!$E:$AR,23,FALSE),IF((AND($U$4=FALSE,$U$5=TRUE,$U$6=TRUE,$U$7=FALSE)),VLOOKUP($E354,'Status Thresholds'!$E:$AR,33,FALSE),IF((AND($U$4=FALSE,$U$5=TRUE,$U$6=TRUE,$U$7=TRUE)),VLOOKUP($E354,'Status Thresholds'!$E:$AR,38,FALSE),IF((AND($U$4=FALSE,$U$5=TRUE,$U$6=FALSE,$U$7=TRUE)),VLOOKUP($E354,'Status Thresholds'!$E:$AR,28,FALSE)))))))))
))/
IF(OR($X$5=TRUE,$AC$3=TRUE
),($F$5/2), IF(OR($X$2,$X$3,$X$4,$X$6,$X$7,$X$8,$Z$2,$Z$3,$Z$4,$Z$5,$Z$6,$Z$7,$Z$8)=TRUE,$F$5)),0),"-")</f>
        <v>-</v>
      </c>
      <c r="H354" s="36" t="str">
        <f>IFERROR(
ROUNDUP(
IF(AND($U$5=FALSE,$U$4=FALSE),"-",IF(AND($U$5=TRUE,$U$4=TRUE),"-",
IF((AND($U$4=TRUE,$U$5=FALSE,$U$6=FALSE,$U$7=FALSE)),VLOOKUP($E354,'Status Thresholds'!$E:$AR,4,FALSE),IF((AND($U$4=TRUE,$U$5=FALSE,$U$6=TRUE,$U$7=FALSE)),VLOOKUP($E354,'Status Thresholds'!$E:$AR,14,FALSE),IF((AND($U$4=TRUE,$U$5=FALSE,$U$6=TRUE,$U$7=TRUE)),VLOOKUP($E354,'Status Thresholds'!$E:$AR,19,FALSE),IF((AND($U$4=TRUE,$U$5=FALSE,$U$6=FALSE,$U$7=TRUE)),VLOOKUP($E354,'Status Thresholds'!$E:$AR,9,FALSE),
IF((AND($U$4=FALSE,$U$5=TRUE,$U$6=FALSE,$U$7=FALSE)),VLOOKUP($E354,'Status Thresholds'!$E:$AR,24,FALSE),IF((AND($U$4=FALSE,$U$5=TRUE,$U$6=TRUE,$U$7=FALSE)),VLOOKUP($E354,'Status Thresholds'!$E:$AR,34,FALSE),IF((AND($U$4=FALSE,$U$5=TRUE,$U$6=TRUE,$U$7=TRUE)),VLOOKUP($E354,'Status Thresholds'!$E:$AR,39,FALSE),IF((AND($U$4=FALSE,$U$5=TRUE,$U$6=FALSE,$U$7=TRUE)),VLOOKUP($E354,'Status Thresholds'!$E:$AR,29,FALSE)))))))))
))/
IF(OR($X$5=TRUE,$AC$3=TRUE
),($F$5/2), IF(OR($X$2,$X$3,$X$4,$X$6,$X$7,$X$8,$Z$2,$Z$3,$Z$4,$Z$5,$Z$6,$Z$7,$Z$8)=TRUE,$F$5)),0),"-")</f>
        <v>-</v>
      </c>
      <c r="I354" s="36" t="str">
        <f>IFERROR(
ROUNDUP(
IF(AND($U$5=FALSE,$U$4=FALSE),"-",IF(AND($U$5=TRUE,$U$4=TRUE),"-",
IF((AND($U$4=TRUE,$U$5=FALSE,$U$6=FALSE,$U$7=FALSE)),VLOOKUP($E354,'Status Thresholds'!$E:$AR,5,FALSE),IF((AND($U$4=TRUE,$U$5=FALSE,$U$6=TRUE,$U$7=FALSE)),VLOOKUP($E354,'Status Thresholds'!$E:$AR,15,FALSE),IF((AND($U$4=TRUE,$U$5=FALSE,$U$6=TRUE,$U$7=TRUE)),VLOOKUP($E354,'Status Thresholds'!$E:$AR,20,FALSE),IF((AND($U$4=TRUE,$U$5=FALSE,$U$6=FALSE,$U$7=TRUE)),VLOOKUP($E354,'Status Thresholds'!$E:$AR,10,FALSE),
IF((AND($U$4=FALSE,$U$5=TRUE,$U$6=FALSE,$U$7=FALSE)),VLOOKUP($E354,'Status Thresholds'!$E:$AR,25,FALSE),IF((AND($U$4=FALSE,$U$5=TRUE,$U$6=TRUE,$U$7=FALSE)),VLOOKUP($E354,'Status Thresholds'!$E:$AR,35,FALSE),IF((AND($U$4=FALSE,$U$5=TRUE,$U$6=TRUE,$U$7=TRUE)),VLOOKUP($E354,'Status Thresholds'!$E:$AR,40,FALSE),IF((AND($U$4=FALSE,$U$5=TRUE,$U$6=FALSE,$U$7=TRUE)),VLOOKUP($E354,'Status Thresholds'!$E:$AR,30,FALSE)))))))))
))/
IF(OR($X$5=TRUE,$AC$3=TRUE
),($F$5/2), IF(OR($X$2,$X$3,$X$4,$X$6,$X$7,$X$8,$Z$2,$Z$3,$Z$4,$Z$5,$Z$6,$Z$7,$Z$8)=TRUE,$F$5)),0),"-")</f>
        <v>-</v>
      </c>
      <c r="J354" s="46">
        <f>IFERROR(IF(AND($U$5=FALSE,$U$4=FALSE),"-",VLOOKUP($E354,'Status Thresholds'!$E:$AU,41,FALSE)),"-")</f>
        <v>60</v>
      </c>
      <c r="K354" s="46" t="str">
        <f>IFERROR(IF(AND($U$5=FALSE,$U$4=FALSE),"-",VLOOKUP($E354,'Status Thresholds'!$E:$AU,42,FALSE)),"-")</f>
        <v>-</v>
      </c>
      <c r="L354" s="46" t="str">
        <f>IFERROR(IF(AND($U$5=FALSE,$U$4=FALSE),"-",VLOOKUP($E354,'Status Thresholds'!$E:$AU,43,FALSE)),"-")</f>
        <v>-</v>
      </c>
    </row>
    <row r="355" spans="1:12" x14ac:dyDescent="0.25">
      <c r="A355" s="35"/>
      <c r="B355" s="64" t="str">
        <f>VLOOKUP(C355,'Status Thresholds'!B:C,2,FALSE)</f>
        <v>MHGU</v>
      </c>
      <c r="C355" s="64" t="str">
        <f>IF('Status Thresholds'!B350=0, "", 'Status Thresholds'!B350)</f>
        <v>Gore Magala (Chaotic)</v>
      </c>
      <c r="D355" s="10" t="s">
        <v>22</v>
      </c>
      <c r="E355" s="36" t="str">
        <f t="shared" si="5"/>
        <v>Gore Magala (Chaotic)Exhaust</v>
      </c>
      <c r="F355" s="36" t="str">
        <f>IFERROR(
ROUNDUP(
IF(AND($U$5=FALSE,$U$4=FALSE),"-",IF(AND($U$5=TRUE,$U$4=TRUE),"-",
IF((AND($U$4=TRUE,$U$5=FALSE,$U$6=FALSE,$U$7=FALSE)),VLOOKUP($E355,'Status Thresholds'!$E:$AR,2,FALSE),IF((AND($U$4=TRUE,$U$5=FALSE,$U$6=TRUE,$U$7=FALSE)),VLOOKUP($E355,'Status Thresholds'!$E:$AR,12,FALSE),IF((AND($U$4=TRUE,$U$5=FALSE,$U$6=TRUE,$U$7=TRUE)),VLOOKUP($E355,'Status Thresholds'!$E:$AR,17,FALSE),IF((AND($U$4=TRUE,$U$5=FALSE,$U$6=FALSE,$U$7=TRUE)),VLOOKUP($E355,'Status Thresholds'!$E:$AR,7,FALSE),
IF((AND($U$4=FALSE,$U$5=TRUE,$U$6=FALSE,$U$7=FALSE)),VLOOKUP($E355,'Status Thresholds'!$E:$AR,22,FALSE),IF((AND($U$4=FALSE,$U$5=TRUE,$U$6=TRUE,$U$7=FALSE)),VLOOKUP($E355,'Status Thresholds'!$E:$AR,32,FALSE),IF((AND($U$4=FALSE,$U$5=TRUE,$U$6=TRUE,$U$7=TRUE)),VLOOKUP($E355,'Status Thresholds'!$E:$AR,37,FALSE),IF((AND($U$4=FALSE,$U$5=TRUE,$U$6=FALSE,$U$7=TRUE)),VLOOKUP($E355,'Status Thresholds'!$E:$AR,27,FALSE)))))))))
))/
IF(OR($X$5=TRUE,$AC$3=TRUE
),($F$6/2), IF(OR($X$2,$X$3,$X$4,$X$6,$X$7,$X$8,$Z$2,$Z$3,$Z$4,$Z$5,$Z$6,$Z$7,$Z$8)=TRUE,$F$6)),0),"-")</f>
        <v>-</v>
      </c>
      <c r="G355" s="36" t="str">
        <f>IFERROR(
ROUNDUP(
IF(AND($U$5=FALSE,$U$4=FALSE),"-",IF(AND($U$5=TRUE,$U$4=TRUE),"-",
IF((AND($U$4=TRUE,$U$5=FALSE,$U$6=FALSE,$U$7=FALSE)),VLOOKUP($E355,'Status Thresholds'!$E:$AR,3,FALSE),IF((AND($U$4=TRUE,$U$5=FALSE,$U$6=TRUE,$U$7=FALSE)),VLOOKUP($E355,'Status Thresholds'!$E:$AR,13,FALSE),IF((AND($U$4=TRUE,$U$5=FALSE,$U$6=TRUE,$U$7=TRUE)),VLOOKUP($E355,'Status Thresholds'!$E:$AR,18,FALSE),IF((AND($U$4=TRUE,$U$5=FALSE,$U$6=FALSE,$U$7=TRUE)),VLOOKUP($E355,'Status Thresholds'!$E:$AR,8,FALSE),
IF((AND($U$4=FALSE,$U$5=TRUE,$U$6=FALSE,$U$7=FALSE)),VLOOKUP($E355,'Status Thresholds'!$E:$AR,23,FALSE),IF((AND($U$4=FALSE,$U$5=TRUE,$U$6=TRUE,$U$7=FALSE)),VLOOKUP($E355,'Status Thresholds'!$E:$AR,33,FALSE),IF((AND($U$4=FALSE,$U$5=TRUE,$U$6=TRUE,$U$7=TRUE)),VLOOKUP($E355,'Status Thresholds'!$E:$AR,38,FALSE),IF((AND($U$4=FALSE,$U$5=TRUE,$U$6=FALSE,$U$7=TRUE)),VLOOKUP($E355,'Status Thresholds'!$E:$AR,28,FALSE)))))))))
))/
IF(OR($X$5=TRUE,$AC$3=TRUE
),($F$6/2), IF(OR($X$2,$X$3,$X$4,$X$6,$X$7,$X$8,$Z$2,$Z$3,$Z$4,$Z$5,$Z$6,$Z$7,$Z$8)=TRUE,$F$6)),0),"-")</f>
        <v>-</v>
      </c>
      <c r="H355" s="36" t="str">
        <f>IFERROR(
ROUNDUP(
IF(AND($U$5=FALSE,$U$4=FALSE),"-",IF(AND($U$5=TRUE,$U$4=TRUE),"-",
IF((AND($U$4=TRUE,$U$5=FALSE,$U$6=FALSE,$U$7=FALSE)),VLOOKUP($E355,'Status Thresholds'!$E:$AR,4,FALSE),IF((AND($U$4=TRUE,$U$5=FALSE,$U$6=TRUE,$U$7=FALSE)),VLOOKUP($E355,'Status Thresholds'!$E:$AR,14,FALSE),IF((AND($U$4=TRUE,$U$5=FALSE,$U$6=TRUE,$U$7=TRUE)),VLOOKUP($E355,'Status Thresholds'!$E:$AR,19,FALSE),IF((AND($U$4=TRUE,$U$5=FALSE,$U$6=FALSE,$U$7=TRUE)),VLOOKUP($E355,'Status Thresholds'!$E:$AR,9,FALSE),
IF((AND($U$4=FALSE,$U$5=TRUE,$U$6=FALSE,$U$7=FALSE)),VLOOKUP($E355,'Status Thresholds'!$E:$AR,24,FALSE),IF((AND($U$4=FALSE,$U$5=TRUE,$U$6=TRUE,$U$7=FALSE)),VLOOKUP($E355,'Status Thresholds'!$E:$AR,34,FALSE),IF((AND($U$4=FALSE,$U$5=TRUE,$U$6=TRUE,$U$7=TRUE)),VLOOKUP($E355,'Status Thresholds'!$E:$AR,39,FALSE),IF((AND($U$4=FALSE,$U$5=TRUE,$U$6=FALSE,$U$7=TRUE)),VLOOKUP($E355,'Status Thresholds'!$E:$AR,29,FALSE)))))))))
))/
IF(OR($X$5=TRUE,$AC$3=TRUE
),($F$6/2), IF(OR($X$2,$X$3,$X$4,$X$6,$X$7,$X$8,$Z$2,$Z$3,$Z$4,$Z$5,$Z$6,$Z$7,$Z$8)=TRUE,$F$6)),0),"-")</f>
        <v>-</v>
      </c>
      <c r="I355" s="36" t="str">
        <f>IFERROR(
ROUNDUP(
IF(AND($U$5=FALSE,$U$4=FALSE),"-",IF(AND($U$5=TRUE,$U$4=TRUE),"-",
IF((AND($U$4=TRUE,$U$5=FALSE,$U$6=FALSE,$U$7=FALSE)),VLOOKUP($E355,'Status Thresholds'!$E:$AR,5,FALSE),IF((AND($U$4=TRUE,$U$5=FALSE,$U$6=TRUE,$U$7=FALSE)),VLOOKUP($E355,'Status Thresholds'!$E:$AR,15,FALSE),IF((AND($U$4=TRUE,$U$5=FALSE,$U$6=TRUE,$U$7=TRUE)),VLOOKUP($E355,'Status Thresholds'!$E:$AR,20,FALSE),IF((AND($U$4=TRUE,$U$5=FALSE,$U$6=FALSE,$U$7=TRUE)),VLOOKUP($E355,'Status Thresholds'!$E:$AR,10,FALSE),
IF((AND($U$4=FALSE,$U$5=TRUE,$U$6=FALSE,$U$7=FALSE)),VLOOKUP($E355,'Status Thresholds'!$E:$AR,25,FALSE),IF((AND($U$4=FALSE,$U$5=TRUE,$U$6=TRUE,$U$7=FALSE)),VLOOKUP($E355,'Status Thresholds'!$E:$AR,35,FALSE),IF((AND($U$4=FALSE,$U$5=TRUE,$U$6=TRUE,$U$7=TRUE)),VLOOKUP($E355,'Status Thresholds'!$E:$AR,40,FALSE),IF((AND($U$4=FALSE,$U$5=TRUE,$U$6=FALSE,$U$7=TRUE)),VLOOKUP($E355,'Status Thresholds'!$E:$AR,30,FALSE)))))))))
))/
IF(OR($X$5=TRUE,$AC$3=TRUE
),($F$6/2), IF(OR($X$2,$X$3,$X$4,$X$6,$X$7,$X$8,$Z$2,$Z$3,$Z$4,$Z$5,$Z$6,$Z$7,$Z$8)=TRUE,$F$6)),0),"-")</f>
        <v>-</v>
      </c>
      <c r="J355" s="46">
        <f>IFERROR(IF(AND($U$5=FALSE,$U$4=FALSE),"-",VLOOKUP($E355,'Status Thresholds'!$E:$AU,41,FALSE)),"-")</f>
        <v>0</v>
      </c>
      <c r="K355" s="46" t="str">
        <f>IFERROR(IF(AND($U$5=FALSE,$U$4=FALSE),"-",VLOOKUP($E355,'Status Thresholds'!$E:$AU,42,FALSE)),"-")</f>
        <v>-</v>
      </c>
      <c r="L355" s="46" t="str">
        <f>IFERROR(IF(AND($U$5=FALSE,$U$4=FALSE),"-",VLOOKUP($E355,'Status Thresholds'!$E:$AU,43,FALSE)),"-")</f>
        <v>-</v>
      </c>
    </row>
    <row r="356" spans="1:12" x14ac:dyDescent="0.25">
      <c r="A356" s="35"/>
      <c r="B356" s="64" t="str">
        <f>VLOOKUP(C356,'Status Thresholds'!B:C,2,FALSE)</f>
        <v>MHGU</v>
      </c>
      <c r="C356" s="64" t="str">
        <f>IF('Status Thresholds'!B351=0, "", 'Status Thresholds'!B351)</f>
        <v>Gore Magala (Chaotic)</v>
      </c>
      <c r="D356" s="30" t="s">
        <v>35</v>
      </c>
      <c r="E356" s="36" t="str">
        <f t="shared" si="5"/>
        <v>Gore Magala (Chaotic)Blast</v>
      </c>
      <c r="F356" s="36" t="str">
        <f>IFERROR(
ROUNDUP(
IF(AND($U$5=FALSE,$U$4=FALSE),"-",IF(AND($U$5=TRUE,$U$4=TRUE),"-",
IF((AND($U$4=TRUE,$U$5=FALSE,$U$6=FALSE,$U$7=FALSE)),VLOOKUP($E356,'Status Thresholds'!$E:$AR,2,FALSE),IF((AND($U$4=TRUE,$U$5=FALSE,$U$6=TRUE,$U$7=FALSE)),VLOOKUP($E356,'Status Thresholds'!$E:$AR,12,FALSE),IF((AND($U$4=TRUE,$U$5=FALSE,$U$6=TRUE,$U$7=TRUE)),VLOOKUP($E356,'Status Thresholds'!$E:$AR,17,FALSE),IF((AND($U$4=TRUE,$U$5=FALSE,$U$6=FALSE,$U$7=TRUE)),VLOOKUP($E356,'Status Thresholds'!$E:$AR,7,FALSE),
IF((AND($U$4=FALSE,$U$5=TRUE,$U$6=FALSE,$U$7=FALSE)),VLOOKUP($E356,'Status Thresholds'!$E:$AR,22,FALSE),IF((AND($U$4=FALSE,$U$5=TRUE,$U$6=TRUE,$U$7=FALSE)),VLOOKUP($E356,'Status Thresholds'!$E:$AR,32,FALSE),IF((AND($U$4=FALSE,$U$5=TRUE,$U$6=TRUE,$U$7=TRUE)),VLOOKUP($E356,'Status Thresholds'!$E:$AR,37,FALSE),IF((AND($U$4=FALSE,$U$5=TRUE,$U$6=FALSE,$U$7=TRUE)),VLOOKUP($E356,'Status Thresholds'!$E:$AR,27,FALSE)))))))))
))/
IF(OR($X$5=TRUE,$AC$3=TRUE
),($F$7/2), IF(OR($X$2,$X$3,$X$4,$X$6,$X$7,$X$8,$Z$2,$Z$3,$Z$4,$Z$5,$Z$6,$Z$7,$Z$8)=TRUE,$F$7)),0),"-")</f>
        <v>-</v>
      </c>
      <c r="G356" s="36" t="str">
        <f>IFERROR(
ROUNDUP(
IF(AND($U$5=FALSE,$U$4=FALSE),"-",IF(AND($U$5=TRUE,$U$4=TRUE),"-",
IF((AND($U$4=TRUE,$U$5=FALSE,$U$6=FALSE,$U$7=FALSE)),VLOOKUP($E356,'Status Thresholds'!$E:$AR,3,FALSE),IF((AND($U$4=TRUE,$U$5=FALSE,$U$6=TRUE,$U$7=FALSE)),VLOOKUP($E356,'Status Thresholds'!$E:$AR,13,FALSE),IF((AND($U$4=TRUE,$U$5=FALSE,$U$6=TRUE,$U$7=TRUE)),VLOOKUP($E356,'Status Thresholds'!$E:$AR,18,FALSE),IF((AND($U$4=TRUE,$U$5=FALSE,$U$6=FALSE,$U$7=TRUE)),VLOOKUP($E356,'Status Thresholds'!$E:$AR,8,FALSE),
IF((AND($U$4=FALSE,$U$5=TRUE,$U$6=FALSE,$U$7=FALSE)),VLOOKUP($E356,'Status Thresholds'!$E:$AR,23,FALSE),IF((AND($U$4=FALSE,$U$5=TRUE,$U$6=TRUE,$U$7=FALSE)),VLOOKUP($E356,'Status Thresholds'!$E:$AR,33,FALSE),IF((AND($U$4=FALSE,$U$5=TRUE,$U$6=TRUE,$U$7=TRUE)),VLOOKUP($E356,'Status Thresholds'!$E:$AR,38,FALSE),IF((AND($U$4=FALSE,$U$5=TRUE,$U$6=FALSE,$U$7=TRUE)),VLOOKUP($E356,'Status Thresholds'!$E:$AR,28,FALSE)))))))))
))/
IF(OR($X$5=TRUE,$AC$3=TRUE
),($F$7/2), IF(OR($X$2,$X$3,$X$4,$X$6,$X$7,$X$8,$Z$2,$Z$3,$Z$4,$Z$5,$Z$6,$Z$7,$Z$8)=TRUE,$F$7)),0),"-")</f>
        <v>-</v>
      </c>
      <c r="H356" s="36" t="str">
        <f>IFERROR(
ROUNDUP(
IF(AND($U$5=FALSE,$U$4=FALSE),"-",IF(AND($U$5=TRUE,$U$4=TRUE),"-",
IF((AND($U$4=TRUE,$U$5=FALSE,$U$6=FALSE,$U$7=FALSE)),VLOOKUP($E356,'Status Thresholds'!$E:$AR,4,FALSE),IF((AND($U$4=TRUE,$U$5=FALSE,$U$6=TRUE,$U$7=FALSE)),VLOOKUP($E356,'Status Thresholds'!$E:$AR,14,FALSE),IF((AND($U$4=TRUE,$U$5=FALSE,$U$6=TRUE,$U$7=TRUE)),VLOOKUP($E356,'Status Thresholds'!$E:$AR,19,FALSE),IF((AND($U$4=TRUE,$U$5=FALSE,$U$6=FALSE,$U$7=TRUE)),VLOOKUP($E356,'Status Thresholds'!$E:$AR,9,FALSE),
IF((AND($U$4=FALSE,$U$5=TRUE,$U$6=FALSE,$U$7=FALSE)),VLOOKUP($E356,'Status Thresholds'!$E:$AR,24,FALSE),IF((AND($U$4=FALSE,$U$5=TRUE,$U$6=TRUE,$U$7=FALSE)),VLOOKUP($E356,'Status Thresholds'!$E:$AR,34,FALSE),IF((AND($U$4=FALSE,$U$5=TRUE,$U$6=TRUE,$U$7=TRUE)),VLOOKUP($E356,'Status Thresholds'!$E:$AR,39,FALSE),IF((AND($U$4=FALSE,$U$5=TRUE,$U$6=FALSE,$U$7=TRUE)),VLOOKUP($E356,'Status Thresholds'!$E:$AR,29,FALSE)))))))))
))/
IF(OR($X$5=TRUE,$AC$3=TRUE
),($F$7/2), IF(OR($X$2,$X$3,$X$4,$X$6,$X$7,$X$8,$Z$2,$Z$3,$Z$4,$Z$5,$Z$6,$Z$7,$Z$8)=TRUE,$F$7)),0),"-")</f>
        <v>-</v>
      </c>
      <c r="I356" s="36" t="str">
        <f>IFERROR(
ROUNDUP(
IF(AND($U$5=FALSE,$U$4=FALSE),"-",IF(AND($U$5=TRUE,$U$4=TRUE),"-",
IF((AND($U$4=TRUE,$U$5=FALSE,$U$6=FALSE,$U$7=FALSE)),VLOOKUP($E356,'Status Thresholds'!$E:$AR,5,FALSE),IF((AND($U$4=TRUE,$U$5=FALSE,$U$6=TRUE,$U$7=FALSE)),VLOOKUP($E356,'Status Thresholds'!$E:$AR,15,FALSE),IF((AND($U$4=TRUE,$U$5=FALSE,$U$6=TRUE,$U$7=TRUE)),VLOOKUP($E356,'Status Thresholds'!$E:$AR,20,FALSE),IF((AND($U$4=TRUE,$U$5=FALSE,$U$6=FALSE,$U$7=TRUE)),VLOOKUP($E356,'Status Thresholds'!$E:$AR,10,FALSE),
IF((AND($U$4=FALSE,$U$5=TRUE,$U$6=FALSE,$U$7=FALSE)),VLOOKUP($E356,'Status Thresholds'!$E:$AR,25,FALSE),IF((AND($U$4=FALSE,$U$5=TRUE,$U$6=TRUE,$U$7=FALSE)),VLOOKUP($E356,'Status Thresholds'!$E:$AR,35,FALSE),IF((AND($U$4=FALSE,$U$5=TRUE,$U$6=TRUE,$U$7=TRUE)),VLOOKUP($E356,'Status Thresholds'!$E:$AR,40,FALSE),IF((AND($U$4=FALSE,$U$5=TRUE,$U$6=FALSE,$U$7=TRUE)),VLOOKUP($E356,'Status Thresholds'!$E:$AR,30,FALSE)))))))))
))/
IF(OR($X$5=TRUE,$AC$3=TRUE
),($F$7/2), IF(OR($X$2,$X$3,$X$4,$X$6,$X$7,$X$8,$Z$2,$Z$3,$Z$4,$Z$5,$Z$6,$Z$7,$Z$8)=TRUE,$F$7)),0),"-")</f>
        <v>-</v>
      </c>
      <c r="J356" s="46">
        <f>IFERROR(IF(AND($U$5=FALSE,$U$4=FALSE),"-",VLOOKUP($E356,'Status Thresholds'!$E:$AU,41,FALSE)),"-")</f>
        <v>0</v>
      </c>
      <c r="K356" s="46" t="str">
        <f>IFERROR(IF(AND($U$5=FALSE,$U$4=FALSE),"-",VLOOKUP($E356,'Status Thresholds'!$E:$AU,42,FALSE)),"-")</f>
        <v>-</v>
      </c>
      <c r="L356" s="46" t="str">
        <f>IFERROR(IF(AND($U$5=FALSE,$U$4=FALSE),"-",VLOOKUP($E356,'Status Thresholds'!$E:$AU,43,FALSE)),"-")</f>
        <v>-</v>
      </c>
    </row>
    <row r="357" spans="1:12" ht="14.45" customHeight="1" x14ac:dyDescent="0.25">
      <c r="A357" s="35"/>
      <c r="B357" s="64" t="str">
        <f>VLOOKUP(C357,'Status Thresholds'!B:C,2,FALSE)</f>
        <v>MHGU</v>
      </c>
      <c r="C357" s="64" t="str">
        <f>IF('Status Thresholds'!B352=0, "", 'Status Thresholds'!B352)</f>
        <v>Gore Magala (Chaotic)</v>
      </c>
      <c r="D357" s="34" t="s">
        <v>14</v>
      </c>
      <c r="E357" s="36" t="str">
        <f t="shared" si="5"/>
        <v>Gore Magala (Chaotic)KO</v>
      </c>
      <c r="F357" s="36" t="s">
        <v>214</v>
      </c>
      <c r="G357" s="36" t="s">
        <v>214</v>
      </c>
      <c r="H357" s="36" t="s">
        <v>214</v>
      </c>
      <c r="I357" s="36" t="s">
        <v>214</v>
      </c>
      <c r="J357" s="46">
        <f>IFERROR(IF(AND($U$5=FALSE,$U$4=FALSE),"-",VLOOKUP($E357,'Status Thresholds'!$E:$AU,41,FALSE)),"-")</f>
        <v>10</v>
      </c>
      <c r="K357" s="46" t="str">
        <f>IFERROR(IF(AND($U$5=FALSE,$U$4=FALSE),"-",VLOOKUP($E357,'Status Thresholds'!$E:$AU,42,FALSE)),"-")</f>
        <v>-</v>
      </c>
      <c r="L357" s="46" t="str">
        <f>IFERROR(IF(AND($U$5=FALSE,$U$4=FALSE),"-",VLOOKUP($E357,'Status Thresholds'!$E:$AU,43,FALSE)),"-")</f>
        <v>-</v>
      </c>
    </row>
    <row r="358" spans="1:12" x14ac:dyDescent="0.25">
      <c r="A358" s="35"/>
      <c r="B358" s="64" t="str">
        <f>VLOOKUP(C358,'Status Thresholds'!B:C,2,FALSE)</f>
        <v>MHGU</v>
      </c>
      <c r="C358" s="64" t="str">
        <f>IF('Status Thresholds'!B353=0, "", 'Status Thresholds'!B353)</f>
        <v>Gore Magala (Chaotic)</v>
      </c>
      <c r="D358" s="33" t="s">
        <v>34</v>
      </c>
      <c r="E358" s="36" t="str">
        <f t="shared" si="5"/>
        <v>Gore Magala (Chaotic)Mount</v>
      </c>
      <c r="F358" s="36" t="str">
        <f>IFERROR(
ROUNDUP(
IF(AND($U$5=FALSE,$U$4=FALSE),"-",IF(AND($U$5=TRUE,$U$4=TRUE),"-",
IF((AND($U$4=TRUE,$U$5=FALSE,$U$6=FALSE,$U$7=FALSE)),VLOOKUP($E358,'Status Thresholds'!$E:$AR,2,FALSE),IF((AND($U$4=TRUE,$U$5=FALSE,$U$6=TRUE,$U$7=FALSE)),VLOOKUP($E358,'Status Thresholds'!$E:$AR,12,FALSE),IF((AND($U$4=TRUE,$U$5=FALSE,$U$6=TRUE,$U$7=TRUE)),VLOOKUP($E358,'Status Thresholds'!$E:$AR,17,FALSE),IF((AND($U$4=TRUE,$U$5=FALSE,$U$6=FALSE,$U$7=TRUE)),VLOOKUP($E358,'Status Thresholds'!$E:$AR,7,FALSE),
IF((AND($U$4=FALSE,$U$5=TRUE,$U$6=FALSE,$U$7=FALSE)),VLOOKUP($E358,'Status Thresholds'!$E:$AR,22,FALSE),IF((AND($U$4=FALSE,$U$5=TRUE,$U$6=TRUE,$U$7=FALSE)),VLOOKUP($E358,'Status Thresholds'!$E:$AR,32,FALSE),IF((AND($U$4=FALSE,$U$5=TRUE,$U$6=TRUE,$U$7=TRUE)),VLOOKUP($E358,'Status Thresholds'!$E:$AR,37,FALSE),IF((AND($U$4=FALSE,$U$5=TRUE,$U$6=FALSE,$U$7=TRUE)),VLOOKUP($E358,'Status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358" s="36" t="str">
        <f>IFERROR(
ROUNDUP(
IF(AND($U$5=FALSE,$U$4=FALSE),"-",IF(AND($U$5=TRUE,$U$4=TRUE),"-",
IF((AND($U$4=TRUE,$U$5=FALSE,$U$6=FALSE,$U$7=FALSE)),VLOOKUP($E357,'Status Thresholds'!$E:$AR,3,FALSE),IF((AND($U$4=TRUE,$U$5=FALSE,$U$6=TRUE,$U$7=FALSE)),VLOOKUP($E357,'Status Thresholds'!$E:$AR,13,FALSE),IF((AND($U$4=TRUE,$U$5=FALSE,$U$6=TRUE,$U$7=TRUE)),VLOOKUP($E357,'Status Thresholds'!$E:$AR,18,FALSE),IF((AND($U$4=TRUE,$U$5=FALSE,$U$6=FALSE,$U$7=TRUE)),VLOOKUP($E357,'Status Thresholds'!$E:$AR,8,FALSE),
IF((AND($U$4=FALSE,$U$5=TRUE,$U$6=FALSE,$U$7=FALSE)),VLOOKUP($E357,'Status Thresholds'!$E:$AR,23,FALSE),IF((AND($U$4=FALSE,$U$5=TRUE,$U$6=TRUE,$U$7=FALSE)),VLOOKUP($E357,'Status Thresholds'!$E:$AR,33,FALSE),IF((AND($U$4=FALSE,$U$5=TRUE,$U$6=TRUE,$U$7=TRUE)),VLOOKUP($E357,'Status Thresholds'!$E:$AR,38,FALSE),IF((AND($U$4=FALSE,$U$5=TRUE,$U$6=FALSE,$U$7=TRUE)),VLOOKUP($E357,'Status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358" s="36" t="str">
        <f>IFERROR(
ROUNDUP(
IF(AND($U$5=FALSE,$U$4=FALSE),"-",IF(AND($U$5=TRUE,$U$4=TRUE),"-",
IF((AND($U$4=TRUE,$U$5=FALSE,$U$6=FALSE,$U$7=FALSE)),VLOOKUP($E357,'Status Thresholds'!$E:$AR,4,FALSE),IF((AND($U$4=TRUE,$U$5=FALSE,$U$6=TRUE,$U$7=FALSE)),VLOOKUP($E357,'Status Thresholds'!$E:$AR,14,FALSE),IF((AND($U$4=TRUE,$U$5=FALSE,$U$6=TRUE,$U$7=TRUE)),VLOOKUP($E357,'Status Thresholds'!$E:$AR,19,FALSE),IF((AND($U$4=TRUE,$U$5=FALSE,$U$6=FALSE,$U$7=TRUE)),VLOOKUP($E357,'Status Thresholds'!$E:$AR,9,FALSE),
IF((AND($U$4=FALSE,$U$5=TRUE,$U$6=FALSE,$U$7=FALSE)),VLOOKUP($E357,'Status Thresholds'!$E:$AR,24,FALSE),IF((AND($U$4=FALSE,$U$5=TRUE,$U$6=TRUE,$U$7=FALSE)),VLOOKUP($E357,'Status Thresholds'!$E:$AR,34,FALSE),IF((AND($U$4=FALSE,$U$5=TRUE,$U$6=TRUE,$U$7=TRUE)),VLOOKUP($E357,'Status Thresholds'!$E:$AR,39,FALSE),IF((AND($U$4=FALSE,$U$5=TRUE,$U$6=FALSE,$U$7=TRUE)),VLOOKUP($E357,'Status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358" s="36" t="str">
        <f>IFERROR(
ROUNDUP(
IF(AND($U$5=FALSE,$U$4=FALSE),"-",IF(AND($U$5=TRUE,$U$4=TRUE),"-",
IF((AND($U$4=TRUE,$U$5=FALSE,$U$6=FALSE,$U$7=FALSE)),VLOOKUP($E357,'Status Thresholds'!$E:$AR,5,FALSE),IF((AND($U$4=TRUE,$U$5=FALSE,$U$6=TRUE,$U$7=FALSE)),VLOOKUP($E357,'Status Thresholds'!$E:$AR,15,FALSE),IF((AND($U$4=TRUE,$U$5=FALSE,$U$6=TRUE,$U$7=TRUE)),VLOOKUP($E357,'Status Thresholds'!$E:$AR,20,FALSE),IF((AND($U$4=TRUE,$U$5=FALSE,$U$6=FALSE,$U$7=TRUE)),VLOOKUP($E357,'Status Thresholds'!$E:$AR,10,FALSE),
IF((AND($U$4=FALSE,$U$5=TRUE,$U$6=FALSE,$U$7=FALSE)),VLOOKUP($E357,'Status Thresholds'!$E:$AR,25,FALSE),IF((AND($U$4=FALSE,$U$5=TRUE,$U$6=TRUE,$U$7=FALSE)),VLOOKUP($E357,'Status Thresholds'!$E:$AR,35,FALSE),IF((AND($U$4=FALSE,$U$5=TRUE,$U$6=TRUE,$U$7=TRUE)),VLOOKUP($E357,'Status Thresholds'!$E:$AR,40,FALSE),IF((AND($U$4=FALSE,$U$5=TRUE,$U$6=FALSE,$U$7=TRUE)),VLOOKUP($E357,'Status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358" s="46">
        <f>IFERROR(IF(AND($U$5=FALSE,$U$4=FALSE),"-",VLOOKUP($E358,'Status Thresholds'!$E:$AU,41,FALSE)),"-")</f>
        <v>0</v>
      </c>
      <c r="K358" s="46" t="str">
        <f>IFERROR(IF(AND($U$5=FALSE,$U$4=FALSE),"-",VLOOKUP($E358,'Status Thresholds'!$E:$AU,42,FALSE)),"-")</f>
        <v>-</v>
      </c>
      <c r="L358" s="46" t="str">
        <f>IFERROR(IF(AND($U$5=FALSE,$U$4=FALSE),"-",VLOOKUP($E358,'Status Thresholds'!$E:$AU,43,FALSE)),"-")</f>
        <v>-</v>
      </c>
    </row>
    <row r="359" spans="1:12" ht="15" customHeight="1" x14ac:dyDescent="0.25">
      <c r="A359" s="35"/>
      <c r="B359" s="64" t="str">
        <f>VLOOKUP(C359,'Status Thresholds'!B:C,2,FALSE)</f>
        <v>MHGU</v>
      </c>
      <c r="C359" s="64" t="str">
        <f>IF('Status Thresholds'!B354=0, "", 'Status Thresholds'!B354)</f>
        <v>Gore Magala (Chaotic)</v>
      </c>
      <c r="D359" s="77" t="s">
        <v>207</v>
      </c>
      <c r="E359" s="36" t="str">
        <f t="shared" si="5"/>
        <v>Gore Magala (Chaotic)Shock Trap</v>
      </c>
      <c r="F359" s="76" t="s">
        <v>214</v>
      </c>
      <c r="G359" s="46" t="s">
        <v>214</v>
      </c>
      <c r="H359" s="46" t="s">
        <v>214</v>
      </c>
      <c r="I359" s="46" t="s">
        <v>214</v>
      </c>
      <c r="J359" s="46">
        <f>IFERROR(IF(AND($U$5=FALSE,$U$4=FALSE),"-",VLOOKUP($E359,'Status Thresholds'!$E:$AU,43,FALSE)),"-")</f>
        <v>8</v>
      </c>
      <c r="K359" s="46">
        <f>IFERROR(IF(AND($U$5=FALSE,$U$4=FALSE),"-",VLOOKUP($E359,'Status Thresholds'!$E:$AU,41,FALSE)),"-")</f>
        <v>8</v>
      </c>
      <c r="L359" s="46">
        <f>IFERROR(IF(AND($U$5=FALSE,$U$4=FALSE),"-",VLOOKUP($E359,'Status Thresholds'!$E:$AU,42,FALSE)),"-")</f>
        <v>15</v>
      </c>
    </row>
    <row r="360" spans="1:12" x14ac:dyDescent="0.25">
      <c r="A360" s="35"/>
      <c r="B360" s="64" t="str">
        <f>VLOOKUP(C360,'Status Thresholds'!B:C,2,FALSE)</f>
        <v>MHGU</v>
      </c>
      <c r="C360" s="64" t="str">
        <f>IF('Status Thresholds'!B355=0, "", 'Status Thresholds'!B355)</f>
        <v>Gore Magala (Chaotic)</v>
      </c>
      <c r="D360" s="77" t="s">
        <v>213</v>
      </c>
      <c r="E360" s="36" t="str">
        <f t="shared" si="5"/>
        <v>Gore Magala (Chaotic)Pitfall Trap</v>
      </c>
      <c r="F360" s="46" t="s">
        <v>214</v>
      </c>
      <c r="G360" s="46" t="s">
        <v>214</v>
      </c>
      <c r="H360" s="46" t="s">
        <v>214</v>
      </c>
      <c r="I360" s="46" t="s">
        <v>214</v>
      </c>
      <c r="J360" s="46">
        <f>IFERROR(IF(AND($U$5=FALSE,$U$4=FALSE),"-",VLOOKUP($E360,'Status Thresholds'!$E:$AU,43,FALSE)),"-")</f>
        <v>10</v>
      </c>
      <c r="K360" s="46">
        <f>IFERROR(IF(AND($U$5=FALSE,$U$4=FALSE),"-",VLOOKUP($E360,'Status Thresholds'!$E:$AU,41,FALSE)),"-")</f>
        <v>10</v>
      </c>
      <c r="L360" s="46">
        <f>IFERROR(IF(AND($U$5=FALSE,$U$4=FALSE),"-",VLOOKUP($E360,'Status Thresholds'!$E:$AU,42,FALSE)),"-")</f>
        <v>20</v>
      </c>
    </row>
    <row r="361" spans="1:12" s="36" customFormat="1" x14ac:dyDescent="0.25">
      <c r="A361" s="64"/>
      <c r="B361" s="64" t="str">
        <f>VLOOKUP(C361,'Status Thresholds'!B:C,2,FALSE)</f>
        <v>MHGen</v>
      </c>
      <c r="C361" s="64" t="str">
        <f>IF('Status Thresholds'!B356=0, "", 'Status Thresholds'!B356)</f>
        <v>Gore Magala (Shagaru)</v>
      </c>
      <c r="D361" s="37" t="s">
        <v>0</v>
      </c>
      <c r="E361" s="36" t="str">
        <f t="shared" si="5"/>
        <v>Gore Magala (Shagaru)Para</v>
      </c>
      <c r="F361" s="36" t="str">
        <f>IFERROR(
ROUNDUP(
IF(AND($U$5=FALSE,$U$4=FALSE),"-",IF(AND($U$5=TRUE,$U$4=TRUE),"-",
IF((AND($U$4=TRUE,$U$5=FALSE,$U$6=FALSE,$U$7=FALSE)),VLOOKUP($E361,'Status Thresholds'!$E:$AR,2,FALSE),IF((AND($U$4=TRUE,$U$5=FALSE,$U$6=TRUE,$U$7=FALSE)),VLOOKUP($E361,'Status Thresholds'!$E:$AR,12,FALSE),IF((AND($U$4=TRUE,$U$5=FALSE,$U$6=TRUE,$U$7=TRUE)),VLOOKUP($E361,'Status Thresholds'!$E:$AR,17,FALSE),IF((AND($U$4=TRUE,$U$5=FALSE,$U$6=FALSE,$U$7=TRUE)),VLOOKUP($E361,'Status Thresholds'!$E:$AR,7,FALSE),
IF((AND($U$4=FALSE,$U$5=TRUE,$U$6=FALSE,$U$7=FALSE)),VLOOKUP($E361,'Status Thresholds'!$E:$AR,22,FALSE),IF((AND($U$4=FALSE,$U$5=TRUE,$U$6=TRUE,$U$7=FALSE)),VLOOKUP($E361,'Status Thresholds'!$E:$AR,32,FALSE),IF((AND($U$4=FALSE,$U$5=TRUE,$U$6=TRUE,$U$7=TRUE)),VLOOKUP($E361,'Status Thresholds'!$E:$AR,37,FALSE),IF((AND($U$4=FALSE,$U$5=TRUE,$U$6=FALSE,$U$7=TRUE)),VLOOKUP($E361,'Status Thresholds'!$E:$AR,27,FALSE)))))))))
))/
IF(OR($X$5=TRUE,$AC$3=TRUE
),($F$3/2), IF(OR($X$2,$X$3,$X$4,$X$6,$X$7,$X$8,$Z$2,$Z$3,$Z$4,$Z$5,$Z$6,$Z$7,$Z$8)=TRUE,$F$3)),0),"-")</f>
        <v>-</v>
      </c>
      <c r="G361" s="36" t="str">
        <f>IFERROR(
ROUNDUP(
IF(AND($U$5=FALSE,$U$4=FALSE),"-",IF(AND($U$5=TRUE,$U$4=TRUE),"-",
IF((AND($U$4=TRUE,$U$5=FALSE,$U$6=FALSE,$U$7=FALSE)),VLOOKUP($E361,'Status Thresholds'!$E:$AR,3,FALSE),IF((AND($U$4=TRUE,$U$5=FALSE,$U$6=TRUE,$U$7=FALSE)),VLOOKUP($E361,'Status Thresholds'!$E:$AR,13,FALSE),IF((AND($U$4=TRUE,$U$5=FALSE,$U$6=TRUE,$U$7=TRUE)),VLOOKUP($E361,'Status Thresholds'!$E:$AR,18,FALSE),IF((AND($U$4=TRUE,$U$5=FALSE,$U$6=FALSE,$U$7=TRUE)),VLOOKUP($E361,'Status Thresholds'!$E:$AR,8,FALSE),
IF((AND($U$4=FALSE,$U$5=TRUE,$U$6=FALSE,$U$7=FALSE)),VLOOKUP($E361,'Status Thresholds'!$E:$AR,23,FALSE),IF((AND($U$4=FALSE,$U$5=TRUE,$U$6=TRUE,$U$7=FALSE)),VLOOKUP($E361,'Status Thresholds'!$E:$AR,33,FALSE),IF((AND($U$4=FALSE,$U$5=TRUE,$U$6=TRUE,$U$7=TRUE)),VLOOKUP($E361,'Status Thresholds'!$E:$AR,38,FALSE),IF((AND($U$4=FALSE,$U$5=TRUE,$U$6=FALSE,$U$7=TRUE)),VLOOKUP($E361,'Status Thresholds'!$E:$AR,28,FALSE)))))))))
))/
IF(OR($X$5=TRUE,$AC$3=TRUE
),($F$3/2), IF(OR($X$2,$X$3,$X$4,$X$6,$X$7,$X$8,$Z$2,$Z$3,$Z$4,$Z$5,$Z$6,$Z$7,$Z$8)=TRUE,$F$3)),0),"-")</f>
        <v>-</v>
      </c>
      <c r="H361" s="36" t="str">
        <f>IFERROR(
ROUNDUP(
IF(AND($U$5=FALSE,$U$4=FALSE),"-",IF(AND($U$5=TRUE,$U$4=TRUE),"-",
IF((AND($U$4=TRUE,$U$5=FALSE,$U$6=FALSE,$U$7=FALSE)),VLOOKUP($E361,'Status Thresholds'!$E:$AR,4,FALSE),IF((AND($U$4=TRUE,$U$5=FALSE,$U$6=TRUE,$U$7=FALSE)),VLOOKUP($E361,'Status Thresholds'!$E:$AR,14,FALSE),IF((AND($U$4=TRUE,$U$5=FALSE,$U$6=TRUE,$U$7=TRUE)),VLOOKUP($E361,'Status Thresholds'!$E:$AR,19,FALSE),IF((AND($U$4=TRUE,$U$5=FALSE,$U$6=FALSE,$U$7=TRUE)),VLOOKUP($E361,'Status Thresholds'!$E:$AR,9,FALSE),
IF((AND($U$4=FALSE,$U$5=TRUE,$U$6=FALSE,$U$7=FALSE)),VLOOKUP($E361,'Status Thresholds'!$E:$AR,24,FALSE),IF((AND($U$4=FALSE,$U$5=TRUE,$U$6=TRUE,$U$7=FALSE)),VLOOKUP($E361,'Status Thresholds'!$E:$AR,34,FALSE),IF((AND($U$4=FALSE,$U$5=TRUE,$U$6=TRUE,$U$7=TRUE)),VLOOKUP($E361,'Status Thresholds'!$E:$AR,39,FALSE),IF((AND($U$4=FALSE,$U$5=TRUE,$U$6=FALSE,$U$7=TRUE)),VLOOKUP($E361,'Status Thresholds'!$E:$AR,29,FALSE)))))))))
))/
IF(OR($X$5=TRUE,$AC$3=TRUE
),($F$3/2), IF(OR($X$2,$X$3,$X$4,$X$6,$X$7,$X$8,$Z$2,$Z$3,$Z$4,$Z$5,$Z$6,$Z$7,$Z$8)=TRUE,$F$3)),0),"-")</f>
        <v>-</v>
      </c>
      <c r="I361" s="36" t="str">
        <f>IFERROR(
ROUNDUP(
IF(AND($U$5=FALSE,$U$4=FALSE),"-",IF(AND($U$5=TRUE,$U$4=TRUE),"-",
IF((AND($U$4=TRUE,$U$5=FALSE,$U$6=FALSE,$U$7=FALSE)),VLOOKUP($E361,'Status Thresholds'!$E:$AR,5,FALSE),IF((AND($U$4=TRUE,$U$5=FALSE,$U$6=TRUE,$U$7=FALSE)),VLOOKUP($E361,'Status Thresholds'!$E:$AR,15,FALSE),IF((AND($U$4=TRUE,$U$5=FALSE,$U$6=TRUE,$U$7=TRUE)),VLOOKUP($E361,'Status Thresholds'!$E:$AR,20,FALSE),IF((AND($U$4=TRUE,$U$5=FALSE,$U$6=FALSE,$U$7=TRUE)),VLOOKUP($E361,'Status Thresholds'!$E:$AR,10,FALSE),
IF((AND($U$4=FALSE,$U$5=TRUE,$U$6=FALSE,$U$7=FALSE)),VLOOKUP($E361,'Status Thresholds'!$E:$AR,25,FALSE),IF((AND($U$4=FALSE,$U$5=TRUE,$U$6=TRUE,$U$7=FALSE)),VLOOKUP($E361,'Status Thresholds'!$E:$AR,35,FALSE),IF((AND($U$4=FALSE,$U$5=TRUE,$U$6=TRUE,$U$7=TRUE)),VLOOKUP($E361,'Status Thresholds'!$E:$AR,40,FALSE),IF((AND($U$4=FALSE,$U$5=TRUE,$U$6=FALSE,$U$7=TRUE)),VLOOKUP($E361,'Status Thresholds'!$E:$AR,30,FALSE)))))))))
))/
IF(OR($X$5=TRUE,$AC$3=TRUE
),($F$3/2), IF(OR($X$2,$X$3,$X$4,$X$6,$X$7,$X$8,$Z$2,$Z$3,$Z$4,$Z$5,$Z$6,$Z$7,$Z$8)=TRUE,$F$3)),0),"-")</f>
        <v>-</v>
      </c>
      <c r="J361" s="36">
        <f>IFERROR(IF(AND($U$5=FALSE,$U$4=FALSE),"-",VLOOKUP($E361,'Status Thresholds'!$E:$AU,41,FALSE)),"-")</f>
        <v>10</v>
      </c>
      <c r="K361" s="36" t="str">
        <f>IFERROR(IF(AND($U$5=FALSE,$U$4=FALSE),"-",VLOOKUP($E361,'Status Thresholds'!$E:$AU,42,FALSE)),"-")</f>
        <v>-</v>
      </c>
      <c r="L361" s="36" t="str">
        <f>IFERROR(IF(AND($U$5=FALSE,$U$4=FALSE),"-",VLOOKUP($E361,'Status Thresholds'!$E:$AU,43,FALSE)),"-")</f>
        <v>-</v>
      </c>
    </row>
    <row r="362" spans="1:12" x14ac:dyDescent="0.25">
      <c r="A362" s="35"/>
      <c r="B362" s="64" t="str">
        <f>VLOOKUP(C362,'Status Thresholds'!B:C,2,FALSE)</f>
        <v>MHGen</v>
      </c>
      <c r="C362" s="64" t="str">
        <f>IF('Status Thresholds'!B357=0, "", 'Status Thresholds'!B357)</f>
        <v>Gore Magala (Shagaru)</v>
      </c>
      <c r="D362" s="31" t="s">
        <v>32</v>
      </c>
      <c r="E362" s="36" t="str">
        <f t="shared" si="5"/>
        <v>Gore Magala (Shagaru)Sleep</v>
      </c>
      <c r="F362" s="36" t="str">
        <f>IFERROR(
ROUNDUP(
IF(AND($U$5=FALSE,$U$4=FALSE),"-",IF(AND($U$5=TRUE,$U$4=TRUE),"-",
IF((AND($U$4=TRUE,$U$5=FALSE,$U$6=FALSE,$U$7=FALSE)),VLOOKUP($E362,'Status Thresholds'!$E:$AR,2,FALSE),IF((AND($U$4=TRUE,$U$5=FALSE,$U$6=TRUE,$U$7=FALSE)),VLOOKUP($E362,'Status Thresholds'!$E:$AR,12,FALSE),IF((AND($U$4=TRUE,$U$5=FALSE,$U$6=TRUE,$U$7=TRUE)),VLOOKUP($E362,'Status Thresholds'!$E:$AR,17,FALSE),IF((AND($U$4=TRUE,$U$5=FALSE,$U$6=FALSE,$U$7=TRUE)),VLOOKUP($E362,'Status Thresholds'!$E:$AR,7,FALSE),
IF((AND($U$4=FALSE,$U$5=TRUE,$U$6=FALSE,$U$7=FALSE)),VLOOKUP($E362,'Status Thresholds'!$E:$AR,22,FALSE),IF((AND($U$4=FALSE,$U$5=TRUE,$U$6=TRUE,$U$7=FALSE)),VLOOKUP($E362,'Status Thresholds'!$E:$AR,32,FALSE),IF((AND($U$4=FALSE,$U$5=TRUE,$U$6=TRUE,$U$7=TRUE)),VLOOKUP($E362,'Status Thresholds'!$E:$AR,37,FALSE),IF((AND($U$4=FALSE,$U$5=TRUE,$U$6=FALSE,$U$7=TRUE)),VLOOKUP($E362,'Status Thresholds'!$E:$AR,27,FALSE)))))))))
))/
IF(OR($X$5=TRUE,$AC$3=TRUE
),($F$4/2), IF(OR($X$2,$X$3,$X$4,$X$6,$X$7,$X$8,$Z$2,$Z$3,$Z$4,$Z$5,$Z$6,$Z$7,$Z$8)=TRUE,$F$4)),0),"-")</f>
        <v>-</v>
      </c>
      <c r="G362" s="36" t="str">
        <f>IFERROR(
ROUNDUP(
IF(AND($U$5=FALSE,$U$4=FALSE),"-",IF(AND($U$5=TRUE,$U$4=TRUE),"-",
IF((AND($U$4=TRUE,$U$5=FALSE,$U$6=FALSE,$U$7=FALSE)),VLOOKUP($E362,'Status Thresholds'!$E:$AR,3,FALSE),IF((AND($U$4=TRUE,$U$5=FALSE,$U$6=TRUE,$U$7=FALSE)),VLOOKUP($E362,'Status Thresholds'!$E:$AR,13,FALSE),IF((AND($U$4=TRUE,$U$5=FALSE,$U$6=TRUE,$U$7=TRUE)),VLOOKUP($E362,'Status Thresholds'!$E:$AR,18,FALSE),IF((AND($U$4=TRUE,$U$5=FALSE,$U$6=FALSE,$U$7=TRUE)),VLOOKUP($E362,'Status Thresholds'!$E:$AR,8,FALSE),
IF((AND($U$4=FALSE,$U$5=TRUE,$U$6=FALSE,$U$7=FALSE)),VLOOKUP($E362,'Status Thresholds'!$E:$AR,23,FALSE),IF((AND($U$4=FALSE,$U$5=TRUE,$U$6=TRUE,$U$7=FALSE)),VLOOKUP($E362,'Status Thresholds'!$E:$AR,33,FALSE),IF((AND($U$4=FALSE,$U$5=TRUE,$U$6=TRUE,$U$7=TRUE)),VLOOKUP($E362,'Status Thresholds'!$E:$AR,38,FALSE),IF((AND($U$4=FALSE,$U$5=TRUE,$U$6=FALSE,$U$7=TRUE)),VLOOKUP($E362,'Status Thresholds'!$E:$AR,28,FALSE)))))))))
))/
IF(OR($X$5=TRUE,$AC$3=TRUE
),($F$4/2), IF(OR($X$2,$X$3,$X$4,$X$6,$X$7,$X$8,$Z$2,$Z$3,$Z$4,$Z$5,$Z$6,$Z$7,$Z$8)=TRUE,$F$4)),0),"-")</f>
        <v>-</v>
      </c>
      <c r="H362" s="36" t="str">
        <f>IFERROR(
ROUNDUP(
IF(AND($U$5=FALSE,$U$4=FALSE),"-",IF(AND($U$5=TRUE,$U$4=TRUE),"-",
IF((AND($U$4=TRUE,$U$5=FALSE,$U$6=FALSE,$U$7=FALSE)),VLOOKUP($E362,'Status Thresholds'!$E:$AR,4,FALSE),IF((AND($U$4=TRUE,$U$5=FALSE,$U$6=TRUE,$U$7=FALSE)),VLOOKUP($E362,'Status Thresholds'!$E:$AR,14,FALSE),IF((AND($U$4=TRUE,$U$5=FALSE,$U$6=TRUE,$U$7=TRUE)),VLOOKUP($E362,'Status Thresholds'!$E:$AR,19,FALSE),IF((AND($U$4=TRUE,$U$5=FALSE,$U$6=FALSE,$U$7=TRUE)),VLOOKUP($E362,'Status Thresholds'!$E:$AR,9,FALSE),
IF((AND($U$4=FALSE,$U$5=TRUE,$U$6=FALSE,$U$7=FALSE)),VLOOKUP($E362,'Status Thresholds'!$E:$AR,24,FALSE),IF((AND($U$4=FALSE,$U$5=TRUE,$U$6=TRUE,$U$7=FALSE)),VLOOKUP($E362,'Status Thresholds'!$E:$AR,34,FALSE),IF((AND($U$4=FALSE,$U$5=TRUE,$U$6=TRUE,$U$7=TRUE)),VLOOKUP($E362,'Status Thresholds'!$E:$AR,39,FALSE),IF((AND($U$4=FALSE,$U$5=TRUE,$U$6=FALSE,$U$7=TRUE)),VLOOKUP($E362,'Status Thresholds'!$E:$AR,29,FALSE)))))))))
))/
IF(OR($X$5=TRUE,$AC$3=TRUE
),($F$4/2), IF(OR($X$2,$X$3,$X$4,$X$6,$X$7,$X$8,$Z$2,$Z$3,$Z$4,$Z$5,$Z$6,$Z$7,$Z$8)=TRUE,$F$4)),0),"-")</f>
        <v>-</v>
      </c>
      <c r="I362" s="36" t="str">
        <f>IFERROR(
ROUNDUP(
IF(AND($U$5=FALSE,$U$4=FALSE),"-",IF(AND($U$5=TRUE,$U$4=TRUE),"-",
IF((AND($U$4=TRUE,$U$5=FALSE,$U$6=FALSE,$U$7=FALSE)),VLOOKUP($E362,'Status Thresholds'!$E:$AR,5,FALSE),IF((AND($U$4=TRUE,$U$5=FALSE,$U$6=TRUE,$U$7=FALSE)),VLOOKUP($E362,'Status Thresholds'!$E:$AR,15,FALSE),IF((AND($U$4=TRUE,$U$5=FALSE,$U$6=TRUE,$U$7=TRUE)),VLOOKUP($E362,'Status Thresholds'!$E:$AR,20,FALSE),IF((AND($U$4=TRUE,$U$5=FALSE,$U$6=FALSE,$U$7=TRUE)),VLOOKUP($E362,'Status Thresholds'!$E:$AR,10,FALSE),
IF((AND($U$4=FALSE,$U$5=TRUE,$U$6=FALSE,$U$7=FALSE)),VLOOKUP($E362,'Status Thresholds'!$E:$AR,25,FALSE),IF((AND($U$4=FALSE,$U$5=TRUE,$U$6=TRUE,$U$7=FALSE)),VLOOKUP($E362,'Status Thresholds'!$E:$AR,35,FALSE),IF((AND($U$4=FALSE,$U$5=TRUE,$U$6=TRUE,$U$7=TRUE)),VLOOKUP($E362,'Status Thresholds'!$E:$AR,40,FALSE),IF((AND($U$4=FALSE,$U$5=TRUE,$U$6=FALSE,$U$7=TRUE)),VLOOKUP($E362,'Status Thresholds'!$E:$AR,30,FALSE)))))))))
))/
IF(OR($X$5=TRUE,$AC$3=TRUE
),($F$4/2), IF(OR($X$2,$X$3,$X$4,$X$6,$X$7,$X$8,$Z$2,$Z$3,$Z$4,$Z$5,$Z$6,$Z$7,$Z$8)=TRUE,$F$4)),0),"-")</f>
        <v>-</v>
      </c>
      <c r="J362" s="46">
        <f>IFERROR(IF(AND($U$5=FALSE,$U$4=FALSE),"-",VLOOKUP($E362,'Status Thresholds'!$E:$AU,41,FALSE)),"-")</f>
        <v>40</v>
      </c>
      <c r="K362" s="46" t="str">
        <f>IFERROR(IF(AND($U$5=FALSE,$U$4=FALSE),"-",VLOOKUP($E362,'Status Thresholds'!$E:$AU,42,FALSE)),"-")</f>
        <v>-</v>
      </c>
      <c r="L362" s="46" t="str">
        <f>IFERROR(IF(AND($U$5=FALSE,$U$4=FALSE),"-",VLOOKUP($E362,'Status Thresholds'!$E:$AU,43,FALSE)),"-")</f>
        <v>-</v>
      </c>
    </row>
    <row r="363" spans="1:12" x14ac:dyDescent="0.25">
      <c r="A363" s="35"/>
      <c r="B363" s="64" t="str">
        <f>VLOOKUP(C363,'Status Thresholds'!B:C,2,FALSE)</f>
        <v>MHGen</v>
      </c>
      <c r="C363" s="64" t="str">
        <f>IF('Status Thresholds'!B358=0, "", 'Status Thresholds'!B358)</f>
        <v>Gore Magala (Shagaru)</v>
      </c>
      <c r="D363" s="32" t="s">
        <v>33</v>
      </c>
      <c r="E363" s="36" t="str">
        <f t="shared" si="5"/>
        <v>Gore Magala (Shagaru)Poison</v>
      </c>
      <c r="F363" s="36" t="str">
        <f>IFERROR(
ROUNDUP(
IF(AND($U$5=FALSE,$U$4=FALSE),"-",IF(AND($U$5=TRUE,$U$4=TRUE),"-",
IF((AND($U$4=TRUE,$U$5=FALSE,$U$6=FALSE,$U$7=FALSE)),VLOOKUP($E363,'Status Thresholds'!$E:$AR,2,FALSE),IF((AND($U$4=TRUE,$U$5=FALSE,$U$6=TRUE,$U$7=FALSE)),VLOOKUP($E363,'Status Thresholds'!$E:$AR,12,FALSE),IF((AND($U$4=TRUE,$U$5=FALSE,$U$6=TRUE,$U$7=TRUE)),VLOOKUP($E363,'Status Thresholds'!$E:$AR,17,FALSE),IF((AND($U$4=TRUE,$U$5=FALSE,$U$6=FALSE,$U$7=TRUE)),VLOOKUP($E363,'Status Thresholds'!$E:$AR,7,FALSE),
IF((AND($U$4=FALSE,$U$5=TRUE,$U$6=FALSE,$U$7=FALSE)),VLOOKUP($E363,'Status Thresholds'!$E:$AR,22,FALSE),IF((AND($U$4=FALSE,$U$5=TRUE,$U$6=TRUE,$U$7=FALSE)),VLOOKUP($E363,'Status Thresholds'!$E:$AR,32,FALSE),IF((AND($U$4=FALSE,$U$5=TRUE,$U$6=TRUE,$U$7=TRUE)),VLOOKUP($E363,'Status Thresholds'!$E:$AR,37,FALSE),IF((AND($U$4=FALSE,$U$5=TRUE,$U$6=FALSE,$U$7=TRUE)),VLOOKUP($E363,'Status Thresholds'!$E:$AR,27,FALSE)))))))))
))/
IF(OR($X$5=TRUE,$AC$3=TRUE
),($F$5/2), IF(OR($X$2,$X$3,$X$4,$X$6,$X$7,$X$8,$Z$2,$Z$3,$Z$4,$Z$5,$Z$6,$Z$7,$Z$8)=TRUE,$F$5)),0),"-")</f>
        <v>-</v>
      </c>
      <c r="G363" s="36" t="str">
        <f>IFERROR(
ROUNDUP(
IF(AND($U$5=FALSE,$U$4=FALSE),"-",IF(AND($U$5=TRUE,$U$4=TRUE),"-",
IF((AND($U$4=TRUE,$U$5=FALSE,$U$6=FALSE,$U$7=FALSE)),VLOOKUP($E363,'Status Thresholds'!$E:$AR,3,FALSE),IF((AND($U$4=TRUE,$U$5=FALSE,$U$6=TRUE,$U$7=FALSE)),VLOOKUP($E363,'Status Thresholds'!$E:$AR,13,FALSE),IF((AND($U$4=TRUE,$U$5=FALSE,$U$6=TRUE,$U$7=TRUE)),VLOOKUP($E363,'Status Thresholds'!$E:$AR,18,FALSE),IF((AND($U$4=TRUE,$U$5=FALSE,$U$6=FALSE,$U$7=TRUE)),VLOOKUP($E363,'Status Thresholds'!$E:$AR,8,FALSE),
IF((AND($U$4=FALSE,$U$5=TRUE,$U$6=FALSE,$U$7=FALSE)),VLOOKUP($E363,'Status Thresholds'!$E:$AR,23,FALSE),IF((AND($U$4=FALSE,$U$5=TRUE,$U$6=TRUE,$U$7=FALSE)),VLOOKUP($E363,'Status Thresholds'!$E:$AR,33,FALSE),IF((AND($U$4=FALSE,$U$5=TRUE,$U$6=TRUE,$U$7=TRUE)),VLOOKUP($E363,'Status Thresholds'!$E:$AR,38,FALSE),IF((AND($U$4=FALSE,$U$5=TRUE,$U$6=FALSE,$U$7=TRUE)),VLOOKUP($E363,'Status Thresholds'!$E:$AR,28,FALSE)))))))))
))/
IF(OR($X$5=TRUE,$AC$3=TRUE
),($F$5/2), IF(OR($X$2,$X$3,$X$4,$X$6,$X$7,$X$8,$Z$2,$Z$3,$Z$4,$Z$5,$Z$6,$Z$7,$Z$8)=TRUE,$F$5)),0),"-")</f>
        <v>-</v>
      </c>
      <c r="H363" s="36" t="str">
        <f>IFERROR(
ROUNDUP(
IF(AND($U$5=FALSE,$U$4=FALSE),"-",IF(AND($U$5=TRUE,$U$4=TRUE),"-",
IF((AND($U$4=TRUE,$U$5=FALSE,$U$6=FALSE,$U$7=FALSE)),VLOOKUP($E363,'Status Thresholds'!$E:$AR,4,FALSE),IF((AND($U$4=TRUE,$U$5=FALSE,$U$6=TRUE,$U$7=FALSE)),VLOOKUP($E363,'Status Thresholds'!$E:$AR,14,FALSE),IF((AND($U$4=TRUE,$U$5=FALSE,$U$6=TRUE,$U$7=TRUE)),VLOOKUP($E363,'Status Thresholds'!$E:$AR,19,FALSE),IF((AND($U$4=TRUE,$U$5=FALSE,$U$6=FALSE,$U$7=TRUE)),VLOOKUP($E363,'Status Thresholds'!$E:$AR,9,FALSE),
IF((AND($U$4=FALSE,$U$5=TRUE,$U$6=FALSE,$U$7=FALSE)),VLOOKUP($E363,'Status Thresholds'!$E:$AR,24,FALSE),IF((AND($U$4=FALSE,$U$5=TRUE,$U$6=TRUE,$U$7=FALSE)),VLOOKUP($E363,'Status Thresholds'!$E:$AR,34,FALSE),IF((AND($U$4=FALSE,$U$5=TRUE,$U$6=TRUE,$U$7=TRUE)),VLOOKUP($E363,'Status Thresholds'!$E:$AR,39,FALSE),IF((AND($U$4=FALSE,$U$5=TRUE,$U$6=FALSE,$U$7=TRUE)),VLOOKUP($E363,'Status Thresholds'!$E:$AR,29,FALSE)))))))))
))/
IF(OR($X$5=TRUE,$AC$3=TRUE
),($F$5/2), IF(OR($X$2,$X$3,$X$4,$X$6,$X$7,$X$8,$Z$2,$Z$3,$Z$4,$Z$5,$Z$6,$Z$7,$Z$8)=TRUE,$F$5)),0),"-")</f>
        <v>-</v>
      </c>
      <c r="I363" s="36" t="str">
        <f>IFERROR(
ROUNDUP(
IF(AND($U$5=FALSE,$U$4=FALSE),"-",IF(AND($U$5=TRUE,$U$4=TRUE),"-",
IF((AND($U$4=TRUE,$U$5=FALSE,$U$6=FALSE,$U$7=FALSE)),VLOOKUP($E363,'Status Thresholds'!$E:$AR,5,FALSE),IF((AND($U$4=TRUE,$U$5=FALSE,$U$6=TRUE,$U$7=FALSE)),VLOOKUP($E363,'Status Thresholds'!$E:$AR,15,FALSE),IF((AND($U$4=TRUE,$U$5=FALSE,$U$6=TRUE,$U$7=TRUE)),VLOOKUP($E363,'Status Thresholds'!$E:$AR,20,FALSE),IF((AND($U$4=TRUE,$U$5=FALSE,$U$6=FALSE,$U$7=TRUE)),VLOOKUP($E363,'Status Thresholds'!$E:$AR,10,FALSE),
IF((AND($U$4=FALSE,$U$5=TRUE,$U$6=FALSE,$U$7=FALSE)),VLOOKUP($E363,'Status Thresholds'!$E:$AR,25,FALSE),IF((AND($U$4=FALSE,$U$5=TRUE,$U$6=TRUE,$U$7=FALSE)),VLOOKUP($E363,'Status Thresholds'!$E:$AR,35,FALSE),IF((AND($U$4=FALSE,$U$5=TRUE,$U$6=TRUE,$U$7=TRUE)),VLOOKUP($E363,'Status Thresholds'!$E:$AR,40,FALSE),IF((AND($U$4=FALSE,$U$5=TRUE,$U$6=FALSE,$U$7=TRUE)),VLOOKUP($E363,'Status Thresholds'!$E:$AR,30,FALSE)))))))))
))/
IF(OR($X$5=TRUE,$AC$3=TRUE
),($F$5/2), IF(OR($X$2,$X$3,$X$4,$X$6,$X$7,$X$8,$Z$2,$Z$3,$Z$4,$Z$5,$Z$6,$Z$7,$Z$8)=TRUE,$F$5)),0),"-")</f>
        <v>-</v>
      </c>
      <c r="J363" s="46">
        <f>IFERROR(IF(AND($U$5=FALSE,$U$4=FALSE),"-",VLOOKUP($E363,'Status Thresholds'!$E:$AU,41,FALSE)),"-")</f>
        <v>60</v>
      </c>
      <c r="K363" s="46" t="str">
        <f>IFERROR(IF(AND($U$5=FALSE,$U$4=FALSE),"-",VLOOKUP($E363,'Status Thresholds'!$E:$AU,42,FALSE)),"-")</f>
        <v>-</v>
      </c>
      <c r="L363" s="46" t="str">
        <f>IFERROR(IF(AND($U$5=FALSE,$U$4=FALSE),"-",VLOOKUP($E363,'Status Thresholds'!$E:$AU,43,FALSE)),"-")</f>
        <v>-</v>
      </c>
    </row>
    <row r="364" spans="1:12" x14ac:dyDescent="0.25">
      <c r="A364" s="35"/>
      <c r="B364" s="64" t="str">
        <f>VLOOKUP(C364,'Status Thresholds'!B:C,2,FALSE)</f>
        <v>MHGen</v>
      </c>
      <c r="C364" s="64" t="str">
        <f>IF('Status Thresholds'!B359=0, "", 'Status Thresholds'!B359)</f>
        <v>Gore Magala (Shagaru)</v>
      </c>
      <c r="D364" s="10" t="s">
        <v>22</v>
      </c>
      <c r="E364" s="36" t="str">
        <f t="shared" si="5"/>
        <v>Gore Magala (Shagaru)Exhaust</v>
      </c>
      <c r="F364" s="36" t="str">
        <f>IFERROR(
ROUNDUP(
IF(AND($U$5=FALSE,$U$4=FALSE),"-",IF(AND($U$5=TRUE,$U$4=TRUE),"-",
IF((AND($U$4=TRUE,$U$5=FALSE,$U$6=FALSE,$U$7=FALSE)),VLOOKUP($E364,'Status Thresholds'!$E:$AR,2,FALSE),IF((AND($U$4=TRUE,$U$5=FALSE,$U$6=TRUE,$U$7=FALSE)),VLOOKUP($E364,'Status Thresholds'!$E:$AR,12,FALSE),IF((AND($U$4=TRUE,$U$5=FALSE,$U$6=TRUE,$U$7=TRUE)),VLOOKUP($E364,'Status Thresholds'!$E:$AR,17,FALSE),IF((AND($U$4=TRUE,$U$5=FALSE,$U$6=FALSE,$U$7=TRUE)),VLOOKUP($E364,'Status Thresholds'!$E:$AR,7,FALSE),
IF((AND($U$4=FALSE,$U$5=TRUE,$U$6=FALSE,$U$7=FALSE)),VLOOKUP($E364,'Status Thresholds'!$E:$AR,22,FALSE),IF((AND($U$4=FALSE,$U$5=TRUE,$U$6=TRUE,$U$7=FALSE)),VLOOKUP($E364,'Status Thresholds'!$E:$AR,32,FALSE),IF((AND($U$4=FALSE,$U$5=TRUE,$U$6=TRUE,$U$7=TRUE)),VLOOKUP($E364,'Status Thresholds'!$E:$AR,37,FALSE),IF((AND($U$4=FALSE,$U$5=TRUE,$U$6=FALSE,$U$7=TRUE)),VLOOKUP($E364,'Status Thresholds'!$E:$AR,27,FALSE)))))))))
))/
IF(OR($X$5=TRUE,$AC$3=TRUE
),($F$6/2), IF(OR($X$2,$X$3,$X$4,$X$6,$X$7,$X$8,$Z$2,$Z$3,$Z$4,$Z$5,$Z$6,$Z$7,$Z$8)=TRUE,$F$6)),0),"-")</f>
        <v>-</v>
      </c>
      <c r="G364" s="36" t="str">
        <f>IFERROR(
ROUNDUP(
IF(AND($U$5=FALSE,$U$4=FALSE),"-",IF(AND($U$5=TRUE,$U$4=TRUE),"-",
IF((AND($U$4=TRUE,$U$5=FALSE,$U$6=FALSE,$U$7=FALSE)),VLOOKUP($E364,'Status Thresholds'!$E:$AR,3,FALSE),IF((AND($U$4=TRUE,$U$5=FALSE,$U$6=TRUE,$U$7=FALSE)),VLOOKUP($E364,'Status Thresholds'!$E:$AR,13,FALSE),IF((AND($U$4=TRUE,$U$5=FALSE,$U$6=TRUE,$U$7=TRUE)),VLOOKUP($E364,'Status Thresholds'!$E:$AR,18,FALSE),IF((AND($U$4=TRUE,$U$5=FALSE,$U$6=FALSE,$U$7=TRUE)),VLOOKUP($E364,'Status Thresholds'!$E:$AR,8,FALSE),
IF((AND($U$4=FALSE,$U$5=TRUE,$U$6=FALSE,$U$7=FALSE)),VLOOKUP($E364,'Status Thresholds'!$E:$AR,23,FALSE),IF((AND($U$4=FALSE,$U$5=TRUE,$U$6=TRUE,$U$7=FALSE)),VLOOKUP($E364,'Status Thresholds'!$E:$AR,33,FALSE),IF((AND($U$4=FALSE,$U$5=TRUE,$U$6=TRUE,$U$7=TRUE)),VLOOKUP($E364,'Status Thresholds'!$E:$AR,38,FALSE),IF((AND($U$4=FALSE,$U$5=TRUE,$U$6=FALSE,$U$7=TRUE)),VLOOKUP($E364,'Status Thresholds'!$E:$AR,28,FALSE)))))))))
))/
IF(OR($X$5=TRUE,$AC$3=TRUE
),($F$6/2), IF(OR($X$2,$X$3,$X$4,$X$6,$X$7,$X$8,$Z$2,$Z$3,$Z$4,$Z$5,$Z$6,$Z$7,$Z$8)=TRUE,$F$6)),0),"-")</f>
        <v>-</v>
      </c>
      <c r="H364" s="36" t="str">
        <f>IFERROR(
ROUNDUP(
IF(AND($U$5=FALSE,$U$4=FALSE),"-",IF(AND($U$5=TRUE,$U$4=TRUE),"-",
IF((AND($U$4=TRUE,$U$5=FALSE,$U$6=FALSE,$U$7=FALSE)),VLOOKUP($E364,'Status Thresholds'!$E:$AR,4,FALSE),IF((AND($U$4=TRUE,$U$5=FALSE,$U$6=TRUE,$U$7=FALSE)),VLOOKUP($E364,'Status Thresholds'!$E:$AR,14,FALSE),IF((AND($U$4=TRUE,$U$5=FALSE,$U$6=TRUE,$U$7=TRUE)),VLOOKUP($E364,'Status Thresholds'!$E:$AR,19,FALSE),IF((AND($U$4=TRUE,$U$5=FALSE,$U$6=FALSE,$U$7=TRUE)),VLOOKUP($E364,'Status Thresholds'!$E:$AR,9,FALSE),
IF((AND($U$4=FALSE,$U$5=TRUE,$U$6=FALSE,$U$7=FALSE)),VLOOKUP($E364,'Status Thresholds'!$E:$AR,24,FALSE),IF((AND($U$4=FALSE,$U$5=TRUE,$U$6=TRUE,$U$7=FALSE)),VLOOKUP($E364,'Status Thresholds'!$E:$AR,34,FALSE),IF((AND($U$4=FALSE,$U$5=TRUE,$U$6=TRUE,$U$7=TRUE)),VLOOKUP($E364,'Status Thresholds'!$E:$AR,39,FALSE),IF((AND($U$4=FALSE,$U$5=TRUE,$U$6=FALSE,$U$7=TRUE)),VLOOKUP($E364,'Status Thresholds'!$E:$AR,29,FALSE)))))))))
))/
IF(OR($X$5=TRUE,$AC$3=TRUE
),($F$6/2), IF(OR($X$2,$X$3,$X$4,$X$6,$X$7,$X$8,$Z$2,$Z$3,$Z$4,$Z$5,$Z$6,$Z$7,$Z$8)=TRUE,$F$6)),0),"-")</f>
        <v>-</v>
      </c>
      <c r="I364" s="36" t="str">
        <f>IFERROR(
ROUNDUP(
IF(AND($U$5=FALSE,$U$4=FALSE),"-",IF(AND($U$5=TRUE,$U$4=TRUE),"-",
IF((AND($U$4=TRUE,$U$5=FALSE,$U$6=FALSE,$U$7=FALSE)),VLOOKUP($E364,'Status Thresholds'!$E:$AR,5,FALSE),IF((AND($U$4=TRUE,$U$5=FALSE,$U$6=TRUE,$U$7=FALSE)),VLOOKUP($E364,'Status Thresholds'!$E:$AR,15,FALSE),IF((AND($U$4=TRUE,$U$5=FALSE,$U$6=TRUE,$U$7=TRUE)),VLOOKUP($E364,'Status Thresholds'!$E:$AR,20,FALSE),IF((AND($U$4=TRUE,$U$5=FALSE,$U$6=FALSE,$U$7=TRUE)),VLOOKUP($E364,'Status Thresholds'!$E:$AR,10,FALSE),
IF((AND($U$4=FALSE,$U$5=TRUE,$U$6=FALSE,$U$7=FALSE)),VLOOKUP($E364,'Status Thresholds'!$E:$AR,25,FALSE),IF((AND($U$4=FALSE,$U$5=TRUE,$U$6=TRUE,$U$7=FALSE)),VLOOKUP($E364,'Status Thresholds'!$E:$AR,35,FALSE),IF((AND($U$4=FALSE,$U$5=TRUE,$U$6=TRUE,$U$7=TRUE)),VLOOKUP($E364,'Status Thresholds'!$E:$AR,40,FALSE),IF((AND($U$4=FALSE,$U$5=TRUE,$U$6=FALSE,$U$7=TRUE)),VLOOKUP($E364,'Status Thresholds'!$E:$AR,30,FALSE)))))))))
))/
IF(OR($X$5=TRUE,$AC$3=TRUE
),($F$6/2), IF(OR($X$2,$X$3,$X$4,$X$6,$X$7,$X$8,$Z$2,$Z$3,$Z$4,$Z$5,$Z$6,$Z$7,$Z$8)=TRUE,$F$6)),0),"-")</f>
        <v>-</v>
      </c>
      <c r="J364" s="46">
        <f>IFERROR(IF(AND($U$5=FALSE,$U$4=FALSE),"-",VLOOKUP($E364,'Status Thresholds'!$E:$AU,41,FALSE)),"-")</f>
        <v>0</v>
      </c>
      <c r="K364" s="46" t="str">
        <f>IFERROR(IF(AND($U$5=FALSE,$U$4=FALSE),"-",VLOOKUP($E364,'Status Thresholds'!$E:$AU,42,FALSE)),"-")</f>
        <v>-</v>
      </c>
      <c r="L364" s="46" t="str">
        <f>IFERROR(IF(AND($U$5=FALSE,$U$4=FALSE),"-",VLOOKUP($E364,'Status Thresholds'!$E:$AU,43,FALSE)),"-")</f>
        <v>-</v>
      </c>
    </row>
    <row r="365" spans="1:12" x14ac:dyDescent="0.25">
      <c r="A365" s="35"/>
      <c r="B365" s="64" t="str">
        <f>VLOOKUP(C365,'Status Thresholds'!B:C,2,FALSE)</f>
        <v>MHGen</v>
      </c>
      <c r="C365" s="64" t="str">
        <f>IF('Status Thresholds'!B360=0, "", 'Status Thresholds'!B360)</f>
        <v>Gore Magala (Shagaru)</v>
      </c>
      <c r="D365" s="30" t="s">
        <v>35</v>
      </c>
      <c r="E365" s="36" t="str">
        <f t="shared" si="5"/>
        <v>Gore Magala (Shagaru)Blast</v>
      </c>
      <c r="F365" s="36" t="str">
        <f>IFERROR(
ROUNDUP(
IF(AND($U$5=FALSE,$U$4=FALSE),"-",IF(AND($U$5=TRUE,$U$4=TRUE),"-",
IF((AND($U$4=TRUE,$U$5=FALSE,$U$6=FALSE,$U$7=FALSE)),VLOOKUP($E365,'Status Thresholds'!$E:$AR,2,FALSE),IF((AND($U$4=TRUE,$U$5=FALSE,$U$6=TRUE,$U$7=FALSE)),VLOOKUP($E365,'Status Thresholds'!$E:$AR,12,FALSE),IF((AND($U$4=TRUE,$U$5=FALSE,$U$6=TRUE,$U$7=TRUE)),VLOOKUP($E365,'Status Thresholds'!$E:$AR,17,FALSE),IF((AND($U$4=TRUE,$U$5=FALSE,$U$6=FALSE,$U$7=TRUE)),VLOOKUP($E365,'Status Thresholds'!$E:$AR,7,FALSE),
IF((AND($U$4=FALSE,$U$5=TRUE,$U$6=FALSE,$U$7=FALSE)),VLOOKUP($E365,'Status Thresholds'!$E:$AR,22,FALSE),IF((AND($U$4=FALSE,$U$5=TRUE,$U$6=TRUE,$U$7=FALSE)),VLOOKUP($E365,'Status Thresholds'!$E:$AR,32,FALSE),IF((AND($U$4=FALSE,$U$5=TRUE,$U$6=TRUE,$U$7=TRUE)),VLOOKUP($E365,'Status Thresholds'!$E:$AR,37,FALSE),IF((AND($U$4=FALSE,$U$5=TRUE,$U$6=FALSE,$U$7=TRUE)),VLOOKUP($E365,'Status Thresholds'!$E:$AR,27,FALSE)))))))))
))/
IF(OR($X$5=TRUE,$AC$3=TRUE
),($F$7/2), IF(OR($X$2,$X$3,$X$4,$X$6,$X$7,$X$8,$Z$2,$Z$3,$Z$4,$Z$5,$Z$6,$Z$7,$Z$8)=TRUE,$F$7)),0),"-")</f>
        <v>-</v>
      </c>
      <c r="G365" s="36" t="str">
        <f>IFERROR(
ROUNDUP(
IF(AND($U$5=FALSE,$U$4=FALSE),"-",IF(AND($U$5=TRUE,$U$4=TRUE),"-",
IF((AND($U$4=TRUE,$U$5=FALSE,$U$6=FALSE,$U$7=FALSE)),VLOOKUP($E365,'Status Thresholds'!$E:$AR,3,FALSE),IF((AND($U$4=TRUE,$U$5=FALSE,$U$6=TRUE,$U$7=FALSE)),VLOOKUP($E365,'Status Thresholds'!$E:$AR,13,FALSE),IF((AND($U$4=TRUE,$U$5=FALSE,$U$6=TRUE,$U$7=TRUE)),VLOOKUP($E365,'Status Thresholds'!$E:$AR,18,FALSE),IF((AND($U$4=TRUE,$U$5=FALSE,$U$6=FALSE,$U$7=TRUE)),VLOOKUP($E365,'Status Thresholds'!$E:$AR,8,FALSE),
IF((AND($U$4=FALSE,$U$5=TRUE,$U$6=FALSE,$U$7=FALSE)),VLOOKUP($E365,'Status Thresholds'!$E:$AR,23,FALSE),IF((AND($U$4=FALSE,$U$5=TRUE,$U$6=TRUE,$U$7=FALSE)),VLOOKUP($E365,'Status Thresholds'!$E:$AR,33,FALSE),IF((AND($U$4=FALSE,$U$5=TRUE,$U$6=TRUE,$U$7=TRUE)),VLOOKUP($E365,'Status Thresholds'!$E:$AR,38,FALSE),IF((AND($U$4=FALSE,$U$5=TRUE,$U$6=FALSE,$U$7=TRUE)),VLOOKUP($E365,'Status Thresholds'!$E:$AR,28,FALSE)))))))))
))/
IF(OR($X$5=TRUE,$AC$3=TRUE
),($F$7/2), IF(OR($X$2,$X$3,$X$4,$X$6,$X$7,$X$8,$Z$2,$Z$3,$Z$4,$Z$5,$Z$6,$Z$7,$Z$8)=TRUE,$F$7)),0),"-")</f>
        <v>-</v>
      </c>
      <c r="H365" s="36" t="str">
        <f>IFERROR(
ROUNDUP(
IF(AND($U$5=FALSE,$U$4=FALSE),"-",IF(AND($U$5=TRUE,$U$4=TRUE),"-",
IF((AND($U$4=TRUE,$U$5=FALSE,$U$6=FALSE,$U$7=FALSE)),VLOOKUP($E365,'Status Thresholds'!$E:$AR,4,FALSE),IF((AND($U$4=TRUE,$U$5=FALSE,$U$6=TRUE,$U$7=FALSE)),VLOOKUP($E365,'Status Thresholds'!$E:$AR,14,FALSE),IF((AND($U$4=TRUE,$U$5=FALSE,$U$6=TRUE,$U$7=TRUE)),VLOOKUP($E365,'Status Thresholds'!$E:$AR,19,FALSE),IF((AND($U$4=TRUE,$U$5=FALSE,$U$6=FALSE,$U$7=TRUE)),VLOOKUP($E365,'Status Thresholds'!$E:$AR,9,FALSE),
IF((AND($U$4=FALSE,$U$5=TRUE,$U$6=FALSE,$U$7=FALSE)),VLOOKUP($E365,'Status Thresholds'!$E:$AR,24,FALSE),IF((AND($U$4=FALSE,$U$5=TRUE,$U$6=TRUE,$U$7=FALSE)),VLOOKUP($E365,'Status Thresholds'!$E:$AR,34,FALSE),IF((AND($U$4=FALSE,$U$5=TRUE,$U$6=TRUE,$U$7=TRUE)),VLOOKUP($E365,'Status Thresholds'!$E:$AR,39,FALSE),IF((AND($U$4=FALSE,$U$5=TRUE,$U$6=FALSE,$U$7=TRUE)),VLOOKUP($E365,'Status Thresholds'!$E:$AR,29,FALSE)))))))))
))/
IF(OR($X$5=TRUE,$AC$3=TRUE
),($F$7/2), IF(OR($X$2,$X$3,$X$4,$X$6,$X$7,$X$8,$Z$2,$Z$3,$Z$4,$Z$5,$Z$6,$Z$7,$Z$8)=TRUE,$F$7)),0),"-")</f>
        <v>-</v>
      </c>
      <c r="I365" s="36" t="str">
        <f>IFERROR(
ROUNDUP(
IF(AND($U$5=FALSE,$U$4=FALSE),"-",IF(AND($U$5=TRUE,$U$4=TRUE),"-",
IF((AND($U$4=TRUE,$U$5=FALSE,$U$6=FALSE,$U$7=FALSE)),VLOOKUP($E365,'Status Thresholds'!$E:$AR,5,FALSE),IF((AND($U$4=TRUE,$U$5=FALSE,$U$6=TRUE,$U$7=FALSE)),VLOOKUP($E365,'Status Thresholds'!$E:$AR,15,FALSE),IF((AND($U$4=TRUE,$U$5=FALSE,$U$6=TRUE,$U$7=TRUE)),VLOOKUP($E365,'Status Thresholds'!$E:$AR,20,FALSE),IF((AND($U$4=TRUE,$U$5=FALSE,$U$6=FALSE,$U$7=TRUE)),VLOOKUP($E365,'Status Thresholds'!$E:$AR,10,FALSE),
IF((AND($U$4=FALSE,$U$5=TRUE,$U$6=FALSE,$U$7=FALSE)),VLOOKUP($E365,'Status Thresholds'!$E:$AR,25,FALSE),IF((AND($U$4=FALSE,$U$5=TRUE,$U$6=TRUE,$U$7=FALSE)),VLOOKUP($E365,'Status Thresholds'!$E:$AR,35,FALSE),IF((AND($U$4=FALSE,$U$5=TRUE,$U$6=TRUE,$U$7=TRUE)),VLOOKUP($E365,'Status Thresholds'!$E:$AR,40,FALSE),IF((AND($U$4=FALSE,$U$5=TRUE,$U$6=FALSE,$U$7=TRUE)),VLOOKUP($E365,'Status Thresholds'!$E:$AR,30,FALSE)))))))))
))/
IF(OR($X$5=TRUE,$AC$3=TRUE
),($F$7/2), IF(OR($X$2,$X$3,$X$4,$X$6,$X$7,$X$8,$Z$2,$Z$3,$Z$4,$Z$5,$Z$6,$Z$7,$Z$8)=TRUE,$F$7)),0),"-")</f>
        <v>-</v>
      </c>
      <c r="J365" s="46">
        <f>IFERROR(IF(AND($U$5=FALSE,$U$4=FALSE),"-",VLOOKUP($E365,'Status Thresholds'!$E:$AU,41,FALSE)),"-")</f>
        <v>0</v>
      </c>
      <c r="K365" s="46" t="str">
        <f>IFERROR(IF(AND($U$5=FALSE,$U$4=FALSE),"-",VLOOKUP($E365,'Status Thresholds'!$E:$AU,42,FALSE)),"-")</f>
        <v>-</v>
      </c>
      <c r="L365" s="46" t="str">
        <f>IFERROR(IF(AND($U$5=FALSE,$U$4=FALSE),"-",VLOOKUP($E365,'Status Thresholds'!$E:$AU,43,FALSE)),"-")</f>
        <v>-</v>
      </c>
    </row>
    <row r="366" spans="1:12" ht="14.45" customHeight="1" x14ac:dyDescent="0.25">
      <c r="A366" s="35"/>
      <c r="B366" s="64" t="str">
        <f>VLOOKUP(C366,'Status Thresholds'!B:C,2,FALSE)</f>
        <v>MHGen</v>
      </c>
      <c r="C366" s="64" t="str">
        <f>IF('Status Thresholds'!B361=0, "", 'Status Thresholds'!B361)</f>
        <v>Gore Magala (Shagaru)</v>
      </c>
      <c r="D366" s="34" t="s">
        <v>14</v>
      </c>
      <c r="E366" s="36" t="str">
        <f t="shared" si="5"/>
        <v>Gore Magala (Shagaru)KO</v>
      </c>
      <c r="F366" s="36" t="s">
        <v>214</v>
      </c>
      <c r="G366" s="36" t="s">
        <v>214</v>
      </c>
      <c r="H366" s="36" t="s">
        <v>214</v>
      </c>
      <c r="I366" s="36" t="s">
        <v>214</v>
      </c>
      <c r="J366" s="46">
        <f>IFERROR(IF(AND($U$5=FALSE,$U$4=FALSE),"-",VLOOKUP($E366,'Status Thresholds'!$E:$AU,41,FALSE)),"-")</f>
        <v>10</v>
      </c>
      <c r="K366" s="46" t="str">
        <f>IFERROR(IF(AND($U$5=FALSE,$U$4=FALSE),"-",VLOOKUP($E366,'Status Thresholds'!$E:$AU,42,FALSE)),"-")</f>
        <v>-</v>
      </c>
      <c r="L366" s="46" t="str">
        <f>IFERROR(IF(AND($U$5=FALSE,$U$4=FALSE),"-",VLOOKUP($E366,'Status Thresholds'!$E:$AU,43,FALSE)),"-")</f>
        <v>-</v>
      </c>
    </row>
    <row r="367" spans="1:12" x14ac:dyDescent="0.25">
      <c r="A367" s="35"/>
      <c r="B367" s="64" t="str">
        <f>VLOOKUP(C367,'Status Thresholds'!B:C,2,FALSE)</f>
        <v>MHGen</v>
      </c>
      <c r="C367" s="64" t="str">
        <f>IF('Status Thresholds'!B362=0, "", 'Status Thresholds'!B362)</f>
        <v>Gore Magala (Shagaru)</v>
      </c>
      <c r="D367" s="33" t="s">
        <v>34</v>
      </c>
      <c r="E367" s="36" t="str">
        <f t="shared" si="5"/>
        <v>Gore Magala (Shagaru)Mount</v>
      </c>
      <c r="F367" s="36" t="str">
        <f>IFERROR(
ROUNDUP(
IF(AND($U$5=FALSE,$U$4=FALSE),"-",IF(AND($U$5=TRUE,$U$4=TRUE),"-",
IF((AND($U$4=TRUE,$U$5=FALSE,$U$6=FALSE,$U$7=FALSE)),VLOOKUP($E367,'Status Thresholds'!$E:$AR,2,FALSE),IF((AND($U$4=TRUE,$U$5=FALSE,$U$6=TRUE,$U$7=FALSE)),VLOOKUP($E367,'Status Thresholds'!$E:$AR,12,FALSE),IF((AND($U$4=TRUE,$U$5=FALSE,$U$6=TRUE,$U$7=TRUE)),VLOOKUP($E367,'Status Thresholds'!$E:$AR,17,FALSE),IF((AND($U$4=TRUE,$U$5=FALSE,$U$6=FALSE,$U$7=TRUE)),VLOOKUP($E367,'Status Thresholds'!$E:$AR,7,FALSE),
IF((AND($U$4=FALSE,$U$5=TRUE,$U$6=FALSE,$U$7=FALSE)),VLOOKUP($E367,'Status Thresholds'!$E:$AR,22,FALSE),IF((AND($U$4=FALSE,$U$5=TRUE,$U$6=TRUE,$U$7=FALSE)),VLOOKUP($E367,'Status Thresholds'!$E:$AR,32,FALSE),IF((AND($U$4=FALSE,$U$5=TRUE,$U$6=TRUE,$U$7=TRUE)),VLOOKUP($E367,'Status Thresholds'!$E:$AR,37,FALSE),IF((AND($U$4=FALSE,$U$5=TRUE,$U$6=FALSE,$U$7=TRUE)),VLOOKUP($E367,'Status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367" s="36" t="str">
        <f>IFERROR(
ROUNDUP(
IF(AND($U$5=FALSE,$U$4=FALSE),"-",IF(AND($U$5=TRUE,$U$4=TRUE),"-",
IF((AND($U$4=TRUE,$U$5=FALSE,$U$6=FALSE,$U$7=FALSE)),VLOOKUP($E366,'Status Thresholds'!$E:$AR,3,FALSE),IF((AND($U$4=TRUE,$U$5=FALSE,$U$6=TRUE,$U$7=FALSE)),VLOOKUP($E366,'Status Thresholds'!$E:$AR,13,FALSE),IF((AND($U$4=TRUE,$U$5=FALSE,$U$6=TRUE,$U$7=TRUE)),VLOOKUP($E366,'Status Thresholds'!$E:$AR,18,FALSE),IF((AND($U$4=TRUE,$U$5=FALSE,$U$6=FALSE,$U$7=TRUE)),VLOOKUP($E366,'Status Thresholds'!$E:$AR,8,FALSE),
IF((AND($U$4=FALSE,$U$5=TRUE,$U$6=FALSE,$U$7=FALSE)),VLOOKUP($E366,'Status Thresholds'!$E:$AR,23,FALSE),IF((AND($U$4=FALSE,$U$5=TRUE,$U$6=TRUE,$U$7=FALSE)),VLOOKUP($E366,'Status Thresholds'!$E:$AR,33,FALSE),IF((AND($U$4=FALSE,$U$5=TRUE,$U$6=TRUE,$U$7=TRUE)),VLOOKUP($E366,'Status Thresholds'!$E:$AR,38,FALSE),IF((AND($U$4=FALSE,$U$5=TRUE,$U$6=FALSE,$U$7=TRUE)),VLOOKUP($E366,'Status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367" s="36" t="str">
        <f>IFERROR(
ROUNDUP(
IF(AND($U$5=FALSE,$U$4=FALSE),"-",IF(AND($U$5=TRUE,$U$4=TRUE),"-",
IF((AND($U$4=TRUE,$U$5=FALSE,$U$6=FALSE,$U$7=FALSE)),VLOOKUP($E366,'Status Thresholds'!$E:$AR,4,FALSE),IF((AND($U$4=TRUE,$U$5=FALSE,$U$6=TRUE,$U$7=FALSE)),VLOOKUP($E366,'Status Thresholds'!$E:$AR,14,FALSE),IF((AND($U$4=TRUE,$U$5=FALSE,$U$6=TRUE,$U$7=TRUE)),VLOOKUP($E366,'Status Thresholds'!$E:$AR,19,FALSE),IF((AND($U$4=TRUE,$U$5=FALSE,$U$6=FALSE,$U$7=TRUE)),VLOOKUP($E366,'Status Thresholds'!$E:$AR,9,FALSE),
IF((AND($U$4=FALSE,$U$5=TRUE,$U$6=FALSE,$U$7=FALSE)),VLOOKUP($E366,'Status Thresholds'!$E:$AR,24,FALSE),IF((AND($U$4=FALSE,$U$5=TRUE,$U$6=TRUE,$U$7=FALSE)),VLOOKUP($E366,'Status Thresholds'!$E:$AR,34,FALSE),IF((AND($U$4=FALSE,$U$5=TRUE,$U$6=TRUE,$U$7=TRUE)),VLOOKUP($E366,'Status Thresholds'!$E:$AR,39,FALSE),IF((AND($U$4=FALSE,$U$5=TRUE,$U$6=FALSE,$U$7=TRUE)),VLOOKUP($E366,'Status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367" s="36" t="str">
        <f>IFERROR(
ROUNDUP(
IF(AND($U$5=FALSE,$U$4=FALSE),"-",IF(AND($U$5=TRUE,$U$4=TRUE),"-",
IF((AND($U$4=TRUE,$U$5=FALSE,$U$6=FALSE,$U$7=FALSE)),VLOOKUP($E366,'Status Thresholds'!$E:$AR,5,FALSE),IF((AND($U$4=TRUE,$U$5=FALSE,$U$6=TRUE,$U$7=FALSE)),VLOOKUP($E366,'Status Thresholds'!$E:$AR,15,FALSE),IF((AND($U$4=TRUE,$U$5=FALSE,$U$6=TRUE,$U$7=TRUE)),VLOOKUP($E366,'Status Thresholds'!$E:$AR,20,FALSE),IF((AND($U$4=TRUE,$U$5=FALSE,$U$6=FALSE,$U$7=TRUE)),VLOOKUP($E366,'Status Thresholds'!$E:$AR,10,FALSE),
IF((AND($U$4=FALSE,$U$5=TRUE,$U$6=FALSE,$U$7=FALSE)),VLOOKUP($E366,'Status Thresholds'!$E:$AR,25,FALSE),IF((AND($U$4=FALSE,$U$5=TRUE,$U$6=TRUE,$U$7=FALSE)),VLOOKUP($E366,'Status Thresholds'!$E:$AR,35,FALSE),IF((AND($U$4=FALSE,$U$5=TRUE,$U$6=TRUE,$U$7=TRUE)),VLOOKUP($E366,'Status Thresholds'!$E:$AR,40,FALSE),IF((AND($U$4=FALSE,$U$5=TRUE,$U$6=FALSE,$U$7=TRUE)),VLOOKUP($E366,'Status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367" s="46">
        <f>IFERROR(IF(AND($U$5=FALSE,$U$4=FALSE),"-",VLOOKUP($E367,'Status Thresholds'!$E:$AU,41,FALSE)),"-")</f>
        <v>0</v>
      </c>
      <c r="K367" s="46" t="str">
        <f>IFERROR(IF(AND($U$5=FALSE,$U$4=FALSE),"-",VLOOKUP($E367,'Status Thresholds'!$E:$AU,42,FALSE)),"-")</f>
        <v>-</v>
      </c>
      <c r="L367" s="46" t="str">
        <f>IFERROR(IF(AND($U$5=FALSE,$U$4=FALSE),"-",VLOOKUP($E367,'Status Thresholds'!$E:$AU,43,FALSE)),"-")</f>
        <v>-</v>
      </c>
    </row>
    <row r="368" spans="1:12" ht="15" customHeight="1" x14ac:dyDescent="0.25">
      <c r="A368" s="35"/>
      <c r="B368" s="64" t="str">
        <f>VLOOKUP(C368,'Status Thresholds'!B:C,2,FALSE)</f>
        <v>MHGen</v>
      </c>
      <c r="C368" s="64" t="str">
        <f>IF('Status Thresholds'!B363=0, "", 'Status Thresholds'!B363)</f>
        <v>Gore Magala (Shagaru)</v>
      </c>
      <c r="D368" s="77" t="s">
        <v>207</v>
      </c>
      <c r="E368" s="36" t="str">
        <f t="shared" si="5"/>
        <v>Gore Magala (Shagaru)Shock Trap</v>
      </c>
      <c r="F368" s="76" t="s">
        <v>214</v>
      </c>
      <c r="G368" s="46" t="s">
        <v>214</v>
      </c>
      <c r="H368" s="46" t="s">
        <v>214</v>
      </c>
      <c r="I368" s="46" t="s">
        <v>214</v>
      </c>
      <c r="J368" s="46">
        <f>IFERROR(IF(AND($U$5=FALSE,$U$4=FALSE),"-",VLOOKUP($E368,'Status Thresholds'!$E:$AU,43,FALSE)),"-")</f>
        <v>8</v>
      </c>
      <c r="K368" s="46">
        <f>IFERROR(IF(AND($U$5=FALSE,$U$4=FALSE),"-",VLOOKUP($E368,'Status Thresholds'!$E:$AU,41,FALSE)),"-")</f>
        <v>8</v>
      </c>
      <c r="L368" s="46">
        <f>IFERROR(IF(AND($U$5=FALSE,$U$4=FALSE),"-",VLOOKUP($E368,'Status Thresholds'!$E:$AU,42,FALSE)),"-")</f>
        <v>15</v>
      </c>
    </row>
    <row r="369" spans="1:12" x14ac:dyDescent="0.25">
      <c r="A369" s="35"/>
      <c r="B369" s="64" t="str">
        <f>VLOOKUP(C369,'Status Thresholds'!B:C,2,FALSE)</f>
        <v>MHGen</v>
      </c>
      <c r="C369" s="64" t="str">
        <f>IF('Status Thresholds'!B364=0, "", 'Status Thresholds'!B364)</f>
        <v>Gore Magala (Shagaru)</v>
      </c>
      <c r="D369" s="77" t="s">
        <v>213</v>
      </c>
      <c r="E369" s="36" t="str">
        <f t="shared" si="5"/>
        <v>Gore Magala (Shagaru)Pitfall Trap</v>
      </c>
      <c r="F369" s="46" t="s">
        <v>214</v>
      </c>
      <c r="G369" s="46" t="s">
        <v>214</v>
      </c>
      <c r="H369" s="46" t="s">
        <v>214</v>
      </c>
      <c r="I369" s="46" t="s">
        <v>214</v>
      </c>
      <c r="J369" s="46">
        <f>IFERROR(IF(AND($U$5=FALSE,$U$4=FALSE),"-",VLOOKUP($E369,'Status Thresholds'!$E:$AU,43,FALSE)),"-")</f>
        <v>10</v>
      </c>
      <c r="K369" s="46">
        <f>IFERROR(IF(AND($U$5=FALSE,$U$4=FALSE),"-",VLOOKUP($E369,'Status Thresholds'!$E:$AU,41,FALSE)),"-")</f>
        <v>10</v>
      </c>
      <c r="L369" s="46">
        <f>IFERROR(IF(AND($U$5=FALSE,$U$4=FALSE),"-",VLOOKUP($E369,'Status Thresholds'!$E:$AU,42,FALSE)),"-")</f>
        <v>20</v>
      </c>
    </row>
    <row r="370" spans="1:12" s="36" customFormat="1" x14ac:dyDescent="0.25">
      <c r="A370" s="64"/>
      <c r="B370" s="64" t="str">
        <f>VLOOKUP(C370,'Status Thresholds'!B:C,2,FALSE)</f>
        <v>MHGen</v>
      </c>
      <c r="C370" s="64" t="str">
        <f>IF('Status Thresholds'!B365=0, "", 'Status Thresholds'!B365)</f>
        <v>Gravious</v>
      </c>
      <c r="D370" s="37" t="s">
        <v>0</v>
      </c>
      <c r="E370" s="36" t="str">
        <f t="shared" si="5"/>
        <v>GraviousPara</v>
      </c>
      <c r="F370" s="36" t="str">
        <f>IFERROR(
ROUNDUP(
IF(AND($U$5=FALSE,$U$4=FALSE),"-",IF(AND($U$5=TRUE,$U$4=TRUE),"-",
IF((AND($U$4=TRUE,$U$5=FALSE,$U$6=FALSE,$U$7=FALSE)),VLOOKUP($E370,'Status Thresholds'!$E:$AR,2,FALSE),IF((AND($U$4=TRUE,$U$5=FALSE,$U$6=TRUE,$U$7=FALSE)),VLOOKUP($E370,'Status Thresholds'!$E:$AR,12,FALSE),IF((AND($U$4=TRUE,$U$5=FALSE,$U$6=TRUE,$U$7=TRUE)),VLOOKUP($E370,'Status Thresholds'!$E:$AR,17,FALSE),IF((AND($U$4=TRUE,$U$5=FALSE,$U$6=FALSE,$U$7=TRUE)),VLOOKUP($E370,'Status Thresholds'!$E:$AR,7,FALSE),
IF((AND($U$4=FALSE,$U$5=TRUE,$U$6=FALSE,$U$7=FALSE)),VLOOKUP($E370,'Status Thresholds'!$E:$AR,22,FALSE),IF((AND($U$4=FALSE,$U$5=TRUE,$U$6=TRUE,$U$7=FALSE)),VLOOKUP($E370,'Status Thresholds'!$E:$AR,32,FALSE),IF((AND($U$4=FALSE,$U$5=TRUE,$U$6=TRUE,$U$7=TRUE)),VLOOKUP($E370,'Status Thresholds'!$E:$AR,37,FALSE),IF((AND($U$4=FALSE,$U$5=TRUE,$U$6=FALSE,$U$7=TRUE)),VLOOKUP($E370,'Status Thresholds'!$E:$AR,27,FALSE)))))))))
))/
IF(OR($X$5=TRUE,$AC$3=TRUE
),($F$3/2), IF(OR($X$2,$X$3,$X$4,$X$6,$X$7,$X$8,$Z$2,$Z$3,$Z$4,$Z$5,$Z$6,$Z$7,$Z$8)=TRUE,$F$3)),0),"-")</f>
        <v>-</v>
      </c>
      <c r="G370" s="36" t="str">
        <f>IFERROR(
ROUNDUP(
IF(AND($U$5=FALSE,$U$4=FALSE),"-",IF(AND($U$5=TRUE,$U$4=TRUE),"-",
IF((AND($U$4=TRUE,$U$5=FALSE,$U$6=FALSE,$U$7=FALSE)),VLOOKUP($E370,'Status Thresholds'!$E:$AR,3,FALSE),IF((AND($U$4=TRUE,$U$5=FALSE,$U$6=TRUE,$U$7=FALSE)),VLOOKUP($E370,'Status Thresholds'!$E:$AR,13,FALSE),IF((AND($U$4=TRUE,$U$5=FALSE,$U$6=TRUE,$U$7=TRUE)),VLOOKUP($E370,'Status Thresholds'!$E:$AR,18,FALSE),IF((AND($U$4=TRUE,$U$5=FALSE,$U$6=FALSE,$U$7=TRUE)),VLOOKUP($E370,'Status Thresholds'!$E:$AR,8,FALSE),
IF((AND($U$4=FALSE,$U$5=TRUE,$U$6=FALSE,$U$7=FALSE)),VLOOKUP($E370,'Status Thresholds'!$E:$AR,23,FALSE),IF((AND($U$4=FALSE,$U$5=TRUE,$U$6=TRUE,$U$7=FALSE)),VLOOKUP($E370,'Status Thresholds'!$E:$AR,33,FALSE),IF((AND($U$4=FALSE,$U$5=TRUE,$U$6=TRUE,$U$7=TRUE)),VLOOKUP($E370,'Status Thresholds'!$E:$AR,38,FALSE),IF((AND($U$4=FALSE,$U$5=TRUE,$U$6=FALSE,$U$7=TRUE)),VLOOKUP($E370,'Status Thresholds'!$E:$AR,28,FALSE)))))))))
))/
IF(OR($X$5=TRUE,$AC$3=TRUE
),($F$3/2), IF(OR($X$2,$X$3,$X$4,$X$6,$X$7,$X$8,$Z$2,$Z$3,$Z$4,$Z$5,$Z$6,$Z$7,$Z$8)=TRUE,$F$3)),0),"-")</f>
        <v>-</v>
      </c>
      <c r="H370" s="36" t="str">
        <f>IFERROR(
ROUNDUP(
IF(AND($U$5=FALSE,$U$4=FALSE),"-",IF(AND($U$5=TRUE,$U$4=TRUE),"-",
IF((AND($U$4=TRUE,$U$5=FALSE,$U$6=FALSE,$U$7=FALSE)),VLOOKUP($E370,'Status Thresholds'!$E:$AR,4,FALSE),IF((AND($U$4=TRUE,$U$5=FALSE,$U$6=TRUE,$U$7=FALSE)),VLOOKUP($E370,'Status Thresholds'!$E:$AR,14,FALSE),IF((AND($U$4=TRUE,$U$5=FALSE,$U$6=TRUE,$U$7=TRUE)),VLOOKUP($E370,'Status Thresholds'!$E:$AR,19,FALSE),IF((AND($U$4=TRUE,$U$5=FALSE,$U$6=FALSE,$U$7=TRUE)),VLOOKUP($E370,'Status Thresholds'!$E:$AR,9,FALSE),
IF((AND($U$4=FALSE,$U$5=TRUE,$U$6=FALSE,$U$7=FALSE)),VLOOKUP($E370,'Status Thresholds'!$E:$AR,24,FALSE),IF((AND($U$4=FALSE,$U$5=TRUE,$U$6=TRUE,$U$7=FALSE)),VLOOKUP($E370,'Status Thresholds'!$E:$AR,34,FALSE),IF((AND($U$4=FALSE,$U$5=TRUE,$U$6=TRUE,$U$7=TRUE)),VLOOKUP($E370,'Status Thresholds'!$E:$AR,39,FALSE),IF((AND($U$4=FALSE,$U$5=TRUE,$U$6=FALSE,$U$7=TRUE)),VLOOKUP($E370,'Status Thresholds'!$E:$AR,29,FALSE)))))))))
))/
IF(OR($X$5=TRUE,$AC$3=TRUE
),($F$3/2), IF(OR($X$2,$X$3,$X$4,$X$6,$X$7,$X$8,$Z$2,$Z$3,$Z$4,$Z$5,$Z$6,$Z$7,$Z$8)=TRUE,$F$3)),0),"-")</f>
        <v>-</v>
      </c>
      <c r="I370" s="36" t="str">
        <f>IFERROR(
ROUNDUP(
IF(AND($U$5=FALSE,$U$4=FALSE),"-",IF(AND($U$5=TRUE,$U$4=TRUE),"-",
IF((AND($U$4=TRUE,$U$5=FALSE,$U$6=FALSE,$U$7=FALSE)),VLOOKUP($E370,'Status Thresholds'!$E:$AR,5,FALSE),IF((AND($U$4=TRUE,$U$5=FALSE,$U$6=TRUE,$U$7=FALSE)),VLOOKUP($E370,'Status Thresholds'!$E:$AR,15,FALSE),IF((AND($U$4=TRUE,$U$5=FALSE,$U$6=TRUE,$U$7=TRUE)),VLOOKUP($E370,'Status Thresholds'!$E:$AR,20,FALSE),IF((AND($U$4=TRUE,$U$5=FALSE,$U$6=FALSE,$U$7=TRUE)),VLOOKUP($E370,'Status Thresholds'!$E:$AR,10,FALSE),
IF((AND($U$4=FALSE,$U$5=TRUE,$U$6=FALSE,$U$7=FALSE)),VLOOKUP($E370,'Status Thresholds'!$E:$AR,25,FALSE),IF((AND($U$4=FALSE,$U$5=TRUE,$U$6=TRUE,$U$7=FALSE)),VLOOKUP($E370,'Status Thresholds'!$E:$AR,35,FALSE),IF((AND($U$4=FALSE,$U$5=TRUE,$U$6=TRUE,$U$7=TRUE)),VLOOKUP($E370,'Status Thresholds'!$E:$AR,40,FALSE),IF((AND($U$4=FALSE,$U$5=TRUE,$U$6=FALSE,$U$7=TRUE)),VLOOKUP($E370,'Status Thresholds'!$E:$AR,30,FALSE)))))))))
))/
IF(OR($X$5=TRUE,$AC$3=TRUE
),($F$3/2), IF(OR($X$2,$X$3,$X$4,$X$6,$X$7,$X$8,$Z$2,$Z$3,$Z$4,$Z$5,$Z$6,$Z$7,$Z$8)=TRUE,$F$3)),0),"-")</f>
        <v>-</v>
      </c>
      <c r="J370" s="36">
        <f>IFERROR(IF(AND($U$5=FALSE,$U$4=FALSE),"-",VLOOKUP($E370,'Status Thresholds'!$E:$AU,41,FALSE)),"-")</f>
        <v>10</v>
      </c>
      <c r="K370" s="36" t="str">
        <f>IFERROR(IF(AND($U$5=FALSE,$U$4=FALSE),"-",VLOOKUP($E370,'Status Thresholds'!$E:$AU,42,FALSE)),"-")</f>
        <v>-</v>
      </c>
      <c r="L370" s="36" t="str">
        <f>IFERROR(IF(AND($U$5=FALSE,$U$4=FALSE),"-",VLOOKUP($E370,'Status Thresholds'!$E:$AU,43,FALSE)),"-")</f>
        <v>-</v>
      </c>
    </row>
    <row r="371" spans="1:12" x14ac:dyDescent="0.25">
      <c r="A371" s="35"/>
      <c r="B371" s="64" t="str">
        <f>VLOOKUP(C371,'Status Thresholds'!B:C,2,FALSE)</f>
        <v>MHGen</v>
      </c>
      <c r="C371" s="64" t="str">
        <f>IF('Status Thresholds'!B366=0, "", 'Status Thresholds'!B366)</f>
        <v>Gravious</v>
      </c>
      <c r="D371" s="31" t="s">
        <v>32</v>
      </c>
      <c r="E371" s="36" t="str">
        <f t="shared" si="5"/>
        <v>GraviousSleep</v>
      </c>
      <c r="F371" s="36" t="str">
        <f>IFERROR(
ROUNDUP(
IF(AND($U$5=FALSE,$U$4=FALSE),"-",IF(AND($U$5=TRUE,$U$4=TRUE),"-",
IF((AND($U$4=TRUE,$U$5=FALSE,$U$6=FALSE,$U$7=FALSE)),VLOOKUP($E371,'Status Thresholds'!$E:$AR,2,FALSE),IF((AND($U$4=TRUE,$U$5=FALSE,$U$6=TRUE,$U$7=FALSE)),VLOOKUP($E371,'Status Thresholds'!$E:$AR,12,FALSE),IF((AND($U$4=TRUE,$U$5=FALSE,$U$6=TRUE,$U$7=TRUE)),VLOOKUP($E371,'Status Thresholds'!$E:$AR,17,FALSE),IF((AND($U$4=TRUE,$U$5=FALSE,$U$6=FALSE,$U$7=TRUE)),VLOOKUP($E371,'Status Thresholds'!$E:$AR,7,FALSE),
IF((AND($U$4=FALSE,$U$5=TRUE,$U$6=FALSE,$U$7=FALSE)),VLOOKUP($E371,'Status Thresholds'!$E:$AR,22,FALSE),IF((AND($U$4=FALSE,$U$5=TRUE,$U$6=TRUE,$U$7=FALSE)),VLOOKUP($E371,'Status Thresholds'!$E:$AR,32,FALSE),IF((AND($U$4=FALSE,$U$5=TRUE,$U$6=TRUE,$U$7=TRUE)),VLOOKUP($E371,'Status Thresholds'!$E:$AR,37,FALSE),IF((AND($U$4=FALSE,$U$5=TRUE,$U$6=FALSE,$U$7=TRUE)),VLOOKUP($E371,'Status Thresholds'!$E:$AR,27,FALSE)))))))))
))/
IF(OR($X$5=TRUE,$AC$3=TRUE
),($F$4/2), IF(OR($X$2,$X$3,$X$4,$X$6,$X$7,$X$8,$Z$2,$Z$3,$Z$4,$Z$5,$Z$6,$Z$7,$Z$8)=TRUE,$F$4)),0),"-")</f>
        <v>-</v>
      </c>
      <c r="G371" s="36" t="str">
        <f>IFERROR(
ROUNDUP(
IF(AND($U$5=FALSE,$U$4=FALSE),"-",IF(AND($U$5=TRUE,$U$4=TRUE),"-",
IF((AND($U$4=TRUE,$U$5=FALSE,$U$6=FALSE,$U$7=FALSE)),VLOOKUP($E371,'Status Thresholds'!$E:$AR,3,FALSE),IF((AND($U$4=TRUE,$U$5=FALSE,$U$6=TRUE,$U$7=FALSE)),VLOOKUP($E371,'Status Thresholds'!$E:$AR,13,FALSE),IF((AND($U$4=TRUE,$U$5=FALSE,$U$6=TRUE,$U$7=TRUE)),VLOOKUP($E371,'Status Thresholds'!$E:$AR,18,FALSE),IF((AND($U$4=TRUE,$U$5=FALSE,$U$6=FALSE,$U$7=TRUE)),VLOOKUP($E371,'Status Thresholds'!$E:$AR,8,FALSE),
IF((AND($U$4=FALSE,$U$5=TRUE,$U$6=FALSE,$U$7=FALSE)),VLOOKUP($E371,'Status Thresholds'!$E:$AR,23,FALSE),IF((AND($U$4=FALSE,$U$5=TRUE,$U$6=TRUE,$U$7=FALSE)),VLOOKUP($E371,'Status Thresholds'!$E:$AR,33,FALSE),IF((AND($U$4=FALSE,$U$5=TRUE,$U$6=TRUE,$U$7=TRUE)),VLOOKUP($E371,'Status Thresholds'!$E:$AR,38,FALSE),IF((AND($U$4=FALSE,$U$5=TRUE,$U$6=FALSE,$U$7=TRUE)),VLOOKUP($E371,'Status Thresholds'!$E:$AR,28,FALSE)))))))))
))/
IF(OR($X$5=TRUE,$AC$3=TRUE
),($F$4/2), IF(OR($X$2,$X$3,$X$4,$X$6,$X$7,$X$8,$Z$2,$Z$3,$Z$4,$Z$5,$Z$6,$Z$7,$Z$8)=TRUE,$F$4)),0),"-")</f>
        <v>-</v>
      </c>
      <c r="H371" s="36" t="str">
        <f>IFERROR(
ROUNDUP(
IF(AND($U$5=FALSE,$U$4=FALSE),"-",IF(AND($U$5=TRUE,$U$4=TRUE),"-",
IF((AND($U$4=TRUE,$U$5=FALSE,$U$6=FALSE,$U$7=FALSE)),VLOOKUP($E371,'Status Thresholds'!$E:$AR,4,FALSE),IF((AND($U$4=TRUE,$U$5=FALSE,$U$6=TRUE,$U$7=FALSE)),VLOOKUP($E371,'Status Thresholds'!$E:$AR,14,FALSE),IF((AND($U$4=TRUE,$U$5=FALSE,$U$6=TRUE,$U$7=TRUE)),VLOOKUP($E371,'Status Thresholds'!$E:$AR,19,FALSE),IF((AND($U$4=TRUE,$U$5=FALSE,$U$6=FALSE,$U$7=TRUE)),VLOOKUP($E371,'Status Thresholds'!$E:$AR,9,FALSE),
IF((AND($U$4=FALSE,$U$5=TRUE,$U$6=FALSE,$U$7=FALSE)),VLOOKUP($E371,'Status Thresholds'!$E:$AR,24,FALSE),IF((AND($U$4=FALSE,$U$5=TRUE,$U$6=TRUE,$U$7=FALSE)),VLOOKUP($E371,'Status Thresholds'!$E:$AR,34,FALSE),IF((AND($U$4=FALSE,$U$5=TRUE,$U$6=TRUE,$U$7=TRUE)),VLOOKUP($E371,'Status Thresholds'!$E:$AR,39,FALSE),IF((AND($U$4=FALSE,$U$5=TRUE,$U$6=FALSE,$U$7=TRUE)),VLOOKUP($E371,'Status Thresholds'!$E:$AR,29,FALSE)))))))))
))/
IF(OR($X$5=TRUE,$AC$3=TRUE
),($F$4/2), IF(OR($X$2,$X$3,$X$4,$X$6,$X$7,$X$8,$Z$2,$Z$3,$Z$4,$Z$5,$Z$6,$Z$7,$Z$8)=TRUE,$F$4)),0),"-")</f>
        <v>-</v>
      </c>
      <c r="I371" s="36" t="str">
        <f>IFERROR(
ROUNDUP(
IF(AND($U$5=FALSE,$U$4=FALSE),"-",IF(AND($U$5=TRUE,$U$4=TRUE),"-",
IF((AND($U$4=TRUE,$U$5=FALSE,$U$6=FALSE,$U$7=FALSE)),VLOOKUP($E371,'Status Thresholds'!$E:$AR,5,FALSE),IF((AND($U$4=TRUE,$U$5=FALSE,$U$6=TRUE,$U$7=FALSE)),VLOOKUP($E371,'Status Thresholds'!$E:$AR,15,FALSE),IF((AND($U$4=TRUE,$U$5=FALSE,$U$6=TRUE,$U$7=TRUE)),VLOOKUP($E371,'Status Thresholds'!$E:$AR,20,FALSE),IF((AND($U$4=TRUE,$U$5=FALSE,$U$6=FALSE,$U$7=TRUE)),VLOOKUP($E371,'Status Thresholds'!$E:$AR,10,FALSE),
IF((AND($U$4=FALSE,$U$5=TRUE,$U$6=FALSE,$U$7=FALSE)),VLOOKUP($E371,'Status Thresholds'!$E:$AR,25,FALSE),IF((AND($U$4=FALSE,$U$5=TRUE,$U$6=TRUE,$U$7=FALSE)),VLOOKUP($E371,'Status Thresholds'!$E:$AR,35,FALSE),IF((AND($U$4=FALSE,$U$5=TRUE,$U$6=TRUE,$U$7=TRUE)),VLOOKUP($E371,'Status Thresholds'!$E:$AR,40,FALSE),IF((AND($U$4=FALSE,$U$5=TRUE,$U$6=FALSE,$U$7=TRUE)),VLOOKUP($E371,'Status Thresholds'!$E:$AR,30,FALSE)))))))))
))/
IF(OR($X$5=TRUE,$AC$3=TRUE
),($F$4/2), IF(OR($X$2,$X$3,$X$4,$X$6,$X$7,$X$8,$Z$2,$Z$3,$Z$4,$Z$5,$Z$6,$Z$7,$Z$8)=TRUE,$F$4)),0),"-")</f>
        <v>-</v>
      </c>
      <c r="J371" s="46">
        <f>IFERROR(IF(AND($U$5=FALSE,$U$4=FALSE),"-",VLOOKUP($E371,'Status Thresholds'!$E:$AU,41,FALSE)),"-")</f>
        <v>60</v>
      </c>
      <c r="K371" s="46" t="str">
        <f>IFERROR(IF(AND($U$5=FALSE,$U$4=FALSE),"-",VLOOKUP($E371,'Status Thresholds'!$E:$AU,42,FALSE)),"-")</f>
        <v>-</v>
      </c>
      <c r="L371" s="46" t="str">
        <f>IFERROR(IF(AND($U$5=FALSE,$U$4=FALSE),"-",VLOOKUP($E371,'Status Thresholds'!$E:$AU,43,FALSE)),"-")</f>
        <v>-</v>
      </c>
    </row>
    <row r="372" spans="1:12" x14ac:dyDescent="0.25">
      <c r="A372" s="35"/>
      <c r="B372" s="64" t="str">
        <f>VLOOKUP(C372,'Status Thresholds'!B:C,2,FALSE)</f>
        <v>MHGen</v>
      </c>
      <c r="C372" s="64" t="str">
        <f>IF('Status Thresholds'!B367=0, "", 'Status Thresholds'!B367)</f>
        <v>Gravious</v>
      </c>
      <c r="D372" s="32" t="s">
        <v>33</v>
      </c>
      <c r="E372" s="36" t="str">
        <f t="shared" si="5"/>
        <v>GraviousPoison</v>
      </c>
      <c r="F372" s="36" t="str">
        <f>IFERROR(
ROUNDUP(
IF(AND($U$5=FALSE,$U$4=FALSE),"-",IF(AND($U$5=TRUE,$U$4=TRUE),"-",
IF((AND($U$4=TRUE,$U$5=FALSE,$U$6=FALSE,$U$7=FALSE)),VLOOKUP($E372,'Status Thresholds'!$E:$AR,2,FALSE),IF((AND($U$4=TRUE,$U$5=FALSE,$U$6=TRUE,$U$7=FALSE)),VLOOKUP($E372,'Status Thresholds'!$E:$AR,12,FALSE),IF((AND($U$4=TRUE,$U$5=FALSE,$U$6=TRUE,$U$7=TRUE)),VLOOKUP($E372,'Status Thresholds'!$E:$AR,17,FALSE),IF((AND($U$4=TRUE,$U$5=FALSE,$U$6=FALSE,$U$7=TRUE)),VLOOKUP($E372,'Status Thresholds'!$E:$AR,7,FALSE),
IF((AND($U$4=FALSE,$U$5=TRUE,$U$6=FALSE,$U$7=FALSE)),VLOOKUP($E372,'Status Thresholds'!$E:$AR,22,FALSE),IF((AND($U$4=FALSE,$U$5=TRUE,$U$6=TRUE,$U$7=FALSE)),VLOOKUP($E372,'Status Thresholds'!$E:$AR,32,FALSE),IF((AND($U$4=FALSE,$U$5=TRUE,$U$6=TRUE,$U$7=TRUE)),VLOOKUP($E372,'Status Thresholds'!$E:$AR,37,FALSE),IF((AND($U$4=FALSE,$U$5=TRUE,$U$6=FALSE,$U$7=TRUE)),VLOOKUP($E372,'Status Thresholds'!$E:$AR,27,FALSE)))))))))
))/
IF(OR($X$5=TRUE,$AC$3=TRUE
),($F$5/2), IF(OR($X$2,$X$3,$X$4,$X$6,$X$7,$X$8,$Z$2,$Z$3,$Z$4,$Z$5,$Z$6,$Z$7,$Z$8)=TRUE,$F$5)),0),"-")</f>
        <v>-</v>
      </c>
      <c r="G372" s="36" t="str">
        <f>IFERROR(
ROUNDUP(
IF(AND($U$5=FALSE,$U$4=FALSE),"-",IF(AND($U$5=TRUE,$U$4=TRUE),"-",
IF((AND($U$4=TRUE,$U$5=FALSE,$U$6=FALSE,$U$7=FALSE)),VLOOKUP($E372,'Status Thresholds'!$E:$AR,3,FALSE),IF((AND($U$4=TRUE,$U$5=FALSE,$U$6=TRUE,$U$7=FALSE)),VLOOKUP($E372,'Status Thresholds'!$E:$AR,13,FALSE),IF((AND($U$4=TRUE,$U$5=FALSE,$U$6=TRUE,$U$7=TRUE)),VLOOKUP($E372,'Status Thresholds'!$E:$AR,18,FALSE),IF((AND($U$4=TRUE,$U$5=FALSE,$U$6=FALSE,$U$7=TRUE)),VLOOKUP($E372,'Status Thresholds'!$E:$AR,8,FALSE),
IF((AND($U$4=FALSE,$U$5=TRUE,$U$6=FALSE,$U$7=FALSE)),VLOOKUP($E372,'Status Thresholds'!$E:$AR,23,FALSE),IF((AND($U$4=FALSE,$U$5=TRUE,$U$6=TRUE,$U$7=FALSE)),VLOOKUP($E372,'Status Thresholds'!$E:$AR,33,FALSE),IF((AND($U$4=FALSE,$U$5=TRUE,$U$6=TRUE,$U$7=TRUE)),VLOOKUP($E372,'Status Thresholds'!$E:$AR,38,FALSE),IF((AND($U$4=FALSE,$U$5=TRUE,$U$6=FALSE,$U$7=TRUE)),VLOOKUP($E372,'Status Thresholds'!$E:$AR,28,FALSE)))))))))
))/
IF(OR($X$5=TRUE,$AC$3=TRUE
),($F$5/2), IF(OR($X$2,$X$3,$X$4,$X$6,$X$7,$X$8,$Z$2,$Z$3,$Z$4,$Z$5,$Z$6,$Z$7,$Z$8)=TRUE,$F$5)),0),"-")</f>
        <v>-</v>
      </c>
      <c r="H372" s="36" t="str">
        <f>IFERROR(
ROUNDUP(
IF(AND($U$5=FALSE,$U$4=FALSE),"-",IF(AND($U$5=TRUE,$U$4=TRUE),"-",
IF((AND($U$4=TRUE,$U$5=FALSE,$U$6=FALSE,$U$7=FALSE)),VLOOKUP($E372,'Status Thresholds'!$E:$AR,4,FALSE),IF((AND($U$4=TRUE,$U$5=FALSE,$U$6=TRUE,$U$7=FALSE)),VLOOKUP($E372,'Status Thresholds'!$E:$AR,14,FALSE),IF((AND($U$4=TRUE,$U$5=FALSE,$U$6=TRUE,$U$7=TRUE)),VLOOKUP($E372,'Status Thresholds'!$E:$AR,19,FALSE),IF((AND($U$4=TRUE,$U$5=FALSE,$U$6=FALSE,$U$7=TRUE)),VLOOKUP($E372,'Status Thresholds'!$E:$AR,9,FALSE),
IF((AND($U$4=FALSE,$U$5=TRUE,$U$6=FALSE,$U$7=FALSE)),VLOOKUP($E372,'Status Thresholds'!$E:$AR,24,FALSE),IF((AND($U$4=FALSE,$U$5=TRUE,$U$6=TRUE,$U$7=FALSE)),VLOOKUP($E372,'Status Thresholds'!$E:$AR,34,FALSE),IF((AND($U$4=FALSE,$U$5=TRUE,$U$6=TRUE,$U$7=TRUE)),VLOOKUP($E372,'Status Thresholds'!$E:$AR,39,FALSE),IF((AND($U$4=FALSE,$U$5=TRUE,$U$6=FALSE,$U$7=TRUE)),VLOOKUP($E372,'Status Thresholds'!$E:$AR,29,FALSE)))))))))
))/
IF(OR($X$5=TRUE,$AC$3=TRUE
),($F$5/2), IF(OR($X$2,$X$3,$X$4,$X$6,$X$7,$X$8,$Z$2,$Z$3,$Z$4,$Z$5,$Z$6,$Z$7,$Z$8)=TRUE,$F$5)),0),"-")</f>
        <v>-</v>
      </c>
      <c r="I372" s="36" t="str">
        <f>IFERROR(
ROUNDUP(
IF(AND($U$5=FALSE,$U$4=FALSE),"-",IF(AND($U$5=TRUE,$U$4=TRUE),"-",
IF((AND($U$4=TRUE,$U$5=FALSE,$U$6=FALSE,$U$7=FALSE)),VLOOKUP($E372,'Status Thresholds'!$E:$AR,5,FALSE),IF((AND($U$4=TRUE,$U$5=FALSE,$U$6=TRUE,$U$7=FALSE)),VLOOKUP($E372,'Status Thresholds'!$E:$AR,15,FALSE),IF((AND($U$4=TRUE,$U$5=FALSE,$U$6=TRUE,$U$7=TRUE)),VLOOKUP($E372,'Status Thresholds'!$E:$AR,20,FALSE),IF((AND($U$4=TRUE,$U$5=FALSE,$U$6=FALSE,$U$7=TRUE)),VLOOKUP($E372,'Status Thresholds'!$E:$AR,10,FALSE),
IF((AND($U$4=FALSE,$U$5=TRUE,$U$6=FALSE,$U$7=FALSE)),VLOOKUP($E372,'Status Thresholds'!$E:$AR,25,FALSE),IF((AND($U$4=FALSE,$U$5=TRUE,$U$6=TRUE,$U$7=FALSE)),VLOOKUP($E372,'Status Thresholds'!$E:$AR,35,FALSE),IF((AND($U$4=FALSE,$U$5=TRUE,$U$6=TRUE,$U$7=TRUE)),VLOOKUP($E372,'Status Thresholds'!$E:$AR,40,FALSE),IF((AND($U$4=FALSE,$U$5=TRUE,$U$6=FALSE,$U$7=TRUE)),VLOOKUP($E372,'Status Thresholds'!$E:$AR,30,FALSE)))))))))
))/
IF(OR($X$5=TRUE,$AC$3=TRUE
),($F$5/2), IF(OR($X$2,$X$3,$X$4,$X$6,$X$7,$X$8,$Z$2,$Z$3,$Z$4,$Z$5,$Z$6,$Z$7,$Z$8)=TRUE,$F$5)),0),"-")</f>
        <v>-</v>
      </c>
      <c r="J372" s="46">
        <f>IFERROR(IF(AND($U$5=FALSE,$U$4=FALSE),"-",VLOOKUP($E372,'Status Thresholds'!$E:$AU,41,FALSE)),"-")</f>
        <v>60</v>
      </c>
      <c r="K372" s="46" t="str">
        <f>IFERROR(IF(AND($U$5=FALSE,$U$4=FALSE),"-",VLOOKUP($E372,'Status Thresholds'!$E:$AU,42,FALSE)),"-")</f>
        <v>-</v>
      </c>
      <c r="L372" s="46" t="str">
        <f>IFERROR(IF(AND($U$5=FALSE,$U$4=FALSE),"-",VLOOKUP($E372,'Status Thresholds'!$E:$AU,43,FALSE)),"-")</f>
        <v>-</v>
      </c>
    </row>
    <row r="373" spans="1:12" x14ac:dyDescent="0.25">
      <c r="A373" s="35"/>
      <c r="B373" s="64" t="str">
        <f>VLOOKUP(C373,'Status Thresholds'!B:C,2,FALSE)</f>
        <v>MHGen</v>
      </c>
      <c r="C373" s="64" t="str">
        <f>IF('Status Thresholds'!B368=0, "", 'Status Thresholds'!B368)</f>
        <v>Gravious</v>
      </c>
      <c r="D373" s="10" t="s">
        <v>22</v>
      </c>
      <c r="E373" s="36" t="str">
        <f t="shared" si="5"/>
        <v>GraviousExhaust</v>
      </c>
      <c r="F373" s="36" t="str">
        <f>IFERROR(
ROUNDUP(
IF(AND($U$5=FALSE,$U$4=FALSE),"-",IF(AND($U$5=TRUE,$U$4=TRUE),"-",
IF((AND($U$4=TRUE,$U$5=FALSE,$U$6=FALSE,$U$7=FALSE)),VLOOKUP($E373,'Status Thresholds'!$E:$AR,2,FALSE),IF((AND($U$4=TRUE,$U$5=FALSE,$U$6=TRUE,$U$7=FALSE)),VLOOKUP($E373,'Status Thresholds'!$E:$AR,12,FALSE),IF((AND($U$4=TRUE,$U$5=FALSE,$U$6=TRUE,$U$7=TRUE)),VLOOKUP($E373,'Status Thresholds'!$E:$AR,17,FALSE),IF((AND($U$4=TRUE,$U$5=FALSE,$U$6=FALSE,$U$7=TRUE)),VLOOKUP($E373,'Status Thresholds'!$E:$AR,7,FALSE),
IF((AND($U$4=FALSE,$U$5=TRUE,$U$6=FALSE,$U$7=FALSE)),VLOOKUP($E373,'Status Thresholds'!$E:$AR,22,FALSE),IF((AND($U$4=FALSE,$U$5=TRUE,$U$6=TRUE,$U$7=FALSE)),VLOOKUP($E373,'Status Thresholds'!$E:$AR,32,FALSE),IF((AND($U$4=FALSE,$U$5=TRUE,$U$6=TRUE,$U$7=TRUE)),VLOOKUP($E373,'Status Thresholds'!$E:$AR,37,FALSE),IF((AND($U$4=FALSE,$U$5=TRUE,$U$6=FALSE,$U$7=TRUE)),VLOOKUP($E373,'Status Thresholds'!$E:$AR,27,FALSE)))))))))
))/
IF(OR($X$5=TRUE,$AC$3=TRUE
),($F$6/2), IF(OR($X$2,$X$3,$X$4,$X$6,$X$7,$X$8,$Z$2,$Z$3,$Z$4,$Z$5,$Z$6,$Z$7,$Z$8)=TRUE,$F$6)),0),"-")</f>
        <v>-</v>
      </c>
      <c r="G373" s="36" t="str">
        <f>IFERROR(
ROUNDUP(
IF(AND($U$5=FALSE,$U$4=FALSE),"-",IF(AND($U$5=TRUE,$U$4=TRUE),"-",
IF((AND($U$4=TRUE,$U$5=FALSE,$U$6=FALSE,$U$7=FALSE)),VLOOKUP($E373,'Status Thresholds'!$E:$AR,3,FALSE),IF((AND($U$4=TRUE,$U$5=FALSE,$U$6=TRUE,$U$7=FALSE)),VLOOKUP($E373,'Status Thresholds'!$E:$AR,13,FALSE),IF((AND($U$4=TRUE,$U$5=FALSE,$U$6=TRUE,$U$7=TRUE)),VLOOKUP($E373,'Status Thresholds'!$E:$AR,18,FALSE),IF((AND($U$4=TRUE,$U$5=FALSE,$U$6=FALSE,$U$7=TRUE)),VLOOKUP($E373,'Status Thresholds'!$E:$AR,8,FALSE),
IF((AND($U$4=FALSE,$U$5=TRUE,$U$6=FALSE,$U$7=FALSE)),VLOOKUP($E373,'Status Thresholds'!$E:$AR,23,FALSE),IF((AND($U$4=FALSE,$U$5=TRUE,$U$6=TRUE,$U$7=FALSE)),VLOOKUP($E373,'Status Thresholds'!$E:$AR,33,FALSE),IF((AND($U$4=FALSE,$U$5=TRUE,$U$6=TRUE,$U$7=TRUE)),VLOOKUP($E373,'Status Thresholds'!$E:$AR,38,FALSE),IF((AND($U$4=FALSE,$U$5=TRUE,$U$6=FALSE,$U$7=TRUE)),VLOOKUP($E373,'Status Thresholds'!$E:$AR,28,FALSE)))))))))
))/
IF(OR($X$5=TRUE,$AC$3=TRUE
),($F$6/2), IF(OR($X$2,$X$3,$X$4,$X$6,$X$7,$X$8,$Z$2,$Z$3,$Z$4,$Z$5,$Z$6,$Z$7,$Z$8)=TRUE,$F$6)),0),"-")</f>
        <v>-</v>
      </c>
      <c r="H373" s="36" t="str">
        <f>IFERROR(
ROUNDUP(
IF(AND($U$5=FALSE,$U$4=FALSE),"-",IF(AND($U$5=TRUE,$U$4=TRUE),"-",
IF((AND($U$4=TRUE,$U$5=FALSE,$U$6=FALSE,$U$7=FALSE)),VLOOKUP($E373,'Status Thresholds'!$E:$AR,4,FALSE),IF((AND($U$4=TRUE,$U$5=FALSE,$U$6=TRUE,$U$7=FALSE)),VLOOKUP($E373,'Status Thresholds'!$E:$AR,14,FALSE),IF((AND($U$4=TRUE,$U$5=FALSE,$U$6=TRUE,$U$7=TRUE)),VLOOKUP($E373,'Status Thresholds'!$E:$AR,19,FALSE),IF((AND($U$4=TRUE,$U$5=FALSE,$U$6=FALSE,$U$7=TRUE)),VLOOKUP($E373,'Status Thresholds'!$E:$AR,9,FALSE),
IF((AND($U$4=FALSE,$U$5=TRUE,$U$6=FALSE,$U$7=FALSE)),VLOOKUP($E373,'Status Thresholds'!$E:$AR,24,FALSE),IF((AND($U$4=FALSE,$U$5=TRUE,$U$6=TRUE,$U$7=FALSE)),VLOOKUP($E373,'Status Thresholds'!$E:$AR,34,FALSE),IF((AND($U$4=FALSE,$U$5=TRUE,$U$6=TRUE,$U$7=TRUE)),VLOOKUP($E373,'Status Thresholds'!$E:$AR,39,FALSE),IF((AND($U$4=FALSE,$U$5=TRUE,$U$6=FALSE,$U$7=TRUE)),VLOOKUP($E373,'Status Thresholds'!$E:$AR,29,FALSE)))))))))
))/
IF(OR($X$5=TRUE,$AC$3=TRUE
),($F$6/2), IF(OR($X$2,$X$3,$X$4,$X$6,$X$7,$X$8,$Z$2,$Z$3,$Z$4,$Z$5,$Z$6,$Z$7,$Z$8)=TRUE,$F$6)),0),"-")</f>
        <v>-</v>
      </c>
      <c r="I373" s="36" t="str">
        <f>IFERROR(
ROUNDUP(
IF(AND($U$5=FALSE,$U$4=FALSE),"-",IF(AND($U$5=TRUE,$U$4=TRUE),"-",
IF((AND($U$4=TRUE,$U$5=FALSE,$U$6=FALSE,$U$7=FALSE)),VLOOKUP($E373,'Status Thresholds'!$E:$AR,5,FALSE),IF((AND($U$4=TRUE,$U$5=FALSE,$U$6=TRUE,$U$7=FALSE)),VLOOKUP($E373,'Status Thresholds'!$E:$AR,15,FALSE),IF((AND($U$4=TRUE,$U$5=FALSE,$U$6=TRUE,$U$7=TRUE)),VLOOKUP($E373,'Status Thresholds'!$E:$AR,20,FALSE),IF((AND($U$4=TRUE,$U$5=FALSE,$U$6=FALSE,$U$7=TRUE)),VLOOKUP($E373,'Status Thresholds'!$E:$AR,10,FALSE),
IF((AND($U$4=FALSE,$U$5=TRUE,$U$6=FALSE,$U$7=FALSE)),VLOOKUP($E373,'Status Thresholds'!$E:$AR,25,FALSE),IF((AND($U$4=FALSE,$U$5=TRUE,$U$6=TRUE,$U$7=FALSE)),VLOOKUP($E373,'Status Thresholds'!$E:$AR,35,FALSE),IF((AND($U$4=FALSE,$U$5=TRUE,$U$6=TRUE,$U$7=TRUE)),VLOOKUP($E373,'Status Thresholds'!$E:$AR,40,FALSE),IF((AND($U$4=FALSE,$U$5=TRUE,$U$6=FALSE,$U$7=TRUE)),VLOOKUP($E373,'Status Thresholds'!$E:$AR,30,FALSE)))))))))
))/
IF(OR($X$5=TRUE,$AC$3=TRUE
),($F$6/2), IF(OR($X$2,$X$3,$X$4,$X$6,$X$7,$X$8,$Z$2,$Z$3,$Z$4,$Z$5,$Z$6,$Z$7,$Z$8)=TRUE,$F$6)),0),"-")</f>
        <v>-</v>
      </c>
      <c r="J373" s="46">
        <f>IFERROR(IF(AND($U$5=FALSE,$U$4=FALSE),"-",VLOOKUP($E373,'Status Thresholds'!$E:$AU,41,FALSE)),"-")</f>
        <v>0</v>
      </c>
      <c r="K373" s="46" t="str">
        <f>IFERROR(IF(AND($U$5=FALSE,$U$4=FALSE),"-",VLOOKUP($E373,'Status Thresholds'!$E:$AU,42,FALSE)),"-")</f>
        <v>-</v>
      </c>
      <c r="L373" s="46" t="str">
        <f>IFERROR(IF(AND($U$5=FALSE,$U$4=FALSE),"-",VLOOKUP($E373,'Status Thresholds'!$E:$AU,43,FALSE)),"-")</f>
        <v>-</v>
      </c>
    </row>
    <row r="374" spans="1:12" x14ac:dyDescent="0.25">
      <c r="A374" s="35"/>
      <c r="B374" s="64" t="str">
        <f>VLOOKUP(C374,'Status Thresholds'!B:C,2,FALSE)</f>
        <v>MHGen</v>
      </c>
      <c r="C374" s="64" t="str">
        <f>IF('Status Thresholds'!B369=0, "", 'Status Thresholds'!B369)</f>
        <v>Gravious</v>
      </c>
      <c r="D374" s="30" t="s">
        <v>35</v>
      </c>
      <c r="E374" s="36" t="str">
        <f t="shared" si="5"/>
        <v>GraviousBlast</v>
      </c>
      <c r="F374" s="36" t="str">
        <f>IFERROR(
ROUNDUP(
IF(AND($U$5=FALSE,$U$4=FALSE),"-",IF(AND($U$5=TRUE,$U$4=TRUE),"-",
IF((AND($U$4=TRUE,$U$5=FALSE,$U$6=FALSE,$U$7=FALSE)),VLOOKUP($E374,'Status Thresholds'!$E:$AR,2,FALSE),IF((AND($U$4=TRUE,$U$5=FALSE,$U$6=TRUE,$U$7=FALSE)),VLOOKUP($E374,'Status Thresholds'!$E:$AR,12,FALSE),IF((AND($U$4=TRUE,$U$5=FALSE,$U$6=TRUE,$U$7=TRUE)),VLOOKUP($E374,'Status Thresholds'!$E:$AR,17,FALSE),IF((AND($U$4=TRUE,$U$5=FALSE,$U$6=FALSE,$U$7=TRUE)),VLOOKUP($E374,'Status Thresholds'!$E:$AR,7,FALSE),
IF((AND($U$4=FALSE,$U$5=TRUE,$U$6=FALSE,$U$7=FALSE)),VLOOKUP($E374,'Status Thresholds'!$E:$AR,22,FALSE),IF((AND($U$4=FALSE,$U$5=TRUE,$U$6=TRUE,$U$7=FALSE)),VLOOKUP($E374,'Status Thresholds'!$E:$AR,32,FALSE),IF((AND($U$4=FALSE,$U$5=TRUE,$U$6=TRUE,$U$7=TRUE)),VLOOKUP($E374,'Status Thresholds'!$E:$AR,37,FALSE),IF((AND($U$4=FALSE,$U$5=TRUE,$U$6=FALSE,$U$7=TRUE)),VLOOKUP($E374,'Status Thresholds'!$E:$AR,27,FALSE)))))))))
))/
IF(OR($X$5=TRUE,$AC$3=TRUE
),($F$7/2), IF(OR($X$2,$X$3,$X$4,$X$6,$X$7,$X$8,$Z$2,$Z$3,$Z$4,$Z$5,$Z$6,$Z$7,$Z$8)=TRUE,$F$7)),0),"-")</f>
        <v>-</v>
      </c>
      <c r="G374" s="36" t="str">
        <f>IFERROR(
ROUNDUP(
IF(AND($U$5=FALSE,$U$4=FALSE),"-",IF(AND($U$5=TRUE,$U$4=TRUE),"-",
IF((AND($U$4=TRUE,$U$5=FALSE,$U$6=FALSE,$U$7=FALSE)),VLOOKUP($E374,'Status Thresholds'!$E:$AR,3,FALSE),IF((AND($U$4=TRUE,$U$5=FALSE,$U$6=TRUE,$U$7=FALSE)),VLOOKUP($E374,'Status Thresholds'!$E:$AR,13,FALSE),IF((AND($U$4=TRUE,$U$5=FALSE,$U$6=TRUE,$U$7=TRUE)),VLOOKUP($E374,'Status Thresholds'!$E:$AR,18,FALSE),IF((AND($U$4=TRUE,$U$5=FALSE,$U$6=FALSE,$U$7=TRUE)),VLOOKUP($E374,'Status Thresholds'!$E:$AR,8,FALSE),
IF((AND($U$4=FALSE,$U$5=TRUE,$U$6=FALSE,$U$7=FALSE)),VLOOKUP($E374,'Status Thresholds'!$E:$AR,23,FALSE),IF((AND($U$4=FALSE,$U$5=TRUE,$U$6=TRUE,$U$7=FALSE)),VLOOKUP($E374,'Status Thresholds'!$E:$AR,33,FALSE),IF((AND($U$4=FALSE,$U$5=TRUE,$U$6=TRUE,$U$7=TRUE)),VLOOKUP($E374,'Status Thresholds'!$E:$AR,38,FALSE),IF((AND($U$4=FALSE,$U$5=TRUE,$U$6=FALSE,$U$7=TRUE)),VLOOKUP($E374,'Status Thresholds'!$E:$AR,28,FALSE)))))))))
))/
IF(OR($X$5=TRUE,$AC$3=TRUE
),($F$7/2), IF(OR($X$2,$X$3,$X$4,$X$6,$X$7,$X$8,$Z$2,$Z$3,$Z$4,$Z$5,$Z$6,$Z$7,$Z$8)=TRUE,$F$7)),0),"-")</f>
        <v>-</v>
      </c>
      <c r="H374" s="36" t="str">
        <f>IFERROR(
ROUNDUP(
IF(AND($U$5=FALSE,$U$4=FALSE),"-",IF(AND($U$5=TRUE,$U$4=TRUE),"-",
IF((AND($U$4=TRUE,$U$5=FALSE,$U$6=FALSE,$U$7=FALSE)),VLOOKUP($E374,'Status Thresholds'!$E:$AR,4,FALSE),IF((AND($U$4=TRUE,$U$5=FALSE,$U$6=TRUE,$U$7=FALSE)),VLOOKUP($E374,'Status Thresholds'!$E:$AR,14,FALSE),IF((AND($U$4=TRUE,$U$5=FALSE,$U$6=TRUE,$U$7=TRUE)),VLOOKUP($E374,'Status Thresholds'!$E:$AR,19,FALSE),IF((AND($U$4=TRUE,$U$5=FALSE,$U$6=FALSE,$U$7=TRUE)),VLOOKUP($E374,'Status Thresholds'!$E:$AR,9,FALSE),
IF((AND($U$4=FALSE,$U$5=TRUE,$U$6=FALSE,$U$7=FALSE)),VLOOKUP($E374,'Status Thresholds'!$E:$AR,24,FALSE),IF((AND($U$4=FALSE,$U$5=TRUE,$U$6=TRUE,$U$7=FALSE)),VLOOKUP($E374,'Status Thresholds'!$E:$AR,34,FALSE),IF((AND($U$4=FALSE,$U$5=TRUE,$U$6=TRUE,$U$7=TRUE)),VLOOKUP($E374,'Status Thresholds'!$E:$AR,39,FALSE),IF((AND($U$4=FALSE,$U$5=TRUE,$U$6=FALSE,$U$7=TRUE)),VLOOKUP($E374,'Status Thresholds'!$E:$AR,29,FALSE)))))))))
))/
IF(OR($X$5=TRUE,$AC$3=TRUE
),($F$7/2), IF(OR($X$2,$X$3,$X$4,$X$6,$X$7,$X$8,$Z$2,$Z$3,$Z$4,$Z$5,$Z$6,$Z$7,$Z$8)=TRUE,$F$7)),0),"-")</f>
        <v>-</v>
      </c>
      <c r="I374" s="36" t="str">
        <f>IFERROR(
ROUNDUP(
IF(AND($U$5=FALSE,$U$4=FALSE),"-",IF(AND($U$5=TRUE,$U$4=TRUE),"-",
IF((AND($U$4=TRUE,$U$5=FALSE,$U$6=FALSE,$U$7=FALSE)),VLOOKUP($E374,'Status Thresholds'!$E:$AR,5,FALSE),IF((AND($U$4=TRUE,$U$5=FALSE,$U$6=TRUE,$U$7=FALSE)),VLOOKUP($E374,'Status Thresholds'!$E:$AR,15,FALSE),IF((AND($U$4=TRUE,$U$5=FALSE,$U$6=TRUE,$U$7=TRUE)),VLOOKUP($E374,'Status Thresholds'!$E:$AR,20,FALSE),IF((AND($U$4=TRUE,$U$5=FALSE,$U$6=FALSE,$U$7=TRUE)),VLOOKUP($E374,'Status Thresholds'!$E:$AR,10,FALSE),
IF((AND($U$4=FALSE,$U$5=TRUE,$U$6=FALSE,$U$7=FALSE)),VLOOKUP($E374,'Status Thresholds'!$E:$AR,25,FALSE),IF((AND($U$4=FALSE,$U$5=TRUE,$U$6=TRUE,$U$7=FALSE)),VLOOKUP($E374,'Status Thresholds'!$E:$AR,35,FALSE),IF((AND($U$4=FALSE,$U$5=TRUE,$U$6=TRUE,$U$7=TRUE)),VLOOKUP($E374,'Status Thresholds'!$E:$AR,40,FALSE),IF((AND($U$4=FALSE,$U$5=TRUE,$U$6=FALSE,$U$7=TRUE)),VLOOKUP($E374,'Status Thresholds'!$E:$AR,30,FALSE)))))))))
))/
IF(OR($X$5=TRUE,$AC$3=TRUE
),($F$7/2), IF(OR($X$2,$X$3,$X$4,$X$6,$X$7,$X$8,$Z$2,$Z$3,$Z$4,$Z$5,$Z$6,$Z$7,$Z$8)=TRUE,$F$7)),0),"-")</f>
        <v>-</v>
      </c>
      <c r="J374" s="46">
        <f>IFERROR(IF(AND($U$5=FALSE,$U$4=FALSE),"-",VLOOKUP($E374,'Status Thresholds'!$E:$AU,41,FALSE)),"-")</f>
        <v>0</v>
      </c>
      <c r="K374" s="46" t="str">
        <f>IFERROR(IF(AND($U$5=FALSE,$U$4=FALSE),"-",VLOOKUP($E374,'Status Thresholds'!$E:$AU,42,FALSE)),"-")</f>
        <v>-</v>
      </c>
      <c r="L374" s="46" t="str">
        <f>IFERROR(IF(AND($U$5=FALSE,$U$4=FALSE),"-",VLOOKUP($E374,'Status Thresholds'!$E:$AU,43,FALSE)),"-")</f>
        <v>-</v>
      </c>
    </row>
    <row r="375" spans="1:12" ht="14.45" customHeight="1" x14ac:dyDescent="0.25">
      <c r="A375" s="35"/>
      <c r="B375" s="64" t="str">
        <f>VLOOKUP(C375,'Status Thresholds'!B:C,2,FALSE)</f>
        <v>MHGen</v>
      </c>
      <c r="C375" s="64" t="str">
        <f>IF('Status Thresholds'!B370=0, "", 'Status Thresholds'!B370)</f>
        <v>Gravious</v>
      </c>
      <c r="D375" s="34" t="s">
        <v>14</v>
      </c>
      <c r="E375" s="36" t="str">
        <f t="shared" si="5"/>
        <v>GraviousKO</v>
      </c>
      <c r="F375" s="36" t="s">
        <v>214</v>
      </c>
      <c r="G375" s="36" t="s">
        <v>214</v>
      </c>
      <c r="H375" s="36" t="s">
        <v>214</v>
      </c>
      <c r="I375" s="36" t="s">
        <v>214</v>
      </c>
      <c r="J375" s="46">
        <f>IFERROR(IF(AND($U$5=FALSE,$U$4=FALSE),"-",VLOOKUP($E375,'Status Thresholds'!$E:$AU,41,FALSE)),"-")</f>
        <v>10</v>
      </c>
      <c r="K375" s="46" t="str">
        <f>IFERROR(IF(AND($U$5=FALSE,$U$4=FALSE),"-",VLOOKUP($E375,'Status Thresholds'!$E:$AU,42,FALSE)),"-")</f>
        <v>-</v>
      </c>
      <c r="L375" s="46" t="str">
        <f>IFERROR(IF(AND($U$5=FALSE,$U$4=FALSE),"-",VLOOKUP($E375,'Status Thresholds'!$E:$AU,43,FALSE)),"-")</f>
        <v>-</v>
      </c>
    </row>
    <row r="376" spans="1:12" x14ac:dyDescent="0.25">
      <c r="A376" s="35"/>
      <c r="B376" s="64" t="str">
        <f>VLOOKUP(C376,'Status Thresholds'!B:C,2,FALSE)</f>
        <v>MHGen</v>
      </c>
      <c r="C376" s="64" t="str">
        <f>IF('Status Thresholds'!B371=0, "", 'Status Thresholds'!B371)</f>
        <v>Gravious</v>
      </c>
      <c r="D376" s="33" t="s">
        <v>34</v>
      </c>
      <c r="E376" s="36" t="str">
        <f t="shared" si="5"/>
        <v>GraviousMount</v>
      </c>
      <c r="F376" s="36" t="str">
        <f>IFERROR(
ROUNDUP(
IF(AND($U$5=FALSE,$U$4=FALSE),"-",IF(AND($U$5=TRUE,$U$4=TRUE),"-",
IF((AND($U$4=TRUE,$U$5=FALSE,$U$6=FALSE,$U$7=FALSE)),VLOOKUP($E376,'Status Thresholds'!$E:$AR,2,FALSE),IF((AND($U$4=TRUE,$U$5=FALSE,$U$6=TRUE,$U$7=FALSE)),VLOOKUP($E376,'Status Thresholds'!$E:$AR,12,FALSE),IF((AND($U$4=TRUE,$U$5=FALSE,$U$6=TRUE,$U$7=TRUE)),VLOOKUP($E376,'Status Thresholds'!$E:$AR,17,FALSE),IF((AND($U$4=TRUE,$U$5=FALSE,$U$6=FALSE,$U$7=TRUE)),VLOOKUP($E376,'Status Thresholds'!$E:$AR,7,FALSE),
IF((AND($U$4=FALSE,$U$5=TRUE,$U$6=FALSE,$U$7=FALSE)),VLOOKUP($E376,'Status Thresholds'!$E:$AR,22,FALSE),IF((AND($U$4=FALSE,$U$5=TRUE,$U$6=TRUE,$U$7=FALSE)),VLOOKUP($E376,'Status Thresholds'!$E:$AR,32,FALSE),IF((AND($U$4=FALSE,$U$5=TRUE,$U$6=TRUE,$U$7=TRUE)),VLOOKUP($E376,'Status Thresholds'!$E:$AR,37,FALSE),IF((AND($U$4=FALSE,$U$5=TRUE,$U$6=FALSE,$U$7=TRUE)),VLOOKUP($E376,'Status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376" s="36" t="str">
        <f>IFERROR(
ROUNDUP(
IF(AND($U$5=FALSE,$U$4=FALSE),"-",IF(AND($U$5=TRUE,$U$4=TRUE),"-",
IF((AND($U$4=TRUE,$U$5=FALSE,$U$6=FALSE,$U$7=FALSE)),VLOOKUP($E375,'Status Thresholds'!$E:$AR,3,FALSE),IF((AND($U$4=TRUE,$U$5=FALSE,$U$6=TRUE,$U$7=FALSE)),VLOOKUP($E375,'Status Thresholds'!$E:$AR,13,FALSE),IF((AND($U$4=TRUE,$U$5=FALSE,$U$6=TRUE,$U$7=TRUE)),VLOOKUP($E375,'Status Thresholds'!$E:$AR,18,FALSE),IF((AND($U$4=TRUE,$U$5=FALSE,$U$6=FALSE,$U$7=TRUE)),VLOOKUP($E375,'Status Thresholds'!$E:$AR,8,FALSE),
IF((AND($U$4=FALSE,$U$5=TRUE,$U$6=FALSE,$U$7=FALSE)),VLOOKUP($E375,'Status Thresholds'!$E:$AR,23,FALSE),IF((AND($U$4=FALSE,$U$5=TRUE,$U$6=TRUE,$U$7=FALSE)),VLOOKUP($E375,'Status Thresholds'!$E:$AR,33,FALSE),IF((AND($U$4=FALSE,$U$5=TRUE,$U$6=TRUE,$U$7=TRUE)),VLOOKUP($E375,'Status Thresholds'!$E:$AR,38,FALSE),IF((AND($U$4=FALSE,$U$5=TRUE,$U$6=FALSE,$U$7=TRUE)),VLOOKUP($E375,'Status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376" s="36" t="str">
        <f>IFERROR(
ROUNDUP(
IF(AND($U$5=FALSE,$U$4=FALSE),"-",IF(AND($U$5=TRUE,$U$4=TRUE),"-",
IF((AND($U$4=TRUE,$U$5=FALSE,$U$6=FALSE,$U$7=FALSE)),VLOOKUP($E375,'Status Thresholds'!$E:$AR,4,FALSE),IF((AND($U$4=TRUE,$U$5=FALSE,$U$6=TRUE,$U$7=FALSE)),VLOOKUP($E375,'Status Thresholds'!$E:$AR,14,FALSE),IF((AND($U$4=TRUE,$U$5=FALSE,$U$6=TRUE,$U$7=TRUE)),VLOOKUP($E375,'Status Thresholds'!$E:$AR,19,FALSE),IF((AND($U$4=TRUE,$U$5=FALSE,$U$6=FALSE,$U$7=TRUE)),VLOOKUP($E375,'Status Thresholds'!$E:$AR,9,FALSE),
IF((AND($U$4=FALSE,$U$5=TRUE,$U$6=FALSE,$U$7=FALSE)),VLOOKUP($E375,'Status Thresholds'!$E:$AR,24,FALSE),IF((AND($U$4=FALSE,$U$5=TRUE,$U$6=TRUE,$U$7=FALSE)),VLOOKUP($E375,'Status Thresholds'!$E:$AR,34,FALSE),IF((AND($U$4=FALSE,$U$5=TRUE,$U$6=TRUE,$U$7=TRUE)),VLOOKUP($E375,'Status Thresholds'!$E:$AR,39,FALSE),IF((AND($U$4=FALSE,$U$5=TRUE,$U$6=FALSE,$U$7=TRUE)),VLOOKUP($E375,'Status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376" s="36" t="str">
        <f>IFERROR(
ROUNDUP(
IF(AND($U$5=FALSE,$U$4=FALSE),"-",IF(AND($U$5=TRUE,$U$4=TRUE),"-",
IF((AND($U$4=TRUE,$U$5=FALSE,$U$6=FALSE,$U$7=FALSE)),VLOOKUP($E375,'Status Thresholds'!$E:$AR,5,FALSE),IF((AND($U$4=TRUE,$U$5=FALSE,$U$6=TRUE,$U$7=FALSE)),VLOOKUP($E375,'Status Thresholds'!$E:$AR,15,FALSE),IF((AND($U$4=TRUE,$U$5=FALSE,$U$6=TRUE,$U$7=TRUE)),VLOOKUP($E375,'Status Thresholds'!$E:$AR,20,FALSE),IF((AND($U$4=TRUE,$U$5=FALSE,$U$6=FALSE,$U$7=TRUE)),VLOOKUP($E375,'Status Thresholds'!$E:$AR,10,FALSE),
IF((AND($U$4=FALSE,$U$5=TRUE,$U$6=FALSE,$U$7=FALSE)),VLOOKUP($E375,'Status Thresholds'!$E:$AR,25,FALSE),IF((AND($U$4=FALSE,$U$5=TRUE,$U$6=TRUE,$U$7=FALSE)),VLOOKUP($E375,'Status Thresholds'!$E:$AR,35,FALSE),IF((AND($U$4=FALSE,$U$5=TRUE,$U$6=TRUE,$U$7=TRUE)),VLOOKUP($E375,'Status Thresholds'!$E:$AR,40,FALSE),IF((AND($U$4=FALSE,$U$5=TRUE,$U$6=FALSE,$U$7=TRUE)),VLOOKUP($E375,'Status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376" s="46">
        <f>IFERROR(IF(AND($U$5=FALSE,$U$4=FALSE),"-",VLOOKUP($E376,'Status Thresholds'!$E:$AU,41,FALSE)),"-")</f>
        <v>0</v>
      </c>
      <c r="K376" s="46" t="str">
        <f>IFERROR(IF(AND($U$5=FALSE,$U$4=FALSE),"-",VLOOKUP($E376,'Status Thresholds'!$E:$AU,42,FALSE)),"-")</f>
        <v>-</v>
      </c>
      <c r="L376" s="46" t="str">
        <f>IFERROR(IF(AND($U$5=FALSE,$U$4=FALSE),"-",VLOOKUP($E376,'Status Thresholds'!$E:$AU,43,FALSE)),"-")</f>
        <v>-</v>
      </c>
    </row>
    <row r="377" spans="1:12" ht="15" customHeight="1" x14ac:dyDescent="0.25">
      <c r="A377" s="35"/>
      <c r="B377" s="64" t="str">
        <f>VLOOKUP(C377,'Status Thresholds'!B:C,2,FALSE)</f>
        <v>MHGen</v>
      </c>
      <c r="C377" s="64" t="str">
        <f>IF('Status Thresholds'!B372=0, "", 'Status Thresholds'!B372)</f>
        <v>Gravious</v>
      </c>
      <c r="D377" s="77" t="s">
        <v>207</v>
      </c>
      <c r="E377" s="36" t="str">
        <f t="shared" si="5"/>
        <v>GraviousShock Trap</v>
      </c>
      <c r="F377" s="76" t="s">
        <v>214</v>
      </c>
      <c r="G377" s="46" t="s">
        <v>214</v>
      </c>
      <c r="H377" s="46" t="s">
        <v>214</v>
      </c>
      <c r="I377" s="46" t="s">
        <v>214</v>
      </c>
      <c r="J377" s="46">
        <f>IFERROR(IF(AND($U$5=FALSE,$U$4=FALSE),"-",VLOOKUP($E377,'Status Thresholds'!$E:$AU,43,FALSE)),"-")</f>
        <v>8</v>
      </c>
      <c r="K377" s="46">
        <f>IFERROR(IF(AND($U$5=FALSE,$U$4=FALSE),"-",VLOOKUP($E377,'Status Thresholds'!$E:$AU,41,FALSE)),"-")</f>
        <v>8</v>
      </c>
      <c r="L377" s="46">
        <f>IFERROR(IF(AND($U$5=FALSE,$U$4=FALSE),"-",VLOOKUP($E377,'Status Thresholds'!$E:$AU,42,FALSE)),"-")</f>
        <v>15</v>
      </c>
    </row>
    <row r="378" spans="1:12" x14ac:dyDescent="0.25">
      <c r="A378" s="35"/>
      <c r="B378" s="64" t="str">
        <f>VLOOKUP(C378,'Status Thresholds'!B:C,2,FALSE)</f>
        <v>MHGen</v>
      </c>
      <c r="C378" s="64" t="str">
        <f>IF('Status Thresholds'!B373=0, "", 'Status Thresholds'!B373)</f>
        <v>Gravious</v>
      </c>
      <c r="D378" s="77" t="s">
        <v>213</v>
      </c>
      <c r="E378" s="36" t="str">
        <f t="shared" si="5"/>
        <v>GraviousPitfall Trap</v>
      </c>
      <c r="F378" s="46" t="s">
        <v>214</v>
      </c>
      <c r="G378" s="46" t="s">
        <v>214</v>
      </c>
      <c r="H378" s="46" t="s">
        <v>214</v>
      </c>
      <c r="I378" s="46" t="s">
        <v>214</v>
      </c>
      <c r="J378" s="46">
        <f>IFERROR(IF(AND($U$5=FALSE,$U$4=FALSE),"-",VLOOKUP($E378,'Status Thresholds'!$E:$AU,43,FALSE)),"-")</f>
        <v>10</v>
      </c>
      <c r="K378" s="46">
        <f>IFERROR(IF(AND($U$5=FALSE,$U$4=FALSE),"-",VLOOKUP($E378,'Status Thresholds'!$E:$AU,41,FALSE)),"-")</f>
        <v>10</v>
      </c>
      <c r="L378" s="46">
        <f>IFERROR(IF(AND($U$5=FALSE,$U$4=FALSE),"-",VLOOKUP($E378,'Status Thresholds'!$E:$AU,42,FALSE)),"-")</f>
        <v>20</v>
      </c>
    </row>
    <row r="379" spans="1:12" s="36" customFormat="1" x14ac:dyDescent="0.25">
      <c r="A379" s="64"/>
      <c r="B379" s="64" t="str">
        <f>VLOOKUP(C379,'Status Thresholds'!B:C,2,FALSE)</f>
        <v>MHGen</v>
      </c>
      <c r="C379" s="64" t="str">
        <f>IF('Status Thresholds'!B374=0, "", 'Status Thresholds'!B374)</f>
        <v>Great Maccao</v>
      </c>
      <c r="D379" s="37" t="s">
        <v>0</v>
      </c>
      <c r="E379" s="36" t="str">
        <f t="shared" si="5"/>
        <v>Great MaccaoPara</v>
      </c>
      <c r="F379" s="36" t="str">
        <f>IFERROR(
ROUNDUP(
IF(AND($U$5=FALSE,$U$4=FALSE),"-",IF(AND($U$5=TRUE,$U$4=TRUE),"-",
IF((AND($U$4=TRUE,$U$5=FALSE,$U$6=FALSE,$U$7=FALSE)),VLOOKUP($E379,'Status Thresholds'!$E:$AR,2,FALSE),IF((AND($U$4=TRUE,$U$5=FALSE,$U$6=TRUE,$U$7=FALSE)),VLOOKUP($E379,'Status Thresholds'!$E:$AR,12,FALSE),IF((AND($U$4=TRUE,$U$5=FALSE,$U$6=TRUE,$U$7=TRUE)),VLOOKUP($E379,'Status Thresholds'!$E:$AR,17,FALSE),IF((AND($U$4=TRUE,$U$5=FALSE,$U$6=FALSE,$U$7=TRUE)),VLOOKUP($E379,'Status Thresholds'!$E:$AR,7,FALSE),
IF((AND($U$4=FALSE,$U$5=TRUE,$U$6=FALSE,$U$7=FALSE)),VLOOKUP($E379,'Status Thresholds'!$E:$AR,22,FALSE),IF((AND($U$4=FALSE,$U$5=TRUE,$U$6=TRUE,$U$7=FALSE)),VLOOKUP($E379,'Status Thresholds'!$E:$AR,32,FALSE),IF((AND($U$4=FALSE,$U$5=TRUE,$U$6=TRUE,$U$7=TRUE)),VLOOKUP($E379,'Status Thresholds'!$E:$AR,37,FALSE),IF((AND($U$4=FALSE,$U$5=TRUE,$U$6=FALSE,$U$7=TRUE)),VLOOKUP($E379,'Status Thresholds'!$E:$AR,27,FALSE)))))))))
))/
IF(OR($X$5=TRUE,$AC$3=TRUE
),($F$3/2), IF(OR($X$2,$X$3,$X$4,$X$6,$X$7,$X$8,$Z$2,$Z$3,$Z$4,$Z$5,$Z$6,$Z$7,$Z$8)=TRUE,$F$3)),0),"-")</f>
        <v>-</v>
      </c>
      <c r="G379" s="36" t="str">
        <f>IFERROR(
ROUNDUP(
IF(AND($U$5=FALSE,$U$4=FALSE),"-",IF(AND($U$5=TRUE,$U$4=TRUE),"-",
IF((AND($U$4=TRUE,$U$5=FALSE,$U$6=FALSE,$U$7=FALSE)),VLOOKUP($E379,'Status Thresholds'!$E:$AR,3,FALSE),IF((AND($U$4=TRUE,$U$5=FALSE,$U$6=TRUE,$U$7=FALSE)),VLOOKUP($E379,'Status Thresholds'!$E:$AR,13,FALSE),IF((AND($U$4=TRUE,$U$5=FALSE,$U$6=TRUE,$U$7=TRUE)),VLOOKUP($E379,'Status Thresholds'!$E:$AR,18,FALSE),IF((AND($U$4=TRUE,$U$5=FALSE,$U$6=FALSE,$U$7=TRUE)),VLOOKUP($E379,'Status Thresholds'!$E:$AR,8,FALSE),
IF((AND($U$4=FALSE,$U$5=TRUE,$U$6=FALSE,$U$7=FALSE)),VLOOKUP($E379,'Status Thresholds'!$E:$AR,23,FALSE),IF((AND($U$4=FALSE,$U$5=TRUE,$U$6=TRUE,$U$7=FALSE)),VLOOKUP($E379,'Status Thresholds'!$E:$AR,33,FALSE),IF((AND($U$4=FALSE,$U$5=TRUE,$U$6=TRUE,$U$7=TRUE)),VLOOKUP($E379,'Status Thresholds'!$E:$AR,38,FALSE),IF((AND($U$4=FALSE,$U$5=TRUE,$U$6=FALSE,$U$7=TRUE)),VLOOKUP($E379,'Status Thresholds'!$E:$AR,28,FALSE)))))))))
))/
IF(OR($X$5=TRUE,$AC$3=TRUE
),($F$3/2), IF(OR($X$2,$X$3,$X$4,$X$6,$X$7,$X$8,$Z$2,$Z$3,$Z$4,$Z$5,$Z$6,$Z$7,$Z$8)=TRUE,$F$3)),0),"-")</f>
        <v>-</v>
      </c>
      <c r="H379" s="36" t="str">
        <f>IFERROR(
ROUNDUP(
IF(AND($U$5=FALSE,$U$4=FALSE),"-",IF(AND($U$5=TRUE,$U$4=TRUE),"-",
IF((AND($U$4=TRUE,$U$5=FALSE,$U$6=FALSE,$U$7=FALSE)),VLOOKUP($E379,'Status Thresholds'!$E:$AR,4,FALSE),IF((AND($U$4=TRUE,$U$5=FALSE,$U$6=TRUE,$U$7=FALSE)),VLOOKUP($E379,'Status Thresholds'!$E:$AR,14,FALSE),IF((AND($U$4=TRUE,$U$5=FALSE,$U$6=TRUE,$U$7=TRUE)),VLOOKUP($E379,'Status Thresholds'!$E:$AR,19,FALSE),IF((AND($U$4=TRUE,$U$5=FALSE,$U$6=FALSE,$U$7=TRUE)),VLOOKUP($E379,'Status Thresholds'!$E:$AR,9,FALSE),
IF((AND($U$4=FALSE,$U$5=TRUE,$U$6=FALSE,$U$7=FALSE)),VLOOKUP($E379,'Status Thresholds'!$E:$AR,24,FALSE),IF((AND($U$4=FALSE,$U$5=TRUE,$U$6=TRUE,$U$7=FALSE)),VLOOKUP($E379,'Status Thresholds'!$E:$AR,34,FALSE),IF((AND($U$4=FALSE,$U$5=TRUE,$U$6=TRUE,$U$7=TRUE)),VLOOKUP($E379,'Status Thresholds'!$E:$AR,39,FALSE),IF((AND($U$4=FALSE,$U$5=TRUE,$U$6=FALSE,$U$7=TRUE)),VLOOKUP($E379,'Status Thresholds'!$E:$AR,29,FALSE)))))))))
))/
IF(OR($X$5=TRUE,$AC$3=TRUE
),($F$3/2), IF(OR($X$2,$X$3,$X$4,$X$6,$X$7,$X$8,$Z$2,$Z$3,$Z$4,$Z$5,$Z$6,$Z$7,$Z$8)=TRUE,$F$3)),0),"-")</f>
        <v>-</v>
      </c>
      <c r="I379" s="36" t="str">
        <f>IFERROR(
ROUNDUP(
IF(AND($U$5=FALSE,$U$4=FALSE),"-",IF(AND($U$5=TRUE,$U$4=TRUE),"-",
IF((AND($U$4=TRUE,$U$5=FALSE,$U$6=FALSE,$U$7=FALSE)),VLOOKUP($E379,'Status Thresholds'!$E:$AR,5,FALSE),IF((AND($U$4=TRUE,$U$5=FALSE,$U$6=TRUE,$U$7=FALSE)),VLOOKUP($E379,'Status Thresholds'!$E:$AR,15,FALSE),IF((AND($U$4=TRUE,$U$5=FALSE,$U$6=TRUE,$U$7=TRUE)),VLOOKUP($E379,'Status Thresholds'!$E:$AR,20,FALSE),IF((AND($U$4=TRUE,$U$5=FALSE,$U$6=FALSE,$U$7=TRUE)),VLOOKUP($E379,'Status Thresholds'!$E:$AR,10,FALSE),
IF((AND($U$4=FALSE,$U$5=TRUE,$U$6=FALSE,$U$7=FALSE)),VLOOKUP($E379,'Status Thresholds'!$E:$AR,25,FALSE),IF((AND($U$4=FALSE,$U$5=TRUE,$U$6=TRUE,$U$7=FALSE)),VLOOKUP($E379,'Status Thresholds'!$E:$AR,35,FALSE),IF((AND($U$4=FALSE,$U$5=TRUE,$U$6=TRUE,$U$7=TRUE)),VLOOKUP($E379,'Status Thresholds'!$E:$AR,40,FALSE),IF((AND($U$4=FALSE,$U$5=TRUE,$U$6=FALSE,$U$7=TRUE)),VLOOKUP($E379,'Status Thresholds'!$E:$AR,30,FALSE)))))))))
))/
IF(OR($X$5=TRUE,$AC$3=TRUE
),($F$3/2), IF(OR($X$2,$X$3,$X$4,$X$6,$X$7,$X$8,$Z$2,$Z$3,$Z$4,$Z$5,$Z$6,$Z$7,$Z$8)=TRUE,$F$3)),0),"-")</f>
        <v>-</v>
      </c>
      <c r="J379" s="36">
        <f>IFERROR(IF(AND($U$5=FALSE,$U$4=FALSE),"-",VLOOKUP($E379,'Status Thresholds'!$E:$AU,41,FALSE)),"-")</f>
        <v>10</v>
      </c>
      <c r="K379" s="36" t="str">
        <f>IFERROR(IF(AND($U$5=FALSE,$U$4=FALSE),"-",VLOOKUP($E379,'Status Thresholds'!$E:$AU,42,FALSE)),"-")</f>
        <v>-</v>
      </c>
      <c r="L379" s="36" t="str">
        <f>IFERROR(IF(AND($U$5=FALSE,$U$4=FALSE),"-",VLOOKUP($E379,'Status Thresholds'!$E:$AU,43,FALSE)),"-")</f>
        <v>-</v>
      </c>
    </row>
    <row r="380" spans="1:12" x14ac:dyDescent="0.25">
      <c r="A380" s="35"/>
      <c r="B380" s="64" t="str">
        <f>VLOOKUP(C380,'Status Thresholds'!B:C,2,FALSE)</f>
        <v>MHGen</v>
      </c>
      <c r="C380" s="64" t="str">
        <f>IF('Status Thresholds'!B375=0, "", 'Status Thresholds'!B375)</f>
        <v>Great Maccao</v>
      </c>
      <c r="D380" s="31" t="s">
        <v>32</v>
      </c>
      <c r="E380" s="36" t="str">
        <f t="shared" si="5"/>
        <v>Great MaccaoSleep</v>
      </c>
      <c r="F380" s="36" t="str">
        <f>IFERROR(
ROUNDUP(
IF(AND($U$5=FALSE,$U$4=FALSE),"-",IF(AND($U$5=TRUE,$U$4=TRUE),"-",
IF((AND($U$4=TRUE,$U$5=FALSE,$U$6=FALSE,$U$7=FALSE)),VLOOKUP($E380,'Status Thresholds'!$E:$AR,2,FALSE),IF((AND($U$4=TRUE,$U$5=FALSE,$U$6=TRUE,$U$7=FALSE)),VLOOKUP($E380,'Status Thresholds'!$E:$AR,12,FALSE),IF((AND($U$4=TRUE,$U$5=FALSE,$U$6=TRUE,$U$7=TRUE)),VLOOKUP($E380,'Status Thresholds'!$E:$AR,17,FALSE),IF((AND($U$4=TRUE,$U$5=FALSE,$U$6=FALSE,$U$7=TRUE)),VLOOKUP($E380,'Status Thresholds'!$E:$AR,7,FALSE),
IF((AND($U$4=FALSE,$U$5=TRUE,$U$6=FALSE,$U$7=FALSE)),VLOOKUP($E380,'Status Thresholds'!$E:$AR,22,FALSE),IF((AND($U$4=FALSE,$U$5=TRUE,$U$6=TRUE,$U$7=FALSE)),VLOOKUP($E380,'Status Thresholds'!$E:$AR,32,FALSE),IF((AND($U$4=FALSE,$U$5=TRUE,$U$6=TRUE,$U$7=TRUE)),VLOOKUP($E380,'Status Thresholds'!$E:$AR,37,FALSE),IF((AND($U$4=FALSE,$U$5=TRUE,$U$6=FALSE,$U$7=TRUE)),VLOOKUP($E380,'Status Thresholds'!$E:$AR,27,FALSE)))))))))
))/
IF(OR($X$5=TRUE,$AC$3=TRUE
),($F$4/2), IF(OR($X$2,$X$3,$X$4,$X$6,$X$7,$X$8,$Z$2,$Z$3,$Z$4,$Z$5,$Z$6,$Z$7,$Z$8)=TRUE,$F$4)),0),"-")</f>
        <v>-</v>
      </c>
      <c r="G380" s="36" t="str">
        <f>IFERROR(
ROUNDUP(
IF(AND($U$5=FALSE,$U$4=FALSE),"-",IF(AND($U$5=TRUE,$U$4=TRUE),"-",
IF((AND($U$4=TRUE,$U$5=FALSE,$U$6=FALSE,$U$7=FALSE)),VLOOKUP($E380,'Status Thresholds'!$E:$AR,3,FALSE),IF((AND($U$4=TRUE,$U$5=FALSE,$U$6=TRUE,$U$7=FALSE)),VLOOKUP($E380,'Status Thresholds'!$E:$AR,13,FALSE),IF((AND($U$4=TRUE,$U$5=FALSE,$U$6=TRUE,$U$7=TRUE)),VLOOKUP($E380,'Status Thresholds'!$E:$AR,18,FALSE),IF((AND($U$4=TRUE,$U$5=FALSE,$U$6=FALSE,$U$7=TRUE)),VLOOKUP($E380,'Status Thresholds'!$E:$AR,8,FALSE),
IF((AND($U$4=FALSE,$U$5=TRUE,$U$6=FALSE,$U$7=FALSE)),VLOOKUP($E380,'Status Thresholds'!$E:$AR,23,FALSE),IF((AND($U$4=FALSE,$U$5=TRUE,$U$6=TRUE,$U$7=FALSE)),VLOOKUP($E380,'Status Thresholds'!$E:$AR,33,FALSE),IF((AND($U$4=FALSE,$U$5=TRUE,$U$6=TRUE,$U$7=TRUE)),VLOOKUP($E380,'Status Thresholds'!$E:$AR,38,FALSE),IF((AND($U$4=FALSE,$U$5=TRUE,$U$6=FALSE,$U$7=TRUE)),VLOOKUP($E380,'Status Thresholds'!$E:$AR,28,FALSE)))))))))
))/
IF(OR($X$5=TRUE,$AC$3=TRUE
),($F$4/2), IF(OR($X$2,$X$3,$X$4,$X$6,$X$7,$X$8,$Z$2,$Z$3,$Z$4,$Z$5,$Z$6,$Z$7,$Z$8)=TRUE,$F$4)),0),"-")</f>
        <v>-</v>
      </c>
      <c r="H380" s="36" t="str">
        <f>IFERROR(
ROUNDUP(
IF(AND($U$5=FALSE,$U$4=FALSE),"-",IF(AND($U$5=TRUE,$U$4=TRUE),"-",
IF((AND($U$4=TRUE,$U$5=FALSE,$U$6=FALSE,$U$7=FALSE)),VLOOKUP($E380,'Status Thresholds'!$E:$AR,4,FALSE),IF((AND($U$4=TRUE,$U$5=FALSE,$U$6=TRUE,$U$7=FALSE)),VLOOKUP($E380,'Status Thresholds'!$E:$AR,14,FALSE),IF((AND($U$4=TRUE,$U$5=FALSE,$U$6=TRUE,$U$7=TRUE)),VLOOKUP($E380,'Status Thresholds'!$E:$AR,19,FALSE),IF((AND($U$4=TRUE,$U$5=FALSE,$U$6=FALSE,$U$7=TRUE)),VLOOKUP($E380,'Status Thresholds'!$E:$AR,9,FALSE),
IF((AND($U$4=FALSE,$U$5=TRUE,$U$6=FALSE,$U$7=FALSE)),VLOOKUP($E380,'Status Thresholds'!$E:$AR,24,FALSE),IF((AND($U$4=FALSE,$U$5=TRUE,$U$6=TRUE,$U$7=FALSE)),VLOOKUP($E380,'Status Thresholds'!$E:$AR,34,FALSE),IF((AND($U$4=FALSE,$U$5=TRUE,$U$6=TRUE,$U$7=TRUE)),VLOOKUP($E380,'Status Thresholds'!$E:$AR,39,FALSE),IF((AND($U$4=FALSE,$U$5=TRUE,$U$6=FALSE,$U$7=TRUE)),VLOOKUP($E380,'Status Thresholds'!$E:$AR,29,FALSE)))))))))
))/
IF(OR($X$5=TRUE,$AC$3=TRUE
),($F$4/2), IF(OR($X$2,$X$3,$X$4,$X$6,$X$7,$X$8,$Z$2,$Z$3,$Z$4,$Z$5,$Z$6,$Z$7,$Z$8)=TRUE,$F$4)),0),"-")</f>
        <v>-</v>
      </c>
      <c r="I380" s="36" t="str">
        <f>IFERROR(
ROUNDUP(
IF(AND($U$5=FALSE,$U$4=FALSE),"-",IF(AND($U$5=TRUE,$U$4=TRUE),"-",
IF((AND($U$4=TRUE,$U$5=FALSE,$U$6=FALSE,$U$7=FALSE)),VLOOKUP($E380,'Status Thresholds'!$E:$AR,5,FALSE),IF((AND($U$4=TRUE,$U$5=FALSE,$U$6=TRUE,$U$7=FALSE)),VLOOKUP($E380,'Status Thresholds'!$E:$AR,15,FALSE),IF((AND($U$4=TRUE,$U$5=FALSE,$U$6=TRUE,$U$7=TRUE)),VLOOKUP($E380,'Status Thresholds'!$E:$AR,20,FALSE),IF((AND($U$4=TRUE,$U$5=FALSE,$U$6=FALSE,$U$7=TRUE)),VLOOKUP($E380,'Status Thresholds'!$E:$AR,10,FALSE),
IF((AND($U$4=FALSE,$U$5=TRUE,$U$6=FALSE,$U$7=FALSE)),VLOOKUP($E380,'Status Thresholds'!$E:$AR,25,FALSE),IF((AND($U$4=FALSE,$U$5=TRUE,$U$6=TRUE,$U$7=FALSE)),VLOOKUP($E380,'Status Thresholds'!$E:$AR,35,FALSE),IF((AND($U$4=FALSE,$U$5=TRUE,$U$6=TRUE,$U$7=TRUE)),VLOOKUP($E380,'Status Thresholds'!$E:$AR,40,FALSE),IF((AND($U$4=FALSE,$U$5=TRUE,$U$6=FALSE,$U$7=TRUE)),VLOOKUP($E380,'Status Thresholds'!$E:$AR,30,FALSE)))))))))
))/
IF(OR($X$5=TRUE,$AC$3=TRUE
),($F$4/2), IF(OR($X$2,$X$3,$X$4,$X$6,$X$7,$X$8,$Z$2,$Z$3,$Z$4,$Z$5,$Z$6,$Z$7,$Z$8)=TRUE,$F$4)),0),"-")</f>
        <v>-</v>
      </c>
      <c r="J380" s="46">
        <f>IFERROR(IF(AND($U$5=FALSE,$U$4=FALSE),"-",VLOOKUP($E380,'Status Thresholds'!$E:$AU,41,FALSE)),"-")</f>
        <v>40</v>
      </c>
      <c r="K380" s="46" t="str">
        <f>IFERROR(IF(AND($U$5=FALSE,$U$4=FALSE),"-",VLOOKUP($E380,'Status Thresholds'!$E:$AU,42,FALSE)),"-")</f>
        <v>-</v>
      </c>
      <c r="L380" s="46" t="str">
        <f>IFERROR(IF(AND($U$5=FALSE,$U$4=FALSE),"-",VLOOKUP($E380,'Status Thresholds'!$E:$AU,43,FALSE)),"-")</f>
        <v>-</v>
      </c>
    </row>
    <row r="381" spans="1:12" x14ac:dyDescent="0.25">
      <c r="A381" s="35"/>
      <c r="B381" s="64" t="str">
        <f>VLOOKUP(C381,'Status Thresholds'!B:C,2,FALSE)</f>
        <v>MHGen</v>
      </c>
      <c r="C381" s="64" t="str">
        <f>IF('Status Thresholds'!B376=0, "", 'Status Thresholds'!B376)</f>
        <v>Great Maccao</v>
      </c>
      <c r="D381" s="32" t="s">
        <v>33</v>
      </c>
      <c r="E381" s="36" t="str">
        <f t="shared" si="5"/>
        <v>Great MaccaoPoison</v>
      </c>
      <c r="F381" s="36" t="str">
        <f>IFERROR(
ROUNDUP(
IF(AND($U$5=FALSE,$U$4=FALSE),"-",IF(AND($U$5=TRUE,$U$4=TRUE),"-",
IF((AND($U$4=TRUE,$U$5=FALSE,$U$6=FALSE,$U$7=FALSE)),VLOOKUP($E381,'Status Thresholds'!$E:$AR,2,FALSE),IF((AND($U$4=TRUE,$U$5=FALSE,$U$6=TRUE,$U$7=FALSE)),VLOOKUP($E381,'Status Thresholds'!$E:$AR,12,FALSE),IF((AND($U$4=TRUE,$U$5=FALSE,$U$6=TRUE,$U$7=TRUE)),VLOOKUP($E381,'Status Thresholds'!$E:$AR,17,FALSE),IF((AND($U$4=TRUE,$U$5=FALSE,$U$6=FALSE,$U$7=TRUE)),VLOOKUP($E381,'Status Thresholds'!$E:$AR,7,FALSE),
IF((AND($U$4=FALSE,$U$5=TRUE,$U$6=FALSE,$U$7=FALSE)),VLOOKUP($E381,'Status Thresholds'!$E:$AR,22,FALSE),IF((AND($U$4=FALSE,$U$5=TRUE,$U$6=TRUE,$U$7=FALSE)),VLOOKUP($E381,'Status Thresholds'!$E:$AR,32,FALSE),IF((AND($U$4=FALSE,$U$5=TRUE,$U$6=TRUE,$U$7=TRUE)),VLOOKUP($E381,'Status Thresholds'!$E:$AR,37,FALSE),IF((AND($U$4=FALSE,$U$5=TRUE,$U$6=FALSE,$U$7=TRUE)),VLOOKUP($E381,'Status Thresholds'!$E:$AR,27,FALSE)))))))))
))/
IF(OR($X$5=TRUE,$AC$3=TRUE
),($F$5/2), IF(OR($X$2,$X$3,$X$4,$X$6,$X$7,$X$8,$Z$2,$Z$3,$Z$4,$Z$5,$Z$6,$Z$7,$Z$8)=TRUE,$F$5)),0),"-")</f>
        <v>-</v>
      </c>
      <c r="G381" s="36" t="str">
        <f>IFERROR(
ROUNDUP(
IF(AND($U$5=FALSE,$U$4=FALSE),"-",IF(AND($U$5=TRUE,$U$4=TRUE),"-",
IF((AND($U$4=TRUE,$U$5=FALSE,$U$6=FALSE,$U$7=FALSE)),VLOOKUP($E381,'Status Thresholds'!$E:$AR,3,FALSE),IF((AND($U$4=TRUE,$U$5=FALSE,$U$6=TRUE,$U$7=FALSE)),VLOOKUP($E381,'Status Thresholds'!$E:$AR,13,FALSE),IF((AND($U$4=TRUE,$U$5=FALSE,$U$6=TRUE,$U$7=TRUE)),VLOOKUP($E381,'Status Thresholds'!$E:$AR,18,FALSE),IF((AND($U$4=TRUE,$U$5=FALSE,$U$6=FALSE,$U$7=TRUE)),VLOOKUP($E381,'Status Thresholds'!$E:$AR,8,FALSE),
IF((AND($U$4=FALSE,$U$5=TRUE,$U$6=FALSE,$U$7=FALSE)),VLOOKUP($E381,'Status Thresholds'!$E:$AR,23,FALSE),IF((AND($U$4=FALSE,$U$5=TRUE,$U$6=TRUE,$U$7=FALSE)),VLOOKUP($E381,'Status Thresholds'!$E:$AR,33,FALSE),IF((AND($U$4=FALSE,$U$5=TRUE,$U$6=TRUE,$U$7=TRUE)),VLOOKUP($E381,'Status Thresholds'!$E:$AR,38,FALSE),IF((AND($U$4=FALSE,$U$5=TRUE,$U$6=FALSE,$U$7=TRUE)),VLOOKUP($E381,'Status Thresholds'!$E:$AR,28,FALSE)))))))))
))/
IF(OR($X$5=TRUE,$AC$3=TRUE
),($F$5/2), IF(OR($X$2,$X$3,$X$4,$X$6,$X$7,$X$8,$Z$2,$Z$3,$Z$4,$Z$5,$Z$6,$Z$7,$Z$8)=TRUE,$F$5)),0),"-")</f>
        <v>-</v>
      </c>
      <c r="H381" s="36" t="str">
        <f>IFERROR(
ROUNDUP(
IF(AND($U$5=FALSE,$U$4=FALSE),"-",IF(AND($U$5=TRUE,$U$4=TRUE),"-",
IF((AND($U$4=TRUE,$U$5=FALSE,$U$6=FALSE,$U$7=FALSE)),VLOOKUP($E381,'Status Thresholds'!$E:$AR,4,FALSE),IF((AND($U$4=TRUE,$U$5=FALSE,$U$6=TRUE,$U$7=FALSE)),VLOOKUP($E381,'Status Thresholds'!$E:$AR,14,FALSE),IF((AND($U$4=TRUE,$U$5=FALSE,$U$6=TRUE,$U$7=TRUE)),VLOOKUP($E381,'Status Thresholds'!$E:$AR,19,FALSE),IF((AND($U$4=TRUE,$U$5=FALSE,$U$6=FALSE,$U$7=TRUE)),VLOOKUP($E381,'Status Thresholds'!$E:$AR,9,FALSE),
IF((AND($U$4=FALSE,$U$5=TRUE,$U$6=FALSE,$U$7=FALSE)),VLOOKUP($E381,'Status Thresholds'!$E:$AR,24,FALSE),IF((AND($U$4=FALSE,$U$5=TRUE,$U$6=TRUE,$U$7=FALSE)),VLOOKUP($E381,'Status Thresholds'!$E:$AR,34,FALSE),IF((AND($U$4=FALSE,$U$5=TRUE,$U$6=TRUE,$U$7=TRUE)),VLOOKUP($E381,'Status Thresholds'!$E:$AR,39,FALSE),IF((AND($U$4=FALSE,$U$5=TRUE,$U$6=FALSE,$U$7=TRUE)),VLOOKUP($E381,'Status Thresholds'!$E:$AR,29,FALSE)))))))))
))/
IF(OR($X$5=TRUE,$AC$3=TRUE
),($F$5/2), IF(OR($X$2,$X$3,$X$4,$X$6,$X$7,$X$8,$Z$2,$Z$3,$Z$4,$Z$5,$Z$6,$Z$7,$Z$8)=TRUE,$F$5)),0),"-")</f>
        <v>-</v>
      </c>
      <c r="I381" s="36" t="str">
        <f>IFERROR(
ROUNDUP(
IF(AND($U$5=FALSE,$U$4=FALSE),"-",IF(AND($U$5=TRUE,$U$4=TRUE),"-",
IF((AND($U$4=TRUE,$U$5=FALSE,$U$6=FALSE,$U$7=FALSE)),VLOOKUP($E381,'Status Thresholds'!$E:$AR,5,FALSE),IF((AND($U$4=TRUE,$U$5=FALSE,$U$6=TRUE,$U$7=FALSE)),VLOOKUP($E381,'Status Thresholds'!$E:$AR,15,FALSE),IF((AND($U$4=TRUE,$U$5=FALSE,$U$6=TRUE,$U$7=TRUE)),VLOOKUP($E381,'Status Thresholds'!$E:$AR,20,FALSE),IF((AND($U$4=TRUE,$U$5=FALSE,$U$6=FALSE,$U$7=TRUE)),VLOOKUP($E381,'Status Thresholds'!$E:$AR,10,FALSE),
IF((AND($U$4=FALSE,$U$5=TRUE,$U$6=FALSE,$U$7=FALSE)),VLOOKUP($E381,'Status Thresholds'!$E:$AR,25,FALSE),IF((AND($U$4=FALSE,$U$5=TRUE,$U$6=TRUE,$U$7=FALSE)),VLOOKUP($E381,'Status Thresholds'!$E:$AR,35,FALSE),IF((AND($U$4=FALSE,$U$5=TRUE,$U$6=TRUE,$U$7=TRUE)),VLOOKUP($E381,'Status Thresholds'!$E:$AR,40,FALSE),IF((AND($U$4=FALSE,$U$5=TRUE,$U$6=FALSE,$U$7=TRUE)),VLOOKUP($E381,'Status Thresholds'!$E:$AR,30,FALSE)))))))))
))/
IF(OR($X$5=TRUE,$AC$3=TRUE
),($F$5/2), IF(OR($X$2,$X$3,$X$4,$X$6,$X$7,$X$8,$Z$2,$Z$3,$Z$4,$Z$5,$Z$6,$Z$7,$Z$8)=TRUE,$F$5)),0),"-")</f>
        <v>-</v>
      </c>
      <c r="J381" s="46">
        <f>IFERROR(IF(AND($U$5=FALSE,$U$4=FALSE),"-",VLOOKUP($E381,'Status Thresholds'!$E:$AU,41,FALSE)),"-")</f>
        <v>30</v>
      </c>
      <c r="K381" s="46" t="str">
        <f>IFERROR(IF(AND($U$5=FALSE,$U$4=FALSE),"-",VLOOKUP($E381,'Status Thresholds'!$E:$AU,42,FALSE)),"-")</f>
        <v>-</v>
      </c>
      <c r="L381" s="46" t="str">
        <f>IFERROR(IF(AND($U$5=FALSE,$U$4=FALSE),"-",VLOOKUP($E381,'Status Thresholds'!$E:$AU,43,FALSE)),"-")</f>
        <v>-</v>
      </c>
    </row>
    <row r="382" spans="1:12" x14ac:dyDescent="0.25">
      <c r="A382" s="35"/>
      <c r="B382" s="64" t="str">
        <f>VLOOKUP(C382,'Status Thresholds'!B:C,2,FALSE)</f>
        <v>MHGen</v>
      </c>
      <c r="C382" s="64" t="str">
        <f>IF('Status Thresholds'!B377=0, "", 'Status Thresholds'!B377)</f>
        <v>Great Maccao</v>
      </c>
      <c r="D382" s="10" t="s">
        <v>22</v>
      </c>
      <c r="E382" s="36" t="str">
        <f t="shared" si="5"/>
        <v>Great MaccaoExhaust</v>
      </c>
      <c r="F382" s="36" t="str">
        <f>IFERROR(
ROUNDUP(
IF(AND($U$5=FALSE,$U$4=FALSE),"-",IF(AND($U$5=TRUE,$U$4=TRUE),"-",
IF((AND($U$4=TRUE,$U$5=FALSE,$U$6=FALSE,$U$7=FALSE)),VLOOKUP($E382,'Status Thresholds'!$E:$AR,2,FALSE),IF((AND($U$4=TRUE,$U$5=FALSE,$U$6=TRUE,$U$7=FALSE)),VLOOKUP($E382,'Status Thresholds'!$E:$AR,12,FALSE),IF((AND($U$4=TRUE,$U$5=FALSE,$U$6=TRUE,$U$7=TRUE)),VLOOKUP($E382,'Status Thresholds'!$E:$AR,17,FALSE),IF((AND($U$4=TRUE,$U$5=FALSE,$U$6=FALSE,$U$7=TRUE)),VLOOKUP($E382,'Status Thresholds'!$E:$AR,7,FALSE),
IF((AND($U$4=FALSE,$U$5=TRUE,$U$6=FALSE,$U$7=FALSE)),VLOOKUP($E382,'Status Thresholds'!$E:$AR,22,FALSE),IF((AND($U$4=FALSE,$U$5=TRUE,$U$6=TRUE,$U$7=FALSE)),VLOOKUP($E382,'Status Thresholds'!$E:$AR,32,FALSE),IF((AND($U$4=FALSE,$U$5=TRUE,$U$6=TRUE,$U$7=TRUE)),VLOOKUP($E382,'Status Thresholds'!$E:$AR,37,FALSE),IF((AND($U$4=FALSE,$U$5=TRUE,$U$6=FALSE,$U$7=TRUE)),VLOOKUP($E382,'Status Thresholds'!$E:$AR,27,FALSE)))))))))
))/
IF(OR($X$5=TRUE,$AC$3=TRUE
),($F$6/2), IF(OR($X$2,$X$3,$X$4,$X$6,$X$7,$X$8,$Z$2,$Z$3,$Z$4,$Z$5,$Z$6,$Z$7,$Z$8)=TRUE,$F$6)),0),"-")</f>
        <v>-</v>
      </c>
      <c r="G382" s="36" t="str">
        <f>IFERROR(
ROUNDUP(
IF(AND($U$5=FALSE,$U$4=FALSE),"-",IF(AND($U$5=TRUE,$U$4=TRUE),"-",
IF((AND($U$4=TRUE,$U$5=FALSE,$U$6=FALSE,$U$7=FALSE)),VLOOKUP($E382,'Status Thresholds'!$E:$AR,3,FALSE),IF((AND($U$4=TRUE,$U$5=FALSE,$U$6=TRUE,$U$7=FALSE)),VLOOKUP($E382,'Status Thresholds'!$E:$AR,13,FALSE),IF((AND($U$4=TRUE,$U$5=FALSE,$U$6=TRUE,$U$7=TRUE)),VLOOKUP($E382,'Status Thresholds'!$E:$AR,18,FALSE),IF((AND($U$4=TRUE,$U$5=FALSE,$U$6=FALSE,$U$7=TRUE)),VLOOKUP($E382,'Status Thresholds'!$E:$AR,8,FALSE),
IF((AND($U$4=FALSE,$U$5=TRUE,$U$6=FALSE,$U$7=FALSE)),VLOOKUP($E382,'Status Thresholds'!$E:$AR,23,FALSE),IF((AND($U$4=FALSE,$U$5=TRUE,$U$6=TRUE,$U$7=FALSE)),VLOOKUP($E382,'Status Thresholds'!$E:$AR,33,FALSE),IF((AND($U$4=FALSE,$U$5=TRUE,$U$6=TRUE,$U$7=TRUE)),VLOOKUP($E382,'Status Thresholds'!$E:$AR,38,FALSE),IF((AND($U$4=FALSE,$U$5=TRUE,$U$6=FALSE,$U$7=TRUE)),VLOOKUP($E382,'Status Thresholds'!$E:$AR,28,FALSE)))))))))
))/
IF(OR($X$5=TRUE,$AC$3=TRUE
),($F$6/2), IF(OR($X$2,$X$3,$X$4,$X$6,$X$7,$X$8,$Z$2,$Z$3,$Z$4,$Z$5,$Z$6,$Z$7,$Z$8)=TRUE,$F$6)),0),"-")</f>
        <v>-</v>
      </c>
      <c r="H382" s="36" t="str">
        <f>IFERROR(
ROUNDUP(
IF(AND($U$5=FALSE,$U$4=FALSE),"-",IF(AND($U$5=TRUE,$U$4=TRUE),"-",
IF((AND($U$4=TRUE,$U$5=FALSE,$U$6=FALSE,$U$7=FALSE)),VLOOKUP($E382,'Status Thresholds'!$E:$AR,4,FALSE),IF((AND($U$4=TRUE,$U$5=FALSE,$U$6=TRUE,$U$7=FALSE)),VLOOKUP($E382,'Status Thresholds'!$E:$AR,14,FALSE),IF((AND($U$4=TRUE,$U$5=FALSE,$U$6=TRUE,$U$7=TRUE)),VLOOKUP($E382,'Status Thresholds'!$E:$AR,19,FALSE),IF((AND($U$4=TRUE,$U$5=FALSE,$U$6=FALSE,$U$7=TRUE)),VLOOKUP($E382,'Status Thresholds'!$E:$AR,9,FALSE),
IF((AND($U$4=FALSE,$U$5=TRUE,$U$6=FALSE,$U$7=FALSE)),VLOOKUP($E382,'Status Thresholds'!$E:$AR,24,FALSE),IF((AND($U$4=FALSE,$U$5=TRUE,$U$6=TRUE,$U$7=FALSE)),VLOOKUP($E382,'Status Thresholds'!$E:$AR,34,FALSE),IF((AND($U$4=FALSE,$U$5=TRUE,$U$6=TRUE,$U$7=TRUE)),VLOOKUP($E382,'Status Thresholds'!$E:$AR,39,FALSE),IF((AND($U$4=FALSE,$U$5=TRUE,$U$6=FALSE,$U$7=TRUE)),VLOOKUP($E382,'Status Thresholds'!$E:$AR,29,FALSE)))))))))
))/
IF(OR($X$5=TRUE,$AC$3=TRUE
),($F$6/2), IF(OR($X$2,$X$3,$X$4,$X$6,$X$7,$X$8,$Z$2,$Z$3,$Z$4,$Z$5,$Z$6,$Z$7,$Z$8)=TRUE,$F$6)),0),"-")</f>
        <v>-</v>
      </c>
      <c r="I382" s="36" t="str">
        <f>IFERROR(
ROUNDUP(
IF(AND($U$5=FALSE,$U$4=FALSE),"-",IF(AND($U$5=TRUE,$U$4=TRUE),"-",
IF((AND($U$4=TRUE,$U$5=FALSE,$U$6=FALSE,$U$7=FALSE)),VLOOKUP($E382,'Status Thresholds'!$E:$AR,5,FALSE),IF((AND($U$4=TRUE,$U$5=FALSE,$U$6=TRUE,$U$7=FALSE)),VLOOKUP($E382,'Status Thresholds'!$E:$AR,15,FALSE),IF((AND($U$4=TRUE,$U$5=FALSE,$U$6=TRUE,$U$7=TRUE)),VLOOKUP($E382,'Status Thresholds'!$E:$AR,20,FALSE),IF((AND($U$4=TRUE,$U$5=FALSE,$U$6=FALSE,$U$7=TRUE)),VLOOKUP($E382,'Status Thresholds'!$E:$AR,10,FALSE),
IF((AND($U$4=FALSE,$U$5=TRUE,$U$6=FALSE,$U$7=FALSE)),VLOOKUP($E382,'Status Thresholds'!$E:$AR,25,FALSE),IF((AND($U$4=FALSE,$U$5=TRUE,$U$6=TRUE,$U$7=FALSE)),VLOOKUP($E382,'Status Thresholds'!$E:$AR,35,FALSE),IF((AND($U$4=FALSE,$U$5=TRUE,$U$6=TRUE,$U$7=TRUE)),VLOOKUP($E382,'Status Thresholds'!$E:$AR,40,FALSE),IF((AND($U$4=FALSE,$U$5=TRUE,$U$6=FALSE,$U$7=TRUE)),VLOOKUP($E382,'Status Thresholds'!$E:$AR,30,FALSE)))))))))
))/
IF(OR($X$5=TRUE,$AC$3=TRUE
),($F$6/2), IF(OR($X$2,$X$3,$X$4,$X$6,$X$7,$X$8,$Z$2,$Z$3,$Z$4,$Z$5,$Z$6,$Z$7,$Z$8)=TRUE,$F$6)),0),"-")</f>
        <v>-</v>
      </c>
      <c r="J382" s="46">
        <f>IFERROR(IF(AND($U$5=FALSE,$U$4=FALSE),"-",VLOOKUP($E382,'Status Thresholds'!$E:$AU,41,FALSE)),"-")</f>
        <v>0</v>
      </c>
      <c r="K382" s="46" t="str">
        <f>IFERROR(IF(AND($U$5=FALSE,$U$4=FALSE),"-",VLOOKUP($E382,'Status Thresholds'!$E:$AU,42,FALSE)),"-")</f>
        <v>-</v>
      </c>
      <c r="L382" s="46" t="str">
        <f>IFERROR(IF(AND($U$5=FALSE,$U$4=FALSE),"-",VLOOKUP($E382,'Status Thresholds'!$E:$AU,43,FALSE)),"-")</f>
        <v>-</v>
      </c>
    </row>
    <row r="383" spans="1:12" x14ac:dyDescent="0.25">
      <c r="A383" s="35"/>
      <c r="B383" s="64" t="str">
        <f>VLOOKUP(C383,'Status Thresholds'!B:C,2,FALSE)</f>
        <v>MHGen</v>
      </c>
      <c r="C383" s="64" t="str">
        <f>IF('Status Thresholds'!B378=0, "", 'Status Thresholds'!B378)</f>
        <v>Great Maccao</v>
      </c>
      <c r="D383" s="30" t="s">
        <v>35</v>
      </c>
      <c r="E383" s="36" t="str">
        <f t="shared" si="5"/>
        <v>Great MaccaoBlast</v>
      </c>
      <c r="F383" s="36" t="str">
        <f>IFERROR(
ROUNDUP(
IF(AND($U$5=FALSE,$U$4=FALSE),"-",IF(AND($U$5=TRUE,$U$4=TRUE),"-",
IF((AND($U$4=TRUE,$U$5=FALSE,$U$6=FALSE,$U$7=FALSE)),VLOOKUP($E383,'Status Thresholds'!$E:$AR,2,FALSE),IF((AND($U$4=TRUE,$U$5=FALSE,$U$6=TRUE,$U$7=FALSE)),VLOOKUP($E383,'Status Thresholds'!$E:$AR,12,FALSE),IF((AND($U$4=TRUE,$U$5=FALSE,$U$6=TRUE,$U$7=TRUE)),VLOOKUP($E383,'Status Thresholds'!$E:$AR,17,FALSE),IF((AND($U$4=TRUE,$U$5=FALSE,$U$6=FALSE,$U$7=TRUE)),VLOOKUP($E383,'Status Thresholds'!$E:$AR,7,FALSE),
IF((AND($U$4=FALSE,$U$5=TRUE,$U$6=FALSE,$U$7=FALSE)),VLOOKUP($E383,'Status Thresholds'!$E:$AR,22,FALSE),IF((AND($U$4=FALSE,$U$5=TRUE,$U$6=TRUE,$U$7=FALSE)),VLOOKUP($E383,'Status Thresholds'!$E:$AR,32,FALSE),IF((AND($U$4=FALSE,$U$5=TRUE,$U$6=TRUE,$U$7=TRUE)),VLOOKUP($E383,'Status Thresholds'!$E:$AR,37,FALSE),IF((AND($U$4=FALSE,$U$5=TRUE,$U$6=FALSE,$U$7=TRUE)),VLOOKUP($E383,'Status Thresholds'!$E:$AR,27,FALSE)))))))))
))/
IF(OR($X$5=TRUE,$AC$3=TRUE
),($F$7/2), IF(OR($X$2,$X$3,$X$4,$X$6,$X$7,$X$8,$Z$2,$Z$3,$Z$4,$Z$5,$Z$6,$Z$7,$Z$8)=TRUE,$F$7)),0),"-")</f>
        <v>-</v>
      </c>
      <c r="G383" s="36" t="str">
        <f>IFERROR(
ROUNDUP(
IF(AND($U$5=FALSE,$U$4=FALSE),"-",IF(AND($U$5=TRUE,$U$4=TRUE),"-",
IF((AND($U$4=TRUE,$U$5=FALSE,$U$6=FALSE,$U$7=FALSE)),VLOOKUP($E383,'Status Thresholds'!$E:$AR,3,FALSE),IF((AND($U$4=TRUE,$U$5=FALSE,$U$6=TRUE,$U$7=FALSE)),VLOOKUP($E383,'Status Thresholds'!$E:$AR,13,FALSE),IF((AND($U$4=TRUE,$U$5=FALSE,$U$6=TRUE,$U$7=TRUE)),VLOOKUP($E383,'Status Thresholds'!$E:$AR,18,FALSE),IF((AND($U$4=TRUE,$U$5=FALSE,$U$6=FALSE,$U$7=TRUE)),VLOOKUP($E383,'Status Thresholds'!$E:$AR,8,FALSE),
IF((AND($U$4=FALSE,$U$5=TRUE,$U$6=FALSE,$U$7=FALSE)),VLOOKUP($E383,'Status Thresholds'!$E:$AR,23,FALSE),IF((AND($U$4=FALSE,$U$5=TRUE,$U$6=TRUE,$U$7=FALSE)),VLOOKUP($E383,'Status Thresholds'!$E:$AR,33,FALSE),IF((AND($U$4=FALSE,$U$5=TRUE,$U$6=TRUE,$U$7=TRUE)),VLOOKUP($E383,'Status Thresholds'!$E:$AR,38,FALSE),IF((AND($U$4=FALSE,$U$5=TRUE,$U$6=FALSE,$U$7=TRUE)),VLOOKUP($E383,'Status Thresholds'!$E:$AR,28,FALSE)))))))))
))/
IF(OR($X$5=TRUE,$AC$3=TRUE
),($F$7/2), IF(OR($X$2,$X$3,$X$4,$X$6,$X$7,$X$8,$Z$2,$Z$3,$Z$4,$Z$5,$Z$6,$Z$7,$Z$8)=TRUE,$F$7)),0),"-")</f>
        <v>-</v>
      </c>
      <c r="H383" s="36" t="str">
        <f>IFERROR(
ROUNDUP(
IF(AND($U$5=FALSE,$U$4=FALSE),"-",IF(AND($U$5=TRUE,$U$4=TRUE),"-",
IF((AND($U$4=TRUE,$U$5=FALSE,$U$6=FALSE,$U$7=FALSE)),VLOOKUP($E383,'Status Thresholds'!$E:$AR,4,FALSE),IF((AND($U$4=TRUE,$U$5=FALSE,$U$6=TRUE,$U$7=FALSE)),VLOOKUP($E383,'Status Thresholds'!$E:$AR,14,FALSE),IF((AND($U$4=TRUE,$U$5=FALSE,$U$6=TRUE,$U$7=TRUE)),VLOOKUP($E383,'Status Thresholds'!$E:$AR,19,FALSE),IF((AND($U$4=TRUE,$U$5=FALSE,$U$6=FALSE,$U$7=TRUE)),VLOOKUP($E383,'Status Thresholds'!$E:$AR,9,FALSE),
IF((AND($U$4=FALSE,$U$5=TRUE,$U$6=FALSE,$U$7=FALSE)),VLOOKUP($E383,'Status Thresholds'!$E:$AR,24,FALSE),IF((AND($U$4=FALSE,$U$5=TRUE,$U$6=TRUE,$U$7=FALSE)),VLOOKUP($E383,'Status Thresholds'!$E:$AR,34,FALSE),IF((AND($U$4=FALSE,$U$5=TRUE,$U$6=TRUE,$U$7=TRUE)),VLOOKUP($E383,'Status Thresholds'!$E:$AR,39,FALSE),IF((AND($U$4=FALSE,$U$5=TRUE,$U$6=FALSE,$U$7=TRUE)),VLOOKUP($E383,'Status Thresholds'!$E:$AR,29,FALSE)))))))))
))/
IF(OR($X$5=TRUE,$AC$3=TRUE
),($F$7/2), IF(OR($X$2,$X$3,$X$4,$X$6,$X$7,$X$8,$Z$2,$Z$3,$Z$4,$Z$5,$Z$6,$Z$7,$Z$8)=TRUE,$F$7)),0),"-")</f>
        <v>-</v>
      </c>
      <c r="I383" s="36" t="str">
        <f>IFERROR(
ROUNDUP(
IF(AND($U$5=FALSE,$U$4=FALSE),"-",IF(AND($U$5=TRUE,$U$4=TRUE),"-",
IF((AND($U$4=TRUE,$U$5=FALSE,$U$6=FALSE,$U$7=FALSE)),VLOOKUP($E383,'Status Thresholds'!$E:$AR,5,FALSE),IF((AND($U$4=TRUE,$U$5=FALSE,$U$6=TRUE,$U$7=FALSE)),VLOOKUP($E383,'Status Thresholds'!$E:$AR,15,FALSE),IF((AND($U$4=TRUE,$U$5=FALSE,$U$6=TRUE,$U$7=TRUE)),VLOOKUP($E383,'Status Thresholds'!$E:$AR,20,FALSE),IF((AND($U$4=TRUE,$U$5=FALSE,$U$6=FALSE,$U$7=TRUE)),VLOOKUP($E383,'Status Thresholds'!$E:$AR,10,FALSE),
IF((AND($U$4=FALSE,$U$5=TRUE,$U$6=FALSE,$U$7=FALSE)),VLOOKUP($E383,'Status Thresholds'!$E:$AR,25,FALSE),IF((AND($U$4=FALSE,$U$5=TRUE,$U$6=TRUE,$U$7=FALSE)),VLOOKUP($E383,'Status Thresholds'!$E:$AR,35,FALSE),IF((AND($U$4=FALSE,$U$5=TRUE,$U$6=TRUE,$U$7=TRUE)),VLOOKUP($E383,'Status Thresholds'!$E:$AR,40,FALSE),IF((AND($U$4=FALSE,$U$5=TRUE,$U$6=FALSE,$U$7=TRUE)),VLOOKUP($E383,'Status Thresholds'!$E:$AR,30,FALSE)))))))))
))/
IF(OR($X$5=TRUE,$AC$3=TRUE
),($F$7/2), IF(OR($X$2,$X$3,$X$4,$X$6,$X$7,$X$8,$Z$2,$Z$3,$Z$4,$Z$5,$Z$6,$Z$7,$Z$8)=TRUE,$F$7)),0),"-")</f>
        <v>-</v>
      </c>
      <c r="J383" s="46">
        <f>IFERROR(IF(AND($U$5=FALSE,$U$4=FALSE),"-",VLOOKUP($E383,'Status Thresholds'!$E:$AU,41,FALSE)),"-")</f>
        <v>0</v>
      </c>
      <c r="K383" s="46" t="str">
        <f>IFERROR(IF(AND($U$5=FALSE,$U$4=FALSE),"-",VLOOKUP($E383,'Status Thresholds'!$E:$AU,42,FALSE)),"-")</f>
        <v>-</v>
      </c>
      <c r="L383" s="46" t="str">
        <f>IFERROR(IF(AND($U$5=FALSE,$U$4=FALSE),"-",VLOOKUP($E383,'Status Thresholds'!$E:$AU,43,FALSE)),"-")</f>
        <v>-</v>
      </c>
    </row>
    <row r="384" spans="1:12" ht="14.45" customHeight="1" x14ac:dyDescent="0.25">
      <c r="A384" s="35"/>
      <c r="B384" s="64" t="str">
        <f>VLOOKUP(C384,'Status Thresholds'!B:C,2,FALSE)</f>
        <v>MHGen</v>
      </c>
      <c r="C384" s="64" t="str">
        <f>IF('Status Thresholds'!B379=0, "", 'Status Thresholds'!B379)</f>
        <v>Great Maccao</v>
      </c>
      <c r="D384" s="34" t="s">
        <v>14</v>
      </c>
      <c r="E384" s="36" t="str">
        <f t="shared" si="5"/>
        <v>Great MaccaoKO</v>
      </c>
      <c r="F384" s="36" t="s">
        <v>214</v>
      </c>
      <c r="G384" s="36" t="s">
        <v>214</v>
      </c>
      <c r="H384" s="36" t="s">
        <v>214</v>
      </c>
      <c r="I384" s="36" t="s">
        <v>214</v>
      </c>
      <c r="J384" s="46">
        <f>IFERROR(IF(AND($U$5=FALSE,$U$4=FALSE),"-",VLOOKUP($E384,'Status Thresholds'!$E:$AU,41,FALSE)),"-")</f>
        <v>10</v>
      </c>
      <c r="K384" s="46" t="str">
        <f>IFERROR(IF(AND($U$5=FALSE,$U$4=FALSE),"-",VLOOKUP($E384,'Status Thresholds'!$E:$AU,42,FALSE)),"-")</f>
        <v>-</v>
      </c>
      <c r="L384" s="46" t="str">
        <f>IFERROR(IF(AND($U$5=FALSE,$U$4=FALSE),"-",VLOOKUP($E384,'Status Thresholds'!$E:$AU,43,FALSE)),"-")</f>
        <v>-</v>
      </c>
    </row>
    <row r="385" spans="1:12" x14ac:dyDescent="0.25">
      <c r="A385" s="35"/>
      <c r="B385" s="64" t="str">
        <f>VLOOKUP(C385,'Status Thresholds'!B:C,2,FALSE)</f>
        <v>MHGen</v>
      </c>
      <c r="C385" s="64" t="str">
        <f>IF('Status Thresholds'!B380=0, "", 'Status Thresholds'!B380)</f>
        <v>Great Maccao</v>
      </c>
      <c r="D385" s="33" t="s">
        <v>34</v>
      </c>
      <c r="E385" s="36" t="str">
        <f t="shared" si="5"/>
        <v>Great MaccaoMount</v>
      </c>
      <c r="F385" s="36" t="str">
        <f>IFERROR(
ROUNDUP(
IF(AND($U$5=FALSE,$U$4=FALSE),"-",IF(AND($U$5=TRUE,$U$4=TRUE),"-",
IF((AND($U$4=TRUE,$U$5=FALSE,$U$6=FALSE,$U$7=FALSE)),VLOOKUP($E385,'Status Thresholds'!$E:$AR,2,FALSE),IF((AND($U$4=TRUE,$U$5=FALSE,$U$6=TRUE,$U$7=FALSE)),VLOOKUP($E385,'Status Thresholds'!$E:$AR,12,FALSE),IF((AND($U$4=TRUE,$U$5=FALSE,$U$6=TRUE,$U$7=TRUE)),VLOOKUP($E385,'Status Thresholds'!$E:$AR,17,FALSE),IF((AND($U$4=TRUE,$U$5=FALSE,$U$6=FALSE,$U$7=TRUE)),VLOOKUP($E385,'Status Thresholds'!$E:$AR,7,FALSE),
IF((AND($U$4=FALSE,$U$5=TRUE,$U$6=FALSE,$U$7=FALSE)),VLOOKUP($E385,'Status Thresholds'!$E:$AR,22,FALSE),IF((AND($U$4=FALSE,$U$5=TRUE,$U$6=TRUE,$U$7=FALSE)),VLOOKUP($E385,'Status Thresholds'!$E:$AR,32,FALSE),IF((AND($U$4=FALSE,$U$5=TRUE,$U$6=TRUE,$U$7=TRUE)),VLOOKUP($E385,'Status Thresholds'!$E:$AR,37,FALSE),IF((AND($U$4=FALSE,$U$5=TRUE,$U$6=FALSE,$U$7=TRUE)),VLOOKUP($E385,'Status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385" s="36" t="str">
        <f>IFERROR(
ROUNDUP(
IF(AND($U$5=FALSE,$U$4=FALSE),"-",IF(AND($U$5=TRUE,$U$4=TRUE),"-",
IF((AND($U$4=TRUE,$U$5=FALSE,$U$6=FALSE,$U$7=FALSE)),VLOOKUP($E384,'Status Thresholds'!$E:$AR,3,FALSE),IF((AND($U$4=TRUE,$U$5=FALSE,$U$6=TRUE,$U$7=FALSE)),VLOOKUP($E384,'Status Thresholds'!$E:$AR,13,FALSE),IF((AND($U$4=TRUE,$U$5=FALSE,$U$6=TRUE,$U$7=TRUE)),VLOOKUP($E384,'Status Thresholds'!$E:$AR,18,FALSE),IF((AND($U$4=TRUE,$U$5=FALSE,$U$6=FALSE,$U$7=TRUE)),VLOOKUP($E384,'Status Thresholds'!$E:$AR,8,FALSE),
IF((AND($U$4=FALSE,$U$5=TRUE,$U$6=FALSE,$U$7=FALSE)),VLOOKUP($E384,'Status Thresholds'!$E:$AR,23,FALSE),IF((AND($U$4=FALSE,$U$5=TRUE,$U$6=TRUE,$U$7=FALSE)),VLOOKUP($E384,'Status Thresholds'!$E:$AR,33,FALSE),IF((AND($U$4=FALSE,$U$5=TRUE,$U$6=TRUE,$U$7=TRUE)),VLOOKUP($E384,'Status Thresholds'!$E:$AR,38,FALSE),IF((AND($U$4=FALSE,$U$5=TRUE,$U$6=FALSE,$U$7=TRUE)),VLOOKUP($E384,'Status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385" s="36" t="str">
        <f>IFERROR(
ROUNDUP(
IF(AND($U$5=FALSE,$U$4=FALSE),"-",IF(AND($U$5=TRUE,$U$4=TRUE),"-",
IF((AND($U$4=TRUE,$U$5=FALSE,$U$6=FALSE,$U$7=FALSE)),VLOOKUP($E384,'Status Thresholds'!$E:$AR,4,FALSE),IF((AND($U$4=TRUE,$U$5=FALSE,$U$6=TRUE,$U$7=FALSE)),VLOOKUP($E384,'Status Thresholds'!$E:$AR,14,FALSE),IF((AND($U$4=TRUE,$U$5=FALSE,$U$6=TRUE,$U$7=TRUE)),VLOOKUP($E384,'Status Thresholds'!$E:$AR,19,FALSE),IF((AND($U$4=TRUE,$U$5=FALSE,$U$6=FALSE,$U$7=TRUE)),VLOOKUP($E384,'Status Thresholds'!$E:$AR,9,FALSE),
IF((AND($U$4=FALSE,$U$5=TRUE,$U$6=FALSE,$U$7=FALSE)),VLOOKUP($E384,'Status Thresholds'!$E:$AR,24,FALSE),IF((AND($U$4=FALSE,$U$5=TRUE,$U$6=TRUE,$U$7=FALSE)),VLOOKUP($E384,'Status Thresholds'!$E:$AR,34,FALSE),IF((AND($U$4=FALSE,$U$5=TRUE,$U$6=TRUE,$U$7=TRUE)),VLOOKUP($E384,'Status Thresholds'!$E:$AR,39,FALSE),IF((AND($U$4=FALSE,$U$5=TRUE,$U$6=FALSE,$U$7=TRUE)),VLOOKUP($E384,'Status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385" s="36" t="str">
        <f>IFERROR(
ROUNDUP(
IF(AND($U$5=FALSE,$U$4=FALSE),"-",IF(AND($U$5=TRUE,$U$4=TRUE),"-",
IF((AND($U$4=TRUE,$U$5=FALSE,$U$6=FALSE,$U$7=FALSE)),VLOOKUP($E384,'Status Thresholds'!$E:$AR,5,FALSE),IF((AND($U$4=TRUE,$U$5=FALSE,$U$6=TRUE,$U$7=FALSE)),VLOOKUP($E384,'Status Thresholds'!$E:$AR,15,FALSE),IF((AND($U$4=TRUE,$U$5=FALSE,$U$6=TRUE,$U$7=TRUE)),VLOOKUP($E384,'Status Thresholds'!$E:$AR,20,FALSE),IF((AND($U$4=TRUE,$U$5=FALSE,$U$6=FALSE,$U$7=TRUE)),VLOOKUP($E384,'Status Thresholds'!$E:$AR,10,FALSE),
IF((AND($U$4=FALSE,$U$5=TRUE,$U$6=FALSE,$U$7=FALSE)),VLOOKUP($E384,'Status Thresholds'!$E:$AR,25,FALSE),IF((AND($U$4=FALSE,$U$5=TRUE,$U$6=TRUE,$U$7=FALSE)),VLOOKUP($E384,'Status Thresholds'!$E:$AR,35,FALSE),IF((AND($U$4=FALSE,$U$5=TRUE,$U$6=TRUE,$U$7=TRUE)),VLOOKUP($E384,'Status Thresholds'!$E:$AR,40,FALSE),IF((AND($U$4=FALSE,$U$5=TRUE,$U$6=FALSE,$U$7=TRUE)),VLOOKUP($E384,'Status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385" s="46">
        <f>IFERROR(IF(AND($U$5=FALSE,$U$4=FALSE),"-",VLOOKUP($E385,'Status Thresholds'!$E:$AU,41,FALSE)),"-")</f>
        <v>0</v>
      </c>
      <c r="K385" s="46" t="str">
        <f>IFERROR(IF(AND($U$5=FALSE,$U$4=FALSE),"-",VLOOKUP($E385,'Status Thresholds'!$E:$AU,42,FALSE)),"-")</f>
        <v>-</v>
      </c>
      <c r="L385" s="46" t="str">
        <f>IFERROR(IF(AND($U$5=FALSE,$U$4=FALSE),"-",VLOOKUP($E385,'Status Thresholds'!$E:$AU,43,FALSE)),"-")</f>
        <v>-</v>
      </c>
    </row>
    <row r="386" spans="1:12" ht="15" customHeight="1" x14ac:dyDescent="0.25">
      <c r="A386" s="35"/>
      <c r="B386" s="64" t="str">
        <f>VLOOKUP(C386,'Status Thresholds'!B:C,2,FALSE)</f>
        <v>MHGen</v>
      </c>
      <c r="C386" s="64" t="str">
        <f>IF('Status Thresholds'!B381=0, "", 'Status Thresholds'!B381)</f>
        <v>Great Maccao</v>
      </c>
      <c r="D386" s="77" t="s">
        <v>207</v>
      </c>
      <c r="E386" s="36" t="str">
        <f t="shared" si="5"/>
        <v>Great MaccaoShock Trap</v>
      </c>
      <c r="F386" s="76" t="s">
        <v>214</v>
      </c>
      <c r="G386" s="46" t="s">
        <v>214</v>
      </c>
      <c r="H386" s="46" t="s">
        <v>214</v>
      </c>
      <c r="I386" s="46" t="s">
        <v>214</v>
      </c>
      <c r="J386" s="46">
        <f>IFERROR(IF(AND($U$5=FALSE,$U$4=FALSE),"-",VLOOKUP($E386,'Status Thresholds'!$E:$AU,43,FALSE)),"-")</f>
        <v>12</v>
      </c>
      <c r="K386" s="46">
        <f>IFERROR(IF(AND($U$5=FALSE,$U$4=FALSE),"-",VLOOKUP($E386,'Status Thresholds'!$E:$AU,41,FALSE)),"-")</f>
        <v>12</v>
      </c>
      <c r="L386" s="46">
        <f>IFERROR(IF(AND($U$5=FALSE,$U$4=FALSE),"-",VLOOKUP($E386,'Status Thresholds'!$E:$AU,42,FALSE)),"-")</f>
        <v>20</v>
      </c>
    </row>
    <row r="387" spans="1:12" x14ac:dyDescent="0.25">
      <c r="A387" s="35"/>
      <c r="B387" s="64" t="str">
        <f>VLOOKUP(C387,'Status Thresholds'!B:C,2,FALSE)</f>
        <v>MHGen</v>
      </c>
      <c r="C387" s="64" t="str">
        <f>IF('Status Thresholds'!B382=0, "", 'Status Thresholds'!B382)</f>
        <v>Great Maccao</v>
      </c>
      <c r="D387" s="77" t="s">
        <v>213</v>
      </c>
      <c r="E387" s="36" t="str">
        <f t="shared" si="5"/>
        <v>Great MaccaoPitfall Trap</v>
      </c>
      <c r="F387" s="46" t="s">
        <v>214</v>
      </c>
      <c r="G387" s="46" t="s">
        <v>214</v>
      </c>
      <c r="H387" s="46" t="s">
        <v>214</v>
      </c>
      <c r="I387" s="46" t="s">
        <v>214</v>
      </c>
      <c r="J387" s="46">
        <f>IFERROR(IF(AND($U$5=FALSE,$U$4=FALSE),"-",VLOOKUP($E387,'Status Thresholds'!$E:$AU,43,FALSE)),"-")</f>
        <v>15</v>
      </c>
      <c r="K387" s="46">
        <f>IFERROR(IF(AND($U$5=FALSE,$U$4=FALSE),"-",VLOOKUP($E387,'Status Thresholds'!$E:$AU,41,FALSE)),"-")</f>
        <v>15</v>
      </c>
      <c r="L387" s="46">
        <f>IFERROR(IF(AND($U$5=FALSE,$U$4=FALSE),"-",VLOOKUP($E387,'Status Thresholds'!$E:$AU,42,FALSE)),"-")</f>
        <v>25</v>
      </c>
    </row>
    <row r="388" spans="1:12" s="36" customFormat="1" hidden="1" x14ac:dyDescent="0.25">
      <c r="A388" s="64"/>
      <c r="B388" s="64" t="str">
        <f>IF('Status Thresholds'!A383=0, "", 'Status Thresholds'!A383)</f>
        <v>Deviant</v>
      </c>
      <c r="C388" s="64" t="str">
        <f>IF('Status Thresholds'!B383=0, "", 'Status Thresholds'!B383)</f>
        <v>Grimclaw Tigrex</v>
      </c>
      <c r="D388" s="37" t="s">
        <v>0</v>
      </c>
      <c r="E388" s="36" t="str">
        <f t="shared" si="5"/>
        <v>Grimclaw TigrexPara</v>
      </c>
      <c r="F388" s="36" t="str">
        <f>IFERROR(
ROUNDUP(
IF(AND($U$5=FALSE,$U$4=FALSE),"-",IF(AND($U$5=TRUE,$U$4=TRUE),"-",
IF((AND($U$4=TRUE,$U$5=FALSE,$U$6=FALSE,$U$7=FALSE)),VLOOKUP($E388,'Status Thresholds'!$E:$AR,2,FALSE),IF((AND($U$4=TRUE,$U$5=FALSE,$U$6=TRUE,$U$7=FALSE)),VLOOKUP($E388,'Status Thresholds'!$E:$AR,12,FALSE),IF((AND($U$4=TRUE,$U$5=FALSE,$U$6=TRUE,$U$7=TRUE)),VLOOKUP($E388,'Status Thresholds'!$E:$AR,17,FALSE),IF((AND($U$4=TRUE,$U$5=FALSE,$U$6=FALSE,$U$7=TRUE)),VLOOKUP($E388,'Status Thresholds'!$E:$AR,7,FALSE),
IF((AND($U$4=FALSE,$U$5=TRUE,$U$6=FALSE,$U$7=FALSE)),VLOOKUP($E388,'Status Thresholds'!$E:$AR,22,FALSE),IF((AND($U$4=FALSE,$U$5=TRUE,$U$6=TRUE,$U$7=FALSE)),VLOOKUP($E388,'Status Thresholds'!$E:$AR,32,FALSE),IF((AND($U$4=FALSE,$U$5=TRUE,$U$6=TRUE,$U$7=TRUE)),VLOOKUP($E388,'Status Thresholds'!$E:$AR,37,FALSE),IF((AND($U$4=FALSE,$U$5=TRUE,$U$6=FALSE,$U$7=TRUE)),VLOOKUP($E388,'Status Thresholds'!$E:$AR,27,FALSE)))))))))
))/
IF(OR($X$5=TRUE,$AC$3=TRUE
),($F$3/2), IF(OR($X$2,$X$3,$X$4,$X$6,$X$7,$X$8,$Z$2,$Z$3,$Z$4,$Z$5,$Z$6,$Z$7,$Z$8)=TRUE,$F$3)),0),"-")</f>
        <v>-</v>
      </c>
      <c r="G388" s="36" t="str">
        <f>IFERROR(
ROUNDUP(
IF(AND($U$5=FALSE,$U$4=FALSE),"-",IF(AND($U$5=TRUE,$U$4=TRUE),"-",
IF((AND($U$4=TRUE,$U$5=FALSE,$U$6=FALSE,$U$7=FALSE)),VLOOKUP($E388,'Status Thresholds'!$E:$AR,3,FALSE),IF((AND($U$4=TRUE,$U$5=FALSE,$U$6=TRUE,$U$7=FALSE)),VLOOKUP($E388,'Status Thresholds'!$E:$AR,13,FALSE),IF((AND($U$4=TRUE,$U$5=FALSE,$U$6=TRUE,$U$7=TRUE)),VLOOKUP($E388,'Status Thresholds'!$E:$AR,18,FALSE),IF((AND($U$4=TRUE,$U$5=FALSE,$U$6=FALSE,$U$7=TRUE)),VLOOKUP($E388,'Status Thresholds'!$E:$AR,8,FALSE),
IF((AND($U$4=FALSE,$U$5=TRUE,$U$6=FALSE,$U$7=FALSE)),VLOOKUP($E388,'Status Thresholds'!$E:$AR,23,FALSE),IF((AND($U$4=FALSE,$U$5=TRUE,$U$6=TRUE,$U$7=FALSE)),VLOOKUP($E388,'Status Thresholds'!$E:$AR,33,FALSE),IF((AND($U$4=FALSE,$U$5=TRUE,$U$6=TRUE,$U$7=TRUE)),VLOOKUP($E388,'Status Thresholds'!$E:$AR,38,FALSE),IF((AND($U$4=FALSE,$U$5=TRUE,$U$6=FALSE,$U$7=TRUE)),VLOOKUP($E388,'Status Thresholds'!$E:$AR,28,FALSE)))))))))
))/
IF(OR($X$5=TRUE,$AC$3=TRUE
),($F$3/2), IF(OR($X$2,$X$3,$X$4,$X$6,$X$7,$X$8,$Z$2,$Z$3,$Z$4,$Z$5,$Z$6,$Z$7,$Z$8)=TRUE,$F$3)),0),"-")</f>
        <v>-</v>
      </c>
      <c r="H388" s="36" t="str">
        <f>IFERROR(
ROUNDUP(
IF(AND($U$5=FALSE,$U$4=FALSE),"-",IF(AND($U$5=TRUE,$U$4=TRUE),"-",
IF((AND($U$4=TRUE,$U$5=FALSE,$U$6=FALSE,$U$7=FALSE)),VLOOKUP($E388,'Status Thresholds'!$E:$AR,4,FALSE),IF((AND($U$4=TRUE,$U$5=FALSE,$U$6=TRUE,$U$7=FALSE)),VLOOKUP($E388,'Status Thresholds'!$E:$AR,14,FALSE),IF((AND($U$4=TRUE,$U$5=FALSE,$U$6=TRUE,$U$7=TRUE)),VLOOKUP($E388,'Status Thresholds'!$E:$AR,19,FALSE),IF((AND($U$4=TRUE,$U$5=FALSE,$U$6=FALSE,$U$7=TRUE)),VLOOKUP($E388,'Status Thresholds'!$E:$AR,9,FALSE),
IF((AND($U$4=FALSE,$U$5=TRUE,$U$6=FALSE,$U$7=FALSE)),VLOOKUP($E388,'Status Thresholds'!$E:$AR,24,FALSE),IF((AND($U$4=FALSE,$U$5=TRUE,$U$6=TRUE,$U$7=FALSE)),VLOOKUP($E388,'Status Thresholds'!$E:$AR,34,FALSE),IF((AND($U$4=FALSE,$U$5=TRUE,$U$6=TRUE,$U$7=TRUE)),VLOOKUP($E388,'Status Thresholds'!$E:$AR,39,FALSE),IF((AND($U$4=FALSE,$U$5=TRUE,$U$6=FALSE,$U$7=TRUE)),VLOOKUP($E388,'Status Thresholds'!$E:$AR,29,FALSE)))))))))
))/
IF(OR($X$5=TRUE,$AC$3=TRUE
),($F$3/2), IF(OR($X$2,$X$3,$X$4,$X$6,$X$7,$X$8,$Z$2,$Z$3,$Z$4,$Z$5,$Z$6,$Z$7,$Z$8)=TRUE,$F$3)),0),"-")</f>
        <v>-</v>
      </c>
      <c r="I388" s="36" t="str">
        <f>IFERROR(
ROUNDUP(
IF(AND($U$5=FALSE,$U$4=FALSE),"-",IF(AND($U$5=TRUE,$U$4=TRUE),"-",
IF((AND($U$4=TRUE,$U$5=FALSE,$U$6=FALSE,$U$7=FALSE)),VLOOKUP($E388,'Status Thresholds'!$E:$AR,5,FALSE),IF((AND($U$4=TRUE,$U$5=FALSE,$U$6=TRUE,$U$7=FALSE)),VLOOKUP($E388,'Status Thresholds'!$E:$AR,15,FALSE),IF((AND($U$4=TRUE,$U$5=FALSE,$U$6=TRUE,$U$7=TRUE)),VLOOKUP($E388,'Status Thresholds'!$E:$AR,20,FALSE),IF((AND($U$4=TRUE,$U$5=FALSE,$U$6=FALSE,$U$7=TRUE)),VLOOKUP($E388,'Status Thresholds'!$E:$AR,10,FALSE),
IF((AND($U$4=FALSE,$U$5=TRUE,$U$6=FALSE,$U$7=FALSE)),VLOOKUP($E388,'Status Thresholds'!$E:$AR,25,FALSE),IF((AND($U$4=FALSE,$U$5=TRUE,$U$6=TRUE,$U$7=FALSE)),VLOOKUP($E388,'Status Thresholds'!$E:$AR,35,FALSE),IF((AND($U$4=FALSE,$U$5=TRUE,$U$6=TRUE,$U$7=TRUE)),VLOOKUP($E388,'Status Thresholds'!$E:$AR,40,FALSE),IF((AND($U$4=FALSE,$U$5=TRUE,$U$6=FALSE,$U$7=TRUE)),VLOOKUP($E388,'Status Thresholds'!$E:$AR,30,FALSE)))))))))
))/
IF(OR($X$5=TRUE,$AC$3=TRUE
),($F$3/2), IF(OR($X$2,$X$3,$X$4,$X$6,$X$7,$X$8,$Z$2,$Z$3,$Z$4,$Z$5,$Z$6,$Z$7,$Z$8)=TRUE,$F$3)),0),"-")</f>
        <v>-</v>
      </c>
      <c r="J388" s="36">
        <f>IFERROR(IF(AND($U$5=FALSE,$U$4=FALSE),"-",VLOOKUP($E388,'Status Thresholds'!$E:$AU,41,FALSE)),"-")</f>
        <v>10</v>
      </c>
      <c r="K388" s="36" t="str">
        <f>IFERROR(IF(AND($U$5=FALSE,$U$4=FALSE),"-",VLOOKUP($E388,'Status Thresholds'!$E:$AU,42,FALSE)),"-")</f>
        <v>-</v>
      </c>
      <c r="L388" s="36" t="str">
        <f>IFERROR(IF(AND($U$5=FALSE,$U$4=FALSE),"-",VLOOKUP($E388,'Status Thresholds'!$E:$AU,43,FALSE)),"-")</f>
        <v>-</v>
      </c>
    </row>
    <row r="389" spans="1:12" hidden="1" x14ac:dyDescent="0.25">
      <c r="A389" s="35"/>
      <c r="B389" s="64" t="str">
        <f>IF('Status Thresholds'!A384=0, "", 'Status Thresholds'!A384)</f>
        <v>Deviant</v>
      </c>
      <c r="C389" s="64" t="str">
        <f>IF('Status Thresholds'!B384=0, "", 'Status Thresholds'!B384)</f>
        <v>Grimclaw Tigrex</v>
      </c>
      <c r="D389" s="31" t="s">
        <v>32</v>
      </c>
      <c r="E389" s="36" t="str">
        <f t="shared" si="5"/>
        <v>Grimclaw TigrexSleep</v>
      </c>
      <c r="F389" s="36" t="str">
        <f>IFERROR(
ROUNDUP(
IF(AND($U$5=FALSE,$U$4=FALSE),"-",IF(AND($U$5=TRUE,$U$4=TRUE),"-",
IF((AND($U$4=TRUE,$U$5=FALSE,$U$6=FALSE,$U$7=FALSE)),VLOOKUP($E389,'Status Thresholds'!$E:$AR,2,FALSE),IF((AND($U$4=TRUE,$U$5=FALSE,$U$6=TRUE,$U$7=FALSE)),VLOOKUP($E389,'Status Thresholds'!$E:$AR,12,FALSE),IF((AND($U$4=TRUE,$U$5=FALSE,$U$6=TRUE,$U$7=TRUE)),VLOOKUP($E389,'Status Thresholds'!$E:$AR,17,FALSE),IF((AND($U$4=TRUE,$U$5=FALSE,$U$6=FALSE,$U$7=TRUE)),VLOOKUP($E389,'Status Thresholds'!$E:$AR,7,FALSE),
IF((AND($U$4=FALSE,$U$5=TRUE,$U$6=FALSE,$U$7=FALSE)),VLOOKUP($E389,'Status Thresholds'!$E:$AR,22,FALSE),IF((AND($U$4=FALSE,$U$5=TRUE,$U$6=TRUE,$U$7=FALSE)),VLOOKUP($E389,'Status Thresholds'!$E:$AR,32,FALSE),IF((AND($U$4=FALSE,$U$5=TRUE,$U$6=TRUE,$U$7=TRUE)),VLOOKUP($E389,'Status Thresholds'!$E:$AR,37,FALSE),IF((AND($U$4=FALSE,$U$5=TRUE,$U$6=FALSE,$U$7=TRUE)),VLOOKUP($E389,'Status Thresholds'!$E:$AR,27,FALSE)))))))))
))/
IF(OR($X$5=TRUE,$AC$3=TRUE
),($F$4/2), IF(OR($X$2,$X$3,$X$4,$X$6,$X$7,$X$8,$Z$2,$Z$3,$Z$4,$Z$5,$Z$6,$Z$7,$Z$8)=TRUE,$F$4)),0),"-")</f>
        <v>-</v>
      </c>
      <c r="G389" s="36" t="str">
        <f>IFERROR(
ROUNDUP(
IF(AND($U$5=FALSE,$U$4=FALSE),"-",IF(AND($U$5=TRUE,$U$4=TRUE),"-",
IF((AND($U$4=TRUE,$U$5=FALSE,$U$6=FALSE,$U$7=FALSE)),VLOOKUP($E389,'Status Thresholds'!$E:$AR,3,FALSE),IF((AND($U$4=TRUE,$U$5=FALSE,$U$6=TRUE,$U$7=FALSE)),VLOOKUP($E389,'Status Thresholds'!$E:$AR,13,FALSE),IF((AND($U$4=TRUE,$U$5=FALSE,$U$6=TRUE,$U$7=TRUE)),VLOOKUP($E389,'Status Thresholds'!$E:$AR,18,FALSE),IF((AND($U$4=TRUE,$U$5=FALSE,$U$6=FALSE,$U$7=TRUE)),VLOOKUP($E389,'Status Thresholds'!$E:$AR,8,FALSE),
IF((AND($U$4=FALSE,$U$5=TRUE,$U$6=FALSE,$U$7=FALSE)),VLOOKUP($E389,'Status Thresholds'!$E:$AR,23,FALSE),IF((AND($U$4=FALSE,$U$5=TRUE,$U$6=TRUE,$U$7=FALSE)),VLOOKUP($E389,'Status Thresholds'!$E:$AR,33,FALSE),IF((AND($U$4=FALSE,$U$5=TRUE,$U$6=TRUE,$U$7=TRUE)),VLOOKUP($E389,'Status Thresholds'!$E:$AR,38,FALSE),IF((AND($U$4=FALSE,$U$5=TRUE,$U$6=FALSE,$U$7=TRUE)),VLOOKUP($E389,'Status Thresholds'!$E:$AR,28,FALSE)))))))))
))/
IF(OR($X$5=TRUE,$AC$3=TRUE
),($F$4/2), IF(OR($X$2,$X$3,$X$4,$X$6,$X$7,$X$8,$Z$2,$Z$3,$Z$4,$Z$5,$Z$6,$Z$7,$Z$8)=TRUE,$F$4)),0),"-")</f>
        <v>-</v>
      </c>
      <c r="H389" s="36" t="str">
        <f>IFERROR(
ROUNDUP(
IF(AND($U$5=FALSE,$U$4=FALSE),"-",IF(AND($U$5=TRUE,$U$4=TRUE),"-",
IF((AND($U$4=TRUE,$U$5=FALSE,$U$6=FALSE,$U$7=FALSE)),VLOOKUP($E389,'Status Thresholds'!$E:$AR,4,FALSE),IF((AND($U$4=TRUE,$U$5=FALSE,$U$6=TRUE,$U$7=FALSE)),VLOOKUP($E389,'Status Thresholds'!$E:$AR,14,FALSE),IF((AND($U$4=TRUE,$U$5=FALSE,$U$6=TRUE,$U$7=TRUE)),VLOOKUP($E389,'Status Thresholds'!$E:$AR,19,FALSE),IF((AND($U$4=TRUE,$U$5=FALSE,$U$6=FALSE,$U$7=TRUE)),VLOOKUP($E389,'Status Thresholds'!$E:$AR,9,FALSE),
IF((AND($U$4=FALSE,$U$5=TRUE,$U$6=FALSE,$U$7=FALSE)),VLOOKUP($E389,'Status Thresholds'!$E:$AR,24,FALSE),IF((AND($U$4=FALSE,$U$5=TRUE,$U$6=TRUE,$U$7=FALSE)),VLOOKUP($E389,'Status Thresholds'!$E:$AR,34,FALSE),IF((AND($U$4=FALSE,$U$5=TRUE,$U$6=TRUE,$U$7=TRUE)),VLOOKUP($E389,'Status Thresholds'!$E:$AR,39,FALSE),IF((AND($U$4=FALSE,$U$5=TRUE,$U$6=FALSE,$U$7=TRUE)),VLOOKUP($E389,'Status Thresholds'!$E:$AR,29,FALSE)))))))))
))/
IF(OR($X$5=TRUE,$AC$3=TRUE
),($F$4/2), IF(OR($X$2,$X$3,$X$4,$X$6,$X$7,$X$8,$Z$2,$Z$3,$Z$4,$Z$5,$Z$6,$Z$7,$Z$8)=TRUE,$F$4)),0),"-")</f>
        <v>-</v>
      </c>
      <c r="I389" s="36" t="str">
        <f>IFERROR(
ROUNDUP(
IF(AND($U$5=FALSE,$U$4=FALSE),"-",IF(AND($U$5=TRUE,$U$4=TRUE),"-",
IF((AND($U$4=TRUE,$U$5=FALSE,$U$6=FALSE,$U$7=FALSE)),VLOOKUP($E389,'Status Thresholds'!$E:$AR,5,FALSE),IF((AND($U$4=TRUE,$U$5=FALSE,$U$6=TRUE,$U$7=FALSE)),VLOOKUP($E389,'Status Thresholds'!$E:$AR,15,FALSE),IF((AND($U$4=TRUE,$U$5=FALSE,$U$6=TRUE,$U$7=TRUE)),VLOOKUP($E389,'Status Thresholds'!$E:$AR,20,FALSE),IF((AND($U$4=TRUE,$U$5=FALSE,$U$6=FALSE,$U$7=TRUE)),VLOOKUP($E389,'Status Thresholds'!$E:$AR,10,FALSE),
IF((AND($U$4=FALSE,$U$5=TRUE,$U$6=FALSE,$U$7=FALSE)),VLOOKUP($E389,'Status Thresholds'!$E:$AR,25,FALSE),IF((AND($U$4=FALSE,$U$5=TRUE,$U$6=TRUE,$U$7=FALSE)),VLOOKUP($E389,'Status Thresholds'!$E:$AR,35,FALSE),IF((AND($U$4=FALSE,$U$5=TRUE,$U$6=TRUE,$U$7=TRUE)),VLOOKUP($E389,'Status Thresholds'!$E:$AR,40,FALSE),IF((AND($U$4=FALSE,$U$5=TRUE,$U$6=FALSE,$U$7=TRUE)),VLOOKUP($E389,'Status Thresholds'!$E:$AR,30,FALSE)))))))))
))/
IF(OR($X$5=TRUE,$AC$3=TRUE
),($F$4/2), IF(OR($X$2,$X$3,$X$4,$X$6,$X$7,$X$8,$Z$2,$Z$3,$Z$4,$Z$5,$Z$6,$Z$7,$Z$8)=TRUE,$F$4)),0),"-")</f>
        <v>-</v>
      </c>
      <c r="J389" s="46">
        <f>IFERROR(IF(AND($U$5=FALSE,$U$4=FALSE),"-",VLOOKUP($E389,'Status Thresholds'!$E:$AU,41,FALSE)),"-")</f>
        <v>40</v>
      </c>
      <c r="K389" s="46" t="str">
        <f>IFERROR(IF(AND($U$5=FALSE,$U$4=FALSE),"-",VLOOKUP($E389,'Status Thresholds'!$E:$AU,42,FALSE)),"-")</f>
        <v>-</v>
      </c>
      <c r="L389" s="46" t="str">
        <f>IFERROR(IF(AND($U$5=FALSE,$U$4=FALSE),"-",VLOOKUP($E389,'Status Thresholds'!$E:$AU,43,FALSE)),"-")</f>
        <v>-</v>
      </c>
    </row>
    <row r="390" spans="1:12" hidden="1" x14ac:dyDescent="0.25">
      <c r="A390" s="35"/>
      <c r="B390" s="64" t="str">
        <f>IF('Status Thresholds'!A385=0, "", 'Status Thresholds'!A385)</f>
        <v>Deviant</v>
      </c>
      <c r="C390" s="64" t="str">
        <f>IF('Status Thresholds'!B385=0, "", 'Status Thresholds'!B385)</f>
        <v>Grimclaw Tigrex</v>
      </c>
      <c r="D390" s="32" t="s">
        <v>33</v>
      </c>
      <c r="E390" s="36" t="str">
        <f t="shared" si="5"/>
        <v>Grimclaw TigrexPoison</v>
      </c>
      <c r="F390" s="36" t="str">
        <f>IFERROR(
ROUNDUP(
IF(AND($U$5=FALSE,$U$4=FALSE),"-",IF(AND($U$5=TRUE,$U$4=TRUE),"-",
IF((AND($U$4=TRUE,$U$5=FALSE,$U$6=FALSE,$U$7=FALSE)),VLOOKUP($E390,'Status Thresholds'!$E:$AR,2,FALSE),IF((AND($U$4=TRUE,$U$5=FALSE,$U$6=TRUE,$U$7=FALSE)),VLOOKUP($E390,'Status Thresholds'!$E:$AR,12,FALSE),IF((AND($U$4=TRUE,$U$5=FALSE,$U$6=TRUE,$U$7=TRUE)),VLOOKUP($E390,'Status Thresholds'!$E:$AR,17,FALSE),IF((AND($U$4=TRUE,$U$5=FALSE,$U$6=FALSE,$U$7=TRUE)),VLOOKUP($E390,'Status Thresholds'!$E:$AR,7,FALSE),
IF((AND($U$4=FALSE,$U$5=TRUE,$U$6=FALSE,$U$7=FALSE)),VLOOKUP($E390,'Status Thresholds'!$E:$AR,22,FALSE),IF((AND($U$4=FALSE,$U$5=TRUE,$U$6=TRUE,$U$7=FALSE)),VLOOKUP($E390,'Status Thresholds'!$E:$AR,32,FALSE),IF((AND($U$4=FALSE,$U$5=TRUE,$U$6=TRUE,$U$7=TRUE)),VLOOKUP($E390,'Status Thresholds'!$E:$AR,37,FALSE),IF((AND($U$4=FALSE,$U$5=TRUE,$U$6=FALSE,$U$7=TRUE)),VLOOKUP($E390,'Status Thresholds'!$E:$AR,27,FALSE)))))))))
))/
IF(OR($X$5=TRUE,$AC$3=TRUE
),($F$5/2), IF(OR($X$2,$X$3,$X$4,$X$6,$X$7,$X$8,$Z$2,$Z$3,$Z$4,$Z$5,$Z$6,$Z$7,$Z$8)=TRUE,$F$5)),0),"-")</f>
        <v>-</v>
      </c>
      <c r="G390" s="36" t="str">
        <f>IFERROR(
ROUNDUP(
IF(AND($U$5=FALSE,$U$4=FALSE),"-",IF(AND($U$5=TRUE,$U$4=TRUE),"-",
IF((AND($U$4=TRUE,$U$5=FALSE,$U$6=FALSE,$U$7=FALSE)),VLOOKUP($E390,'Status Thresholds'!$E:$AR,3,FALSE),IF((AND($U$4=TRUE,$U$5=FALSE,$U$6=TRUE,$U$7=FALSE)),VLOOKUP($E390,'Status Thresholds'!$E:$AR,13,FALSE),IF((AND($U$4=TRUE,$U$5=FALSE,$U$6=TRUE,$U$7=TRUE)),VLOOKUP($E390,'Status Thresholds'!$E:$AR,18,FALSE),IF((AND($U$4=TRUE,$U$5=FALSE,$U$6=FALSE,$U$7=TRUE)),VLOOKUP($E390,'Status Thresholds'!$E:$AR,8,FALSE),
IF((AND($U$4=FALSE,$U$5=TRUE,$U$6=FALSE,$U$7=FALSE)),VLOOKUP($E390,'Status Thresholds'!$E:$AR,23,FALSE),IF((AND($U$4=FALSE,$U$5=TRUE,$U$6=TRUE,$U$7=FALSE)),VLOOKUP($E390,'Status Thresholds'!$E:$AR,33,FALSE),IF((AND($U$4=FALSE,$U$5=TRUE,$U$6=TRUE,$U$7=TRUE)),VLOOKUP($E390,'Status Thresholds'!$E:$AR,38,FALSE),IF((AND($U$4=FALSE,$U$5=TRUE,$U$6=FALSE,$U$7=TRUE)),VLOOKUP($E390,'Status Thresholds'!$E:$AR,28,FALSE)))))))))
))/
IF(OR($X$5=TRUE,$AC$3=TRUE
),($F$5/2), IF(OR($X$2,$X$3,$X$4,$X$6,$X$7,$X$8,$Z$2,$Z$3,$Z$4,$Z$5,$Z$6,$Z$7,$Z$8)=TRUE,$F$5)),0),"-")</f>
        <v>-</v>
      </c>
      <c r="H390" s="36" t="str">
        <f>IFERROR(
ROUNDUP(
IF(AND($U$5=FALSE,$U$4=FALSE),"-",IF(AND($U$5=TRUE,$U$4=TRUE),"-",
IF((AND($U$4=TRUE,$U$5=FALSE,$U$6=FALSE,$U$7=FALSE)),VLOOKUP($E390,'Status Thresholds'!$E:$AR,4,FALSE),IF((AND($U$4=TRUE,$U$5=FALSE,$U$6=TRUE,$U$7=FALSE)),VLOOKUP($E390,'Status Thresholds'!$E:$AR,14,FALSE),IF((AND($U$4=TRUE,$U$5=FALSE,$U$6=TRUE,$U$7=TRUE)),VLOOKUP($E390,'Status Thresholds'!$E:$AR,19,FALSE),IF((AND($U$4=TRUE,$U$5=FALSE,$U$6=FALSE,$U$7=TRUE)),VLOOKUP($E390,'Status Thresholds'!$E:$AR,9,FALSE),
IF((AND($U$4=FALSE,$U$5=TRUE,$U$6=FALSE,$U$7=FALSE)),VLOOKUP($E390,'Status Thresholds'!$E:$AR,24,FALSE),IF((AND($U$4=FALSE,$U$5=TRUE,$U$6=TRUE,$U$7=FALSE)),VLOOKUP($E390,'Status Thresholds'!$E:$AR,34,FALSE),IF((AND($U$4=FALSE,$U$5=TRUE,$U$6=TRUE,$U$7=TRUE)),VLOOKUP($E390,'Status Thresholds'!$E:$AR,39,FALSE),IF((AND($U$4=FALSE,$U$5=TRUE,$U$6=FALSE,$U$7=TRUE)),VLOOKUP($E390,'Status Thresholds'!$E:$AR,29,FALSE)))))))))
))/
IF(OR($X$5=TRUE,$AC$3=TRUE
),($F$5/2), IF(OR($X$2,$X$3,$X$4,$X$6,$X$7,$X$8,$Z$2,$Z$3,$Z$4,$Z$5,$Z$6,$Z$7,$Z$8)=TRUE,$F$5)),0),"-")</f>
        <v>-</v>
      </c>
      <c r="I390" s="36" t="str">
        <f>IFERROR(
ROUNDUP(
IF(AND($U$5=FALSE,$U$4=FALSE),"-",IF(AND($U$5=TRUE,$U$4=TRUE),"-",
IF((AND($U$4=TRUE,$U$5=FALSE,$U$6=FALSE,$U$7=FALSE)),VLOOKUP($E390,'Status Thresholds'!$E:$AR,5,FALSE),IF((AND($U$4=TRUE,$U$5=FALSE,$U$6=TRUE,$U$7=FALSE)),VLOOKUP($E390,'Status Thresholds'!$E:$AR,15,FALSE),IF((AND($U$4=TRUE,$U$5=FALSE,$U$6=TRUE,$U$7=TRUE)),VLOOKUP($E390,'Status Thresholds'!$E:$AR,20,FALSE),IF((AND($U$4=TRUE,$U$5=FALSE,$U$6=FALSE,$U$7=TRUE)),VLOOKUP($E390,'Status Thresholds'!$E:$AR,10,FALSE),
IF((AND($U$4=FALSE,$U$5=TRUE,$U$6=FALSE,$U$7=FALSE)),VLOOKUP($E390,'Status Thresholds'!$E:$AR,25,FALSE),IF((AND($U$4=FALSE,$U$5=TRUE,$U$6=TRUE,$U$7=FALSE)),VLOOKUP($E390,'Status Thresholds'!$E:$AR,35,FALSE),IF((AND($U$4=FALSE,$U$5=TRUE,$U$6=TRUE,$U$7=TRUE)),VLOOKUP($E390,'Status Thresholds'!$E:$AR,40,FALSE),IF((AND($U$4=FALSE,$U$5=TRUE,$U$6=FALSE,$U$7=TRUE)),VLOOKUP($E390,'Status Thresholds'!$E:$AR,30,FALSE)))))))))
))/
IF(OR($X$5=TRUE,$AC$3=TRUE
),($F$5/2), IF(OR($X$2,$X$3,$X$4,$X$6,$X$7,$X$8,$Z$2,$Z$3,$Z$4,$Z$5,$Z$6,$Z$7,$Z$8)=TRUE,$F$5)),0),"-")</f>
        <v>-</v>
      </c>
      <c r="J390" s="46">
        <f>IFERROR(IF(AND($U$5=FALSE,$U$4=FALSE),"-",VLOOKUP($E390,'Status Thresholds'!$E:$AU,41,FALSE)),"-")</f>
        <v>60</v>
      </c>
      <c r="K390" s="46" t="str">
        <f>IFERROR(IF(AND($U$5=FALSE,$U$4=FALSE),"-",VLOOKUP($E390,'Status Thresholds'!$E:$AU,42,FALSE)),"-")</f>
        <v>-</v>
      </c>
      <c r="L390" s="46" t="str">
        <f>IFERROR(IF(AND($U$5=FALSE,$U$4=FALSE),"-",VLOOKUP($E390,'Status Thresholds'!$E:$AU,43,FALSE)),"-")</f>
        <v>-</v>
      </c>
    </row>
    <row r="391" spans="1:12" hidden="1" x14ac:dyDescent="0.25">
      <c r="A391" s="35"/>
      <c r="B391" s="64" t="str">
        <f>IF('Status Thresholds'!A386=0, "", 'Status Thresholds'!A386)</f>
        <v>Deviant</v>
      </c>
      <c r="C391" s="64" t="str">
        <f>IF('Status Thresholds'!B386=0, "", 'Status Thresholds'!B386)</f>
        <v>Grimclaw Tigrex</v>
      </c>
      <c r="D391" s="10" t="s">
        <v>22</v>
      </c>
      <c r="E391" s="36" t="str">
        <f t="shared" si="5"/>
        <v>Grimclaw TigrexExhaust</v>
      </c>
      <c r="F391" s="36" t="str">
        <f>IFERROR(
ROUNDUP(
IF(AND($U$5=FALSE,$U$4=FALSE),"-",IF(AND($U$5=TRUE,$U$4=TRUE),"-",
IF((AND($U$4=TRUE,$U$5=FALSE,$U$6=FALSE,$U$7=FALSE)),VLOOKUP($E391,'Status Thresholds'!$E:$AR,2,FALSE),IF((AND($U$4=TRUE,$U$5=FALSE,$U$6=TRUE,$U$7=FALSE)),VLOOKUP($E391,'Status Thresholds'!$E:$AR,12,FALSE),IF((AND($U$4=TRUE,$U$5=FALSE,$U$6=TRUE,$U$7=TRUE)),VLOOKUP($E391,'Status Thresholds'!$E:$AR,17,FALSE),IF((AND($U$4=TRUE,$U$5=FALSE,$U$6=FALSE,$U$7=TRUE)),VLOOKUP($E391,'Status Thresholds'!$E:$AR,7,FALSE),
IF((AND($U$4=FALSE,$U$5=TRUE,$U$6=FALSE,$U$7=FALSE)),VLOOKUP($E391,'Status Thresholds'!$E:$AR,22,FALSE),IF((AND($U$4=FALSE,$U$5=TRUE,$U$6=TRUE,$U$7=FALSE)),VLOOKUP($E391,'Status Thresholds'!$E:$AR,32,FALSE),IF((AND($U$4=FALSE,$U$5=TRUE,$U$6=TRUE,$U$7=TRUE)),VLOOKUP($E391,'Status Thresholds'!$E:$AR,37,FALSE),IF((AND($U$4=FALSE,$U$5=TRUE,$U$6=FALSE,$U$7=TRUE)),VLOOKUP($E391,'Status Thresholds'!$E:$AR,27,FALSE)))))))))
))/
IF(OR($X$5=TRUE,$AC$3=TRUE
),($F$6/2), IF(OR($X$2,$X$3,$X$4,$X$6,$X$7,$X$8,$Z$2,$Z$3,$Z$4,$Z$5,$Z$6,$Z$7,$Z$8)=TRUE,$F$6)),0),"-")</f>
        <v>-</v>
      </c>
      <c r="G391" s="36" t="str">
        <f>IFERROR(
ROUNDUP(
IF(AND($U$5=FALSE,$U$4=FALSE),"-",IF(AND($U$5=TRUE,$U$4=TRUE),"-",
IF((AND($U$4=TRUE,$U$5=FALSE,$U$6=FALSE,$U$7=FALSE)),VLOOKUP($E391,'Status Thresholds'!$E:$AR,3,FALSE),IF((AND($U$4=TRUE,$U$5=FALSE,$U$6=TRUE,$U$7=FALSE)),VLOOKUP($E391,'Status Thresholds'!$E:$AR,13,FALSE),IF((AND($U$4=TRUE,$U$5=FALSE,$U$6=TRUE,$U$7=TRUE)),VLOOKUP($E391,'Status Thresholds'!$E:$AR,18,FALSE),IF((AND($U$4=TRUE,$U$5=FALSE,$U$6=FALSE,$U$7=TRUE)),VLOOKUP($E391,'Status Thresholds'!$E:$AR,8,FALSE),
IF((AND($U$4=FALSE,$U$5=TRUE,$U$6=FALSE,$U$7=FALSE)),VLOOKUP($E391,'Status Thresholds'!$E:$AR,23,FALSE),IF((AND($U$4=FALSE,$U$5=TRUE,$U$6=TRUE,$U$7=FALSE)),VLOOKUP($E391,'Status Thresholds'!$E:$AR,33,FALSE),IF((AND($U$4=FALSE,$U$5=TRUE,$U$6=TRUE,$U$7=TRUE)),VLOOKUP($E391,'Status Thresholds'!$E:$AR,38,FALSE),IF((AND($U$4=FALSE,$U$5=TRUE,$U$6=FALSE,$U$7=TRUE)),VLOOKUP($E391,'Status Thresholds'!$E:$AR,28,FALSE)))))))))
))/
IF(OR($X$5=TRUE,$AC$3=TRUE
),($F$6/2), IF(OR($X$2,$X$3,$X$4,$X$6,$X$7,$X$8,$Z$2,$Z$3,$Z$4,$Z$5,$Z$6,$Z$7,$Z$8)=TRUE,$F$6)),0),"-")</f>
        <v>-</v>
      </c>
      <c r="H391" s="36" t="str">
        <f>IFERROR(
ROUNDUP(
IF(AND($U$5=FALSE,$U$4=FALSE),"-",IF(AND($U$5=TRUE,$U$4=TRUE),"-",
IF((AND($U$4=TRUE,$U$5=FALSE,$U$6=FALSE,$U$7=FALSE)),VLOOKUP($E391,'Status Thresholds'!$E:$AR,4,FALSE),IF((AND($U$4=TRUE,$U$5=FALSE,$U$6=TRUE,$U$7=FALSE)),VLOOKUP($E391,'Status Thresholds'!$E:$AR,14,FALSE),IF((AND($U$4=TRUE,$U$5=FALSE,$U$6=TRUE,$U$7=TRUE)),VLOOKUP($E391,'Status Thresholds'!$E:$AR,19,FALSE),IF((AND($U$4=TRUE,$U$5=FALSE,$U$6=FALSE,$U$7=TRUE)),VLOOKUP($E391,'Status Thresholds'!$E:$AR,9,FALSE),
IF((AND($U$4=FALSE,$U$5=TRUE,$U$6=FALSE,$U$7=FALSE)),VLOOKUP($E391,'Status Thresholds'!$E:$AR,24,FALSE),IF((AND($U$4=FALSE,$U$5=TRUE,$U$6=TRUE,$U$7=FALSE)),VLOOKUP($E391,'Status Thresholds'!$E:$AR,34,FALSE),IF((AND($U$4=FALSE,$U$5=TRUE,$U$6=TRUE,$U$7=TRUE)),VLOOKUP($E391,'Status Thresholds'!$E:$AR,39,FALSE),IF((AND($U$4=FALSE,$U$5=TRUE,$U$6=FALSE,$U$7=TRUE)),VLOOKUP($E391,'Status Thresholds'!$E:$AR,29,FALSE)))))))))
))/
IF(OR($X$5=TRUE,$AC$3=TRUE
),($F$6/2), IF(OR($X$2,$X$3,$X$4,$X$6,$X$7,$X$8,$Z$2,$Z$3,$Z$4,$Z$5,$Z$6,$Z$7,$Z$8)=TRUE,$F$6)),0),"-")</f>
        <v>-</v>
      </c>
      <c r="I391" s="36" t="str">
        <f>IFERROR(
ROUNDUP(
IF(AND($U$5=FALSE,$U$4=FALSE),"-",IF(AND($U$5=TRUE,$U$4=TRUE),"-",
IF((AND($U$4=TRUE,$U$5=FALSE,$U$6=FALSE,$U$7=FALSE)),VLOOKUP($E391,'Status Thresholds'!$E:$AR,5,FALSE),IF((AND($U$4=TRUE,$U$5=FALSE,$U$6=TRUE,$U$7=FALSE)),VLOOKUP($E391,'Status Thresholds'!$E:$AR,15,FALSE),IF((AND($U$4=TRUE,$U$5=FALSE,$U$6=TRUE,$U$7=TRUE)),VLOOKUP($E391,'Status Thresholds'!$E:$AR,20,FALSE),IF((AND($U$4=TRUE,$U$5=FALSE,$U$6=FALSE,$U$7=TRUE)),VLOOKUP($E391,'Status Thresholds'!$E:$AR,10,FALSE),
IF((AND($U$4=FALSE,$U$5=TRUE,$U$6=FALSE,$U$7=FALSE)),VLOOKUP($E391,'Status Thresholds'!$E:$AR,25,FALSE),IF((AND($U$4=FALSE,$U$5=TRUE,$U$6=TRUE,$U$7=FALSE)),VLOOKUP($E391,'Status Thresholds'!$E:$AR,35,FALSE),IF((AND($U$4=FALSE,$U$5=TRUE,$U$6=TRUE,$U$7=TRUE)),VLOOKUP($E391,'Status Thresholds'!$E:$AR,40,FALSE),IF((AND($U$4=FALSE,$U$5=TRUE,$U$6=FALSE,$U$7=TRUE)),VLOOKUP($E391,'Status Thresholds'!$E:$AR,30,FALSE)))))))))
))/
IF(OR($X$5=TRUE,$AC$3=TRUE
),($F$6/2), IF(OR($X$2,$X$3,$X$4,$X$6,$X$7,$X$8,$Z$2,$Z$3,$Z$4,$Z$5,$Z$6,$Z$7,$Z$8)=TRUE,$F$6)),0),"-")</f>
        <v>-</v>
      </c>
      <c r="J391" s="46">
        <f>IFERROR(IF(AND($U$5=FALSE,$U$4=FALSE),"-",VLOOKUP($E391,'Status Thresholds'!$E:$AU,41,FALSE)),"-")</f>
        <v>0</v>
      </c>
      <c r="K391" s="46" t="str">
        <f>IFERROR(IF(AND($U$5=FALSE,$U$4=FALSE),"-",VLOOKUP($E391,'Status Thresholds'!$E:$AU,42,FALSE)),"-")</f>
        <v>-</v>
      </c>
      <c r="L391" s="46" t="str">
        <f>IFERROR(IF(AND($U$5=FALSE,$U$4=FALSE),"-",VLOOKUP($E391,'Status Thresholds'!$E:$AU,43,FALSE)),"-")</f>
        <v>-</v>
      </c>
    </row>
    <row r="392" spans="1:12" hidden="1" x14ac:dyDescent="0.25">
      <c r="A392" s="35"/>
      <c r="B392" s="64" t="str">
        <f>IF('Status Thresholds'!A387=0, "", 'Status Thresholds'!A387)</f>
        <v>Deviant</v>
      </c>
      <c r="C392" s="64" t="str">
        <f>IF('Status Thresholds'!B387=0, "", 'Status Thresholds'!B387)</f>
        <v>Grimclaw Tigrex</v>
      </c>
      <c r="D392" s="30" t="s">
        <v>35</v>
      </c>
      <c r="E392" s="36" t="str">
        <f t="shared" si="5"/>
        <v>Grimclaw TigrexBlast</v>
      </c>
      <c r="F392" s="36" t="str">
        <f>IFERROR(
ROUNDUP(
IF(AND($U$5=FALSE,$U$4=FALSE),"-",IF(AND($U$5=TRUE,$U$4=TRUE),"-",
IF((AND($U$4=TRUE,$U$5=FALSE,$U$6=FALSE,$U$7=FALSE)),VLOOKUP($E392,'Status Thresholds'!$E:$AR,2,FALSE),IF((AND($U$4=TRUE,$U$5=FALSE,$U$6=TRUE,$U$7=FALSE)),VLOOKUP($E392,'Status Thresholds'!$E:$AR,12,FALSE),IF((AND($U$4=TRUE,$U$5=FALSE,$U$6=TRUE,$U$7=TRUE)),VLOOKUP($E392,'Status Thresholds'!$E:$AR,17,FALSE),IF((AND($U$4=TRUE,$U$5=FALSE,$U$6=FALSE,$U$7=TRUE)),VLOOKUP($E392,'Status Thresholds'!$E:$AR,7,FALSE),
IF((AND($U$4=FALSE,$U$5=TRUE,$U$6=FALSE,$U$7=FALSE)),VLOOKUP($E392,'Status Thresholds'!$E:$AR,22,FALSE),IF((AND($U$4=FALSE,$U$5=TRUE,$U$6=TRUE,$U$7=FALSE)),VLOOKUP($E392,'Status Thresholds'!$E:$AR,32,FALSE),IF((AND($U$4=FALSE,$U$5=TRUE,$U$6=TRUE,$U$7=TRUE)),VLOOKUP($E392,'Status Thresholds'!$E:$AR,37,FALSE),IF((AND($U$4=FALSE,$U$5=TRUE,$U$6=FALSE,$U$7=TRUE)),VLOOKUP($E392,'Status Thresholds'!$E:$AR,27,FALSE)))))))))
))/
IF(OR($X$5=TRUE,$AC$3=TRUE
),($F$7/2), IF(OR($X$2,$X$3,$X$4,$X$6,$X$7,$X$8,$Z$2,$Z$3,$Z$4,$Z$5,$Z$6,$Z$7,$Z$8)=TRUE,$F$7)),0),"-")</f>
        <v>-</v>
      </c>
      <c r="G392" s="36" t="str">
        <f>IFERROR(
ROUNDUP(
IF(AND($U$5=FALSE,$U$4=FALSE),"-",IF(AND($U$5=TRUE,$U$4=TRUE),"-",
IF((AND($U$4=TRUE,$U$5=FALSE,$U$6=FALSE,$U$7=FALSE)),VLOOKUP($E392,'Status Thresholds'!$E:$AR,3,FALSE),IF((AND($U$4=TRUE,$U$5=FALSE,$U$6=TRUE,$U$7=FALSE)),VLOOKUP($E392,'Status Thresholds'!$E:$AR,13,FALSE),IF((AND($U$4=TRUE,$U$5=FALSE,$U$6=TRUE,$U$7=TRUE)),VLOOKUP($E392,'Status Thresholds'!$E:$AR,18,FALSE),IF((AND($U$4=TRUE,$U$5=FALSE,$U$6=FALSE,$U$7=TRUE)),VLOOKUP($E392,'Status Thresholds'!$E:$AR,8,FALSE),
IF((AND($U$4=FALSE,$U$5=TRUE,$U$6=FALSE,$U$7=FALSE)),VLOOKUP($E392,'Status Thresholds'!$E:$AR,23,FALSE),IF((AND($U$4=FALSE,$U$5=TRUE,$U$6=TRUE,$U$7=FALSE)),VLOOKUP($E392,'Status Thresholds'!$E:$AR,33,FALSE),IF((AND($U$4=FALSE,$U$5=TRUE,$U$6=TRUE,$U$7=TRUE)),VLOOKUP($E392,'Status Thresholds'!$E:$AR,38,FALSE),IF((AND($U$4=FALSE,$U$5=TRUE,$U$6=FALSE,$U$7=TRUE)),VLOOKUP($E392,'Status Thresholds'!$E:$AR,28,FALSE)))))))))
))/
IF(OR($X$5=TRUE,$AC$3=TRUE
),($F$7/2), IF(OR($X$2,$X$3,$X$4,$X$6,$X$7,$X$8,$Z$2,$Z$3,$Z$4,$Z$5,$Z$6,$Z$7,$Z$8)=TRUE,$F$7)),0),"-")</f>
        <v>-</v>
      </c>
      <c r="H392" s="36" t="str">
        <f>IFERROR(
ROUNDUP(
IF(AND($U$5=FALSE,$U$4=FALSE),"-",IF(AND($U$5=TRUE,$U$4=TRUE),"-",
IF((AND($U$4=TRUE,$U$5=FALSE,$U$6=FALSE,$U$7=FALSE)),VLOOKUP($E392,'Status Thresholds'!$E:$AR,4,FALSE),IF((AND($U$4=TRUE,$U$5=FALSE,$U$6=TRUE,$U$7=FALSE)),VLOOKUP($E392,'Status Thresholds'!$E:$AR,14,FALSE),IF((AND($U$4=TRUE,$U$5=FALSE,$U$6=TRUE,$U$7=TRUE)),VLOOKUP($E392,'Status Thresholds'!$E:$AR,19,FALSE),IF((AND($U$4=TRUE,$U$5=FALSE,$U$6=FALSE,$U$7=TRUE)),VLOOKUP($E392,'Status Thresholds'!$E:$AR,9,FALSE),
IF((AND($U$4=FALSE,$U$5=TRUE,$U$6=FALSE,$U$7=FALSE)),VLOOKUP($E392,'Status Thresholds'!$E:$AR,24,FALSE),IF((AND($U$4=FALSE,$U$5=TRUE,$U$6=TRUE,$U$7=FALSE)),VLOOKUP($E392,'Status Thresholds'!$E:$AR,34,FALSE),IF((AND($U$4=FALSE,$U$5=TRUE,$U$6=TRUE,$U$7=TRUE)),VLOOKUP($E392,'Status Thresholds'!$E:$AR,39,FALSE),IF((AND($U$4=FALSE,$U$5=TRUE,$U$6=FALSE,$U$7=TRUE)),VLOOKUP($E392,'Status Thresholds'!$E:$AR,29,FALSE)))))))))
))/
IF(OR($X$5=TRUE,$AC$3=TRUE
),($F$7/2), IF(OR($X$2,$X$3,$X$4,$X$6,$X$7,$X$8,$Z$2,$Z$3,$Z$4,$Z$5,$Z$6,$Z$7,$Z$8)=TRUE,$F$7)),0),"-")</f>
        <v>-</v>
      </c>
      <c r="I392" s="36" t="str">
        <f>IFERROR(
ROUNDUP(
IF(AND($U$5=FALSE,$U$4=FALSE),"-",IF(AND($U$5=TRUE,$U$4=TRUE),"-",
IF((AND($U$4=TRUE,$U$5=FALSE,$U$6=FALSE,$U$7=FALSE)),VLOOKUP($E392,'Status Thresholds'!$E:$AR,5,FALSE),IF((AND($U$4=TRUE,$U$5=FALSE,$U$6=TRUE,$U$7=FALSE)),VLOOKUP($E392,'Status Thresholds'!$E:$AR,15,FALSE),IF((AND($U$4=TRUE,$U$5=FALSE,$U$6=TRUE,$U$7=TRUE)),VLOOKUP($E392,'Status Thresholds'!$E:$AR,20,FALSE),IF((AND($U$4=TRUE,$U$5=FALSE,$U$6=FALSE,$U$7=TRUE)),VLOOKUP($E392,'Status Thresholds'!$E:$AR,10,FALSE),
IF((AND($U$4=FALSE,$U$5=TRUE,$U$6=FALSE,$U$7=FALSE)),VLOOKUP($E392,'Status Thresholds'!$E:$AR,25,FALSE),IF((AND($U$4=FALSE,$U$5=TRUE,$U$6=TRUE,$U$7=FALSE)),VLOOKUP($E392,'Status Thresholds'!$E:$AR,35,FALSE),IF((AND($U$4=FALSE,$U$5=TRUE,$U$6=TRUE,$U$7=TRUE)),VLOOKUP($E392,'Status Thresholds'!$E:$AR,40,FALSE),IF((AND($U$4=FALSE,$U$5=TRUE,$U$6=FALSE,$U$7=TRUE)),VLOOKUP($E392,'Status Thresholds'!$E:$AR,30,FALSE)))))))))
))/
IF(OR($X$5=TRUE,$AC$3=TRUE
),($F$7/2), IF(OR($X$2,$X$3,$X$4,$X$6,$X$7,$X$8,$Z$2,$Z$3,$Z$4,$Z$5,$Z$6,$Z$7,$Z$8)=TRUE,$F$7)),0),"-")</f>
        <v>-</v>
      </c>
      <c r="J392" s="46">
        <f>IFERROR(IF(AND($U$5=FALSE,$U$4=FALSE),"-",VLOOKUP($E392,'Status Thresholds'!$E:$AU,41,FALSE)),"-")</f>
        <v>0</v>
      </c>
      <c r="K392" s="46" t="str">
        <f>IFERROR(IF(AND($U$5=FALSE,$U$4=FALSE),"-",VLOOKUP($E392,'Status Thresholds'!$E:$AU,42,FALSE)),"-")</f>
        <v>-</v>
      </c>
      <c r="L392" s="46" t="str">
        <f>IFERROR(IF(AND($U$5=FALSE,$U$4=FALSE),"-",VLOOKUP($E392,'Status Thresholds'!$E:$AU,43,FALSE)),"-")</f>
        <v>-</v>
      </c>
    </row>
    <row r="393" spans="1:12" ht="14.45" hidden="1" customHeight="1" x14ac:dyDescent="0.25">
      <c r="A393" s="35"/>
      <c r="B393" s="64" t="str">
        <f>IF('Status Thresholds'!A388=0, "", 'Status Thresholds'!A388)</f>
        <v>Deviant</v>
      </c>
      <c r="C393" s="64" t="str">
        <f>IF('Status Thresholds'!B388=0, "", 'Status Thresholds'!B388)</f>
        <v>Grimclaw Tigrex</v>
      </c>
      <c r="D393" s="34" t="s">
        <v>14</v>
      </c>
      <c r="E393" s="36" t="str">
        <f t="shared" si="5"/>
        <v>Grimclaw TigrexKO</v>
      </c>
      <c r="F393" s="36" t="s">
        <v>214</v>
      </c>
      <c r="G393" s="36" t="s">
        <v>214</v>
      </c>
      <c r="H393" s="36" t="s">
        <v>214</v>
      </c>
      <c r="I393" s="36" t="s">
        <v>214</v>
      </c>
      <c r="J393" s="46">
        <f>IFERROR(IF(AND($U$5=FALSE,$U$4=FALSE),"-",VLOOKUP($E393,'Status Thresholds'!$E:$AU,41,FALSE)),"-")</f>
        <v>10</v>
      </c>
      <c r="K393" s="46" t="str">
        <f>IFERROR(IF(AND($U$5=FALSE,$U$4=FALSE),"-",VLOOKUP($E393,'Status Thresholds'!$E:$AU,42,FALSE)),"-")</f>
        <v>-</v>
      </c>
      <c r="L393" s="46" t="str">
        <f>IFERROR(IF(AND($U$5=FALSE,$U$4=FALSE),"-",VLOOKUP($E393,'Status Thresholds'!$E:$AU,43,FALSE)),"-")</f>
        <v>-</v>
      </c>
    </row>
    <row r="394" spans="1:12" hidden="1" x14ac:dyDescent="0.25">
      <c r="A394" s="35"/>
      <c r="B394" s="64" t="str">
        <f>IF('Status Thresholds'!A389=0, "", 'Status Thresholds'!A389)</f>
        <v>Deviant</v>
      </c>
      <c r="C394" s="64" t="str">
        <f>IF('Status Thresholds'!B389=0, "", 'Status Thresholds'!B389)</f>
        <v>Grimclaw Tigrex</v>
      </c>
      <c r="D394" s="33" t="s">
        <v>34</v>
      </c>
      <c r="E394" s="36" t="str">
        <f t="shared" si="5"/>
        <v>Grimclaw TigrexMount</v>
      </c>
      <c r="F394" s="36" t="str">
        <f>IFERROR(
ROUNDUP(
IF(AND($U$5=FALSE,$U$4=FALSE),"-",IF(AND($U$5=TRUE,$U$4=TRUE),"-",
IF((AND($U$4=TRUE,$U$5=FALSE,$U$6=FALSE,$U$7=FALSE)),VLOOKUP($E394,'Status Thresholds'!$E:$AR,2,FALSE),IF((AND($U$4=TRUE,$U$5=FALSE,$U$6=TRUE,$U$7=FALSE)),VLOOKUP($E394,'Status Thresholds'!$E:$AR,12,FALSE),IF((AND($U$4=TRUE,$U$5=FALSE,$U$6=TRUE,$U$7=TRUE)),VLOOKUP($E394,'Status Thresholds'!$E:$AR,17,FALSE),IF((AND($U$4=TRUE,$U$5=FALSE,$U$6=FALSE,$U$7=TRUE)),VLOOKUP($E394,'Status Thresholds'!$E:$AR,7,FALSE),
IF((AND($U$4=FALSE,$U$5=TRUE,$U$6=FALSE,$U$7=FALSE)),VLOOKUP($E394,'Status Thresholds'!$E:$AR,22,FALSE),IF((AND($U$4=FALSE,$U$5=TRUE,$U$6=TRUE,$U$7=FALSE)),VLOOKUP($E394,'Status Thresholds'!$E:$AR,32,FALSE),IF((AND($U$4=FALSE,$U$5=TRUE,$U$6=TRUE,$U$7=TRUE)),VLOOKUP($E394,'Status Thresholds'!$E:$AR,37,FALSE),IF((AND($U$4=FALSE,$U$5=TRUE,$U$6=FALSE,$U$7=TRUE)),VLOOKUP($E394,'Status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394" s="36" t="str">
        <f>IFERROR(
ROUNDUP(
IF(AND($U$5=FALSE,$U$4=FALSE),"-",IF(AND($U$5=TRUE,$U$4=TRUE),"-",
IF((AND($U$4=TRUE,$U$5=FALSE,$U$6=FALSE,$U$7=FALSE)),VLOOKUP($E393,'Status Thresholds'!$E:$AR,3,FALSE),IF((AND($U$4=TRUE,$U$5=FALSE,$U$6=TRUE,$U$7=FALSE)),VLOOKUP($E393,'Status Thresholds'!$E:$AR,13,FALSE),IF((AND($U$4=TRUE,$U$5=FALSE,$U$6=TRUE,$U$7=TRUE)),VLOOKUP($E393,'Status Thresholds'!$E:$AR,18,FALSE),IF((AND($U$4=TRUE,$U$5=FALSE,$U$6=FALSE,$U$7=TRUE)),VLOOKUP($E393,'Status Thresholds'!$E:$AR,8,FALSE),
IF((AND($U$4=FALSE,$U$5=TRUE,$U$6=FALSE,$U$7=FALSE)),VLOOKUP($E393,'Status Thresholds'!$E:$AR,23,FALSE),IF((AND($U$4=FALSE,$U$5=TRUE,$U$6=TRUE,$U$7=FALSE)),VLOOKUP($E393,'Status Thresholds'!$E:$AR,33,FALSE),IF((AND($U$4=FALSE,$U$5=TRUE,$U$6=TRUE,$U$7=TRUE)),VLOOKUP($E393,'Status Thresholds'!$E:$AR,38,FALSE),IF((AND($U$4=FALSE,$U$5=TRUE,$U$6=FALSE,$U$7=TRUE)),VLOOKUP($E393,'Status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394" s="36" t="str">
        <f>IFERROR(
ROUNDUP(
IF(AND($U$5=FALSE,$U$4=FALSE),"-",IF(AND($U$5=TRUE,$U$4=TRUE),"-",
IF((AND($U$4=TRUE,$U$5=FALSE,$U$6=FALSE,$U$7=FALSE)),VLOOKUP($E393,'Status Thresholds'!$E:$AR,4,FALSE),IF((AND($U$4=TRUE,$U$5=FALSE,$U$6=TRUE,$U$7=FALSE)),VLOOKUP($E393,'Status Thresholds'!$E:$AR,14,FALSE),IF((AND($U$4=TRUE,$U$5=FALSE,$U$6=TRUE,$U$7=TRUE)),VLOOKUP($E393,'Status Thresholds'!$E:$AR,19,FALSE),IF((AND($U$4=TRUE,$U$5=FALSE,$U$6=FALSE,$U$7=TRUE)),VLOOKUP($E393,'Status Thresholds'!$E:$AR,9,FALSE),
IF((AND($U$4=FALSE,$U$5=TRUE,$U$6=FALSE,$U$7=FALSE)),VLOOKUP($E393,'Status Thresholds'!$E:$AR,24,FALSE),IF((AND($U$4=FALSE,$U$5=TRUE,$U$6=TRUE,$U$7=FALSE)),VLOOKUP($E393,'Status Thresholds'!$E:$AR,34,FALSE),IF((AND($U$4=FALSE,$U$5=TRUE,$U$6=TRUE,$U$7=TRUE)),VLOOKUP($E393,'Status Thresholds'!$E:$AR,39,FALSE),IF((AND($U$4=FALSE,$U$5=TRUE,$U$6=FALSE,$U$7=TRUE)),VLOOKUP($E393,'Status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394" s="36" t="str">
        <f>IFERROR(
ROUNDUP(
IF(AND($U$5=FALSE,$U$4=FALSE),"-",IF(AND($U$5=TRUE,$U$4=TRUE),"-",
IF((AND($U$4=TRUE,$U$5=FALSE,$U$6=FALSE,$U$7=FALSE)),VLOOKUP($E393,'Status Thresholds'!$E:$AR,5,FALSE),IF((AND($U$4=TRUE,$U$5=FALSE,$U$6=TRUE,$U$7=FALSE)),VLOOKUP($E393,'Status Thresholds'!$E:$AR,15,FALSE),IF((AND($U$4=TRUE,$U$5=FALSE,$U$6=TRUE,$U$7=TRUE)),VLOOKUP($E393,'Status Thresholds'!$E:$AR,20,FALSE),IF((AND($U$4=TRUE,$U$5=FALSE,$U$6=FALSE,$U$7=TRUE)),VLOOKUP($E393,'Status Thresholds'!$E:$AR,10,FALSE),
IF((AND($U$4=FALSE,$U$5=TRUE,$U$6=FALSE,$U$7=FALSE)),VLOOKUP($E393,'Status Thresholds'!$E:$AR,25,FALSE),IF((AND($U$4=FALSE,$U$5=TRUE,$U$6=TRUE,$U$7=FALSE)),VLOOKUP($E393,'Status Thresholds'!$E:$AR,35,FALSE),IF((AND($U$4=FALSE,$U$5=TRUE,$U$6=TRUE,$U$7=TRUE)),VLOOKUP($E393,'Status Thresholds'!$E:$AR,40,FALSE),IF((AND($U$4=FALSE,$U$5=TRUE,$U$6=FALSE,$U$7=TRUE)),VLOOKUP($E393,'Status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394" s="46">
        <f>IFERROR(IF(AND($U$5=FALSE,$U$4=FALSE),"-",VLOOKUP($E394,'Status Thresholds'!$E:$AU,41,FALSE)),"-")</f>
        <v>0</v>
      </c>
      <c r="K394" s="46" t="str">
        <f>IFERROR(IF(AND($U$5=FALSE,$U$4=FALSE),"-",VLOOKUP($E394,'Status Thresholds'!$E:$AU,42,FALSE)),"-")</f>
        <v>-</v>
      </c>
      <c r="L394" s="46" t="str">
        <f>IFERROR(IF(AND($U$5=FALSE,$U$4=FALSE),"-",VLOOKUP($E394,'Status Thresholds'!$E:$AU,43,FALSE)),"-")</f>
        <v>-</v>
      </c>
    </row>
    <row r="395" spans="1:12" ht="15" hidden="1" customHeight="1" x14ac:dyDescent="0.25">
      <c r="A395" s="35"/>
      <c r="B395" s="64" t="str">
        <f>IF('Status Thresholds'!A390=0, "", 'Status Thresholds'!A390)</f>
        <v>Deviant</v>
      </c>
      <c r="C395" s="64" t="str">
        <f>IF('Status Thresholds'!B390=0, "", 'Status Thresholds'!B390)</f>
        <v>Grimclaw Tigrex</v>
      </c>
      <c r="D395" s="77" t="s">
        <v>207</v>
      </c>
      <c r="E395" s="36" t="str">
        <f t="shared" si="5"/>
        <v>Grimclaw TigrexShock Trap</v>
      </c>
      <c r="F395" s="76" t="s">
        <v>214</v>
      </c>
      <c r="G395" s="46" t="s">
        <v>214</v>
      </c>
      <c r="H395" s="46" t="s">
        <v>214</v>
      </c>
      <c r="I395" s="46" t="s">
        <v>214</v>
      </c>
      <c r="J395" s="46">
        <f>IFERROR(IF(AND($U$5=FALSE,$U$4=FALSE),"-",VLOOKUP($E395,'Status Thresholds'!$E:$AU,43,FALSE)),"-")</f>
        <v>10</v>
      </c>
      <c r="K395" s="46">
        <f>IFERROR(IF(AND($U$5=FALSE,$U$4=FALSE),"-",VLOOKUP($E395,'Status Thresholds'!$E:$AU,41,FALSE)),"-")</f>
        <v>8</v>
      </c>
      <c r="L395" s="46">
        <f>IFERROR(IF(AND($U$5=FALSE,$U$4=FALSE),"-",VLOOKUP($E395,'Status Thresholds'!$E:$AU,42,FALSE)),"-")</f>
        <v>15</v>
      </c>
    </row>
    <row r="396" spans="1:12" hidden="1" x14ac:dyDescent="0.25">
      <c r="A396" s="35"/>
      <c r="B396" s="64" t="str">
        <f>IF('Status Thresholds'!A391=0, "", 'Status Thresholds'!A391)</f>
        <v>Deviant</v>
      </c>
      <c r="C396" s="64" t="str">
        <f>IF('Status Thresholds'!B391=0, "", 'Status Thresholds'!B391)</f>
        <v>Grimclaw Tigrex</v>
      </c>
      <c r="D396" s="77" t="s">
        <v>213</v>
      </c>
      <c r="E396" s="36" t="str">
        <f t="shared" si="5"/>
        <v>Grimclaw TigrexPitfall Trap</v>
      </c>
      <c r="F396" s="46" t="s">
        <v>214</v>
      </c>
      <c r="G396" s="46" t="s">
        <v>214</v>
      </c>
      <c r="H396" s="46" t="s">
        <v>214</v>
      </c>
      <c r="I396" s="46" t="s">
        <v>214</v>
      </c>
      <c r="J396" s="46">
        <f>IFERROR(IF(AND($U$5=FALSE,$U$4=FALSE),"-",VLOOKUP($E396,'Status Thresholds'!$E:$AU,43,FALSE)),"-")</f>
        <v>16</v>
      </c>
      <c r="K396" s="46">
        <f>IFERROR(IF(AND($U$5=FALSE,$U$4=FALSE),"-",VLOOKUP($E396,'Status Thresholds'!$E:$AU,41,FALSE)),"-")</f>
        <v>8</v>
      </c>
      <c r="L396" s="46">
        <f>IFERROR(IF(AND($U$5=FALSE,$U$4=FALSE),"-",VLOOKUP($E396,'Status Thresholds'!$E:$AU,42,FALSE)),"-")</f>
        <v>15</v>
      </c>
    </row>
    <row r="397" spans="1:12" s="36" customFormat="1" x14ac:dyDescent="0.25">
      <c r="A397" s="64"/>
      <c r="B397" s="64" t="str">
        <f>VLOOKUP(C397,'Status Thresholds'!B:C,2,FALSE)</f>
        <v>MHGen</v>
      </c>
      <c r="C397" s="64" t="str">
        <f>IF('Status Thresholds'!B392=0, "", 'Status Thresholds'!B392)</f>
        <v>Gypceros</v>
      </c>
      <c r="D397" s="37" t="s">
        <v>0</v>
      </c>
      <c r="E397" s="36" t="str">
        <f t="shared" si="5"/>
        <v>GypcerosPara</v>
      </c>
      <c r="F397" s="36" t="str">
        <f>IFERROR(
ROUNDUP(
IF(AND($U$5=FALSE,$U$4=FALSE),"-",IF(AND($U$5=TRUE,$U$4=TRUE),"-",
IF((AND($U$4=TRUE,$U$5=FALSE,$U$6=FALSE,$U$7=FALSE)),VLOOKUP($E397,'Status Thresholds'!$E:$AR,2,FALSE),IF((AND($U$4=TRUE,$U$5=FALSE,$U$6=TRUE,$U$7=FALSE)),VLOOKUP($E397,'Status Thresholds'!$E:$AR,12,FALSE),IF((AND($U$4=TRUE,$U$5=FALSE,$U$6=TRUE,$U$7=TRUE)),VLOOKUP($E397,'Status Thresholds'!$E:$AR,17,FALSE),IF((AND($U$4=TRUE,$U$5=FALSE,$U$6=FALSE,$U$7=TRUE)),VLOOKUP($E397,'Status Thresholds'!$E:$AR,7,FALSE),
IF((AND($U$4=FALSE,$U$5=TRUE,$U$6=FALSE,$U$7=FALSE)),VLOOKUP($E397,'Status Thresholds'!$E:$AR,22,FALSE),IF((AND($U$4=FALSE,$U$5=TRUE,$U$6=TRUE,$U$7=FALSE)),VLOOKUP($E397,'Status Thresholds'!$E:$AR,32,FALSE),IF((AND($U$4=FALSE,$U$5=TRUE,$U$6=TRUE,$U$7=TRUE)),VLOOKUP($E397,'Status Thresholds'!$E:$AR,37,FALSE),IF((AND($U$4=FALSE,$U$5=TRUE,$U$6=FALSE,$U$7=TRUE)),VLOOKUP($E397,'Status Thresholds'!$E:$AR,27,FALSE)))))))))
))/
IF(OR($X$5=TRUE,$AC$3=TRUE
),($F$3/2), IF(OR($X$2,$X$3,$X$4,$X$6,$X$7,$X$8,$Z$2,$Z$3,$Z$4,$Z$5,$Z$6,$Z$7,$Z$8)=TRUE,$F$3)),0),"-")</f>
        <v>-</v>
      </c>
      <c r="G397" s="36" t="str">
        <f>IFERROR(
ROUNDUP(
IF(AND($U$5=FALSE,$U$4=FALSE),"-",IF(AND($U$5=TRUE,$U$4=TRUE),"-",
IF((AND($U$4=TRUE,$U$5=FALSE,$U$6=FALSE,$U$7=FALSE)),VLOOKUP($E397,'Status Thresholds'!$E:$AR,3,FALSE),IF((AND($U$4=TRUE,$U$5=FALSE,$U$6=TRUE,$U$7=FALSE)),VLOOKUP($E397,'Status Thresholds'!$E:$AR,13,FALSE),IF((AND($U$4=TRUE,$U$5=FALSE,$U$6=TRUE,$U$7=TRUE)),VLOOKUP($E397,'Status Thresholds'!$E:$AR,18,FALSE),IF((AND($U$4=TRUE,$U$5=FALSE,$U$6=FALSE,$U$7=TRUE)),VLOOKUP($E397,'Status Thresholds'!$E:$AR,8,FALSE),
IF((AND($U$4=FALSE,$U$5=TRUE,$U$6=FALSE,$U$7=FALSE)),VLOOKUP($E397,'Status Thresholds'!$E:$AR,23,FALSE),IF((AND($U$4=FALSE,$U$5=TRUE,$U$6=TRUE,$U$7=FALSE)),VLOOKUP($E397,'Status Thresholds'!$E:$AR,33,FALSE),IF((AND($U$4=FALSE,$U$5=TRUE,$U$6=TRUE,$U$7=TRUE)),VLOOKUP($E397,'Status Thresholds'!$E:$AR,38,FALSE),IF((AND($U$4=FALSE,$U$5=TRUE,$U$6=FALSE,$U$7=TRUE)),VLOOKUP($E397,'Status Thresholds'!$E:$AR,28,FALSE)))))))))
))/
IF(OR($X$5=TRUE,$AC$3=TRUE
),($F$3/2), IF(OR($X$2,$X$3,$X$4,$X$6,$X$7,$X$8,$Z$2,$Z$3,$Z$4,$Z$5,$Z$6,$Z$7,$Z$8)=TRUE,$F$3)),0),"-")</f>
        <v>-</v>
      </c>
      <c r="H397" s="36" t="str">
        <f>IFERROR(
ROUNDUP(
IF(AND($U$5=FALSE,$U$4=FALSE),"-",IF(AND($U$5=TRUE,$U$4=TRUE),"-",
IF((AND($U$4=TRUE,$U$5=FALSE,$U$6=FALSE,$U$7=FALSE)),VLOOKUP($E397,'Status Thresholds'!$E:$AR,4,FALSE),IF((AND($U$4=TRUE,$U$5=FALSE,$U$6=TRUE,$U$7=FALSE)),VLOOKUP($E397,'Status Thresholds'!$E:$AR,14,FALSE),IF((AND($U$4=TRUE,$U$5=FALSE,$U$6=TRUE,$U$7=TRUE)),VLOOKUP($E397,'Status Thresholds'!$E:$AR,19,FALSE),IF((AND($U$4=TRUE,$U$5=FALSE,$U$6=FALSE,$U$7=TRUE)),VLOOKUP($E397,'Status Thresholds'!$E:$AR,9,FALSE),
IF((AND($U$4=FALSE,$U$5=TRUE,$U$6=FALSE,$U$7=FALSE)),VLOOKUP($E397,'Status Thresholds'!$E:$AR,24,FALSE),IF((AND($U$4=FALSE,$U$5=TRUE,$U$6=TRUE,$U$7=FALSE)),VLOOKUP($E397,'Status Thresholds'!$E:$AR,34,FALSE),IF((AND($U$4=FALSE,$U$5=TRUE,$U$6=TRUE,$U$7=TRUE)),VLOOKUP($E397,'Status Thresholds'!$E:$AR,39,FALSE),IF((AND($U$4=FALSE,$U$5=TRUE,$U$6=FALSE,$U$7=TRUE)),VLOOKUP($E397,'Status Thresholds'!$E:$AR,29,FALSE)))))))))
))/
IF(OR($X$5=TRUE,$AC$3=TRUE
),($F$3/2), IF(OR($X$2,$X$3,$X$4,$X$6,$X$7,$X$8,$Z$2,$Z$3,$Z$4,$Z$5,$Z$6,$Z$7,$Z$8)=TRUE,$F$3)),0),"-")</f>
        <v>-</v>
      </c>
      <c r="I397" s="36" t="str">
        <f>IFERROR(
ROUNDUP(
IF(AND($U$5=FALSE,$U$4=FALSE),"-",IF(AND($U$5=TRUE,$U$4=TRUE),"-",
IF((AND($U$4=TRUE,$U$5=FALSE,$U$6=FALSE,$U$7=FALSE)),VLOOKUP($E397,'Status Thresholds'!$E:$AR,5,FALSE),IF((AND($U$4=TRUE,$U$5=FALSE,$U$6=TRUE,$U$7=FALSE)),VLOOKUP($E397,'Status Thresholds'!$E:$AR,15,FALSE),IF((AND($U$4=TRUE,$U$5=FALSE,$U$6=TRUE,$U$7=TRUE)),VLOOKUP($E397,'Status Thresholds'!$E:$AR,20,FALSE),IF((AND($U$4=TRUE,$U$5=FALSE,$U$6=FALSE,$U$7=TRUE)),VLOOKUP($E397,'Status Thresholds'!$E:$AR,10,FALSE),
IF((AND($U$4=FALSE,$U$5=TRUE,$U$6=FALSE,$U$7=FALSE)),VLOOKUP($E397,'Status Thresholds'!$E:$AR,25,FALSE),IF((AND($U$4=FALSE,$U$5=TRUE,$U$6=TRUE,$U$7=FALSE)),VLOOKUP($E397,'Status Thresholds'!$E:$AR,35,FALSE),IF((AND($U$4=FALSE,$U$5=TRUE,$U$6=TRUE,$U$7=TRUE)),VLOOKUP($E397,'Status Thresholds'!$E:$AR,40,FALSE),IF((AND($U$4=FALSE,$U$5=TRUE,$U$6=FALSE,$U$7=TRUE)),VLOOKUP($E397,'Status Thresholds'!$E:$AR,30,FALSE)))))))))
))/
IF(OR($X$5=TRUE,$AC$3=TRUE
),($F$3/2), IF(OR($X$2,$X$3,$X$4,$X$6,$X$7,$X$8,$Z$2,$Z$3,$Z$4,$Z$5,$Z$6,$Z$7,$Z$8)=TRUE,$F$3)),0),"-")</f>
        <v>-</v>
      </c>
      <c r="J397" s="36">
        <f>IFERROR(IF(AND($U$5=FALSE,$U$4=FALSE),"-",VLOOKUP($E397,'Status Thresholds'!$E:$AU,41,FALSE)),"-")</f>
        <v>10</v>
      </c>
      <c r="K397" s="36" t="str">
        <f>IFERROR(IF(AND($U$5=FALSE,$U$4=FALSE),"-",VLOOKUP($E397,'Status Thresholds'!$E:$AU,42,FALSE)),"-")</f>
        <v>-</v>
      </c>
      <c r="L397" s="36" t="str">
        <f>IFERROR(IF(AND($U$5=FALSE,$U$4=FALSE),"-",VLOOKUP($E397,'Status Thresholds'!$E:$AU,43,FALSE)),"-")</f>
        <v>-</v>
      </c>
    </row>
    <row r="398" spans="1:12" x14ac:dyDescent="0.25">
      <c r="A398" s="35"/>
      <c r="B398" s="64" t="str">
        <f>VLOOKUP(C398,'Status Thresholds'!B:C,2,FALSE)</f>
        <v>MHGen</v>
      </c>
      <c r="C398" s="64" t="str">
        <f>IF('Status Thresholds'!B393=0, "", 'Status Thresholds'!B393)</f>
        <v>Gypceros</v>
      </c>
      <c r="D398" s="31" t="s">
        <v>32</v>
      </c>
      <c r="E398" s="36" t="str">
        <f t="shared" si="5"/>
        <v>GypcerosSleep</v>
      </c>
      <c r="F398" s="36" t="str">
        <f>IFERROR(
ROUNDUP(
IF(AND($U$5=FALSE,$U$4=FALSE),"-",IF(AND($U$5=TRUE,$U$4=TRUE),"-",
IF((AND($U$4=TRUE,$U$5=FALSE,$U$6=FALSE,$U$7=FALSE)),VLOOKUP($E398,'Status Thresholds'!$E:$AR,2,FALSE),IF((AND($U$4=TRUE,$U$5=FALSE,$U$6=TRUE,$U$7=FALSE)),VLOOKUP($E398,'Status Thresholds'!$E:$AR,12,FALSE),IF((AND($U$4=TRUE,$U$5=FALSE,$U$6=TRUE,$U$7=TRUE)),VLOOKUP($E398,'Status Thresholds'!$E:$AR,17,FALSE),IF((AND($U$4=TRUE,$U$5=FALSE,$U$6=FALSE,$U$7=TRUE)),VLOOKUP($E398,'Status Thresholds'!$E:$AR,7,FALSE),
IF((AND($U$4=FALSE,$U$5=TRUE,$U$6=FALSE,$U$7=FALSE)),VLOOKUP($E398,'Status Thresholds'!$E:$AR,22,FALSE),IF((AND($U$4=FALSE,$U$5=TRUE,$U$6=TRUE,$U$7=FALSE)),VLOOKUP($E398,'Status Thresholds'!$E:$AR,32,FALSE),IF((AND($U$4=FALSE,$U$5=TRUE,$U$6=TRUE,$U$7=TRUE)),VLOOKUP($E398,'Status Thresholds'!$E:$AR,37,FALSE),IF((AND($U$4=FALSE,$U$5=TRUE,$U$6=FALSE,$U$7=TRUE)),VLOOKUP($E398,'Status Thresholds'!$E:$AR,27,FALSE)))))))))
))/
IF(OR($X$5=TRUE,$AC$3=TRUE
),($F$4/2), IF(OR($X$2,$X$3,$X$4,$X$6,$X$7,$X$8,$Z$2,$Z$3,$Z$4,$Z$5,$Z$6,$Z$7,$Z$8)=TRUE,$F$4)),0),"-")</f>
        <v>-</v>
      </c>
      <c r="G398" s="36" t="str">
        <f>IFERROR(
ROUNDUP(
IF(AND($U$5=FALSE,$U$4=FALSE),"-",IF(AND($U$5=TRUE,$U$4=TRUE),"-",
IF((AND($U$4=TRUE,$U$5=FALSE,$U$6=FALSE,$U$7=FALSE)),VLOOKUP($E398,'Status Thresholds'!$E:$AR,3,FALSE),IF((AND($U$4=TRUE,$U$5=FALSE,$U$6=TRUE,$U$7=FALSE)),VLOOKUP($E398,'Status Thresholds'!$E:$AR,13,FALSE),IF((AND($U$4=TRUE,$U$5=FALSE,$U$6=TRUE,$U$7=TRUE)),VLOOKUP($E398,'Status Thresholds'!$E:$AR,18,FALSE),IF((AND($U$4=TRUE,$U$5=FALSE,$U$6=FALSE,$U$7=TRUE)),VLOOKUP($E398,'Status Thresholds'!$E:$AR,8,FALSE),
IF((AND($U$4=FALSE,$U$5=TRUE,$U$6=FALSE,$U$7=FALSE)),VLOOKUP($E398,'Status Thresholds'!$E:$AR,23,FALSE),IF((AND($U$4=FALSE,$U$5=TRUE,$U$6=TRUE,$U$7=FALSE)),VLOOKUP($E398,'Status Thresholds'!$E:$AR,33,FALSE),IF((AND($U$4=FALSE,$U$5=TRUE,$U$6=TRUE,$U$7=TRUE)),VLOOKUP($E398,'Status Thresholds'!$E:$AR,38,FALSE),IF((AND($U$4=FALSE,$U$5=TRUE,$U$6=FALSE,$U$7=TRUE)),VLOOKUP($E398,'Status Thresholds'!$E:$AR,28,FALSE)))))))))
))/
IF(OR($X$5=TRUE,$AC$3=TRUE
),($F$4/2), IF(OR($X$2,$X$3,$X$4,$X$6,$X$7,$X$8,$Z$2,$Z$3,$Z$4,$Z$5,$Z$6,$Z$7,$Z$8)=TRUE,$F$4)),0),"-")</f>
        <v>-</v>
      </c>
      <c r="H398" s="36" t="str">
        <f>IFERROR(
ROUNDUP(
IF(AND($U$5=FALSE,$U$4=FALSE),"-",IF(AND($U$5=TRUE,$U$4=TRUE),"-",
IF((AND($U$4=TRUE,$U$5=FALSE,$U$6=FALSE,$U$7=FALSE)),VLOOKUP($E398,'Status Thresholds'!$E:$AR,4,FALSE),IF((AND($U$4=TRUE,$U$5=FALSE,$U$6=TRUE,$U$7=FALSE)),VLOOKUP($E398,'Status Thresholds'!$E:$AR,14,FALSE),IF((AND($U$4=TRUE,$U$5=FALSE,$U$6=TRUE,$U$7=TRUE)),VLOOKUP($E398,'Status Thresholds'!$E:$AR,19,FALSE),IF((AND($U$4=TRUE,$U$5=FALSE,$U$6=FALSE,$U$7=TRUE)),VLOOKUP($E398,'Status Thresholds'!$E:$AR,9,FALSE),
IF((AND($U$4=FALSE,$U$5=TRUE,$U$6=FALSE,$U$7=FALSE)),VLOOKUP($E398,'Status Thresholds'!$E:$AR,24,FALSE),IF((AND($U$4=FALSE,$U$5=TRUE,$U$6=TRUE,$U$7=FALSE)),VLOOKUP($E398,'Status Thresholds'!$E:$AR,34,FALSE),IF((AND($U$4=FALSE,$U$5=TRUE,$U$6=TRUE,$U$7=TRUE)),VLOOKUP($E398,'Status Thresholds'!$E:$AR,39,FALSE),IF((AND($U$4=FALSE,$U$5=TRUE,$U$6=FALSE,$U$7=TRUE)),VLOOKUP($E398,'Status Thresholds'!$E:$AR,29,FALSE)))))))))
))/
IF(OR($X$5=TRUE,$AC$3=TRUE
),($F$4/2), IF(OR($X$2,$X$3,$X$4,$X$6,$X$7,$X$8,$Z$2,$Z$3,$Z$4,$Z$5,$Z$6,$Z$7,$Z$8)=TRUE,$F$4)),0),"-")</f>
        <v>-</v>
      </c>
      <c r="I398" s="36" t="str">
        <f>IFERROR(
ROUNDUP(
IF(AND($U$5=FALSE,$U$4=FALSE),"-",IF(AND($U$5=TRUE,$U$4=TRUE),"-",
IF((AND($U$4=TRUE,$U$5=FALSE,$U$6=FALSE,$U$7=FALSE)),VLOOKUP($E398,'Status Thresholds'!$E:$AR,5,FALSE),IF((AND($U$4=TRUE,$U$5=FALSE,$U$6=TRUE,$U$7=FALSE)),VLOOKUP($E398,'Status Thresholds'!$E:$AR,15,FALSE),IF((AND($U$4=TRUE,$U$5=FALSE,$U$6=TRUE,$U$7=TRUE)),VLOOKUP($E398,'Status Thresholds'!$E:$AR,20,FALSE),IF((AND($U$4=TRUE,$U$5=FALSE,$U$6=FALSE,$U$7=TRUE)),VLOOKUP($E398,'Status Thresholds'!$E:$AR,10,FALSE),
IF((AND($U$4=FALSE,$U$5=TRUE,$U$6=FALSE,$U$7=FALSE)),VLOOKUP($E398,'Status Thresholds'!$E:$AR,25,FALSE),IF((AND($U$4=FALSE,$U$5=TRUE,$U$6=TRUE,$U$7=FALSE)),VLOOKUP($E398,'Status Thresholds'!$E:$AR,35,FALSE),IF((AND($U$4=FALSE,$U$5=TRUE,$U$6=TRUE,$U$7=TRUE)),VLOOKUP($E398,'Status Thresholds'!$E:$AR,40,FALSE),IF((AND($U$4=FALSE,$U$5=TRUE,$U$6=FALSE,$U$7=TRUE)),VLOOKUP($E398,'Status Thresholds'!$E:$AR,30,FALSE)))))))))
))/
IF(OR($X$5=TRUE,$AC$3=TRUE
),($F$4/2), IF(OR($X$2,$X$3,$X$4,$X$6,$X$7,$X$8,$Z$2,$Z$3,$Z$4,$Z$5,$Z$6,$Z$7,$Z$8)=TRUE,$F$4)),0),"-")</f>
        <v>-</v>
      </c>
      <c r="J398" s="46">
        <f>IFERROR(IF(AND($U$5=FALSE,$U$4=FALSE),"-",VLOOKUP($E398,'Status Thresholds'!$E:$AU,41,FALSE)),"-")</f>
        <v>40</v>
      </c>
      <c r="K398" s="46" t="str">
        <f>IFERROR(IF(AND($U$5=FALSE,$U$4=FALSE),"-",VLOOKUP($E398,'Status Thresholds'!$E:$AU,42,FALSE)),"-")</f>
        <v>-</v>
      </c>
      <c r="L398" s="46" t="str">
        <f>IFERROR(IF(AND($U$5=FALSE,$U$4=FALSE),"-",VLOOKUP($E398,'Status Thresholds'!$E:$AU,43,FALSE)),"-")</f>
        <v>-</v>
      </c>
    </row>
    <row r="399" spans="1:12" x14ac:dyDescent="0.25">
      <c r="A399" s="35"/>
      <c r="B399" s="64" t="str">
        <f>VLOOKUP(C399,'Status Thresholds'!B:C,2,FALSE)</f>
        <v>MHGen</v>
      </c>
      <c r="C399" s="64" t="str">
        <f>IF('Status Thresholds'!B394=0, "", 'Status Thresholds'!B394)</f>
        <v>Gypceros</v>
      </c>
      <c r="D399" s="32" t="s">
        <v>33</v>
      </c>
      <c r="E399" s="36" t="str">
        <f t="shared" si="5"/>
        <v>GypcerosPoison</v>
      </c>
      <c r="F399" s="36" t="str">
        <f>IFERROR(
ROUNDUP(
IF(AND($U$5=FALSE,$U$4=FALSE),"-",IF(AND($U$5=TRUE,$U$4=TRUE),"-",
IF((AND($U$4=TRUE,$U$5=FALSE,$U$6=FALSE,$U$7=FALSE)),VLOOKUP($E399,'Status Thresholds'!$E:$AR,2,FALSE),IF((AND($U$4=TRUE,$U$5=FALSE,$U$6=TRUE,$U$7=FALSE)),VLOOKUP($E399,'Status Thresholds'!$E:$AR,12,FALSE),IF((AND($U$4=TRUE,$U$5=FALSE,$U$6=TRUE,$U$7=TRUE)),VLOOKUP($E399,'Status Thresholds'!$E:$AR,17,FALSE),IF((AND($U$4=TRUE,$U$5=FALSE,$U$6=FALSE,$U$7=TRUE)),VLOOKUP($E399,'Status Thresholds'!$E:$AR,7,FALSE),
IF((AND($U$4=FALSE,$U$5=TRUE,$U$6=FALSE,$U$7=FALSE)),VLOOKUP($E399,'Status Thresholds'!$E:$AR,22,FALSE),IF((AND($U$4=FALSE,$U$5=TRUE,$U$6=TRUE,$U$7=FALSE)),VLOOKUP($E399,'Status Thresholds'!$E:$AR,32,FALSE),IF((AND($U$4=FALSE,$U$5=TRUE,$U$6=TRUE,$U$7=TRUE)),VLOOKUP($E399,'Status Thresholds'!$E:$AR,37,FALSE),IF((AND($U$4=FALSE,$U$5=TRUE,$U$6=FALSE,$U$7=TRUE)),VLOOKUP($E399,'Status Thresholds'!$E:$AR,27,FALSE)))))))))
))/
IF(OR($X$5=TRUE,$AC$3=TRUE
),($F$5/2), IF(OR($X$2,$X$3,$X$4,$X$6,$X$7,$X$8,$Z$2,$Z$3,$Z$4,$Z$5,$Z$6,$Z$7,$Z$8)=TRUE,$F$5)),0),"-")</f>
        <v>-</v>
      </c>
      <c r="G399" s="36" t="str">
        <f>IFERROR(
ROUNDUP(
IF(AND($U$5=FALSE,$U$4=FALSE),"-",IF(AND($U$5=TRUE,$U$4=TRUE),"-",
IF((AND($U$4=TRUE,$U$5=FALSE,$U$6=FALSE,$U$7=FALSE)),VLOOKUP($E399,'Status Thresholds'!$E:$AR,3,FALSE),IF((AND($U$4=TRUE,$U$5=FALSE,$U$6=TRUE,$U$7=FALSE)),VLOOKUP($E399,'Status Thresholds'!$E:$AR,13,FALSE),IF((AND($U$4=TRUE,$U$5=FALSE,$U$6=TRUE,$U$7=TRUE)),VLOOKUP($E399,'Status Thresholds'!$E:$AR,18,FALSE),IF((AND($U$4=TRUE,$U$5=FALSE,$U$6=FALSE,$U$7=TRUE)),VLOOKUP($E399,'Status Thresholds'!$E:$AR,8,FALSE),
IF((AND($U$4=FALSE,$U$5=TRUE,$U$6=FALSE,$U$7=FALSE)),VLOOKUP($E399,'Status Thresholds'!$E:$AR,23,FALSE),IF((AND($U$4=FALSE,$U$5=TRUE,$U$6=TRUE,$U$7=FALSE)),VLOOKUP($E399,'Status Thresholds'!$E:$AR,33,FALSE),IF((AND($U$4=FALSE,$U$5=TRUE,$U$6=TRUE,$U$7=TRUE)),VLOOKUP($E399,'Status Thresholds'!$E:$AR,38,FALSE),IF((AND($U$4=FALSE,$U$5=TRUE,$U$6=FALSE,$U$7=TRUE)),VLOOKUP($E399,'Status Thresholds'!$E:$AR,28,FALSE)))))))))
))/
IF(OR($X$5=TRUE,$AC$3=TRUE
),($F$5/2), IF(OR($X$2,$X$3,$X$4,$X$6,$X$7,$X$8,$Z$2,$Z$3,$Z$4,$Z$5,$Z$6,$Z$7,$Z$8)=TRUE,$F$5)),0),"-")</f>
        <v>-</v>
      </c>
      <c r="H399" s="36" t="str">
        <f>IFERROR(
ROUNDUP(
IF(AND($U$5=FALSE,$U$4=FALSE),"-",IF(AND($U$5=TRUE,$U$4=TRUE),"-",
IF((AND($U$4=TRUE,$U$5=FALSE,$U$6=FALSE,$U$7=FALSE)),VLOOKUP($E399,'Status Thresholds'!$E:$AR,4,FALSE),IF((AND($U$4=TRUE,$U$5=FALSE,$U$6=TRUE,$U$7=FALSE)),VLOOKUP($E399,'Status Thresholds'!$E:$AR,14,FALSE),IF((AND($U$4=TRUE,$U$5=FALSE,$U$6=TRUE,$U$7=TRUE)),VLOOKUP($E399,'Status Thresholds'!$E:$AR,19,FALSE),IF((AND($U$4=TRUE,$U$5=FALSE,$U$6=FALSE,$U$7=TRUE)),VLOOKUP($E399,'Status Thresholds'!$E:$AR,9,FALSE),
IF((AND($U$4=FALSE,$U$5=TRUE,$U$6=FALSE,$U$7=FALSE)),VLOOKUP($E399,'Status Thresholds'!$E:$AR,24,FALSE),IF((AND($U$4=FALSE,$U$5=TRUE,$U$6=TRUE,$U$7=FALSE)),VLOOKUP($E399,'Status Thresholds'!$E:$AR,34,FALSE),IF((AND($U$4=FALSE,$U$5=TRUE,$U$6=TRUE,$U$7=TRUE)),VLOOKUP($E399,'Status Thresholds'!$E:$AR,39,FALSE),IF((AND($U$4=FALSE,$U$5=TRUE,$U$6=FALSE,$U$7=TRUE)),VLOOKUP($E399,'Status Thresholds'!$E:$AR,29,FALSE)))))))))
))/
IF(OR($X$5=TRUE,$AC$3=TRUE
),($F$5/2), IF(OR($X$2,$X$3,$X$4,$X$6,$X$7,$X$8,$Z$2,$Z$3,$Z$4,$Z$5,$Z$6,$Z$7,$Z$8)=TRUE,$F$5)),0),"-")</f>
        <v>-</v>
      </c>
      <c r="I399" s="36" t="str">
        <f>IFERROR(
ROUNDUP(
IF(AND($U$5=FALSE,$U$4=FALSE),"-",IF(AND($U$5=TRUE,$U$4=TRUE),"-",
IF((AND($U$4=TRUE,$U$5=FALSE,$U$6=FALSE,$U$7=FALSE)),VLOOKUP($E399,'Status Thresholds'!$E:$AR,5,FALSE),IF((AND($U$4=TRUE,$U$5=FALSE,$U$6=TRUE,$U$7=FALSE)),VLOOKUP($E399,'Status Thresholds'!$E:$AR,15,FALSE),IF((AND($U$4=TRUE,$U$5=FALSE,$U$6=TRUE,$U$7=TRUE)),VLOOKUP($E399,'Status Thresholds'!$E:$AR,20,FALSE),IF((AND($U$4=TRUE,$U$5=FALSE,$U$6=FALSE,$U$7=TRUE)),VLOOKUP($E399,'Status Thresholds'!$E:$AR,10,FALSE),
IF((AND($U$4=FALSE,$U$5=TRUE,$U$6=FALSE,$U$7=FALSE)),VLOOKUP($E399,'Status Thresholds'!$E:$AR,25,FALSE),IF((AND($U$4=FALSE,$U$5=TRUE,$U$6=TRUE,$U$7=FALSE)),VLOOKUP($E399,'Status Thresholds'!$E:$AR,35,FALSE),IF((AND($U$4=FALSE,$U$5=TRUE,$U$6=TRUE,$U$7=TRUE)),VLOOKUP($E399,'Status Thresholds'!$E:$AR,40,FALSE),IF((AND($U$4=FALSE,$U$5=TRUE,$U$6=FALSE,$U$7=TRUE)),VLOOKUP($E399,'Status Thresholds'!$E:$AR,30,FALSE)))))))))
))/
IF(OR($X$5=TRUE,$AC$3=TRUE
),($F$5/2), IF(OR($X$2,$X$3,$X$4,$X$6,$X$7,$X$8,$Z$2,$Z$3,$Z$4,$Z$5,$Z$6,$Z$7,$Z$8)=TRUE,$F$5)),0),"-")</f>
        <v>-</v>
      </c>
      <c r="J399" s="46">
        <f>IFERROR(IF(AND($U$5=FALSE,$U$4=FALSE),"-",VLOOKUP($E399,'Status Thresholds'!$E:$AU,41,FALSE)),"-")</f>
        <v>40</v>
      </c>
      <c r="K399" s="46" t="str">
        <f>IFERROR(IF(AND($U$5=FALSE,$U$4=FALSE),"-",VLOOKUP($E399,'Status Thresholds'!$E:$AU,42,FALSE)),"-")</f>
        <v>-</v>
      </c>
      <c r="L399" s="46" t="str">
        <f>IFERROR(IF(AND($U$5=FALSE,$U$4=FALSE),"-",VLOOKUP($E399,'Status Thresholds'!$E:$AU,43,FALSE)),"-")</f>
        <v>-</v>
      </c>
    </row>
    <row r="400" spans="1:12" x14ac:dyDescent="0.25">
      <c r="A400" s="35"/>
      <c r="B400" s="64" t="str">
        <f>VLOOKUP(C400,'Status Thresholds'!B:C,2,FALSE)</f>
        <v>MHGen</v>
      </c>
      <c r="C400" s="64" t="str">
        <f>IF('Status Thresholds'!B395=0, "", 'Status Thresholds'!B395)</f>
        <v>Gypceros</v>
      </c>
      <c r="D400" s="10" t="s">
        <v>22</v>
      </c>
      <c r="E400" s="36" t="str">
        <f t="shared" si="5"/>
        <v>GypcerosExhaust</v>
      </c>
      <c r="F400" s="36" t="str">
        <f>IFERROR(
ROUNDUP(
IF(AND($U$5=FALSE,$U$4=FALSE),"-",IF(AND($U$5=TRUE,$U$4=TRUE),"-",
IF((AND($U$4=TRUE,$U$5=FALSE,$U$6=FALSE,$U$7=FALSE)),VLOOKUP($E400,'Status Thresholds'!$E:$AR,2,FALSE),IF((AND($U$4=TRUE,$U$5=FALSE,$U$6=TRUE,$U$7=FALSE)),VLOOKUP($E400,'Status Thresholds'!$E:$AR,12,FALSE),IF((AND($U$4=TRUE,$U$5=FALSE,$U$6=TRUE,$U$7=TRUE)),VLOOKUP($E400,'Status Thresholds'!$E:$AR,17,FALSE),IF((AND($U$4=TRUE,$U$5=FALSE,$U$6=FALSE,$U$7=TRUE)),VLOOKUP($E400,'Status Thresholds'!$E:$AR,7,FALSE),
IF((AND($U$4=FALSE,$U$5=TRUE,$U$6=FALSE,$U$7=FALSE)),VLOOKUP($E400,'Status Thresholds'!$E:$AR,22,FALSE),IF((AND($U$4=FALSE,$U$5=TRUE,$U$6=TRUE,$U$7=FALSE)),VLOOKUP($E400,'Status Thresholds'!$E:$AR,32,FALSE),IF((AND($U$4=FALSE,$U$5=TRUE,$U$6=TRUE,$U$7=TRUE)),VLOOKUP($E400,'Status Thresholds'!$E:$AR,37,FALSE),IF((AND($U$4=FALSE,$U$5=TRUE,$U$6=FALSE,$U$7=TRUE)),VLOOKUP($E400,'Status Thresholds'!$E:$AR,27,FALSE)))))))))
))/
IF(OR($X$5=TRUE,$AC$3=TRUE
),($F$6/2), IF(OR($X$2,$X$3,$X$4,$X$6,$X$7,$X$8,$Z$2,$Z$3,$Z$4,$Z$5,$Z$6,$Z$7,$Z$8)=TRUE,$F$6)),0),"-")</f>
        <v>-</v>
      </c>
      <c r="G400" s="36" t="str">
        <f>IFERROR(
ROUNDUP(
IF(AND($U$5=FALSE,$U$4=FALSE),"-",IF(AND($U$5=TRUE,$U$4=TRUE),"-",
IF((AND($U$4=TRUE,$U$5=FALSE,$U$6=FALSE,$U$7=FALSE)),VLOOKUP($E400,'Status Thresholds'!$E:$AR,3,FALSE),IF((AND($U$4=TRUE,$U$5=FALSE,$U$6=TRUE,$U$7=FALSE)),VLOOKUP($E400,'Status Thresholds'!$E:$AR,13,FALSE),IF((AND($U$4=TRUE,$U$5=FALSE,$U$6=TRUE,$U$7=TRUE)),VLOOKUP($E400,'Status Thresholds'!$E:$AR,18,FALSE),IF((AND($U$4=TRUE,$U$5=FALSE,$U$6=FALSE,$U$7=TRUE)),VLOOKUP($E400,'Status Thresholds'!$E:$AR,8,FALSE),
IF((AND($U$4=FALSE,$U$5=TRUE,$U$6=FALSE,$U$7=FALSE)),VLOOKUP($E400,'Status Thresholds'!$E:$AR,23,FALSE),IF((AND($U$4=FALSE,$U$5=TRUE,$U$6=TRUE,$U$7=FALSE)),VLOOKUP($E400,'Status Thresholds'!$E:$AR,33,FALSE),IF((AND($U$4=FALSE,$U$5=TRUE,$U$6=TRUE,$U$7=TRUE)),VLOOKUP($E400,'Status Thresholds'!$E:$AR,38,FALSE),IF((AND($U$4=FALSE,$U$5=TRUE,$U$6=FALSE,$U$7=TRUE)),VLOOKUP($E400,'Status Thresholds'!$E:$AR,28,FALSE)))))))))
))/
IF(OR($X$5=TRUE,$AC$3=TRUE
),($F$6/2), IF(OR($X$2,$X$3,$X$4,$X$6,$X$7,$X$8,$Z$2,$Z$3,$Z$4,$Z$5,$Z$6,$Z$7,$Z$8)=TRUE,$F$6)),0),"-")</f>
        <v>-</v>
      </c>
      <c r="H400" s="36" t="str">
        <f>IFERROR(
ROUNDUP(
IF(AND($U$5=FALSE,$U$4=FALSE),"-",IF(AND($U$5=TRUE,$U$4=TRUE),"-",
IF((AND($U$4=TRUE,$U$5=FALSE,$U$6=FALSE,$U$7=FALSE)),VLOOKUP($E400,'Status Thresholds'!$E:$AR,4,FALSE),IF((AND($U$4=TRUE,$U$5=FALSE,$U$6=TRUE,$U$7=FALSE)),VLOOKUP($E400,'Status Thresholds'!$E:$AR,14,FALSE),IF((AND($U$4=TRUE,$U$5=FALSE,$U$6=TRUE,$U$7=TRUE)),VLOOKUP($E400,'Status Thresholds'!$E:$AR,19,FALSE),IF((AND($U$4=TRUE,$U$5=FALSE,$U$6=FALSE,$U$7=TRUE)),VLOOKUP($E400,'Status Thresholds'!$E:$AR,9,FALSE),
IF((AND($U$4=FALSE,$U$5=TRUE,$U$6=FALSE,$U$7=FALSE)),VLOOKUP($E400,'Status Thresholds'!$E:$AR,24,FALSE),IF((AND($U$4=FALSE,$U$5=TRUE,$U$6=TRUE,$U$7=FALSE)),VLOOKUP($E400,'Status Thresholds'!$E:$AR,34,FALSE),IF((AND($U$4=FALSE,$U$5=TRUE,$U$6=TRUE,$U$7=TRUE)),VLOOKUP($E400,'Status Thresholds'!$E:$AR,39,FALSE),IF((AND($U$4=FALSE,$U$5=TRUE,$U$6=FALSE,$U$7=TRUE)),VLOOKUP($E400,'Status Thresholds'!$E:$AR,29,FALSE)))))))))
))/
IF(OR($X$5=TRUE,$AC$3=TRUE
),($F$6/2), IF(OR($X$2,$X$3,$X$4,$X$6,$X$7,$X$8,$Z$2,$Z$3,$Z$4,$Z$5,$Z$6,$Z$7,$Z$8)=TRUE,$F$6)),0),"-")</f>
        <v>-</v>
      </c>
      <c r="I400" s="36" t="str">
        <f>IFERROR(
ROUNDUP(
IF(AND($U$5=FALSE,$U$4=FALSE),"-",IF(AND($U$5=TRUE,$U$4=TRUE),"-",
IF((AND($U$4=TRUE,$U$5=FALSE,$U$6=FALSE,$U$7=FALSE)),VLOOKUP($E400,'Status Thresholds'!$E:$AR,5,FALSE),IF((AND($U$4=TRUE,$U$5=FALSE,$U$6=TRUE,$U$7=FALSE)),VLOOKUP($E400,'Status Thresholds'!$E:$AR,15,FALSE),IF((AND($U$4=TRUE,$U$5=FALSE,$U$6=TRUE,$U$7=TRUE)),VLOOKUP($E400,'Status Thresholds'!$E:$AR,20,FALSE),IF((AND($U$4=TRUE,$U$5=FALSE,$U$6=FALSE,$U$7=TRUE)),VLOOKUP($E400,'Status Thresholds'!$E:$AR,10,FALSE),
IF((AND($U$4=FALSE,$U$5=TRUE,$U$6=FALSE,$U$7=FALSE)),VLOOKUP($E400,'Status Thresholds'!$E:$AR,25,FALSE),IF((AND($U$4=FALSE,$U$5=TRUE,$U$6=TRUE,$U$7=FALSE)),VLOOKUP($E400,'Status Thresholds'!$E:$AR,35,FALSE),IF((AND($U$4=FALSE,$U$5=TRUE,$U$6=TRUE,$U$7=TRUE)),VLOOKUP($E400,'Status Thresholds'!$E:$AR,40,FALSE),IF((AND($U$4=FALSE,$U$5=TRUE,$U$6=FALSE,$U$7=TRUE)),VLOOKUP($E400,'Status Thresholds'!$E:$AR,30,FALSE)))))))))
))/
IF(OR($X$5=TRUE,$AC$3=TRUE
),($F$6/2), IF(OR($X$2,$X$3,$X$4,$X$6,$X$7,$X$8,$Z$2,$Z$3,$Z$4,$Z$5,$Z$6,$Z$7,$Z$8)=TRUE,$F$6)),0),"-")</f>
        <v>-</v>
      </c>
      <c r="J400" s="46">
        <f>IFERROR(IF(AND($U$5=FALSE,$U$4=FALSE),"-",VLOOKUP($E400,'Status Thresholds'!$E:$AU,41,FALSE)),"-")</f>
        <v>0</v>
      </c>
      <c r="K400" s="46" t="str">
        <f>IFERROR(IF(AND($U$5=FALSE,$U$4=FALSE),"-",VLOOKUP($E400,'Status Thresholds'!$E:$AU,42,FALSE)),"-")</f>
        <v>-</v>
      </c>
      <c r="L400" s="46" t="str">
        <f>IFERROR(IF(AND($U$5=FALSE,$U$4=FALSE),"-",VLOOKUP($E400,'Status Thresholds'!$E:$AU,43,FALSE)),"-")</f>
        <v>-</v>
      </c>
    </row>
    <row r="401" spans="1:12" x14ac:dyDescent="0.25">
      <c r="A401" s="35"/>
      <c r="B401" s="64" t="str">
        <f>VLOOKUP(C401,'Status Thresholds'!B:C,2,FALSE)</f>
        <v>MHGen</v>
      </c>
      <c r="C401" s="64" t="str">
        <f>IF('Status Thresholds'!B396=0, "", 'Status Thresholds'!B396)</f>
        <v>Gypceros</v>
      </c>
      <c r="D401" s="30" t="s">
        <v>35</v>
      </c>
      <c r="E401" s="36" t="str">
        <f t="shared" si="5"/>
        <v>GypcerosBlast</v>
      </c>
      <c r="F401" s="36" t="str">
        <f>IFERROR(
ROUNDUP(
IF(AND($U$5=FALSE,$U$4=FALSE),"-",IF(AND($U$5=TRUE,$U$4=TRUE),"-",
IF((AND($U$4=TRUE,$U$5=FALSE,$U$6=FALSE,$U$7=FALSE)),VLOOKUP($E401,'Status Thresholds'!$E:$AR,2,FALSE),IF((AND($U$4=TRUE,$U$5=FALSE,$U$6=TRUE,$U$7=FALSE)),VLOOKUP($E401,'Status Thresholds'!$E:$AR,12,FALSE),IF((AND($U$4=TRUE,$U$5=FALSE,$U$6=TRUE,$U$7=TRUE)),VLOOKUP($E401,'Status Thresholds'!$E:$AR,17,FALSE),IF((AND($U$4=TRUE,$U$5=FALSE,$U$6=FALSE,$U$7=TRUE)),VLOOKUP($E401,'Status Thresholds'!$E:$AR,7,FALSE),
IF((AND($U$4=FALSE,$U$5=TRUE,$U$6=FALSE,$U$7=FALSE)),VLOOKUP($E401,'Status Thresholds'!$E:$AR,22,FALSE),IF((AND($U$4=FALSE,$U$5=TRUE,$U$6=TRUE,$U$7=FALSE)),VLOOKUP($E401,'Status Thresholds'!$E:$AR,32,FALSE),IF((AND($U$4=FALSE,$U$5=TRUE,$U$6=TRUE,$U$7=TRUE)),VLOOKUP($E401,'Status Thresholds'!$E:$AR,37,FALSE),IF((AND($U$4=FALSE,$U$5=TRUE,$U$6=FALSE,$U$7=TRUE)),VLOOKUP($E401,'Status Thresholds'!$E:$AR,27,FALSE)))))))))
))/
IF(OR($X$5=TRUE,$AC$3=TRUE
),($F$7/2), IF(OR($X$2,$X$3,$X$4,$X$6,$X$7,$X$8,$Z$2,$Z$3,$Z$4,$Z$5,$Z$6,$Z$7,$Z$8)=TRUE,$F$7)),0),"-")</f>
        <v>-</v>
      </c>
      <c r="G401" s="36" t="str">
        <f>IFERROR(
ROUNDUP(
IF(AND($U$5=FALSE,$U$4=FALSE),"-",IF(AND($U$5=TRUE,$U$4=TRUE),"-",
IF((AND($U$4=TRUE,$U$5=FALSE,$U$6=FALSE,$U$7=FALSE)),VLOOKUP($E401,'Status Thresholds'!$E:$AR,3,FALSE),IF((AND($U$4=TRUE,$U$5=FALSE,$U$6=TRUE,$U$7=FALSE)),VLOOKUP($E401,'Status Thresholds'!$E:$AR,13,FALSE),IF((AND($U$4=TRUE,$U$5=FALSE,$U$6=TRUE,$U$7=TRUE)),VLOOKUP($E401,'Status Thresholds'!$E:$AR,18,FALSE),IF((AND($U$4=TRUE,$U$5=FALSE,$U$6=FALSE,$U$7=TRUE)),VLOOKUP($E401,'Status Thresholds'!$E:$AR,8,FALSE),
IF((AND($U$4=FALSE,$U$5=TRUE,$U$6=FALSE,$U$7=FALSE)),VLOOKUP($E401,'Status Thresholds'!$E:$AR,23,FALSE),IF((AND($U$4=FALSE,$U$5=TRUE,$U$6=TRUE,$U$7=FALSE)),VLOOKUP($E401,'Status Thresholds'!$E:$AR,33,FALSE),IF((AND($U$4=FALSE,$U$5=TRUE,$U$6=TRUE,$U$7=TRUE)),VLOOKUP($E401,'Status Thresholds'!$E:$AR,38,FALSE),IF((AND($U$4=FALSE,$U$5=TRUE,$U$6=FALSE,$U$7=TRUE)),VLOOKUP($E401,'Status Thresholds'!$E:$AR,28,FALSE)))))))))
))/
IF(OR($X$5=TRUE,$AC$3=TRUE
),($F$7/2), IF(OR($X$2,$X$3,$X$4,$X$6,$X$7,$X$8,$Z$2,$Z$3,$Z$4,$Z$5,$Z$6,$Z$7,$Z$8)=TRUE,$F$7)),0),"-")</f>
        <v>-</v>
      </c>
      <c r="H401" s="36" t="str">
        <f>IFERROR(
ROUNDUP(
IF(AND($U$5=FALSE,$U$4=FALSE),"-",IF(AND($U$5=TRUE,$U$4=TRUE),"-",
IF((AND($U$4=TRUE,$U$5=FALSE,$U$6=FALSE,$U$7=FALSE)),VLOOKUP($E401,'Status Thresholds'!$E:$AR,4,FALSE),IF((AND($U$4=TRUE,$U$5=FALSE,$U$6=TRUE,$U$7=FALSE)),VLOOKUP($E401,'Status Thresholds'!$E:$AR,14,FALSE),IF((AND($U$4=TRUE,$U$5=FALSE,$U$6=TRUE,$U$7=TRUE)),VLOOKUP($E401,'Status Thresholds'!$E:$AR,19,FALSE),IF((AND($U$4=TRUE,$U$5=FALSE,$U$6=FALSE,$U$7=TRUE)),VLOOKUP($E401,'Status Thresholds'!$E:$AR,9,FALSE),
IF((AND($U$4=FALSE,$U$5=TRUE,$U$6=FALSE,$U$7=FALSE)),VLOOKUP($E401,'Status Thresholds'!$E:$AR,24,FALSE),IF((AND($U$4=FALSE,$U$5=TRUE,$U$6=TRUE,$U$7=FALSE)),VLOOKUP($E401,'Status Thresholds'!$E:$AR,34,FALSE),IF((AND($U$4=FALSE,$U$5=TRUE,$U$6=TRUE,$U$7=TRUE)),VLOOKUP($E401,'Status Thresholds'!$E:$AR,39,FALSE),IF((AND($U$4=FALSE,$U$5=TRUE,$U$6=FALSE,$U$7=TRUE)),VLOOKUP($E401,'Status Thresholds'!$E:$AR,29,FALSE)))))))))
))/
IF(OR($X$5=TRUE,$AC$3=TRUE
),($F$7/2), IF(OR($X$2,$X$3,$X$4,$X$6,$X$7,$X$8,$Z$2,$Z$3,$Z$4,$Z$5,$Z$6,$Z$7,$Z$8)=TRUE,$F$7)),0),"-")</f>
        <v>-</v>
      </c>
      <c r="I401" s="36" t="str">
        <f>IFERROR(
ROUNDUP(
IF(AND($U$5=FALSE,$U$4=FALSE),"-",IF(AND($U$5=TRUE,$U$4=TRUE),"-",
IF((AND($U$4=TRUE,$U$5=FALSE,$U$6=FALSE,$U$7=FALSE)),VLOOKUP($E401,'Status Thresholds'!$E:$AR,5,FALSE),IF((AND($U$4=TRUE,$U$5=FALSE,$U$6=TRUE,$U$7=FALSE)),VLOOKUP($E401,'Status Thresholds'!$E:$AR,15,FALSE),IF((AND($U$4=TRUE,$U$5=FALSE,$U$6=TRUE,$U$7=TRUE)),VLOOKUP($E401,'Status Thresholds'!$E:$AR,20,FALSE),IF((AND($U$4=TRUE,$U$5=FALSE,$U$6=FALSE,$U$7=TRUE)),VLOOKUP($E401,'Status Thresholds'!$E:$AR,10,FALSE),
IF((AND($U$4=FALSE,$U$5=TRUE,$U$6=FALSE,$U$7=FALSE)),VLOOKUP($E401,'Status Thresholds'!$E:$AR,25,FALSE),IF((AND($U$4=FALSE,$U$5=TRUE,$U$6=TRUE,$U$7=FALSE)),VLOOKUP($E401,'Status Thresholds'!$E:$AR,35,FALSE),IF((AND($U$4=FALSE,$U$5=TRUE,$U$6=TRUE,$U$7=TRUE)),VLOOKUP($E401,'Status Thresholds'!$E:$AR,40,FALSE),IF((AND($U$4=FALSE,$U$5=TRUE,$U$6=FALSE,$U$7=TRUE)),VLOOKUP($E401,'Status Thresholds'!$E:$AR,30,FALSE)))))))))
))/
IF(OR($X$5=TRUE,$AC$3=TRUE
),($F$7/2), IF(OR($X$2,$X$3,$X$4,$X$6,$X$7,$X$8,$Z$2,$Z$3,$Z$4,$Z$5,$Z$6,$Z$7,$Z$8)=TRUE,$F$7)),0),"-")</f>
        <v>-</v>
      </c>
      <c r="J401" s="46">
        <f>IFERROR(IF(AND($U$5=FALSE,$U$4=FALSE),"-",VLOOKUP($E401,'Status Thresholds'!$E:$AU,41,FALSE)),"-")</f>
        <v>0</v>
      </c>
      <c r="K401" s="46" t="str">
        <f>IFERROR(IF(AND($U$5=FALSE,$U$4=FALSE),"-",VLOOKUP($E401,'Status Thresholds'!$E:$AU,42,FALSE)),"-")</f>
        <v>-</v>
      </c>
      <c r="L401" s="46" t="str">
        <f>IFERROR(IF(AND($U$5=FALSE,$U$4=FALSE),"-",VLOOKUP($E401,'Status Thresholds'!$E:$AU,43,FALSE)),"-")</f>
        <v>-</v>
      </c>
    </row>
    <row r="402" spans="1:12" ht="14.45" customHeight="1" x14ac:dyDescent="0.25">
      <c r="A402" s="35"/>
      <c r="B402" s="64" t="str">
        <f>VLOOKUP(C402,'Status Thresholds'!B:C,2,FALSE)</f>
        <v>MHGen</v>
      </c>
      <c r="C402" s="64" t="str">
        <f>IF('Status Thresholds'!B397=0, "", 'Status Thresholds'!B397)</f>
        <v>Gypceros</v>
      </c>
      <c r="D402" s="34" t="s">
        <v>14</v>
      </c>
      <c r="E402" s="36" t="str">
        <f t="shared" si="5"/>
        <v>GypcerosKO</v>
      </c>
      <c r="F402" s="36" t="s">
        <v>214</v>
      </c>
      <c r="G402" s="36" t="s">
        <v>214</v>
      </c>
      <c r="H402" s="36" t="s">
        <v>214</v>
      </c>
      <c r="I402" s="36" t="s">
        <v>214</v>
      </c>
      <c r="J402" s="46">
        <f>IFERROR(IF(AND($U$5=FALSE,$U$4=FALSE),"-",VLOOKUP($E402,'Status Thresholds'!$E:$AU,41,FALSE)),"-")</f>
        <v>10</v>
      </c>
      <c r="K402" s="46" t="str">
        <f>IFERROR(IF(AND($U$5=FALSE,$U$4=FALSE),"-",VLOOKUP($E402,'Status Thresholds'!$E:$AU,42,FALSE)),"-")</f>
        <v>-</v>
      </c>
      <c r="L402" s="46" t="str">
        <f>IFERROR(IF(AND($U$5=FALSE,$U$4=FALSE),"-",VLOOKUP($E402,'Status Thresholds'!$E:$AU,43,FALSE)),"-")</f>
        <v>-</v>
      </c>
    </row>
    <row r="403" spans="1:12" x14ac:dyDescent="0.25">
      <c r="A403" s="35"/>
      <c r="B403" s="64" t="str">
        <f>VLOOKUP(C403,'Status Thresholds'!B:C,2,FALSE)</f>
        <v>MHGen</v>
      </c>
      <c r="C403" s="64" t="str">
        <f>IF('Status Thresholds'!B398=0, "", 'Status Thresholds'!B398)</f>
        <v>Gypceros</v>
      </c>
      <c r="D403" s="33" t="s">
        <v>34</v>
      </c>
      <c r="E403" s="36" t="str">
        <f t="shared" si="5"/>
        <v>GypcerosMount</v>
      </c>
      <c r="F403" s="36" t="str">
        <f>IFERROR(
ROUNDUP(
IF(AND($U$5=FALSE,$U$4=FALSE),"-",IF(AND($U$5=TRUE,$U$4=TRUE),"-",
IF((AND($U$4=TRUE,$U$5=FALSE,$U$6=FALSE,$U$7=FALSE)),VLOOKUP($E403,'Status Thresholds'!$E:$AR,2,FALSE),IF((AND($U$4=TRUE,$U$5=FALSE,$U$6=TRUE,$U$7=FALSE)),VLOOKUP($E403,'Status Thresholds'!$E:$AR,12,FALSE),IF((AND($U$4=TRUE,$U$5=FALSE,$U$6=TRUE,$U$7=TRUE)),VLOOKUP($E403,'Status Thresholds'!$E:$AR,17,FALSE),IF((AND($U$4=TRUE,$U$5=FALSE,$U$6=FALSE,$U$7=TRUE)),VLOOKUP($E403,'Status Thresholds'!$E:$AR,7,FALSE),
IF((AND($U$4=FALSE,$U$5=TRUE,$U$6=FALSE,$U$7=FALSE)),VLOOKUP($E403,'Status Thresholds'!$E:$AR,22,FALSE),IF((AND($U$4=FALSE,$U$5=TRUE,$U$6=TRUE,$U$7=FALSE)),VLOOKUP($E403,'Status Thresholds'!$E:$AR,32,FALSE),IF((AND($U$4=FALSE,$U$5=TRUE,$U$6=TRUE,$U$7=TRUE)),VLOOKUP($E403,'Status Thresholds'!$E:$AR,37,FALSE),IF((AND($U$4=FALSE,$U$5=TRUE,$U$6=FALSE,$U$7=TRUE)),VLOOKUP($E403,'Status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403" s="36" t="str">
        <f>IFERROR(
ROUNDUP(
IF(AND($U$5=FALSE,$U$4=FALSE),"-",IF(AND($U$5=TRUE,$U$4=TRUE),"-",
IF((AND($U$4=TRUE,$U$5=FALSE,$U$6=FALSE,$U$7=FALSE)),VLOOKUP($E402,'Status Thresholds'!$E:$AR,3,FALSE),IF((AND($U$4=TRUE,$U$5=FALSE,$U$6=TRUE,$U$7=FALSE)),VLOOKUP($E402,'Status Thresholds'!$E:$AR,13,FALSE),IF((AND($U$4=TRUE,$U$5=FALSE,$U$6=TRUE,$U$7=TRUE)),VLOOKUP($E402,'Status Thresholds'!$E:$AR,18,FALSE),IF((AND($U$4=TRUE,$U$5=FALSE,$U$6=FALSE,$U$7=TRUE)),VLOOKUP($E402,'Status Thresholds'!$E:$AR,8,FALSE),
IF((AND($U$4=FALSE,$U$5=TRUE,$U$6=FALSE,$U$7=FALSE)),VLOOKUP($E402,'Status Thresholds'!$E:$AR,23,FALSE),IF((AND($U$4=FALSE,$U$5=TRUE,$U$6=TRUE,$U$7=FALSE)),VLOOKUP($E402,'Status Thresholds'!$E:$AR,33,FALSE),IF((AND($U$4=FALSE,$U$5=TRUE,$U$6=TRUE,$U$7=TRUE)),VLOOKUP($E402,'Status Thresholds'!$E:$AR,38,FALSE),IF((AND($U$4=FALSE,$U$5=TRUE,$U$6=FALSE,$U$7=TRUE)),VLOOKUP($E402,'Status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403" s="36" t="str">
        <f>IFERROR(
ROUNDUP(
IF(AND($U$5=FALSE,$U$4=FALSE),"-",IF(AND($U$5=TRUE,$U$4=TRUE),"-",
IF((AND($U$4=TRUE,$U$5=FALSE,$U$6=FALSE,$U$7=FALSE)),VLOOKUP($E402,'Status Thresholds'!$E:$AR,4,FALSE),IF((AND($U$4=TRUE,$U$5=FALSE,$U$6=TRUE,$U$7=FALSE)),VLOOKUP($E402,'Status Thresholds'!$E:$AR,14,FALSE),IF((AND($U$4=TRUE,$U$5=FALSE,$U$6=TRUE,$U$7=TRUE)),VLOOKUP($E402,'Status Thresholds'!$E:$AR,19,FALSE),IF((AND($U$4=TRUE,$U$5=FALSE,$U$6=FALSE,$U$7=TRUE)),VLOOKUP($E402,'Status Thresholds'!$E:$AR,9,FALSE),
IF((AND($U$4=FALSE,$U$5=TRUE,$U$6=FALSE,$U$7=FALSE)),VLOOKUP($E402,'Status Thresholds'!$E:$AR,24,FALSE),IF((AND($U$4=FALSE,$U$5=TRUE,$U$6=TRUE,$U$7=FALSE)),VLOOKUP($E402,'Status Thresholds'!$E:$AR,34,FALSE),IF((AND($U$4=FALSE,$U$5=TRUE,$U$6=TRUE,$U$7=TRUE)),VLOOKUP($E402,'Status Thresholds'!$E:$AR,39,FALSE),IF((AND($U$4=FALSE,$U$5=TRUE,$U$6=FALSE,$U$7=TRUE)),VLOOKUP($E402,'Status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403" s="36" t="str">
        <f>IFERROR(
ROUNDUP(
IF(AND($U$5=FALSE,$U$4=FALSE),"-",IF(AND($U$5=TRUE,$U$4=TRUE),"-",
IF((AND($U$4=TRUE,$U$5=FALSE,$U$6=FALSE,$U$7=FALSE)),VLOOKUP($E402,'Status Thresholds'!$E:$AR,5,FALSE),IF((AND($U$4=TRUE,$U$5=FALSE,$U$6=TRUE,$U$7=FALSE)),VLOOKUP($E402,'Status Thresholds'!$E:$AR,15,FALSE),IF((AND($U$4=TRUE,$U$5=FALSE,$U$6=TRUE,$U$7=TRUE)),VLOOKUP($E402,'Status Thresholds'!$E:$AR,20,FALSE),IF((AND($U$4=TRUE,$U$5=FALSE,$U$6=FALSE,$U$7=TRUE)),VLOOKUP($E402,'Status Thresholds'!$E:$AR,10,FALSE),
IF((AND($U$4=FALSE,$U$5=TRUE,$U$6=FALSE,$U$7=FALSE)),VLOOKUP($E402,'Status Thresholds'!$E:$AR,25,FALSE),IF((AND($U$4=FALSE,$U$5=TRUE,$U$6=TRUE,$U$7=FALSE)),VLOOKUP($E402,'Status Thresholds'!$E:$AR,35,FALSE),IF((AND($U$4=FALSE,$U$5=TRUE,$U$6=TRUE,$U$7=TRUE)),VLOOKUP($E402,'Status Thresholds'!$E:$AR,40,FALSE),IF((AND($U$4=FALSE,$U$5=TRUE,$U$6=FALSE,$U$7=TRUE)),VLOOKUP($E402,'Status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403" s="46">
        <f>IFERROR(IF(AND($U$5=FALSE,$U$4=FALSE),"-",VLOOKUP($E403,'Status Thresholds'!$E:$AU,41,FALSE)),"-")</f>
        <v>0</v>
      </c>
      <c r="K403" s="46" t="str">
        <f>IFERROR(IF(AND($U$5=FALSE,$U$4=FALSE),"-",VLOOKUP($E403,'Status Thresholds'!$E:$AU,42,FALSE)),"-")</f>
        <v>-</v>
      </c>
      <c r="L403" s="46" t="str">
        <f>IFERROR(IF(AND($U$5=FALSE,$U$4=FALSE),"-",VLOOKUP($E403,'Status Thresholds'!$E:$AU,43,FALSE)),"-")</f>
        <v>-</v>
      </c>
    </row>
    <row r="404" spans="1:12" ht="15" customHeight="1" x14ac:dyDescent="0.25">
      <c r="A404" s="35"/>
      <c r="B404" s="64" t="str">
        <f>VLOOKUP(C404,'Status Thresholds'!B:C,2,FALSE)</f>
        <v>MHGen</v>
      </c>
      <c r="C404" s="64" t="str">
        <f>IF('Status Thresholds'!B399=0, "", 'Status Thresholds'!B399)</f>
        <v>Gypceros</v>
      </c>
      <c r="D404" s="77" t="s">
        <v>207</v>
      </c>
      <c r="E404" s="36" t="str">
        <f t="shared" si="5"/>
        <v>GypcerosShock Trap</v>
      </c>
      <c r="F404" s="76" t="s">
        <v>214</v>
      </c>
      <c r="G404" s="46" t="s">
        <v>214</v>
      </c>
      <c r="H404" s="46" t="s">
        <v>214</v>
      </c>
      <c r="I404" s="46" t="s">
        <v>214</v>
      </c>
      <c r="J404" s="46">
        <f>IFERROR(IF(AND($U$5=FALSE,$U$4=FALSE),"-",VLOOKUP($E404,'Status Thresholds'!$E:$AU,43,FALSE)),"-")</f>
        <v>0</v>
      </c>
      <c r="K404" s="46">
        <f>IFERROR(IF(AND($U$5=FALSE,$U$4=FALSE),"-",VLOOKUP($E404,'Status Thresholds'!$E:$AU,41,FALSE)),"-")</f>
        <v>0</v>
      </c>
      <c r="L404" s="46">
        <f>IFERROR(IF(AND($U$5=FALSE,$U$4=FALSE),"-",VLOOKUP($E404,'Status Thresholds'!$E:$AU,42,FALSE)),"-")</f>
        <v>0</v>
      </c>
    </row>
    <row r="405" spans="1:12" x14ac:dyDescent="0.25">
      <c r="A405" s="35"/>
      <c r="B405" s="64" t="str">
        <f>VLOOKUP(C405,'Status Thresholds'!B:C,2,FALSE)</f>
        <v>MHGen</v>
      </c>
      <c r="C405" s="64" t="str">
        <f>IF('Status Thresholds'!B400=0, "", 'Status Thresholds'!B400)</f>
        <v>Gypceros</v>
      </c>
      <c r="D405" s="77" t="s">
        <v>213</v>
      </c>
      <c r="E405" s="36" t="str">
        <f t="shared" si="5"/>
        <v>GypcerosPitfall Trap</v>
      </c>
      <c r="F405" s="46" t="s">
        <v>214</v>
      </c>
      <c r="G405" s="46" t="s">
        <v>214</v>
      </c>
      <c r="H405" s="46" t="s">
        <v>214</v>
      </c>
      <c r="I405" s="46" t="s">
        <v>214</v>
      </c>
      <c r="J405" s="46">
        <f>IFERROR(IF(AND($U$5=FALSE,$U$4=FALSE),"-",VLOOKUP($E405,'Status Thresholds'!$E:$AU,43,FALSE)),"-")</f>
        <v>12</v>
      </c>
      <c r="K405" s="46">
        <f>IFERROR(IF(AND($U$5=FALSE,$U$4=FALSE),"-",VLOOKUP($E405,'Status Thresholds'!$E:$AU,41,FALSE)),"-")</f>
        <v>12</v>
      </c>
      <c r="L405" s="46">
        <f>IFERROR(IF(AND($U$5=FALSE,$U$4=FALSE),"-",VLOOKUP($E405,'Status Thresholds'!$E:$AU,42,FALSE)),"-")</f>
        <v>25</v>
      </c>
    </row>
    <row r="406" spans="1:12" s="36" customFormat="1" hidden="1" x14ac:dyDescent="0.25">
      <c r="A406" s="64"/>
      <c r="B406" s="64" t="str">
        <f>IF('Status Thresholds'!A401=0, "", 'Status Thresholds'!A401)</f>
        <v>Deviant</v>
      </c>
      <c r="C406" s="64" t="str">
        <f>IF('Status Thresholds'!B401=0, "", 'Status Thresholds'!B401)</f>
        <v>Hellblade Glavenus</v>
      </c>
      <c r="D406" s="37" t="s">
        <v>0</v>
      </c>
      <c r="E406" s="36" t="str">
        <f t="shared" si="5"/>
        <v>Hellblade GlavenusPara</v>
      </c>
      <c r="F406" s="36" t="str">
        <f>IFERROR(
ROUNDUP(
IF(AND($U$5=FALSE,$U$4=FALSE),"-",IF(AND($U$5=TRUE,$U$4=TRUE),"-",
IF((AND($U$4=TRUE,$U$5=FALSE,$U$6=FALSE,$U$7=FALSE)),VLOOKUP($E406,'Status Thresholds'!$E:$AR,2,FALSE),IF((AND($U$4=TRUE,$U$5=FALSE,$U$6=TRUE,$U$7=FALSE)),VLOOKUP($E406,'Status Thresholds'!$E:$AR,12,FALSE),IF((AND($U$4=TRUE,$U$5=FALSE,$U$6=TRUE,$U$7=TRUE)),VLOOKUP($E406,'Status Thresholds'!$E:$AR,17,FALSE),IF((AND($U$4=TRUE,$U$5=FALSE,$U$6=FALSE,$U$7=TRUE)),VLOOKUP($E406,'Status Thresholds'!$E:$AR,7,FALSE),
IF((AND($U$4=FALSE,$U$5=TRUE,$U$6=FALSE,$U$7=FALSE)),VLOOKUP($E406,'Status Thresholds'!$E:$AR,22,FALSE),IF((AND($U$4=FALSE,$U$5=TRUE,$U$6=TRUE,$U$7=FALSE)),VLOOKUP($E406,'Status Thresholds'!$E:$AR,32,FALSE),IF((AND($U$4=FALSE,$U$5=TRUE,$U$6=TRUE,$U$7=TRUE)),VLOOKUP($E406,'Status Thresholds'!$E:$AR,37,FALSE),IF((AND($U$4=FALSE,$U$5=TRUE,$U$6=FALSE,$U$7=TRUE)),VLOOKUP($E406,'Status Thresholds'!$E:$AR,27,FALSE)))))))))
))/
IF(OR($X$5=TRUE,$AC$3=TRUE
),($F$3/2), IF(OR($X$2,$X$3,$X$4,$X$6,$X$7,$X$8,$Z$2,$Z$3,$Z$4,$Z$5,$Z$6,$Z$7,$Z$8)=TRUE,$F$3)),0),"-")</f>
        <v>-</v>
      </c>
      <c r="G406" s="36" t="str">
        <f>IFERROR(
ROUNDUP(
IF(AND($U$5=FALSE,$U$4=FALSE),"-",IF(AND($U$5=TRUE,$U$4=TRUE),"-",
IF((AND($U$4=TRUE,$U$5=FALSE,$U$6=FALSE,$U$7=FALSE)),VLOOKUP($E406,'Status Thresholds'!$E:$AR,3,FALSE),IF((AND($U$4=TRUE,$U$5=FALSE,$U$6=TRUE,$U$7=FALSE)),VLOOKUP($E406,'Status Thresholds'!$E:$AR,13,FALSE),IF((AND($U$4=TRUE,$U$5=FALSE,$U$6=TRUE,$U$7=TRUE)),VLOOKUP($E406,'Status Thresholds'!$E:$AR,18,FALSE),IF((AND($U$4=TRUE,$U$5=FALSE,$U$6=FALSE,$U$7=TRUE)),VLOOKUP($E406,'Status Thresholds'!$E:$AR,8,FALSE),
IF((AND($U$4=FALSE,$U$5=TRUE,$U$6=FALSE,$U$7=FALSE)),VLOOKUP($E406,'Status Thresholds'!$E:$AR,23,FALSE),IF((AND($U$4=FALSE,$U$5=TRUE,$U$6=TRUE,$U$7=FALSE)),VLOOKUP($E406,'Status Thresholds'!$E:$AR,33,FALSE),IF((AND($U$4=FALSE,$U$5=TRUE,$U$6=TRUE,$U$7=TRUE)),VLOOKUP($E406,'Status Thresholds'!$E:$AR,38,FALSE),IF((AND($U$4=FALSE,$U$5=TRUE,$U$6=FALSE,$U$7=TRUE)),VLOOKUP($E406,'Status Thresholds'!$E:$AR,28,FALSE)))))))))
))/
IF(OR($X$5=TRUE,$AC$3=TRUE
),($F$3/2), IF(OR($X$2,$X$3,$X$4,$X$6,$X$7,$X$8,$Z$2,$Z$3,$Z$4,$Z$5,$Z$6,$Z$7,$Z$8)=TRUE,$F$3)),0),"-")</f>
        <v>-</v>
      </c>
      <c r="H406" s="36" t="str">
        <f>IFERROR(
ROUNDUP(
IF(AND($U$5=FALSE,$U$4=FALSE),"-",IF(AND($U$5=TRUE,$U$4=TRUE),"-",
IF((AND($U$4=TRUE,$U$5=FALSE,$U$6=FALSE,$U$7=FALSE)),VLOOKUP($E406,'Status Thresholds'!$E:$AR,4,FALSE),IF((AND($U$4=TRUE,$U$5=FALSE,$U$6=TRUE,$U$7=FALSE)),VLOOKUP($E406,'Status Thresholds'!$E:$AR,14,FALSE),IF((AND($U$4=TRUE,$U$5=FALSE,$U$6=TRUE,$U$7=TRUE)),VLOOKUP($E406,'Status Thresholds'!$E:$AR,19,FALSE),IF((AND($U$4=TRUE,$U$5=FALSE,$U$6=FALSE,$U$7=TRUE)),VLOOKUP($E406,'Status Thresholds'!$E:$AR,9,FALSE),
IF((AND($U$4=FALSE,$U$5=TRUE,$U$6=FALSE,$U$7=FALSE)),VLOOKUP($E406,'Status Thresholds'!$E:$AR,24,FALSE),IF((AND($U$4=FALSE,$U$5=TRUE,$U$6=TRUE,$U$7=FALSE)),VLOOKUP($E406,'Status Thresholds'!$E:$AR,34,FALSE),IF((AND($U$4=FALSE,$U$5=TRUE,$U$6=TRUE,$U$7=TRUE)),VLOOKUP($E406,'Status Thresholds'!$E:$AR,39,FALSE),IF((AND($U$4=FALSE,$U$5=TRUE,$U$6=FALSE,$U$7=TRUE)),VLOOKUP($E406,'Status Thresholds'!$E:$AR,29,FALSE)))))))))
))/
IF(OR($X$5=TRUE,$AC$3=TRUE
),($F$3/2), IF(OR($X$2,$X$3,$X$4,$X$6,$X$7,$X$8,$Z$2,$Z$3,$Z$4,$Z$5,$Z$6,$Z$7,$Z$8)=TRUE,$F$3)),0),"-")</f>
        <v>-</v>
      </c>
      <c r="I406" s="36" t="str">
        <f>IFERROR(
ROUNDUP(
IF(AND($U$5=FALSE,$U$4=FALSE),"-",IF(AND($U$5=TRUE,$U$4=TRUE),"-",
IF((AND($U$4=TRUE,$U$5=FALSE,$U$6=FALSE,$U$7=FALSE)),VLOOKUP($E406,'Status Thresholds'!$E:$AR,5,FALSE),IF((AND($U$4=TRUE,$U$5=FALSE,$U$6=TRUE,$U$7=FALSE)),VLOOKUP($E406,'Status Thresholds'!$E:$AR,15,FALSE),IF((AND($U$4=TRUE,$U$5=FALSE,$U$6=TRUE,$U$7=TRUE)),VLOOKUP($E406,'Status Thresholds'!$E:$AR,20,FALSE),IF((AND($U$4=TRUE,$U$5=FALSE,$U$6=FALSE,$U$7=TRUE)),VLOOKUP($E406,'Status Thresholds'!$E:$AR,10,FALSE),
IF((AND($U$4=FALSE,$U$5=TRUE,$U$6=FALSE,$U$7=FALSE)),VLOOKUP($E406,'Status Thresholds'!$E:$AR,25,FALSE),IF((AND($U$4=FALSE,$U$5=TRUE,$U$6=TRUE,$U$7=FALSE)),VLOOKUP($E406,'Status Thresholds'!$E:$AR,35,FALSE),IF((AND($U$4=FALSE,$U$5=TRUE,$U$6=TRUE,$U$7=TRUE)),VLOOKUP($E406,'Status Thresholds'!$E:$AR,40,FALSE),IF((AND($U$4=FALSE,$U$5=TRUE,$U$6=FALSE,$U$7=TRUE)),VLOOKUP($E406,'Status Thresholds'!$E:$AR,30,FALSE)))))))))
))/
IF(OR($X$5=TRUE,$AC$3=TRUE
),($F$3/2), IF(OR($X$2,$X$3,$X$4,$X$6,$X$7,$X$8,$Z$2,$Z$3,$Z$4,$Z$5,$Z$6,$Z$7,$Z$8)=TRUE,$F$3)),0),"-")</f>
        <v>-</v>
      </c>
      <c r="J406" s="36">
        <f>IFERROR(IF(AND($U$5=FALSE,$U$4=FALSE),"-",VLOOKUP($E406,'Status Thresholds'!$E:$AU,41,FALSE)),"-")</f>
        <v>12</v>
      </c>
      <c r="K406" s="36" t="str">
        <f>IFERROR(IF(AND($U$5=FALSE,$U$4=FALSE),"-",VLOOKUP($E406,'Status Thresholds'!$E:$AU,42,FALSE)),"-")</f>
        <v>-</v>
      </c>
      <c r="L406" s="36" t="str">
        <f>IFERROR(IF(AND($U$5=FALSE,$U$4=FALSE),"-",VLOOKUP($E406,'Status Thresholds'!$E:$AU,43,FALSE)),"-")</f>
        <v>-</v>
      </c>
    </row>
    <row r="407" spans="1:12" hidden="1" x14ac:dyDescent="0.25">
      <c r="A407" s="35"/>
      <c r="B407" s="64" t="str">
        <f>IF('Status Thresholds'!A402=0, "", 'Status Thresholds'!A402)</f>
        <v>Deviant</v>
      </c>
      <c r="C407" s="64" t="str">
        <f>IF('Status Thresholds'!B402=0, "", 'Status Thresholds'!B402)</f>
        <v>Hellblade Glavenus</v>
      </c>
      <c r="D407" s="31" t="s">
        <v>32</v>
      </c>
      <c r="E407" s="36" t="str">
        <f t="shared" si="5"/>
        <v>Hellblade GlavenusSleep</v>
      </c>
      <c r="F407" s="36" t="str">
        <f>IFERROR(
ROUNDUP(
IF(AND($U$5=FALSE,$U$4=FALSE),"-",IF(AND($U$5=TRUE,$U$4=TRUE),"-",
IF((AND($U$4=TRUE,$U$5=FALSE,$U$6=FALSE,$U$7=FALSE)),VLOOKUP($E407,'Status Thresholds'!$E:$AR,2,FALSE),IF((AND($U$4=TRUE,$U$5=FALSE,$U$6=TRUE,$U$7=FALSE)),VLOOKUP($E407,'Status Thresholds'!$E:$AR,12,FALSE),IF((AND($U$4=TRUE,$U$5=FALSE,$U$6=TRUE,$U$7=TRUE)),VLOOKUP($E407,'Status Thresholds'!$E:$AR,17,FALSE),IF((AND($U$4=TRUE,$U$5=FALSE,$U$6=FALSE,$U$7=TRUE)),VLOOKUP($E407,'Status Thresholds'!$E:$AR,7,FALSE),
IF((AND($U$4=FALSE,$U$5=TRUE,$U$6=FALSE,$U$7=FALSE)),VLOOKUP($E407,'Status Thresholds'!$E:$AR,22,FALSE),IF((AND($U$4=FALSE,$U$5=TRUE,$U$6=TRUE,$U$7=FALSE)),VLOOKUP($E407,'Status Thresholds'!$E:$AR,32,FALSE),IF((AND($U$4=FALSE,$U$5=TRUE,$U$6=TRUE,$U$7=TRUE)),VLOOKUP($E407,'Status Thresholds'!$E:$AR,37,FALSE),IF((AND($U$4=FALSE,$U$5=TRUE,$U$6=FALSE,$U$7=TRUE)),VLOOKUP($E407,'Status Thresholds'!$E:$AR,27,FALSE)))))))))
))/
IF(OR($X$5=TRUE,$AC$3=TRUE
),($F$4/2), IF(OR($X$2,$X$3,$X$4,$X$6,$X$7,$X$8,$Z$2,$Z$3,$Z$4,$Z$5,$Z$6,$Z$7,$Z$8)=TRUE,$F$4)),0),"-")</f>
        <v>-</v>
      </c>
      <c r="G407" s="36" t="str">
        <f>IFERROR(
ROUNDUP(
IF(AND($U$5=FALSE,$U$4=FALSE),"-",IF(AND($U$5=TRUE,$U$4=TRUE),"-",
IF((AND($U$4=TRUE,$U$5=FALSE,$U$6=FALSE,$U$7=FALSE)),VLOOKUP($E407,'Status Thresholds'!$E:$AR,3,FALSE),IF((AND($U$4=TRUE,$U$5=FALSE,$U$6=TRUE,$U$7=FALSE)),VLOOKUP($E407,'Status Thresholds'!$E:$AR,13,FALSE),IF((AND($U$4=TRUE,$U$5=FALSE,$U$6=TRUE,$U$7=TRUE)),VLOOKUP($E407,'Status Thresholds'!$E:$AR,18,FALSE),IF((AND($U$4=TRUE,$U$5=FALSE,$U$6=FALSE,$U$7=TRUE)),VLOOKUP($E407,'Status Thresholds'!$E:$AR,8,FALSE),
IF((AND($U$4=FALSE,$U$5=TRUE,$U$6=FALSE,$U$7=FALSE)),VLOOKUP($E407,'Status Thresholds'!$E:$AR,23,FALSE),IF((AND($U$4=FALSE,$U$5=TRUE,$U$6=TRUE,$U$7=FALSE)),VLOOKUP($E407,'Status Thresholds'!$E:$AR,33,FALSE),IF((AND($U$4=FALSE,$U$5=TRUE,$U$6=TRUE,$U$7=TRUE)),VLOOKUP($E407,'Status Thresholds'!$E:$AR,38,FALSE),IF((AND($U$4=FALSE,$U$5=TRUE,$U$6=FALSE,$U$7=TRUE)),VLOOKUP($E407,'Status Thresholds'!$E:$AR,28,FALSE)))))))))
))/
IF(OR($X$5=TRUE,$AC$3=TRUE
),($F$4/2), IF(OR($X$2,$X$3,$X$4,$X$6,$X$7,$X$8,$Z$2,$Z$3,$Z$4,$Z$5,$Z$6,$Z$7,$Z$8)=TRUE,$F$4)),0),"-")</f>
        <v>-</v>
      </c>
      <c r="H407" s="36" t="str">
        <f>IFERROR(
ROUNDUP(
IF(AND($U$5=FALSE,$U$4=FALSE),"-",IF(AND($U$5=TRUE,$U$4=TRUE),"-",
IF((AND($U$4=TRUE,$U$5=FALSE,$U$6=FALSE,$U$7=FALSE)),VLOOKUP($E407,'Status Thresholds'!$E:$AR,4,FALSE),IF((AND($U$4=TRUE,$U$5=FALSE,$U$6=TRUE,$U$7=FALSE)),VLOOKUP($E407,'Status Thresholds'!$E:$AR,14,FALSE),IF((AND($U$4=TRUE,$U$5=FALSE,$U$6=TRUE,$U$7=TRUE)),VLOOKUP($E407,'Status Thresholds'!$E:$AR,19,FALSE),IF((AND($U$4=TRUE,$U$5=FALSE,$U$6=FALSE,$U$7=TRUE)),VLOOKUP($E407,'Status Thresholds'!$E:$AR,9,FALSE),
IF((AND($U$4=FALSE,$U$5=TRUE,$U$6=FALSE,$U$7=FALSE)),VLOOKUP($E407,'Status Thresholds'!$E:$AR,24,FALSE),IF((AND($U$4=FALSE,$U$5=TRUE,$U$6=TRUE,$U$7=FALSE)),VLOOKUP($E407,'Status Thresholds'!$E:$AR,34,FALSE),IF((AND($U$4=FALSE,$U$5=TRUE,$U$6=TRUE,$U$7=TRUE)),VLOOKUP($E407,'Status Thresholds'!$E:$AR,39,FALSE),IF((AND($U$4=FALSE,$U$5=TRUE,$U$6=FALSE,$U$7=TRUE)),VLOOKUP($E407,'Status Thresholds'!$E:$AR,29,FALSE)))))))))
))/
IF(OR($X$5=TRUE,$AC$3=TRUE
),($F$4/2), IF(OR($X$2,$X$3,$X$4,$X$6,$X$7,$X$8,$Z$2,$Z$3,$Z$4,$Z$5,$Z$6,$Z$7,$Z$8)=TRUE,$F$4)),0),"-")</f>
        <v>-</v>
      </c>
      <c r="I407" s="36" t="str">
        <f>IFERROR(
ROUNDUP(
IF(AND($U$5=FALSE,$U$4=FALSE),"-",IF(AND($U$5=TRUE,$U$4=TRUE),"-",
IF((AND($U$4=TRUE,$U$5=FALSE,$U$6=FALSE,$U$7=FALSE)),VLOOKUP($E407,'Status Thresholds'!$E:$AR,5,FALSE),IF((AND($U$4=TRUE,$U$5=FALSE,$U$6=TRUE,$U$7=FALSE)),VLOOKUP($E407,'Status Thresholds'!$E:$AR,15,FALSE),IF((AND($U$4=TRUE,$U$5=FALSE,$U$6=TRUE,$U$7=TRUE)),VLOOKUP($E407,'Status Thresholds'!$E:$AR,20,FALSE),IF((AND($U$4=TRUE,$U$5=FALSE,$U$6=FALSE,$U$7=TRUE)),VLOOKUP($E407,'Status Thresholds'!$E:$AR,10,FALSE),
IF((AND($U$4=FALSE,$U$5=TRUE,$U$6=FALSE,$U$7=FALSE)),VLOOKUP($E407,'Status Thresholds'!$E:$AR,25,FALSE),IF((AND($U$4=FALSE,$U$5=TRUE,$U$6=TRUE,$U$7=FALSE)),VLOOKUP($E407,'Status Thresholds'!$E:$AR,35,FALSE),IF((AND($U$4=FALSE,$U$5=TRUE,$U$6=TRUE,$U$7=TRUE)),VLOOKUP($E407,'Status Thresholds'!$E:$AR,40,FALSE),IF((AND($U$4=FALSE,$U$5=TRUE,$U$6=FALSE,$U$7=TRUE)),VLOOKUP($E407,'Status Thresholds'!$E:$AR,30,FALSE)))))))))
))/
IF(OR($X$5=TRUE,$AC$3=TRUE
),($F$4/2), IF(OR($X$2,$X$3,$X$4,$X$6,$X$7,$X$8,$Z$2,$Z$3,$Z$4,$Z$5,$Z$6,$Z$7,$Z$8)=TRUE,$F$4)),0),"-")</f>
        <v>-</v>
      </c>
      <c r="J407" s="46">
        <f>IFERROR(IF(AND($U$5=FALSE,$U$4=FALSE),"-",VLOOKUP($E407,'Status Thresholds'!$E:$AU,41,FALSE)),"-")</f>
        <v>60</v>
      </c>
      <c r="K407" s="46" t="str">
        <f>IFERROR(IF(AND($U$5=FALSE,$U$4=FALSE),"-",VLOOKUP($E407,'Status Thresholds'!$E:$AU,42,FALSE)),"-")</f>
        <v>-</v>
      </c>
      <c r="L407" s="46" t="str">
        <f>IFERROR(IF(AND($U$5=FALSE,$U$4=FALSE),"-",VLOOKUP($E407,'Status Thresholds'!$E:$AU,43,FALSE)),"-")</f>
        <v>-</v>
      </c>
    </row>
    <row r="408" spans="1:12" hidden="1" x14ac:dyDescent="0.25">
      <c r="A408" s="35"/>
      <c r="B408" s="64" t="str">
        <f>IF('Status Thresholds'!A403=0, "", 'Status Thresholds'!A403)</f>
        <v>Deviant</v>
      </c>
      <c r="C408" s="64" t="str">
        <f>IF('Status Thresholds'!B403=0, "", 'Status Thresholds'!B403)</f>
        <v>Hellblade Glavenus</v>
      </c>
      <c r="D408" s="32" t="s">
        <v>33</v>
      </c>
      <c r="E408" s="36" t="str">
        <f t="shared" si="5"/>
        <v>Hellblade GlavenusPoison</v>
      </c>
      <c r="F408" s="36" t="str">
        <f>IFERROR(
ROUNDUP(
IF(AND($U$5=FALSE,$U$4=FALSE),"-",IF(AND($U$5=TRUE,$U$4=TRUE),"-",
IF((AND($U$4=TRUE,$U$5=FALSE,$U$6=FALSE,$U$7=FALSE)),VLOOKUP($E408,'Status Thresholds'!$E:$AR,2,FALSE),IF((AND($U$4=TRUE,$U$5=FALSE,$U$6=TRUE,$U$7=FALSE)),VLOOKUP($E408,'Status Thresholds'!$E:$AR,12,FALSE),IF((AND($U$4=TRUE,$U$5=FALSE,$U$6=TRUE,$U$7=TRUE)),VLOOKUP($E408,'Status Thresholds'!$E:$AR,17,FALSE),IF((AND($U$4=TRUE,$U$5=FALSE,$U$6=FALSE,$U$7=TRUE)),VLOOKUP($E408,'Status Thresholds'!$E:$AR,7,FALSE),
IF((AND($U$4=FALSE,$U$5=TRUE,$U$6=FALSE,$U$7=FALSE)),VLOOKUP($E408,'Status Thresholds'!$E:$AR,22,FALSE),IF((AND($U$4=FALSE,$U$5=TRUE,$U$6=TRUE,$U$7=FALSE)),VLOOKUP($E408,'Status Thresholds'!$E:$AR,32,FALSE),IF((AND($U$4=FALSE,$U$5=TRUE,$U$6=TRUE,$U$7=TRUE)),VLOOKUP($E408,'Status Thresholds'!$E:$AR,37,FALSE),IF((AND($U$4=FALSE,$U$5=TRUE,$U$6=FALSE,$U$7=TRUE)),VLOOKUP($E408,'Status Thresholds'!$E:$AR,27,FALSE)))))))))
))/
IF(OR($X$5=TRUE,$AC$3=TRUE
),($F$5/2), IF(OR($X$2,$X$3,$X$4,$X$6,$X$7,$X$8,$Z$2,$Z$3,$Z$4,$Z$5,$Z$6,$Z$7,$Z$8)=TRUE,$F$5)),0),"-")</f>
        <v>-</v>
      </c>
      <c r="G408" s="36" t="str">
        <f>IFERROR(
ROUNDUP(
IF(AND($U$5=FALSE,$U$4=FALSE),"-",IF(AND($U$5=TRUE,$U$4=TRUE),"-",
IF((AND($U$4=TRUE,$U$5=FALSE,$U$6=FALSE,$U$7=FALSE)),VLOOKUP($E408,'Status Thresholds'!$E:$AR,3,FALSE),IF((AND($U$4=TRUE,$U$5=FALSE,$U$6=TRUE,$U$7=FALSE)),VLOOKUP($E408,'Status Thresholds'!$E:$AR,13,FALSE),IF((AND($U$4=TRUE,$U$5=FALSE,$U$6=TRUE,$U$7=TRUE)),VLOOKUP($E408,'Status Thresholds'!$E:$AR,18,FALSE),IF((AND($U$4=TRUE,$U$5=FALSE,$U$6=FALSE,$U$7=TRUE)),VLOOKUP($E408,'Status Thresholds'!$E:$AR,8,FALSE),
IF((AND($U$4=FALSE,$U$5=TRUE,$U$6=FALSE,$U$7=FALSE)),VLOOKUP($E408,'Status Thresholds'!$E:$AR,23,FALSE),IF((AND($U$4=FALSE,$U$5=TRUE,$U$6=TRUE,$U$7=FALSE)),VLOOKUP($E408,'Status Thresholds'!$E:$AR,33,FALSE),IF((AND($U$4=FALSE,$U$5=TRUE,$U$6=TRUE,$U$7=TRUE)),VLOOKUP($E408,'Status Thresholds'!$E:$AR,38,FALSE),IF((AND($U$4=FALSE,$U$5=TRUE,$U$6=FALSE,$U$7=TRUE)),VLOOKUP($E408,'Status Thresholds'!$E:$AR,28,FALSE)))))))))
))/
IF(OR($X$5=TRUE,$AC$3=TRUE
),($F$5/2), IF(OR($X$2,$X$3,$X$4,$X$6,$X$7,$X$8,$Z$2,$Z$3,$Z$4,$Z$5,$Z$6,$Z$7,$Z$8)=TRUE,$F$5)),0),"-")</f>
        <v>-</v>
      </c>
      <c r="H408" s="36" t="str">
        <f>IFERROR(
ROUNDUP(
IF(AND($U$5=FALSE,$U$4=FALSE),"-",IF(AND($U$5=TRUE,$U$4=TRUE),"-",
IF((AND($U$4=TRUE,$U$5=FALSE,$U$6=FALSE,$U$7=FALSE)),VLOOKUP($E408,'Status Thresholds'!$E:$AR,4,FALSE),IF((AND($U$4=TRUE,$U$5=FALSE,$U$6=TRUE,$U$7=FALSE)),VLOOKUP($E408,'Status Thresholds'!$E:$AR,14,FALSE),IF((AND($U$4=TRUE,$U$5=FALSE,$U$6=TRUE,$U$7=TRUE)),VLOOKUP($E408,'Status Thresholds'!$E:$AR,19,FALSE),IF((AND($U$4=TRUE,$U$5=FALSE,$U$6=FALSE,$U$7=TRUE)),VLOOKUP($E408,'Status Thresholds'!$E:$AR,9,FALSE),
IF((AND($U$4=FALSE,$U$5=TRUE,$U$6=FALSE,$U$7=FALSE)),VLOOKUP($E408,'Status Thresholds'!$E:$AR,24,FALSE),IF((AND($U$4=FALSE,$U$5=TRUE,$U$6=TRUE,$U$7=FALSE)),VLOOKUP($E408,'Status Thresholds'!$E:$AR,34,FALSE),IF((AND($U$4=FALSE,$U$5=TRUE,$U$6=TRUE,$U$7=TRUE)),VLOOKUP($E408,'Status Thresholds'!$E:$AR,39,FALSE),IF((AND($U$4=FALSE,$U$5=TRUE,$U$6=FALSE,$U$7=TRUE)),VLOOKUP($E408,'Status Thresholds'!$E:$AR,29,FALSE)))))))))
))/
IF(OR($X$5=TRUE,$AC$3=TRUE
),($F$5/2), IF(OR($X$2,$X$3,$X$4,$X$6,$X$7,$X$8,$Z$2,$Z$3,$Z$4,$Z$5,$Z$6,$Z$7,$Z$8)=TRUE,$F$5)),0),"-")</f>
        <v>-</v>
      </c>
      <c r="I408" s="36" t="str">
        <f>IFERROR(
ROUNDUP(
IF(AND($U$5=FALSE,$U$4=FALSE),"-",IF(AND($U$5=TRUE,$U$4=TRUE),"-",
IF((AND($U$4=TRUE,$U$5=FALSE,$U$6=FALSE,$U$7=FALSE)),VLOOKUP($E408,'Status Thresholds'!$E:$AR,5,FALSE),IF((AND($U$4=TRUE,$U$5=FALSE,$U$6=TRUE,$U$7=FALSE)),VLOOKUP($E408,'Status Thresholds'!$E:$AR,15,FALSE),IF((AND($U$4=TRUE,$U$5=FALSE,$U$6=TRUE,$U$7=TRUE)),VLOOKUP($E408,'Status Thresholds'!$E:$AR,20,FALSE),IF((AND($U$4=TRUE,$U$5=FALSE,$U$6=FALSE,$U$7=TRUE)),VLOOKUP($E408,'Status Thresholds'!$E:$AR,10,FALSE),
IF((AND($U$4=FALSE,$U$5=TRUE,$U$6=FALSE,$U$7=FALSE)),VLOOKUP($E408,'Status Thresholds'!$E:$AR,25,FALSE),IF((AND($U$4=FALSE,$U$5=TRUE,$U$6=TRUE,$U$7=FALSE)),VLOOKUP($E408,'Status Thresholds'!$E:$AR,35,FALSE),IF((AND($U$4=FALSE,$U$5=TRUE,$U$6=TRUE,$U$7=TRUE)),VLOOKUP($E408,'Status Thresholds'!$E:$AR,40,FALSE),IF((AND($U$4=FALSE,$U$5=TRUE,$U$6=FALSE,$U$7=TRUE)),VLOOKUP($E408,'Status Thresholds'!$E:$AR,30,FALSE)))))))))
))/
IF(OR($X$5=TRUE,$AC$3=TRUE
),($F$5/2), IF(OR($X$2,$X$3,$X$4,$X$6,$X$7,$X$8,$Z$2,$Z$3,$Z$4,$Z$5,$Z$6,$Z$7,$Z$8)=TRUE,$F$5)),0),"-")</f>
        <v>-</v>
      </c>
      <c r="J408" s="46">
        <f>IFERROR(IF(AND($U$5=FALSE,$U$4=FALSE),"-",VLOOKUP($E408,'Status Thresholds'!$E:$AU,41,FALSE)),"-")</f>
        <v>50</v>
      </c>
      <c r="K408" s="46" t="str">
        <f>IFERROR(IF(AND($U$5=FALSE,$U$4=FALSE),"-",VLOOKUP($E408,'Status Thresholds'!$E:$AU,42,FALSE)),"-")</f>
        <v>-</v>
      </c>
      <c r="L408" s="46" t="str">
        <f>IFERROR(IF(AND($U$5=FALSE,$U$4=FALSE),"-",VLOOKUP($E408,'Status Thresholds'!$E:$AU,43,FALSE)),"-")</f>
        <v>-</v>
      </c>
    </row>
    <row r="409" spans="1:12" hidden="1" x14ac:dyDescent="0.25">
      <c r="A409" s="35"/>
      <c r="B409" s="64" t="str">
        <f>IF('Status Thresholds'!A404=0, "", 'Status Thresholds'!A404)</f>
        <v>Deviant</v>
      </c>
      <c r="C409" s="64" t="str">
        <f>IF('Status Thresholds'!B404=0, "", 'Status Thresholds'!B404)</f>
        <v>Hellblade Glavenus</v>
      </c>
      <c r="D409" s="10" t="s">
        <v>22</v>
      </c>
      <c r="E409" s="36" t="str">
        <f t="shared" si="5"/>
        <v>Hellblade GlavenusExhaust</v>
      </c>
      <c r="F409" s="36" t="str">
        <f>IFERROR(
ROUNDUP(
IF(AND($U$5=FALSE,$U$4=FALSE),"-",IF(AND($U$5=TRUE,$U$4=TRUE),"-",
IF((AND($U$4=TRUE,$U$5=FALSE,$U$6=FALSE,$U$7=FALSE)),VLOOKUP($E409,'Status Thresholds'!$E:$AR,2,FALSE),IF((AND($U$4=TRUE,$U$5=FALSE,$U$6=TRUE,$U$7=FALSE)),VLOOKUP($E409,'Status Thresholds'!$E:$AR,12,FALSE),IF((AND($U$4=TRUE,$U$5=FALSE,$U$6=TRUE,$U$7=TRUE)),VLOOKUP($E409,'Status Thresholds'!$E:$AR,17,FALSE),IF((AND($U$4=TRUE,$U$5=FALSE,$U$6=FALSE,$U$7=TRUE)),VLOOKUP($E409,'Status Thresholds'!$E:$AR,7,FALSE),
IF((AND($U$4=FALSE,$U$5=TRUE,$U$6=FALSE,$U$7=FALSE)),VLOOKUP($E409,'Status Thresholds'!$E:$AR,22,FALSE),IF((AND($U$4=FALSE,$U$5=TRUE,$U$6=TRUE,$U$7=FALSE)),VLOOKUP($E409,'Status Thresholds'!$E:$AR,32,FALSE),IF((AND($U$4=FALSE,$U$5=TRUE,$U$6=TRUE,$U$7=TRUE)),VLOOKUP($E409,'Status Thresholds'!$E:$AR,37,FALSE),IF((AND($U$4=FALSE,$U$5=TRUE,$U$6=FALSE,$U$7=TRUE)),VLOOKUP($E409,'Status Thresholds'!$E:$AR,27,FALSE)))))))))
))/
IF(OR($X$5=TRUE,$AC$3=TRUE
),($F$6/2), IF(OR($X$2,$X$3,$X$4,$X$6,$X$7,$X$8,$Z$2,$Z$3,$Z$4,$Z$5,$Z$6,$Z$7,$Z$8)=TRUE,$F$6)),0),"-")</f>
        <v>-</v>
      </c>
      <c r="G409" s="36" t="str">
        <f>IFERROR(
ROUNDUP(
IF(AND($U$5=FALSE,$U$4=FALSE),"-",IF(AND($U$5=TRUE,$U$4=TRUE),"-",
IF((AND($U$4=TRUE,$U$5=FALSE,$U$6=FALSE,$U$7=FALSE)),VLOOKUP($E409,'Status Thresholds'!$E:$AR,3,FALSE),IF((AND($U$4=TRUE,$U$5=FALSE,$U$6=TRUE,$U$7=FALSE)),VLOOKUP($E409,'Status Thresholds'!$E:$AR,13,FALSE),IF((AND($U$4=TRUE,$U$5=FALSE,$U$6=TRUE,$U$7=TRUE)),VLOOKUP($E409,'Status Thresholds'!$E:$AR,18,FALSE),IF((AND($U$4=TRUE,$U$5=FALSE,$U$6=FALSE,$U$7=TRUE)),VLOOKUP($E409,'Status Thresholds'!$E:$AR,8,FALSE),
IF((AND($U$4=FALSE,$U$5=TRUE,$U$6=FALSE,$U$7=FALSE)),VLOOKUP($E409,'Status Thresholds'!$E:$AR,23,FALSE),IF((AND($U$4=FALSE,$U$5=TRUE,$U$6=TRUE,$U$7=FALSE)),VLOOKUP($E409,'Status Thresholds'!$E:$AR,33,FALSE),IF((AND($U$4=FALSE,$U$5=TRUE,$U$6=TRUE,$U$7=TRUE)),VLOOKUP($E409,'Status Thresholds'!$E:$AR,38,FALSE),IF((AND($U$4=FALSE,$U$5=TRUE,$U$6=FALSE,$U$7=TRUE)),VLOOKUP($E409,'Status Thresholds'!$E:$AR,28,FALSE)))))))))
))/
IF(OR($X$5=TRUE,$AC$3=TRUE
),($F$6/2), IF(OR($X$2,$X$3,$X$4,$X$6,$X$7,$X$8,$Z$2,$Z$3,$Z$4,$Z$5,$Z$6,$Z$7,$Z$8)=TRUE,$F$6)),0),"-")</f>
        <v>-</v>
      </c>
      <c r="H409" s="36" t="str">
        <f>IFERROR(
ROUNDUP(
IF(AND($U$5=FALSE,$U$4=FALSE),"-",IF(AND($U$5=TRUE,$U$4=TRUE),"-",
IF((AND($U$4=TRUE,$U$5=FALSE,$U$6=FALSE,$U$7=FALSE)),VLOOKUP($E409,'Status Thresholds'!$E:$AR,4,FALSE),IF((AND($U$4=TRUE,$U$5=FALSE,$U$6=TRUE,$U$7=FALSE)),VLOOKUP($E409,'Status Thresholds'!$E:$AR,14,FALSE),IF((AND($U$4=TRUE,$U$5=FALSE,$U$6=TRUE,$U$7=TRUE)),VLOOKUP($E409,'Status Thresholds'!$E:$AR,19,FALSE),IF((AND($U$4=TRUE,$U$5=FALSE,$U$6=FALSE,$U$7=TRUE)),VLOOKUP($E409,'Status Thresholds'!$E:$AR,9,FALSE),
IF((AND($U$4=FALSE,$U$5=TRUE,$U$6=FALSE,$U$7=FALSE)),VLOOKUP($E409,'Status Thresholds'!$E:$AR,24,FALSE),IF((AND($U$4=FALSE,$U$5=TRUE,$U$6=TRUE,$U$7=FALSE)),VLOOKUP($E409,'Status Thresholds'!$E:$AR,34,FALSE),IF((AND($U$4=FALSE,$U$5=TRUE,$U$6=TRUE,$U$7=TRUE)),VLOOKUP($E409,'Status Thresholds'!$E:$AR,39,FALSE),IF((AND($U$4=FALSE,$U$5=TRUE,$U$6=FALSE,$U$7=TRUE)),VLOOKUP($E409,'Status Thresholds'!$E:$AR,29,FALSE)))))))))
))/
IF(OR($X$5=TRUE,$AC$3=TRUE
),($F$6/2), IF(OR($X$2,$X$3,$X$4,$X$6,$X$7,$X$8,$Z$2,$Z$3,$Z$4,$Z$5,$Z$6,$Z$7,$Z$8)=TRUE,$F$6)),0),"-")</f>
        <v>-</v>
      </c>
      <c r="I409" s="36" t="str">
        <f>IFERROR(
ROUNDUP(
IF(AND($U$5=FALSE,$U$4=FALSE),"-",IF(AND($U$5=TRUE,$U$4=TRUE),"-",
IF((AND($U$4=TRUE,$U$5=FALSE,$U$6=FALSE,$U$7=FALSE)),VLOOKUP($E409,'Status Thresholds'!$E:$AR,5,FALSE),IF((AND($U$4=TRUE,$U$5=FALSE,$U$6=TRUE,$U$7=FALSE)),VLOOKUP($E409,'Status Thresholds'!$E:$AR,15,FALSE),IF((AND($U$4=TRUE,$U$5=FALSE,$U$6=TRUE,$U$7=TRUE)),VLOOKUP($E409,'Status Thresholds'!$E:$AR,20,FALSE),IF((AND($U$4=TRUE,$U$5=FALSE,$U$6=FALSE,$U$7=TRUE)),VLOOKUP($E409,'Status Thresholds'!$E:$AR,10,FALSE),
IF((AND($U$4=FALSE,$U$5=TRUE,$U$6=FALSE,$U$7=FALSE)),VLOOKUP($E409,'Status Thresholds'!$E:$AR,25,FALSE),IF((AND($U$4=FALSE,$U$5=TRUE,$U$6=TRUE,$U$7=FALSE)),VLOOKUP($E409,'Status Thresholds'!$E:$AR,35,FALSE),IF((AND($U$4=FALSE,$U$5=TRUE,$U$6=TRUE,$U$7=TRUE)),VLOOKUP($E409,'Status Thresholds'!$E:$AR,40,FALSE),IF((AND($U$4=FALSE,$U$5=TRUE,$U$6=FALSE,$U$7=TRUE)),VLOOKUP($E409,'Status Thresholds'!$E:$AR,30,FALSE)))))))))
))/
IF(OR($X$5=TRUE,$AC$3=TRUE
),($F$6/2), IF(OR($X$2,$X$3,$X$4,$X$6,$X$7,$X$8,$Z$2,$Z$3,$Z$4,$Z$5,$Z$6,$Z$7,$Z$8)=TRUE,$F$6)),0),"-")</f>
        <v>-</v>
      </c>
      <c r="J409" s="46">
        <f>IFERROR(IF(AND($U$5=FALSE,$U$4=FALSE),"-",VLOOKUP($E409,'Status Thresholds'!$E:$AU,41,FALSE)),"-")</f>
        <v>0</v>
      </c>
      <c r="K409" s="46" t="str">
        <f>IFERROR(IF(AND($U$5=FALSE,$U$4=FALSE),"-",VLOOKUP($E409,'Status Thresholds'!$E:$AU,42,FALSE)),"-")</f>
        <v>-</v>
      </c>
      <c r="L409" s="46" t="str">
        <f>IFERROR(IF(AND($U$5=FALSE,$U$4=FALSE),"-",VLOOKUP($E409,'Status Thresholds'!$E:$AU,43,FALSE)),"-")</f>
        <v>-</v>
      </c>
    </row>
    <row r="410" spans="1:12" hidden="1" x14ac:dyDescent="0.25">
      <c r="A410" s="35"/>
      <c r="B410" s="64" t="str">
        <f>IF('Status Thresholds'!A405=0, "", 'Status Thresholds'!A405)</f>
        <v>Deviant</v>
      </c>
      <c r="C410" s="64" t="str">
        <f>IF('Status Thresholds'!B405=0, "", 'Status Thresholds'!B405)</f>
        <v>Hellblade Glavenus</v>
      </c>
      <c r="D410" s="30" t="s">
        <v>35</v>
      </c>
      <c r="E410" s="36" t="str">
        <f t="shared" si="5"/>
        <v>Hellblade GlavenusBlast</v>
      </c>
      <c r="F410" s="36" t="str">
        <f>IFERROR(
ROUNDUP(
IF(AND($U$5=FALSE,$U$4=FALSE),"-",IF(AND($U$5=TRUE,$U$4=TRUE),"-",
IF((AND($U$4=TRUE,$U$5=FALSE,$U$6=FALSE,$U$7=FALSE)),VLOOKUP($E410,'Status Thresholds'!$E:$AR,2,FALSE),IF((AND($U$4=TRUE,$U$5=FALSE,$U$6=TRUE,$U$7=FALSE)),VLOOKUP($E410,'Status Thresholds'!$E:$AR,12,FALSE),IF((AND($U$4=TRUE,$U$5=FALSE,$U$6=TRUE,$U$7=TRUE)),VLOOKUP($E410,'Status Thresholds'!$E:$AR,17,FALSE),IF((AND($U$4=TRUE,$U$5=FALSE,$U$6=FALSE,$U$7=TRUE)),VLOOKUP($E410,'Status Thresholds'!$E:$AR,7,FALSE),
IF((AND($U$4=FALSE,$U$5=TRUE,$U$6=FALSE,$U$7=FALSE)),VLOOKUP($E410,'Status Thresholds'!$E:$AR,22,FALSE),IF((AND($U$4=FALSE,$U$5=TRUE,$U$6=TRUE,$U$7=FALSE)),VLOOKUP($E410,'Status Thresholds'!$E:$AR,32,FALSE),IF((AND($U$4=FALSE,$U$5=TRUE,$U$6=TRUE,$U$7=TRUE)),VLOOKUP($E410,'Status Thresholds'!$E:$AR,37,FALSE),IF((AND($U$4=FALSE,$U$5=TRUE,$U$6=FALSE,$U$7=TRUE)),VLOOKUP($E410,'Status Thresholds'!$E:$AR,27,FALSE)))))))))
))/
IF(OR($X$5=TRUE,$AC$3=TRUE
),($F$7/2), IF(OR($X$2,$X$3,$X$4,$X$6,$X$7,$X$8,$Z$2,$Z$3,$Z$4,$Z$5,$Z$6,$Z$7,$Z$8)=TRUE,$F$7)),0),"-")</f>
        <v>-</v>
      </c>
      <c r="G410" s="36" t="str">
        <f>IFERROR(
ROUNDUP(
IF(AND($U$5=FALSE,$U$4=FALSE),"-",IF(AND($U$5=TRUE,$U$4=TRUE),"-",
IF((AND($U$4=TRUE,$U$5=FALSE,$U$6=FALSE,$U$7=FALSE)),VLOOKUP($E410,'Status Thresholds'!$E:$AR,3,FALSE),IF((AND($U$4=TRUE,$U$5=FALSE,$U$6=TRUE,$U$7=FALSE)),VLOOKUP($E410,'Status Thresholds'!$E:$AR,13,FALSE),IF((AND($U$4=TRUE,$U$5=FALSE,$U$6=TRUE,$U$7=TRUE)),VLOOKUP($E410,'Status Thresholds'!$E:$AR,18,FALSE),IF((AND($U$4=TRUE,$U$5=FALSE,$U$6=FALSE,$U$7=TRUE)),VLOOKUP($E410,'Status Thresholds'!$E:$AR,8,FALSE),
IF((AND($U$4=FALSE,$U$5=TRUE,$U$6=FALSE,$U$7=FALSE)),VLOOKUP($E410,'Status Thresholds'!$E:$AR,23,FALSE),IF((AND($U$4=FALSE,$U$5=TRUE,$U$6=TRUE,$U$7=FALSE)),VLOOKUP($E410,'Status Thresholds'!$E:$AR,33,FALSE),IF((AND($U$4=FALSE,$U$5=TRUE,$U$6=TRUE,$U$7=TRUE)),VLOOKUP($E410,'Status Thresholds'!$E:$AR,38,FALSE),IF((AND($U$4=FALSE,$U$5=TRUE,$U$6=FALSE,$U$7=TRUE)),VLOOKUP($E410,'Status Thresholds'!$E:$AR,28,FALSE)))))))))
))/
IF(OR($X$5=TRUE,$AC$3=TRUE
),($F$7/2), IF(OR($X$2,$X$3,$X$4,$X$6,$X$7,$X$8,$Z$2,$Z$3,$Z$4,$Z$5,$Z$6,$Z$7,$Z$8)=TRUE,$F$7)),0),"-")</f>
        <v>-</v>
      </c>
      <c r="H410" s="36" t="str">
        <f>IFERROR(
ROUNDUP(
IF(AND($U$5=FALSE,$U$4=FALSE),"-",IF(AND($U$5=TRUE,$U$4=TRUE),"-",
IF((AND($U$4=TRUE,$U$5=FALSE,$U$6=FALSE,$U$7=FALSE)),VLOOKUP($E410,'Status Thresholds'!$E:$AR,4,FALSE),IF((AND($U$4=TRUE,$U$5=FALSE,$U$6=TRUE,$U$7=FALSE)),VLOOKUP($E410,'Status Thresholds'!$E:$AR,14,FALSE),IF((AND($U$4=TRUE,$U$5=FALSE,$U$6=TRUE,$U$7=TRUE)),VLOOKUP($E410,'Status Thresholds'!$E:$AR,19,FALSE),IF((AND($U$4=TRUE,$U$5=FALSE,$U$6=FALSE,$U$7=TRUE)),VLOOKUP($E410,'Status Thresholds'!$E:$AR,9,FALSE),
IF((AND($U$4=FALSE,$U$5=TRUE,$U$6=FALSE,$U$7=FALSE)),VLOOKUP($E410,'Status Thresholds'!$E:$AR,24,FALSE),IF((AND($U$4=FALSE,$U$5=TRUE,$U$6=TRUE,$U$7=FALSE)),VLOOKUP($E410,'Status Thresholds'!$E:$AR,34,FALSE),IF((AND($U$4=FALSE,$U$5=TRUE,$U$6=TRUE,$U$7=TRUE)),VLOOKUP($E410,'Status Thresholds'!$E:$AR,39,FALSE),IF((AND($U$4=FALSE,$U$5=TRUE,$U$6=FALSE,$U$7=TRUE)),VLOOKUP($E410,'Status Thresholds'!$E:$AR,29,FALSE)))))))))
))/
IF(OR($X$5=TRUE,$AC$3=TRUE
),($F$7/2), IF(OR($X$2,$X$3,$X$4,$X$6,$X$7,$X$8,$Z$2,$Z$3,$Z$4,$Z$5,$Z$6,$Z$7,$Z$8)=TRUE,$F$7)),0),"-")</f>
        <v>-</v>
      </c>
      <c r="I410" s="36" t="str">
        <f>IFERROR(
ROUNDUP(
IF(AND($U$5=FALSE,$U$4=FALSE),"-",IF(AND($U$5=TRUE,$U$4=TRUE),"-",
IF((AND($U$4=TRUE,$U$5=FALSE,$U$6=FALSE,$U$7=FALSE)),VLOOKUP($E410,'Status Thresholds'!$E:$AR,5,FALSE),IF((AND($U$4=TRUE,$U$5=FALSE,$U$6=TRUE,$U$7=FALSE)),VLOOKUP($E410,'Status Thresholds'!$E:$AR,15,FALSE),IF((AND($U$4=TRUE,$U$5=FALSE,$U$6=TRUE,$U$7=TRUE)),VLOOKUP($E410,'Status Thresholds'!$E:$AR,20,FALSE),IF((AND($U$4=TRUE,$U$5=FALSE,$U$6=FALSE,$U$7=TRUE)),VLOOKUP($E410,'Status Thresholds'!$E:$AR,10,FALSE),
IF((AND($U$4=FALSE,$U$5=TRUE,$U$6=FALSE,$U$7=FALSE)),VLOOKUP($E410,'Status Thresholds'!$E:$AR,25,FALSE),IF((AND($U$4=FALSE,$U$5=TRUE,$U$6=TRUE,$U$7=FALSE)),VLOOKUP($E410,'Status Thresholds'!$E:$AR,35,FALSE),IF((AND($U$4=FALSE,$U$5=TRUE,$U$6=TRUE,$U$7=TRUE)),VLOOKUP($E410,'Status Thresholds'!$E:$AR,40,FALSE),IF((AND($U$4=FALSE,$U$5=TRUE,$U$6=FALSE,$U$7=TRUE)),VLOOKUP($E410,'Status Thresholds'!$E:$AR,30,FALSE)))))))))
))/
IF(OR($X$5=TRUE,$AC$3=TRUE
),($F$7/2), IF(OR($X$2,$X$3,$X$4,$X$6,$X$7,$X$8,$Z$2,$Z$3,$Z$4,$Z$5,$Z$6,$Z$7,$Z$8)=TRUE,$F$7)),0),"-")</f>
        <v>-</v>
      </c>
      <c r="J410" s="46">
        <f>IFERROR(IF(AND($U$5=FALSE,$U$4=FALSE),"-",VLOOKUP($E410,'Status Thresholds'!$E:$AU,41,FALSE)),"-")</f>
        <v>0</v>
      </c>
      <c r="K410" s="46" t="str">
        <f>IFERROR(IF(AND($U$5=FALSE,$U$4=FALSE),"-",VLOOKUP($E410,'Status Thresholds'!$E:$AU,42,FALSE)),"-")</f>
        <v>-</v>
      </c>
      <c r="L410" s="46" t="str">
        <f>IFERROR(IF(AND($U$5=FALSE,$U$4=FALSE),"-",VLOOKUP($E410,'Status Thresholds'!$E:$AU,43,FALSE)),"-")</f>
        <v>-</v>
      </c>
    </row>
    <row r="411" spans="1:12" ht="14.45" hidden="1" customHeight="1" x14ac:dyDescent="0.25">
      <c r="A411" s="35"/>
      <c r="B411" s="64" t="str">
        <f>IF('Status Thresholds'!A406=0, "", 'Status Thresholds'!A406)</f>
        <v>Deviant</v>
      </c>
      <c r="C411" s="64" t="str">
        <f>IF('Status Thresholds'!B406=0, "", 'Status Thresholds'!B406)</f>
        <v>Hellblade Glavenus</v>
      </c>
      <c r="D411" s="34" t="s">
        <v>14</v>
      </c>
      <c r="E411" s="36" t="str">
        <f t="shared" si="5"/>
        <v>Hellblade GlavenusKO</v>
      </c>
      <c r="F411" s="36" t="s">
        <v>214</v>
      </c>
      <c r="G411" s="36" t="s">
        <v>214</v>
      </c>
      <c r="H411" s="36" t="s">
        <v>214</v>
      </c>
      <c r="I411" s="36" t="s">
        <v>214</v>
      </c>
      <c r="J411" s="46">
        <f>IFERROR(IF(AND($U$5=FALSE,$U$4=FALSE),"-",VLOOKUP($E411,'Status Thresholds'!$E:$AU,41,FALSE)),"-")</f>
        <v>10</v>
      </c>
      <c r="K411" s="46" t="str">
        <f>IFERROR(IF(AND($U$5=FALSE,$U$4=FALSE),"-",VLOOKUP($E411,'Status Thresholds'!$E:$AU,42,FALSE)),"-")</f>
        <v>-</v>
      </c>
      <c r="L411" s="46" t="str">
        <f>IFERROR(IF(AND($U$5=FALSE,$U$4=FALSE),"-",VLOOKUP($E411,'Status Thresholds'!$E:$AU,43,FALSE)),"-")</f>
        <v>-</v>
      </c>
    </row>
    <row r="412" spans="1:12" hidden="1" x14ac:dyDescent="0.25">
      <c r="A412" s="35"/>
      <c r="B412" s="64" t="str">
        <f>IF('Status Thresholds'!A407=0, "", 'Status Thresholds'!A407)</f>
        <v>Deviant</v>
      </c>
      <c r="C412" s="64" t="str">
        <f>IF('Status Thresholds'!B407=0, "", 'Status Thresholds'!B407)</f>
        <v>Hellblade Glavenus</v>
      </c>
      <c r="D412" s="33" t="s">
        <v>34</v>
      </c>
      <c r="E412" s="36" t="str">
        <f t="shared" ref="E412:E475" si="6">$C412&amp;$D412</f>
        <v>Hellblade GlavenusMount</v>
      </c>
      <c r="F412" s="36" t="str">
        <f>IFERROR(
ROUNDUP(
IF(AND($U$5=FALSE,$U$4=FALSE),"-",IF(AND($U$5=TRUE,$U$4=TRUE),"-",
IF((AND($U$4=TRUE,$U$5=FALSE,$U$6=FALSE,$U$7=FALSE)),VLOOKUP($E412,'Status Thresholds'!$E:$AR,2,FALSE),IF((AND($U$4=TRUE,$U$5=FALSE,$U$6=TRUE,$U$7=FALSE)),VLOOKUP($E412,'Status Thresholds'!$E:$AR,12,FALSE),IF((AND($U$4=TRUE,$U$5=FALSE,$U$6=TRUE,$U$7=TRUE)),VLOOKUP($E412,'Status Thresholds'!$E:$AR,17,FALSE),IF((AND($U$4=TRUE,$U$5=FALSE,$U$6=FALSE,$U$7=TRUE)),VLOOKUP($E412,'Status Thresholds'!$E:$AR,7,FALSE),
IF((AND($U$4=FALSE,$U$5=TRUE,$U$6=FALSE,$U$7=FALSE)),VLOOKUP($E412,'Status Thresholds'!$E:$AR,22,FALSE),IF((AND($U$4=FALSE,$U$5=TRUE,$U$6=TRUE,$U$7=FALSE)),VLOOKUP($E412,'Status Thresholds'!$E:$AR,32,FALSE),IF((AND($U$4=FALSE,$U$5=TRUE,$U$6=TRUE,$U$7=TRUE)),VLOOKUP($E412,'Status Thresholds'!$E:$AR,37,FALSE),IF((AND($U$4=FALSE,$U$5=TRUE,$U$6=FALSE,$U$7=TRUE)),VLOOKUP($E412,'Status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412" s="36" t="str">
        <f>IFERROR(
ROUNDUP(
IF(AND($U$5=FALSE,$U$4=FALSE),"-",IF(AND($U$5=TRUE,$U$4=TRUE),"-",
IF((AND($U$4=TRUE,$U$5=FALSE,$U$6=FALSE,$U$7=FALSE)),VLOOKUP($E411,'Status Thresholds'!$E:$AR,3,FALSE),IF((AND($U$4=TRUE,$U$5=FALSE,$U$6=TRUE,$U$7=FALSE)),VLOOKUP($E411,'Status Thresholds'!$E:$AR,13,FALSE),IF((AND($U$4=TRUE,$U$5=FALSE,$U$6=TRUE,$U$7=TRUE)),VLOOKUP($E411,'Status Thresholds'!$E:$AR,18,FALSE),IF((AND($U$4=TRUE,$U$5=FALSE,$U$6=FALSE,$U$7=TRUE)),VLOOKUP($E411,'Status Thresholds'!$E:$AR,8,FALSE),
IF((AND($U$4=FALSE,$U$5=TRUE,$U$6=FALSE,$U$7=FALSE)),VLOOKUP($E411,'Status Thresholds'!$E:$AR,23,FALSE),IF((AND($U$4=FALSE,$U$5=TRUE,$U$6=TRUE,$U$7=FALSE)),VLOOKUP($E411,'Status Thresholds'!$E:$AR,33,FALSE),IF((AND($U$4=FALSE,$U$5=TRUE,$U$6=TRUE,$U$7=TRUE)),VLOOKUP($E411,'Status Thresholds'!$E:$AR,38,FALSE),IF((AND($U$4=FALSE,$U$5=TRUE,$U$6=FALSE,$U$7=TRUE)),VLOOKUP($E411,'Status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412" s="36" t="str">
        <f>IFERROR(
ROUNDUP(
IF(AND($U$5=FALSE,$U$4=FALSE),"-",IF(AND($U$5=TRUE,$U$4=TRUE),"-",
IF((AND($U$4=TRUE,$U$5=FALSE,$U$6=FALSE,$U$7=FALSE)),VLOOKUP($E411,'Status Thresholds'!$E:$AR,4,FALSE),IF((AND($U$4=TRUE,$U$5=FALSE,$U$6=TRUE,$U$7=FALSE)),VLOOKUP($E411,'Status Thresholds'!$E:$AR,14,FALSE),IF((AND($U$4=TRUE,$U$5=FALSE,$U$6=TRUE,$U$7=TRUE)),VLOOKUP($E411,'Status Thresholds'!$E:$AR,19,FALSE),IF((AND($U$4=TRUE,$U$5=FALSE,$U$6=FALSE,$U$7=TRUE)),VLOOKUP($E411,'Status Thresholds'!$E:$AR,9,FALSE),
IF((AND($U$4=FALSE,$U$5=TRUE,$U$6=FALSE,$U$7=FALSE)),VLOOKUP($E411,'Status Thresholds'!$E:$AR,24,FALSE),IF((AND($U$4=FALSE,$U$5=TRUE,$U$6=TRUE,$U$7=FALSE)),VLOOKUP($E411,'Status Thresholds'!$E:$AR,34,FALSE),IF((AND($U$4=FALSE,$U$5=TRUE,$U$6=TRUE,$U$7=TRUE)),VLOOKUP($E411,'Status Thresholds'!$E:$AR,39,FALSE),IF((AND($U$4=FALSE,$U$5=TRUE,$U$6=FALSE,$U$7=TRUE)),VLOOKUP($E411,'Status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412" s="36" t="str">
        <f>IFERROR(
ROUNDUP(
IF(AND($U$5=FALSE,$U$4=FALSE),"-",IF(AND($U$5=TRUE,$U$4=TRUE),"-",
IF((AND($U$4=TRUE,$U$5=FALSE,$U$6=FALSE,$U$7=FALSE)),VLOOKUP($E411,'Status Thresholds'!$E:$AR,5,FALSE),IF((AND($U$4=TRUE,$U$5=FALSE,$U$6=TRUE,$U$7=FALSE)),VLOOKUP($E411,'Status Thresholds'!$E:$AR,15,FALSE),IF((AND($U$4=TRUE,$U$5=FALSE,$U$6=TRUE,$U$7=TRUE)),VLOOKUP($E411,'Status Thresholds'!$E:$AR,20,FALSE),IF((AND($U$4=TRUE,$U$5=FALSE,$U$6=FALSE,$U$7=TRUE)),VLOOKUP($E411,'Status Thresholds'!$E:$AR,10,FALSE),
IF((AND($U$4=FALSE,$U$5=TRUE,$U$6=FALSE,$U$7=FALSE)),VLOOKUP($E411,'Status Thresholds'!$E:$AR,25,FALSE),IF((AND($U$4=FALSE,$U$5=TRUE,$U$6=TRUE,$U$7=FALSE)),VLOOKUP($E411,'Status Thresholds'!$E:$AR,35,FALSE),IF((AND($U$4=FALSE,$U$5=TRUE,$U$6=TRUE,$U$7=TRUE)),VLOOKUP($E411,'Status Thresholds'!$E:$AR,40,FALSE),IF((AND($U$4=FALSE,$U$5=TRUE,$U$6=FALSE,$U$7=TRUE)),VLOOKUP($E411,'Status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412" s="46">
        <f>IFERROR(IF(AND($U$5=FALSE,$U$4=FALSE),"-",VLOOKUP($E412,'Status Thresholds'!$E:$AU,41,FALSE)),"-")</f>
        <v>0</v>
      </c>
      <c r="K412" s="46" t="str">
        <f>IFERROR(IF(AND($U$5=FALSE,$U$4=FALSE),"-",VLOOKUP($E412,'Status Thresholds'!$E:$AU,42,FALSE)),"-")</f>
        <v>-</v>
      </c>
      <c r="L412" s="46" t="str">
        <f>IFERROR(IF(AND($U$5=FALSE,$U$4=FALSE),"-",VLOOKUP($E412,'Status Thresholds'!$E:$AU,43,FALSE)),"-")</f>
        <v>-</v>
      </c>
    </row>
    <row r="413" spans="1:12" ht="15" hidden="1" customHeight="1" x14ac:dyDescent="0.25">
      <c r="A413" s="35"/>
      <c r="B413" s="64" t="str">
        <f>IF('Status Thresholds'!A408=0, "", 'Status Thresholds'!A408)</f>
        <v>Deviant</v>
      </c>
      <c r="C413" s="64" t="str">
        <f>IF('Status Thresholds'!B408=0, "", 'Status Thresholds'!B408)</f>
        <v>Hellblade Glavenus</v>
      </c>
      <c r="D413" s="77" t="s">
        <v>207</v>
      </c>
      <c r="E413" s="36" t="str">
        <f t="shared" si="6"/>
        <v>Hellblade GlavenusShock Trap</v>
      </c>
      <c r="F413" s="76" t="s">
        <v>214</v>
      </c>
      <c r="G413" s="46" t="s">
        <v>214</v>
      </c>
      <c r="H413" s="46" t="s">
        <v>214</v>
      </c>
      <c r="I413" s="46" t="s">
        <v>214</v>
      </c>
      <c r="J413" s="46">
        <f>IFERROR(IF(AND($U$5=FALSE,$U$4=FALSE),"-",VLOOKUP($E413,'Status Thresholds'!$E:$AU,43,FALSE)),"-")</f>
        <v>12</v>
      </c>
      <c r="K413" s="46">
        <f>IFERROR(IF(AND($U$5=FALSE,$U$4=FALSE),"-",VLOOKUP($E413,'Status Thresholds'!$E:$AU,41,FALSE)),"-")</f>
        <v>10</v>
      </c>
      <c r="L413" s="46">
        <f>IFERROR(IF(AND($U$5=FALSE,$U$4=FALSE),"-",VLOOKUP($E413,'Status Thresholds'!$E:$AU,42,FALSE)),"-")</f>
        <v>25</v>
      </c>
    </row>
    <row r="414" spans="1:12" hidden="1" x14ac:dyDescent="0.25">
      <c r="A414" s="35"/>
      <c r="B414" s="64" t="str">
        <f>IF('Status Thresholds'!A409=0, "", 'Status Thresholds'!A409)</f>
        <v>Deviant</v>
      </c>
      <c r="C414" s="64" t="str">
        <f>IF('Status Thresholds'!B409=0, "", 'Status Thresholds'!B409)</f>
        <v>Hellblade Glavenus</v>
      </c>
      <c r="D414" s="77" t="s">
        <v>213</v>
      </c>
      <c r="E414" s="36" t="str">
        <f t="shared" si="6"/>
        <v>Hellblade GlavenusPitfall Trap</v>
      </c>
      <c r="F414" s="46" t="s">
        <v>214</v>
      </c>
      <c r="G414" s="46" t="s">
        <v>214</v>
      </c>
      <c r="H414" s="46" t="s">
        <v>214</v>
      </c>
      <c r="I414" s="46" t="s">
        <v>214</v>
      </c>
      <c r="J414" s="46">
        <f>IFERROR(IF(AND($U$5=FALSE,$U$4=FALSE),"-",VLOOKUP($E414,'Status Thresholds'!$E:$AU,43,FALSE)),"-")</f>
        <v>12</v>
      </c>
      <c r="K414" s="46">
        <f>IFERROR(IF(AND($U$5=FALSE,$U$4=FALSE),"-",VLOOKUP($E414,'Status Thresholds'!$E:$AU,41,FALSE)),"-")</f>
        <v>10</v>
      </c>
      <c r="L414" s="46">
        <f>IFERROR(IF(AND($U$5=FALSE,$U$4=FALSE),"-",VLOOKUP($E414,'Status Thresholds'!$E:$AU,42,FALSE)),"-")</f>
        <v>20</v>
      </c>
    </row>
    <row r="415" spans="1:12" s="36" customFormat="1" x14ac:dyDescent="0.25">
      <c r="A415" s="64"/>
      <c r="B415" s="64" t="str">
        <f>VLOOKUP(C415,'Status Thresholds'!B:C,2,FALSE)</f>
        <v>MHGen</v>
      </c>
      <c r="C415" s="64" t="str">
        <f>IF('Status Thresholds'!B410=0, "", 'Status Thresholds'!B410)</f>
        <v>Iodrome</v>
      </c>
      <c r="D415" s="37" t="s">
        <v>0</v>
      </c>
      <c r="E415" s="36" t="str">
        <f t="shared" si="6"/>
        <v>IodromePara</v>
      </c>
      <c r="F415" s="36" t="str">
        <f>IFERROR(
ROUNDUP(
IF(AND($U$5=FALSE,$U$4=FALSE),"-",IF(AND($U$5=TRUE,$U$4=TRUE),"-",
IF((AND($U$4=TRUE,$U$5=FALSE,$U$6=FALSE,$U$7=FALSE)),VLOOKUP($E415,'Status Thresholds'!$E:$AR,2,FALSE),IF((AND($U$4=TRUE,$U$5=FALSE,$U$6=TRUE,$U$7=FALSE)),VLOOKUP($E415,'Status Thresholds'!$E:$AR,12,FALSE),IF((AND($U$4=TRUE,$U$5=FALSE,$U$6=TRUE,$U$7=TRUE)),VLOOKUP($E415,'Status Thresholds'!$E:$AR,17,FALSE),IF((AND($U$4=TRUE,$U$5=FALSE,$U$6=FALSE,$U$7=TRUE)),VLOOKUP($E415,'Status Thresholds'!$E:$AR,7,FALSE),
IF((AND($U$4=FALSE,$U$5=TRUE,$U$6=FALSE,$U$7=FALSE)),VLOOKUP($E415,'Status Thresholds'!$E:$AR,22,FALSE),IF((AND($U$4=FALSE,$U$5=TRUE,$U$6=TRUE,$U$7=FALSE)),VLOOKUP($E415,'Status Thresholds'!$E:$AR,32,FALSE),IF((AND($U$4=FALSE,$U$5=TRUE,$U$6=TRUE,$U$7=TRUE)),VLOOKUP($E415,'Status Thresholds'!$E:$AR,37,FALSE),IF((AND($U$4=FALSE,$U$5=TRUE,$U$6=FALSE,$U$7=TRUE)),VLOOKUP($E415,'Status Thresholds'!$E:$AR,27,FALSE)))))))))
))/
IF(OR($X$5=TRUE,$AC$3=TRUE
),($F$3/2), IF(OR($X$2,$X$3,$X$4,$X$6,$X$7,$X$8,$Z$2,$Z$3,$Z$4,$Z$5,$Z$6,$Z$7,$Z$8)=TRUE,$F$3)),0),"-")</f>
        <v>-</v>
      </c>
      <c r="G415" s="36" t="str">
        <f>IFERROR(
ROUNDUP(
IF(AND($U$5=FALSE,$U$4=FALSE),"-",IF(AND($U$5=TRUE,$U$4=TRUE),"-",
IF((AND($U$4=TRUE,$U$5=FALSE,$U$6=FALSE,$U$7=FALSE)),VLOOKUP($E415,'Status Thresholds'!$E:$AR,3,FALSE),IF((AND($U$4=TRUE,$U$5=FALSE,$U$6=TRUE,$U$7=FALSE)),VLOOKUP($E415,'Status Thresholds'!$E:$AR,13,FALSE),IF((AND($U$4=TRUE,$U$5=FALSE,$U$6=TRUE,$U$7=TRUE)),VLOOKUP($E415,'Status Thresholds'!$E:$AR,18,FALSE),IF((AND($U$4=TRUE,$U$5=FALSE,$U$6=FALSE,$U$7=TRUE)),VLOOKUP($E415,'Status Thresholds'!$E:$AR,8,FALSE),
IF((AND($U$4=FALSE,$U$5=TRUE,$U$6=FALSE,$U$7=FALSE)),VLOOKUP($E415,'Status Thresholds'!$E:$AR,23,FALSE),IF((AND($U$4=FALSE,$U$5=TRUE,$U$6=TRUE,$U$7=FALSE)),VLOOKUP($E415,'Status Thresholds'!$E:$AR,33,FALSE),IF((AND($U$4=FALSE,$U$5=TRUE,$U$6=TRUE,$U$7=TRUE)),VLOOKUP($E415,'Status Thresholds'!$E:$AR,38,FALSE),IF((AND($U$4=FALSE,$U$5=TRUE,$U$6=FALSE,$U$7=TRUE)),VLOOKUP($E415,'Status Thresholds'!$E:$AR,28,FALSE)))))))))
))/
IF(OR($X$5=TRUE,$AC$3=TRUE
),($F$3/2), IF(OR($X$2,$X$3,$X$4,$X$6,$X$7,$X$8,$Z$2,$Z$3,$Z$4,$Z$5,$Z$6,$Z$7,$Z$8)=TRUE,$F$3)),0),"-")</f>
        <v>-</v>
      </c>
      <c r="H415" s="36" t="str">
        <f>IFERROR(
ROUNDUP(
IF(AND($U$5=FALSE,$U$4=FALSE),"-",IF(AND($U$5=TRUE,$U$4=TRUE),"-",
IF((AND($U$4=TRUE,$U$5=FALSE,$U$6=FALSE,$U$7=FALSE)),VLOOKUP($E415,'Status Thresholds'!$E:$AR,4,FALSE),IF((AND($U$4=TRUE,$U$5=FALSE,$U$6=TRUE,$U$7=FALSE)),VLOOKUP($E415,'Status Thresholds'!$E:$AR,14,FALSE),IF((AND($U$4=TRUE,$U$5=FALSE,$U$6=TRUE,$U$7=TRUE)),VLOOKUP($E415,'Status Thresholds'!$E:$AR,19,FALSE),IF((AND($U$4=TRUE,$U$5=FALSE,$U$6=FALSE,$U$7=TRUE)),VLOOKUP($E415,'Status Thresholds'!$E:$AR,9,FALSE),
IF((AND($U$4=FALSE,$U$5=TRUE,$U$6=FALSE,$U$7=FALSE)),VLOOKUP($E415,'Status Thresholds'!$E:$AR,24,FALSE),IF((AND($U$4=FALSE,$U$5=TRUE,$U$6=TRUE,$U$7=FALSE)),VLOOKUP($E415,'Status Thresholds'!$E:$AR,34,FALSE),IF((AND($U$4=FALSE,$U$5=TRUE,$U$6=TRUE,$U$7=TRUE)),VLOOKUP($E415,'Status Thresholds'!$E:$AR,39,FALSE),IF((AND($U$4=FALSE,$U$5=TRUE,$U$6=FALSE,$U$7=TRUE)),VLOOKUP($E415,'Status Thresholds'!$E:$AR,29,FALSE)))))))))
))/
IF(OR($X$5=TRUE,$AC$3=TRUE
),($F$3/2), IF(OR($X$2,$X$3,$X$4,$X$6,$X$7,$X$8,$Z$2,$Z$3,$Z$4,$Z$5,$Z$6,$Z$7,$Z$8)=TRUE,$F$3)),0),"-")</f>
        <v>-</v>
      </c>
      <c r="I415" s="36" t="str">
        <f>IFERROR(
ROUNDUP(
IF(AND($U$5=FALSE,$U$4=FALSE),"-",IF(AND($U$5=TRUE,$U$4=TRUE),"-",
IF((AND($U$4=TRUE,$U$5=FALSE,$U$6=FALSE,$U$7=FALSE)),VLOOKUP($E415,'Status Thresholds'!$E:$AR,5,FALSE),IF((AND($U$4=TRUE,$U$5=FALSE,$U$6=TRUE,$U$7=FALSE)),VLOOKUP($E415,'Status Thresholds'!$E:$AR,15,FALSE),IF((AND($U$4=TRUE,$U$5=FALSE,$U$6=TRUE,$U$7=TRUE)),VLOOKUP($E415,'Status Thresholds'!$E:$AR,20,FALSE),IF((AND($U$4=TRUE,$U$5=FALSE,$U$6=FALSE,$U$7=TRUE)),VLOOKUP($E415,'Status Thresholds'!$E:$AR,10,FALSE),
IF((AND($U$4=FALSE,$U$5=TRUE,$U$6=FALSE,$U$7=FALSE)),VLOOKUP($E415,'Status Thresholds'!$E:$AR,25,FALSE),IF((AND($U$4=FALSE,$U$5=TRUE,$U$6=TRUE,$U$7=FALSE)),VLOOKUP($E415,'Status Thresholds'!$E:$AR,35,FALSE),IF((AND($U$4=FALSE,$U$5=TRUE,$U$6=TRUE,$U$7=TRUE)),VLOOKUP($E415,'Status Thresholds'!$E:$AR,40,FALSE),IF((AND($U$4=FALSE,$U$5=TRUE,$U$6=FALSE,$U$7=TRUE)),VLOOKUP($E415,'Status Thresholds'!$E:$AR,30,FALSE)))))))))
))/
IF(OR($X$5=TRUE,$AC$3=TRUE
),($F$3/2), IF(OR($X$2,$X$3,$X$4,$X$6,$X$7,$X$8,$Z$2,$Z$3,$Z$4,$Z$5,$Z$6,$Z$7,$Z$8)=TRUE,$F$3)),0),"-")</f>
        <v>-</v>
      </c>
      <c r="J415" s="36">
        <f>IFERROR(IF(AND($U$5=FALSE,$U$4=FALSE),"-",VLOOKUP($E415,'Status Thresholds'!$E:$AU,41,FALSE)),"-")</f>
        <v>10</v>
      </c>
      <c r="K415" s="36" t="str">
        <f>IFERROR(IF(AND($U$5=FALSE,$U$4=FALSE),"-",VLOOKUP($E415,'Status Thresholds'!$E:$AU,42,FALSE)),"-")</f>
        <v>-</v>
      </c>
      <c r="L415" s="36" t="str">
        <f>IFERROR(IF(AND($U$5=FALSE,$U$4=FALSE),"-",VLOOKUP($E415,'Status Thresholds'!$E:$AU,43,FALSE)),"-")</f>
        <v>-</v>
      </c>
    </row>
    <row r="416" spans="1:12" x14ac:dyDescent="0.25">
      <c r="A416" s="35"/>
      <c r="B416" s="64" t="str">
        <f>VLOOKUP(C416,'Status Thresholds'!B:C,2,FALSE)</f>
        <v>MHGen</v>
      </c>
      <c r="C416" s="64" t="str">
        <f>IF('Status Thresholds'!B411=0, "", 'Status Thresholds'!B411)</f>
        <v>Iodrome</v>
      </c>
      <c r="D416" s="31" t="s">
        <v>32</v>
      </c>
      <c r="E416" s="36" t="str">
        <f t="shared" si="6"/>
        <v>IodromeSleep</v>
      </c>
      <c r="F416" s="36" t="str">
        <f>IFERROR(
ROUNDUP(
IF(AND($U$5=FALSE,$U$4=FALSE),"-",IF(AND($U$5=TRUE,$U$4=TRUE),"-",
IF((AND($U$4=TRUE,$U$5=FALSE,$U$6=FALSE,$U$7=FALSE)),VLOOKUP($E416,'Status Thresholds'!$E:$AR,2,FALSE),IF((AND($U$4=TRUE,$U$5=FALSE,$U$6=TRUE,$U$7=FALSE)),VLOOKUP($E416,'Status Thresholds'!$E:$AR,12,FALSE),IF((AND($U$4=TRUE,$U$5=FALSE,$U$6=TRUE,$U$7=TRUE)),VLOOKUP($E416,'Status Thresholds'!$E:$AR,17,FALSE),IF((AND($U$4=TRUE,$U$5=FALSE,$U$6=FALSE,$U$7=TRUE)),VLOOKUP($E416,'Status Thresholds'!$E:$AR,7,FALSE),
IF((AND($U$4=FALSE,$U$5=TRUE,$U$6=FALSE,$U$7=FALSE)),VLOOKUP($E416,'Status Thresholds'!$E:$AR,22,FALSE),IF((AND($U$4=FALSE,$U$5=TRUE,$U$6=TRUE,$U$7=FALSE)),VLOOKUP($E416,'Status Thresholds'!$E:$AR,32,FALSE),IF((AND($U$4=FALSE,$U$5=TRUE,$U$6=TRUE,$U$7=TRUE)),VLOOKUP($E416,'Status Thresholds'!$E:$AR,37,FALSE),IF((AND($U$4=FALSE,$U$5=TRUE,$U$6=FALSE,$U$7=TRUE)),VLOOKUP($E416,'Status Thresholds'!$E:$AR,27,FALSE)))))))))
))/
IF(OR($X$5=TRUE,$AC$3=TRUE
),($F$4/2), IF(OR($X$2,$X$3,$X$4,$X$6,$X$7,$X$8,$Z$2,$Z$3,$Z$4,$Z$5,$Z$6,$Z$7,$Z$8)=TRUE,$F$4)),0),"-")</f>
        <v>-</v>
      </c>
      <c r="G416" s="36" t="str">
        <f>IFERROR(
ROUNDUP(
IF(AND($U$5=FALSE,$U$4=FALSE),"-",IF(AND($U$5=TRUE,$U$4=TRUE),"-",
IF((AND($U$4=TRUE,$U$5=FALSE,$U$6=FALSE,$U$7=FALSE)),VLOOKUP($E416,'Status Thresholds'!$E:$AR,3,FALSE),IF((AND($U$4=TRUE,$U$5=FALSE,$U$6=TRUE,$U$7=FALSE)),VLOOKUP($E416,'Status Thresholds'!$E:$AR,13,FALSE),IF((AND($U$4=TRUE,$U$5=FALSE,$U$6=TRUE,$U$7=TRUE)),VLOOKUP($E416,'Status Thresholds'!$E:$AR,18,FALSE),IF((AND($U$4=TRUE,$U$5=FALSE,$U$6=FALSE,$U$7=TRUE)),VLOOKUP($E416,'Status Thresholds'!$E:$AR,8,FALSE),
IF((AND($U$4=FALSE,$U$5=TRUE,$U$6=FALSE,$U$7=FALSE)),VLOOKUP($E416,'Status Thresholds'!$E:$AR,23,FALSE),IF((AND($U$4=FALSE,$U$5=TRUE,$U$6=TRUE,$U$7=FALSE)),VLOOKUP($E416,'Status Thresholds'!$E:$AR,33,FALSE),IF((AND($U$4=FALSE,$U$5=TRUE,$U$6=TRUE,$U$7=TRUE)),VLOOKUP($E416,'Status Thresholds'!$E:$AR,38,FALSE),IF((AND($U$4=FALSE,$U$5=TRUE,$U$6=FALSE,$U$7=TRUE)),VLOOKUP($E416,'Status Thresholds'!$E:$AR,28,FALSE)))))))))
))/
IF(OR($X$5=TRUE,$AC$3=TRUE
),($F$4/2), IF(OR($X$2,$X$3,$X$4,$X$6,$X$7,$X$8,$Z$2,$Z$3,$Z$4,$Z$5,$Z$6,$Z$7,$Z$8)=TRUE,$F$4)),0),"-")</f>
        <v>-</v>
      </c>
      <c r="H416" s="36" t="str">
        <f>IFERROR(
ROUNDUP(
IF(AND($U$5=FALSE,$U$4=FALSE),"-",IF(AND($U$5=TRUE,$U$4=TRUE),"-",
IF((AND($U$4=TRUE,$U$5=FALSE,$U$6=FALSE,$U$7=FALSE)),VLOOKUP($E416,'Status Thresholds'!$E:$AR,4,FALSE),IF((AND($U$4=TRUE,$U$5=FALSE,$U$6=TRUE,$U$7=FALSE)),VLOOKUP($E416,'Status Thresholds'!$E:$AR,14,FALSE),IF((AND($U$4=TRUE,$U$5=FALSE,$U$6=TRUE,$U$7=TRUE)),VLOOKUP($E416,'Status Thresholds'!$E:$AR,19,FALSE),IF((AND($U$4=TRUE,$U$5=FALSE,$U$6=FALSE,$U$7=TRUE)),VLOOKUP($E416,'Status Thresholds'!$E:$AR,9,FALSE),
IF((AND($U$4=FALSE,$U$5=TRUE,$U$6=FALSE,$U$7=FALSE)),VLOOKUP($E416,'Status Thresholds'!$E:$AR,24,FALSE),IF((AND($U$4=FALSE,$U$5=TRUE,$U$6=TRUE,$U$7=FALSE)),VLOOKUP($E416,'Status Thresholds'!$E:$AR,34,FALSE),IF((AND($U$4=FALSE,$U$5=TRUE,$U$6=TRUE,$U$7=TRUE)),VLOOKUP($E416,'Status Thresholds'!$E:$AR,39,FALSE),IF((AND($U$4=FALSE,$U$5=TRUE,$U$6=FALSE,$U$7=TRUE)),VLOOKUP($E416,'Status Thresholds'!$E:$AR,29,FALSE)))))))))
))/
IF(OR($X$5=TRUE,$AC$3=TRUE
),($F$4/2), IF(OR($X$2,$X$3,$X$4,$X$6,$X$7,$X$8,$Z$2,$Z$3,$Z$4,$Z$5,$Z$6,$Z$7,$Z$8)=TRUE,$F$4)),0),"-")</f>
        <v>-</v>
      </c>
      <c r="I416" s="36" t="str">
        <f>IFERROR(
ROUNDUP(
IF(AND($U$5=FALSE,$U$4=FALSE),"-",IF(AND($U$5=TRUE,$U$4=TRUE),"-",
IF((AND($U$4=TRUE,$U$5=FALSE,$U$6=FALSE,$U$7=FALSE)),VLOOKUP($E416,'Status Thresholds'!$E:$AR,5,FALSE),IF((AND($U$4=TRUE,$U$5=FALSE,$U$6=TRUE,$U$7=FALSE)),VLOOKUP($E416,'Status Thresholds'!$E:$AR,15,FALSE),IF((AND($U$4=TRUE,$U$5=FALSE,$U$6=TRUE,$U$7=TRUE)),VLOOKUP($E416,'Status Thresholds'!$E:$AR,20,FALSE),IF((AND($U$4=TRUE,$U$5=FALSE,$U$6=FALSE,$U$7=TRUE)),VLOOKUP($E416,'Status Thresholds'!$E:$AR,10,FALSE),
IF((AND($U$4=FALSE,$U$5=TRUE,$U$6=FALSE,$U$7=FALSE)),VLOOKUP($E416,'Status Thresholds'!$E:$AR,25,FALSE),IF((AND($U$4=FALSE,$U$5=TRUE,$U$6=TRUE,$U$7=FALSE)),VLOOKUP($E416,'Status Thresholds'!$E:$AR,35,FALSE),IF((AND($U$4=FALSE,$U$5=TRUE,$U$6=TRUE,$U$7=TRUE)),VLOOKUP($E416,'Status Thresholds'!$E:$AR,40,FALSE),IF((AND($U$4=FALSE,$U$5=TRUE,$U$6=FALSE,$U$7=TRUE)),VLOOKUP($E416,'Status Thresholds'!$E:$AR,30,FALSE)))))))))
))/
IF(OR($X$5=TRUE,$AC$3=TRUE
),($F$4/2), IF(OR($X$2,$X$3,$X$4,$X$6,$X$7,$X$8,$Z$2,$Z$3,$Z$4,$Z$5,$Z$6,$Z$7,$Z$8)=TRUE,$F$4)),0),"-")</f>
        <v>-</v>
      </c>
      <c r="J416" s="46">
        <f>IFERROR(IF(AND($U$5=FALSE,$U$4=FALSE),"-",VLOOKUP($E416,'Status Thresholds'!$E:$AU,41,FALSE)),"-")</f>
        <v>40</v>
      </c>
      <c r="K416" s="46" t="str">
        <f>IFERROR(IF(AND($U$5=FALSE,$U$4=FALSE),"-",VLOOKUP($E416,'Status Thresholds'!$E:$AU,42,FALSE)),"-")</f>
        <v>-</v>
      </c>
      <c r="L416" s="46" t="str">
        <f>IFERROR(IF(AND($U$5=FALSE,$U$4=FALSE),"-",VLOOKUP($E416,'Status Thresholds'!$E:$AU,43,FALSE)),"-")</f>
        <v>-</v>
      </c>
    </row>
    <row r="417" spans="1:12" x14ac:dyDescent="0.25">
      <c r="A417" s="35"/>
      <c r="B417" s="64" t="str">
        <f>VLOOKUP(C417,'Status Thresholds'!B:C,2,FALSE)</f>
        <v>MHGen</v>
      </c>
      <c r="C417" s="64" t="str">
        <f>IF('Status Thresholds'!B412=0, "", 'Status Thresholds'!B412)</f>
        <v>Iodrome</v>
      </c>
      <c r="D417" s="32" t="s">
        <v>33</v>
      </c>
      <c r="E417" s="36" t="str">
        <f t="shared" si="6"/>
        <v>IodromePoison</v>
      </c>
      <c r="F417" s="36" t="str">
        <f>IFERROR(
ROUNDUP(
IF(AND($U$5=FALSE,$U$4=FALSE),"-",IF(AND($U$5=TRUE,$U$4=TRUE),"-",
IF((AND($U$4=TRUE,$U$5=FALSE,$U$6=FALSE,$U$7=FALSE)),VLOOKUP($E417,'Status Thresholds'!$E:$AR,2,FALSE),IF((AND($U$4=TRUE,$U$5=FALSE,$U$6=TRUE,$U$7=FALSE)),VLOOKUP($E417,'Status Thresholds'!$E:$AR,12,FALSE),IF((AND($U$4=TRUE,$U$5=FALSE,$U$6=TRUE,$U$7=TRUE)),VLOOKUP($E417,'Status Thresholds'!$E:$AR,17,FALSE),IF((AND($U$4=TRUE,$U$5=FALSE,$U$6=FALSE,$U$7=TRUE)),VLOOKUP($E417,'Status Thresholds'!$E:$AR,7,FALSE),
IF((AND($U$4=FALSE,$U$5=TRUE,$U$6=FALSE,$U$7=FALSE)),VLOOKUP($E417,'Status Thresholds'!$E:$AR,22,FALSE),IF((AND($U$4=FALSE,$U$5=TRUE,$U$6=TRUE,$U$7=FALSE)),VLOOKUP($E417,'Status Thresholds'!$E:$AR,32,FALSE),IF((AND($U$4=FALSE,$U$5=TRUE,$U$6=TRUE,$U$7=TRUE)),VLOOKUP($E417,'Status Thresholds'!$E:$AR,37,FALSE),IF((AND($U$4=FALSE,$U$5=TRUE,$U$6=FALSE,$U$7=TRUE)),VLOOKUP($E417,'Status Thresholds'!$E:$AR,27,FALSE)))))))))
))/
IF(OR($X$5=TRUE,$AC$3=TRUE
),($F$5/2), IF(OR($X$2,$X$3,$X$4,$X$6,$X$7,$X$8,$Z$2,$Z$3,$Z$4,$Z$5,$Z$6,$Z$7,$Z$8)=TRUE,$F$5)),0),"-")</f>
        <v>-</v>
      </c>
      <c r="G417" s="36" t="str">
        <f>IFERROR(
ROUNDUP(
IF(AND($U$5=FALSE,$U$4=FALSE),"-",IF(AND($U$5=TRUE,$U$4=TRUE),"-",
IF((AND($U$4=TRUE,$U$5=FALSE,$U$6=FALSE,$U$7=FALSE)),VLOOKUP($E417,'Status Thresholds'!$E:$AR,3,FALSE),IF((AND($U$4=TRUE,$U$5=FALSE,$U$6=TRUE,$U$7=FALSE)),VLOOKUP($E417,'Status Thresholds'!$E:$AR,13,FALSE),IF((AND($U$4=TRUE,$U$5=FALSE,$U$6=TRUE,$U$7=TRUE)),VLOOKUP($E417,'Status Thresholds'!$E:$AR,18,FALSE),IF((AND($U$4=TRUE,$U$5=FALSE,$U$6=FALSE,$U$7=TRUE)),VLOOKUP($E417,'Status Thresholds'!$E:$AR,8,FALSE),
IF((AND($U$4=FALSE,$U$5=TRUE,$U$6=FALSE,$U$7=FALSE)),VLOOKUP($E417,'Status Thresholds'!$E:$AR,23,FALSE),IF((AND($U$4=FALSE,$U$5=TRUE,$U$6=TRUE,$U$7=FALSE)),VLOOKUP($E417,'Status Thresholds'!$E:$AR,33,FALSE),IF((AND($U$4=FALSE,$U$5=TRUE,$U$6=TRUE,$U$7=TRUE)),VLOOKUP($E417,'Status Thresholds'!$E:$AR,38,FALSE),IF((AND($U$4=FALSE,$U$5=TRUE,$U$6=FALSE,$U$7=TRUE)),VLOOKUP($E417,'Status Thresholds'!$E:$AR,28,FALSE)))))))))
))/
IF(OR($X$5=TRUE,$AC$3=TRUE
),($F$5/2), IF(OR($X$2,$X$3,$X$4,$X$6,$X$7,$X$8,$Z$2,$Z$3,$Z$4,$Z$5,$Z$6,$Z$7,$Z$8)=TRUE,$F$5)),0),"-")</f>
        <v>-</v>
      </c>
      <c r="H417" s="36" t="str">
        <f>IFERROR(
ROUNDUP(
IF(AND($U$5=FALSE,$U$4=FALSE),"-",IF(AND($U$5=TRUE,$U$4=TRUE),"-",
IF((AND($U$4=TRUE,$U$5=FALSE,$U$6=FALSE,$U$7=FALSE)),VLOOKUP($E417,'Status Thresholds'!$E:$AR,4,FALSE),IF((AND($U$4=TRUE,$U$5=FALSE,$U$6=TRUE,$U$7=FALSE)),VLOOKUP($E417,'Status Thresholds'!$E:$AR,14,FALSE),IF((AND($U$4=TRUE,$U$5=FALSE,$U$6=TRUE,$U$7=TRUE)),VLOOKUP($E417,'Status Thresholds'!$E:$AR,19,FALSE),IF((AND($U$4=TRUE,$U$5=FALSE,$U$6=FALSE,$U$7=TRUE)),VLOOKUP($E417,'Status Thresholds'!$E:$AR,9,FALSE),
IF((AND($U$4=FALSE,$U$5=TRUE,$U$6=FALSE,$U$7=FALSE)),VLOOKUP($E417,'Status Thresholds'!$E:$AR,24,FALSE),IF((AND($U$4=FALSE,$U$5=TRUE,$U$6=TRUE,$U$7=FALSE)),VLOOKUP($E417,'Status Thresholds'!$E:$AR,34,FALSE),IF((AND($U$4=FALSE,$U$5=TRUE,$U$6=TRUE,$U$7=TRUE)),VLOOKUP($E417,'Status Thresholds'!$E:$AR,39,FALSE),IF((AND($U$4=FALSE,$U$5=TRUE,$U$6=FALSE,$U$7=TRUE)),VLOOKUP($E417,'Status Thresholds'!$E:$AR,29,FALSE)))))))))
))/
IF(OR($X$5=TRUE,$AC$3=TRUE
),($F$5/2), IF(OR($X$2,$X$3,$X$4,$X$6,$X$7,$X$8,$Z$2,$Z$3,$Z$4,$Z$5,$Z$6,$Z$7,$Z$8)=TRUE,$F$5)),0),"-")</f>
        <v>-</v>
      </c>
      <c r="I417" s="36" t="str">
        <f>IFERROR(
ROUNDUP(
IF(AND($U$5=FALSE,$U$4=FALSE),"-",IF(AND($U$5=TRUE,$U$4=TRUE),"-",
IF((AND($U$4=TRUE,$U$5=FALSE,$U$6=FALSE,$U$7=FALSE)),VLOOKUP($E417,'Status Thresholds'!$E:$AR,5,FALSE),IF((AND($U$4=TRUE,$U$5=FALSE,$U$6=TRUE,$U$7=FALSE)),VLOOKUP($E417,'Status Thresholds'!$E:$AR,15,FALSE),IF((AND($U$4=TRUE,$U$5=FALSE,$U$6=TRUE,$U$7=TRUE)),VLOOKUP($E417,'Status Thresholds'!$E:$AR,20,FALSE),IF((AND($U$4=TRUE,$U$5=FALSE,$U$6=FALSE,$U$7=TRUE)),VLOOKUP($E417,'Status Thresholds'!$E:$AR,10,FALSE),
IF((AND($U$4=FALSE,$U$5=TRUE,$U$6=FALSE,$U$7=FALSE)),VLOOKUP($E417,'Status Thresholds'!$E:$AR,25,FALSE),IF((AND($U$4=FALSE,$U$5=TRUE,$U$6=TRUE,$U$7=FALSE)),VLOOKUP($E417,'Status Thresholds'!$E:$AR,35,FALSE),IF((AND($U$4=FALSE,$U$5=TRUE,$U$6=TRUE,$U$7=TRUE)),VLOOKUP($E417,'Status Thresholds'!$E:$AR,40,FALSE),IF((AND($U$4=FALSE,$U$5=TRUE,$U$6=FALSE,$U$7=TRUE)),VLOOKUP($E417,'Status Thresholds'!$E:$AR,30,FALSE)))))))))
))/
IF(OR($X$5=TRUE,$AC$3=TRUE
),($F$5/2), IF(OR($X$2,$X$3,$X$4,$X$6,$X$7,$X$8,$Z$2,$Z$3,$Z$4,$Z$5,$Z$6,$Z$7,$Z$8)=TRUE,$F$5)),0),"-")</f>
        <v>-</v>
      </c>
      <c r="J417" s="46">
        <f>IFERROR(IF(AND($U$5=FALSE,$U$4=FALSE),"-",VLOOKUP($E417,'Status Thresholds'!$E:$AU,41,FALSE)),"-")</f>
        <v>20</v>
      </c>
      <c r="K417" s="46" t="str">
        <f>IFERROR(IF(AND($U$5=FALSE,$U$4=FALSE),"-",VLOOKUP($E417,'Status Thresholds'!$E:$AU,42,FALSE)),"-")</f>
        <v>-</v>
      </c>
      <c r="L417" s="46" t="str">
        <f>IFERROR(IF(AND($U$5=FALSE,$U$4=FALSE),"-",VLOOKUP($E417,'Status Thresholds'!$E:$AU,43,FALSE)),"-")</f>
        <v>-</v>
      </c>
    </row>
    <row r="418" spans="1:12" x14ac:dyDescent="0.25">
      <c r="A418" s="35"/>
      <c r="B418" s="64" t="str">
        <f>VLOOKUP(C418,'Status Thresholds'!B:C,2,FALSE)</f>
        <v>MHGen</v>
      </c>
      <c r="C418" s="64" t="str">
        <f>IF('Status Thresholds'!B413=0, "", 'Status Thresholds'!B413)</f>
        <v>Iodrome</v>
      </c>
      <c r="D418" s="10" t="s">
        <v>22</v>
      </c>
      <c r="E418" s="36" t="str">
        <f t="shared" si="6"/>
        <v>IodromeExhaust</v>
      </c>
      <c r="F418" s="36" t="str">
        <f>IFERROR(
ROUNDUP(
IF(AND($U$5=FALSE,$U$4=FALSE),"-",IF(AND($U$5=TRUE,$U$4=TRUE),"-",
IF((AND($U$4=TRUE,$U$5=FALSE,$U$6=FALSE,$U$7=FALSE)),VLOOKUP($E418,'Status Thresholds'!$E:$AR,2,FALSE),IF((AND($U$4=TRUE,$U$5=FALSE,$U$6=TRUE,$U$7=FALSE)),VLOOKUP($E418,'Status Thresholds'!$E:$AR,12,FALSE),IF((AND($U$4=TRUE,$U$5=FALSE,$U$6=TRUE,$U$7=TRUE)),VLOOKUP($E418,'Status Thresholds'!$E:$AR,17,FALSE),IF((AND($U$4=TRUE,$U$5=FALSE,$U$6=FALSE,$U$7=TRUE)),VLOOKUP($E418,'Status Thresholds'!$E:$AR,7,FALSE),
IF((AND($U$4=FALSE,$U$5=TRUE,$U$6=FALSE,$U$7=FALSE)),VLOOKUP($E418,'Status Thresholds'!$E:$AR,22,FALSE),IF((AND($U$4=FALSE,$U$5=TRUE,$U$6=TRUE,$U$7=FALSE)),VLOOKUP($E418,'Status Thresholds'!$E:$AR,32,FALSE),IF((AND($U$4=FALSE,$U$5=TRUE,$U$6=TRUE,$U$7=TRUE)),VLOOKUP($E418,'Status Thresholds'!$E:$AR,37,FALSE),IF((AND($U$4=FALSE,$U$5=TRUE,$U$6=FALSE,$U$7=TRUE)),VLOOKUP($E418,'Status Thresholds'!$E:$AR,27,FALSE)))))))))
))/
IF(OR($X$5=TRUE,$AC$3=TRUE
),($F$6/2), IF(OR($X$2,$X$3,$X$4,$X$6,$X$7,$X$8,$Z$2,$Z$3,$Z$4,$Z$5,$Z$6,$Z$7,$Z$8)=TRUE,$F$6)),0),"-")</f>
        <v>-</v>
      </c>
      <c r="G418" s="36" t="str">
        <f>IFERROR(
ROUNDUP(
IF(AND($U$5=FALSE,$U$4=FALSE),"-",IF(AND($U$5=TRUE,$U$4=TRUE),"-",
IF((AND($U$4=TRUE,$U$5=FALSE,$U$6=FALSE,$U$7=FALSE)),VLOOKUP($E418,'Status Thresholds'!$E:$AR,3,FALSE),IF((AND($U$4=TRUE,$U$5=FALSE,$U$6=TRUE,$U$7=FALSE)),VLOOKUP($E418,'Status Thresholds'!$E:$AR,13,FALSE),IF((AND($U$4=TRUE,$U$5=FALSE,$U$6=TRUE,$U$7=TRUE)),VLOOKUP($E418,'Status Thresholds'!$E:$AR,18,FALSE),IF((AND($U$4=TRUE,$U$5=FALSE,$U$6=FALSE,$U$7=TRUE)),VLOOKUP($E418,'Status Thresholds'!$E:$AR,8,FALSE),
IF((AND($U$4=FALSE,$U$5=TRUE,$U$6=FALSE,$U$7=FALSE)),VLOOKUP($E418,'Status Thresholds'!$E:$AR,23,FALSE),IF((AND($U$4=FALSE,$U$5=TRUE,$U$6=TRUE,$U$7=FALSE)),VLOOKUP($E418,'Status Thresholds'!$E:$AR,33,FALSE),IF((AND($U$4=FALSE,$U$5=TRUE,$U$6=TRUE,$U$7=TRUE)),VLOOKUP($E418,'Status Thresholds'!$E:$AR,38,FALSE),IF((AND($U$4=FALSE,$U$5=TRUE,$U$6=FALSE,$U$7=TRUE)),VLOOKUP($E418,'Status Thresholds'!$E:$AR,28,FALSE)))))))))
))/
IF(OR($X$5=TRUE,$AC$3=TRUE
),($F$6/2), IF(OR($X$2,$X$3,$X$4,$X$6,$X$7,$X$8,$Z$2,$Z$3,$Z$4,$Z$5,$Z$6,$Z$7,$Z$8)=TRUE,$F$6)),0),"-")</f>
        <v>-</v>
      </c>
      <c r="H418" s="36" t="str">
        <f>IFERROR(
ROUNDUP(
IF(AND($U$5=FALSE,$U$4=FALSE),"-",IF(AND($U$5=TRUE,$U$4=TRUE),"-",
IF((AND($U$4=TRUE,$U$5=FALSE,$U$6=FALSE,$U$7=FALSE)),VLOOKUP($E418,'Status Thresholds'!$E:$AR,4,FALSE),IF((AND($U$4=TRUE,$U$5=FALSE,$U$6=TRUE,$U$7=FALSE)),VLOOKUP($E418,'Status Thresholds'!$E:$AR,14,FALSE),IF((AND($U$4=TRUE,$U$5=FALSE,$U$6=TRUE,$U$7=TRUE)),VLOOKUP($E418,'Status Thresholds'!$E:$AR,19,FALSE),IF((AND($U$4=TRUE,$U$5=FALSE,$U$6=FALSE,$U$7=TRUE)),VLOOKUP($E418,'Status Thresholds'!$E:$AR,9,FALSE),
IF((AND($U$4=FALSE,$U$5=TRUE,$U$6=FALSE,$U$7=FALSE)),VLOOKUP($E418,'Status Thresholds'!$E:$AR,24,FALSE),IF((AND($U$4=FALSE,$U$5=TRUE,$U$6=TRUE,$U$7=FALSE)),VLOOKUP($E418,'Status Thresholds'!$E:$AR,34,FALSE),IF((AND($U$4=FALSE,$U$5=TRUE,$U$6=TRUE,$U$7=TRUE)),VLOOKUP($E418,'Status Thresholds'!$E:$AR,39,FALSE),IF((AND($U$4=FALSE,$U$5=TRUE,$U$6=FALSE,$U$7=TRUE)),VLOOKUP($E418,'Status Thresholds'!$E:$AR,29,FALSE)))))))))
))/
IF(OR($X$5=TRUE,$AC$3=TRUE
),($F$6/2), IF(OR($X$2,$X$3,$X$4,$X$6,$X$7,$X$8,$Z$2,$Z$3,$Z$4,$Z$5,$Z$6,$Z$7,$Z$8)=TRUE,$F$6)),0),"-")</f>
        <v>-</v>
      </c>
      <c r="I418" s="36" t="str">
        <f>IFERROR(
ROUNDUP(
IF(AND($U$5=FALSE,$U$4=FALSE),"-",IF(AND($U$5=TRUE,$U$4=TRUE),"-",
IF((AND($U$4=TRUE,$U$5=FALSE,$U$6=FALSE,$U$7=FALSE)),VLOOKUP($E418,'Status Thresholds'!$E:$AR,5,FALSE),IF((AND($U$4=TRUE,$U$5=FALSE,$U$6=TRUE,$U$7=FALSE)),VLOOKUP($E418,'Status Thresholds'!$E:$AR,15,FALSE),IF((AND($U$4=TRUE,$U$5=FALSE,$U$6=TRUE,$U$7=TRUE)),VLOOKUP($E418,'Status Thresholds'!$E:$AR,20,FALSE),IF((AND($U$4=TRUE,$U$5=FALSE,$U$6=FALSE,$U$7=TRUE)),VLOOKUP($E418,'Status Thresholds'!$E:$AR,10,FALSE),
IF((AND($U$4=FALSE,$U$5=TRUE,$U$6=FALSE,$U$7=FALSE)),VLOOKUP($E418,'Status Thresholds'!$E:$AR,25,FALSE),IF((AND($U$4=FALSE,$U$5=TRUE,$U$6=TRUE,$U$7=FALSE)),VLOOKUP($E418,'Status Thresholds'!$E:$AR,35,FALSE),IF((AND($U$4=FALSE,$U$5=TRUE,$U$6=TRUE,$U$7=TRUE)),VLOOKUP($E418,'Status Thresholds'!$E:$AR,40,FALSE),IF((AND($U$4=FALSE,$U$5=TRUE,$U$6=FALSE,$U$7=TRUE)),VLOOKUP($E418,'Status Thresholds'!$E:$AR,30,FALSE)))))))))
))/
IF(OR($X$5=TRUE,$AC$3=TRUE
),($F$6/2), IF(OR($X$2,$X$3,$X$4,$X$6,$X$7,$X$8,$Z$2,$Z$3,$Z$4,$Z$5,$Z$6,$Z$7,$Z$8)=TRUE,$F$6)),0),"-")</f>
        <v>-</v>
      </c>
      <c r="J418" s="46">
        <f>IFERROR(IF(AND($U$5=FALSE,$U$4=FALSE),"-",VLOOKUP($E418,'Status Thresholds'!$E:$AU,41,FALSE)),"-")</f>
        <v>0</v>
      </c>
      <c r="K418" s="46" t="str">
        <f>IFERROR(IF(AND($U$5=FALSE,$U$4=FALSE),"-",VLOOKUP($E418,'Status Thresholds'!$E:$AU,42,FALSE)),"-")</f>
        <v>-</v>
      </c>
      <c r="L418" s="46" t="str">
        <f>IFERROR(IF(AND($U$5=FALSE,$U$4=FALSE),"-",VLOOKUP($E418,'Status Thresholds'!$E:$AU,43,FALSE)),"-")</f>
        <v>-</v>
      </c>
    </row>
    <row r="419" spans="1:12" x14ac:dyDescent="0.25">
      <c r="A419" s="35"/>
      <c r="B419" s="64" t="str">
        <f>VLOOKUP(C419,'Status Thresholds'!B:C,2,FALSE)</f>
        <v>MHGen</v>
      </c>
      <c r="C419" s="64" t="str">
        <f>IF('Status Thresholds'!B414=0, "", 'Status Thresholds'!B414)</f>
        <v>Iodrome</v>
      </c>
      <c r="D419" s="30" t="s">
        <v>35</v>
      </c>
      <c r="E419" s="36" t="str">
        <f t="shared" si="6"/>
        <v>IodromeBlast</v>
      </c>
      <c r="F419" s="36" t="str">
        <f>IFERROR(
ROUNDUP(
IF(AND($U$5=FALSE,$U$4=FALSE),"-",IF(AND($U$5=TRUE,$U$4=TRUE),"-",
IF((AND($U$4=TRUE,$U$5=FALSE,$U$6=FALSE,$U$7=FALSE)),VLOOKUP($E419,'Status Thresholds'!$E:$AR,2,FALSE),IF((AND($U$4=TRUE,$U$5=FALSE,$U$6=TRUE,$U$7=FALSE)),VLOOKUP($E419,'Status Thresholds'!$E:$AR,12,FALSE),IF((AND($U$4=TRUE,$U$5=FALSE,$U$6=TRUE,$U$7=TRUE)),VLOOKUP($E419,'Status Thresholds'!$E:$AR,17,FALSE),IF((AND($U$4=TRUE,$U$5=FALSE,$U$6=FALSE,$U$7=TRUE)),VLOOKUP($E419,'Status Thresholds'!$E:$AR,7,FALSE),
IF((AND($U$4=FALSE,$U$5=TRUE,$U$6=FALSE,$U$7=FALSE)),VLOOKUP($E419,'Status Thresholds'!$E:$AR,22,FALSE),IF((AND($U$4=FALSE,$U$5=TRUE,$U$6=TRUE,$U$7=FALSE)),VLOOKUP($E419,'Status Thresholds'!$E:$AR,32,FALSE),IF((AND($U$4=FALSE,$U$5=TRUE,$U$6=TRUE,$U$7=TRUE)),VLOOKUP($E419,'Status Thresholds'!$E:$AR,37,FALSE),IF((AND($U$4=FALSE,$U$5=TRUE,$U$6=FALSE,$U$7=TRUE)),VLOOKUP($E419,'Status Thresholds'!$E:$AR,27,FALSE)))))))))
))/
IF(OR($X$5=TRUE,$AC$3=TRUE
),($F$7/2), IF(OR($X$2,$X$3,$X$4,$X$6,$X$7,$X$8,$Z$2,$Z$3,$Z$4,$Z$5,$Z$6,$Z$7,$Z$8)=TRUE,$F$7)),0),"-")</f>
        <v>-</v>
      </c>
      <c r="G419" s="36" t="str">
        <f>IFERROR(
ROUNDUP(
IF(AND($U$5=FALSE,$U$4=FALSE),"-",IF(AND($U$5=TRUE,$U$4=TRUE),"-",
IF((AND($U$4=TRUE,$U$5=FALSE,$U$6=FALSE,$U$7=FALSE)),VLOOKUP($E419,'Status Thresholds'!$E:$AR,3,FALSE),IF((AND($U$4=TRUE,$U$5=FALSE,$U$6=TRUE,$U$7=FALSE)),VLOOKUP($E419,'Status Thresholds'!$E:$AR,13,FALSE),IF((AND($U$4=TRUE,$U$5=FALSE,$U$6=TRUE,$U$7=TRUE)),VLOOKUP($E419,'Status Thresholds'!$E:$AR,18,FALSE),IF((AND($U$4=TRUE,$U$5=FALSE,$U$6=FALSE,$U$7=TRUE)),VLOOKUP($E419,'Status Thresholds'!$E:$AR,8,FALSE),
IF((AND($U$4=FALSE,$U$5=TRUE,$U$6=FALSE,$U$7=FALSE)),VLOOKUP($E419,'Status Thresholds'!$E:$AR,23,FALSE),IF((AND($U$4=FALSE,$U$5=TRUE,$U$6=TRUE,$U$7=FALSE)),VLOOKUP($E419,'Status Thresholds'!$E:$AR,33,FALSE),IF((AND($U$4=FALSE,$U$5=TRUE,$U$6=TRUE,$U$7=TRUE)),VLOOKUP($E419,'Status Thresholds'!$E:$AR,38,FALSE),IF((AND($U$4=FALSE,$U$5=TRUE,$U$6=FALSE,$U$7=TRUE)),VLOOKUP($E419,'Status Thresholds'!$E:$AR,28,FALSE)))))))))
))/
IF(OR($X$5=TRUE,$AC$3=TRUE
),($F$7/2), IF(OR($X$2,$X$3,$X$4,$X$6,$X$7,$X$8,$Z$2,$Z$3,$Z$4,$Z$5,$Z$6,$Z$7,$Z$8)=TRUE,$F$7)),0),"-")</f>
        <v>-</v>
      </c>
      <c r="H419" s="36" t="str">
        <f>IFERROR(
ROUNDUP(
IF(AND($U$5=FALSE,$U$4=FALSE),"-",IF(AND($U$5=TRUE,$U$4=TRUE),"-",
IF((AND($U$4=TRUE,$U$5=FALSE,$U$6=FALSE,$U$7=FALSE)),VLOOKUP($E419,'Status Thresholds'!$E:$AR,4,FALSE),IF((AND($U$4=TRUE,$U$5=FALSE,$U$6=TRUE,$U$7=FALSE)),VLOOKUP($E419,'Status Thresholds'!$E:$AR,14,FALSE),IF((AND($U$4=TRUE,$U$5=FALSE,$U$6=TRUE,$U$7=TRUE)),VLOOKUP($E419,'Status Thresholds'!$E:$AR,19,FALSE),IF((AND($U$4=TRUE,$U$5=FALSE,$U$6=FALSE,$U$7=TRUE)),VLOOKUP($E419,'Status Thresholds'!$E:$AR,9,FALSE),
IF((AND($U$4=FALSE,$U$5=TRUE,$U$6=FALSE,$U$7=FALSE)),VLOOKUP($E419,'Status Thresholds'!$E:$AR,24,FALSE),IF((AND($U$4=FALSE,$U$5=TRUE,$U$6=TRUE,$U$7=FALSE)),VLOOKUP($E419,'Status Thresholds'!$E:$AR,34,FALSE),IF((AND($U$4=FALSE,$U$5=TRUE,$U$6=TRUE,$U$7=TRUE)),VLOOKUP($E419,'Status Thresholds'!$E:$AR,39,FALSE),IF((AND($U$4=FALSE,$U$5=TRUE,$U$6=FALSE,$U$7=TRUE)),VLOOKUP($E419,'Status Thresholds'!$E:$AR,29,FALSE)))))))))
))/
IF(OR($X$5=TRUE,$AC$3=TRUE
),($F$7/2), IF(OR($X$2,$X$3,$X$4,$X$6,$X$7,$X$8,$Z$2,$Z$3,$Z$4,$Z$5,$Z$6,$Z$7,$Z$8)=TRUE,$F$7)),0),"-")</f>
        <v>-</v>
      </c>
      <c r="I419" s="36" t="str">
        <f>IFERROR(
ROUNDUP(
IF(AND($U$5=FALSE,$U$4=FALSE),"-",IF(AND($U$5=TRUE,$U$4=TRUE),"-",
IF((AND($U$4=TRUE,$U$5=FALSE,$U$6=FALSE,$U$7=FALSE)),VLOOKUP($E419,'Status Thresholds'!$E:$AR,5,FALSE),IF((AND($U$4=TRUE,$U$5=FALSE,$U$6=TRUE,$U$7=FALSE)),VLOOKUP($E419,'Status Thresholds'!$E:$AR,15,FALSE),IF((AND($U$4=TRUE,$U$5=FALSE,$U$6=TRUE,$U$7=TRUE)),VLOOKUP($E419,'Status Thresholds'!$E:$AR,20,FALSE),IF((AND($U$4=TRUE,$U$5=FALSE,$U$6=FALSE,$U$7=TRUE)),VLOOKUP($E419,'Status Thresholds'!$E:$AR,10,FALSE),
IF((AND($U$4=FALSE,$U$5=TRUE,$U$6=FALSE,$U$7=FALSE)),VLOOKUP($E419,'Status Thresholds'!$E:$AR,25,FALSE),IF((AND($U$4=FALSE,$U$5=TRUE,$U$6=TRUE,$U$7=FALSE)),VLOOKUP($E419,'Status Thresholds'!$E:$AR,35,FALSE),IF((AND($U$4=FALSE,$U$5=TRUE,$U$6=TRUE,$U$7=TRUE)),VLOOKUP($E419,'Status Thresholds'!$E:$AR,40,FALSE),IF((AND($U$4=FALSE,$U$5=TRUE,$U$6=FALSE,$U$7=TRUE)),VLOOKUP($E419,'Status Thresholds'!$E:$AR,30,FALSE)))))))))
))/
IF(OR($X$5=TRUE,$AC$3=TRUE
),($F$7/2), IF(OR($X$2,$X$3,$X$4,$X$6,$X$7,$X$8,$Z$2,$Z$3,$Z$4,$Z$5,$Z$6,$Z$7,$Z$8)=TRUE,$F$7)),0),"-")</f>
        <v>-</v>
      </c>
      <c r="J419" s="46">
        <f>IFERROR(IF(AND($U$5=FALSE,$U$4=FALSE),"-",VLOOKUP($E419,'Status Thresholds'!$E:$AU,41,FALSE)),"-")</f>
        <v>0</v>
      </c>
      <c r="K419" s="46" t="str">
        <f>IFERROR(IF(AND($U$5=FALSE,$U$4=FALSE),"-",VLOOKUP($E419,'Status Thresholds'!$E:$AU,42,FALSE)),"-")</f>
        <v>-</v>
      </c>
      <c r="L419" s="46" t="str">
        <f>IFERROR(IF(AND($U$5=FALSE,$U$4=FALSE),"-",VLOOKUP($E419,'Status Thresholds'!$E:$AU,43,FALSE)),"-")</f>
        <v>-</v>
      </c>
    </row>
    <row r="420" spans="1:12" ht="14.45" customHeight="1" x14ac:dyDescent="0.25">
      <c r="A420" s="35"/>
      <c r="B420" s="64" t="str">
        <f>VLOOKUP(C420,'Status Thresholds'!B:C,2,FALSE)</f>
        <v>MHGen</v>
      </c>
      <c r="C420" s="64" t="str">
        <f>IF('Status Thresholds'!B415=0, "", 'Status Thresholds'!B415)</f>
        <v>Iodrome</v>
      </c>
      <c r="D420" s="34" t="s">
        <v>14</v>
      </c>
      <c r="E420" s="36" t="str">
        <f t="shared" si="6"/>
        <v>IodromeKO</v>
      </c>
      <c r="F420" s="36" t="s">
        <v>214</v>
      </c>
      <c r="G420" s="36" t="s">
        <v>214</v>
      </c>
      <c r="H420" s="36" t="s">
        <v>214</v>
      </c>
      <c r="I420" s="36" t="s">
        <v>214</v>
      </c>
      <c r="J420" s="46">
        <f>IFERROR(IF(AND($U$5=FALSE,$U$4=FALSE),"-",VLOOKUP($E420,'Status Thresholds'!$E:$AU,41,FALSE)),"-")</f>
        <v>10</v>
      </c>
      <c r="K420" s="46" t="str">
        <f>IFERROR(IF(AND($U$5=FALSE,$U$4=FALSE),"-",VLOOKUP($E420,'Status Thresholds'!$E:$AU,42,FALSE)),"-")</f>
        <v>-</v>
      </c>
      <c r="L420" s="46" t="str">
        <f>IFERROR(IF(AND($U$5=FALSE,$U$4=FALSE),"-",VLOOKUP($E420,'Status Thresholds'!$E:$AU,43,FALSE)),"-")</f>
        <v>-</v>
      </c>
    </row>
    <row r="421" spans="1:12" x14ac:dyDescent="0.25">
      <c r="A421" s="35"/>
      <c r="B421" s="64" t="str">
        <f>VLOOKUP(C421,'Status Thresholds'!B:C,2,FALSE)</f>
        <v>MHGen</v>
      </c>
      <c r="C421" s="64" t="str">
        <f>IF('Status Thresholds'!B416=0, "", 'Status Thresholds'!B416)</f>
        <v>Iodrome</v>
      </c>
      <c r="D421" s="33" t="s">
        <v>34</v>
      </c>
      <c r="E421" s="36" t="str">
        <f t="shared" si="6"/>
        <v>IodromeMount</v>
      </c>
      <c r="F421" s="36" t="str">
        <f>IFERROR(
ROUNDUP(
IF(AND($U$5=FALSE,$U$4=FALSE),"-",IF(AND($U$5=TRUE,$U$4=TRUE),"-",
IF((AND($U$4=TRUE,$U$5=FALSE,$U$6=FALSE,$U$7=FALSE)),VLOOKUP($E421,'Status Thresholds'!$E:$AR,2,FALSE),IF((AND($U$4=TRUE,$U$5=FALSE,$U$6=TRUE,$U$7=FALSE)),VLOOKUP($E421,'Status Thresholds'!$E:$AR,12,FALSE),IF((AND($U$4=TRUE,$U$5=FALSE,$U$6=TRUE,$U$7=TRUE)),VLOOKUP($E421,'Status Thresholds'!$E:$AR,17,FALSE),IF((AND($U$4=TRUE,$U$5=FALSE,$U$6=FALSE,$U$7=TRUE)),VLOOKUP($E421,'Status Thresholds'!$E:$AR,7,FALSE),
IF((AND($U$4=FALSE,$U$5=TRUE,$U$6=FALSE,$U$7=FALSE)),VLOOKUP($E421,'Status Thresholds'!$E:$AR,22,FALSE),IF((AND($U$4=FALSE,$U$5=TRUE,$U$6=TRUE,$U$7=FALSE)),VLOOKUP($E421,'Status Thresholds'!$E:$AR,32,FALSE),IF((AND($U$4=FALSE,$U$5=TRUE,$U$6=TRUE,$U$7=TRUE)),VLOOKUP($E421,'Status Thresholds'!$E:$AR,37,FALSE),IF((AND($U$4=FALSE,$U$5=TRUE,$U$6=FALSE,$U$7=TRUE)),VLOOKUP($E421,'Status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421" s="36" t="str">
        <f>IFERROR(
ROUNDUP(
IF(AND($U$5=FALSE,$U$4=FALSE),"-",IF(AND($U$5=TRUE,$U$4=TRUE),"-",
IF((AND($U$4=TRUE,$U$5=FALSE,$U$6=FALSE,$U$7=FALSE)),VLOOKUP($E420,'Status Thresholds'!$E:$AR,3,FALSE),IF((AND($U$4=TRUE,$U$5=FALSE,$U$6=TRUE,$U$7=FALSE)),VLOOKUP($E420,'Status Thresholds'!$E:$AR,13,FALSE),IF((AND($U$4=TRUE,$U$5=FALSE,$U$6=TRUE,$U$7=TRUE)),VLOOKUP($E420,'Status Thresholds'!$E:$AR,18,FALSE),IF((AND($U$4=TRUE,$U$5=FALSE,$U$6=FALSE,$U$7=TRUE)),VLOOKUP($E420,'Status Thresholds'!$E:$AR,8,FALSE),
IF((AND($U$4=FALSE,$U$5=TRUE,$U$6=FALSE,$U$7=FALSE)),VLOOKUP($E420,'Status Thresholds'!$E:$AR,23,FALSE),IF((AND($U$4=FALSE,$U$5=TRUE,$U$6=TRUE,$U$7=FALSE)),VLOOKUP($E420,'Status Thresholds'!$E:$AR,33,FALSE),IF((AND($U$4=FALSE,$U$5=TRUE,$U$6=TRUE,$U$7=TRUE)),VLOOKUP($E420,'Status Thresholds'!$E:$AR,38,FALSE),IF((AND($U$4=FALSE,$U$5=TRUE,$U$6=FALSE,$U$7=TRUE)),VLOOKUP($E420,'Status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421" s="36" t="str">
        <f>IFERROR(
ROUNDUP(
IF(AND($U$5=FALSE,$U$4=FALSE),"-",IF(AND($U$5=TRUE,$U$4=TRUE),"-",
IF((AND($U$4=TRUE,$U$5=FALSE,$U$6=FALSE,$U$7=FALSE)),VLOOKUP($E420,'Status Thresholds'!$E:$AR,4,FALSE),IF((AND($U$4=TRUE,$U$5=FALSE,$U$6=TRUE,$U$7=FALSE)),VLOOKUP($E420,'Status Thresholds'!$E:$AR,14,FALSE),IF((AND($U$4=TRUE,$U$5=FALSE,$U$6=TRUE,$U$7=TRUE)),VLOOKUP($E420,'Status Thresholds'!$E:$AR,19,FALSE),IF((AND($U$4=TRUE,$U$5=FALSE,$U$6=FALSE,$U$7=TRUE)),VLOOKUP($E420,'Status Thresholds'!$E:$AR,9,FALSE),
IF((AND($U$4=FALSE,$U$5=TRUE,$U$6=FALSE,$U$7=FALSE)),VLOOKUP($E420,'Status Thresholds'!$E:$AR,24,FALSE),IF((AND($U$4=FALSE,$U$5=TRUE,$U$6=TRUE,$U$7=FALSE)),VLOOKUP($E420,'Status Thresholds'!$E:$AR,34,FALSE),IF((AND($U$4=FALSE,$U$5=TRUE,$U$6=TRUE,$U$7=TRUE)),VLOOKUP($E420,'Status Thresholds'!$E:$AR,39,FALSE),IF((AND($U$4=FALSE,$U$5=TRUE,$U$6=FALSE,$U$7=TRUE)),VLOOKUP($E420,'Status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421" s="36" t="str">
        <f>IFERROR(
ROUNDUP(
IF(AND($U$5=FALSE,$U$4=FALSE),"-",IF(AND($U$5=TRUE,$U$4=TRUE),"-",
IF((AND($U$4=TRUE,$U$5=FALSE,$U$6=FALSE,$U$7=FALSE)),VLOOKUP($E420,'Status Thresholds'!$E:$AR,5,FALSE),IF((AND($U$4=TRUE,$U$5=FALSE,$U$6=TRUE,$U$7=FALSE)),VLOOKUP($E420,'Status Thresholds'!$E:$AR,15,FALSE),IF((AND($U$4=TRUE,$U$5=FALSE,$U$6=TRUE,$U$7=TRUE)),VLOOKUP($E420,'Status Thresholds'!$E:$AR,20,FALSE),IF((AND($U$4=TRUE,$U$5=FALSE,$U$6=FALSE,$U$7=TRUE)),VLOOKUP($E420,'Status Thresholds'!$E:$AR,10,FALSE),
IF((AND($U$4=FALSE,$U$5=TRUE,$U$6=FALSE,$U$7=FALSE)),VLOOKUP($E420,'Status Thresholds'!$E:$AR,25,FALSE),IF((AND($U$4=FALSE,$U$5=TRUE,$U$6=TRUE,$U$7=FALSE)),VLOOKUP($E420,'Status Thresholds'!$E:$AR,35,FALSE),IF((AND($U$4=FALSE,$U$5=TRUE,$U$6=TRUE,$U$7=TRUE)),VLOOKUP($E420,'Status Thresholds'!$E:$AR,40,FALSE),IF((AND($U$4=FALSE,$U$5=TRUE,$U$6=FALSE,$U$7=TRUE)),VLOOKUP($E420,'Status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421" s="46">
        <f>IFERROR(IF(AND($U$5=FALSE,$U$4=FALSE),"-",VLOOKUP($E421,'Status Thresholds'!$E:$AU,41,FALSE)),"-")</f>
        <v>0</v>
      </c>
      <c r="K421" s="46" t="str">
        <f>IFERROR(IF(AND($U$5=FALSE,$U$4=FALSE),"-",VLOOKUP($E421,'Status Thresholds'!$E:$AU,42,FALSE)),"-")</f>
        <v>-</v>
      </c>
      <c r="L421" s="46" t="str">
        <f>IFERROR(IF(AND($U$5=FALSE,$U$4=FALSE),"-",VLOOKUP($E421,'Status Thresholds'!$E:$AU,43,FALSE)),"-")</f>
        <v>-</v>
      </c>
    </row>
    <row r="422" spans="1:12" ht="15" customHeight="1" x14ac:dyDescent="0.25">
      <c r="A422" s="35"/>
      <c r="B422" s="64" t="str">
        <f>VLOOKUP(C422,'Status Thresholds'!B:C,2,FALSE)</f>
        <v>MHGen</v>
      </c>
      <c r="C422" s="64" t="str">
        <f>IF('Status Thresholds'!B417=0, "", 'Status Thresholds'!B417)</f>
        <v>Iodrome</v>
      </c>
      <c r="D422" s="77" t="s">
        <v>207</v>
      </c>
      <c r="E422" s="36" t="str">
        <f t="shared" si="6"/>
        <v>IodromeShock Trap</v>
      </c>
      <c r="F422" s="76" t="s">
        <v>214</v>
      </c>
      <c r="G422" s="46" t="s">
        <v>214</v>
      </c>
      <c r="H422" s="46" t="s">
        <v>214</v>
      </c>
      <c r="I422" s="46" t="s">
        <v>214</v>
      </c>
      <c r="J422" s="46">
        <f>IFERROR(IF(AND($U$5=FALSE,$U$4=FALSE),"-",VLOOKUP($E422,'Status Thresholds'!$E:$AU,43,FALSE)),"-")</f>
        <v>15</v>
      </c>
      <c r="K422" s="46">
        <f>IFERROR(IF(AND($U$5=FALSE,$U$4=FALSE),"-",VLOOKUP($E422,'Status Thresholds'!$E:$AU,41,FALSE)),"-")</f>
        <v>15</v>
      </c>
      <c r="L422" s="46">
        <f>IFERROR(IF(AND($U$5=FALSE,$U$4=FALSE),"-",VLOOKUP($E422,'Status Thresholds'!$E:$AU,42,FALSE)),"-")</f>
        <v>18</v>
      </c>
    </row>
    <row r="423" spans="1:12" x14ac:dyDescent="0.25">
      <c r="A423" s="35"/>
      <c r="B423" s="64" t="str">
        <f>VLOOKUP(C423,'Status Thresholds'!B:C,2,FALSE)</f>
        <v>MHGen</v>
      </c>
      <c r="C423" s="64" t="str">
        <f>IF('Status Thresholds'!B418=0, "", 'Status Thresholds'!B418)</f>
        <v>Iodrome</v>
      </c>
      <c r="D423" s="77" t="s">
        <v>213</v>
      </c>
      <c r="E423" s="36" t="str">
        <f t="shared" si="6"/>
        <v>IodromePitfall Trap</v>
      </c>
      <c r="F423" s="46" t="s">
        <v>214</v>
      </c>
      <c r="G423" s="46" t="s">
        <v>214</v>
      </c>
      <c r="H423" s="46" t="s">
        <v>214</v>
      </c>
      <c r="I423" s="46" t="s">
        <v>214</v>
      </c>
      <c r="J423" s="46">
        <f>IFERROR(IF(AND($U$5=FALSE,$U$4=FALSE),"-",VLOOKUP($E423,'Status Thresholds'!$E:$AU,43,FALSE)),"-")</f>
        <v>18</v>
      </c>
      <c r="K423" s="46">
        <f>IFERROR(IF(AND($U$5=FALSE,$U$4=FALSE),"-",VLOOKUP($E423,'Status Thresholds'!$E:$AU,41,FALSE)),"-")</f>
        <v>15</v>
      </c>
      <c r="L423" s="46">
        <f>IFERROR(IF(AND($U$5=FALSE,$U$4=FALSE),"-",VLOOKUP($E423,'Status Thresholds'!$E:$AU,42,FALSE)),"-")</f>
        <v>25</v>
      </c>
    </row>
    <row r="424" spans="1:12" s="36" customFormat="1" x14ac:dyDescent="0.25">
      <c r="A424" s="64"/>
      <c r="B424" s="64" t="str">
        <f>VLOOKUP(C424,'Status Thresholds'!B:C,2,FALSE)</f>
        <v>MHGen</v>
      </c>
      <c r="C424" s="64" t="str">
        <f>IF('Status Thresholds'!B419=0, "", 'Status Thresholds'!B419)</f>
        <v>Kecha Wacha</v>
      </c>
      <c r="D424" s="37" t="s">
        <v>0</v>
      </c>
      <c r="E424" s="36" t="str">
        <f t="shared" si="6"/>
        <v>Kecha WachaPara</v>
      </c>
      <c r="F424" s="36" t="str">
        <f>IFERROR(
ROUNDUP(
IF(AND($U$5=FALSE,$U$4=FALSE),"-",IF(AND($U$5=TRUE,$U$4=TRUE),"-",
IF((AND($U$4=TRUE,$U$5=FALSE,$U$6=FALSE,$U$7=FALSE)),VLOOKUP($E424,'Status Thresholds'!$E:$AR,2,FALSE),IF((AND($U$4=TRUE,$U$5=FALSE,$U$6=TRUE,$U$7=FALSE)),VLOOKUP($E424,'Status Thresholds'!$E:$AR,12,FALSE),IF((AND($U$4=TRUE,$U$5=FALSE,$U$6=TRUE,$U$7=TRUE)),VLOOKUP($E424,'Status Thresholds'!$E:$AR,17,FALSE),IF((AND($U$4=TRUE,$U$5=FALSE,$U$6=FALSE,$U$7=TRUE)),VLOOKUP($E424,'Status Thresholds'!$E:$AR,7,FALSE),
IF((AND($U$4=FALSE,$U$5=TRUE,$U$6=FALSE,$U$7=FALSE)),VLOOKUP($E424,'Status Thresholds'!$E:$AR,22,FALSE),IF((AND($U$4=FALSE,$U$5=TRUE,$U$6=TRUE,$U$7=FALSE)),VLOOKUP($E424,'Status Thresholds'!$E:$AR,32,FALSE),IF((AND($U$4=FALSE,$U$5=TRUE,$U$6=TRUE,$U$7=TRUE)),VLOOKUP($E424,'Status Thresholds'!$E:$AR,37,FALSE),IF((AND($U$4=FALSE,$U$5=TRUE,$U$6=FALSE,$U$7=TRUE)),VLOOKUP($E424,'Status Thresholds'!$E:$AR,27,FALSE)))))))))
))/
IF(OR($X$5=TRUE,$AC$3=TRUE
),($F$3/2), IF(OR($X$2,$X$3,$X$4,$X$6,$X$7,$X$8,$Z$2,$Z$3,$Z$4,$Z$5,$Z$6,$Z$7,$Z$8)=TRUE,$F$3)),0),"-")</f>
        <v>-</v>
      </c>
      <c r="G424" s="36" t="str">
        <f>IFERROR(
ROUNDUP(
IF(AND($U$5=FALSE,$U$4=FALSE),"-",IF(AND($U$5=TRUE,$U$4=TRUE),"-",
IF((AND($U$4=TRUE,$U$5=FALSE,$U$6=FALSE,$U$7=FALSE)),VLOOKUP($E424,'Status Thresholds'!$E:$AR,3,FALSE),IF((AND($U$4=TRUE,$U$5=FALSE,$U$6=TRUE,$U$7=FALSE)),VLOOKUP($E424,'Status Thresholds'!$E:$AR,13,FALSE),IF((AND($U$4=TRUE,$U$5=FALSE,$U$6=TRUE,$U$7=TRUE)),VLOOKUP($E424,'Status Thresholds'!$E:$AR,18,FALSE),IF((AND($U$4=TRUE,$U$5=FALSE,$U$6=FALSE,$U$7=TRUE)),VLOOKUP($E424,'Status Thresholds'!$E:$AR,8,FALSE),
IF((AND($U$4=FALSE,$U$5=TRUE,$U$6=FALSE,$U$7=FALSE)),VLOOKUP($E424,'Status Thresholds'!$E:$AR,23,FALSE),IF((AND($U$4=FALSE,$U$5=TRUE,$U$6=TRUE,$U$7=FALSE)),VLOOKUP($E424,'Status Thresholds'!$E:$AR,33,FALSE),IF((AND($U$4=FALSE,$U$5=TRUE,$U$6=TRUE,$U$7=TRUE)),VLOOKUP($E424,'Status Thresholds'!$E:$AR,38,FALSE),IF((AND($U$4=FALSE,$U$5=TRUE,$U$6=FALSE,$U$7=TRUE)),VLOOKUP($E424,'Status Thresholds'!$E:$AR,28,FALSE)))))))))
))/
IF(OR($X$5=TRUE,$AC$3=TRUE
),($F$3/2), IF(OR($X$2,$X$3,$X$4,$X$6,$X$7,$X$8,$Z$2,$Z$3,$Z$4,$Z$5,$Z$6,$Z$7,$Z$8)=TRUE,$F$3)),0),"-")</f>
        <v>-</v>
      </c>
      <c r="H424" s="36" t="str">
        <f>IFERROR(
ROUNDUP(
IF(AND($U$5=FALSE,$U$4=FALSE),"-",IF(AND($U$5=TRUE,$U$4=TRUE),"-",
IF((AND($U$4=TRUE,$U$5=FALSE,$U$6=FALSE,$U$7=FALSE)),VLOOKUP($E424,'Status Thresholds'!$E:$AR,4,FALSE),IF((AND($U$4=TRUE,$U$5=FALSE,$U$6=TRUE,$U$7=FALSE)),VLOOKUP($E424,'Status Thresholds'!$E:$AR,14,FALSE),IF((AND($U$4=TRUE,$U$5=FALSE,$U$6=TRUE,$U$7=TRUE)),VLOOKUP($E424,'Status Thresholds'!$E:$AR,19,FALSE),IF((AND($U$4=TRUE,$U$5=FALSE,$U$6=FALSE,$U$7=TRUE)),VLOOKUP($E424,'Status Thresholds'!$E:$AR,9,FALSE),
IF((AND($U$4=FALSE,$U$5=TRUE,$U$6=FALSE,$U$7=FALSE)),VLOOKUP($E424,'Status Thresholds'!$E:$AR,24,FALSE),IF((AND($U$4=FALSE,$U$5=TRUE,$U$6=TRUE,$U$7=FALSE)),VLOOKUP($E424,'Status Thresholds'!$E:$AR,34,FALSE),IF((AND($U$4=FALSE,$U$5=TRUE,$U$6=TRUE,$U$7=TRUE)),VLOOKUP($E424,'Status Thresholds'!$E:$AR,39,FALSE),IF((AND($U$4=FALSE,$U$5=TRUE,$U$6=FALSE,$U$7=TRUE)),VLOOKUP($E424,'Status Thresholds'!$E:$AR,29,FALSE)))))))))
))/
IF(OR($X$5=TRUE,$AC$3=TRUE
),($F$3/2), IF(OR($X$2,$X$3,$X$4,$X$6,$X$7,$X$8,$Z$2,$Z$3,$Z$4,$Z$5,$Z$6,$Z$7,$Z$8)=TRUE,$F$3)),0),"-")</f>
        <v>-</v>
      </c>
      <c r="I424" s="36" t="str">
        <f>IFERROR(
ROUNDUP(
IF(AND($U$5=FALSE,$U$4=FALSE),"-",IF(AND($U$5=TRUE,$U$4=TRUE),"-",
IF((AND($U$4=TRUE,$U$5=FALSE,$U$6=FALSE,$U$7=FALSE)),VLOOKUP($E424,'Status Thresholds'!$E:$AR,5,FALSE),IF((AND($U$4=TRUE,$U$5=FALSE,$U$6=TRUE,$U$7=FALSE)),VLOOKUP($E424,'Status Thresholds'!$E:$AR,15,FALSE),IF((AND($U$4=TRUE,$U$5=FALSE,$U$6=TRUE,$U$7=TRUE)),VLOOKUP($E424,'Status Thresholds'!$E:$AR,20,FALSE),IF((AND($U$4=TRUE,$U$5=FALSE,$U$6=FALSE,$U$7=TRUE)),VLOOKUP($E424,'Status Thresholds'!$E:$AR,10,FALSE),
IF((AND($U$4=FALSE,$U$5=TRUE,$U$6=FALSE,$U$7=FALSE)),VLOOKUP($E424,'Status Thresholds'!$E:$AR,25,FALSE),IF((AND($U$4=FALSE,$U$5=TRUE,$U$6=TRUE,$U$7=FALSE)),VLOOKUP($E424,'Status Thresholds'!$E:$AR,35,FALSE),IF((AND($U$4=FALSE,$U$5=TRUE,$U$6=TRUE,$U$7=TRUE)),VLOOKUP($E424,'Status Thresholds'!$E:$AR,40,FALSE),IF((AND($U$4=FALSE,$U$5=TRUE,$U$6=FALSE,$U$7=TRUE)),VLOOKUP($E424,'Status Thresholds'!$E:$AR,30,FALSE)))))))))
))/
IF(OR($X$5=TRUE,$AC$3=TRUE
),($F$3/2), IF(OR($X$2,$X$3,$X$4,$X$6,$X$7,$X$8,$Z$2,$Z$3,$Z$4,$Z$5,$Z$6,$Z$7,$Z$8)=TRUE,$F$3)),0),"-")</f>
        <v>-</v>
      </c>
      <c r="J424" s="36">
        <f>IFERROR(IF(AND($U$5=FALSE,$U$4=FALSE),"-",VLOOKUP($E424,'Status Thresholds'!$E:$AU,41,FALSE)),"-")</f>
        <v>10</v>
      </c>
      <c r="K424" s="36" t="str">
        <f>IFERROR(IF(AND($U$5=FALSE,$U$4=FALSE),"-",VLOOKUP($E424,'Status Thresholds'!$E:$AU,42,FALSE)),"-")</f>
        <v>-</v>
      </c>
      <c r="L424" s="36" t="str">
        <f>IFERROR(IF(AND($U$5=FALSE,$U$4=FALSE),"-",VLOOKUP($E424,'Status Thresholds'!$E:$AU,43,FALSE)),"-")</f>
        <v>-</v>
      </c>
    </row>
    <row r="425" spans="1:12" x14ac:dyDescent="0.25">
      <c r="A425" s="35"/>
      <c r="B425" s="64" t="str">
        <f>VLOOKUP(C425,'Status Thresholds'!B:C,2,FALSE)</f>
        <v>MHGen</v>
      </c>
      <c r="C425" s="64" t="str">
        <f>IF('Status Thresholds'!B420=0, "", 'Status Thresholds'!B420)</f>
        <v>Kecha Wacha</v>
      </c>
      <c r="D425" s="31" t="s">
        <v>32</v>
      </c>
      <c r="E425" s="36" t="str">
        <f t="shared" si="6"/>
        <v>Kecha WachaSleep</v>
      </c>
      <c r="F425" s="36" t="str">
        <f>IFERROR(
ROUNDUP(
IF(AND($U$5=FALSE,$U$4=FALSE),"-",IF(AND($U$5=TRUE,$U$4=TRUE),"-",
IF((AND($U$4=TRUE,$U$5=FALSE,$U$6=FALSE,$U$7=FALSE)),VLOOKUP($E425,'Status Thresholds'!$E:$AR,2,FALSE),IF((AND($U$4=TRUE,$U$5=FALSE,$U$6=TRUE,$U$7=FALSE)),VLOOKUP($E425,'Status Thresholds'!$E:$AR,12,FALSE),IF((AND($U$4=TRUE,$U$5=FALSE,$U$6=TRUE,$U$7=TRUE)),VLOOKUP($E425,'Status Thresholds'!$E:$AR,17,FALSE),IF((AND($U$4=TRUE,$U$5=FALSE,$U$6=FALSE,$U$7=TRUE)),VLOOKUP($E425,'Status Thresholds'!$E:$AR,7,FALSE),
IF((AND($U$4=FALSE,$U$5=TRUE,$U$6=FALSE,$U$7=FALSE)),VLOOKUP($E425,'Status Thresholds'!$E:$AR,22,FALSE),IF((AND($U$4=FALSE,$U$5=TRUE,$U$6=TRUE,$U$7=FALSE)),VLOOKUP($E425,'Status Thresholds'!$E:$AR,32,FALSE),IF((AND($U$4=FALSE,$U$5=TRUE,$U$6=TRUE,$U$7=TRUE)),VLOOKUP($E425,'Status Thresholds'!$E:$AR,37,FALSE),IF((AND($U$4=FALSE,$U$5=TRUE,$U$6=FALSE,$U$7=TRUE)),VLOOKUP($E425,'Status Thresholds'!$E:$AR,27,FALSE)))))))))
))/
IF(OR($X$5=TRUE,$AC$3=TRUE
),($F$4/2), IF(OR($X$2,$X$3,$X$4,$X$6,$X$7,$X$8,$Z$2,$Z$3,$Z$4,$Z$5,$Z$6,$Z$7,$Z$8)=TRUE,$F$4)),0),"-")</f>
        <v>-</v>
      </c>
      <c r="G425" s="36" t="str">
        <f>IFERROR(
ROUNDUP(
IF(AND($U$5=FALSE,$U$4=FALSE),"-",IF(AND($U$5=TRUE,$U$4=TRUE),"-",
IF((AND($U$4=TRUE,$U$5=FALSE,$U$6=FALSE,$U$7=FALSE)),VLOOKUP($E425,'Status Thresholds'!$E:$AR,3,FALSE),IF((AND($U$4=TRUE,$U$5=FALSE,$U$6=TRUE,$U$7=FALSE)),VLOOKUP($E425,'Status Thresholds'!$E:$AR,13,FALSE),IF((AND($U$4=TRUE,$U$5=FALSE,$U$6=TRUE,$U$7=TRUE)),VLOOKUP($E425,'Status Thresholds'!$E:$AR,18,FALSE),IF((AND($U$4=TRUE,$U$5=FALSE,$U$6=FALSE,$U$7=TRUE)),VLOOKUP($E425,'Status Thresholds'!$E:$AR,8,FALSE),
IF((AND($U$4=FALSE,$U$5=TRUE,$U$6=FALSE,$U$7=FALSE)),VLOOKUP($E425,'Status Thresholds'!$E:$AR,23,FALSE),IF((AND($U$4=FALSE,$U$5=TRUE,$U$6=TRUE,$U$7=FALSE)),VLOOKUP($E425,'Status Thresholds'!$E:$AR,33,FALSE),IF((AND($U$4=FALSE,$U$5=TRUE,$U$6=TRUE,$U$7=TRUE)),VLOOKUP($E425,'Status Thresholds'!$E:$AR,38,FALSE),IF((AND($U$4=FALSE,$U$5=TRUE,$U$6=FALSE,$U$7=TRUE)),VLOOKUP($E425,'Status Thresholds'!$E:$AR,28,FALSE)))))))))
))/
IF(OR($X$5=TRUE,$AC$3=TRUE
),($F$4/2), IF(OR($X$2,$X$3,$X$4,$X$6,$X$7,$X$8,$Z$2,$Z$3,$Z$4,$Z$5,$Z$6,$Z$7,$Z$8)=TRUE,$F$4)),0),"-")</f>
        <v>-</v>
      </c>
      <c r="H425" s="36" t="str">
        <f>IFERROR(
ROUNDUP(
IF(AND($U$5=FALSE,$U$4=FALSE),"-",IF(AND($U$5=TRUE,$U$4=TRUE),"-",
IF((AND($U$4=TRUE,$U$5=FALSE,$U$6=FALSE,$U$7=FALSE)),VLOOKUP($E425,'Status Thresholds'!$E:$AR,4,FALSE),IF((AND($U$4=TRUE,$U$5=FALSE,$U$6=TRUE,$U$7=FALSE)),VLOOKUP($E425,'Status Thresholds'!$E:$AR,14,FALSE),IF((AND($U$4=TRUE,$U$5=FALSE,$U$6=TRUE,$U$7=TRUE)),VLOOKUP($E425,'Status Thresholds'!$E:$AR,19,FALSE),IF((AND($U$4=TRUE,$U$5=FALSE,$U$6=FALSE,$U$7=TRUE)),VLOOKUP($E425,'Status Thresholds'!$E:$AR,9,FALSE),
IF((AND($U$4=FALSE,$U$5=TRUE,$U$6=FALSE,$U$7=FALSE)),VLOOKUP($E425,'Status Thresholds'!$E:$AR,24,FALSE),IF((AND($U$4=FALSE,$U$5=TRUE,$U$6=TRUE,$U$7=FALSE)),VLOOKUP($E425,'Status Thresholds'!$E:$AR,34,FALSE),IF((AND($U$4=FALSE,$U$5=TRUE,$U$6=TRUE,$U$7=TRUE)),VLOOKUP($E425,'Status Thresholds'!$E:$AR,39,FALSE),IF((AND($U$4=FALSE,$U$5=TRUE,$U$6=FALSE,$U$7=TRUE)),VLOOKUP($E425,'Status Thresholds'!$E:$AR,29,FALSE)))))))))
))/
IF(OR($X$5=TRUE,$AC$3=TRUE
),($F$4/2), IF(OR($X$2,$X$3,$X$4,$X$6,$X$7,$X$8,$Z$2,$Z$3,$Z$4,$Z$5,$Z$6,$Z$7,$Z$8)=TRUE,$F$4)),0),"-")</f>
        <v>-</v>
      </c>
      <c r="I425" s="36" t="str">
        <f>IFERROR(
ROUNDUP(
IF(AND($U$5=FALSE,$U$4=FALSE),"-",IF(AND($U$5=TRUE,$U$4=TRUE),"-",
IF((AND($U$4=TRUE,$U$5=FALSE,$U$6=FALSE,$U$7=FALSE)),VLOOKUP($E425,'Status Thresholds'!$E:$AR,5,FALSE),IF((AND($U$4=TRUE,$U$5=FALSE,$U$6=TRUE,$U$7=FALSE)),VLOOKUP($E425,'Status Thresholds'!$E:$AR,15,FALSE),IF((AND($U$4=TRUE,$U$5=FALSE,$U$6=TRUE,$U$7=TRUE)),VLOOKUP($E425,'Status Thresholds'!$E:$AR,20,FALSE),IF((AND($U$4=TRUE,$U$5=FALSE,$U$6=FALSE,$U$7=TRUE)),VLOOKUP($E425,'Status Thresholds'!$E:$AR,10,FALSE),
IF((AND($U$4=FALSE,$U$5=TRUE,$U$6=FALSE,$U$7=FALSE)),VLOOKUP($E425,'Status Thresholds'!$E:$AR,25,FALSE),IF((AND($U$4=FALSE,$U$5=TRUE,$U$6=TRUE,$U$7=FALSE)),VLOOKUP($E425,'Status Thresholds'!$E:$AR,35,FALSE),IF((AND($U$4=FALSE,$U$5=TRUE,$U$6=TRUE,$U$7=TRUE)),VLOOKUP($E425,'Status Thresholds'!$E:$AR,40,FALSE),IF((AND($U$4=FALSE,$U$5=TRUE,$U$6=FALSE,$U$7=TRUE)),VLOOKUP($E425,'Status Thresholds'!$E:$AR,30,FALSE)))))))))
))/
IF(OR($X$5=TRUE,$AC$3=TRUE
),($F$4/2), IF(OR($X$2,$X$3,$X$4,$X$6,$X$7,$X$8,$Z$2,$Z$3,$Z$4,$Z$5,$Z$6,$Z$7,$Z$8)=TRUE,$F$4)),0),"-")</f>
        <v>-</v>
      </c>
      <c r="J425" s="46">
        <f>IFERROR(IF(AND($U$5=FALSE,$U$4=FALSE),"-",VLOOKUP($E425,'Status Thresholds'!$E:$AU,41,FALSE)),"-")</f>
        <v>30</v>
      </c>
      <c r="K425" s="46" t="str">
        <f>IFERROR(IF(AND($U$5=FALSE,$U$4=FALSE),"-",VLOOKUP($E425,'Status Thresholds'!$E:$AU,42,FALSE)),"-")</f>
        <v>-</v>
      </c>
      <c r="L425" s="46" t="str">
        <f>IFERROR(IF(AND($U$5=FALSE,$U$4=FALSE),"-",VLOOKUP($E425,'Status Thresholds'!$E:$AU,43,FALSE)),"-")</f>
        <v>-</v>
      </c>
    </row>
    <row r="426" spans="1:12" x14ac:dyDescent="0.25">
      <c r="A426" s="35"/>
      <c r="B426" s="64" t="str">
        <f>VLOOKUP(C426,'Status Thresholds'!B:C,2,FALSE)</f>
        <v>MHGen</v>
      </c>
      <c r="C426" s="64" t="str">
        <f>IF('Status Thresholds'!B421=0, "", 'Status Thresholds'!B421)</f>
        <v>Kecha Wacha</v>
      </c>
      <c r="D426" s="32" t="s">
        <v>33</v>
      </c>
      <c r="E426" s="36" t="str">
        <f t="shared" si="6"/>
        <v>Kecha WachaPoison</v>
      </c>
      <c r="F426" s="36" t="str">
        <f>IFERROR(
ROUNDUP(
IF(AND($U$5=FALSE,$U$4=FALSE),"-",IF(AND($U$5=TRUE,$U$4=TRUE),"-",
IF((AND($U$4=TRUE,$U$5=FALSE,$U$6=FALSE,$U$7=FALSE)),VLOOKUP($E426,'Status Thresholds'!$E:$AR,2,FALSE),IF((AND($U$4=TRUE,$U$5=FALSE,$U$6=TRUE,$U$7=FALSE)),VLOOKUP($E426,'Status Thresholds'!$E:$AR,12,FALSE),IF((AND($U$4=TRUE,$U$5=FALSE,$U$6=TRUE,$U$7=TRUE)),VLOOKUP($E426,'Status Thresholds'!$E:$AR,17,FALSE),IF((AND($U$4=TRUE,$U$5=FALSE,$U$6=FALSE,$U$7=TRUE)),VLOOKUP($E426,'Status Thresholds'!$E:$AR,7,FALSE),
IF((AND($U$4=FALSE,$U$5=TRUE,$U$6=FALSE,$U$7=FALSE)),VLOOKUP($E426,'Status Thresholds'!$E:$AR,22,FALSE),IF((AND($U$4=FALSE,$U$5=TRUE,$U$6=TRUE,$U$7=FALSE)),VLOOKUP($E426,'Status Thresholds'!$E:$AR,32,FALSE),IF((AND($U$4=FALSE,$U$5=TRUE,$U$6=TRUE,$U$7=TRUE)),VLOOKUP($E426,'Status Thresholds'!$E:$AR,37,FALSE),IF((AND($U$4=FALSE,$U$5=TRUE,$U$6=FALSE,$U$7=TRUE)),VLOOKUP($E426,'Status Thresholds'!$E:$AR,27,FALSE)))))))))
))/
IF(OR($X$5=TRUE,$AC$3=TRUE
),($F$5/2), IF(OR($X$2,$X$3,$X$4,$X$6,$X$7,$X$8,$Z$2,$Z$3,$Z$4,$Z$5,$Z$6,$Z$7,$Z$8)=TRUE,$F$5)),0),"-")</f>
        <v>-</v>
      </c>
      <c r="G426" s="36" t="str">
        <f>IFERROR(
ROUNDUP(
IF(AND($U$5=FALSE,$U$4=FALSE),"-",IF(AND($U$5=TRUE,$U$4=TRUE),"-",
IF((AND($U$4=TRUE,$U$5=FALSE,$U$6=FALSE,$U$7=FALSE)),VLOOKUP($E426,'Status Thresholds'!$E:$AR,3,FALSE),IF((AND($U$4=TRUE,$U$5=FALSE,$U$6=TRUE,$U$7=FALSE)),VLOOKUP($E426,'Status Thresholds'!$E:$AR,13,FALSE),IF((AND($U$4=TRUE,$U$5=FALSE,$U$6=TRUE,$U$7=TRUE)),VLOOKUP($E426,'Status Thresholds'!$E:$AR,18,FALSE),IF((AND($U$4=TRUE,$U$5=FALSE,$U$6=FALSE,$U$7=TRUE)),VLOOKUP($E426,'Status Thresholds'!$E:$AR,8,FALSE),
IF((AND($U$4=FALSE,$U$5=TRUE,$U$6=FALSE,$U$7=FALSE)),VLOOKUP($E426,'Status Thresholds'!$E:$AR,23,FALSE),IF((AND($U$4=FALSE,$U$5=TRUE,$U$6=TRUE,$U$7=FALSE)),VLOOKUP($E426,'Status Thresholds'!$E:$AR,33,FALSE),IF((AND($U$4=FALSE,$U$5=TRUE,$U$6=TRUE,$U$7=TRUE)),VLOOKUP($E426,'Status Thresholds'!$E:$AR,38,FALSE),IF((AND($U$4=FALSE,$U$5=TRUE,$U$6=FALSE,$U$7=TRUE)),VLOOKUP($E426,'Status Thresholds'!$E:$AR,28,FALSE)))))))))
))/
IF(OR($X$5=TRUE,$AC$3=TRUE
),($F$5/2), IF(OR($X$2,$X$3,$X$4,$X$6,$X$7,$X$8,$Z$2,$Z$3,$Z$4,$Z$5,$Z$6,$Z$7,$Z$8)=TRUE,$F$5)),0),"-")</f>
        <v>-</v>
      </c>
      <c r="H426" s="36" t="str">
        <f>IFERROR(
ROUNDUP(
IF(AND($U$5=FALSE,$U$4=FALSE),"-",IF(AND($U$5=TRUE,$U$4=TRUE),"-",
IF((AND($U$4=TRUE,$U$5=FALSE,$U$6=FALSE,$U$7=FALSE)),VLOOKUP($E426,'Status Thresholds'!$E:$AR,4,FALSE),IF((AND($U$4=TRUE,$U$5=FALSE,$U$6=TRUE,$U$7=FALSE)),VLOOKUP($E426,'Status Thresholds'!$E:$AR,14,FALSE),IF((AND($U$4=TRUE,$U$5=FALSE,$U$6=TRUE,$U$7=TRUE)),VLOOKUP($E426,'Status Thresholds'!$E:$AR,19,FALSE),IF((AND($U$4=TRUE,$U$5=FALSE,$U$6=FALSE,$U$7=TRUE)),VLOOKUP($E426,'Status Thresholds'!$E:$AR,9,FALSE),
IF((AND($U$4=FALSE,$U$5=TRUE,$U$6=FALSE,$U$7=FALSE)),VLOOKUP($E426,'Status Thresholds'!$E:$AR,24,FALSE),IF((AND($U$4=FALSE,$U$5=TRUE,$U$6=TRUE,$U$7=FALSE)),VLOOKUP($E426,'Status Thresholds'!$E:$AR,34,FALSE),IF((AND($U$4=FALSE,$U$5=TRUE,$U$6=TRUE,$U$7=TRUE)),VLOOKUP($E426,'Status Thresholds'!$E:$AR,39,FALSE),IF((AND($U$4=FALSE,$U$5=TRUE,$U$6=FALSE,$U$7=TRUE)),VLOOKUP($E426,'Status Thresholds'!$E:$AR,29,FALSE)))))))))
))/
IF(OR($X$5=TRUE,$AC$3=TRUE
),($F$5/2), IF(OR($X$2,$X$3,$X$4,$X$6,$X$7,$X$8,$Z$2,$Z$3,$Z$4,$Z$5,$Z$6,$Z$7,$Z$8)=TRUE,$F$5)),0),"-")</f>
        <v>-</v>
      </c>
      <c r="I426" s="36" t="str">
        <f>IFERROR(
ROUNDUP(
IF(AND($U$5=FALSE,$U$4=FALSE),"-",IF(AND($U$5=TRUE,$U$4=TRUE),"-",
IF((AND($U$4=TRUE,$U$5=FALSE,$U$6=FALSE,$U$7=FALSE)),VLOOKUP($E426,'Status Thresholds'!$E:$AR,5,FALSE),IF((AND($U$4=TRUE,$U$5=FALSE,$U$6=TRUE,$U$7=FALSE)),VLOOKUP($E426,'Status Thresholds'!$E:$AR,15,FALSE),IF((AND($U$4=TRUE,$U$5=FALSE,$U$6=TRUE,$U$7=TRUE)),VLOOKUP($E426,'Status Thresholds'!$E:$AR,20,FALSE),IF((AND($U$4=TRUE,$U$5=FALSE,$U$6=FALSE,$U$7=TRUE)),VLOOKUP($E426,'Status Thresholds'!$E:$AR,10,FALSE),
IF((AND($U$4=FALSE,$U$5=TRUE,$U$6=FALSE,$U$7=FALSE)),VLOOKUP($E426,'Status Thresholds'!$E:$AR,25,FALSE),IF((AND($U$4=FALSE,$U$5=TRUE,$U$6=TRUE,$U$7=FALSE)),VLOOKUP($E426,'Status Thresholds'!$E:$AR,35,FALSE),IF((AND($U$4=FALSE,$U$5=TRUE,$U$6=TRUE,$U$7=TRUE)),VLOOKUP($E426,'Status Thresholds'!$E:$AR,40,FALSE),IF((AND($U$4=FALSE,$U$5=TRUE,$U$6=FALSE,$U$7=TRUE)),VLOOKUP($E426,'Status Thresholds'!$E:$AR,30,FALSE)))))))))
))/
IF(OR($X$5=TRUE,$AC$3=TRUE
),($F$5/2), IF(OR($X$2,$X$3,$X$4,$X$6,$X$7,$X$8,$Z$2,$Z$3,$Z$4,$Z$5,$Z$6,$Z$7,$Z$8)=TRUE,$F$5)),0),"-")</f>
        <v>-</v>
      </c>
      <c r="J426" s="46">
        <f>IFERROR(IF(AND($U$5=FALSE,$U$4=FALSE),"-",VLOOKUP($E426,'Status Thresholds'!$E:$AU,41,FALSE)),"-")</f>
        <v>40</v>
      </c>
      <c r="K426" s="46" t="str">
        <f>IFERROR(IF(AND($U$5=FALSE,$U$4=FALSE),"-",VLOOKUP($E426,'Status Thresholds'!$E:$AU,42,FALSE)),"-")</f>
        <v>-</v>
      </c>
      <c r="L426" s="46" t="str">
        <f>IFERROR(IF(AND($U$5=FALSE,$U$4=FALSE),"-",VLOOKUP($E426,'Status Thresholds'!$E:$AU,43,FALSE)),"-")</f>
        <v>-</v>
      </c>
    </row>
    <row r="427" spans="1:12" x14ac:dyDescent="0.25">
      <c r="A427" s="35"/>
      <c r="B427" s="64" t="str">
        <f>VLOOKUP(C427,'Status Thresholds'!B:C,2,FALSE)</f>
        <v>MHGen</v>
      </c>
      <c r="C427" s="64" t="str">
        <f>IF('Status Thresholds'!B422=0, "", 'Status Thresholds'!B422)</f>
        <v>Kecha Wacha</v>
      </c>
      <c r="D427" s="10" t="s">
        <v>22</v>
      </c>
      <c r="E427" s="36" t="str">
        <f t="shared" si="6"/>
        <v>Kecha WachaExhaust</v>
      </c>
      <c r="F427" s="36" t="str">
        <f>IFERROR(
ROUNDUP(
IF(AND($U$5=FALSE,$U$4=FALSE),"-",IF(AND($U$5=TRUE,$U$4=TRUE),"-",
IF((AND($U$4=TRUE,$U$5=FALSE,$U$6=FALSE,$U$7=FALSE)),VLOOKUP($E427,'Status Thresholds'!$E:$AR,2,FALSE),IF((AND($U$4=TRUE,$U$5=FALSE,$U$6=TRUE,$U$7=FALSE)),VLOOKUP($E427,'Status Thresholds'!$E:$AR,12,FALSE),IF((AND($U$4=TRUE,$U$5=FALSE,$U$6=TRUE,$U$7=TRUE)),VLOOKUP($E427,'Status Thresholds'!$E:$AR,17,FALSE),IF((AND($U$4=TRUE,$U$5=FALSE,$U$6=FALSE,$U$7=TRUE)),VLOOKUP($E427,'Status Thresholds'!$E:$AR,7,FALSE),
IF((AND($U$4=FALSE,$U$5=TRUE,$U$6=FALSE,$U$7=FALSE)),VLOOKUP($E427,'Status Thresholds'!$E:$AR,22,FALSE),IF((AND($U$4=FALSE,$U$5=TRUE,$U$6=TRUE,$U$7=FALSE)),VLOOKUP($E427,'Status Thresholds'!$E:$AR,32,FALSE),IF((AND($U$4=FALSE,$U$5=TRUE,$U$6=TRUE,$U$7=TRUE)),VLOOKUP($E427,'Status Thresholds'!$E:$AR,37,FALSE),IF((AND($U$4=FALSE,$U$5=TRUE,$U$6=FALSE,$U$7=TRUE)),VLOOKUP($E427,'Status Thresholds'!$E:$AR,27,FALSE)))))))))
))/
IF(OR($X$5=TRUE,$AC$3=TRUE
),($F$6/2), IF(OR($X$2,$X$3,$X$4,$X$6,$X$7,$X$8,$Z$2,$Z$3,$Z$4,$Z$5,$Z$6,$Z$7,$Z$8)=TRUE,$F$6)),0),"-")</f>
        <v>-</v>
      </c>
      <c r="G427" s="36" t="str">
        <f>IFERROR(
ROUNDUP(
IF(AND($U$5=FALSE,$U$4=FALSE),"-",IF(AND($U$5=TRUE,$U$4=TRUE),"-",
IF((AND($U$4=TRUE,$U$5=FALSE,$U$6=FALSE,$U$7=FALSE)),VLOOKUP($E427,'Status Thresholds'!$E:$AR,3,FALSE),IF((AND($U$4=TRUE,$U$5=FALSE,$U$6=TRUE,$U$7=FALSE)),VLOOKUP($E427,'Status Thresholds'!$E:$AR,13,FALSE),IF((AND($U$4=TRUE,$U$5=FALSE,$U$6=TRUE,$U$7=TRUE)),VLOOKUP($E427,'Status Thresholds'!$E:$AR,18,FALSE),IF((AND($U$4=TRUE,$U$5=FALSE,$U$6=FALSE,$U$7=TRUE)),VLOOKUP($E427,'Status Thresholds'!$E:$AR,8,FALSE),
IF((AND($U$4=FALSE,$U$5=TRUE,$U$6=FALSE,$U$7=FALSE)),VLOOKUP($E427,'Status Thresholds'!$E:$AR,23,FALSE),IF((AND($U$4=FALSE,$U$5=TRUE,$U$6=TRUE,$U$7=FALSE)),VLOOKUP($E427,'Status Thresholds'!$E:$AR,33,FALSE),IF((AND($U$4=FALSE,$U$5=TRUE,$U$6=TRUE,$U$7=TRUE)),VLOOKUP($E427,'Status Thresholds'!$E:$AR,38,FALSE),IF((AND($U$4=FALSE,$U$5=TRUE,$U$6=FALSE,$U$7=TRUE)),VLOOKUP($E427,'Status Thresholds'!$E:$AR,28,FALSE)))))))))
))/
IF(OR($X$5=TRUE,$AC$3=TRUE
),($F$6/2), IF(OR($X$2,$X$3,$X$4,$X$6,$X$7,$X$8,$Z$2,$Z$3,$Z$4,$Z$5,$Z$6,$Z$7,$Z$8)=TRUE,$F$6)),0),"-")</f>
        <v>-</v>
      </c>
      <c r="H427" s="36" t="str">
        <f>IFERROR(
ROUNDUP(
IF(AND($U$5=FALSE,$U$4=FALSE),"-",IF(AND($U$5=TRUE,$U$4=TRUE),"-",
IF((AND($U$4=TRUE,$U$5=FALSE,$U$6=FALSE,$U$7=FALSE)),VLOOKUP($E427,'Status Thresholds'!$E:$AR,4,FALSE),IF((AND($U$4=TRUE,$U$5=FALSE,$U$6=TRUE,$U$7=FALSE)),VLOOKUP($E427,'Status Thresholds'!$E:$AR,14,FALSE),IF((AND($U$4=TRUE,$U$5=FALSE,$U$6=TRUE,$U$7=TRUE)),VLOOKUP($E427,'Status Thresholds'!$E:$AR,19,FALSE),IF((AND($U$4=TRUE,$U$5=FALSE,$U$6=FALSE,$U$7=TRUE)),VLOOKUP($E427,'Status Thresholds'!$E:$AR,9,FALSE),
IF((AND($U$4=FALSE,$U$5=TRUE,$U$6=FALSE,$U$7=FALSE)),VLOOKUP($E427,'Status Thresholds'!$E:$AR,24,FALSE),IF((AND($U$4=FALSE,$U$5=TRUE,$U$6=TRUE,$U$7=FALSE)),VLOOKUP($E427,'Status Thresholds'!$E:$AR,34,FALSE),IF((AND($U$4=FALSE,$U$5=TRUE,$U$6=TRUE,$U$7=TRUE)),VLOOKUP($E427,'Status Thresholds'!$E:$AR,39,FALSE),IF((AND($U$4=FALSE,$U$5=TRUE,$U$6=FALSE,$U$7=TRUE)),VLOOKUP($E427,'Status Thresholds'!$E:$AR,29,FALSE)))))))))
))/
IF(OR($X$5=TRUE,$AC$3=TRUE
),($F$6/2), IF(OR($X$2,$X$3,$X$4,$X$6,$X$7,$X$8,$Z$2,$Z$3,$Z$4,$Z$5,$Z$6,$Z$7,$Z$8)=TRUE,$F$6)),0),"-")</f>
        <v>-</v>
      </c>
      <c r="I427" s="36" t="str">
        <f>IFERROR(
ROUNDUP(
IF(AND($U$5=FALSE,$U$4=FALSE),"-",IF(AND($U$5=TRUE,$U$4=TRUE),"-",
IF((AND($U$4=TRUE,$U$5=FALSE,$U$6=FALSE,$U$7=FALSE)),VLOOKUP($E427,'Status Thresholds'!$E:$AR,5,FALSE),IF((AND($U$4=TRUE,$U$5=FALSE,$U$6=TRUE,$U$7=FALSE)),VLOOKUP($E427,'Status Thresholds'!$E:$AR,15,FALSE),IF((AND($U$4=TRUE,$U$5=FALSE,$U$6=TRUE,$U$7=TRUE)),VLOOKUP($E427,'Status Thresholds'!$E:$AR,20,FALSE),IF((AND($U$4=TRUE,$U$5=FALSE,$U$6=FALSE,$U$7=TRUE)),VLOOKUP($E427,'Status Thresholds'!$E:$AR,10,FALSE),
IF((AND($U$4=FALSE,$U$5=TRUE,$U$6=FALSE,$U$7=FALSE)),VLOOKUP($E427,'Status Thresholds'!$E:$AR,25,FALSE),IF((AND($U$4=FALSE,$U$5=TRUE,$U$6=TRUE,$U$7=FALSE)),VLOOKUP($E427,'Status Thresholds'!$E:$AR,35,FALSE),IF((AND($U$4=FALSE,$U$5=TRUE,$U$6=TRUE,$U$7=TRUE)),VLOOKUP($E427,'Status Thresholds'!$E:$AR,40,FALSE),IF((AND($U$4=FALSE,$U$5=TRUE,$U$6=FALSE,$U$7=TRUE)),VLOOKUP($E427,'Status Thresholds'!$E:$AR,30,FALSE)))))))))
))/
IF(OR($X$5=TRUE,$AC$3=TRUE
),($F$6/2), IF(OR($X$2,$X$3,$X$4,$X$6,$X$7,$X$8,$Z$2,$Z$3,$Z$4,$Z$5,$Z$6,$Z$7,$Z$8)=TRUE,$F$6)),0),"-")</f>
        <v>-</v>
      </c>
      <c r="J427" s="46">
        <f>IFERROR(IF(AND($U$5=FALSE,$U$4=FALSE),"-",VLOOKUP($E427,'Status Thresholds'!$E:$AU,41,FALSE)),"-")</f>
        <v>0</v>
      </c>
      <c r="K427" s="46" t="str">
        <f>IFERROR(IF(AND($U$5=FALSE,$U$4=FALSE),"-",VLOOKUP($E427,'Status Thresholds'!$E:$AU,42,FALSE)),"-")</f>
        <v>-</v>
      </c>
      <c r="L427" s="46" t="str">
        <f>IFERROR(IF(AND($U$5=FALSE,$U$4=FALSE),"-",VLOOKUP($E427,'Status Thresholds'!$E:$AU,43,FALSE)),"-")</f>
        <v>-</v>
      </c>
    </row>
    <row r="428" spans="1:12" x14ac:dyDescent="0.25">
      <c r="A428" s="35"/>
      <c r="B428" s="64" t="str">
        <f>VLOOKUP(C428,'Status Thresholds'!B:C,2,FALSE)</f>
        <v>MHGen</v>
      </c>
      <c r="C428" s="64" t="str">
        <f>IF('Status Thresholds'!B423=0, "", 'Status Thresholds'!B423)</f>
        <v>Kecha Wacha</v>
      </c>
      <c r="D428" s="30" t="s">
        <v>35</v>
      </c>
      <c r="E428" s="36" t="str">
        <f t="shared" si="6"/>
        <v>Kecha WachaBlast</v>
      </c>
      <c r="F428" s="36" t="str">
        <f>IFERROR(
ROUNDUP(
IF(AND($U$5=FALSE,$U$4=FALSE),"-",IF(AND($U$5=TRUE,$U$4=TRUE),"-",
IF((AND($U$4=TRUE,$U$5=FALSE,$U$6=FALSE,$U$7=FALSE)),VLOOKUP($E428,'Status Thresholds'!$E:$AR,2,FALSE),IF((AND($U$4=TRUE,$U$5=FALSE,$U$6=TRUE,$U$7=FALSE)),VLOOKUP($E428,'Status Thresholds'!$E:$AR,12,FALSE),IF((AND($U$4=TRUE,$U$5=FALSE,$U$6=TRUE,$U$7=TRUE)),VLOOKUP($E428,'Status Thresholds'!$E:$AR,17,FALSE),IF((AND($U$4=TRUE,$U$5=FALSE,$U$6=FALSE,$U$7=TRUE)),VLOOKUP($E428,'Status Thresholds'!$E:$AR,7,FALSE),
IF((AND($U$4=FALSE,$U$5=TRUE,$U$6=FALSE,$U$7=FALSE)),VLOOKUP($E428,'Status Thresholds'!$E:$AR,22,FALSE),IF((AND($U$4=FALSE,$U$5=TRUE,$U$6=TRUE,$U$7=FALSE)),VLOOKUP($E428,'Status Thresholds'!$E:$AR,32,FALSE),IF((AND($U$4=FALSE,$U$5=TRUE,$U$6=TRUE,$U$7=TRUE)),VLOOKUP($E428,'Status Thresholds'!$E:$AR,37,FALSE),IF((AND($U$4=FALSE,$U$5=TRUE,$U$6=FALSE,$U$7=TRUE)),VLOOKUP($E428,'Status Thresholds'!$E:$AR,27,FALSE)))))))))
))/
IF(OR($X$5=TRUE,$AC$3=TRUE
),($F$7/2), IF(OR($X$2,$X$3,$X$4,$X$6,$X$7,$X$8,$Z$2,$Z$3,$Z$4,$Z$5,$Z$6,$Z$7,$Z$8)=TRUE,$F$7)),0),"-")</f>
        <v>-</v>
      </c>
      <c r="G428" s="36" t="str">
        <f>IFERROR(
ROUNDUP(
IF(AND($U$5=FALSE,$U$4=FALSE),"-",IF(AND($U$5=TRUE,$U$4=TRUE),"-",
IF((AND($U$4=TRUE,$U$5=FALSE,$U$6=FALSE,$U$7=FALSE)),VLOOKUP($E428,'Status Thresholds'!$E:$AR,3,FALSE),IF((AND($U$4=TRUE,$U$5=FALSE,$U$6=TRUE,$U$7=FALSE)),VLOOKUP($E428,'Status Thresholds'!$E:$AR,13,FALSE),IF((AND($U$4=TRUE,$U$5=FALSE,$U$6=TRUE,$U$7=TRUE)),VLOOKUP($E428,'Status Thresholds'!$E:$AR,18,FALSE),IF((AND($U$4=TRUE,$U$5=FALSE,$U$6=FALSE,$U$7=TRUE)),VLOOKUP($E428,'Status Thresholds'!$E:$AR,8,FALSE),
IF((AND($U$4=FALSE,$U$5=TRUE,$U$6=FALSE,$U$7=FALSE)),VLOOKUP($E428,'Status Thresholds'!$E:$AR,23,FALSE),IF((AND($U$4=FALSE,$U$5=TRUE,$U$6=TRUE,$U$7=FALSE)),VLOOKUP($E428,'Status Thresholds'!$E:$AR,33,FALSE),IF((AND($U$4=FALSE,$U$5=TRUE,$U$6=TRUE,$U$7=TRUE)),VLOOKUP($E428,'Status Thresholds'!$E:$AR,38,FALSE),IF((AND($U$4=FALSE,$U$5=TRUE,$U$6=FALSE,$U$7=TRUE)),VLOOKUP($E428,'Status Thresholds'!$E:$AR,28,FALSE)))))))))
))/
IF(OR($X$5=TRUE,$AC$3=TRUE
),($F$7/2), IF(OR($X$2,$X$3,$X$4,$X$6,$X$7,$X$8,$Z$2,$Z$3,$Z$4,$Z$5,$Z$6,$Z$7,$Z$8)=TRUE,$F$7)),0),"-")</f>
        <v>-</v>
      </c>
      <c r="H428" s="36" t="str">
        <f>IFERROR(
ROUNDUP(
IF(AND($U$5=FALSE,$U$4=FALSE),"-",IF(AND($U$5=TRUE,$U$4=TRUE),"-",
IF((AND($U$4=TRUE,$U$5=FALSE,$U$6=FALSE,$U$7=FALSE)),VLOOKUP($E428,'Status Thresholds'!$E:$AR,4,FALSE),IF((AND($U$4=TRUE,$U$5=FALSE,$U$6=TRUE,$U$7=FALSE)),VLOOKUP($E428,'Status Thresholds'!$E:$AR,14,FALSE),IF((AND($U$4=TRUE,$U$5=FALSE,$U$6=TRUE,$U$7=TRUE)),VLOOKUP($E428,'Status Thresholds'!$E:$AR,19,FALSE),IF((AND($U$4=TRUE,$U$5=FALSE,$U$6=FALSE,$U$7=TRUE)),VLOOKUP($E428,'Status Thresholds'!$E:$AR,9,FALSE),
IF((AND($U$4=FALSE,$U$5=TRUE,$U$6=FALSE,$U$7=FALSE)),VLOOKUP($E428,'Status Thresholds'!$E:$AR,24,FALSE),IF((AND($U$4=FALSE,$U$5=TRUE,$U$6=TRUE,$U$7=FALSE)),VLOOKUP($E428,'Status Thresholds'!$E:$AR,34,FALSE),IF((AND($U$4=FALSE,$U$5=TRUE,$U$6=TRUE,$U$7=TRUE)),VLOOKUP($E428,'Status Thresholds'!$E:$AR,39,FALSE),IF((AND($U$4=FALSE,$U$5=TRUE,$U$6=FALSE,$U$7=TRUE)),VLOOKUP($E428,'Status Thresholds'!$E:$AR,29,FALSE)))))))))
))/
IF(OR($X$5=TRUE,$AC$3=TRUE
),($F$7/2), IF(OR($X$2,$X$3,$X$4,$X$6,$X$7,$X$8,$Z$2,$Z$3,$Z$4,$Z$5,$Z$6,$Z$7,$Z$8)=TRUE,$F$7)),0),"-")</f>
        <v>-</v>
      </c>
      <c r="I428" s="36" t="str">
        <f>IFERROR(
ROUNDUP(
IF(AND($U$5=FALSE,$U$4=FALSE),"-",IF(AND($U$5=TRUE,$U$4=TRUE),"-",
IF((AND($U$4=TRUE,$U$5=FALSE,$U$6=FALSE,$U$7=FALSE)),VLOOKUP($E428,'Status Thresholds'!$E:$AR,5,FALSE),IF((AND($U$4=TRUE,$U$5=FALSE,$U$6=TRUE,$U$7=FALSE)),VLOOKUP($E428,'Status Thresholds'!$E:$AR,15,FALSE),IF((AND($U$4=TRUE,$U$5=FALSE,$U$6=TRUE,$U$7=TRUE)),VLOOKUP($E428,'Status Thresholds'!$E:$AR,20,FALSE),IF((AND($U$4=TRUE,$U$5=FALSE,$U$6=FALSE,$U$7=TRUE)),VLOOKUP($E428,'Status Thresholds'!$E:$AR,10,FALSE),
IF((AND($U$4=FALSE,$U$5=TRUE,$U$6=FALSE,$U$7=FALSE)),VLOOKUP($E428,'Status Thresholds'!$E:$AR,25,FALSE),IF((AND($U$4=FALSE,$U$5=TRUE,$U$6=TRUE,$U$7=FALSE)),VLOOKUP($E428,'Status Thresholds'!$E:$AR,35,FALSE),IF((AND($U$4=FALSE,$U$5=TRUE,$U$6=TRUE,$U$7=TRUE)),VLOOKUP($E428,'Status Thresholds'!$E:$AR,40,FALSE),IF((AND($U$4=FALSE,$U$5=TRUE,$U$6=FALSE,$U$7=TRUE)),VLOOKUP($E428,'Status Thresholds'!$E:$AR,30,FALSE)))))))))
))/
IF(OR($X$5=TRUE,$AC$3=TRUE
),($F$7/2), IF(OR($X$2,$X$3,$X$4,$X$6,$X$7,$X$8,$Z$2,$Z$3,$Z$4,$Z$5,$Z$6,$Z$7,$Z$8)=TRUE,$F$7)),0),"-")</f>
        <v>-</v>
      </c>
      <c r="J428" s="46">
        <f>IFERROR(IF(AND($U$5=FALSE,$U$4=FALSE),"-",VLOOKUP($E428,'Status Thresholds'!$E:$AU,41,FALSE)),"-")</f>
        <v>0</v>
      </c>
      <c r="K428" s="46" t="str">
        <f>IFERROR(IF(AND($U$5=FALSE,$U$4=FALSE),"-",VLOOKUP($E428,'Status Thresholds'!$E:$AU,42,FALSE)),"-")</f>
        <v>-</v>
      </c>
      <c r="L428" s="46" t="str">
        <f>IFERROR(IF(AND($U$5=FALSE,$U$4=FALSE),"-",VLOOKUP($E428,'Status Thresholds'!$E:$AU,43,FALSE)),"-")</f>
        <v>-</v>
      </c>
    </row>
    <row r="429" spans="1:12" ht="14.45" customHeight="1" x14ac:dyDescent="0.25">
      <c r="A429" s="35"/>
      <c r="B429" s="64" t="str">
        <f>VLOOKUP(C429,'Status Thresholds'!B:C,2,FALSE)</f>
        <v>MHGen</v>
      </c>
      <c r="C429" s="64" t="str">
        <f>IF('Status Thresholds'!B424=0, "", 'Status Thresholds'!B424)</f>
        <v>Kecha Wacha</v>
      </c>
      <c r="D429" s="34" t="s">
        <v>14</v>
      </c>
      <c r="E429" s="36" t="str">
        <f t="shared" si="6"/>
        <v>Kecha WachaKO</v>
      </c>
      <c r="F429" s="36" t="s">
        <v>214</v>
      </c>
      <c r="G429" s="36" t="s">
        <v>214</v>
      </c>
      <c r="H429" s="36" t="s">
        <v>214</v>
      </c>
      <c r="I429" s="36" t="s">
        <v>214</v>
      </c>
      <c r="J429" s="46">
        <f>IFERROR(IF(AND($U$5=FALSE,$U$4=FALSE),"-",VLOOKUP($E429,'Status Thresholds'!$E:$AU,41,FALSE)),"-")</f>
        <v>10</v>
      </c>
      <c r="K429" s="46" t="str">
        <f>IFERROR(IF(AND($U$5=FALSE,$U$4=FALSE),"-",VLOOKUP($E429,'Status Thresholds'!$E:$AU,42,FALSE)),"-")</f>
        <v>-</v>
      </c>
      <c r="L429" s="46" t="str">
        <f>IFERROR(IF(AND($U$5=FALSE,$U$4=FALSE),"-",VLOOKUP($E429,'Status Thresholds'!$E:$AU,43,FALSE)),"-")</f>
        <v>-</v>
      </c>
    </row>
    <row r="430" spans="1:12" x14ac:dyDescent="0.25">
      <c r="A430" s="35"/>
      <c r="B430" s="64" t="str">
        <f>VLOOKUP(C430,'Status Thresholds'!B:C,2,FALSE)</f>
        <v>MHGen</v>
      </c>
      <c r="C430" s="64" t="str">
        <f>IF('Status Thresholds'!B425=0, "", 'Status Thresholds'!B425)</f>
        <v>Kecha Wacha</v>
      </c>
      <c r="D430" s="33" t="s">
        <v>34</v>
      </c>
      <c r="E430" s="36" t="str">
        <f t="shared" si="6"/>
        <v>Kecha WachaMount</v>
      </c>
      <c r="F430" s="36" t="str">
        <f>IFERROR(
ROUNDUP(
IF(AND($U$5=FALSE,$U$4=FALSE),"-",IF(AND($U$5=TRUE,$U$4=TRUE),"-",
IF((AND($U$4=TRUE,$U$5=FALSE,$U$6=FALSE,$U$7=FALSE)),VLOOKUP($E430,'Status Thresholds'!$E:$AR,2,FALSE),IF((AND($U$4=TRUE,$U$5=FALSE,$U$6=TRUE,$U$7=FALSE)),VLOOKUP($E430,'Status Thresholds'!$E:$AR,12,FALSE),IF((AND($U$4=TRUE,$U$5=FALSE,$U$6=TRUE,$U$7=TRUE)),VLOOKUP($E430,'Status Thresholds'!$E:$AR,17,FALSE),IF((AND($U$4=TRUE,$U$5=FALSE,$U$6=FALSE,$U$7=TRUE)),VLOOKUP($E430,'Status Thresholds'!$E:$AR,7,FALSE),
IF((AND($U$4=FALSE,$U$5=TRUE,$U$6=FALSE,$U$7=FALSE)),VLOOKUP($E430,'Status Thresholds'!$E:$AR,22,FALSE),IF((AND($U$4=FALSE,$U$5=TRUE,$U$6=TRUE,$U$7=FALSE)),VLOOKUP($E430,'Status Thresholds'!$E:$AR,32,FALSE),IF((AND($U$4=FALSE,$U$5=TRUE,$U$6=TRUE,$U$7=TRUE)),VLOOKUP($E430,'Status Thresholds'!$E:$AR,37,FALSE),IF((AND($U$4=FALSE,$U$5=TRUE,$U$6=FALSE,$U$7=TRUE)),VLOOKUP($E430,'Status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430" s="36" t="str">
        <f>IFERROR(
ROUNDUP(
IF(AND($U$5=FALSE,$U$4=FALSE),"-",IF(AND($U$5=TRUE,$U$4=TRUE),"-",
IF((AND($U$4=TRUE,$U$5=FALSE,$U$6=FALSE,$U$7=FALSE)),VLOOKUP($E429,'Status Thresholds'!$E:$AR,3,FALSE),IF((AND($U$4=TRUE,$U$5=FALSE,$U$6=TRUE,$U$7=FALSE)),VLOOKUP($E429,'Status Thresholds'!$E:$AR,13,FALSE),IF((AND($U$4=TRUE,$U$5=FALSE,$U$6=TRUE,$U$7=TRUE)),VLOOKUP($E429,'Status Thresholds'!$E:$AR,18,FALSE),IF((AND($U$4=TRUE,$U$5=FALSE,$U$6=FALSE,$U$7=TRUE)),VLOOKUP($E429,'Status Thresholds'!$E:$AR,8,FALSE),
IF((AND($U$4=FALSE,$U$5=TRUE,$U$6=FALSE,$U$7=FALSE)),VLOOKUP($E429,'Status Thresholds'!$E:$AR,23,FALSE),IF((AND($U$4=FALSE,$U$5=TRUE,$U$6=TRUE,$U$7=FALSE)),VLOOKUP($E429,'Status Thresholds'!$E:$AR,33,FALSE),IF((AND($U$4=FALSE,$U$5=TRUE,$U$6=TRUE,$U$7=TRUE)),VLOOKUP($E429,'Status Thresholds'!$E:$AR,38,FALSE),IF((AND($U$4=FALSE,$U$5=TRUE,$U$6=FALSE,$U$7=TRUE)),VLOOKUP($E429,'Status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430" s="36" t="str">
        <f>IFERROR(
ROUNDUP(
IF(AND($U$5=FALSE,$U$4=FALSE),"-",IF(AND($U$5=TRUE,$U$4=TRUE),"-",
IF((AND($U$4=TRUE,$U$5=FALSE,$U$6=FALSE,$U$7=FALSE)),VLOOKUP($E429,'Status Thresholds'!$E:$AR,4,FALSE),IF((AND($U$4=TRUE,$U$5=FALSE,$U$6=TRUE,$U$7=FALSE)),VLOOKUP($E429,'Status Thresholds'!$E:$AR,14,FALSE),IF((AND($U$4=TRUE,$U$5=FALSE,$U$6=TRUE,$U$7=TRUE)),VLOOKUP($E429,'Status Thresholds'!$E:$AR,19,FALSE),IF((AND($U$4=TRUE,$U$5=FALSE,$U$6=FALSE,$U$7=TRUE)),VLOOKUP($E429,'Status Thresholds'!$E:$AR,9,FALSE),
IF((AND($U$4=FALSE,$U$5=TRUE,$U$6=FALSE,$U$7=FALSE)),VLOOKUP($E429,'Status Thresholds'!$E:$AR,24,FALSE),IF((AND($U$4=FALSE,$U$5=TRUE,$U$6=TRUE,$U$7=FALSE)),VLOOKUP($E429,'Status Thresholds'!$E:$AR,34,FALSE),IF((AND($U$4=FALSE,$U$5=TRUE,$U$6=TRUE,$U$7=TRUE)),VLOOKUP($E429,'Status Thresholds'!$E:$AR,39,FALSE),IF((AND($U$4=FALSE,$U$5=TRUE,$U$6=FALSE,$U$7=TRUE)),VLOOKUP($E429,'Status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430" s="36" t="str">
        <f>IFERROR(
ROUNDUP(
IF(AND($U$5=FALSE,$U$4=FALSE),"-",IF(AND($U$5=TRUE,$U$4=TRUE),"-",
IF((AND($U$4=TRUE,$U$5=FALSE,$U$6=FALSE,$U$7=FALSE)),VLOOKUP($E429,'Status Thresholds'!$E:$AR,5,FALSE),IF((AND($U$4=TRUE,$U$5=FALSE,$U$6=TRUE,$U$7=FALSE)),VLOOKUP($E429,'Status Thresholds'!$E:$AR,15,FALSE),IF((AND($U$4=TRUE,$U$5=FALSE,$U$6=TRUE,$U$7=TRUE)),VLOOKUP($E429,'Status Thresholds'!$E:$AR,20,FALSE),IF((AND($U$4=TRUE,$U$5=FALSE,$U$6=FALSE,$U$7=TRUE)),VLOOKUP($E429,'Status Thresholds'!$E:$AR,10,FALSE),
IF((AND($U$4=FALSE,$U$5=TRUE,$U$6=FALSE,$U$7=FALSE)),VLOOKUP($E429,'Status Thresholds'!$E:$AR,25,FALSE),IF((AND($U$4=FALSE,$U$5=TRUE,$U$6=TRUE,$U$7=FALSE)),VLOOKUP($E429,'Status Thresholds'!$E:$AR,35,FALSE),IF((AND($U$4=FALSE,$U$5=TRUE,$U$6=TRUE,$U$7=TRUE)),VLOOKUP($E429,'Status Thresholds'!$E:$AR,40,FALSE),IF((AND($U$4=FALSE,$U$5=TRUE,$U$6=FALSE,$U$7=TRUE)),VLOOKUP($E429,'Status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430" s="46">
        <f>IFERROR(IF(AND($U$5=FALSE,$U$4=FALSE),"-",VLOOKUP($E430,'Status Thresholds'!$E:$AU,41,FALSE)),"-")</f>
        <v>0</v>
      </c>
      <c r="K430" s="46" t="str">
        <f>IFERROR(IF(AND($U$5=FALSE,$U$4=FALSE),"-",VLOOKUP($E430,'Status Thresholds'!$E:$AU,42,FALSE)),"-")</f>
        <v>-</v>
      </c>
      <c r="L430" s="46" t="str">
        <f>IFERROR(IF(AND($U$5=FALSE,$U$4=FALSE),"-",VLOOKUP($E430,'Status Thresholds'!$E:$AU,43,FALSE)),"-")</f>
        <v>-</v>
      </c>
    </row>
    <row r="431" spans="1:12" ht="15" customHeight="1" x14ac:dyDescent="0.25">
      <c r="A431" s="35"/>
      <c r="B431" s="64" t="str">
        <f>VLOOKUP(C431,'Status Thresholds'!B:C,2,FALSE)</f>
        <v>MHGen</v>
      </c>
      <c r="C431" s="64" t="str">
        <f>IF('Status Thresholds'!B426=0, "", 'Status Thresholds'!B426)</f>
        <v>Kecha Wacha</v>
      </c>
      <c r="D431" s="77" t="s">
        <v>207</v>
      </c>
      <c r="E431" s="36" t="str">
        <f t="shared" si="6"/>
        <v>Kecha WachaShock Trap</v>
      </c>
      <c r="F431" s="76" t="s">
        <v>214</v>
      </c>
      <c r="G431" s="46" t="s">
        <v>214</v>
      </c>
      <c r="H431" s="46" t="s">
        <v>214</v>
      </c>
      <c r="I431" s="46" t="s">
        <v>214</v>
      </c>
      <c r="J431" s="46">
        <f>IFERROR(IF(AND($U$5=FALSE,$U$4=FALSE),"-",VLOOKUP($E431,'Status Thresholds'!$E:$AU,43,FALSE)),"-")</f>
        <v>8</v>
      </c>
      <c r="K431" s="46">
        <f>IFERROR(IF(AND($U$5=FALSE,$U$4=FALSE),"-",VLOOKUP($E431,'Status Thresholds'!$E:$AU,41,FALSE)),"-")</f>
        <v>8</v>
      </c>
      <c r="L431" s="46">
        <f>IFERROR(IF(AND($U$5=FALSE,$U$4=FALSE),"-",VLOOKUP($E431,'Status Thresholds'!$E:$AU,42,FALSE)),"-")</f>
        <v>15</v>
      </c>
    </row>
    <row r="432" spans="1:12" x14ac:dyDescent="0.25">
      <c r="A432" s="35"/>
      <c r="B432" s="64" t="str">
        <f>VLOOKUP(C432,'Status Thresholds'!B:C,2,FALSE)</f>
        <v>MHGen</v>
      </c>
      <c r="C432" s="64" t="str">
        <f>IF('Status Thresholds'!B427=0, "", 'Status Thresholds'!B427)</f>
        <v>Kecha Wacha</v>
      </c>
      <c r="D432" s="77" t="s">
        <v>213</v>
      </c>
      <c r="E432" s="36" t="str">
        <f t="shared" si="6"/>
        <v>Kecha WachaPitfall Trap</v>
      </c>
      <c r="F432" s="46" t="s">
        <v>214</v>
      </c>
      <c r="G432" s="46" t="s">
        <v>214</v>
      </c>
      <c r="H432" s="46" t="s">
        <v>214</v>
      </c>
      <c r="I432" s="46" t="s">
        <v>214</v>
      </c>
      <c r="J432" s="46">
        <f>IFERROR(IF(AND($U$5=FALSE,$U$4=FALSE),"-",VLOOKUP($E432,'Status Thresholds'!$E:$AU,43,FALSE)),"-")</f>
        <v>12</v>
      </c>
      <c r="K432" s="46">
        <f>IFERROR(IF(AND($U$5=FALSE,$U$4=FALSE),"-",VLOOKUP($E432,'Status Thresholds'!$E:$AU,41,FALSE)),"-")</f>
        <v>12</v>
      </c>
      <c r="L432" s="46">
        <f>IFERROR(IF(AND($U$5=FALSE,$U$4=FALSE),"-",VLOOKUP($E432,'Status Thresholds'!$E:$AU,42,FALSE)),"-")</f>
        <v>25</v>
      </c>
    </row>
    <row r="433" spans="1:12" s="36" customFormat="1" x14ac:dyDescent="0.25">
      <c r="A433" s="64"/>
      <c r="B433" s="64" t="str">
        <f>VLOOKUP(C433,'Status Thresholds'!B:C,2,FALSE)</f>
        <v>MHGen</v>
      </c>
      <c r="C433" s="64" t="str">
        <f>IF('Status Thresholds'!B428=0, "", 'Status Thresholds'!B428)</f>
        <v>Khezu</v>
      </c>
      <c r="D433" s="37" t="s">
        <v>0</v>
      </c>
      <c r="E433" s="36" t="str">
        <f t="shared" si="6"/>
        <v>KhezuPara</v>
      </c>
      <c r="F433" s="36" t="str">
        <f>IFERROR(
ROUNDUP(
IF(AND($U$5=FALSE,$U$4=FALSE),"-",IF(AND($U$5=TRUE,$U$4=TRUE),"-",
IF((AND($U$4=TRUE,$U$5=FALSE,$U$6=FALSE,$U$7=FALSE)),VLOOKUP($E433,'Status Thresholds'!$E:$AR,2,FALSE),IF((AND($U$4=TRUE,$U$5=FALSE,$U$6=TRUE,$U$7=FALSE)),VLOOKUP($E433,'Status Thresholds'!$E:$AR,12,FALSE),IF((AND($U$4=TRUE,$U$5=FALSE,$U$6=TRUE,$U$7=TRUE)),VLOOKUP($E433,'Status Thresholds'!$E:$AR,17,FALSE),IF((AND($U$4=TRUE,$U$5=FALSE,$U$6=FALSE,$U$7=TRUE)),VLOOKUP($E433,'Status Thresholds'!$E:$AR,7,FALSE),
IF((AND($U$4=FALSE,$U$5=TRUE,$U$6=FALSE,$U$7=FALSE)),VLOOKUP($E433,'Status Thresholds'!$E:$AR,22,FALSE),IF((AND($U$4=FALSE,$U$5=TRUE,$U$6=TRUE,$U$7=FALSE)),VLOOKUP($E433,'Status Thresholds'!$E:$AR,32,FALSE),IF((AND($U$4=FALSE,$U$5=TRUE,$U$6=TRUE,$U$7=TRUE)),VLOOKUP($E433,'Status Thresholds'!$E:$AR,37,FALSE),IF((AND($U$4=FALSE,$U$5=TRUE,$U$6=FALSE,$U$7=TRUE)),VLOOKUP($E433,'Status Thresholds'!$E:$AR,27,FALSE)))))))))
))/
IF(OR($X$5=TRUE,$AC$3=TRUE
),($F$3/2), IF(OR($X$2,$X$3,$X$4,$X$6,$X$7,$X$8,$Z$2,$Z$3,$Z$4,$Z$5,$Z$6,$Z$7,$Z$8)=TRUE,$F$3)),0),"-")</f>
        <v>-</v>
      </c>
      <c r="G433" s="36" t="str">
        <f>IFERROR(
ROUNDUP(
IF(AND($U$5=FALSE,$U$4=FALSE),"-",IF(AND($U$5=TRUE,$U$4=TRUE),"-",
IF((AND($U$4=TRUE,$U$5=FALSE,$U$6=FALSE,$U$7=FALSE)),VLOOKUP($E433,'Status Thresholds'!$E:$AR,3,FALSE),IF((AND($U$4=TRUE,$U$5=FALSE,$U$6=TRUE,$U$7=FALSE)),VLOOKUP($E433,'Status Thresholds'!$E:$AR,13,FALSE),IF((AND($U$4=TRUE,$U$5=FALSE,$U$6=TRUE,$U$7=TRUE)),VLOOKUP($E433,'Status Thresholds'!$E:$AR,18,FALSE),IF((AND($U$4=TRUE,$U$5=FALSE,$U$6=FALSE,$U$7=TRUE)),VLOOKUP($E433,'Status Thresholds'!$E:$AR,8,FALSE),
IF((AND($U$4=FALSE,$U$5=TRUE,$U$6=FALSE,$U$7=FALSE)),VLOOKUP($E433,'Status Thresholds'!$E:$AR,23,FALSE),IF((AND($U$4=FALSE,$U$5=TRUE,$U$6=TRUE,$U$7=FALSE)),VLOOKUP($E433,'Status Thresholds'!$E:$AR,33,FALSE),IF((AND($U$4=FALSE,$U$5=TRUE,$U$6=TRUE,$U$7=TRUE)),VLOOKUP($E433,'Status Thresholds'!$E:$AR,38,FALSE),IF((AND($U$4=FALSE,$U$5=TRUE,$U$6=FALSE,$U$7=TRUE)),VLOOKUP($E433,'Status Thresholds'!$E:$AR,28,FALSE)))))))))
))/
IF(OR($X$5=TRUE,$AC$3=TRUE
),($F$3/2), IF(OR($X$2,$X$3,$X$4,$X$6,$X$7,$X$8,$Z$2,$Z$3,$Z$4,$Z$5,$Z$6,$Z$7,$Z$8)=TRUE,$F$3)),0),"-")</f>
        <v>-</v>
      </c>
      <c r="H433" s="36" t="str">
        <f>IFERROR(
ROUNDUP(
IF(AND($U$5=FALSE,$U$4=FALSE),"-",IF(AND($U$5=TRUE,$U$4=TRUE),"-",
IF((AND($U$4=TRUE,$U$5=FALSE,$U$6=FALSE,$U$7=FALSE)),VLOOKUP($E433,'Status Thresholds'!$E:$AR,4,FALSE),IF((AND($U$4=TRUE,$U$5=FALSE,$U$6=TRUE,$U$7=FALSE)),VLOOKUP($E433,'Status Thresholds'!$E:$AR,14,FALSE),IF((AND($U$4=TRUE,$U$5=FALSE,$U$6=TRUE,$U$7=TRUE)),VLOOKUP($E433,'Status Thresholds'!$E:$AR,19,FALSE),IF((AND($U$4=TRUE,$U$5=FALSE,$U$6=FALSE,$U$7=TRUE)),VLOOKUP($E433,'Status Thresholds'!$E:$AR,9,FALSE),
IF((AND($U$4=FALSE,$U$5=TRUE,$U$6=FALSE,$U$7=FALSE)),VLOOKUP($E433,'Status Thresholds'!$E:$AR,24,FALSE),IF((AND($U$4=FALSE,$U$5=TRUE,$U$6=TRUE,$U$7=FALSE)),VLOOKUP($E433,'Status Thresholds'!$E:$AR,34,FALSE),IF((AND($U$4=FALSE,$U$5=TRUE,$U$6=TRUE,$U$7=TRUE)),VLOOKUP($E433,'Status Thresholds'!$E:$AR,39,FALSE),IF((AND($U$4=FALSE,$U$5=TRUE,$U$6=FALSE,$U$7=TRUE)),VLOOKUP($E433,'Status Thresholds'!$E:$AR,29,FALSE)))))))))
))/
IF(OR($X$5=TRUE,$AC$3=TRUE
),($F$3/2), IF(OR($X$2,$X$3,$X$4,$X$6,$X$7,$X$8,$Z$2,$Z$3,$Z$4,$Z$5,$Z$6,$Z$7,$Z$8)=TRUE,$F$3)),0),"-")</f>
        <v>-</v>
      </c>
      <c r="I433" s="36" t="str">
        <f>IFERROR(
ROUNDUP(
IF(AND($U$5=FALSE,$U$4=FALSE),"-",IF(AND($U$5=TRUE,$U$4=TRUE),"-",
IF((AND($U$4=TRUE,$U$5=FALSE,$U$6=FALSE,$U$7=FALSE)),VLOOKUP($E433,'Status Thresholds'!$E:$AR,5,FALSE),IF((AND($U$4=TRUE,$U$5=FALSE,$U$6=TRUE,$U$7=FALSE)),VLOOKUP($E433,'Status Thresholds'!$E:$AR,15,FALSE),IF((AND($U$4=TRUE,$U$5=FALSE,$U$6=TRUE,$U$7=TRUE)),VLOOKUP($E433,'Status Thresholds'!$E:$AR,20,FALSE),IF((AND($U$4=TRUE,$U$5=FALSE,$U$6=FALSE,$U$7=TRUE)),VLOOKUP($E433,'Status Thresholds'!$E:$AR,10,FALSE),
IF((AND($U$4=FALSE,$U$5=TRUE,$U$6=FALSE,$U$7=FALSE)),VLOOKUP($E433,'Status Thresholds'!$E:$AR,25,FALSE),IF((AND($U$4=FALSE,$U$5=TRUE,$U$6=TRUE,$U$7=FALSE)),VLOOKUP($E433,'Status Thresholds'!$E:$AR,35,FALSE),IF((AND($U$4=FALSE,$U$5=TRUE,$U$6=TRUE,$U$7=TRUE)),VLOOKUP($E433,'Status Thresholds'!$E:$AR,40,FALSE),IF((AND($U$4=FALSE,$U$5=TRUE,$U$6=FALSE,$U$7=TRUE)),VLOOKUP($E433,'Status Thresholds'!$E:$AR,30,FALSE)))))))))
))/
IF(OR($X$5=TRUE,$AC$3=TRUE
),($F$3/2), IF(OR($X$2,$X$3,$X$4,$X$6,$X$7,$X$8,$Z$2,$Z$3,$Z$4,$Z$5,$Z$6,$Z$7,$Z$8)=TRUE,$F$3)),0),"-")</f>
        <v>-</v>
      </c>
      <c r="J433" s="36">
        <f>IFERROR(IF(AND($U$5=FALSE,$U$4=FALSE),"-",VLOOKUP($E433,'Status Thresholds'!$E:$AU,41,FALSE)),"-")</f>
        <v>10</v>
      </c>
      <c r="K433" s="36" t="str">
        <f>IFERROR(IF(AND($U$5=FALSE,$U$4=FALSE),"-",VLOOKUP($E433,'Status Thresholds'!$E:$AU,42,FALSE)),"-")</f>
        <v>-</v>
      </c>
      <c r="L433" s="36" t="str">
        <f>IFERROR(IF(AND($U$5=FALSE,$U$4=FALSE),"-",VLOOKUP($E433,'Status Thresholds'!$E:$AU,43,FALSE)),"-")</f>
        <v>-</v>
      </c>
    </row>
    <row r="434" spans="1:12" x14ac:dyDescent="0.25">
      <c r="A434" s="35"/>
      <c r="B434" s="64" t="str">
        <f>VLOOKUP(C434,'Status Thresholds'!B:C,2,FALSE)</f>
        <v>MHGen</v>
      </c>
      <c r="C434" s="64" t="str">
        <f>IF('Status Thresholds'!B429=0, "", 'Status Thresholds'!B429)</f>
        <v>Khezu</v>
      </c>
      <c r="D434" s="31" t="s">
        <v>32</v>
      </c>
      <c r="E434" s="36" t="str">
        <f t="shared" si="6"/>
        <v>KhezuSleep</v>
      </c>
      <c r="F434" s="36" t="str">
        <f>IFERROR(
ROUNDUP(
IF(AND($U$5=FALSE,$U$4=FALSE),"-",IF(AND($U$5=TRUE,$U$4=TRUE),"-",
IF((AND($U$4=TRUE,$U$5=FALSE,$U$6=FALSE,$U$7=FALSE)),VLOOKUP($E434,'Status Thresholds'!$E:$AR,2,FALSE),IF((AND($U$4=TRUE,$U$5=FALSE,$U$6=TRUE,$U$7=FALSE)),VLOOKUP($E434,'Status Thresholds'!$E:$AR,12,FALSE),IF((AND($U$4=TRUE,$U$5=FALSE,$U$6=TRUE,$U$7=TRUE)),VLOOKUP($E434,'Status Thresholds'!$E:$AR,17,FALSE),IF((AND($U$4=TRUE,$U$5=FALSE,$U$6=FALSE,$U$7=TRUE)),VLOOKUP($E434,'Status Thresholds'!$E:$AR,7,FALSE),
IF((AND($U$4=FALSE,$U$5=TRUE,$U$6=FALSE,$U$7=FALSE)),VLOOKUP($E434,'Status Thresholds'!$E:$AR,22,FALSE),IF((AND($U$4=FALSE,$U$5=TRUE,$U$6=TRUE,$U$7=FALSE)),VLOOKUP($E434,'Status Thresholds'!$E:$AR,32,FALSE),IF((AND($U$4=FALSE,$U$5=TRUE,$U$6=TRUE,$U$7=TRUE)),VLOOKUP($E434,'Status Thresholds'!$E:$AR,37,FALSE),IF((AND($U$4=FALSE,$U$5=TRUE,$U$6=FALSE,$U$7=TRUE)),VLOOKUP($E434,'Status Thresholds'!$E:$AR,27,FALSE)))))))))
))/
IF(OR($X$5=TRUE,$AC$3=TRUE
),($F$4/2), IF(OR($X$2,$X$3,$X$4,$X$6,$X$7,$X$8,$Z$2,$Z$3,$Z$4,$Z$5,$Z$6,$Z$7,$Z$8)=TRUE,$F$4)),0),"-")</f>
        <v>-</v>
      </c>
      <c r="G434" s="36" t="str">
        <f>IFERROR(
ROUNDUP(
IF(AND($U$5=FALSE,$U$4=FALSE),"-",IF(AND($U$5=TRUE,$U$4=TRUE),"-",
IF((AND($U$4=TRUE,$U$5=FALSE,$U$6=FALSE,$U$7=FALSE)),VLOOKUP($E434,'Status Thresholds'!$E:$AR,3,FALSE),IF((AND($U$4=TRUE,$U$5=FALSE,$U$6=TRUE,$U$7=FALSE)),VLOOKUP($E434,'Status Thresholds'!$E:$AR,13,FALSE),IF((AND($U$4=TRUE,$U$5=FALSE,$U$6=TRUE,$U$7=TRUE)),VLOOKUP($E434,'Status Thresholds'!$E:$AR,18,FALSE),IF((AND($U$4=TRUE,$U$5=FALSE,$U$6=FALSE,$U$7=TRUE)),VLOOKUP($E434,'Status Thresholds'!$E:$AR,8,FALSE),
IF((AND($U$4=FALSE,$U$5=TRUE,$U$6=FALSE,$U$7=FALSE)),VLOOKUP($E434,'Status Thresholds'!$E:$AR,23,FALSE),IF((AND($U$4=FALSE,$U$5=TRUE,$U$6=TRUE,$U$7=FALSE)),VLOOKUP($E434,'Status Thresholds'!$E:$AR,33,FALSE),IF((AND($U$4=FALSE,$U$5=TRUE,$U$6=TRUE,$U$7=TRUE)),VLOOKUP($E434,'Status Thresholds'!$E:$AR,38,FALSE),IF((AND($U$4=FALSE,$U$5=TRUE,$U$6=FALSE,$U$7=TRUE)),VLOOKUP($E434,'Status Thresholds'!$E:$AR,28,FALSE)))))))))
))/
IF(OR($X$5=TRUE,$AC$3=TRUE
),($F$4/2), IF(OR($X$2,$X$3,$X$4,$X$6,$X$7,$X$8,$Z$2,$Z$3,$Z$4,$Z$5,$Z$6,$Z$7,$Z$8)=TRUE,$F$4)),0),"-")</f>
        <v>-</v>
      </c>
      <c r="H434" s="36" t="str">
        <f>IFERROR(
ROUNDUP(
IF(AND($U$5=FALSE,$U$4=FALSE),"-",IF(AND($U$5=TRUE,$U$4=TRUE),"-",
IF((AND($U$4=TRUE,$U$5=FALSE,$U$6=FALSE,$U$7=FALSE)),VLOOKUP($E434,'Status Thresholds'!$E:$AR,4,FALSE),IF((AND($U$4=TRUE,$U$5=FALSE,$U$6=TRUE,$U$7=FALSE)),VLOOKUP($E434,'Status Thresholds'!$E:$AR,14,FALSE),IF((AND($U$4=TRUE,$U$5=FALSE,$U$6=TRUE,$U$7=TRUE)),VLOOKUP($E434,'Status Thresholds'!$E:$AR,19,FALSE),IF((AND($U$4=TRUE,$U$5=FALSE,$U$6=FALSE,$U$7=TRUE)),VLOOKUP($E434,'Status Thresholds'!$E:$AR,9,FALSE),
IF((AND($U$4=FALSE,$U$5=TRUE,$U$6=FALSE,$U$7=FALSE)),VLOOKUP($E434,'Status Thresholds'!$E:$AR,24,FALSE),IF((AND($U$4=FALSE,$U$5=TRUE,$U$6=TRUE,$U$7=FALSE)),VLOOKUP($E434,'Status Thresholds'!$E:$AR,34,FALSE),IF((AND($U$4=FALSE,$U$5=TRUE,$U$6=TRUE,$U$7=TRUE)),VLOOKUP($E434,'Status Thresholds'!$E:$AR,39,FALSE),IF((AND($U$4=FALSE,$U$5=TRUE,$U$6=FALSE,$U$7=TRUE)),VLOOKUP($E434,'Status Thresholds'!$E:$AR,29,FALSE)))))))))
))/
IF(OR($X$5=TRUE,$AC$3=TRUE
),($F$4/2), IF(OR($X$2,$X$3,$X$4,$X$6,$X$7,$X$8,$Z$2,$Z$3,$Z$4,$Z$5,$Z$6,$Z$7,$Z$8)=TRUE,$F$4)),0),"-")</f>
        <v>-</v>
      </c>
      <c r="I434" s="36" t="str">
        <f>IFERROR(
ROUNDUP(
IF(AND($U$5=FALSE,$U$4=FALSE),"-",IF(AND($U$5=TRUE,$U$4=TRUE),"-",
IF((AND($U$4=TRUE,$U$5=FALSE,$U$6=FALSE,$U$7=FALSE)),VLOOKUP($E434,'Status Thresholds'!$E:$AR,5,FALSE),IF((AND($U$4=TRUE,$U$5=FALSE,$U$6=TRUE,$U$7=FALSE)),VLOOKUP($E434,'Status Thresholds'!$E:$AR,15,FALSE),IF((AND($U$4=TRUE,$U$5=FALSE,$U$6=TRUE,$U$7=TRUE)),VLOOKUP($E434,'Status Thresholds'!$E:$AR,20,FALSE),IF((AND($U$4=TRUE,$U$5=FALSE,$U$6=FALSE,$U$7=TRUE)),VLOOKUP($E434,'Status Thresholds'!$E:$AR,10,FALSE),
IF((AND($U$4=FALSE,$U$5=TRUE,$U$6=FALSE,$U$7=FALSE)),VLOOKUP($E434,'Status Thresholds'!$E:$AR,25,FALSE),IF((AND($U$4=FALSE,$U$5=TRUE,$U$6=TRUE,$U$7=FALSE)),VLOOKUP($E434,'Status Thresholds'!$E:$AR,35,FALSE),IF((AND($U$4=FALSE,$U$5=TRUE,$U$6=TRUE,$U$7=TRUE)),VLOOKUP($E434,'Status Thresholds'!$E:$AR,40,FALSE),IF((AND($U$4=FALSE,$U$5=TRUE,$U$6=FALSE,$U$7=TRUE)),VLOOKUP($E434,'Status Thresholds'!$E:$AR,30,FALSE)))))))))
))/
IF(OR($X$5=TRUE,$AC$3=TRUE
),($F$4/2), IF(OR($X$2,$X$3,$X$4,$X$6,$X$7,$X$8,$Z$2,$Z$3,$Z$4,$Z$5,$Z$6,$Z$7,$Z$8)=TRUE,$F$4)),0),"-")</f>
        <v>-</v>
      </c>
      <c r="J434" s="46">
        <f>IFERROR(IF(AND($U$5=FALSE,$U$4=FALSE),"-",VLOOKUP($E434,'Status Thresholds'!$E:$AU,41,FALSE)),"-")</f>
        <v>40</v>
      </c>
      <c r="K434" s="46" t="str">
        <f>IFERROR(IF(AND($U$5=FALSE,$U$4=FALSE),"-",VLOOKUP($E434,'Status Thresholds'!$E:$AU,42,FALSE)),"-")</f>
        <v>-</v>
      </c>
      <c r="L434" s="46" t="str">
        <f>IFERROR(IF(AND($U$5=FALSE,$U$4=FALSE),"-",VLOOKUP($E434,'Status Thresholds'!$E:$AU,43,FALSE)),"-")</f>
        <v>-</v>
      </c>
    </row>
    <row r="435" spans="1:12" x14ac:dyDescent="0.25">
      <c r="A435" s="35"/>
      <c r="B435" s="64" t="str">
        <f>VLOOKUP(C435,'Status Thresholds'!B:C,2,FALSE)</f>
        <v>MHGen</v>
      </c>
      <c r="C435" s="64" t="str">
        <f>IF('Status Thresholds'!B430=0, "", 'Status Thresholds'!B430)</f>
        <v>Khezu</v>
      </c>
      <c r="D435" s="32" t="s">
        <v>33</v>
      </c>
      <c r="E435" s="36" t="str">
        <f t="shared" si="6"/>
        <v>KhezuPoison</v>
      </c>
      <c r="F435" s="36" t="str">
        <f>IFERROR(
ROUNDUP(
IF(AND($U$5=FALSE,$U$4=FALSE),"-",IF(AND($U$5=TRUE,$U$4=TRUE),"-",
IF((AND($U$4=TRUE,$U$5=FALSE,$U$6=FALSE,$U$7=FALSE)),VLOOKUP($E435,'Status Thresholds'!$E:$AR,2,FALSE),IF((AND($U$4=TRUE,$U$5=FALSE,$U$6=TRUE,$U$7=FALSE)),VLOOKUP($E435,'Status Thresholds'!$E:$AR,12,FALSE),IF((AND($U$4=TRUE,$U$5=FALSE,$U$6=TRUE,$U$7=TRUE)),VLOOKUP($E435,'Status Thresholds'!$E:$AR,17,FALSE),IF((AND($U$4=TRUE,$U$5=FALSE,$U$6=FALSE,$U$7=TRUE)),VLOOKUP($E435,'Status Thresholds'!$E:$AR,7,FALSE),
IF((AND($U$4=FALSE,$U$5=TRUE,$U$6=FALSE,$U$7=FALSE)),VLOOKUP($E435,'Status Thresholds'!$E:$AR,22,FALSE),IF((AND($U$4=FALSE,$U$5=TRUE,$U$6=TRUE,$U$7=FALSE)),VLOOKUP($E435,'Status Thresholds'!$E:$AR,32,FALSE),IF((AND($U$4=FALSE,$U$5=TRUE,$U$6=TRUE,$U$7=TRUE)),VLOOKUP($E435,'Status Thresholds'!$E:$AR,37,FALSE),IF((AND($U$4=FALSE,$U$5=TRUE,$U$6=FALSE,$U$7=TRUE)),VLOOKUP($E435,'Status Thresholds'!$E:$AR,27,FALSE)))))))))
))/
IF(OR($X$5=TRUE,$AC$3=TRUE
),($F$5/2), IF(OR($X$2,$X$3,$X$4,$X$6,$X$7,$X$8,$Z$2,$Z$3,$Z$4,$Z$5,$Z$6,$Z$7,$Z$8)=TRUE,$F$5)),0),"-")</f>
        <v>-</v>
      </c>
      <c r="G435" s="36" t="str">
        <f>IFERROR(
ROUNDUP(
IF(AND($U$5=FALSE,$U$4=FALSE),"-",IF(AND($U$5=TRUE,$U$4=TRUE),"-",
IF((AND($U$4=TRUE,$U$5=FALSE,$U$6=FALSE,$U$7=FALSE)),VLOOKUP($E435,'Status Thresholds'!$E:$AR,3,FALSE),IF((AND($U$4=TRUE,$U$5=FALSE,$U$6=TRUE,$U$7=FALSE)),VLOOKUP($E435,'Status Thresholds'!$E:$AR,13,FALSE),IF((AND($U$4=TRUE,$U$5=FALSE,$U$6=TRUE,$U$7=TRUE)),VLOOKUP($E435,'Status Thresholds'!$E:$AR,18,FALSE),IF((AND($U$4=TRUE,$U$5=FALSE,$U$6=FALSE,$U$7=TRUE)),VLOOKUP($E435,'Status Thresholds'!$E:$AR,8,FALSE),
IF((AND($U$4=FALSE,$U$5=TRUE,$U$6=FALSE,$U$7=FALSE)),VLOOKUP($E435,'Status Thresholds'!$E:$AR,23,FALSE),IF((AND($U$4=FALSE,$U$5=TRUE,$U$6=TRUE,$U$7=FALSE)),VLOOKUP($E435,'Status Thresholds'!$E:$AR,33,FALSE),IF((AND($U$4=FALSE,$U$5=TRUE,$U$6=TRUE,$U$7=TRUE)),VLOOKUP($E435,'Status Thresholds'!$E:$AR,38,FALSE),IF((AND($U$4=FALSE,$U$5=TRUE,$U$6=FALSE,$U$7=TRUE)),VLOOKUP($E435,'Status Thresholds'!$E:$AR,28,FALSE)))))))))
))/
IF(OR($X$5=TRUE,$AC$3=TRUE
),($F$5/2), IF(OR($X$2,$X$3,$X$4,$X$6,$X$7,$X$8,$Z$2,$Z$3,$Z$4,$Z$5,$Z$6,$Z$7,$Z$8)=TRUE,$F$5)),0),"-")</f>
        <v>-</v>
      </c>
      <c r="H435" s="36" t="str">
        <f>IFERROR(
ROUNDUP(
IF(AND($U$5=FALSE,$U$4=FALSE),"-",IF(AND($U$5=TRUE,$U$4=TRUE),"-",
IF((AND($U$4=TRUE,$U$5=FALSE,$U$6=FALSE,$U$7=FALSE)),VLOOKUP($E435,'Status Thresholds'!$E:$AR,4,FALSE),IF((AND($U$4=TRUE,$U$5=FALSE,$U$6=TRUE,$U$7=FALSE)),VLOOKUP($E435,'Status Thresholds'!$E:$AR,14,FALSE),IF((AND($U$4=TRUE,$U$5=FALSE,$U$6=TRUE,$U$7=TRUE)),VLOOKUP($E435,'Status Thresholds'!$E:$AR,19,FALSE),IF((AND($U$4=TRUE,$U$5=FALSE,$U$6=FALSE,$U$7=TRUE)),VLOOKUP($E435,'Status Thresholds'!$E:$AR,9,FALSE),
IF((AND($U$4=FALSE,$U$5=TRUE,$U$6=FALSE,$U$7=FALSE)),VLOOKUP($E435,'Status Thresholds'!$E:$AR,24,FALSE),IF((AND($U$4=FALSE,$U$5=TRUE,$U$6=TRUE,$U$7=FALSE)),VLOOKUP($E435,'Status Thresholds'!$E:$AR,34,FALSE),IF((AND($U$4=FALSE,$U$5=TRUE,$U$6=TRUE,$U$7=TRUE)),VLOOKUP($E435,'Status Thresholds'!$E:$AR,39,FALSE),IF((AND($U$4=FALSE,$U$5=TRUE,$U$6=FALSE,$U$7=TRUE)),VLOOKUP($E435,'Status Thresholds'!$E:$AR,29,FALSE)))))))))
))/
IF(OR($X$5=TRUE,$AC$3=TRUE
),($F$5/2), IF(OR($X$2,$X$3,$X$4,$X$6,$X$7,$X$8,$Z$2,$Z$3,$Z$4,$Z$5,$Z$6,$Z$7,$Z$8)=TRUE,$F$5)),0),"-")</f>
        <v>-</v>
      </c>
      <c r="I435" s="36" t="str">
        <f>IFERROR(
ROUNDUP(
IF(AND($U$5=FALSE,$U$4=FALSE),"-",IF(AND($U$5=TRUE,$U$4=TRUE),"-",
IF((AND($U$4=TRUE,$U$5=FALSE,$U$6=FALSE,$U$7=FALSE)),VLOOKUP($E435,'Status Thresholds'!$E:$AR,5,FALSE),IF((AND($U$4=TRUE,$U$5=FALSE,$U$6=TRUE,$U$7=FALSE)),VLOOKUP($E435,'Status Thresholds'!$E:$AR,15,FALSE),IF((AND($U$4=TRUE,$U$5=FALSE,$U$6=TRUE,$U$7=TRUE)),VLOOKUP($E435,'Status Thresholds'!$E:$AR,20,FALSE),IF((AND($U$4=TRUE,$U$5=FALSE,$U$6=FALSE,$U$7=TRUE)),VLOOKUP($E435,'Status Thresholds'!$E:$AR,10,FALSE),
IF((AND($U$4=FALSE,$U$5=TRUE,$U$6=FALSE,$U$7=FALSE)),VLOOKUP($E435,'Status Thresholds'!$E:$AR,25,FALSE),IF((AND($U$4=FALSE,$U$5=TRUE,$U$6=TRUE,$U$7=FALSE)),VLOOKUP($E435,'Status Thresholds'!$E:$AR,35,FALSE),IF((AND($U$4=FALSE,$U$5=TRUE,$U$6=TRUE,$U$7=TRUE)),VLOOKUP($E435,'Status Thresholds'!$E:$AR,40,FALSE),IF((AND($U$4=FALSE,$U$5=TRUE,$U$6=FALSE,$U$7=TRUE)),VLOOKUP($E435,'Status Thresholds'!$E:$AR,30,FALSE)))))))))
))/
IF(OR($X$5=TRUE,$AC$3=TRUE
),($F$5/2), IF(OR($X$2,$X$3,$X$4,$X$6,$X$7,$X$8,$Z$2,$Z$3,$Z$4,$Z$5,$Z$6,$Z$7,$Z$8)=TRUE,$F$5)),0),"-")</f>
        <v>-</v>
      </c>
      <c r="J435" s="46">
        <f>IFERROR(IF(AND($U$5=FALSE,$U$4=FALSE),"-",VLOOKUP($E435,'Status Thresholds'!$E:$AU,41,FALSE)),"-")</f>
        <v>30</v>
      </c>
      <c r="K435" s="46" t="str">
        <f>IFERROR(IF(AND($U$5=FALSE,$U$4=FALSE),"-",VLOOKUP($E435,'Status Thresholds'!$E:$AU,42,FALSE)),"-")</f>
        <v>-</v>
      </c>
      <c r="L435" s="46" t="str">
        <f>IFERROR(IF(AND($U$5=FALSE,$U$4=FALSE),"-",VLOOKUP($E435,'Status Thresholds'!$E:$AU,43,FALSE)),"-")</f>
        <v>-</v>
      </c>
    </row>
    <row r="436" spans="1:12" x14ac:dyDescent="0.25">
      <c r="A436" s="35"/>
      <c r="B436" s="64" t="str">
        <f>VLOOKUP(C436,'Status Thresholds'!B:C,2,FALSE)</f>
        <v>MHGen</v>
      </c>
      <c r="C436" s="64" t="str">
        <f>IF('Status Thresholds'!B431=0, "", 'Status Thresholds'!B431)</f>
        <v>Khezu</v>
      </c>
      <c r="D436" s="10" t="s">
        <v>22</v>
      </c>
      <c r="E436" s="36" t="str">
        <f t="shared" si="6"/>
        <v>KhezuExhaust</v>
      </c>
      <c r="F436" s="36" t="str">
        <f>IFERROR(
ROUNDUP(
IF(AND($U$5=FALSE,$U$4=FALSE),"-",IF(AND($U$5=TRUE,$U$4=TRUE),"-",
IF((AND($U$4=TRUE,$U$5=FALSE,$U$6=FALSE,$U$7=FALSE)),VLOOKUP($E436,'Status Thresholds'!$E:$AR,2,FALSE),IF((AND($U$4=TRUE,$U$5=FALSE,$U$6=TRUE,$U$7=FALSE)),VLOOKUP($E436,'Status Thresholds'!$E:$AR,12,FALSE),IF((AND($U$4=TRUE,$U$5=FALSE,$U$6=TRUE,$U$7=TRUE)),VLOOKUP($E436,'Status Thresholds'!$E:$AR,17,FALSE),IF((AND($U$4=TRUE,$U$5=FALSE,$U$6=FALSE,$U$7=TRUE)),VLOOKUP($E436,'Status Thresholds'!$E:$AR,7,FALSE),
IF((AND($U$4=FALSE,$U$5=TRUE,$U$6=FALSE,$U$7=FALSE)),VLOOKUP($E436,'Status Thresholds'!$E:$AR,22,FALSE),IF((AND($U$4=FALSE,$U$5=TRUE,$U$6=TRUE,$U$7=FALSE)),VLOOKUP($E436,'Status Thresholds'!$E:$AR,32,FALSE),IF((AND($U$4=FALSE,$U$5=TRUE,$U$6=TRUE,$U$7=TRUE)),VLOOKUP($E436,'Status Thresholds'!$E:$AR,37,FALSE),IF((AND($U$4=FALSE,$U$5=TRUE,$U$6=FALSE,$U$7=TRUE)),VLOOKUP($E436,'Status Thresholds'!$E:$AR,27,FALSE)))))))))
))/
IF(OR($X$5=TRUE,$AC$3=TRUE
),($F$6/2), IF(OR($X$2,$X$3,$X$4,$X$6,$X$7,$X$8,$Z$2,$Z$3,$Z$4,$Z$5,$Z$6,$Z$7,$Z$8)=TRUE,$F$6)),0),"-")</f>
        <v>-</v>
      </c>
      <c r="G436" s="36" t="str">
        <f>IFERROR(
ROUNDUP(
IF(AND($U$5=FALSE,$U$4=FALSE),"-",IF(AND($U$5=TRUE,$U$4=TRUE),"-",
IF((AND($U$4=TRUE,$U$5=FALSE,$U$6=FALSE,$U$7=FALSE)),VLOOKUP($E436,'Status Thresholds'!$E:$AR,3,FALSE),IF((AND($U$4=TRUE,$U$5=FALSE,$U$6=TRUE,$U$7=FALSE)),VLOOKUP($E436,'Status Thresholds'!$E:$AR,13,FALSE),IF((AND($U$4=TRUE,$U$5=FALSE,$U$6=TRUE,$U$7=TRUE)),VLOOKUP($E436,'Status Thresholds'!$E:$AR,18,FALSE),IF((AND($U$4=TRUE,$U$5=FALSE,$U$6=FALSE,$U$7=TRUE)),VLOOKUP($E436,'Status Thresholds'!$E:$AR,8,FALSE),
IF((AND($U$4=FALSE,$U$5=TRUE,$U$6=FALSE,$U$7=FALSE)),VLOOKUP($E436,'Status Thresholds'!$E:$AR,23,FALSE),IF((AND($U$4=FALSE,$U$5=TRUE,$U$6=TRUE,$U$7=FALSE)),VLOOKUP($E436,'Status Thresholds'!$E:$AR,33,FALSE),IF((AND($U$4=FALSE,$U$5=TRUE,$U$6=TRUE,$U$7=TRUE)),VLOOKUP($E436,'Status Thresholds'!$E:$AR,38,FALSE),IF((AND($U$4=FALSE,$U$5=TRUE,$U$6=FALSE,$U$7=TRUE)),VLOOKUP($E436,'Status Thresholds'!$E:$AR,28,FALSE)))))))))
))/
IF(OR($X$5=TRUE,$AC$3=TRUE
),($F$6/2), IF(OR($X$2,$X$3,$X$4,$X$6,$X$7,$X$8,$Z$2,$Z$3,$Z$4,$Z$5,$Z$6,$Z$7,$Z$8)=TRUE,$F$6)),0),"-")</f>
        <v>-</v>
      </c>
      <c r="H436" s="36" t="str">
        <f>IFERROR(
ROUNDUP(
IF(AND($U$5=FALSE,$U$4=FALSE),"-",IF(AND($U$5=TRUE,$U$4=TRUE),"-",
IF((AND($U$4=TRUE,$U$5=FALSE,$U$6=FALSE,$U$7=FALSE)),VLOOKUP($E436,'Status Thresholds'!$E:$AR,4,FALSE),IF((AND($U$4=TRUE,$U$5=FALSE,$U$6=TRUE,$U$7=FALSE)),VLOOKUP($E436,'Status Thresholds'!$E:$AR,14,FALSE),IF((AND($U$4=TRUE,$U$5=FALSE,$U$6=TRUE,$U$7=TRUE)),VLOOKUP($E436,'Status Thresholds'!$E:$AR,19,FALSE),IF((AND($U$4=TRUE,$U$5=FALSE,$U$6=FALSE,$U$7=TRUE)),VLOOKUP($E436,'Status Thresholds'!$E:$AR,9,FALSE),
IF((AND($U$4=FALSE,$U$5=TRUE,$U$6=FALSE,$U$7=FALSE)),VLOOKUP($E436,'Status Thresholds'!$E:$AR,24,FALSE),IF((AND($U$4=FALSE,$U$5=TRUE,$U$6=TRUE,$U$7=FALSE)),VLOOKUP($E436,'Status Thresholds'!$E:$AR,34,FALSE),IF((AND($U$4=FALSE,$U$5=TRUE,$U$6=TRUE,$U$7=TRUE)),VLOOKUP($E436,'Status Thresholds'!$E:$AR,39,FALSE),IF((AND($U$4=FALSE,$U$5=TRUE,$U$6=FALSE,$U$7=TRUE)),VLOOKUP($E436,'Status Thresholds'!$E:$AR,29,FALSE)))))))))
))/
IF(OR($X$5=TRUE,$AC$3=TRUE
),($F$6/2), IF(OR($X$2,$X$3,$X$4,$X$6,$X$7,$X$8,$Z$2,$Z$3,$Z$4,$Z$5,$Z$6,$Z$7,$Z$8)=TRUE,$F$6)),0),"-")</f>
        <v>-</v>
      </c>
      <c r="I436" s="36" t="str">
        <f>IFERROR(
ROUNDUP(
IF(AND($U$5=FALSE,$U$4=FALSE),"-",IF(AND($U$5=TRUE,$U$4=TRUE),"-",
IF((AND($U$4=TRUE,$U$5=FALSE,$U$6=FALSE,$U$7=FALSE)),VLOOKUP($E436,'Status Thresholds'!$E:$AR,5,FALSE),IF((AND($U$4=TRUE,$U$5=FALSE,$U$6=TRUE,$U$7=FALSE)),VLOOKUP($E436,'Status Thresholds'!$E:$AR,15,FALSE),IF((AND($U$4=TRUE,$U$5=FALSE,$U$6=TRUE,$U$7=TRUE)),VLOOKUP($E436,'Status Thresholds'!$E:$AR,20,FALSE),IF((AND($U$4=TRUE,$U$5=FALSE,$U$6=FALSE,$U$7=TRUE)),VLOOKUP($E436,'Status Thresholds'!$E:$AR,10,FALSE),
IF((AND($U$4=FALSE,$U$5=TRUE,$U$6=FALSE,$U$7=FALSE)),VLOOKUP($E436,'Status Thresholds'!$E:$AR,25,FALSE),IF((AND($U$4=FALSE,$U$5=TRUE,$U$6=TRUE,$U$7=FALSE)),VLOOKUP($E436,'Status Thresholds'!$E:$AR,35,FALSE),IF((AND($U$4=FALSE,$U$5=TRUE,$U$6=TRUE,$U$7=TRUE)),VLOOKUP($E436,'Status Thresholds'!$E:$AR,40,FALSE),IF((AND($U$4=FALSE,$U$5=TRUE,$U$6=FALSE,$U$7=TRUE)),VLOOKUP($E436,'Status Thresholds'!$E:$AR,30,FALSE)))))))))
))/
IF(OR($X$5=TRUE,$AC$3=TRUE
),($F$6/2), IF(OR($X$2,$X$3,$X$4,$X$6,$X$7,$X$8,$Z$2,$Z$3,$Z$4,$Z$5,$Z$6,$Z$7,$Z$8)=TRUE,$F$6)),0),"-")</f>
        <v>-</v>
      </c>
      <c r="J436" s="46">
        <f>IFERROR(IF(AND($U$5=FALSE,$U$4=FALSE),"-",VLOOKUP($E436,'Status Thresholds'!$E:$AU,41,FALSE)),"-")</f>
        <v>0</v>
      </c>
      <c r="K436" s="46" t="str">
        <f>IFERROR(IF(AND($U$5=FALSE,$U$4=FALSE),"-",VLOOKUP($E436,'Status Thresholds'!$E:$AU,42,FALSE)),"-")</f>
        <v>-</v>
      </c>
      <c r="L436" s="46" t="str">
        <f>IFERROR(IF(AND($U$5=FALSE,$U$4=FALSE),"-",VLOOKUP($E436,'Status Thresholds'!$E:$AU,43,FALSE)),"-")</f>
        <v>-</v>
      </c>
    </row>
    <row r="437" spans="1:12" x14ac:dyDescent="0.25">
      <c r="A437" s="35"/>
      <c r="B437" s="64" t="str">
        <f>VLOOKUP(C437,'Status Thresholds'!B:C,2,FALSE)</f>
        <v>MHGen</v>
      </c>
      <c r="C437" s="64" t="str">
        <f>IF('Status Thresholds'!B432=0, "", 'Status Thresholds'!B432)</f>
        <v>Khezu</v>
      </c>
      <c r="D437" s="30" t="s">
        <v>35</v>
      </c>
      <c r="E437" s="36" t="str">
        <f t="shared" si="6"/>
        <v>KhezuBlast</v>
      </c>
      <c r="F437" s="36" t="str">
        <f>IFERROR(
ROUNDUP(
IF(AND($U$5=FALSE,$U$4=FALSE),"-",IF(AND($U$5=TRUE,$U$4=TRUE),"-",
IF((AND($U$4=TRUE,$U$5=FALSE,$U$6=FALSE,$U$7=FALSE)),VLOOKUP($E437,'Status Thresholds'!$E:$AR,2,FALSE),IF((AND($U$4=TRUE,$U$5=FALSE,$U$6=TRUE,$U$7=FALSE)),VLOOKUP($E437,'Status Thresholds'!$E:$AR,12,FALSE),IF((AND($U$4=TRUE,$U$5=FALSE,$U$6=TRUE,$U$7=TRUE)),VLOOKUP($E437,'Status Thresholds'!$E:$AR,17,FALSE),IF((AND($U$4=TRUE,$U$5=FALSE,$U$6=FALSE,$U$7=TRUE)),VLOOKUP($E437,'Status Thresholds'!$E:$AR,7,FALSE),
IF((AND($U$4=FALSE,$U$5=TRUE,$U$6=FALSE,$U$7=FALSE)),VLOOKUP($E437,'Status Thresholds'!$E:$AR,22,FALSE),IF((AND($U$4=FALSE,$U$5=TRUE,$U$6=TRUE,$U$7=FALSE)),VLOOKUP($E437,'Status Thresholds'!$E:$AR,32,FALSE),IF((AND($U$4=FALSE,$U$5=TRUE,$U$6=TRUE,$U$7=TRUE)),VLOOKUP($E437,'Status Thresholds'!$E:$AR,37,FALSE),IF((AND($U$4=FALSE,$U$5=TRUE,$U$6=FALSE,$U$7=TRUE)),VLOOKUP($E437,'Status Thresholds'!$E:$AR,27,FALSE)))))))))
))/
IF(OR($X$5=TRUE,$AC$3=TRUE
),($F$7/2), IF(OR($X$2,$X$3,$X$4,$X$6,$X$7,$X$8,$Z$2,$Z$3,$Z$4,$Z$5,$Z$6,$Z$7,$Z$8)=TRUE,$F$7)),0),"-")</f>
        <v>-</v>
      </c>
      <c r="G437" s="36" t="str">
        <f>IFERROR(
ROUNDUP(
IF(AND($U$5=FALSE,$U$4=FALSE),"-",IF(AND($U$5=TRUE,$U$4=TRUE),"-",
IF((AND($U$4=TRUE,$U$5=FALSE,$U$6=FALSE,$U$7=FALSE)),VLOOKUP($E437,'Status Thresholds'!$E:$AR,3,FALSE),IF((AND($U$4=TRUE,$U$5=FALSE,$U$6=TRUE,$U$7=FALSE)),VLOOKUP($E437,'Status Thresholds'!$E:$AR,13,FALSE),IF((AND($U$4=TRUE,$U$5=FALSE,$U$6=TRUE,$U$7=TRUE)),VLOOKUP($E437,'Status Thresholds'!$E:$AR,18,FALSE),IF((AND($U$4=TRUE,$U$5=FALSE,$U$6=FALSE,$U$7=TRUE)),VLOOKUP($E437,'Status Thresholds'!$E:$AR,8,FALSE),
IF((AND($U$4=FALSE,$U$5=TRUE,$U$6=FALSE,$U$7=FALSE)),VLOOKUP($E437,'Status Thresholds'!$E:$AR,23,FALSE),IF((AND($U$4=FALSE,$U$5=TRUE,$U$6=TRUE,$U$7=FALSE)),VLOOKUP($E437,'Status Thresholds'!$E:$AR,33,FALSE),IF((AND($U$4=FALSE,$U$5=TRUE,$U$6=TRUE,$U$7=TRUE)),VLOOKUP($E437,'Status Thresholds'!$E:$AR,38,FALSE),IF((AND($U$4=FALSE,$U$5=TRUE,$U$6=FALSE,$U$7=TRUE)),VLOOKUP($E437,'Status Thresholds'!$E:$AR,28,FALSE)))))))))
))/
IF(OR($X$5=TRUE,$AC$3=TRUE
),($F$7/2), IF(OR($X$2,$X$3,$X$4,$X$6,$X$7,$X$8,$Z$2,$Z$3,$Z$4,$Z$5,$Z$6,$Z$7,$Z$8)=TRUE,$F$7)),0),"-")</f>
        <v>-</v>
      </c>
      <c r="H437" s="36" t="str">
        <f>IFERROR(
ROUNDUP(
IF(AND($U$5=FALSE,$U$4=FALSE),"-",IF(AND($U$5=TRUE,$U$4=TRUE),"-",
IF((AND($U$4=TRUE,$U$5=FALSE,$U$6=FALSE,$U$7=FALSE)),VLOOKUP($E437,'Status Thresholds'!$E:$AR,4,FALSE),IF((AND($U$4=TRUE,$U$5=FALSE,$U$6=TRUE,$U$7=FALSE)),VLOOKUP($E437,'Status Thresholds'!$E:$AR,14,FALSE),IF((AND($U$4=TRUE,$U$5=FALSE,$U$6=TRUE,$U$7=TRUE)),VLOOKUP($E437,'Status Thresholds'!$E:$AR,19,FALSE),IF((AND($U$4=TRUE,$U$5=FALSE,$U$6=FALSE,$U$7=TRUE)),VLOOKUP($E437,'Status Thresholds'!$E:$AR,9,FALSE),
IF((AND($U$4=FALSE,$U$5=TRUE,$U$6=FALSE,$U$7=FALSE)),VLOOKUP($E437,'Status Thresholds'!$E:$AR,24,FALSE),IF((AND($U$4=FALSE,$U$5=TRUE,$U$6=TRUE,$U$7=FALSE)),VLOOKUP($E437,'Status Thresholds'!$E:$AR,34,FALSE),IF((AND($U$4=FALSE,$U$5=TRUE,$U$6=TRUE,$U$7=TRUE)),VLOOKUP($E437,'Status Thresholds'!$E:$AR,39,FALSE),IF((AND($U$4=FALSE,$U$5=TRUE,$U$6=FALSE,$U$7=TRUE)),VLOOKUP($E437,'Status Thresholds'!$E:$AR,29,FALSE)))))))))
))/
IF(OR($X$5=TRUE,$AC$3=TRUE
),($F$7/2), IF(OR($X$2,$X$3,$X$4,$X$6,$X$7,$X$8,$Z$2,$Z$3,$Z$4,$Z$5,$Z$6,$Z$7,$Z$8)=TRUE,$F$7)),0),"-")</f>
        <v>-</v>
      </c>
      <c r="I437" s="36" t="str">
        <f>IFERROR(
ROUNDUP(
IF(AND($U$5=FALSE,$U$4=FALSE),"-",IF(AND($U$5=TRUE,$U$4=TRUE),"-",
IF((AND($U$4=TRUE,$U$5=FALSE,$U$6=FALSE,$U$7=FALSE)),VLOOKUP($E437,'Status Thresholds'!$E:$AR,5,FALSE),IF((AND($U$4=TRUE,$U$5=FALSE,$U$6=TRUE,$U$7=FALSE)),VLOOKUP($E437,'Status Thresholds'!$E:$AR,15,FALSE),IF((AND($U$4=TRUE,$U$5=FALSE,$U$6=TRUE,$U$7=TRUE)),VLOOKUP($E437,'Status Thresholds'!$E:$AR,20,FALSE),IF((AND($U$4=TRUE,$U$5=FALSE,$U$6=FALSE,$U$7=TRUE)),VLOOKUP($E437,'Status Thresholds'!$E:$AR,10,FALSE),
IF((AND($U$4=FALSE,$U$5=TRUE,$U$6=FALSE,$U$7=FALSE)),VLOOKUP($E437,'Status Thresholds'!$E:$AR,25,FALSE),IF((AND($U$4=FALSE,$U$5=TRUE,$U$6=TRUE,$U$7=FALSE)),VLOOKUP($E437,'Status Thresholds'!$E:$AR,35,FALSE),IF((AND($U$4=FALSE,$U$5=TRUE,$U$6=TRUE,$U$7=TRUE)),VLOOKUP($E437,'Status Thresholds'!$E:$AR,40,FALSE),IF((AND($U$4=FALSE,$U$5=TRUE,$U$6=FALSE,$U$7=TRUE)),VLOOKUP($E437,'Status Thresholds'!$E:$AR,30,FALSE)))))))))
))/
IF(OR($X$5=TRUE,$AC$3=TRUE
),($F$7/2), IF(OR($X$2,$X$3,$X$4,$X$6,$X$7,$X$8,$Z$2,$Z$3,$Z$4,$Z$5,$Z$6,$Z$7,$Z$8)=TRUE,$F$7)),0),"-")</f>
        <v>-</v>
      </c>
      <c r="J437" s="46">
        <f>IFERROR(IF(AND($U$5=FALSE,$U$4=FALSE),"-",VLOOKUP($E437,'Status Thresholds'!$E:$AU,41,FALSE)),"-")</f>
        <v>0</v>
      </c>
      <c r="K437" s="46" t="str">
        <f>IFERROR(IF(AND($U$5=FALSE,$U$4=FALSE),"-",VLOOKUP($E437,'Status Thresholds'!$E:$AU,42,FALSE)),"-")</f>
        <v>-</v>
      </c>
      <c r="L437" s="46" t="str">
        <f>IFERROR(IF(AND($U$5=FALSE,$U$4=FALSE),"-",VLOOKUP($E437,'Status Thresholds'!$E:$AU,43,FALSE)),"-")</f>
        <v>-</v>
      </c>
    </row>
    <row r="438" spans="1:12" ht="14.45" customHeight="1" x14ac:dyDescent="0.25">
      <c r="A438" s="35"/>
      <c r="B438" s="64" t="str">
        <f>VLOOKUP(C438,'Status Thresholds'!B:C,2,FALSE)</f>
        <v>MHGen</v>
      </c>
      <c r="C438" s="64" t="str">
        <f>IF('Status Thresholds'!B433=0, "", 'Status Thresholds'!B433)</f>
        <v>Khezu</v>
      </c>
      <c r="D438" s="34" t="s">
        <v>14</v>
      </c>
      <c r="E438" s="36" t="str">
        <f t="shared" si="6"/>
        <v>KhezuKO</v>
      </c>
      <c r="F438" s="36" t="s">
        <v>214</v>
      </c>
      <c r="G438" s="36" t="s">
        <v>214</v>
      </c>
      <c r="H438" s="36" t="s">
        <v>214</v>
      </c>
      <c r="I438" s="36" t="s">
        <v>214</v>
      </c>
      <c r="J438" s="46">
        <f>IFERROR(IF(AND($U$5=FALSE,$U$4=FALSE),"-",VLOOKUP($E438,'Status Thresholds'!$E:$AU,41,FALSE)),"-")</f>
        <v>10</v>
      </c>
      <c r="K438" s="46" t="str">
        <f>IFERROR(IF(AND($U$5=FALSE,$U$4=FALSE),"-",VLOOKUP($E438,'Status Thresholds'!$E:$AU,42,FALSE)),"-")</f>
        <v>-</v>
      </c>
      <c r="L438" s="46" t="str">
        <f>IFERROR(IF(AND($U$5=FALSE,$U$4=FALSE),"-",VLOOKUP($E438,'Status Thresholds'!$E:$AU,43,FALSE)),"-")</f>
        <v>-</v>
      </c>
    </row>
    <row r="439" spans="1:12" x14ac:dyDescent="0.25">
      <c r="A439" s="35"/>
      <c r="B439" s="64" t="str">
        <f>VLOOKUP(C439,'Status Thresholds'!B:C,2,FALSE)</f>
        <v>MHGen</v>
      </c>
      <c r="C439" s="64" t="str">
        <f>IF('Status Thresholds'!B434=0, "", 'Status Thresholds'!B434)</f>
        <v>Khezu</v>
      </c>
      <c r="D439" s="33" t="s">
        <v>34</v>
      </c>
      <c r="E439" s="36" t="str">
        <f t="shared" si="6"/>
        <v>KhezuMount</v>
      </c>
      <c r="F439" s="36" t="str">
        <f>IFERROR(
ROUNDUP(
IF(AND($U$5=FALSE,$U$4=FALSE),"-",IF(AND($U$5=TRUE,$U$4=TRUE),"-",
IF((AND($U$4=TRUE,$U$5=FALSE,$U$6=FALSE,$U$7=FALSE)),VLOOKUP($E439,'Status Thresholds'!$E:$AR,2,FALSE),IF((AND($U$4=TRUE,$U$5=FALSE,$U$6=TRUE,$U$7=FALSE)),VLOOKUP($E439,'Status Thresholds'!$E:$AR,12,FALSE),IF((AND($U$4=TRUE,$U$5=FALSE,$U$6=TRUE,$U$7=TRUE)),VLOOKUP($E439,'Status Thresholds'!$E:$AR,17,FALSE),IF((AND($U$4=TRUE,$U$5=FALSE,$U$6=FALSE,$U$7=TRUE)),VLOOKUP($E439,'Status Thresholds'!$E:$AR,7,FALSE),
IF((AND($U$4=FALSE,$U$5=TRUE,$U$6=FALSE,$U$7=FALSE)),VLOOKUP($E439,'Status Thresholds'!$E:$AR,22,FALSE),IF((AND($U$4=FALSE,$U$5=TRUE,$U$6=TRUE,$U$7=FALSE)),VLOOKUP($E439,'Status Thresholds'!$E:$AR,32,FALSE),IF((AND($U$4=FALSE,$U$5=TRUE,$U$6=TRUE,$U$7=TRUE)),VLOOKUP($E439,'Status Thresholds'!$E:$AR,37,FALSE),IF((AND($U$4=FALSE,$U$5=TRUE,$U$6=FALSE,$U$7=TRUE)),VLOOKUP($E439,'Status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439" s="36" t="str">
        <f>IFERROR(
ROUNDUP(
IF(AND($U$5=FALSE,$U$4=FALSE),"-",IF(AND($U$5=TRUE,$U$4=TRUE),"-",
IF((AND($U$4=TRUE,$U$5=FALSE,$U$6=FALSE,$U$7=FALSE)),VLOOKUP($E438,'Status Thresholds'!$E:$AR,3,FALSE),IF((AND($U$4=TRUE,$U$5=FALSE,$U$6=TRUE,$U$7=FALSE)),VLOOKUP($E438,'Status Thresholds'!$E:$AR,13,FALSE),IF((AND($U$4=TRUE,$U$5=FALSE,$U$6=TRUE,$U$7=TRUE)),VLOOKUP($E438,'Status Thresholds'!$E:$AR,18,FALSE),IF((AND($U$4=TRUE,$U$5=FALSE,$U$6=FALSE,$U$7=TRUE)),VLOOKUP($E438,'Status Thresholds'!$E:$AR,8,FALSE),
IF((AND($U$4=FALSE,$U$5=TRUE,$U$6=FALSE,$U$7=FALSE)),VLOOKUP($E438,'Status Thresholds'!$E:$AR,23,FALSE),IF((AND($U$4=FALSE,$U$5=TRUE,$U$6=TRUE,$U$7=FALSE)),VLOOKUP($E438,'Status Thresholds'!$E:$AR,33,FALSE),IF((AND($U$4=FALSE,$U$5=TRUE,$U$6=TRUE,$U$7=TRUE)),VLOOKUP($E438,'Status Thresholds'!$E:$AR,38,FALSE),IF((AND($U$4=FALSE,$U$5=TRUE,$U$6=FALSE,$U$7=TRUE)),VLOOKUP($E438,'Status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439" s="36" t="str">
        <f>IFERROR(
ROUNDUP(
IF(AND($U$5=FALSE,$U$4=FALSE),"-",IF(AND($U$5=TRUE,$U$4=TRUE),"-",
IF((AND($U$4=TRUE,$U$5=FALSE,$U$6=FALSE,$U$7=FALSE)),VLOOKUP($E438,'Status Thresholds'!$E:$AR,4,FALSE),IF((AND($U$4=TRUE,$U$5=FALSE,$U$6=TRUE,$U$7=FALSE)),VLOOKUP($E438,'Status Thresholds'!$E:$AR,14,FALSE),IF((AND($U$4=TRUE,$U$5=FALSE,$U$6=TRUE,$U$7=TRUE)),VLOOKUP($E438,'Status Thresholds'!$E:$AR,19,FALSE),IF((AND($U$4=TRUE,$U$5=FALSE,$U$6=FALSE,$U$7=TRUE)),VLOOKUP($E438,'Status Thresholds'!$E:$AR,9,FALSE),
IF((AND($U$4=FALSE,$U$5=TRUE,$U$6=FALSE,$U$7=FALSE)),VLOOKUP($E438,'Status Thresholds'!$E:$AR,24,FALSE),IF((AND($U$4=FALSE,$U$5=TRUE,$U$6=TRUE,$U$7=FALSE)),VLOOKUP($E438,'Status Thresholds'!$E:$AR,34,FALSE),IF((AND($U$4=FALSE,$U$5=TRUE,$U$6=TRUE,$U$7=TRUE)),VLOOKUP($E438,'Status Thresholds'!$E:$AR,39,FALSE),IF((AND($U$4=FALSE,$U$5=TRUE,$U$6=FALSE,$U$7=TRUE)),VLOOKUP($E438,'Status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439" s="36" t="str">
        <f>IFERROR(
ROUNDUP(
IF(AND($U$5=FALSE,$U$4=FALSE),"-",IF(AND($U$5=TRUE,$U$4=TRUE),"-",
IF((AND($U$4=TRUE,$U$5=FALSE,$U$6=FALSE,$U$7=FALSE)),VLOOKUP($E438,'Status Thresholds'!$E:$AR,5,FALSE),IF((AND($U$4=TRUE,$U$5=FALSE,$U$6=TRUE,$U$7=FALSE)),VLOOKUP($E438,'Status Thresholds'!$E:$AR,15,FALSE),IF((AND($U$4=TRUE,$U$5=FALSE,$U$6=TRUE,$U$7=TRUE)),VLOOKUP($E438,'Status Thresholds'!$E:$AR,20,FALSE),IF((AND($U$4=TRUE,$U$5=FALSE,$U$6=FALSE,$U$7=TRUE)),VLOOKUP($E438,'Status Thresholds'!$E:$AR,10,FALSE),
IF((AND($U$4=FALSE,$U$5=TRUE,$U$6=FALSE,$U$7=FALSE)),VLOOKUP($E438,'Status Thresholds'!$E:$AR,25,FALSE),IF((AND($U$4=FALSE,$U$5=TRUE,$U$6=TRUE,$U$7=FALSE)),VLOOKUP($E438,'Status Thresholds'!$E:$AR,35,FALSE),IF((AND($U$4=FALSE,$U$5=TRUE,$U$6=TRUE,$U$7=TRUE)),VLOOKUP($E438,'Status Thresholds'!$E:$AR,40,FALSE),IF((AND($U$4=FALSE,$U$5=TRUE,$U$6=FALSE,$U$7=TRUE)),VLOOKUP($E438,'Status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439" s="46">
        <f>IFERROR(IF(AND($U$5=FALSE,$U$4=FALSE),"-",VLOOKUP($E439,'Status Thresholds'!$E:$AU,41,FALSE)),"-")</f>
        <v>0</v>
      </c>
      <c r="K439" s="46" t="str">
        <f>IFERROR(IF(AND($U$5=FALSE,$U$4=FALSE),"-",VLOOKUP($E439,'Status Thresholds'!$E:$AU,42,FALSE)),"-")</f>
        <v>-</v>
      </c>
      <c r="L439" s="46" t="str">
        <f>IFERROR(IF(AND($U$5=FALSE,$U$4=FALSE),"-",VLOOKUP($E439,'Status Thresholds'!$E:$AU,43,FALSE)),"-")</f>
        <v>-</v>
      </c>
    </row>
    <row r="440" spans="1:12" ht="15" customHeight="1" x14ac:dyDescent="0.25">
      <c r="A440" s="35"/>
      <c r="B440" s="64" t="str">
        <f>VLOOKUP(C440,'Status Thresholds'!B:C,2,FALSE)</f>
        <v>MHGen</v>
      </c>
      <c r="C440" s="64" t="str">
        <f>IF('Status Thresholds'!B435=0, "", 'Status Thresholds'!B435)</f>
        <v>Khezu</v>
      </c>
      <c r="D440" s="77" t="s">
        <v>207</v>
      </c>
      <c r="E440" s="36" t="str">
        <f t="shared" si="6"/>
        <v>KhezuShock Trap</v>
      </c>
      <c r="F440" s="76" t="s">
        <v>214</v>
      </c>
      <c r="G440" s="46" t="s">
        <v>214</v>
      </c>
      <c r="H440" s="46" t="s">
        <v>214</v>
      </c>
      <c r="I440" s="46" t="s">
        <v>214</v>
      </c>
      <c r="J440" s="46">
        <f>IFERROR(IF(AND($U$5=FALSE,$U$4=FALSE),"-",VLOOKUP($E440,'Status Thresholds'!$E:$AU,43,FALSE)),"-")</f>
        <v>5</v>
      </c>
      <c r="K440" s="46">
        <f>IFERROR(IF(AND($U$5=FALSE,$U$4=FALSE),"-",VLOOKUP($E440,'Status Thresholds'!$E:$AU,41,FALSE)),"-")</f>
        <v>5</v>
      </c>
      <c r="L440" s="46">
        <f>IFERROR(IF(AND($U$5=FALSE,$U$4=FALSE),"-",VLOOKUP($E440,'Status Thresholds'!$E:$AU,42,FALSE)),"-")</f>
        <v>5</v>
      </c>
    </row>
    <row r="441" spans="1:12" x14ac:dyDescent="0.25">
      <c r="A441" s="35"/>
      <c r="B441" s="64" t="str">
        <f>VLOOKUP(C441,'Status Thresholds'!B:C,2,FALSE)</f>
        <v>MHGen</v>
      </c>
      <c r="C441" s="64" t="str">
        <f>IF('Status Thresholds'!B436=0, "", 'Status Thresholds'!B436)</f>
        <v>Khezu</v>
      </c>
      <c r="D441" s="77" t="s">
        <v>213</v>
      </c>
      <c r="E441" s="36" t="str">
        <f t="shared" si="6"/>
        <v>KhezuPitfall Trap</v>
      </c>
      <c r="F441" s="46" t="s">
        <v>214</v>
      </c>
      <c r="G441" s="46" t="s">
        <v>214</v>
      </c>
      <c r="H441" s="46" t="s">
        <v>214</v>
      </c>
      <c r="I441" s="46" t="s">
        <v>214</v>
      </c>
      <c r="J441" s="46">
        <f>IFERROR(IF(AND($U$5=FALSE,$U$4=FALSE),"-",VLOOKUP($E441,'Status Thresholds'!$E:$AU,43,FALSE)),"-")</f>
        <v>16</v>
      </c>
      <c r="K441" s="46">
        <f>IFERROR(IF(AND($U$5=FALSE,$U$4=FALSE),"-",VLOOKUP($E441,'Status Thresholds'!$E:$AU,41,FALSE)),"-")</f>
        <v>12</v>
      </c>
      <c r="L441" s="46">
        <f>IFERROR(IF(AND($U$5=FALSE,$U$4=FALSE),"-",VLOOKUP($E441,'Status Thresholds'!$E:$AU,42,FALSE)),"-")</f>
        <v>20</v>
      </c>
    </row>
    <row r="442" spans="1:12" s="36" customFormat="1" x14ac:dyDescent="0.25">
      <c r="A442" s="64"/>
      <c r="B442" s="64" t="str">
        <f>VLOOKUP(C442,'Status Thresholds'!B:C,2,FALSE)</f>
        <v>MHGen</v>
      </c>
      <c r="C442" s="64" t="str">
        <f>IF('Status Thresholds'!B437=0, "", 'Status Thresholds'!B437)</f>
        <v>Kirin</v>
      </c>
      <c r="D442" s="37" t="s">
        <v>0</v>
      </c>
      <c r="E442" s="36" t="str">
        <f t="shared" si="6"/>
        <v>KirinPara</v>
      </c>
      <c r="F442" s="36" t="str">
        <f>IFERROR(
ROUNDUP(
IF(AND($U$5=FALSE,$U$4=FALSE),"-",IF(AND($U$5=TRUE,$U$4=TRUE),"-",
IF((AND($U$4=TRUE,$U$5=FALSE,$U$6=FALSE,$U$7=FALSE)),VLOOKUP($E442,'Status Thresholds'!$E:$AR,2,FALSE),IF((AND($U$4=TRUE,$U$5=FALSE,$U$6=TRUE,$U$7=FALSE)),VLOOKUP($E442,'Status Thresholds'!$E:$AR,12,FALSE),IF((AND($U$4=TRUE,$U$5=FALSE,$U$6=TRUE,$U$7=TRUE)),VLOOKUP($E442,'Status Thresholds'!$E:$AR,17,FALSE),IF((AND($U$4=TRUE,$U$5=FALSE,$U$6=FALSE,$U$7=TRUE)),VLOOKUP($E442,'Status Thresholds'!$E:$AR,7,FALSE),
IF((AND($U$4=FALSE,$U$5=TRUE,$U$6=FALSE,$U$7=FALSE)),VLOOKUP($E442,'Status Thresholds'!$E:$AR,22,FALSE),IF((AND($U$4=FALSE,$U$5=TRUE,$U$6=TRUE,$U$7=FALSE)),VLOOKUP($E442,'Status Thresholds'!$E:$AR,32,FALSE),IF((AND($U$4=FALSE,$U$5=TRUE,$U$6=TRUE,$U$7=TRUE)),VLOOKUP($E442,'Status Thresholds'!$E:$AR,37,FALSE),IF((AND($U$4=FALSE,$U$5=TRUE,$U$6=FALSE,$U$7=TRUE)),VLOOKUP($E442,'Status Thresholds'!$E:$AR,27,FALSE)))))))))
))/
IF(OR($X$5=TRUE,$AC$3=TRUE
),($F$3/2), IF(OR($X$2,$X$3,$X$4,$X$6,$X$7,$X$8,$Z$2,$Z$3,$Z$4,$Z$5,$Z$6,$Z$7,$Z$8)=TRUE,$F$3)),0),"-")</f>
        <v>-</v>
      </c>
      <c r="G442" s="36" t="str">
        <f>IFERROR(
ROUNDUP(
IF(AND($U$5=FALSE,$U$4=FALSE),"-",IF(AND($U$5=TRUE,$U$4=TRUE),"-",
IF((AND($U$4=TRUE,$U$5=FALSE,$U$6=FALSE,$U$7=FALSE)),VLOOKUP($E442,'Status Thresholds'!$E:$AR,3,FALSE),IF((AND($U$4=TRUE,$U$5=FALSE,$U$6=TRUE,$U$7=FALSE)),VLOOKUP($E442,'Status Thresholds'!$E:$AR,13,FALSE),IF((AND($U$4=TRUE,$U$5=FALSE,$U$6=TRUE,$U$7=TRUE)),VLOOKUP($E442,'Status Thresholds'!$E:$AR,18,FALSE),IF((AND($U$4=TRUE,$U$5=FALSE,$U$6=FALSE,$U$7=TRUE)),VLOOKUP($E442,'Status Thresholds'!$E:$AR,8,FALSE),
IF((AND($U$4=FALSE,$U$5=TRUE,$U$6=FALSE,$U$7=FALSE)),VLOOKUP($E442,'Status Thresholds'!$E:$AR,23,FALSE),IF((AND($U$4=FALSE,$U$5=TRUE,$U$6=TRUE,$U$7=FALSE)),VLOOKUP($E442,'Status Thresholds'!$E:$AR,33,FALSE),IF((AND($U$4=FALSE,$U$5=TRUE,$U$6=TRUE,$U$7=TRUE)),VLOOKUP($E442,'Status Thresholds'!$E:$AR,38,FALSE),IF((AND($U$4=FALSE,$U$5=TRUE,$U$6=FALSE,$U$7=TRUE)),VLOOKUP($E442,'Status Thresholds'!$E:$AR,28,FALSE)))))))))
))/
IF(OR($X$5=TRUE,$AC$3=TRUE
),($F$3/2), IF(OR($X$2,$X$3,$X$4,$X$6,$X$7,$X$8,$Z$2,$Z$3,$Z$4,$Z$5,$Z$6,$Z$7,$Z$8)=TRUE,$F$3)),0),"-")</f>
        <v>-</v>
      </c>
      <c r="H442" s="36" t="str">
        <f>IFERROR(
ROUNDUP(
IF(AND($U$5=FALSE,$U$4=FALSE),"-",IF(AND($U$5=TRUE,$U$4=TRUE),"-",
IF((AND($U$4=TRUE,$U$5=FALSE,$U$6=FALSE,$U$7=FALSE)),VLOOKUP($E442,'Status Thresholds'!$E:$AR,4,FALSE),IF((AND($U$4=TRUE,$U$5=FALSE,$U$6=TRUE,$U$7=FALSE)),VLOOKUP($E442,'Status Thresholds'!$E:$AR,14,FALSE),IF((AND($U$4=TRUE,$U$5=FALSE,$U$6=TRUE,$U$7=TRUE)),VLOOKUP($E442,'Status Thresholds'!$E:$AR,19,FALSE),IF((AND($U$4=TRUE,$U$5=FALSE,$U$6=FALSE,$U$7=TRUE)),VLOOKUP($E442,'Status Thresholds'!$E:$AR,9,FALSE),
IF((AND($U$4=FALSE,$U$5=TRUE,$U$6=FALSE,$U$7=FALSE)),VLOOKUP($E442,'Status Thresholds'!$E:$AR,24,FALSE),IF((AND($U$4=FALSE,$U$5=TRUE,$U$6=TRUE,$U$7=FALSE)),VLOOKUP($E442,'Status Thresholds'!$E:$AR,34,FALSE),IF((AND($U$4=FALSE,$U$5=TRUE,$U$6=TRUE,$U$7=TRUE)),VLOOKUP($E442,'Status Thresholds'!$E:$AR,39,FALSE),IF((AND($U$4=FALSE,$U$5=TRUE,$U$6=FALSE,$U$7=TRUE)),VLOOKUP($E442,'Status Thresholds'!$E:$AR,29,FALSE)))))))))
))/
IF(OR($X$5=TRUE,$AC$3=TRUE
),($F$3/2), IF(OR($X$2,$X$3,$X$4,$X$6,$X$7,$X$8,$Z$2,$Z$3,$Z$4,$Z$5,$Z$6,$Z$7,$Z$8)=TRUE,$F$3)),0),"-")</f>
        <v>-</v>
      </c>
      <c r="I442" s="36" t="str">
        <f>IFERROR(
ROUNDUP(
IF(AND($U$5=FALSE,$U$4=FALSE),"-",IF(AND($U$5=TRUE,$U$4=TRUE),"-",
IF((AND($U$4=TRUE,$U$5=FALSE,$U$6=FALSE,$U$7=FALSE)),VLOOKUP($E442,'Status Thresholds'!$E:$AR,5,FALSE),IF((AND($U$4=TRUE,$U$5=FALSE,$U$6=TRUE,$U$7=FALSE)),VLOOKUP($E442,'Status Thresholds'!$E:$AR,15,FALSE),IF((AND($U$4=TRUE,$U$5=FALSE,$U$6=TRUE,$U$7=TRUE)),VLOOKUP($E442,'Status Thresholds'!$E:$AR,20,FALSE),IF((AND($U$4=TRUE,$U$5=FALSE,$U$6=FALSE,$U$7=TRUE)),VLOOKUP($E442,'Status Thresholds'!$E:$AR,10,FALSE),
IF((AND($U$4=FALSE,$U$5=TRUE,$U$6=FALSE,$U$7=FALSE)),VLOOKUP($E442,'Status Thresholds'!$E:$AR,25,FALSE),IF((AND($U$4=FALSE,$U$5=TRUE,$U$6=TRUE,$U$7=FALSE)),VLOOKUP($E442,'Status Thresholds'!$E:$AR,35,FALSE),IF((AND($U$4=FALSE,$U$5=TRUE,$U$6=TRUE,$U$7=TRUE)),VLOOKUP($E442,'Status Thresholds'!$E:$AR,40,FALSE),IF((AND($U$4=FALSE,$U$5=TRUE,$U$6=FALSE,$U$7=TRUE)),VLOOKUP($E442,'Status Thresholds'!$E:$AR,30,FALSE)))))))))
))/
IF(OR($X$5=TRUE,$AC$3=TRUE
),($F$3/2), IF(OR($X$2,$X$3,$X$4,$X$6,$X$7,$X$8,$Z$2,$Z$3,$Z$4,$Z$5,$Z$6,$Z$7,$Z$8)=TRUE,$F$3)),0),"-")</f>
        <v>-</v>
      </c>
      <c r="J442" s="36">
        <f>IFERROR(IF(AND($U$5=FALSE,$U$4=FALSE),"-",VLOOKUP($E442,'Status Thresholds'!$E:$AU,41,FALSE)),"-")</f>
        <v>0</v>
      </c>
      <c r="K442" s="36" t="str">
        <f>IFERROR(IF(AND($U$5=FALSE,$U$4=FALSE),"-",VLOOKUP($E442,'Status Thresholds'!$E:$AU,42,FALSE)),"-")</f>
        <v>-</v>
      </c>
      <c r="L442" s="36" t="str">
        <f>IFERROR(IF(AND($U$5=FALSE,$U$4=FALSE),"-",VLOOKUP($E442,'Status Thresholds'!$E:$AU,43,FALSE)),"-")</f>
        <v>-</v>
      </c>
    </row>
    <row r="443" spans="1:12" x14ac:dyDescent="0.25">
      <c r="A443" s="35"/>
      <c r="B443" s="64" t="str">
        <f>VLOOKUP(C443,'Status Thresholds'!B:C,2,FALSE)</f>
        <v>MHGen</v>
      </c>
      <c r="C443" s="64" t="str">
        <f>IF('Status Thresholds'!B438=0, "", 'Status Thresholds'!B438)</f>
        <v>Kirin</v>
      </c>
      <c r="D443" s="31" t="s">
        <v>32</v>
      </c>
      <c r="E443" s="36" t="str">
        <f t="shared" si="6"/>
        <v>KirinSleep</v>
      </c>
      <c r="F443" s="36" t="str">
        <f>IFERROR(
ROUNDUP(
IF(AND($U$5=FALSE,$U$4=FALSE),"-",IF(AND($U$5=TRUE,$U$4=TRUE),"-",
IF((AND($U$4=TRUE,$U$5=FALSE,$U$6=FALSE,$U$7=FALSE)),VLOOKUP($E443,'Status Thresholds'!$E:$AR,2,FALSE),IF((AND($U$4=TRUE,$U$5=FALSE,$U$6=TRUE,$U$7=FALSE)),VLOOKUP($E443,'Status Thresholds'!$E:$AR,12,FALSE),IF((AND($U$4=TRUE,$U$5=FALSE,$U$6=TRUE,$U$7=TRUE)),VLOOKUP($E443,'Status Thresholds'!$E:$AR,17,FALSE),IF((AND($U$4=TRUE,$U$5=FALSE,$U$6=FALSE,$U$7=TRUE)),VLOOKUP($E443,'Status Thresholds'!$E:$AR,7,FALSE),
IF((AND($U$4=FALSE,$U$5=TRUE,$U$6=FALSE,$U$7=FALSE)),VLOOKUP($E443,'Status Thresholds'!$E:$AR,22,FALSE),IF((AND($U$4=FALSE,$U$5=TRUE,$U$6=TRUE,$U$7=FALSE)),VLOOKUP($E443,'Status Thresholds'!$E:$AR,32,FALSE),IF((AND($U$4=FALSE,$U$5=TRUE,$U$6=TRUE,$U$7=TRUE)),VLOOKUP($E443,'Status Thresholds'!$E:$AR,37,FALSE),IF((AND($U$4=FALSE,$U$5=TRUE,$U$6=FALSE,$U$7=TRUE)),VLOOKUP($E443,'Status Thresholds'!$E:$AR,27,FALSE)))))))))
))/
IF(OR($X$5=TRUE,$AC$3=TRUE
),($F$4/2), IF(OR($X$2,$X$3,$X$4,$X$6,$X$7,$X$8,$Z$2,$Z$3,$Z$4,$Z$5,$Z$6,$Z$7,$Z$8)=TRUE,$F$4)),0),"-")</f>
        <v>-</v>
      </c>
      <c r="G443" s="36" t="str">
        <f>IFERROR(
ROUNDUP(
IF(AND($U$5=FALSE,$U$4=FALSE),"-",IF(AND($U$5=TRUE,$U$4=TRUE),"-",
IF((AND($U$4=TRUE,$U$5=FALSE,$U$6=FALSE,$U$7=FALSE)),VLOOKUP($E443,'Status Thresholds'!$E:$AR,3,FALSE),IF((AND($U$4=TRUE,$U$5=FALSE,$U$6=TRUE,$U$7=FALSE)),VLOOKUP($E443,'Status Thresholds'!$E:$AR,13,FALSE),IF((AND($U$4=TRUE,$U$5=FALSE,$U$6=TRUE,$U$7=TRUE)),VLOOKUP($E443,'Status Thresholds'!$E:$AR,18,FALSE),IF((AND($U$4=TRUE,$U$5=FALSE,$U$6=FALSE,$U$7=TRUE)),VLOOKUP($E443,'Status Thresholds'!$E:$AR,8,FALSE),
IF((AND($U$4=FALSE,$U$5=TRUE,$U$6=FALSE,$U$7=FALSE)),VLOOKUP($E443,'Status Thresholds'!$E:$AR,23,FALSE),IF((AND($U$4=FALSE,$U$5=TRUE,$U$6=TRUE,$U$7=FALSE)),VLOOKUP($E443,'Status Thresholds'!$E:$AR,33,FALSE),IF((AND($U$4=FALSE,$U$5=TRUE,$U$6=TRUE,$U$7=TRUE)),VLOOKUP($E443,'Status Thresholds'!$E:$AR,38,FALSE),IF((AND($U$4=FALSE,$U$5=TRUE,$U$6=FALSE,$U$7=TRUE)),VLOOKUP($E443,'Status Thresholds'!$E:$AR,28,FALSE)))))))))
))/
IF(OR($X$5=TRUE,$AC$3=TRUE
),($F$4/2), IF(OR($X$2,$X$3,$X$4,$X$6,$X$7,$X$8,$Z$2,$Z$3,$Z$4,$Z$5,$Z$6,$Z$7,$Z$8)=TRUE,$F$4)),0),"-")</f>
        <v>-</v>
      </c>
      <c r="H443" s="36" t="str">
        <f>IFERROR(
ROUNDUP(
IF(AND($U$5=FALSE,$U$4=FALSE),"-",IF(AND($U$5=TRUE,$U$4=TRUE),"-",
IF((AND($U$4=TRUE,$U$5=FALSE,$U$6=FALSE,$U$7=FALSE)),VLOOKUP($E443,'Status Thresholds'!$E:$AR,4,FALSE),IF((AND($U$4=TRUE,$U$5=FALSE,$U$6=TRUE,$U$7=FALSE)),VLOOKUP($E443,'Status Thresholds'!$E:$AR,14,FALSE),IF((AND($U$4=TRUE,$U$5=FALSE,$U$6=TRUE,$U$7=TRUE)),VLOOKUP($E443,'Status Thresholds'!$E:$AR,19,FALSE),IF((AND($U$4=TRUE,$U$5=FALSE,$U$6=FALSE,$U$7=TRUE)),VLOOKUP($E443,'Status Thresholds'!$E:$AR,9,FALSE),
IF((AND($U$4=FALSE,$U$5=TRUE,$U$6=FALSE,$U$7=FALSE)),VLOOKUP($E443,'Status Thresholds'!$E:$AR,24,FALSE),IF((AND($U$4=FALSE,$U$5=TRUE,$U$6=TRUE,$U$7=FALSE)),VLOOKUP($E443,'Status Thresholds'!$E:$AR,34,FALSE),IF((AND($U$4=FALSE,$U$5=TRUE,$U$6=TRUE,$U$7=TRUE)),VLOOKUP($E443,'Status Thresholds'!$E:$AR,39,FALSE),IF((AND($U$4=FALSE,$U$5=TRUE,$U$6=FALSE,$U$7=TRUE)),VLOOKUP($E443,'Status Thresholds'!$E:$AR,29,FALSE)))))))))
))/
IF(OR($X$5=TRUE,$AC$3=TRUE
),($F$4/2), IF(OR($X$2,$X$3,$X$4,$X$6,$X$7,$X$8,$Z$2,$Z$3,$Z$4,$Z$5,$Z$6,$Z$7,$Z$8)=TRUE,$F$4)),0),"-")</f>
        <v>-</v>
      </c>
      <c r="I443" s="36" t="str">
        <f>IFERROR(
ROUNDUP(
IF(AND($U$5=FALSE,$U$4=FALSE),"-",IF(AND($U$5=TRUE,$U$4=TRUE),"-",
IF((AND($U$4=TRUE,$U$5=FALSE,$U$6=FALSE,$U$7=FALSE)),VLOOKUP($E443,'Status Thresholds'!$E:$AR,5,FALSE),IF((AND($U$4=TRUE,$U$5=FALSE,$U$6=TRUE,$U$7=FALSE)),VLOOKUP($E443,'Status Thresholds'!$E:$AR,15,FALSE),IF((AND($U$4=TRUE,$U$5=FALSE,$U$6=TRUE,$U$7=TRUE)),VLOOKUP($E443,'Status Thresholds'!$E:$AR,20,FALSE),IF((AND($U$4=TRUE,$U$5=FALSE,$U$6=FALSE,$U$7=TRUE)),VLOOKUP($E443,'Status Thresholds'!$E:$AR,10,FALSE),
IF((AND($U$4=FALSE,$U$5=TRUE,$U$6=FALSE,$U$7=FALSE)),VLOOKUP($E443,'Status Thresholds'!$E:$AR,25,FALSE),IF((AND($U$4=FALSE,$U$5=TRUE,$U$6=TRUE,$U$7=FALSE)),VLOOKUP($E443,'Status Thresholds'!$E:$AR,35,FALSE),IF((AND($U$4=FALSE,$U$5=TRUE,$U$6=TRUE,$U$7=TRUE)),VLOOKUP($E443,'Status Thresholds'!$E:$AR,40,FALSE),IF((AND($U$4=FALSE,$U$5=TRUE,$U$6=FALSE,$U$7=TRUE)),VLOOKUP($E443,'Status Thresholds'!$E:$AR,30,FALSE)))))))))
))/
IF(OR($X$5=TRUE,$AC$3=TRUE
),($F$4/2), IF(OR($X$2,$X$3,$X$4,$X$6,$X$7,$X$8,$Z$2,$Z$3,$Z$4,$Z$5,$Z$6,$Z$7,$Z$8)=TRUE,$F$4)),0),"-")</f>
        <v>-</v>
      </c>
      <c r="J443" s="46">
        <f>IFERROR(IF(AND($U$5=FALSE,$U$4=FALSE),"-",VLOOKUP($E443,'Status Thresholds'!$E:$AU,41,FALSE)),"-")</f>
        <v>40</v>
      </c>
      <c r="K443" s="46" t="str">
        <f>IFERROR(IF(AND($U$5=FALSE,$U$4=FALSE),"-",VLOOKUP($E443,'Status Thresholds'!$E:$AU,42,FALSE)),"-")</f>
        <v>-</v>
      </c>
      <c r="L443" s="46" t="str">
        <f>IFERROR(IF(AND($U$5=FALSE,$U$4=FALSE),"-",VLOOKUP($E443,'Status Thresholds'!$E:$AU,43,FALSE)),"-")</f>
        <v>-</v>
      </c>
    </row>
    <row r="444" spans="1:12" x14ac:dyDescent="0.25">
      <c r="A444" s="35"/>
      <c r="B444" s="64" t="str">
        <f>VLOOKUP(C444,'Status Thresholds'!B:C,2,FALSE)</f>
        <v>MHGen</v>
      </c>
      <c r="C444" s="64" t="str">
        <f>IF('Status Thresholds'!B439=0, "", 'Status Thresholds'!B439)</f>
        <v>Kirin</v>
      </c>
      <c r="D444" s="32" t="s">
        <v>33</v>
      </c>
      <c r="E444" s="36" t="str">
        <f t="shared" si="6"/>
        <v>KirinPoison</v>
      </c>
      <c r="F444" s="36" t="str">
        <f>IFERROR(
ROUNDUP(
IF(AND($U$5=FALSE,$U$4=FALSE),"-",IF(AND($U$5=TRUE,$U$4=TRUE),"-",
IF((AND($U$4=TRUE,$U$5=FALSE,$U$6=FALSE,$U$7=FALSE)),VLOOKUP($E444,'Status Thresholds'!$E:$AR,2,FALSE),IF((AND($U$4=TRUE,$U$5=FALSE,$U$6=TRUE,$U$7=FALSE)),VLOOKUP($E444,'Status Thresholds'!$E:$AR,12,FALSE),IF((AND($U$4=TRUE,$U$5=FALSE,$U$6=TRUE,$U$7=TRUE)),VLOOKUP($E444,'Status Thresholds'!$E:$AR,17,FALSE),IF((AND($U$4=TRUE,$U$5=FALSE,$U$6=FALSE,$U$7=TRUE)),VLOOKUP($E444,'Status Thresholds'!$E:$AR,7,FALSE),
IF((AND($U$4=FALSE,$U$5=TRUE,$U$6=FALSE,$U$7=FALSE)),VLOOKUP($E444,'Status Thresholds'!$E:$AR,22,FALSE),IF((AND($U$4=FALSE,$U$5=TRUE,$U$6=TRUE,$U$7=FALSE)),VLOOKUP($E444,'Status Thresholds'!$E:$AR,32,FALSE),IF((AND($U$4=FALSE,$U$5=TRUE,$U$6=TRUE,$U$7=TRUE)),VLOOKUP($E444,'Status Thresholds'!$E:$AR,37,FALSE),IF((AND($U$4=FALSE,$U$5=TRUE,$U$6=FALSE,$U$7=TRUE)),VLOOKUP($E444,'Status Thresholds'!$E:$AR,27,FALSE)))))))))
))/
IF(OR($X$5=TRUE,$AC$3=TRUE
),($F$5/2), IF(OR($X$2,$X$3,$X$4,$X$6,$X$7,$X$8,$Z$2,$Z$3,$Z$4,$Z$5,$Z$6,$Z$7,$Z$8)=TRUE,$F$5)),0),"-")</f>
        <v>-</v>
      </c>
      <c r="G444" s="36" t="str">
        <f>IFERROR(
ROUNDUP(
IF(AND($U$5=FALSE,$U$4=FALSE),"-",IF(AND($U$5=TRUE,$U$4=TRUE),"-",
IF((AND($U$4=TRUE,$U$5=FALSE,$U$6=FALSE,$U$7=FALSE)),VLOOKUP($E444,'Status Thresholds'!$E:$AR,3,FALSE),IF((AND($U$4=TRUE,$U$5=FALSE,$U$6=TRUE,$U$7=FALSE)),VLOOKUP($E444,'Status Thresholds'!$E:$AR,13,FALSE),IF((AND($U$4=TRUE,$U$5=FALSE,$U$6=TRUE,$U$7=TRUE)),VLOOKUP($E444,'Status Thresholds'!$E:$AR,18,FALSE),IF((AND($U$4=TRUE,$U$5=FALSE,$U$6=FALSE,$U$7=TRUE)),VLOOKUP($E444,'Status Thresholds'!$E:$AR,8,FALSE),
IF((AND($U$4=FALSE,$U$5=TRUE,$U$6=FALSE,$U$7=FALSE)),VLOOKUP($E444,'Status Thresholds'!$E:$AR,23,FALSE),IF((AND($U$4=FALSE,$U$5=TRUE,$U$6=TRUE,$U$7=FALSE)),VLOOKUP($E444,'Status Thresholds'!$E:$AR,33,FALSE),IF((AND($U$4=FALSE,$U$5=TRUE,$U$6=TRUE,$U$7=TRUE)),VLOOKUP($E444,'Status Thresholds'!$E:$AR,38,FALSE),IF((AND($U$4=FALSE,$U$5=TRUE,$U$6=FALSE,$U$7=TRUE)),VLOOKUP($E444,'Status Thresholds'!$E:$AR,28,FALSE)))))))))
))/
IF(OR($X$5=TRUE,$AC$3=TRUE
),($F$5/2), IF(OR($X$2,$X$3,$X$4,$X$6,$X$7,$X$8,$Z$2,$Z$3,$Z$4,$Z$5,$Z$6,$Z$7,$Z$8)=TRUE,$F$5)),0),"-")</f>
        <v>-</v>
      </c>
      <c r="H444" s="36" t="str">
        <f>IFERROR(
ROUNDUP(
IF(AND($U$5=FALSE,$U$4=FALSE),"-",IF(AND($U$5=TRUE,$U$4=TRUE),"-",
IF((AND($U$4=TRUE,$U$5=FALSE,$U$6=FALSE,$U$7=FALSE)),VLOOKUP($E444,'Status Thresholds'!$E:$AR,4,FALSE),IF((AND($U$4=TRUE,$U$5=FALSE,$U$6=TRUE,$U$7=FALSE)),VLOOKUP($E444,'Status Thresholds'!$E:$AR,14,FALSE),IF((AND($U$4=TRUE,$U$5=FALSE,$U$6=TRUE,$U$7=TRUE)),VLOOKUP($E444,'Status Thresholds'!$E:$AR,19,FALSE),IF((AND($U$4=TRUE,$U$5=FALSE,$U$6=FALSE,$U$7=TRUE)),VLOOKUP($E444,'Status Thresholds'!$E:$AR,9,FALSE),
IF((AND($U$4=FALSE,$U$5=TRUE,$U$6=FALSE,$U$7=FALSE)),VLOOKUP($E444,'Status Thresholds'!$E:$AR,24,FALSE),IF((AND($U$4=FALSE,$U$5=TRUE,$U$6=TRUE,$U$7=FALSE)),VLOOKUP($E444,'Status Thresholds'!$E:$AR,34,FALSE),IF((AND($U$4=FALSE,$U$5=TRUE,$U$6=TRUE,$U$7=TRUE)),VLOOKUP($E444,'Status Thresholds'!$E:$AR,39,FALSE),IF((AND($U$4=FALSE,$U$5=TRUE,$U$6=FALSE,$U$7=TRUE)),VLOOKUP($E444,'Status Thresholds'!$E:$AR,29,FALSE)))))))))
))/
IF(OR($X$5=TRUE,$AC$3=TRUE
),($F$5/2), IF(OR($X$2,$X$3,$X$4,$X$6,$X$7,$X$8,$Z$2,$Z$3,$Z$4,$Z$5,$Z$6,$Z$7,$Z$8)=TRUE,$F$5)),0),"-")</f>
        <v>-</v>
      </c>
      <c r="I444" s="36" t="str">
        <f>IFERROR(
ROUNDUP(
IF(AND($U$5=FALSE,$U$4=FALSE),"-",IF(AND($U$5=TRUE,$U$4=TRUE),"-",
IF((AND($U$4=TRUE,$U$5=FALSE,$U$6=FALSE,$U$7=FALSE)),VLOOKUP($E444,'Status Thresholds'!$E:$AR,5,FALSE),IF((AND($U$4=TRUE,$U$5=FALSE,$U$6=TRUE,$U$7=FALSE)),VLOOKUP($E444,'Status Thresholds'!$E:$AR,15,FALSE),IF((AND($U$4=TRUE,$U$5=FALSE,$U$6=TRUE,$U$7=TRUE)),VLOOKUP($E444,'Status Thresholds'!$E:$AR,20,FALSE),IF((AND($U$4=TRUE,$U$5=FALSE,$U$6=FALSE,$U$7=TRUE)),VLOOKUP($E444,'Status Thresholds'!$E:$AR,10,FALSE),
IF((AND($U$4=FALSE,$U$5=TRUE,$U$6=FALSE,$U$7=FALSE)),VLOOKUP($E444,'Status Thresholds'!$E:$AR,25,FALSE),IF((AND($U$4=FALSE,$U$5=TRUE,$U$6=TRUE,$U$7=FALSE)),VLOOKUP($E444,'Status Thresholds'!$E:$AR,35,FALSE),IF((AND($U$4=FALSE,$U$5=TRUE,$U$6=TRUE,$U$7=TRUE)),VLOOKUP($E444,'Status Thresholds'!$E:$AR,40,FALSE),IF((AND($U$4=FALSE,$U$5=TRUE,$U$6=FALSE,$U$7=TRUE)),VLOOKUP($E444,'Status Thresholds'!$E:$AR,30,FALSE)))))))))
))/
IF(OR($X$5=TRUE,$AC$3=TRUE
),($F$5/2), IF(OR($X$2,$X$3,$X$4,$X$6,$X$7,$X$8,$Z$2,$Z$3,$Z$4,$Z$5,$Z$6,$Z$7,$Z$8)=TRUE,$F$5)),0),"-")</f>
        <v>-</v>
      </c>
      <c r="J444" s="46">
        <f>IFERROR(IF(AND($U$5=FALSE,$U$4=FALSE),"-",VLOOKUP($E444,'Status Thresholds'!$E:$AU,41,FALSE)),"-")</f>
        <v>30</v>
      </c>
      <c r="K444" s="46" t="str">
        <f>IFERROR(IF(AND($U$5=FALSE,$U$4=FALSE),"-",VLOOKUP($E444,'Status Thresholds'!$E:$AU,42,FALSE)),"-")</f>
        <v>-</v>
      </c>
      <c r="L444" s="46" t="str">
        <f>IFERROR(IF(AND($U$5=FALSE,$U$4=FALSE),"-",VLOOKUP($E444,'Status Thresholds'!$E:$AU,43,FALSE)),"-")</f>
        <v>-</v>
      </c>
    </row>
    <row r="445" spans="1:12" x14ac:dyDescent="0.25">
      <c r="A445" s="35"/>
      <c r="B445" s="64" t="str">
        <f>VLOOKUP(C445,'Status Thresholds'!B:C,2,FALSE)</f>
        <v>MHGen</v>
      </c>
      <c r="C445" s="64" t="str">
        <f>IF('Status Thresholds'!B440=0, "", 'Status Thresholds'!B440)</f>
        <v>Kirin</v>
      </c>
      <c r="D445" s="10" t="s">
        <v>22</v>
      </c>
      <c r="E445" s="36" t="str">
        <f t="shared" si="6"/>
        <v>KirinExhaust</v>
      </c>
      <c r="F445" s="36" t="str">
        <f>IFERROR(
ROUNDUP(
IF(AND($U$5=FALSE,$U$4=FALSE),"-",IF(AND($U$5=TRUE,$U$4=TRUE),"-",
IF((AND($U$4=TRUE,$U$5=FALSE,$U$6=FALSE,$U$7=FALSE)),VLOOKUP($E445,'Status Thresholds'!$E:$AR,2,FALSE),IF((AND($U$4=TRUE,$U$5=FALSE,$U$6=TRUE,$U$7=FALSE)),VLOOKUP($E445,'Status Thresholds'!$E:$AR,12,FALSE),IF((AND($U$4=TRUE,$U$5=FALSE,$U$6=TRUE,$U$7=TRUE)),VLOOKUP($E445,'Status Thresholds'!$E:$AR,17,FALSE),IF((AND($U$4=TRUE,$U$5=FALSE,$U$6=FALSE,$U$7=TRUE)),VLOOKUP($E445,'Status Thresholds'!$E:$AR,7,FALSE),
IF((AND($U$4=FALSE,$U$5=TRUE,$U$6=FALSE,$U$7=FALSE)),VLOOKUP($E445,'Status Thresholds'!$E:$AR,22,FALSE),IF((AND($U$4=FALSE,$U$5=TRUE,$U$6=TRUE,$U$7=FALSE)),VLOOKUP($E445,'Status Thresholds'!$E:$AR,32,FALSE),IF((AND($U$4=FALSE,$U$5=TRUE,$U$6=TRUE,$U$7=TRUE)),VLOOKUP($E445,'Status Thresholds'!$E:$AR,37,FALSE),IF((AND($U$4=FALSE,$U$5=TRUE,$U$6=FALSE,$U$7=TRUE)),VLOOKUP($E445,'Status Thresholds'!$E:$AR,27,FALSE)))))))))
))/
IF(OR($X$5=TRUE,$AC$3=TRUE
),($F$6/2), IF(OR($X$2,$X$3,$X$4,$X$6,$X$7,$X$8,$Z$2,$Z$3,$Z$4,$Z$5,$Z$6,$Z$7,$Z$8)=TRUE,$F$6)),0),"-")</f>
        <v>-</v>
      </c>
      <c r="G445" s="36" t="str">
        <f>IFERROR(
ROUNDUP(
IF(AND($U$5=FALSE,$U$4=FALSE),"-",IF(AND($U$5=TRUE,$U$4=TRUE),"-",
IF((AND($U$4=TRUE,$U$5=FALSE,$U$6=FALSE,$U$7=FALSE)),VLOOKUP($E445,'Status Thresholds'!$E:$AR,3,FALSE),IF((AND($U$4=TRUE,$U$5=FALSE,$U$6=TRUE,$U$7=FALSE)),VLOOKUP($E445,'Status Thresholds'!$E:$AR,13,FALSE),IF((AND($U$4=TRUE,$U$5=FALSE,$U$6=TRUE,$U$7=TRUE)),VLOOKUP($E445,'Status Thresholds'!$E:$AR,18,FALSE),IF((AND($U$4=TRUE,$U$5=FALSE,$U$6=FALSE,$U$7=TRUE)),VLOOKUP($E445,'Status Thresholds'!$E:$AR,8,FALSE),
IF((AND($U$4=FALSE,$U$5=TRUE,$U$6=FALSE,$U$7=FALSE)),VLOOKUP($E445,'Status Thresholds'!$E:$AR,23,FALSE),IF((AND($U$4=FALSE,$U$5=TRUE,$U$6=TRUE,$U$7=FALSE)),VLOOKUP($E445,'Status Thresholds'!$E:$AR,33,FALSE),IF((AND($U$4=FALSE,$U$5=TRUE,$U$6=TRUE,$U$7=TRUE)),VLOOKUP($E445,'Status Thresholds'!$E:$AR,38,FALSE),IF((AND($U$4=FALSE,$U$5=TRUE,$U$6=FALSE,$U$7=TRUE)),VLOOKUP($E445,'Status Thresholds'!$E:$AR,28,FALSE)))))))))
))/
IF(OR($X$5=TRUE,$AC$3=TRUE
),($F$6/2), IF(OR($X$2,$X$3,$X$4,$X$6,$X$7,$X$8,$Z$2,$Z$3,$Z$4,$Z$5,$Z$6,$Z$7,$Z$8)=TRUE,$F$6)),0),"-")</f>
        <v>-</v>
      </c>
      <c r="H445" s="36" t="str">
        <f>IFERROR(
ROUNDUP(
IF(AND($U$5=FALSE,$U$4=FALSE),"-",IF(AND($U$5=TRUE,$U$4=TRUE),"-",
IF((AND($U$4=TRUE,$U$5=FALSE,$U$6=FALSE,$U$7=FALSE)),VLOOKUP($E445,'Status Thresholds'!$E:$AR,4,FALSE),IF((AND($U$4=TRUE,$U$5=FALSE,$U$6=TRUE,$U$7=FALSE)),VLOOKUP($E445,'Status Thresholds'!$E:$AR,14,FALSE),IF((AND($U$4=TRUE,$U$5=FALSE,$U$6=TRUE,$U$7=TRUE)),VLOOKUP($E445,'Status Thresholds'!$E:$AR,19,FALSE),IF((AND($U$4=TRUE,$U$5=FALSE,$U$6=FALSE,$U$7=TRUE)),VLOOKUP($E445,'Status Thresholds'!$E:$AR,9,FALSE),
IF((AND($U$4=FALSE,$U$5=TRUE,$U$6=FALSE,$U$7=FALSE)),VLOOKUP($E445,'Status Thresholds'!$E:$AR,24,FALSE),IF((AND($U$4=FALSE,$U$5=TRUE,$U$6=TRUE,$U$7=FALSE)),VLOOKUP($E445,'Status Thresholds'!$E:$AR,34,FALSE),IF((AND($U$4=FALSE,$U$5=TRUE,$U$6=TRUE,$U$7=TRUE)),VLOOKUP($E445,'Status Thresholds'!$E:$AR,39,FALSE),IF((AND($U$4=FALSE,$U$5=TRUE,$U$6=FALSE,$U$7=TRUE)),VLOOKUP($E445,'Status Thresholds'!$E:$AR,29,FALSE)))))))))
))/
IF(OR($X$5=TRUE,$AC$3=TRUE
),($F$6/2), IF(OR($X$2,$X$3,$X$4,$X$6,$X$7,$X$8,$Z$2,$Z$3,$Z$4,$Z$5,$Z$6,$Z$7,$Z$8)=TRUE,$F$6)),0),"-")</f>
        <v>-</v>
      </c>
      <c r="I445" s="36" t="str">
        <f>IFERROR(
ROUNDUP(
IF(AND($U$5=FALSE,$U$4=FALSE),"-",IF(AND($U$5=TRUE,$U$4=TRUE),"-",
IF((AND($U$4=TRUE,$U$5=FALSE,$U$6=FALSE,$U$7=FALSE)),VLOOKUP($E445,'Status Thresholds'!$E:$AR,5,FALSE),IF((AND($U$4=TRUE,$U$5=FALSE,$U$6=TRUE,$U$7=FALSE)),VLOOKUP($E445,'Status Thresholds'!$E:$AR,15,FALSE),IF((AND($U$4=TRUE,$U$5=FALSE,$U$6=TRUE,$U$7=TRUE)),VLOOKUP($E445,'Status Thresholds'!$E:$AR,20,FALSE),IF((AND($U$4=TRUE,$U$5=FALSE,$U$6=FALSE,$U$7=TRUE)),VLOOKUP($E445,'Status Thresholds'!$E:$AR,10,FALSE),
IF((AND($U$4=FALSE,$U$5=TRUE,$U$6=FALSE,$U$7=FALSE)),VLOOKUP($E445,'Status Thresholds'!$E:$AR,25,FALSE),IF((AND($U$4=FALSE,$U$5=TRUE,$U$6=TRUE,$U$7=FALSE)),VLOOKUP($E445,'Status Thresholds'!$E:$AR,35,FALSE),IF((AND($U$4=FALSE,$U$5=TRUE,$U$6=TRUE,$U$7=TRUE)),VLOOKUP($E445,'Status Thresholds'!$E:$AR,40,FALSE),IF((AND($U$4=FALSE,$U$5=TRUE,$U$6=FALSE,$U$7=TRUE)),VLOOKUP($E445,'Status Thresholds'!$E:$AR,30,FALSE)))))))))
))/
IF(OR($X$5=TRUE,$AC$3=TRUE
),($F$6/2), IF(OR($X$2,$X$3,$X$4,$X$6,$X$7,$X$8,$Z$2,$Z$3,$Z$4,$Z$5,$Z$6,$Z$7,$Z$8)=TRUE,$F$6)),0),"-")</f>
        <v>-</v>
      </c>
      <c r="J445" s="46">
        <f>IFERROR(IF(AND($U$5=FALSE,$U$4=FALSE),"-",VLOOKUP($E445,'Status Thresholds'!$E:$AU,41,FALSE)),"-")</f>
        <v>0</v>
      </c>
      <c r="K445" s="46" t="str">
        <f>IFERROR(IF(AND($U$5=FALSE,$U$4=FALSE),"-",VLOOKUP($E445,'Status Thresholds'!$E:$AU,42,FALSE)),"-")</f>
        <v>-</v>
      </c>
      <c r="L445" s="46" t="str">
        <f>IFERROR(IF(AND($U$5=FALSE,$U$4=FALSE),"-",VLOOKUP($E445,'Status Thresholds'!$E:$AU,43,FALSE)),"-")</f>
        <v>-</v>
      </c>
    </row>
    <row r="446" spans="1:12" x14ac:dyDescent="0.25">
      <c r="A446" s="35"/>
      <c r="B446" s="64" t="str">
        <f>VLOOKUP(C446,'Status Thresholds'!B:C,2,FALSE)</f>
        <v>MHGen</v>
      </c>
      <c r="C446" s="64" t="str">
        <f>IF('Status Thresholds'!B441=0, "", 'Status Thresholds'!B441)</f>
        <v>Kirin</v>
      </c>
      <c r="D446" s="30" t="s">
        <v>35</v>
      </c>
      <c r="E446" s="36" t="str">
        <f t="shared" si="6"/>
        <v>KirinBlast</v>
      </c>
      <c r="F446" s="36" t="str">
        <f>IFERROR(
ROUNDUP(
IF(AND($U$5=FALSE,$U$4=FALSE),"-",IF(AND($U$5=TRUE,$U$4=TRUE),"-",
IF((AND($U$4=TRUE,$U$5=FALSE,$U$6=FALSE,$U$7=FALSE)),VLOOKUP($E446,'Status Thresholds'!$E:$AR,2,FALSE),IF((AND($U$4=TRUE,$U$5=FALSE,$U$6=TRUE,$U$7=FALSE)),VLOOKUP($E446,'Status Thresholds'!$E:$AR,12,FALSE),IF((AND($U$4=TRUE,$U$5=FALSE,$U$6=TRUE,$U$7=TRUE)),VLOOKUP($E446,'Status Thresholds'!$E:$AR,17,FALSE),IF((AND($U$4=TRUE,$U$5=FALSE,$U$6=FALSE,$U$7=TRUE)),VLOOKUP($E446,'Status Thresholds'!$E:$AR,7,FALSE),
IF((AND($U$4=FALSE,$U$5=TRUE,$U$6=FALSE,$U$7=FALSE)),VLOOKUP($E446,'Status Thresholds'!$E:$AR,22,FALSE),IF((AND($U$4=FALSE,$U$5=TRUE,$U$6=TRUE,$U$7=FALSE)),VLOOKUP($E446,'Status Thresholds'!$E:$AR,32,FALSE),IF((AND($U$4=FALSE,$U$5=TRUE,$U$6=TRUE,$U$7=TRUE)),VLOOKUP($E446,'Status Thresholds'!$E:$AR,37,FALSE),IF((AND($U$4=FALSE,$U$5=TRUE,$U$6=FALSE,$U$7=TRUE)),VLOOKUP($E446,'Status Thresholds'!$E:$AR,27,FALSE)))))))))
))/
IF(OR($X$5=TRUE,$AC$3=TRUE
),($F$7/2), IF(OR($X$2,$X$3,$X$4,$X$6,$X$7,$X$8,$Z$2,$Z$3,$Z$4,$Z$5,$Z$6,$Z$7,$Z$8)=TRUE,$F$7)),0),"-")</f>
        <v>-</v>
      </c>
      <c r="G446" s="36" t="str">
        <f>IFERROR(
ROUNDUP(
IF(AND($U$5=FALSE,$U$4=FALSE),"-",IF(AND($U$5=TRUE,$U$4=TRUE),"-",
IF((AND($U$4=TRUE,$U$5=FALSE,$U$6=FALSE,$U$7=FALSE)),VLOOKUP($E446,'Status Thresholds'!$E:$AR,3,FALSE),IF((AND($U$4=TRUE,$U$5=FALSE,$U$6=TRUE,$U$7=FALSE)),VLOOKUP($E446,'Status Thresholds'!$E:$AR,13,FALSE),IF((AND($U$4=TRUE,$U$5=FALSE,$U$6=TRUE,$U$7=TRUE)),VLOOKUP($E446,'Status Thresholds'!$E:$AR,18,FALSE),IF((AND($U$4=TRUE,$U$5=FALSE,$U$6=FALSE,$U$7=TRUE)),VLOOKUP($E446,'Status Thresholds'!$E:$AR,8,FALSE),
IF((AND($U$4=FALSE,$U$5=TRUE,$U$6=FALSE,$U$7=FALSE)),VLOOKUP($E446,'Status Thresholds'!$E:$AR,23,FALSE),IF((AND($U$4=FALSE,$U$5=TRUE,$U$6=TRUE,$U$7=FALSE)),VLOOKUP($E446,'Status Thresholds'!$E:$AR,33,FALSE),IF((AND($U$4=FALSE,$U$5=TRUE,$U$6=TRUE,$U$7=TRUE)),VLOOKUP($E446,'Status Thresholds'!$E:$AR,38,FALSE),IF((AND($U$4=FALSE,$U$5=TRUE,$U$6=FALSE,$U$7=TRUE)),VLOOKUP($E446,'Status Thresholds'!$E:$AR,28,FALSE)))))))))
))/
IF(OR($X$5=TRUE,$AC$3=TRUE
),($F$7/2), IF(OR($X$2,$X$3,$X$4,$X$6,$X$7,$X$8,$Z$2,$Z$3,$Z$4,$Z$5,$Z$6,$Z$7,$Z$8)=TRUE,$F$7)),0),"-")</f>
        <v>-</v>
      </c>
      <c r="H446" s="36" t="str">
        <f>IFERROR(
ROUNDUP(
IF(AND($U$5=FALSE,$U$4=FALSE),"-",IF(AND($U$5=TRUE,$U$4=TRUE),"-",
IF((AND($U$4=TRUE,$U$5=FALSE,$U$6=FALSE,$U$7=FALSE)),VLOOKUP($E446,'Status Thresholds'!$E:$AR,4,FALSE),IF((AND($U$4=TRUE,$U$5=FALSE,$U$6=TRUE,$U$7=FALSE)),VLOOKUP($E446,'Status Thresholds'!$E:$AR,14,FALSE),IF((AND($U$4=TRUE,$U$5=FALSE,$U$6=TRUE,$U$7=TRUE)),VLOOKUP($E446,'Status Thresholds'!$E:$AR,19,FALSE),IF((AND($U$4=TRUE,$U$5=FALSE,$U$6=FALSE,$U$7=TRUE)),VLOOKUP($E446,'Status Thresholds'!$E:$AR,9,FALSE),
IF((AND($U$4=FALSE,$U$5=TRUE,$U$6=FALSE,$U$7=FALSE)),VLOOKUP($E446,'Status Thresholds'!$E:$AR,24,FALSE),IF((AND($U$4=FALSE,$U$5=TRUE,$U$6=TRUE,$U$7=FALSE)),VLOOKUP($E446,'Status Thresholds'!$E:$AR,34,FALSE),IF((AND($U$4=FALSE,$U$5=TRUE,$U$6=TRUE,$U$7=TRUE)),VLOOKUP($E446,'Status Thresholds'!$E:$AR,39,FALSE),IF((AND($U$4=FALSE,$U$5=TRUE,$U$6=FALSE,$U$7=TRUE)),VLOOKUP($E446,'Status Thresholds'!$E:$AR,29,FALSE)))))))))
))/
IF(OR($X$5=TRUE,$AC$3=TRUE
),($F$7/2), IF(OR($X$2,$X$3,$X$4,$X$6,$X$7,$X$8,$Z$2,$Z$3,$Z$4,$Z$5,$Z$6,$Z$7,$Z$8)=TRUE,$F$7)),0),"-")</f>
        <v>-</v>
      </c>
      <c r="I446" s="36" t="str">
        <f>IFERROR(
ROUNDUP(
IF(AND($U$5=FALSE,$U$4=FALSE),"-",IF(AND($U$5=TRUE,$U$4=TRUE),"-",
IF((AND($U$4=TRUE,$U$5=FALSE,$U$6=FALSE,$U$7=FALSE)),VLOOKUP($E446,'Status Thresholds'!$E:$AR,5,FALSE),IF((AND($U$4=TRUE,$U$5=FALSE,$U$6=TRUE,$U$7=FALSE)),VLOOKUP($E446,'Status Thresholds'!$E:$AR,15,FALSE),IF((AND($U$4=TRUE,$U$5=FALSE,$U$6=TRUE,$U$7=TRUE)),VLOOKUP($E446,'Status Thresholds'!$E:$AR,20,FALSE),IF((AND($U$4=TRUE,$U$5=FALSE,$U$6=FALSE,$U$7=TRUE)),VLOOKUP($E446,'Status Thresholds'!$E:$AR,10,FALSE),
IF((AND($U$4=FALSE,$U$5=TRUE,$U$6=FALSE,$U$7=FALSE)),VLOOKUP($E446,'Status Thresholds'!$E:$AR,25,FALSE),IF((AND($U$4=FALSE,$U$5=TRUE,$U$6=TRUE,$U$7=FALSE)),VLOOKUP($E446,'Status Thresholds'!$E:$AR,35,FALSE),IF((AND($U$4=FALSE,$U$5=TRUE,$U$6=TRUE,$U$7=TRUE)),VLOOKUP($E446,'Status Thresholds'!$E:$AR,40,FALSE),IF((AND($U$4=FALSE,$U$5=TRUE,$U$6=FALSE,$U$7=TRUE)),VLOOKUP($E446,'Status Thresholds'!$E:$AR,30,FALSE)))))))))
))/
IF(OR($X$5=TRUE,$AC$3=TRUE
),($F$7/2), IF(OR($X$2,$X$3,$X$4,$X$6,$X$7,$X$8,$Z$2,$Z$3,$Z$4,$Z$5,$Z$6,$Z$7,$Z$8)=TRUE,$F$7)),0),"-")</f>
        <v>-</v>
      </c>
      <c r="J446" s="46">
        <f>IFERROR(IF(AND($U$5=FALSE,$U$4=FALSE),"-",VLOOKUP($E446,'Status Thresholds'!$E:$AU,41,FALSE)),"-")</f>
        <v>0</v>
      </c>
      <c r="K446" s="46" t="str">
        <f>IFERROR(IF(AND($U$5=FALSE,$U$4=FALSE),"-",VLOOKUP($E446,'Status Thresholds'!$E:$AU,42,FALSE)),"-")</f>
        <v>-</v>
      </c>
      <c r="L446" s="46" t="str">
        <f>IFERROR(IF(AND($U$5=FALSE,$U$4=FALSE),"-",VLOOKUP($E446,'Status Thresholds'!$E:$AU,43,FALSE)),"-")</f>
        <v>-</v>
      </c>
    </row>
    <row r="447" spans="1:12" ht="14.45" customHeight="1" x14ac:dyDescent="0.25">
      <c r="A447" s="35"/>
      <c r="B447" s="64" t="str">
        <f>VLOOKUP(C447,'Status Thresholds'!B:C,2,FALSE)</f>
        <v>MHGen</v>
      </c>
      <c r="C447" s="64" t="str">
        <f>IF('Status Thresholds'!B442=0, "", 'Status Thresholds'!B442)</f>
        <v>Kirin</v>
      </c>
      <c r="D447" s="34" t="s">
        <v>14</v>
      </c>
      <c r="E447" s="36" t="str">
        <f t="shared" si="6"/>
        <v>KirinKO</v>
      </c>
      <c r="F447" s="36" t="s">
        <v>214</v>
      </c>
      <c r="G447" s="36" t="s">
        <v>214</v>
      </c>
      <c r="H447" s="36" t="s">
        <v>214</v>
      </c>
      <c r="I447" s="36" t="s">
        <v>214</v>
      </c>
      <c r="J447" s="46">
        <f>IFERROR(IF(AND($U$5=FALSE,$U$4=FALSE),"-",VLOOKUP($E447,'Status Thresholds'!$E:$AU,41,FALSE)),"-")</f>
        <v>10</v>
      </c>
      <c r="K447" s="46" t="str">
        <f>IFERROR(IF(AND($U$5=FALSE,$U$4=FALSE),"-",VLOOKUP($E447,'Status Thresholds'!$E:$AU,42,FALSE)),"-")</f>
        <v>-</v>
      </c>
      <c r="L447" s="46" t="str">
        <f>IFERROR(IF(AND($U$5=FALSE,$U$4=FALSE),"-",VLOOKUP($E447,'Status Thresholds'!$E:$AU,43,FALSE)),"-")</f>
        <v>-</v>
      </c>
    </row>
    <row r="448" spans="1:12" x14ac:dyDescent="0.25">
      <c r="A448" s="35"/>
      <c r="B448" s="64" t="str">
        <f>VLOOKUP(C448,'Status Thresholds'!B:C,2,FALSE)</f>
        <v>MHGen</v>
      </c>
      <c r="C448" s="64" t="str">
        <f>IF('Status Thresholds'!B443=0, "", 'Status Thresholds'!B443)</f>
        <v>Kirin</v>
      </c>
      <c r="D448" s="33" t="s">
        <v>34</v>
      </c>
      <c r="E448" s="36" t="str">
        <f t="shared" si="6"/>
        <v>KirinMount</v>
      </c>
      <c r="F448" s="36" t="str">
        <f>IFERROR(
ROUNDUP(
IF(AND($U$5=FALSE,$U$4=FALSE),"-",IF(AND($U$5=TRUE,$U$4=TRUE),"-",
IF((AND($U$4=TRUE,$U$5=FALSE,$U$6=FALSE,$U$7=FALSE)),VLOOKUP($E448,'Status Thresholds'!$E:$AR,2,FALSE),IF((AND($U$4=TRUE,$U$5=FALSE,$U$6=TRUE,$U$7=FALSE)),VLOOKUP($E448,'Status Thresholds'!$E:$AR,12,FALSE),IF((AND($U$4=TRUE,$U$5=FALSE,$U$6=TRUE,$U$7=TRUE)),VLOOKUP($E448,'Status Thresholds'!$E:$AR,17,FALSE),IF((AND($U$4=TRUE,$U$5=FALSE,$U$6=FALSE,$U$7=TRUE)),VLOOKUP($E448,'Status Thresholds'!$E:$AR,7,FALSE),
IF((AND($U$4=FALSE,$U$5=TRUE,$U$6=FALSE,$U$7=FALSE)),VLOOKUP($E448,'Status Thresholds'!$E:$AR,22,FALSE),IF((AND($U$4=FALSE,$U$5=TRUE,$U$6=TRUE,$U$7=FALSE)),VLOOKUP($E448,'Status Thresholds'!$E:$AR,32,FALSE),IF((AND($U$4=FALSE,$U$5=TRUE,$U$6=TRUE,$U$7=TRUE)),VLOOKUP($E448,'Status Thresholds'!$E:$AR,37,FALSE),IF((AND($U$4=FALSE,$U$5=TRUE,$U$6=FALSE,$U$7=TRUE)),VLOOKUP($E448,'Status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448" s="36" t="str">
        <f>IFERROR(
ROUNDUP(
IF(AND($U$5=FALSE,$U$4=FALSE),"-",IF(AND($U$5=TRUE,$U$4=TRUE),"-",
IF((AND($U$4=TRUE,$U$5=FALSE,$U$6=FALSE,$U$7=FALSE)),VLOOKUP($E447,'Status Thresholds'!$E:$AR,3,FALSE),IF((AND($U$4=TRUE,$U$5=FALSE,$U$6=TRUE,$U$7=FALSE)),VLOOKUP($E447,'Status Thresholds'!$E:$AR,13,FALSE),IF((AND($U$4=TRUE,$U$5=FALSE,$U$6=TRUE,$U$7=TRUE)),VLOOKUP($E447,'Status Thresholds'!$E:$AR,18,FALSE),IF((AND($U$4=TRUE,$U$5=FALSE,$U$6=FALSE,$U$7=TRUE)),VLOOKUP($E447,'Status Thresholds'!$E:$AR,8,FALSE),
IF((AND($U$4=FALSE,$U$5=TRUE,$U$6=FALSE,$U$7=FALSE)),VLOOKUP($E447,'Status Thresholds'!$E:$AR,23,FALSE),IF((AND($U$4=FALSE,$U$5=TRUE,$U$6=TRUE,$U$7=FALSE)),VLOOKUP($E447,'Status Thresholds'!$E:$AR,33,FALSE),IF((AND($U$4=FALSE,$U$5=TRUE,$U$6=TRUE,$U$7=TRUE)),VLOOKUP($E447,'Status Thresholds'!$E:$AR,38,FALSE),IF((AND($U$4=FALSE,$U$5=TRUE,$U$6=FALSE,$U$7=TRUE)),VLOOKUP($E447,'Status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448" s="36" t="str">
        <f>IFERROR(
ROUNDUP(
IF(AND($U$5=FALSE,$U$4=FALSE),"-",IF(AND($U$5=TRUE,$U$4=TRUE),"-",
IF((AND($U$4=TRUE,$U$5=FALSE,$U$6=FALSE,$U$7=FALSE)),VLOOKUP($E447,'Status Thresholds'!$E:$AR,4,FALSE),IF((AND($U$4=TRUE,$U$5=FALSE,$U$6=TRUE,$U$7=FALSE)),VLOOKUP($E447,'Status Thresholds'!$E:$AR,14,FALSE),IF((AND($U$4=TRUE,$U$5=FALSE,$U$6=TRUE,$U$7=TRUE)),VLOOKUP($E447,'Status Thresholds'!$E:$AR,19,FALSE),IF((AND($U$4=TRUE,$U$5=FALSE,$U$6=FALSE,$U$7=TRUE)),VLOOKUP($E447,'Status Thresholds'!$E:$AR,9,FALSE),
IF((AND($U$4=FALSE,$U$5=TRUE,$U$6=FALSE,$U$7=FALSE)),VLOOKUP($E447,'Status Thresholds'!$E:$AR,24,FALSE),IF((AND($U$4=FALSE,$U$5=TRUE,$U$6=TRUE,$U$7=FALSE)),VLOOKUP($E447,'Status Thresholds'!$E:$AR,34,FALSE),IF((AND($U$4=FALSE,$U$5=TRUE,$U$6=TRUE,$U$7=TRUE)),VLOOKUP($E447,'Status Thresholds'!$E:$AR,39,FALSE),IF((AND($U$4=FALSE,$U$5=TRUE,$U$6=FALSE,$U$7=TRUE)),VLOOKUP($E447,'Status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448" s="36" t="str">
        <f>IFERROR(
ROUNDUP(
IF(AND($U$5=FALSE,$U$4=FALSE),"-",IF(AND($U$5=TRUE,$U$4=TRUE),"-",
IF((AND($U$4=TRUE,$U$5=FALSE,$U$6=FALSE,$U$7=FALSE)),VLOOKUP($E447,'Status Thresholds'!$E:$AR,5,FALSE),IF((AND($U$4=TRUE,$U$5=FALSE,$U$6=TRUE,$U$7=FALSE)),VLOOKUP($E447,'Status Thresholds'!$E:$AR,15,FALSE),IF((AND($U$4=TRUE,$U$5=FALSE,$U$6=TRUE,$U$7=TRUE)),VLOOKUP($E447,'Status Thresholds'!$E:$AR,20,FALSE),IF((AND($U$4=TRUE,$U$5=FALSE,$U$6=FALSE,$U$7=TRUE)),VLOOKUP($E447,'Status Thresholds'!$E:$AR,10,FALSE),
IF((AND($U$4=FALSE,$U$5=TRUE,$U$6=FALSE,$U$7=FALSE)),VLOOKUP($E447,'Status Thresholds'!$E:$AR,25,FALSE),IF((AND($U$4=FALSE,$U$5=TRUE,$U$6=TRUE,$U$7=FALSE)),VLOOKUP($E447,'Status Thresholds'!$E:$AR,35,FALSE),IF((AND($U$4=FALSE,$U$5=TRUE,$U$6=TRUE,$U$7=TRUE)),VLOOKUP($E447,'Status Thresholds'!$E:$AR,40,FALSE),IF((AND($U$4=FALSE,$U$5=TRUE,$U$6=FALSE,$U$7=TRUE)),VLOOKUP($E447,'Status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448" s="46">
        <f>IFERROR(IF(AND($U$5=FALSE,$U$4=FALSE),"-",VLOOKUP($E448,'Status Thresholds'!$E:$AU,41,FALSE)),"-")</f>
        <v>0</v>
      </c>
      <c r="K448" s="46" t="str">
        <f>IFERROR(IF(AND($U$5=FALSE,$U$4=FALSE),"-",VLOOKUP($E448,'Status Thresholds'!$E:$AU,42,FALSE)),"-")</f>
        <v>-</v>
      </c>
      <c r="L448" s="46" t="str">
        <f>IFERROR(IF(AND($U$5=FALSE,$U$4=FALSE),"-",VLOOKUP($E448,'Status Thresholds'!$E:$AU,43,FALSE)),"-")</f>
        <v>-</v>
      </c>
    </row>
    <row r="449" spans="1:12" ht="15" customHeight="1" x14ac:dyDescent="0.25">
      <c r="A449" s="35"/>
      <c r="B449" s="64" t="str">
        <f>VLOOKUP(C449,'Status Thresholds'!B:C,2,FALSE)</f>
        <v>MHGen</v>
      </c>
      <c r="C449" s="64" t="str">
        <f>IF('Status Thresholds'!B444=0, "", 'Status Thresholds'!B444)</f>
        <v>Kirin</v>
      </c>
      <c r="D449" s="77" t="s">
        <v>207</v>
      </c>
      <c r="E449" s="36" t="str">
        <f t="shared" si="6"/>
        <v>KirinShock Trap</v>
      </c>
      <c r="F449" s="76" t="s">
        <v>214</v>
      </c>
      <c r="G449" s="46" t="s">
        <v>214</v>
      </c>
      <c r="H449" s="46" t="s">
        <v>214</v>
      </c>
      <c r="I449" s="46" t="s">
        <v>214</v>
      </c>
      <c r="J449" s="46">
        <f>IFERROR(IF(AND($U$5=FALSE,$U$4=FALSE),"-",VLOOKUP($E449,'Status Thresholds'!$E:$AU,43,FALSE)),"-")</f>
        <v>0</v>
      </c>
      <c r="K449" s="46">
        <f>IFERROR(IF(AND($U$5=FALSE,$U$4=FALSE),"-",VLOOKUP($E449,'Status Thresholds'!$E:$AU,41,FALSE)),"-")</f>
        <v>0</v>
      </c>
      <c r="L449" s="46">
        <f>IFERROR(IF(AND($U$5=FALSE,$U$4=FALSE),"-",VLOOKUP($E449,'Status Thresholds'!$E:$AU,42,FALSE)),"-")</f>
        <v>0</v>
      </c>
    </row>
    <row r="450" spans="1:12" x14ac:dyDescent="0.25">
      <c r="A450" s="35"/>
      <c r="B450" s="64" t="str">
        <f>VLOOKUP(C450,'Status Thresholds'!B:C,2,FALSE)</f>
        <v>MHGen</v>
      </c>
      <c r="C450" s="64" t="str">
        <f>IF('Status Thresholds'!B445=0, "", 'Status Thresholds'!B445)</f>
        <v>Kirin</v>
      </c>
      <c r="D450" s="77" t="s">
        <v>213</v>
      </c>
      <c r="E450" s="36" t="str">
        <f t="shared" si="6"/>
        <v>KirinPitfall Trap</v>
      </c>
      <c r="F450" s="46" t="s">
        <v>214</v>
      </c>
      <c r="G450" s="46" t="s">
        <v>214</v>
      </c>
      <c r="H450" s="46" t="s">
        <v>214</v>
      </c>
      <c r="I450" s="46" t="s">
        <v>214</v>
      </c>
      <c r="J450" s="46">
        <f>IFERROR(IF(AND($U$5=FALSE,$U$4=FALSE),"-",VLOOKUP($E450,'Status Thresholds'!$E:$AU,43,FALSE)),"-")</f>
        <v>0</v>
      </c>
      <c r="K450" s="46">
        <f>IFERROR(IF(AND($U$5=FALSE,$U$4=FALSE),"-",VLOOKUP($E450,'Status Thresholds'!$E:$AU,41,FALSE)),"-")</f>
        <v>0</v>
      </c>
      <c r="L450" s="46">
        <f>IFERROR(IF(AND($U$5=FALSE,$U$4=FALSE),"-",VLOOKUP($E450,'Status Thresholds'!$E:$AU,42,FALSE)),"-")</f>
        <v>0</v>
      </c>
    </row>
    <row r="451" spans="1:12" s="36" customFormat="1" x14ac:dyDescent="0.25">
      <c r="A451" s="64"/>
      <c r="B451" s="64" t="str">
        <f>VLOOKUP(C451,'Status Thresholds'!B:C,2,FALSE)</f>
        <v>MHGen</v>
      </c>
      <c r="C451" s="64" t="str">
        <f>IF('Status Thresholds'!B446=0, "", 'Status Thresholds'!B446)</f>
        <v>Kushala Dora</v>
      </c>
      <c r="D451" s="37" t="s">
        <v>0</v>
      </c>
      <c r="E451" s="36" t="str">
        <f t="shared" si="6"/>
        <v>Kushala DoraPara</v>
      </c>
      <c r="F451" s="36" t="str">
        <f>IFERROR(
ROUNDUP(
IF(AND($U$5=FALSE,$U$4=FALSE),"-",IF(AND($U$5=TRUE,$U$4=TRUE),"-",
IF((AND($U$4=TRUE,$U$5=FALSE,$U$6=FALSE,$U$7=FALSE)),VLOOKUP($E451,'Status Thresholds'!$E:$AR,2,FALSE),IF((AND($U$4=TRUE,$U$5=FALSE,$U$6=TRUE,$U$7=FALSE)),VLOOKUP($E451,'Status Thresholds'!$E:$AR,12,FALSE),IF((AND($U$4=TRUE,$U$5=FALSE,$U$6=TRUE,$U$7=TRUE)),VLOOKUP($E451,'Status Thresholds'!$E:$AR,17,FALSE),IF((AND($U$4=TRUE,$U$5=FALSE,$U$6=FALSE,$U$7=TRUE)),VLOOKUP($E451,'Status Thresholds'!$E:$AR,7,FALSE),
IF((AND($U$4=FALSE,$U$5=TRUE,$U$6=FALSE,$U$7=FALSE)),VLOOKUP($E451,'Status Thresholds'!$E:$AR,22,FALSE),IF((AND($U$4=FALSE,$U$5=TRUE,$U$6=TRUE,$U$7=FALSE)),VLOOKUP($E451,'Status Thresholds'!$E:$AR,32,FALSE),IF((AND($U$4=FALSE,$U$5=TRUE,$U$6=TRUE,$U$7=TRUE)),VLOOKUP($E451,'Status Thresholds'!$E:$AR,37,FALSE),IF((AND($U$4=FALSE,$U$5=TRUE,$U$6=FALSE,$U$7=TRUE)),VLOOKUP($E451,'Status Thresholds'!$E:$AR,27,FALSE)))))))))
))/
IF(OR($X$5=TRUE,$AC$3=TRUE
),($F$3/2), IF(OR($X$2,$X$3,$X$4,$X$6,$X$7,$X$8,$Z$2,$Z$3,$Z$4,$Z$5,$Z$6,$Z$7,$Z$8)=TRUE,$F$3)),0),"-")</f>
        <v>-</v>
      </c>
      <c r="G451" s="36" t="str">
        <f>IFERROR(
ROUNDUP(
IF(AND($U$5=FALSE,$U$4=FALSE),"-",IF(AND($U$5=TRUE,$U$4=TRUE),"-",
IF((AND($U$4=TRUE,$U$5=FALSE,$U$6=FALSE,$U$7=FALSE)),VLOOKUP($E451,'Status Thresholds'!$E:$AR,3,FALSE),IF((AND($U$4=TRUE,$U$5=FALSE,$U$6=TRUE,$U$7=FALSE)),VLOOKUP($E451,'Status Thresholds'!$E:$AR,13,FALSE),IF((AND($U$4=TRUE,$U$5=FALSE,$U$6=TRUE,$U$7=TRUE)),VLOOKUP($E451,'Status Thresholds'!$E:$AR,18,FALSE),IF((AND($U$4=TRUE,$U$5=FALSE,$U$6=FALSE,$U$7=TRUE)),VLOOKUP($E451,'Status Thresholds'!$E:$AR,8,FALSE),
IF((AND($U$4=FALSE,$U$5=TRUE,$U$6=FALSE,$U$7=FALSE)),VLOOKUP($E451,'Status Thresholds'!$E:$AR,23,FALSE),IF((AND($U$4=FALSE,$U$5=TRUE,$U$6=TRUE,$U$7=FALSE)),VLOOKUP($E451,'Status Thresholds'!$E:$AR,33,FALSE),IF((AND($U$4=FALSE,$U$5=TRUE,$U$6=TRUE,$U$7=TRUE)),VLOOKUP($E451,'Status Thresholds'!$E:$AR,38,FALSE),IF((AND($U$4=FALSE,$U$5=TRUE,$U$6=FALSE,$U$7=TRUE)),VLOOKUP($E451,'Status Thresholds'!$E:$AR,28,FALSE)))))))))
))/
IF(OR($X$5=TRUE,$AC$3=TRUE
),($F$3/2), IF(OR($X$2,$X$3,$X$4,$X$6,$X$7,$X$8,$Z$2,$Z$3,$Z$4,$Z$5,$Z$6,$Z$7,$Z$8)=TRUE,$F$3)),0),"-")</f>
        <v>-</v>
      </c>
      <c r="H451" s="36" t="str">
        <f>IFERROR(
ROUNDUP(
IF(AND($U$5=FALSE,$U$4=FALSE),"-",IF(AND($U$5=TRUE,$U$4=TRUE),"-",
IF((AND($U$4=TRUE,$U$5=FALSE,$U$6=FALSE,$U$7=FALSE)),VLOOKUP($E451,'Status Thresholds'!$E:$AR,4,FALSE),IF((AND($U$4=TRUE,$U$5=FALSE,$U$6=TRUE,$U$7=FALSE)),VLOOKUP($E451,'Status Thresholds'!$E:$AR,14,FALSE),IF((AND($U$4=TRUE,$U$5=FALSE,$U$6=TRUE,$U$7=TRUE)),VLOOKUP($E451,'Status Thresholds'!$E:$AR,19,FALSE),IF((AND($U$4=TRUE,$U$5=FALSE,$U$6=FALSE,$U$7=TRUE)),VLOOKUP($E451,'Status Thresholds'!$E:$AR,9,FALSE),
IF((AND($U$4=FALSE,$U$5=TRUE,$U$6=FALSE,$U$7=FALSE)),VLOOKUP($E451,'Status Thresholds'!$E:$AR,24,FALSE),IF((AND($U$4=FALSE,$U$5=TRUE,$U$6=TRUE,$U$7=FALSE)),VLOOKUP($E451,'Status Thresholds'!$E:$AR,34,FALSE),IF((AND($U$4=FALSE,$U$5=TRUE,$U$6=TRUE,$U$7=TRUE)),VLOOKUP($E451,'Status Thresholds'!$E:$AR,39,FALSE),IF((AND($U$4=FALSE,$U$5=TRUE,$U$6=FALSE,$U$7=TRUE)),VLOOKUP($E451,'Status Thresholds'!$E:$AR,29,FALSE)))))))))
))/
IF(OR($X$5=TRUE,$AC$3=TRUE
),($F$3/2), IF(OR($X$2,$X$3,$X$4,$X$6,$X$7,$X$8,$Z$2,$Z$3,$Z$4,$Z$5,$Z$6,$Z$7,$Z$8)=TRUE,$F$3)),0),"-")</f>
        <v>-</v>
      </c>
      <c r="I451" s="36" t="str">
        <f>IFERROR(
ROUNDUP(
IF(AND($U$5=FALSE,$U$4=FALSE),"-",IF(AND($U$5=TRUE,$U$4=TRUE),"-",
IF((AND($U$4=TRUE,$U$5=FALSE,$U$6=FALSE,$U$7=FALSE)),VLOOKUP($E451,'Status Thresholds'!$E:$AR,5,FALSE),IF((AND($U$4=TRUE,$U$5=FALSE,$U$6=TRUE,$U$7=FALSE)),VLOOKUP($E451,'Status Thresholds'!$E:$AR,15,FALSE),IF((AND($U$4=TRUE,$U$5=FALSE,$U$6=TRUE,$U$7=TRUE)),VLOOKUP($E451,'Status Thresholds'!$E:$AR,20,FALSE),IF((AND($U$4=TRUE,$U$5=FALSE,$U$6=FALSE,$U$7=TRUE)),VLOOKUP($E451,'Status Thresholds'!$E:$AR,10,FALSE),
IF((AND($U$4=FALSE,$U$5=TRUE,$U$6=FALSE,$U$7=FALSE)),VLOOKUP($E451,'Status Thresholds'!$E:$AR,25,FALSE),IF((AND($U$4=FALSE,$U$5=TRUE,$U$6=TRUE,$U$7=FALSE)),VLOOKUP($E451,'Status Thresholds'!$E:$AR,35,FALSE),IF((AND($U$4=FALSE,$U$5=TRUE,$U$6=TRUE,$U$7=TRUE)),VLOOKUP($E451,'Status Thresholds'!$E:$AR,40,FALSE),IF((AND($U$4=FALSE,$U$5=TRUE,$U$6=FALSE,$U$7=TRUE)),VLOOKUP($E451,'Status Thresholds'!$E:$AR,30,FALSE)))))))))
))/
IF(OR($X$5=TRUE,$AC$3=TRUE
),($F$3/2), IF(OR($X$2,$X$3,$X$4,$X$6,$X$7,$X$8,$Z$2,$Z$3,$Z$4,$Z$5,$Z$6,$Z$7,$Z$8)=TRUE,$F$3)),0),"-")</f>
        <v>-</v>
      </c>
      <c r="J451" s="36">
        <f>IFERROR(IF(AND($U$5=FALSE,$U$4=FALSE),"-",VLOOKUP($E451,'Status Thresholds'!$E:$AU,41,FALSE)),"-")</f>
        <v>10</v>
      </c>
      <c r="K451" s="36" t="str">
        <f>IFERROR(IF(AND($U$5=FALSE,$U$4=FALSE),"-",VLOOKUP($E451,'Status Thresholds'!$E:$AU,42,FALSE)),"-")</f>
        <v>-</v>
      </c>
      <c r="L451" s="36" t="str">
        <f>IFERROR(IF(AND($U$5=FALSE,$U$4=FALSE),"-",VLOOKUP($E451,'Status Thresholds'!$E:$AU,43,FALSE)),"-")</f>
        <v>-</v>
      </c>
    </row>
    <row r="452" spans="1:12" x14ac:dyDescent="0.25">
      <c r="A452" s="35"/>
      <c r="B452" s="64" t="str">
        <f>VLOOKUP(C452,'Status Thresholds'!B:C,2,FALSE)</f>
        <v>MHGen</v>
      </c>
      <c r="C452" s="64" t="str">
        <f>IF('Status Thresholds'!B447=0, "", 'Status Thresholds'!B447)</f>
        <v>Kushala Dora</v>
      </c>
      <c r="D452" s="31" t="s">
        <v>32</v>
      </c>
      <c r="E452" s="36" t="str">
        <f t="shared" si="6"/>
        <v>Kushala DoraSleep</v>
      </c>
      <c r="F452" s="36" t="str">
        <f>IFERROR(
ROUNDUP(
IF(AND($U$5=FALSE,$U$4=FALSE),"-",IF(AND($U$5=TRUE,$U$4=TRUE),"-",
IF((AND($U$4=TRUE,$U$5=FALSE,$U$6=FALSE,$U$7=FALSE)),VLOOKUP($E452,'Status Thresholds'!$E:$AR,2,FALSE),IF((AND($U$4=TRUE,$U$5=FALSE,$U$6=TRUE,$U$7=FALSE)),VLOOKUP($E452,'Status Thresholds'!$E:$AR,12,FALSE),IF((AND($U$4=TRUE,$U$5=FALSE,$U$6=TRUE,$U$7=TRUE)),VLOOKUP($E452,'Status Thresholds'!$E:$AR,17,FALSE),IF((AND($U$4=TRUE,$U$5=FALSE,$U$6=FALSE,$U$7=TRUE)),VLOOKUP($E452,'Status Thresholds'!$E:$AR,7,FALSE),
IF((AND($U$4=FALSE,$U$5=TRUE,$U$6=FALSE,$U$7=FALSE)),VLOOKUP($E452,'Status Thresholds'!$E:$AR,22,FALSE),IF((AND($U$4=FALSE,$U$5=TRUE,$U$6=TRUE,$U$7=FALSE)),VLOOKUP($E452,'Status Thresholds'!$E:$AR,32,FALSE),IF((AND($U$4=FALSE,$U$5=TRUE,$U$6=TRUE,$U$7=TRUE)),VLOOKUP($E452,'Status Thresholds'!$E:$AR,37,FALSE),IF((AND($U$4=FALSE,$U$5=TRUE,$U$6=FALSE,$U$7=TRUE)),VLOOKUP($E452,'Status Thresholds'!$E:$AR,27,FALSE)))))))))
))/
IF(OR($X$5=TRUE,$AC$3=TRUE
),($F$4/2), IF(OR($X$2,$X$3,$X$4,$X$6,$X$7,$X$8,$Z$2,$Z$3,$Z$4,$Z$5,$Z$6,$Z$7,$Z$8)=TRUE,$F$4)),0),"-")</f>
        <v>-</v>
      </c>
      <c r="G452" s="36" t="str">
        <f>IFERROR(
ROUNDUP(
IF(AND($U$5=FALSE,$U$4=FALSE),"-",IF(AND($U$5=TRUE,$U$4=TRUE),"-",
IF((AND($U$4=TRUE,$U$5=FALSE,$U$6=FALSE,$U$7=FALSE)),VLOOKUP($E452,'Status Thresholds'!$E:$AR,3,FALSE),IF((AND($U$4=TRUE,$U$5=FALSE,$U$6=TRUE,$U$7=FALSE)),VLOOKUP($E452,'Status Thresholds'!$E:$AR,13,FALSE),IF((AND($U$4=TRUE,$U$5=FALSE,$U$6=TRUE,$U$7=TRUE)),VLOOKUP($E452,'Status Thresholds'!$E:$AR,18,FALSE),IF((AND($U$4=TRUE,$U$5=FALSE,$U$6=FALSE,$U$7=TRUE)),VLOOKUP($E452,'Status Thresholds'!$E:$AR,8,FALSE),
IF((AND($U$4=FALSE,$U$5=TRUE,$U$6=FALSE,$U$7=FALSE)),VLOOKUP($E452,'Status Thresholds'!$E:$AR,23,FALSE),IF((AND($U$4=FALSE,$U$5=TRUE,$U$6=TRUE,$U$7=FALSE)),VLOOKUP($E452,'Status Thresholds'!$E:$AR,33,FALSE),IF((AND($U$4=FALSE,$U$5=TRUE,$U$6=TRUE,$U$7=TRUE)),VLOOKUP($E452,'Status Thresholds'!$E:$AR,38,FALSE),IF((AND($U$4=FALSE,$U$5=TRUE,$U$6=FALSE,$U$7=TRUE)),VLOOKUP($E452,'Status Thresholds'!$E:$AR,28,FALSE)))))))))
))/
IF(OR($X$5=TRUE,$AC$3=TRUE
),($F$4/2), IF(OR($X$2,$X$3,$X$4,$X$6,$X$7,$X$8,$Z$2,$Z$3,$Z$4,$Z$5,$Z$6,$Z$7,$Z$8)=TRUE,$F$4)),0),"-")</f>
        <v>-</v>
      </c>
      <c r="H452" s="36" t="str">
        <f>IFERROR(
ROUNDUP(
IF(AND($U$5=FALSE,$U$4=FALSE),"-",IF(AND($U$5=TRUE,$U$4=TRUE),"-",
IF((AND($U$4=TRUE,$U$5=FALSE,$U$6=FALSE,$U$7=FALSE)),VLOOKUP($E452,'Status Thresholds'!$E:$AR,4,FALSE),IF((AND($U$4=TRUE,$U$5=FALSE,$U$6=TRUE,$U$7=FALSE)),VLOOKUP($E452,'Status Thresholds'!$E:$AR,14,FALSE),IF((AND($U$4=TRUE,$U$5=FALSE,$U$6=TRUE,$U$7=TRUE)),VLOOKUP($E452,'Status Thresholds'!$E:$AR,19,FALSE),IF((AND($U$4=TRUE,$U$5=FALSE,$U$6=FALSE,$U$7=TRUE)),VLOOKUP($E452,'Status Thresholds'!$E:$AR,9,FALSE),
IF((AND($U$4=FALSE,$U$5=TRUE,$U$6=FALSE,$U$7=FALSE)),VLOOKUP($E452,'Status Thresholds'!$E:$AR,24,FALSE),IF((AND($U$4=FALSE,$U$5=TRUE,$U$6=TRUE,$U$7=FALSE)),VLOOKUP($E452,'Status Thresholds'!$E:$AR,34,FALSE),IF((AND($U$4=FALSE,$U$5=TRUE,$U$6=TRUE,$U$7=TRUE)),VLOOKUP($E452,'Status Thresholds'!$E:$AR,39,FALSE),IF((AND($U$4=FALSE,$U$5=TRUE,$U$6=FALSE,$U$7=TRUE)),VLOOKUP($E452,'Status Thresholds'!$E:$AR,29,FALSE)))))))))
))/
IF(OR($X$5=TRUE,$AC$3=TRUE
),($F$4/2), IF(OR($X$2,$X$3,$X$4,$X$6,$X$7,$X$8,$Z$2,$Z$3,$Z$4,$Z$5,$Z$6,$Z$7,$Z$8)=TRUE,$F$4)),0),"-")</f>
        <v>-</v>
      </c>
      <c r="I452" s="36" t="str">
        <f>IFERROR(
ROUNDUP(
IF(AND($U$5=FALSE,$U$4=FALSE),"-",IF(AND($U$5=TRUE,$U$4=TRUE),"-",
IF((AND($U$4=TRUE,$U$5=FALSE,$U$6=FALSE,$U$7=FALSE)),VLOOKUP($E452,'Status Thresholds'!$E:$AR,5,FALSE),IF((AND($U$4=TRUE,$U$5=FALSE,$U$6=TRUE,$U$7=FALSE)),VLOOKUP($E452,'Status Thresholds'!$E:$AR,15,FALSE),IF((AND($U$4=TRUE,$U$5=FALSE,$U$6=TRUE,$U$7=TRUE)),VLOOKUP($E452,'Status Thresholds'!$E:$AR,20,FALSE),IF((AND($U$4=TRUE,$U$5=FALSE,$U$6=FALSE,$U$7=TRUE)),VLOOKUP($E452,'Status Thresholds'!$E:$AR,10,FALSE),
IF((AND($U$4=FALSE,$U$5=TRUE,$U$6=FALSE,$U$7=FALSE)),VLOOKUP($E452,'Status Thresholds'!$E:$AR,25,FALSE),IF((AND($U$4=FALSE,$U$5=TRUE,$U$6=TRUE,$U$7=FALSE)),VLOOKUP($E452,'Status Thresholds'!$E:$AR,35,FALSE),IF((AND($U$4=FALSE,$U$5=TRUE,$U$6=TRUE,$U$7=TRUE)),VLOOKUP($E452,'Status Thresholds'!$E:$AR,40,FALSE),IF((AND($U$4=FALSE,$U$5=TRUE,$U$6=FALSE,$U$7=TRUE)),VLOOKUP($E452,'Status Thresholds'!$E:$AR,30,FALSE)))))))))
))/
IF(OR($X$5=TRUE,$AC$3=TRUE
),($F$4/2), IF(OR($X$2,$X$3,$X$4,$X$6,$X$7,$X$8,$Z$2,$Z$3,$Z$4,$Z$5,$Z$6,$Z$7,$Z$8)=TRUE,$F$4)),0),"-")</f>
        <v>-</v>
      </c>
      <c r="J452" s="46">
        <f>IFERROR(IF(AND($U$5=FALSE,$U$4=FALSE),"-",VLOOKUP($E452,'Status Thresholds'!$E:$AU,41,FALSE)),"-")</f>
        <v>40</v>
      </c>
      <c r="K452" s="46" t="str">
        <f>IFERROR(IF(AND($U$5=FALSE,$U$4=FALSE),"-",VLOOKUP($E452,'Status Thresholds'!$E:$AU,42,FALSE)),"-")</f>
        <v>-</v>
      </c>
      <c r="L452" s="46" t="str">
        <f>IFERROR(IF(AND($U$5=FALSE,$U$4=FALSE),"-",VLOOKUP($E452,'Status Thresholds'!$E:$AU,43,FALSE)),"-")</f>
        <v>-</v>
      </c>
    </row>
    <row r="453" spans="1:12" x14ac:dyDescent="0.25">
      <c r="A453" s="35"/>
      <c r="B453" s="64" t="str">
        <f>VLOOKUP(C453,'Status Thresholds'!B:C,2,FALSE)</f>
        <v>MHGen</v>
      </c>
      <c r="C453" s="64" t="str">
        <f>IF('Status Thresholds'!B448=0, "", 'Status Thresholds'!B448)</f>
        <v>Kushala Dora</v>
      </c>
      <c r="D453" s="32" t="s">
        <v>33</v>
      </c>
      <c r="E453" s="36" t="str">
        <f t="shared" si="6"/>
        <v>Kushala DoraPoison</v>
      </c>
      <c r="F453" s="36" t="str">
        <f>IFERROR(
ROUNDUP(
IF(AND($U$5=FALSE,$U$4=FALSE),"-",IF(AND($U$5=TRUE,$U$4=TRUE),"-",
IF((AND($U$4=TRUE,$U$5=FALSE,$U$6=FALSE,$U$7=FALSE)),VLOOKUP($E453,'Status Thresholds'!$E:$AR,2,FALSE),IF((AND($U$4=TRUE,$U$5=FALSE,$U$6=TRUE,$U$7=FALSE)),VLOOKUP($E453,'Status Thresholds'!$E:$AR,12,FALSE),IF((AND($U$4=TRUE,$U$5=FALSE,$U$6=TRUE,$U$7=TRUE)),VLOOKUP($E453,'Status Thresholds'!$E:$AR,17,FALSE),IF((AND($U$4=TRUE,$U$5=FALSE,$U$6=FALSE,$U$7=TRUE)),VLOOKUP($E453,'Status Thresholds'!$E:$AR,7,FALSE),
IF((AND($U$4=FALSE,$U$5=TRUE,$U$6=FALSE,$U$7=FALSE)),VLOOKUP($E453,'Status Thresholds'!$E:$AR,22,FALSE),IF((AND($U$4=FALSE,$U$5=TRUE,$U$6=TRUE,$U$7=FALSE)),VLOOKUP($E453,'Status Thresholds'!$E:$AR,32,FALSE),IF((AND($U$4=FALSE,$U$5=TRUE,$U$6=TRUE,$U$7=TRUE)),VLOOKUP($E453,'Status Thresholds'!$E:$AR,37,FALSE),IF((AND($U$4=FALSE,$U$5=TRUE,$U$6=FALSE,$U$7=TRUE)),VLOOKUP($E453,'Status Thresholds'!$E:$AR,27,FALSE)))))))))
))/
IF(OR($X$5=TRUE,$AC$3=TRUE
),($F$5/2), IF(OR($X$2,$X$3,$X$4,$X$6,$X$7,$X$8,$Z$2,$Z$3,$Z$4,$Z$5,$Z$6,$Z$7,$Z$8)=TRUE,$F$5)),0),"-")</f>
        <v>-</v>
      </c>
      <c r="G453" s="36" t="str">
        <f>IFERROR(
ROUNDUP(
IF(AND($U$5=FALSE,$U$4=FALSE),"-",IF(AND($U$5=TRUE,$U$4=TRUE),"-",
IF((AND($U$4=TRUE,$U$5=FALSE,$U$6=FALSE,$U$7=FALSE)),VLOOKUP($E453,'Status Thresholds'!$E:$AR,3,FALSE),IF((AND($U$4=TRUE,$U$5=FALSE,$U$6=TRUE,$U$7=FALSE)),VLOOKUP($E453,'Status Thresholds'!$E:$AR,13,FALSE),IF((AND($U$4=TRUE,$U$5=FALSE,$U$6=TRUE,$U$7=TRUE)),VLOOKUP($E453,'Status Thresholds'!$E:$AR,18,FALSE),IF((AND($U$4=TRUE,$U$5=FALSE,$U$6=FALSE,$U$7=TRUE)),VLOOKUP($E453,'Status Thresholds'!$E:$AR,8,FALSE),
IF((AND($U$4=FALSE,$U$5=TRUE,$U$6=FALSE,$U$7=FALSE)),VLOOKUP($E453,'Status Thresholds'!$E:$AR,23,FALSE),IF((AND($U$4=FALSE,$U$5=TRUE,$U$6=TRUE,$U$7=FALSE)),VLOOKUP($E453,'Status Thresholds'!$E:$AR,33,FALSE),IF((AND($U$4=FALSE,$U$5=TRUE,$U$6=TRUE,$U$7=TRUE)),VLOOKUP($E453,'Status Thresholds'!$E:$AR,38,FALSE),IF((AND($U$4=FALSE,$U$5=TRUE,$U$6=FALSE,$U$7=TRUE)),VLOOKUP($E453,'Status Thresholds'!$E:$AR,28,FALSE)))))))))
))/
IF(OR($X$5=TRUE,$AC$3=TRUE
),($F$5/2), IF(OR($X$2,$X$3,$X$4,$X$6,$X$7,$X$8,$Z$2,$Z$3,$Z$4,$Z$5,$Z$6,$Z$7,$Z$8)=TRUE,$F$5)),0),"-")</f>
        <v>-</v>
      </c>
      <c r="H453" s="36" t="str">
        <f>IFERROR(
ROUNDUP(
IF(AND($U$5=FALSE,$U$4=FALSE),"-",IF(AND($U$5=TRUE,$U$4=TRUE),"-",
IF((AND($U$4=TRUE,$U$5=FALSE,$U$6=FALSE,$U$7=FALSE)),VLOOKUP($E453,'Status Thresholds'!$E:$AR,4,FALSE),IF((AND($U$4=TRUE,$U$5=FALSE,$U$6=TRUE,$U$7=FALSE)),VLOOKUP($E453,'Status Thresholds'!$E:$AR,14,FALSE),IF((AND($U$4=TRUE,$U$5=FALSE,$U$6=TRUE,$U$7=TRUE)),VLOOKUP($E453,'Status Thresholds'!$E:$AR,19,FALSE),IF((AND($U$4=TRUE,$U$5=FALSE,$U$6=FALSE,$U$7=TRUE)),VLOOKUP($E453,'Status Thresholds'!$E:$AR,9,FALSE),
IF((AND($U$4=FALSE,$U$5=TRUE,$U$6=FALSE,$U$7=FALSE)),VLOOKUP($E453,'Status Thresholds'!$E:$AR,24,FALSE),IF((AND($U$4=FALSE,$U$5=TRUE,$U$6=TRUE,$U$7=FALSE)),VLOOKUP($E453,'Status Thresholds'!$E:$AR,34,FALSE),IF((AND($U$4=FALSE,$U$5=TRUE,$U$6=TRUE,$U$7=TRUE)),VLOOKUP($E453,'Status Thresholds'!$E:$AR,39,FALSE),IF((AND($U$4=FALSE,$U$5=TRUE,$U$6=FALSE,$U$7=TRUE)),VLOOKUP($E453,'Status Thresholds'!$E:$AR,29,FALSE)))))))))
))/
IF(OR($X$5=TRUE,$AC$3=TRUE
),($F$5/2), IF(OR($X$2,$X$3,$X$4,$X$6,$X$7,$X$8,$Z$2,$Z$3,$Z$4,$Z$5,$Z$6,$Z$7,$Z$8)=TRUE,$F$5)),0),"-")</f>
        <v>-</v>
      </c>
      <c r="I453" s="36" t="str">
        <f>IFERROR(
ROUNDUP(
IF(AND($U$5=FALSE,$U$4=FALSE),"-",IF(AND($U$5=TRUE,$U$4=TRUE),"-",
IF((AND($U$4=TRUE,$U$5=FALSE,$U$6=FALSE,$U$7=FALSE)),VLOOKUP($E453,'Status Thresholds'!$E:$AR,5,FALSE),IF((AND($U$4=TRUE,$U$5=FALSE,$U$6=TRUE,$U$7=FALSE)),VLOOKUP($E453,'Status Thresholds'!$E:$AR,15,FALSE),IF((AND($U$4=TRUE,$U$5=FALSE,$U$6=TRUE,$U$7=TRUE)),VLOOKUP($E453,'Status Thresholds'!$E:$AR,20,FALSE),IF((AND($U$4=TRUE,$U$5=FALSE,$U$6=FALSE,$U$7=TRUE)),VLOOKUP($E453,'Status Thresholds'!$E:$AR,10,FALSE),
IF((AND($U$4=FALSE,$U$5=TRUE,$U$6=FALSE,$U$7=FALSE)),VLOOKUP($E453,'Status Thresholds'!$E:$AR,25,FALSE),IF((AND($U$4=FALSE,$U$5=TRUE,$U$6=TRUE,$U$7=FALSE)),VLOOKUP($E453,'Status Thresholds'!$E:$AR,35,FALSE),IF((AND($U$4=FALSE,$U$5=TRUE,$U$6=TRUE,$U$7=TRUE)),VLOOKUP($E453,'Status Thresholds'!$E:$AR,40,FALSE),IF((AND($U$4=FALSE,$U$5=TRUE,$U$6=FALSE,$U$7=TRUE)),VLOOKUP($E453,'Status Thresholds'!$E:$AR,30,FALSE)))))))))
))/
IF(OR($X$5=TRUE,$AC$3=TRUE
),($F$5/2), IF(OR($X$2,$X$3,$X$4,$X$6,$X$7,$X$8,$Z$2,$Z$3,$Z$4,$Z$5,$Z$6,$Z$7,$Z$8)=TRUE,$F$5)),0),"-")</f>
        <v>-</v>
      </c>
      <c r="J453" s="46">
        <f>IFERROR(IF(AND($U$5=FALSE,$U$4=FALSE),"-",VLOOKUP($E453,'Status Thresholds'!$E:$AU,41,FALSE)),"-")</f>
        <v>120</v>
      </c>
      <c r="K453" s="46" t="str">
        <f>IFERROR(IF(AND($U$5=FALSE,$U$4=FALSE),"-",VLOOKUP($E453,'Status Thresholds'!$E:$AU,42,FALSE)),"-")</f>
        <v>-</v>
      </c>
      <c r="L453" s="46" t="str">
        <f>IFERROR(IF(AND($U$5=FALSE,$U$4=FALSE),"-",VLOOKUP($E453,'Status Thresholds'!$E:$AU,43,FALSE)),"-")</f>
        <v>-</v>
      </c>
    </row>
    <row r="454" spans="1:12" x14ac:dyDescent="0.25">
      <c r="A454" s="35"/>
      <c r="B454" s="64" t="str">
        <f>VLOOKUP(C454,'Status Thresholds'!B:C,2,FALSE)</f>
        <v>MHGen</v>
      </c>
      <c r="C454" s="64" t="str">
        <f>IF('Status Thresholds'!B449=0, "", 'Status Thresholds'!B449)</f>
        <v>Kushala Dora</v>
      </c>
      <c r="D454" s="10" t="s">
        <v>22</v>
      </c>
      <c r="E454" s="36" t="str">
        <f t="shared" si="6"/>
        <v>Kushala DoraExhaust</v>
      </c>
      <c r="F454" s="36" t="str">
        <f>IFERROR(
ROUNDUP(
IF(AND($U$5=FALSE,$U$4=FALSE),"-",IF(AND($U$5=TRUE,$U$4=TRUE),"-",
IF((AND($U$4=TRUE,$U$5=FALSE,$U$6=FALSE,$U$7=FALSE)),VLOOKUP($E454,'Status Thresholds'!$E:$AR,2,FALSE),IF((AND($U$4=TRUE,$U$5=FALSE,$U$6=TRUE,$U$7=FALSE)),VLOOKUP($E454,'Status Thresholds'!$E:$AR,12,FALSE),IF((AND($U$4=TRUE,$U$5=FALSE,$U$6=TRUE,$U$7=TRUE)),VLOOKUP($E454,'Status Thresholds'!$E:$AR,17,FALSE),IF((AND($U$4=TRUE,$U$5=FALSE,$U$6=FALSE,$U$7=TRUE)),VLOOKUP($E454,'Status Thresholds'!$E:$AR,7,FALSE),
IF((AND($U$4=FALSE,$U$5=TRUE,$U$6=FALSE,$U$7=FALSE)),VLOOKUP($E454,'Status Thresholds'!$E:$AR,22,FALSE),IF((AND($U$4=FALSE,$U$5=TRUE,$U$6=TRUE,$U$7=FALSE)),VLOOKUP($E454,'Status Thresholds'!$E:$AR,32,FALSE),IF((AND($U$4=FALSE,$U$5=TRUE,$U$6=TRUE,$U$7=TRUE)),VLOOKUP($E454,'Status Thresholds'!$E:$AR,37,FALSE),IF((AND($U$4=FALSE,$U$5=TRUE,$U$6=FALSE,$U$7=TRUE)),VLOOKUP($E454,'Status Thresholds'!$E:$AR,27,FALSE)))))))))
))/
IF(OR($X$5=TRUE,$AC$3=TRUE
),($F$6/2), IF(OR($X$2,$X$3,$X$4,$X$6,$X$7,$X$8,$Z$2,$Z$3,$Z$4,$Z$5,$Z$6,$Z$7,$Z$8)=TRUE,$F$6)),0),"-")</f>
        <v>-</v>
      </c>
      <c r="G454" s="36" t="str">
        <f>IFERROR(
ROUNDUP(
IF(AND($U$5=FALSE,$U$4=FALSE),"-",IF(AND($U$5=TRUE,$U$4=TRUE),"-",
IF((AND($U$4=TRUE,$U$5=FALSE,$U$6=FALSE,$U$7=FALSE)),VLOOKUP($E454,'Status Thresholds'!$E:$AR,3,FALSE),IF((AND($U$4=TRUE,$U$5=FALSE,$U$6=TRUE,$U$7=FALSE)),VLOOKUP($E454,'Status Thresholds'!$E:$AR,13,FALSE),IF((AND($U$4=TRUE,$U$5=FALSE,$U$6=TRUE,$U$7=TRUE)),VLOOKUP($E454,'Status Thresholds'!$E:$AR,18,FALSE),IF((AND($U$4=TRUE,$U$5=FALSE,$U$6=FALSE,$U$7=TRUE)),VLOOKUP($E454,'Status Thresholds'!$E:$AR,8,FALSE),
IF((AND($U$4=FALSE,$U$5=TRUE,$U$6=FALSE,$U$7=FALSE)),VLOOKUP($E454,'Status Thresholds'!$E:$AR,23,FALSE),IF((AND($U$4=FALSE,$U$5=TRUE,$U$6=TRUE,$U$7=FALSE)),VLOOKUP($E454,'Status Thresholds'!$E:$AR,33,FALSE),IF((AND($U$4=FALSE,$U$5=TRUE,$U$6=TRUE,$U$7=TRUE)),VLOOKUP($E454,'Status Thresholds'!$E:$AR,38,FALSE),IF((AND($U$4=FALSE,$U$5=TRUE,$U$6=FALSE,$U$7=TRUE)),VLOOKUP($E454,'Status Thresholds'!$E:$AR,28,FALSE)))))))))
))/
IF(OR($X$5=TRUE,$AC$3=TRUE
),($F$6/2), IF(OR($X$2,$X$3,$X$4,$X$6,$X$7,$X$8,$Z$2,$Z$3,$Z$4,$Z$5,$Z$6,$Z$7,$Z$8)=TRUE,$F$6)),0),"-")</f>
        <v>-</v>
      </c>
      <c r="H454" s="36" t="str">
        <f>IFERROR(
ROUNDUP(
IF(AND($U$5=FALSE,$U$4=FALSE),"-",IF(AND($U$5=TRUE,$U$4=TRUE),"-",
IF((AND($U$4=TRUE,$U$5=FALSE,$U$6=FALSE,$U$7=FALSE)),VLOOKUP($E454,'Status Thresholds'!$E:$AR,4,FALSE),IF((AND($U$4=TRUE,$U$5=FALSE,$U$6=TRUE,$U$7=FALSE)),VLOOKUP($E454,'Status Thresholds'!$E:$AR,14,FALSE),IF((AND($U$4=TRUE,$U$5=FALSE,$U$6=TRUE,$U$7=TRUE)),VLOOKUP($E454,'Status Thresholds'!$E:$AR,19,FALSE),IF((AND($U$4=TRUE,$U$5=FALSE,$U$6=FALSE,$U$7=TRUE)),VLOOKUP($E454,'Status Thresholds'!$E:$AR,9,FALSE),
IF((AND($U$4=FALSE,$U$5=TRUE,$U$6=FALSE,$U$7=FALSE)),VLOOKUP($E454,'Status Thresholds'!$E:$AR,24,FALSE),IF((AND($U$4=FALSE,$U$5=TRUE,$U$6=TRUE,$U$7=FALSE)),VLOOKUP($E454,'Status Thresholds'!$E:$AR,34,FALSE),IF((AND($U$4=FALSE,$U$5=TRUE,$U$6=TRUE,$U$7=TRUE)),VLOOKUP($E454,'Status Thresholds'!$E:$AR,39,FALSE),IF((AND($U$4=FALSE,$U$5=TRUE,$U$6=FALSE,$U$7=TRUE)),VLOOKUP($E454,'Status Thresholds'!$E:$AR,29,FALSE)))))))))
))/
IF(OR($X$5=TRUE,$AC$3=TRUE
),($F$6/2), IF(OR($X$2,$X$3,$X$4,$X$6,$X$7,$X$8,$Z$2,$Z$3,$Z$4,$Z$5,$Z$6,$Z$7,$Z$8)=TRUE,$F$6)),0),"-")</f>
        <v>-</v>
      </c>
      <c r="I454" s="36" t="str">
        <f>IFERROR(
ROUNDUP(
IF(AND($U$5=FALSE,$U$4=FALSE),"-",IF(AND($U$5=TRUE,$U$4=TRUE),"-",
IF((AND($U$4=TRUE,$U$5=FALSE,$U$6=FALSE,$U$7=FALSE)),VLOOKUP($E454,'Status Thresholds'!$E:$AR,5,FALSE),IF((AND($U$4=TRUE,$U$5=FALSE,$U$6=TRUE,$U$7=FALSE)),VLOOKUP($E454,'Status Thresholds'!$E:$AR,15,FALSE),IF((AND($U$4=TRUE,$U$5=FALSE,$U$6=TRUE,$U$7=TRUE)),VLOOKUP($E454,'Status Thresholds'!$E:$AR,20,FALSE),IF((AND($U$4=TRUE,$U$5=FALSE,$U$6=FALSE,$U$7=TRUE)),VLOOKUP($E454,'Status Thresholds'!$E:$AR,10,FALSE),
IF((AND($U$4=FALSE,$U$5=TRUE,$U$6=FALSE,$U$7=FALSE)),VLOOKUP($E454,'Status Thresholds'!$E:$AR,25,FALSE),IF((AND($U$4=FALSE,$U$5=TRUE,$U$6=TRUE,$U$7=FALSE)),VLOOKUP($E454,'Status Thresholds'!$E:$AR,35,FALSE),IF((AND($U$4=FALSE,$U$5=TRUE,$U$6=TRUE,$U$7=TRUE)),VLOOKUP($E454,'Status Thresholds'!$E:$AR,40,FALSE),IF((AND($U$4=FALSE,$U$5=TRUE,$U$6=FALSE,$U$7=TRUE)),VLOOKUP($E454,'Status Thresholds'!$E:$AR,30,FALSE)))))))))
))/
IF(OR($X$5=TRUE,$AC$3=TRUE
),($F$6/2), IF(OR($X$2,$X$3,$X$4,$X$6,$X$7,$X$8,$Z$2,$Z$3,$Z$4,$Z$5,$Z$6,$Z$7,$Z$8)=TRUE,$F$6)),0),"-")</f>
        <v>-</v>
      </c>
      <c r="J454" s="46">
        <f>IFERROR(IF(AND($U$5=FALSE,$U$4=FALSE),"-",VLOOKUP($E454,'Status Thresholds'!$E:$AU,41,FALSE)),"-")</f>
        <v>0</v>
      </c>
      <c r="K454" s="46" t="str">
        <f>IFERROR(IF(AND($U$5=FALSE,$U$4=FALSE),"-",VLOOKUP($E454,'Status Thresholds'!$E:$AU,42,FALSE)),"-")</f>
        <v>-</v>
      </c>
      <c r="L454" s="46" t="str">
        <f>IFERROR(IF(AND($U$5=FALSE,$U$4=FALSE),"-",VLOOKUP($E454,'Status Thresholds'!$E:$AU,43,FALSE)),"-")</f>
        <v>-</v>
      </c>
    </row>
    <row r="455" spans="1:12" x14ac:dyDescent="0.25">
      <c r="A455" s="35"/>
      <c r="B455" s="64" t="str">
        <f>VLOOKUP(C455,'Status Thresholds'!B:C,2,FALSE)</f>
        <v>MHGen</v>
      </c>
      <c r="C455" s="64" t="str">
        <f>IF('Status Thresholds'!B450=0, "", 'Status Thresholds'!B450)</f>
        <v>Kushala Dora</v>
      </c>
      <c r="D455" s="30" t="s">
        <v>35</v>
      </c>
      <c r="E455" s="36" t="str">
        <f t="shared" si="6"/>
        <v>Kushala DoraBlast</v>
      </c>
      <c r="F455" s="36" t="str">
        <f>IFERROR(
ROUNDUP(
IF(AND($U$5=FALSE,$U$4=FALSE),"-",IF(AND($U$5=TRUE,$U$4=TRUE),"-",
IF((AND($U$4=TRUE,$U$5=FALSE,$U$6=FALSE,$U$7=FALSE)),VLOOKUP($E455,'Status Thresholds'!$E:$AR,2,FALSE),IF((AND($U$4=TRUE,$U$5=FALSE,$U$6=TRUE,$U$7=FALSE)),VLOOKUP($E455,'Status Thresholds'!$E:$AR,12,FALSE),IF((AND($U$4=TRUE,$U$5=FALSE,$U$6=TRUE,$U$7=TRUE)),VLOOKUP($E455,'Status Thresholds'!$E:$AR,17,FALSE),IF((AND($U$4=TRUE,$U$5=FALSE,$U$6=FALSE,$U$7=TRUE)),VLOOKUP($E455,'Status Thresholds'!$E:$AR,7,FALSE),
IF((AND($U$4=FALSE,$U$5=TRUE,$U$6=FALSE,$U$7=FALSE)),VLOOKUP($E455,'Status Thresholds'!$E:$AR,22,FALSE),IF((AND($U$4=FALSE,$U$5=TRUE,$U$6=TRUE,$U$7=FALSE)),VLOOKUP($E455,'Status Thresholds'!$E:$AR,32,FALSE),IF((AND($U$4=FALSE,$U$5=TRUE,$U$6=TRUE,$U$7=TRUE)),VLOOKUP($E455,'Status Thresholds'!$E:$AR,37,FALSE),IF((AND($U$4=FALSE,$U$5=TRUE,$U$6=FALSE,$U$7=TRUE)),VLOOKUP($E455,'Status Thresholds'!$E:$AR,27,FALSE)))))))))
))/
IF(OR($X$5=TRUE,$AC$3=TRUE
),($F$7/2), IF(OR($X$2,$X$3,$X$4,$X$6,$X$7,$X$8,$Z$2,$Z$3,$Z$4,$Z$5,$Z$6,$Z$7,$Z$8)=TRUE,$F$7)),0),"-")</f>
        <v>-</v>
      </c>
      <c r="G455" s="36" t="str">
        <f>IFERROR(
ROUNDUP(
IF(AND($U$5=FALSE,$U$4=FALSE),"-",IF(AND($U$5=TRUE,$U$4=TRUE),"-",
IF((AND($U$4=TRUE,$U$5=FALSE,$U$6=FALSE,$U$7=FALSE)),VLOOKUP($E455,'Status Thresholds'!$E:$AR,3,FALSE),IF((AND($U$4=TRUE,$U$5=FALSE,$U$6=TRUE,$U$7=FALSE)),VLOOKUP($E455,'Status Thresholds'!$E:$AR,13,FALSE),IF((AND($U$4=TRUE,$U$5=FALSE,$U$6=TRUE,$U$7=TRUE)),VLOOKUP($E455,'Status Thresholds'!$E:$AR,18,FALSE),IF((AND($U$4=TRUE,$U$5=FALSE,$U$6=FALSE,$U$7=TRUE)),VLOOKUP($E455,'Status Thresholds'!$E:$AR,8,FALSE),
IF((AND($U$4=FALSE,$U$5=TRUE,$U$6=FALSE,$U$7=FALSE)),VLOOKUP($E455,'Status Thresholds'!$E:$AR,23,FALSE),IF((AND($U$4=FALSE,$U$5=TRUE,$U$6=TRUE,$U$7=FALSE)),VLOOKUP($E455,'Status Thresholds'!$E:$AR,33,FALSE),IF((AND($U$4=FALSE,$U$5=TRUE,$U$6=TRUE,$U$7=TRUE)),VLOOKUP($E455,'Status Thresholds'!$E:$AR,38,FALSE),IF((AND($U$4=FALSE,$U$5=TRUE,$U$6=FALSE,$U$7=TRUE)),VLOOKUP($E455,'Status Thresholds'!$E:$AR,28,FALSE)))))))))
))/
IF(OR($X$5=TRUE,$AC$3=TRUE
),($F$7/2), IF(OR($X$2,$X$3,$X$4,$X$6,$X$7,$X$8,$Z$2,$Z$3,$Z$4,$Z$5,$Z$6,$Z$7,$Z$8)=TRUE,$F$7)),0),"-")</f>
        <v>-</v>
      </c>
      <c r="H455" s="36" t="str">
        <f>IFERROR(
ROUNDUP(
IF(AND($U$5=FALSE,$U$4=FALSE),"-",IF(AND($U$5=TRUE,$U$4=TRUE),"-",
IF((AND($U$4=TRUE,$U$5=FALSE,$U$6=FALSE,$U$7=FALSE)),VLOOKUP($E455,'Status Thresholds'!$E:$AR,4,FALSE),IF((AND($U$4=TRUE,$U$5=FALSE,$U$6=TRUE,$U$7=FALSE)),VLOOKUP($E455,'Status Thresholds'!$E:$AR,14,FALSE),IF((AND($U$4=TRUE,$U$5=FALSE,$U$6=TRUE,$U$7=TRUE)),VLOOKUP($E455,'Status Thresholds'!$E:$AR,19,FALSE),IF((AND($U$4=TRUE,$U$5=FALSE,$U$6=FALSE,$U$7=TRUE)),VLOOKUP($E455,'Status Thresholds'!$E:$AR,9,FALSE),
IF((AND($U$4=FALSE,$U$5=TRUE,$U$6=FALSE,$U$7=FALSE)),VLOOKUP($E455,'Status Thresholds'!$E:$AR,24,FALSE),IF((AND($U$4=FALSE,$U$5=TRUE,$U$6=TRUE,$U$7=FALSE)),VLOOKUP($E455,'Status Thresholds'!$E:$AR,34,FALSE),IF((AND($U$4=FALSE,$U$5=TRUE,$U$6=TRUE,$U$7=TRUE)),VLOOKUP($E455,'Status Thresholds'!$E:$AR,39,FALSE),IF((AND($U$4=FALSE,$U$5=TRUE,$U$6=FALSE,$U$7=TRUE)),VLOOKUP($E455,'Status Thresholds'!$E:$AR,29,FALSE)))))))))
))/
IF(OR($X$5=TRUE,$AC$3=TRUE
),($F$7/2), IF(OR($X$2,$X$3,$X$4,$X$6,$X$7,$X$8,$Z$2,$Z$3,$Z$4,$Z$5,$Z$6,$Z$7,$Z$8)=TRUE,$F$7)),0),"-")</f>
        <v>-</v>
      </c>
      <c r="I455" s="36" t="str">
        <f>IFERROR(
ROUNDUP(
IF(AND($U$5=FALSE,$U$4=FALSE),"-",IF(AND($U$5=TRUE,$U$4=TRUE),"-",
IF((AND($U$4=TRUE,$U$5=FALSE,$U$6=FALSE,$U$7=FALSE)),VLOOKUP($E455,'Status Thresholds'!$E:$AR,5,FALSE),IF((AND($U$4=TRUE,$U$5=FALSE,$U$6=TRUE,$U$7=FALSE)),VLOOKUP($E455,'Status Thresholds'!$E:$AR,15,FALSE),IF((AND($U$4=TRUE,$U$5=FALSE,$U$6=TRUE,$U$7=TRUE)),VLOOKUP($E455,'Status Thresholds'!$E:$AR,20,FALSE),IF((AND($U$4=TRUE,$U$5=FALSE,$U$6=FALSE,$U$7=TRUE)),VLOOKUP($E455,'Status Thresholds'!$E:$AR,10,FALSE),
IF((AND($U$4=FALSE,$U$5=TRUE,$U$6=FALSE,$U$7=FALSE)),VLOOKUP($E455,'Status Thresholds'!$E:$AR,25,FALSE),IF((AND($U$4=FALSE,$U$5=TRUE,$U$6=TRUE,$U$7=FALSE)),VLOOKUP($E455,'Status Thresholds'!$E:$AR,35,FALSE),IF((AND($U$4=FALSE,$U$5=TRUE,$U$6=TRUE,$U$7=TRUE)),VLOOKUP($E455,'Status Thresholds'!$E:$AR,40,FALSE),IF((AND($U$4=FALSE,$U$5=TRUE,$U$6=FALSE,$U$7=TRUE)),VLOOKUP($E455,'Status Thresholds'!$E:$AR,30,FALSE)))))))))
))/
IF(OR($X$5=TRUE,$AC$3=TRUE
),($F$7/2), IF(OR($X$2,$X$3,$X$4,$X$6,$X$7,$X$8,$Z$2,$Z$3,$Z$4,$Z$5,$Z$6,$Z$7,$Z$8)=TRUE,$F$7)),0),"-")</f>
        <v>-</v>
      </c>
      <c r="J455" s="46">
        <f>IFERROR(IF(AND($U$5=FALSE,$U$4=FALSE),"-",VLOOKUP($E455,'Status Thresholds'!$E:$AU,41,FALSE)),"-")</f>
        <v>0</v>
      </c>
      <c r="K455" s="46" t="str">
        <f>IFERROR(IF(AND($U$5=FALSE,$U$4=FALSE),"-",VLOOKUP($E455,'Status Thresholds'!$E:$AU,42,FALSE)),"-")</f>
        <v>-</v>
      </c>
      <c r="L455" s="46" t="str">
        <f>IFERROR(IF(AND($U$5=FALSE,$U$4=FALSE),"-",VLOOKUP($E455,'Status Thresholds'!$E:$AU,43,FALSE)),"-")</f>
        <v>-</v>
      </c>
    </row>
    <row r="456" spans="1:12" ht="14.45" customHeight="1" x14ac:dyDescent="0.25">
      <c r="A456" s="35"/>
      <c r="B456" s="64" t="str">
        <f>VLOOKUP(C456,'Status Thresholds'!B:C,2,FALSE)</f>
        <v>MHGen</v>
      </c>
      <c r="C456" s="64" t="str">
        <f>IF('Status Thresholds'!B451=0, "", 'Status Thresholds'!B451)</f>
        <v>Kushala Dora</v>
      </c>
      <c r="D456" s="34" t="s">
        <v>14</v>
      </c>
      <c r="E456" s="36" t="str">
        <f t="shared" si="6"/>
        <v>Kushala DoraKO</v>
      </c>
      <c r="F456" s="36" t="s">
        <v>214</v>
      </c>
      <c r="G456" s="36" t="s">
        <v>214</v>
      </c>
      <c r="H456" s="36" t="s">
        <v>214</v>
      </c>
      <c r="I456" s="36" t="s">
        <v>214</v>
      </c>
      <c r="J456" s="46">
        <f>IFERROR(IF(AND($U$5=FALSE,$U$4=FALSE),"-",VLOOKUP($E456,'Status Thresholds'!$E:$AU,41,FALSE)),"-")</f>
        <v>10</v>
      </c>
      <c r="K456" s="46" t="str">
        <f>IFERROR(IF(AND($U$5=FALSE,$U$4=FALSE),"-",VLOOKUP($E456,'Status Thresholds'!$E:$AU,42,FALSE)),"-")</f>
        <v>-</v>
      </c>
      <c r="L456" s="46" t="str">
        <f>IFERROR(IF(AND($U$5=FALSE,$U$4=FALSE),"-",VLOOKUP($E456,'Status Thresholds'!$E:$AU,43,FALSE)),"-")</f>
        <v>-</v>
      </c>
    </row>
    <row r="457" spans="1:12" x14ac:dyDescent="0.25">
      <c r="A457" s="35"/>
      <c r="B457" s="64" t="str">
        <f>VLOOKUP(C457,'Status Thresholds'!B:C,2,FALSE)</f>
        <v>MHGen</v>
      </c>
      <c r="C457" s="64" t="str">
        <f>IF('Status Thresholds'!B452=0, "", 'Status Thresholds'!B452)</f>
        <v>Kushala Dora</v>
      </c>
      <c r="D457" s="33" t="s">
        <v>34</v>
      </c>
      <c r="E457" s="36" t="str">
        <f t="shared" si="6"/>
        <v>Kushala DoraMount</v>
      </c>
      <c r="F457" s="36" t="str">
        <f>IFERROR(
ROUNDUP(
IF(AND($U$5=FALSE,$U$4=FALSE),"-",IF(AND($U$5=TRUE,$U$4=TRUE),"-",
IF((AND($U$4=TRUE,$U$5=FALSE,$U$6=FALSE,$U$7=FALSE)),VLOOKUP($E457,'Status Thresholds'!$E:$AR,2,FALSE),IF((AND($U$4=TRUE,$U$5=FALSE,$U$6=TRUE,$U$7=FALSE)),VLOOKUP($E457,'Status Thresholds'!$E:$AR,12,FALSE),IF((AND($U$4=TRUE,$U$5=FALSE,$U$6=TRUE,$U$7=TRUE)),VLOOKUP($E457,'Status Thresholds'!$E:$AR,17,FALSE),IF((AND($U$4=TRUE,$U$5=FALSE,$U$6=FALSE,$U$7=TRUE)),VLOOKUP($E457,'Status Thresholds'!$E:$AR,7,FALSE),
IF((AND($U$4=FALSE,$U$5=TRUE,$U$6=FALSE,$U$7=FALSE)),VLOOKUP($E457,'Status Thresholds'!$E:$AR,22,FALSE),IF((AND($U$4=FALSE,$U$5=TRUE,$U$6=TRUE,$U$7=FALSE)),VLOOKUP($E457,'Status Thresholds'!$E:$AR,32,FALSE),IF((AND($U$4=FALSE,$U$5=TRUE,$U$6=TRUE,$U$7=TRUE)),VLOOKUP($E457,'Status Thresholds'!$E:$AR,37,FALSE),IF((AND($U$4=FALSE,$U$5=TRUE,$U$6=FALSE,$U$7=TRUE)),VLOOKUP($E457,'Status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457" s="36" t="str">
        <f>IFERROR(
ROUNDUP(
IF(AND($U$5=FALSE,$U$4=FALSE),"-",IF(AND($U$5=TRUE,$U$4=TRUE),"-",
IF((AND($U$4=TRUE,$U$5=FALSE,$U$6=FALSE,$U$7=FALSE)),VLOOKUP($E456,'Status Thresholds'!$E:$AR,3,FALSE),IF((AND($U$4=TRUE,$U$5=FALSE,$U$6=TRUE,$U$7=FALSE)),VLOOKUP($E456,'Status Thresholds'!$E:$AR,13,FALSE),IF((AND($U$4=TRUE,$U$5=FALSE,$U$6=TRUE,$U$7=TRUE)),VLOOKUP($E456,'Status Thresholds'!$E:$AR,18,FALSE),IF((AND($U$4=TRUE,$U$5=FALSE,$U$6=FALSE,$U$7=TRUE)),VLOOKUP($E456,'Status Thresholds'!$E:$AR,8,FALSE),
IF((AND($U$4=FALSE,$U$5=TRUE,$U$6=FALSE,$U$7=FALSE)),VLOOKUP($E456,'Status Thresholds'!$E:$AR,23,FALSE),IF((AND($U$4=FALSE,$U$5=TRUE,$U$6=TRUE,$U$7=FALSE)),VLOOKUP($E456,'Status Thresholds'!$E:$AR,33,FALSE),IF((AND($U$4=FALSE,$U$5=TRUE,$U$6=TRUE,$U$7=TRUE)),VLOOKUP($E456,'Status Thresholds'!$E:$AR,38,FALSE),IF((AND($U$4=FALSE,$U$5=TRUE,$U$6=FALSE,$U$7=TRUE)),VLOOKUP($E456,'Status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457" s="36" t="str">
        <f>IFERROR(
ROUNDUP(
IF(AND($U$5=FALSE,$U$4=FALSE),"-",IF(AND($U$5=TRUE,$U$4=TRUE),"-",
IF((AND($U$4=TRUE,$U$5=FALSE,$U$6=FALSE,$U$7=FALSE)),VLOOKUP($E456,'Status Thresholds'!$E:$AR,4,FALSE),IF((AND($U$4=TRUE,$U$5=FALSE,$U$6=TRUE,$U$7=FALSE)),VLOOKUP($E456,'Status Thresholds'!$E:$AR,14,FALSE),IF((AND($U$4=TRUE,$U$5=FALSE,$U$6=TRUE,$U$7=TRUE)),VLOOKUP($E456,'Status Thresholds'!$E:$AR,19,FALSE),IF((AND($U$4=TRUE,$U$5=FALSE,$U$6=FALSE,$U$7=TRUE)),VLOOKUP($E456,'Status Thresholds'!$E:$AR,9,FALSE),
IF((AND($U$4=FALSE,$U$5=TRUE,$U$6=FALSE,$U$7=FALSE)),VLOOKUP($E456,'Status Thresholds'!$E:$AR,24,FALSE),IF((AND($U$4=FALSE,$U$5=TRUE,$U$6=TRUE,$U$7=FALSE)),VLOOKUP($E456,'Status Thresholds'!$E:$AR,34,FALSE),IF((AND($U$4=FALSE,$U$5=TRUE,$U$6=TRUE,$U$7=TRUE)),VLOOKUP($E456,'Status Thresholds'!$E:$AR,39,FALSE),IF((AND($U$4=FALSE,$U$5=TRUE,$U$6=FALSE,$U$7=TRUE)),VLOOKUP($E456,'Status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457" s="36" t="str">
        <f>IFERROR(
ROUNDUP(
IF(AND($U$5=FALSE,$U$4=FALSE),"-",IF(AND($U$5=TRUE,$U$4=TRUE),"-",
IF((AND($U$4=TRUE,$U$5=FALSE,$U$6=FALSE,$U$7=FALSE)),VLOOKUP($E456,'Status Thresholds'!$E:$AR,5,FALSE),IF((AND($U$4=TRUE,$U$5=FALSE,$U$6=TRUE,$U$7=FALSE)),VLOOKUP($E456,'Status Thresholds'!$E:$AR,15,FALSE),IF((AND($U$4=TRUE,$U$5=FALSE,$U$6=TRUE,$U$7=TRUE)),VLOOKUP($E456,'Status Thresholds'!$E:$AR,20,FALSE),IF((AND($U$4=TRUE,$U$5=FALSE,$U$6=FALSE,$U$7=TRUE)),VLOOKUP($E456,'Status Thresholds'!$E:$AR,10,FALSE),
IF((AND($U$4=FALSE,$U$5=TRUE,$U$6=FALSE,$U$7=FALSE)),VLOOKUP($E456,'Status Thresholds'!$E:$AR,25,FALSE),IF((AND($U$4=FALSE,$U$5=TRUE,$U$6=TRUE,$U$7=FALSE)),VLOOKUP($E456,'Status Thresholds'!$E:$AR,35,FALSE),IF((AND($U$4=FALSE,$U$5=TRUE,$U$6=TRUE,$U$7=TRUE)),VLOOKUP($E456,'Status Thresholds'!$E:$AR,40,FALSE),IF((AND($U$4=FALSE,$U$5=TRUE,$U$6=FALSE,$U$7=TRUE)),VLOOKUP($E456,'Status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457" s="46">
        <f>IFERROR(IF(AND($U$5=FALSE,$U$4=FALSE),"-",VLOOKUP($E457,'Status Thresholds'!$E:$AU,41,FALSE)),"-")</f>
        <v>0</v>
      </c>
      <c r="K457" s="46" t="str">
        <f>IFERROR(IF(AND($U$5=FALSE,$U$4=FALSE),"-",VLOOKUP($E457,'Status Thresholds'!$E:$AU,42,FALSE)),"-")</f>
        <v>-</v>
      </c>
      <c r="L457" s="46" t="str">
        <f>IFERROR(IF(AND($U$5=FALSE,$U$4=FALSE),"-",VLOOKUP($E457,'Status Thresholds'!$E:$AU,43,FALSE)),"-")</f>
        <v>-</v>
      </c>
    </row>
    <row r="458" spans="1:12" ht="15" customHeight="1" x14ac:dyDescent="0.25">
      <c r="A458" s="35"/>
      <c r="B458" s="64" t="str">
        <f>VLOOKUP(C458,'Status Thresholds'!B:C,2,FALSE)</f>
        <v>MHGen</v>
      </c>
      <c r="C458" s="64" t="str">
        <f>IF('Status Thresholds'!B453=0, "", 'Status Thresholds'!B453)</f>
        <v>Kushala Dora</v>
      </c>
      <c r="D458" s="77" t="s">
        <v>207</v>
      </c>
      <c r="E458" s="36" t="str">
        <f t="shared" si="6"/>
        <v>Kushala DoraShock Trap</v>
      </c>
      <c r="F458" s="76" t="s">
        <v>214</v>
      </c>
      <c r="G458" s="46" t="s">
        <v>214</v>
      </c>
      <c r="H458" s="46" t="s">
        <v>214</v>
      </c>
      <c r="I458" s="46" t="s">
        <v>214</v>
      </c>
      <c r="J458" s="46">
        <f>IFERROR(IF(AND($U$5=FALSE,$U$4=FALSE),"-",VLOOKUP($E458,'Status Thresholds'!$E:$AU,43,FALSE)),"-")</f>
        <v>0</v>
      </c>
      <c r="K458" s="46">
        <f>IFERROR(IF(AND($U$5=FALSE,$U$4=FALSE),"-",VLOOKUP($E458,'Status Thresholds'!$E:$AU,41,FALSE)),"-")</f>
        <v>0</v>
      </c>
      <c r="L458" s="46">
        <f>IFERROR(IF(AND($U$5=FALSE,$U$4=FALSE),"-",VLOOKUP($E458,'Status Thresholds'!$E:$AU,42,FALSE)),"-")</f>
        <v>0</v>
      </c>
    </row>
    <row r="459" spans="1:12" x14ac:dyDescent="0.25">
      <c r="A459" s="35"/>
      <c r="B459" s="64" t="str">
        <f>VLOOKUP(C459,'Status Thresholds'!B:C,2,FALSE)</f>
        <v>MHGen</v>
      </c>
      <c r="C459" s="64" t="str">
        <f>IF('Status Thresholds'!B454=0, "", 'Status Thresholds'!B454)</f>
        <v>Kushala Dora</v>
      </c>
      <c r="D459" s="77" t="s">
        <v>213</v>
      </c>
      <c r="E459" s="36" t="str">
        <f t="shared" si="6"/>
        <v>Kushala DoraPitfall Trap</v>
      </c>
      <c r="F459" s="46" t="s">
        <v>214</v>
      </c>
      <c r="G459" s="46" t="s">
        <v>214</v>
      </c>
      <c r="H459" s="46" t="s">
        <v>214</v>
      </c>
      <c r="I459" s="46" t="s">
        <v>214</v>
      </c>
      <c r="J459" s="46">
        <f>IFERROR(IF(AND($U$5=FALSE,$U$4=FALSE),"-",VLOOKUP($E459,'Status Thresholds'!$E:$AU,43,FALSE)),"-")</f>
        <v>0</v>
      </c>
      <c r="K459" s="46">
        <f>IFERROR(IF(AND($U$5=FALSE,$U$4=FALSE),"-",VLOOKUP($E459,'Status Thresholds'!$E:$AU,41,FALSE)),"-")</f>
        <v>0</v>
      </c>
      <c r="L459" s="46">
        <f>IFERROR(IF(AND($U$5=FALSE,$U$4=FALSE),"-",VLOOKUP($E459,'Status Thresholds'!$E:$AU,42,FALSE)),"-")</f>
        <v>0</v>
      </c>
    </row>
    <row r="460" spans="1:12" s="36" customFormat="1" x14ac:dyDescent="0.25">
      <c r="A460" s="64"/>
      <c r="B460" s="64" t="str">
        <f>VLOOKUP(C460,'Status Thresholds'!B:C,2,FALSE)</f>
        <v>MHGen</v>
      </c>
      <c r="C460" s="64" t="str">
        <f>IF('Status Thresholds'!B455=0, "", 'Status Thresholds'!B455)</f>
        <v>Lagiacrus</v>
      </c>
      <c r="D460" s="37" t="s">
        <v>0</v>
      </c>
      <c r="E460" s="36" t="str">
        <f t="shared" si="6"/>
        <v>LagiacrusPara</v>
      </c>
      <c r="F460" s="36" t="str">
        <f>IFERROR(
ROUNDUP(
IF(AND($U$5=FALSE,$U$4=FALSE),"-",IF(AND($U$5=TRUE,$U$4=TRUE),"-",
IF((AND($U$4=TRUE,$U$5=FALSE,$U$6=FALSE,$U$7=FALSE)),VLOOKUP($E460,'Status Thresholds'!$E:$AR,2,FALSE),IF((AND($U$4=TRUE,$U$5=FALSE,$U$6=TRUE,$U$7=FALSE)),VLOOKUP($E460,'Status Thresholds'!$E:$AR,12,FALSE),IF((AND($U$4=TRUE,$U$5=FALSE,$U$6=TRUE,$U$7=TRUE)),VLOOKUP($E460,'Status Thresholds'!$E:$AR,17,FALSE),IF((AND($U$4=TRUE,$U$5=FALSE,$U$6=FALSE,$U$7=TRUE)),VLOOKUP($E460,'Status Thresholds'!$E:$AR,7,FALSE),
IF((AND($U$4=FALSE,$U$5=TRUE,$U$6=FALSE,$U$7=FALSE)),VLOOKUP($E460,'Status Thresholds'!$E:$AR,22,FALSE),IF((AND($U$4=FALSE,$U$5=TRUE,$U$6=TRUE,$U$7=FALSE)),VLOOKUP($E460,'Status Thresholds'!$E:$AR,32,FALSE),IF((AND($U$4=FALSE,$U$5=TRUE,$U$6=TRUE,$U$7=TRUE)),VLOOKUP($E460,'Status Thresholds'!$E:$AR,37,FALSE),IF((AND($U$4=FALSE,$U$5=TRUE,$U$6=FALSE,$U$7=TRUE)),VLOOKUP($E460,'Status Thresholds'!$E:$AR,27,FALSE)))))))))
))/
IF(OR($X$5=TRUE,$AC$3=TRUE
),($F$3/2), IF(OR($X$2,$X$3,$X$4,$X$6,$X$7,$X$8,$Z$2,$Z$3,$Z$4,$Z$5,$Z$6,$Z$7,$Z$8)=TRUE,$F$3)),0),"-")</f>
        <v>-</v>
      </c>
      <c r="G460" s="36" t="str">
        <f>IFERROR(
ROUNDUP(
IF(AND($U$5=FALSE,$U$4=FALSE),"-",IF(AND($U$5=TRUE,$U$4=TRUE),"-",
IF((AND($U$4=TRUE,$U$5=FALSE,$U$6=FALSE,$U$7=FALSE)),VLOOKUP($E460,'Status Thresholds'!$E:$AR,3,FALSE),IF((AND($U$4=TRUE,$U$5=FALSE,$U$6=TRUE,$U$7=FALSE)),VLOOKUP($E460,'Status Thresholds'!$E:$AR,13,FALSE),IF((AND($U$4=TRUE,$U$5=FALSE,$U$6=TRUE,$U$7=TRUE)),VLOOKUP($E460,'Status Thresholds'!$E:$AR,18,FALSE),IF((AND($U$4=TRUE,$U$5=FALSE,$U$6=FALSE,$U$7=TRUE)),VLOOKUP($E460,'Status Thresholds'!$E:$AR,8,FALSE),
IF((AND($U$4=FALSE,$U$5=TRUE,$U$6=FALSE,$U$7=FALSE)),VLOOKUP($E460,'Status Thresholds'!$E:$AR,23,FALSE),IF((AND($U$4=FALSE,$U$5=TRUE,$U$6=TRUE,$U$7=FALSE)),VLOOKUP($E460,'Status Thresholds'!$E:$AR,33,FALSE),IF((AND($U$4=FALSE,$U$5=TRUE,$U$6=TRUE,$U$7=TRUE)),VLOOKUP($E460,'Status Thresholds'!$E:$AR,38,FALSE),IF((AND($U$4=FALSE,$U$5=TRUE,$U$6=FALSE,$U$7=TRUE)),VLOOKUP($E460,'Status Thresholds'!$E:$AR,28,FALSE)))))))))
))/
IF(OR($X$5=TRUE,$AC$3=TRUE
),($F$3/2), IF(OR($X$2,$X$3,$X$4,$X$6,$X$7,$X$8,$Z$2,$Z$3,$Z$4,$Z$5,$Z$6,$Z$7,$Z$8)=TRUE,$F$3)),0),"-")</f>
        <v>-</v>
      </c>
      <c r="H460" s="36" t="str">
        <f>IFERROR(
ROUNDUP(
IF(AND($U$5=FALSE,$U$4=FALSE),"-",IF(AND($U$5=TRUE,$U$4=TRUE),"-",
IF((AND($U$4=TRUE,$U$5=FALSE,$U$6=FALSE,$U$7=FALSE)),VLOOKUP($E460,'Status Thresholds'!$E:$AR,4,FALSE),IF((AND($U$4=TRUE,$U$5=FALSE,$U$6=TRUE,$U$7=FALSE)),VLOOKUP($E460,'Status Thresholds'!$E:$AR,14,FALSE),IF((AND($U$4=TRUE,$U$5=FALSE,$U$6=TRUE,$U$7=TRUE)),VLOOKUP($E460,'Status Thresholds'!$E:$AR,19,FALSE),IF((AND($U$4=TRUE,$U$5=FALSE,$U$6=FALSE,$U$7=TRUE)),VLOOKUP($E460,'Status Thresholds'!$E:$AR,9,FALSE),
IF((AND($U$4=FALSE,$U$5=TRUE,$U$6=FALSE,$U$7=FALSE)),VLOOKUP($E460,'Status Thresholds'!$E:$AR,24,FALSE),IF((AND($U$4=FALSE,$U$5=TRUE,$U$6=TRUE,$U$7=FALSE)),VLOOKUP($E460,'Status Thresholds'!$E:$AR,34,FALSE),IF((AND($U$4=FALSE,$U$5=TRUE,$U$6=TRUE,$U$7=TRUE)),VLOOKUP($E460,'Status Thresholds'!$E:$AR,39,FALSE),IF((AND($U$4=FALSE,$U$5=TRUE,$U$6=FALSE,$U$7=TRUE)),VLOOKUP($E460,'Status Thresholds'!$E:$AR,29,FALSE)))))))))
))/
IF(OR($X$5=TRUE,$AC$3=TRUE
),($F$3/2), IF(OR($X$2,$X$3,$X$4,$X$6,$X$7,$X$8,$Z$2,$Z$3,$Z$4,$Z$5,$Z$6,$Z$7,$Z$8)=TRUE,$F$3)),0),"-")</f>
        <v>-</v>
      </c>
      <c r="I460" s="36" t="str">
        <f>IFERROR(
ROUNDUP(
IF(AND($U$5=FALSE,$U$4=FALSE),"-",IF(AND($U$5=TRUE,$U$4=TRUE),"-",
IF((AND($U$4=TRUE,$U$5=FALSE,$U$6=FALSE,$U$7=FALSE)),VLOOKUP($E460,'Status Thresholds'!$E:$AR,5,FALSE),IF((AND($U$4=TRUE,$U$5=FALSE,$U$6=TRUE,$U$7=FALSE)),VLOOKUP($E460,'Status Thresholds'!$E:$AR,15,FALSE),IF((AND($U$4=TRUE,$U$5=FALSE,$U$6=TRUE,$U$7=TRUE)),VLOOKUP($E460,'Status Thresholds'!$E:$AR,20,FALSE),IF((AND($U$4=TRUE,$U$5=FALSE,$U$6=FALSE,$U$7=TRUE)),VLOOKUP($E460,'Status Thresholds'!$E:$AR,10,FALSE),
IF((AND($U$4=FALSE,$U$5=TRUE,$U$6=FALSE,$U$7=FALSE)),VLOOKUP($E460,'Status Thresholds'!$E:$AR,25,FALSE),IF((AND($U$4=FALSE,$U$5=TRUE,$U$6=TRUE,$U$7=FALSE)),VLOOKUP($E460,'Status Thresholds'!$E:$AR,35,FALSE),IF((AND($U$4=FALSE,$U$5=TRUE,$U$6=TRUE,$U$7=TRUE)),VLOOKUP($E460,'Status Thresholds'!$E:$AR,40,FALSE),IF((AND($U$4=FALSE,$U$5=TRUE,$U$6=FALSE,$U$7=TRUE)),VLOOKUP($E460,'Status Thresholds'!$E:$AR,30,FALSE)))))))))
))/
IF(OR($X$5=TRUE,$AC$3=TRUE
),($F$3/2), IF(OR($X$2,$X$3,$X$4,$X$6,$X$7,$X$8,$Z$2,$Z$3,$Z$4,$Z$5,$Z$6,$Z$7,$Z$8)=TRUE,$F$3)),0),"-")</f>
        <v>-</v>
      </c>
      <c r="J460" s="36">
        <f>IFERROR(IF(AND($U$5=FALSE,$U$4=FALSE),"-",VLOOKUP($E460,'Status Thresholds'!$E:$AU,41,FALSE)),"-")</f>
        <v>10</v>
      </c>
      <c r="K460" s="36" t="str">
        <f>IFERROR(IF(AND($U$5=FALSE,$U$4=FALSE),"-",VLOOKUP($E460,'Status Thresholds'!$E:$AU,42,FALSE)),"-")</f>
        <v>-</v>
      </c>
      <c r="L460" s="36" t="str">
        <f>IFERROR(IF(AND($U$5=FALSE,$U$4=FALSE),"-",VLOOKUP($E460,'Status Thresholds'!$E:$AU,43,FALSE)),"-")</f>
        <v>-</v>
      </c>
    </row>
    <row r="461" spans="1:12" x14ac:dyDescent="0.25">
      <c r="A461" s="35"/>
      <c r="B461" s="64" t="str">
        <f>VLOOKUP(C461,'Status Thresholds'!B:C,2,FALSE)</f>
        <v>MHGen</v>
      </c>
      <c r="C461" s="64" t="str">
        <f>IF('Status Thresholds'!B456=0, "", 'Status Thresholds'!B456)</f>
        <v>Lagiacrus</v>
      </c>
      <c r="D461" s="31" t="s">
        <v>32</v>
      </c>
      <c r="E461" s="36" t="str">
        <f t="shared" si="6"/>
        <v>LagiacrusSleep</v>
      </c>
      <c r="F461" s="36" t="str">
        <f>IFERROR(
ROUNDUP(
IF(AND($U$5=FALSE,$U$4=FALSE),"-",IF(AND($U$5=TRUE,$U$4=TRUE),"-",
IF((AND($U$4=TRUE,$U$5=FALSE,$U$6=FALSE,$U$7=FALSE)),VLOOKUP($E461,'Status Thresholds'!$E:$AR,2,FALSE),IF((AND($U$4=TRUE,$U$5=FALSE,$U$6=TRUE,$U$7=FALSE)),VLOOKUP($E461,'Status Thresholds'!$E:$AR,12,FALSE),IF((AND($U$4=TRUE,$U$5=FALSE,$U$6=TRUE,$U$7=TRUE)),VLOOKUP($E461,'Status Thresholds'!$E:$AR,17,FALSE),IF((AND($U$4=TRUE,$U$5=FALSE,$U$6=FALSE,$U$7=TRUE)),VLOOKUP($E461,'Status Thresholds'!$E:$AR,7,FALSE),
IF((AND($U$4=FALSE,$U$5=TRUE,$U$6=FALSE,$U$7=FALSE)),VLOOKUP($E461,'Status Thresholds'!$E:$AR,22,FALSE),IF((AND($U$4=FALSE,$U$5=TRUE,$U$6=TRUE,$U$7=FALSE)),VLOOKUP($E461,'Status Thresholds'!$E:$AR,32,FALSE),IF((AND($U$4=FALSE,$U$5=TRUE,$U$6=TRUE,$U$7=TRUE)),VLOOKUP($E461,'Status Thresholds'!$E:$AR,37,FALSE),IF((AND($U$4=FALSE,$U$5=TRUE,$U$6=FALSE,$U$7=TRUE)),VLOOKUP($E461,'Status Thresholds'!$E:$AR,27,FALSE)))))))))
))/
IF(OR($X$5=TRUE,$AC$3=TRUE
),($F$4/2), IF(OR($X$2,$X$3,$X$4,$X$6,$X$7,$X$8,$Z$2,$Z$3,$Z$4,$Z$5,$Z$6,$Z$7,$Z$8)=TRUE,$F$4)),0),"-")</f>
        <v>-</v>
      </c>
      <c r="G461" s="36" t="str">
        <f>IFERROR(
ROUNDUP(
IF(AND($U$5=FALSE,$U$4=FALSE),"-",IF(AND($U$5=TRUE,$U$4=TRUE),"-",
IF((AND($U$4=TRUE,$U$5=FALSE,$U$6=FALSE,$U$7=FALSE)),VLOOKUP($E461,'Status Thresholds'!$E:$AR,3,FALSE),IF((AND($U$4=TRUE,$U$5=FALSE,$U$6=TRUE,$U$7=FALSE)),VLOOKUP($E461,'Status Thresholds'!$E:$AR,13,FALSE),IF((AND($U$4=TRUE,$U$5=FALSE,$U$6=TRUE,$U$7=TRUE)),VLOOKUP($E461,'Status Thresholds'!$E:$AR,18,FALSE),IF((AND($U$4=TRUE,$U$5=FALSE,$U$6=FALSE,$U$7=TRUE)),VLOOKUP($E461,'Status Thresholds'!$E:$AR,8,FALSE),
IF((AND($U$4=FALSE,$U$5=TRUE,$U$6=FALSE,$U$7=FALSE)),VLOOKUP($E461,'Status Thresholds'!$E:$AR,23,FALSE),IF((AND($U$4=FALSE,$U$5=TRUE,$U$6=TRUE,$U$7=FALSE)),VLOOKUP($E461,'Status Thresholds'!$E:$AR,33,FALSE),IF((AND($U$4=FALSE,$U$5=TRUE,$U$6=TRUE,$U$7=TRUE)),VLOOKUP($E461,'Status Thresholds'!$E:$AR,38,FALSE),IF((AND($U$4=FALSE,$U$5=TRUE,$U$6=FALSE,$U$7=TRUE)),VLOOKUP($E461,'Status Thresholds'!$E:$AR,28,FALSE)))))))))
))/
IF(OR($X$5=TRUE,$AC$3=TRUE
),($F$4/2), IF(OR($X$2,$X$3,$X$4,$X$6,$X$7,$X$8,$Z$2,$Z$3,$Z$4,$Z$5,$Z$6,$Z$7,$Z$8)=TRUE,$F$4)),0),"-")</f>
        <v>-</v>
      </c>
      <c r="H461" s="36" t="str">
        <f>IFERROR(
ROUNDUP(
IF(AND($U$5=FALSE,$U$4=FALSE),"-",IF(AND($U$5=TRUE,$U$4=TRUE),"-",
IF((AND($U$4=TRUE,$U$5=FALSE,$U$6=FALSE,$U$7=FALSE)),VLOOKUP($E461,'Status Thresholds'!$E:$AR,4,FALSE),IF((AND($U$4=TRUE,$U$5=FALSE,$U$6=TRUE,$U$7=FALSE)),VLOOKUP($E461,'Status Thresholds'!$E:$AR,14,FALSE),IF((AND($U$4=TRUE,$U$5=FALSE,$U$6=TRUE,$U$7=TRUE)),VLOOKUP($E461,'Status Thresholds'!$E:$AR,19,FALSE),IF((AND($U$4=TRUE,$U$5=FALSE,$U$6=FALSE,$U$7=TRUE)),VLOOKUP($E461,'Status Thresholds'!$E:$AR,9,FALSE),
IF((AND($U$4=FALSE,$U$5=TRUE,$U$6=FALSE,$U$7=FALSE)),VLOOKUP($E461,'Status Thresholds'!$E:$AR,24,FALSE),IF((AND($U$4=FALSE,$U$5=TRUE,$U$6=TRUE,$U$7=FALSE)),VLOOKUP($E461,'Status Thresholds'!$E:$AR,34,FALSE),IF((AND($U$4=FALSE,$U$5=TRUE,$U$6=TRUE,$U$7=TRUE)),VLOOKUP($E461,'Status Thresholds'!$E:$AR,39,FALSE),IF((AND($U$4=FALSE,$U$5=TRUE,$U$6=FALSE,$U$7=TRUE)),VLOOKUP($E461,'Status Thresholds'!$E:$AR,29,FALSE)))))))))
))/
IF(OR($X$5=TRUE,$AC$3=TRUE
),($F$4/2), IF(OR($X$2,$X$3,$X$4,$X$6,$X$7,$X$8,$Z$2,$Z$3,$Z$4,$Z$5,$Z$6,$Z$7,$Z$8)=TRUE,$F$4)),0),"-")</f>
        <v>-</v>
      </c>
      <c r="I461" s="36" t="str">
        <f>IFERROR(
ROUNDUP(
IF(AND($U$5=FALSE,$U$4=FALSE),"-",IF(AND($U$5=TRUE,$U$4=TRUE),"-",
IF((AND($U$4=TRUE,$U$5=FALSE,$U$6=FALSE,$U$7=FALSE)),VLOOKUP($E461,'Status Thresholds'!$E:$AR,5,FALSE),IF((AND($U$4=TRUE,$U$5=FALSE,$U$6=TRUE,$U$7=FALSE)),VLOOKUP($E461,'Status Thresholds'!$E:$AR,15,FALSE),IF((AND($U$4=TRUE,$U$5=FALSE,$U$6=TRUE,$U$7=TRUE)),VLOOKUP($E461,'Status Thresholds'!$E:$AR,20,FALSE),IF((AND($U$4=TRUE,$U$5=FALSE,$U$6=FALSE,$U$7=TRUE)),VLOOKUP($E461,'Status Thresholds'!$E:$AR,10,FALSE),
IF((AND($U$4=FALSE,$U$5=TRUE,$U$6=FALSE,$U$7=FALSE)),VLOOKUP($E461,'Status Thresholds'!$E:$AR,25,FALSE),IF((AND($U$4=FALSE,$U$5=TRUE,$U$6=TRUE,$U$7=FALSE)),VLOOKUP($E461,'Status Thresholds'!$E:$AR,35,FALSE),IF((AND($U$4=FALSE,$U$5=TRUE,$U$6=TRUE,$U$7=TRUE)),VLOOKUP($E461,'Status Thresholds'!$E:$AR,40,FALSE),IF((AND($U$4=FALSE,$U$5=TRUE,$U$6=FALSE,$U$7=TRUE)),VLOOKUP($E461,'Status Thresholds'!$E:$AR,30,FALSE)))))))))
))/
IF(OR($X$5=TRUE,$AC$3=TRUE
),($F$4/2), IF(OR($X$2,$X$3,$X$4,$X$6,$X$7,$X$8,$Z$2,$Z$3,$Z$4,$Z$5,$Z$6,$Z$7,$Z$8)=TRUE,$F$4)),0),"-")</f>
        <v>-</v>
      </c>
      <c r="J461" s="46">
        <f>IFERROR(IF(AND($U$5=FALSE,$U$4=FALSE),"-",VLOOKUP($E461,'Status Thresholds'!$E:$AU,41,FALSE)),"-")</f>
        <v>30</v>
      </c>
      <c r="K461" s="46" t="str">
        <f>IFERROR(IF(AND($U$5=FALSE,$U$4=FALSE),"-",VLOOKUP($E461,'Status Thresholds'!$E:$AU,42,FALSE)),"-")</f>
        <v>-</v>
      </c>
      <c r="L461" s="46" t="str">
        <f>IFERROR(IF(AND($U$5=FALSE,$U$4=FALSE),"-",VLOOKUP($E461,'Status Thresholds'!$E:$AU,43,FALSE)),"-")</f>
        <v>-</v>
      </c>
    </row>
    <row r="462" spans="1:12" x14ac:dyDescent="0.25">
      <c r="A462" s="35"/>
      <c r="B462" s="64" t="str">
        <f>VLOOKUP(C462,'Status Thresholds'!B:C,2,FALSE)</f>
        <v>MHGen</v>
      </c>
      <c r="C462" s="64" t="str">
        <f>IF('Status Thresholds'!B457=0, "", 'Status Thresholds'!B457)</f>
        <v>Lagiacrus</v>
      </c>
      <c r="D462" s="32" t="s">
        <v>33</v>
      </c>
      <c r="E462" s="36" t="str">
        <f t="shared" si="6"/>
        <v>LagiacrusPoison</v>
      </c>
      <c r="F462" s="36" t="str">
        <f>IFERROR(
ROUNDUP(
IF(AND($U$5=FALSE,$U$4=FALSE),"-",IF(AND($U$5=TRUE,$U$4=TRUE),"-",
IF((AND($U$4=TRUE,$U$5=FALSE,$U$6=FALSE,$U$7=FALSE)),VLOOKUP($E462,'Status Thresholds'!$E:$AR,2,FALSE),IF((AND($U$4=TRUE,$U$5=FALSE,$U$6=TRUE,$U$7=FALSE)),VLOOKUP($E462,'Status Thresholds'!$E:$AR,12,FALSE),IF((AND($U$4=TRUE,$U$5=FALSE,$U$6=TRUE,$U$7=TRUE)),VLOOKUP($E462,'Status Thresholds'!$E:$AR,17,FALSE),IF((AND($U$4=TRUE,$U$5=FALSE,$U$6=FALSE,$U$7=TRUE)),VLOOKUP($E462,'Status Thresholds'!$E:$AR,7,FALSE),
IF((AND($U$4=FALSE,$U$5=TRUE,$U$6=FALSE,$U$7=FALSE)),VLOOKUP($E462,'Status Thresholds'!$E:$AR,22,FALSE),IF((AND($U$4=FALSE,$U$5=TRUE,$U$6=TRUE,$U$7=FALSE)),VLOOKUP($E462,'Status Thresholds'!$E:$AR,32,FALSE),IF((AND($U$4=FALSE,$U$5=TRUE,$U$6=TRUE,$U$7=TRUE)),VLOOKUP($E462,'Status Thresholds'!$E:$AR,37,FALSE),IF((AND($U$4=FALSE,$U$5=TRUE,$U$6=FALSE,$U$7=TRUE)),VLOOKUP($E462,'Status Thresholds'!$E:$AR,27,FALSE)))))))))
))/
IF(OR($X$5=TRUE,$AC$3=TRUE
),($F$5/2), IF(OR($X$2,$X$3,$X$4,$X$6,$X$7,$X$8,$Z$2,$Z$3,$Z$4,$Z$5,$Z$6,$Z$7,$Z$8)=TRUE,$F$5)),0),"-")</f>
        <v>-</v>
      </c>
      <c r="G462" s="36" t="str">
        <f>IFERROR(
ROUNDUP(
IF(AND($U$5=FALSE,$U$4=FALSE),"-",IF(AND($U$5=TRUE,$U$4=TRUE),"-",
IF((AND($U$4=TRUE,$U$5=FALSE,$U$6=FALSE,$U$7=FALSE)),VLOOKUP($E462,'Status Thresholds'!$E:$AR,3,FALSE),IF((AND($U$4=TRUE,$U$5=FALSE,$U$6=TRUE,$U$7=FALSE)),VLOOKUP($E462,'Status Thresholds'!$E:$AR,13,FALSE),IF((AND($U$4=TRUE,$U$5=FALSE,$U$6=TRUE,$U$7=TRUE)),VLOOKUP($E462,'Status Thresholds'!$E:$AR,18,FALSE),IF((AND($U$4=TRUE,$U$5=FALSE,$U$6=FALSE,$U$7=TRUE)),VLOOKUP($E462,'Status Thresholds'!$E:$AR,8,FALSE),
IF((AND($U$4=FALSE,$U$5=TRUE,$U$6=FALSE,$U$7=FALSE)),VLOOKUP($E462,'Status Thresholds'!$E:$AR,23,FALSE),IF((AND($U$4=FALSE,$U$5=TRUE,$U$6=TRUE,$U$7=FALSE)),VLOOKUP($E462,'Status Thresholds'!$E:$AR,33,FALSE),IF((AND($U$4=FALSE,$U$5=TRUE,$U$6=TRUE,$U$7=TRUE)),VLOOKUP($E462,'Status Thresholds'!$E:$AR,38,FALSE),IF((AND($U$4=FALSE,$U$5=TRUE,$U$6=FALSE,$U$7=TRUE)),VLOOKUP($E462,'Status Thresholds'!$E:$AR,28,FALSE)))))))))
))/
IF(OR($X$5=TRUE,$AC$3=TRUE
),($F$5/2), IF(OR($X$2,$X$3,$X$4,$X$6,$X$7,$X$8,$Z$2,$Z$3,$Z$4,$Z$5,$Z$6,$Z$7,$Z$8)=TRUE,$F$5)),0),"-")</f>
        <v>-</v>
      </c>
      <c r="H462" s="36" t="str">
        <f>IFERROR(
ROUNDUP(
IF(AND($U$5=FALSE,$U$4=FALSE),"-",IF(AND($U$5=TRUE,$U$4=TRUE),"-",
IF((AND($U$4=TRUE,$U$5=FALSE,$U$6=FALSE,$U$7=FALSE)),VLOOKUP($E462,'Status Thresholds'!$E:$AR,4,FALSE),IF((AND($U$4=TRUE,$U$5=FALSE,$U$6=TRUE,$U$7=FALSE)),VLOOKUP($E462,'Status Thresholds'!$E:$AR,14,FALSE),IF((AND($U$4=TRUE,$U$5=FALSE,$U$6=TRUE,$U$7=TRUE)),VLOOKUP($E462,'Status Thresholds'!$E:$AR,19,FALSE),IF((AND($U$4=TRUE,$U$5=FALSE,$U$6=FALSE,$U$7=TRUE)),VLOOKUP($E462,'Status Thresholds'!$E:$AR,9,FALSE),
IF((AND($U$4=FALSE,$U$5=TRUE,$U$6=FALSE,$U$7=FALSE)),VLOOKUP($E462,'Status Thresholds'!$E:$AR,24,FALSE),IF((AND($U$4=FALSE,$U$5=TRUE,$U$6=TRUE,$U$7=FALSE)),VLOOKUP($E462,'Status Thresholds'!$E:$AR,34,FALSE),IF((AND($U$4=FALSE,$U$5=TRUE,$U$6=TRUE,$U$7=TRUE)),VLOOKUP($E462,'Status Thresholds'!$E:$AR,39,FALSE),IF((AND($U$4=FALSE,$U$5=TRUE,$U$6=FALSE,$U$7=TRUE)),VLOOKUP($E462,'Status Thresholds'!$E:$AR,29,FALSE)))))))))
))/
IF(OR($X$5=TRUE,$AC$3=TRUE
),($F$5/2), IF(OR($X$2,$X$3,$X$4,$X$6,$X$7,$X$8,$Z$2,$Z$3,$Z$4,$Z$5,$Z$6,$Z$7,$Z$8)=TRUE,$F$5)),0),"-")</f>
        <v>-</v>
      </c>
      <c r="I462" s="36" t="str">
        <f>IFERROR(
ROUNDUP(
IF(AND($U$5=FALSE,$U$4=FALSE),"-",IF(AND($U$5=TRUE,$U$4=TRUE),"-",
IF((AND($U$4=TRUE,$U$5=FALSE,$U$6=FALSE,$U$7=FALSE)),VLOOKUP($E462,'Status Thresholds'!$E:$AR,5,FALSE),IF((AND($U$4=TRUE,$U$5=FALSE,$U$6=TRUE,$U$7=FALSE)),VLOOKUP($E462,'Status Thresholds'!$E:$AR,15,FALSE),IF((AND($U$4=TRUE,$U$5=FALSE,$U$6=TRUE,$U$7=TRUE)),VLOOKUP($E462,'Status Thresholds'!$E:$AR,20,FALSE),IF((AND($U$4=TRUE,$U$5=FALSE,$U$6=FALSE,$U$7=TRUE)),VLOOKUP($E462,'Status Thresholds'!$E:$AR,10,FALSE),
IF((AND($U$4=FALSE,$U$5=TRUE,$U$6=FALSE,$U$7=FALSE)),VLOOKUP($E462,'Status Thresholds'!$E:$AR,25,FALSE),IF((AND($U$4=FALSE,$U$5=TRUE,$U$6=TRUE,$U$7=FALSE)),VLOOKUP($E462,'Status Thresholds'!$E:$AR,35,FALSE),IF((AND($U$4=FALSE,$U$5=TRUE,$U$6=TRUE,$U$7=TRUE)),VLOOKUP($E462,'Status Thresholds'!$E:$AR,40,FALSE),IF((AND($U$4=FALSE,$U$5=TRUE,$U$6=FALSE,$U$7=TRUE)),VLOOKUP($E462,'Status Thresholds'!$E:$AR,30,FALSE)))))))))
))/
IF(OR($X$5=TRUE,$AC$3=TRUE
),($F$5/2), IF(OR($X$2,$X$3,$X$4,$X$6,$X$7,$X$8,$Z$2,$Z$3,$Z$4,$Z$5,$Z$6,$Z$7,$Z$8)=TRUE,$F$5)),0),"-")</f>
        <v>-</v>
      </c>
      <c r="J462" s="46">
        <f>IFERROR(IF(AND($U$5=FALSE,$U$4=FALSE),"-",VLOOKUP($E462,'Status Thresholds'!$E:$AU,41,FALSE)),"-")</f>
        <v>30</v>
      </c>
      <c r="K462" s="46" t="str">
        <f>IFERROR(IF(AND($U$5=FALSE,$U$4=FALSE),"-",VLOOKUP($E462,'Status Thresholds'!$E:$AU,42,FALSE)),"-")</f>
        <v>-</v>
      </c>
      <c r="L462" s="46" t="str">
        <f>IFERROR(IF(AND($U$5=FALSE,$U$4=FALSE),"-",VLOOKUP($E462,'Status Thresholds'!$E:$AU,43,FALSE)),"-")</f>
        <v>-</v>
      </c>
    </row>
    <row r="463" spans="1:12" x14ac:dyDescent="0.25">
      <c r="A463" s="35"/>
      <c r="B463" s="64" t="str">
        <f>VLOOKUP(C463,'Status Thresholds'!B:C,2,FALSE)</f>
        <v>MHGen</v>
      </c>
      <c r="C463" s="64" t="str">
        <f>IF('Status Thresholds'!B458=0, "", 'Status Thresholds'!B458)</f>
        <v>Lagiacrus</v>
      </c>
      <c r="D463" s="10" t="s">
        <v>22</v>
      </c>
      <c r="E463" s="36" t="str">
        <f t="shared" si="6"/>
        <v>LagiacrusExhaust</v>
      </c>
      <c r="F463" s="36" t="str">
        <f>IFERROR(
ROUNDUP(
IF(AND($U$5=FALSE,$U$4=FALSE),"-",IF(AND($U$5=TRUE,$U$4=TRUE),"-",
IF((AND($U$4=TRUE,$U$5=FALSE,$U$6=FALSE,$U$7=FALSE)),VLOOKUP($E463,'Status Thresholds'!$E:$AR,2,FALSE),IF((AND($U$4=TRUE,$U$5=FALSE,$U$6=TRUE,$U$7=FALSE)),VLOOKUP($E463,'Status Thresholds'!$E:$AR,12,FALSE),IF((AND($U$4=TRUE,$U$5=FALSE,$U$6=TRUE,$U$7=TRUE)),VLOOKUP($E463,'Status Thresholds'!$E:$AR,17,FALSE),IF((AND($U$4=TRUE,$U$5=FALSE,$U$6=FALSE,$U$7=TRUE)),VLOOKUP($E463,'Status Thresholds'!$E:$AR,7,FALSE),
IF((AND($U$4=FALSE,$U$5=TRUE,$U$6=FALSE,$U$7=FALSE)),VLOOKUP($E463,'Status Thresholds'!$E:$AR,22,FALSE),IF((AND($U$4=FALSE,$U$5=TRUE,$U$6=TRUE,$U$7=FALSE)),VLOOKUP($E463,'Status Thresholds'!$E:$AR,32,FALSE),IF((AND($U$4=FALSE,$U$5=TRUE,$U$6=TRUE,$U$7=TRUE)),VLOOKUP($E463,'Status Thresholds'!$E:$AR,37,FALSE),IF((AND($U$4=FALSE,$U$5=TRUE,$U$6=FALSE,$U$7=TRUE)),VLOOKUP($E463,'Status Thresholds'!$E:$AR,27,FALSE)))))))))
))/
IF(OR($X$5=TRUE,$AC$3=TRUE
),($F$6/2), IF(OR($X$2,$X$3,$X$4,$X$6,$X$7,$X$8,$Z$2,$Z$3,$Z$4,$Z$5,$Z$6,$Z$7,$Z$8)=TRUE,$F$6)),0),"-")</f>
        <v>-</v>
      </c>
      <c r="G463" s="36" t="str">
        <f>IFERROR(
ROUNDUP(
IF(AND($U$5=FALSE,$U$4=FALSE),"-",IF(AND($U$5=TRUE,$U$4=TRUE),"-",
IF((AND($U$4=TRUE,$U$5=FALSE,$U$6=FALSE,$U$7=FALSE)),VLOOKUP($E463,'Status Thresholds'!$E:$AR,3,FALSE),IF((AND($U$4=TRUE,$U$5=FALSE,$U$6=TRUE,$U$7=FALSE)),VLOOKUP($E463,'Status Thresholds'!$E:$AR,13,FALSE),IF((AND($U$4=TRUE,$U$5=FALSE,$U$6=TRUE,$U$7=TRUE)),VLOOKUP($E463,'Status Thresholds'!$E:$AR,18,FALSE),IF((AND($U$4=TRUE,$U$5=FALSE,$U$6=FALSE,$U$7=TRUE)),VLOOKUP($E463,'Status Thresholds'!$E:$AR,8,FALSE),
IF((AND($U$4=FALSE,$U$5=TRUE,$U$6=FALSE,$U$7=FALSE)),VLOOKUP($E463,'Status Thresholds'!$E:$AR,23,FALSE),IF((AND($U$4=FALSE,$U$5=TRUE,$U$6=TRUE,$U$7=FALSE)),VLOOKUP($E463,'Status Thresholds'!$E:$AR,33,FALSE),IF((AND($U$4=FALSE,$U$5=TRUE,$U$6=TRUE,$U$7=TRUE)),VLOOKUP($E463,'Status Thresholds'!$E:$AR,38,FALSE),IF((AND($U$4=FALSE,$U$5=TRUE,$U$6=FALSE,$U$7=TRUE)),VLOOKUP($E463,'Status Thresholds'!$E:$AR,28,FALSE)))))))))
))/
IF(OR($X$5=TRUE,$AC$3=TRUE
),($F$6/2), IF(OR($X$2,$X$3,$X$4,$X$6,$X$7,$X$8,$Z$2,$Z$3,$Z$4,$Z$5,$Z$6,$Z$7,$Z$8)=TRUE,$F$6)),0),"-")</f>
        <v>-</v>
      </c>
      <c r="H463" s="36" t="str">
        <f>IFERROR(
ROUNDUP(
IF(AND($U$5=FALSE,$U$4=FALSE),"-",IF(AND($U$5=TRUE,$U$4=TRUE),"-",
IF((AND($U$4=TRUE,$U$5=FALSE,$U$6=FALSE,$U$7=FALSE)),VLOOKUP($E463,'Status Thresholds'!$E:$AR,4,FALSE),IF((AND($U$4=TRUE,$U$5=FALSE,$U$6=TRUE,$U$7=FALSE)),VLOOKUP($E463,'Status Thresholds'!$E:$AR,14,FALSE),IF((AND($U$4=TRUE,$U$5=FALSE,$U$6=TRUE,$U$7=TRUE)),VLOOKUP($E463,'Status Thresholds'!$E:$AR,19,FALSE),IF((AND($U$4=TRUE,$U$5=FALSE,$U$6=FALSE,$U$7=TRUE)),VLOOKUP($E463,'Status Thresholds'!$E:$AR,9,FALSE),
IF((AND($U$4=FALSE,$U$5=TRUE,$U$6=FALSE,$U$7=FALSE)),VLOOKUP($E463,'Status Thresholds'!$E:$AR,24,FALSE),IF((AND($U$4=FALSE,$U$5=TRUE,$U$6=TRUE,$U$7=FALSE)),VLOOKUP($E463,'Status Thresholds'!$E:$AR,34,FALSE),IF((AND($U$4=FALSE,$U$5=TRUE,$U$6=TRUE,$U$7=TRUE)),VLOOKUP($E463,'Status Thresholds'!$E:$AR,39,FALSE),IF((AND($U$4=FALSE,$U$5=TRUE,$U$6=FALSE,$U$7=TRUE)),VLOOKUP($E463,'Status Thresholds'!$E:$AR,29,FALSE)))))))))
))/
IF(OR($X$5=TRUE,$AC$3=TRUE
),($F$6/2), IF(OR($X$2,$X$3,$X$4,$X$6,$X$7,$X$8,$Z$2,$Z$3,$Z$4,$Z$5,$Z$6,$Z$7,$Z$8)=TRUE,$F$6)),0),"-")</f>
        <v>-</v>
      </c>
      <c r="I463" s="36" t="str">
        <f>IFERROR(
ROUNDUP(
IF(AND($U$5=FALSE,$U$4=FALSE),"-",IF(AND($U$5=TRUE,$U$4=TRUE),"-",
IF((AND($U$4=TRUE,$U$5=FALSE,$U$6=FALSE,$U$7=FALSE)),VLOOKUP($E463,'Status Thresholds'!$E:$AR,5,FALSE),IF((AND($U$4=TRUE,$U$5=FALSE,$U$6=TRUE,$U$7=FALSE)),VLOOKUP($E463,'Status Thresholds'!$E:$AR,15,FALSE),IF((AND($U$4=TRUE,$U$5=FALSE,$U$6=TRUE,$U$7=TRUE)),VLOOKUP($E463,'Status Thresholds'!$E:$AR,20,FALSE),IF((AND($U$4=TRUE,$U$5=FALSE,$U$6=FALSE,$U$7=TRUE)),VLOOKUP($E463,'Status Thresholds'!$E:$AR,10,FALSE),
IF((AND($U$4=FALSE,$U$5=TRUE,$U$6=FALSE,$U$7=FALSE)),VLOOKUP($E463,'Status Thresholds'!$E:$AR,25,FALSE),IF((AND($U$4=FALSE,$U$5=TRUE,$U$6=TRUE,$U$7=FALSE)),VLOOKUP($E463,'Status Thresholds'!$E:$AR,35,FALSE),IF((AND($U$4=FALSE,$U$5=TRUE,$U$6=TRUE,$U$7=TRUE)),VLOOKUP($E463,'Status Thresholds'!$E:$AR,40,FALSE),IF((AND($U$4=FALSE,$U$5=TRUE,$U$6=FALSE,$U$7=TRUE)),VLOOKUP($E463,'Status Thresholds'!$E:$AR,30,FALSE)))))))))
))/
IF(OR($X$5=TRUE,$AC$3=TRUE
),($F$6/2), IF(OR($X$2,$X$3,$X$4,$X$6,$X$7,$X$8,$Z$2,$Z$3,$Z$4,$Z$5,$Z$6,$Z$7,$Z$8)=TRUE,$F$6)),0),"-")</f>
        <v>-</v>
      </c>
      <c r="J463" s="46">
        <f>IFERROR(IF(AND($U$5=FALSE,$U$4=FALSE),"-",VLOOKUP($E463,'Status Thresholds'!$E:$AU,41,FALSE)),"-")</f>
        <v>0</v>
      </c>
      <c r="K463" s="46" t="str">
        <f>IFERROR(IF(AND($U$5=FALSE,$U$4=FALSE),"-",VLOOKUP($E463,'Status Thresholds'!$E:$AU,42,FALSE)),"-")</f>
        <v>-</v>
      </c>
      <c r="L463" s="46" t="str">
        <f>IFERROR(IF(AND($U$5=FALSE,$U$4=FALSE),"-",VLOOKUP($E463,'Status Thresholds'!$E:$AU,43,FALSE)),"-")</f>
        <v>-</v>
      </c>
    </row>
    <row r="464" spans="1:12" x14ac:dyDescent="0.25">
      <c r="A464" s="35"/>
      <c r="B464" s="64" t="str">
        <f>VLOOKUP(C464,'Status Thresholds'!B:C,2,FALSE)</f>
        <v>MHGen</v>
      </c>
      <c r="C464" s="64" t="str">
        <f>IF('Status Thresholds'!B459=0, "", 'Status Thresholds'!B459)</f>
        <v>Lagiacrus</v>
      </c>
      <c r="D464" s="30" t="s">
        <v>35</v>
      </c>
      <c r="E464" s="36" t="str">
        <f t="shared" si="6"/>
        <v>LagiacrusBlast</v>
      </c>
      <c r="F464" s="36" t="str">
        <f>IFERROR(
ROUNDUP(
IF(AND($U$5=FALSE,$U$4=FALSE),"-",IF(AND($U$5=TRUE,$U$4=TRUE),"-",
IF((AND($U$4=TRUE,$U$5=FALSE,$U$6=FALSE,$U$7=FALSE)),VLOOKUP($E464,'Status Thresholds'!$E:$AR,2,FALSE),IF((AND($U$4=TRUE,$U$5=FALSE,$U$6=TRUE,$U$7=FALSE)),VLOOKUP($E464,'Status Thresholds'!$E:$AR,12,FALSE),IF((AND($U$4=TRUE,$U$5=FALSE,$U$6=TRUE,$U$7=TRUE)),VLOOKUP($E464,'Status Thresholds'!$E:$AR,17,FALSE),IF((AND($U$4=TRUE,$U$5=FALSE,$U$6=FALSE,$U$7=TRUE)),VLOOKUP($E464,'Status Thresholds'!$E:$AR,7,FALSE),
IF((AND($U$4=FALSE,$U$5=TRUE,$U$6=FALSE,$U$7=FALSE)),VLOOKUP($E464,'Status Thresholds'!$E:$AR,22,FALSE),IF((AND($U$4=FALSE,$U$5=TRUE,$U$6=TRUE,$U$7=FALSE)),VLOOKUP($E464,'Status Thresholds'!$E:$AR,32,FALSE),IF((AND($U$4=FALSE,$U$5=TRUE,$U$6=TRUE,$U$7=TRUE)),VLOOKUP($E464,'Status Thresholds'!$E:$AR,37,FALSE),IF((AND($U$4=FALSE,$U$5=TRUE,$U$6=FALSE,$U$7=TRUE)),VLOOKUP($E464,'Status Thresholds'!$E:$AR,27,FALSE)))))))))
))/
IF(OR($X$5=TRUE,$AC$3=TRUE
),($F$7/2), IF(OR($X$2,$X$3,$X$4,$X$6,$X$7,$X$8,$Z$2,$Z$3,$Z$4,$Z$5,$Z$6,$Z$7,$Z$8)=TRUE,$F$7)),0),"-")</f>
        <v>-</v>
      </c>
      <c r="G464" s="36" t="str">
        <f>IFERROR(
ROUNDUP(
IF(AND($U$5=FALSE,$U$4=FALSE),"-",IF(AND($U$5=TRUE,$U$4=TRUE),"-",
IF((AND($U$4=TRUE,$U$5=FALSE,$U$6=FALSE,$U$7=FALSE)),VLOOKUP($E464,'Status Thresholds'!$E:$AR,3,FALSE),IF((AND($U$4=TRUE,$U$5=FALSE,$U$6=TRUE,$U$7=FALSE)),VLOOKUP($E464,'Status Thresholds'!$E:$AR,13,FALSE),IF((AND($U$4=TRUE,$U$5=FALSE,$U$6=TRUE,$U$7=TRUE)),VLOOKUP($E464,'Status Thresholds'!$E:$AR,18,FALSE),IF((AND($U$4=TRUE,$U$5=FALSE,$U$6=FALSE,$U$7=TRUE)),VLOOKUP($E464,'Status Thresholds'!$E:$AR,8,FALSE),
IF((AND($U$4=FALSE,$U$5=TRUE,$U$6=FALSE,$U$7=FALSE)),VLOOKUP($E464,'Status Thresholds'!$E:$AR,23,FALSE),IF((AND($U$4=FALSE,$U$5=TRUE,$U$6=TRUE,$U$7=FALSE)),VLOOKUP($E464,'Status Thresholds'!$E:$AR,33,FALSE),IF((AND($U$4=FALSE,$U$5=TRUE,$U$6=TRUE,$U$7=TRUE)),VLOOKUP($E464,'Status Thresholds'!$E:$AR,38,FALSE),IF((AND($U$4=FALSE,$U$5=TRUE,$U$6=FALSE,$U$7=TRUE)),VLOOKUP($E464,'Status Thresholds'!$E:$AR,28,FALSE)))))))))
))/
IF(OR($X$5=TRUE,$AC$3=TRUE
),($F$7/2), IF(OR($X$2,$X$3,$X$4,$X$6,$X$7,$X$8,$Z$2,$Z$3,$Z$4,$Z$5,$Z$6,$Z$7,$Z$8)=TRUE,$F$7)),0),"-")</f>
        <v>-</v>
      </c>
      <c r="H464" s="36" t="str">
        <f>IFERROR(
ROUNDUP(
IF(AND($U$5=FALSE,$U$4=FALSE),"-",IF(AND($U$5=TRUE,$U$4=TRUE),"-",
IF((AND($U$4=TRUE,$U$5=FALSE,$U$6=FALSE,$U$7=FALSE)),VLOOKUP($E464,'Status Thresholds'!$E:$AR,4,FALSE),IF((AND($U$4=TRUE,$U$5=FALSE,$U$6=TRUE,$U$7=FALSE)),VLOOKUP($E464,'Status Thresholds'!$E:$AR,14,FALSE),IF((AND($U$4=TRUE,$U$5=FALSE,$U$6=TRUE,$U$7=TRUE)),VLOOKUP($E464,'Status Thresholds'!$E:$AR,19,FALSE),IF((AND($U$4=TRUE,$U$5=FALSE,$U$6=FALSE,$U$7=TRUE)),VLOOKUP($E464,'Status Thresholds'!$E:$AR,9,FALSE),
IF((AND($U$4=FALSE,$U$5=TRUE,$U$6=FALSE,$U$7=FALSE)),VLOOKUP($E464,'Status Thresholds'!$E:$AR,24,FALSE),IF((AND($U$4=FALSE,$U$5=TRUE,$U$6=TRUE,$U$7=FALSE)),VLOOKUP($E464,'Status Thresholds'!$E:$AR,34,FALSE),IF((AND($U$4=FALSE,$U$5=TRUE,$U$6=TRUE,$U$7=TRUE)),VLOOKUP($E464,'Status Thresholds'!$E:$AR,39,FALSE),IF((AND($U$4=FALSE,$U$5=TRUE,$U$6=FALSE,$U$7=TRUE)),VLOOKUP($E464,'Status Thresholds'!$E:$AR,29,FALSE)))))))))
))/
IF(OR($X$5=TRUE,$AC$3=TRUE
),($F$7/2), IF(OR($X$2,$X$3,$X$4,$X$6,$X$7,$X$8,$Z$2,$Z$3,$Z$4,$Z$5,$Z$6,$Z$7,$Z$8)=TRUE,$F$7)),0),"-")</f>
        <v>-</v>
      </c>
      <c r="I464" s="36" t="str">
        <f>IFERROR(
ROUNDUP(
IF(AND($U$5=FALSE,$U$4=FALSE),"-",IF(AND($U$5=TRUE,$U$4=TRUE),"-",
IF((AND($U$4=TRUE,$U$5=FALSE,$U$6=FALSE,$U$7=FALSE)),VLOOKUP($E464,'Status Thresholds'!$E:$AR,5,FALSE),IF((AND($U$4=TRUE,$U$5=FALSE,$U$6=TRUE,$U$7=FALSE)),VLOOKUP($E464,'Status Thresholds'!$E:$AR,15,FALSE),IF((AND($U$4=TRUE,$U$5=FALSE,$U$6=TRUE,$U$7=TRUE)),VLOOKUP($E464,'Status Thresholds'!$E:$AR,20,FALSE),IF((AND($U$4=TRUE,$U$5=FALSE,$U$6=FALSE,$U$7=TRUE)),VLOOKUP($E464,'Status Thresholds'!$E:$AR,10,FALSE),
IF((AND($U$4=FALSE,$U$5=TRUE,$U$6=FALSE,$U$7=FALSE)),VLOOKUP($E464,'Status Thresholds'!$E:$AR,25,FALSE),IF((AND($U$4=FALSE,$U$5=TRUE,$U$6=TRUE,$U$7=FALSE)),VLOOKUP($E464,'Status Thresholds'!$E:$AR,35,FALSE),IF((AND($U$4=FALSE,$U$5=TRUE,$U$6=TRUE,$U$7=TRUE)),VLOOKUP($E464,'Status Thresholds'!$E:$AR,40,FALSE),IF((AND($U$4=FALSE,$U$5=TRUE,$U$6=FALSE,$U$7=TRUE)),VLOOKUP($E464,'Status Thresholds'!$E:$AR,30,FALSE)))))))))
))/
IF(OR($X$5=TRUE,$AC$3=TRUE
),($F$7/2), IF(OR($X$2,$X$3,$X$4,$X$6,$X$7,$X$8,$Z$2,$Z$3,$Z$4,$Z$5,$Z$6,$Z$7,$Z$8)=TRUE,$F$7)),0),"-")</f>
        <v>-</v>
      </c>
      <c r="J464" s="46">
        <f>IFERROR(IF(AND($U$5=FALSE,$U$4=FALSE),"-",VLOOKUP($E464,'Status Thresholds'!$E:$AU,41,FALSE)),"-")</f>
        <v>0</v>
      </c>
      <c r="K464" s="46" t="str">
        <f>IFERROR(IF(AND($U$5=FALSE,$U$4=FALSE),"-",VLOOKUP($E464,'Status Thresholds'!$E:$AU,42,FALSE)),"-")</f>
        <v>-</v>
      </c>
      <c r="L464" s="46" t="str">
        <f>IFERROR(IF(AND($U$5=FALSE,$U$4=FALSE),"-",VLOOKUP($E464,'Status Thresholds'!$E:$AU,43,FALSE)),"-")</f>
        <v>-</v>
      </c>
    </row>
    <row r="465" spans="1:12" ht="14.45" customHeight="1" x14ac:dyDescent="0.25">
      <c r="A465" s="35"/>
      <c r="B465" s="64" t="str">
        <f>VLOOKUP(C465,'Status Thresholds'!B:C,2,FALSE)</f>
        <v>MHGen</v>
      </c>
      <c r="C465" s="64" t="str">
        <f>IF('Status Thresholds'!B460=0, "", 'Status Thresholds'!B460)</f>
        <v>Lagiacrus</v>
      </c>
      <c r="D465" s="34" t="s">
        <v>14</v>
      </c>
      <c r="E465" s="36" t="str">
        <f t="shared" si="6"/>
        <v>LagiacrusKO</v>
      </c>
      <c r="F465" s="36" t="s">
        <v>214</v>
      </c>
      <c r="G465" s="36" t="s">
        <v>214</v>
      </c>
      <c r="H465" s="36" t="s">
        <v>214</v>
      </c>
      <c r="I465" s="36" t="s">
        <v>214</v>
      </c>
      <c r="J465" s="46">
        <f>IFERROR(IF(AND($U$5=FALSE,$U$4=FALSE),"-",VLOOKUP($E465,'Status Thresholds'!$E:$AU,41,FALSE)),"-")</f>
        <v>10</v>
      </c>
      <c r="K465" s="46" t="str">
        <f>IFERROR(IF(AND($U$5=FALSE,$U$4=FALSE),"-",VLOOKUP($E465,'Status Thresholds'!$E:$AU,42,FALSE)),"-")</f>
        <v>-</v>
      </c>
      <c r="L465" s="46" t="str">
        <f>IFERROR(IF(AND($U$5=FALSE,$U$4=FALSE),"-",VLOOKUP($E465,'Status Thresholds'!$E:$AU,43,FALSE)),"-")</f>
        <v>-</v>
      </c>
    </row>
    <row r="466" spans="1:12" x14ac:dyDescent="0.25">
      <c r="A466" s="35"/>
      <c r="B466" s="64" t="str">
        <f>VLOOKUP(C466,'Status Thresholds'!B:C,2,FALSE)</f>
        <v>MHGen</v>
      </c>
      <c r="C466" s="64" t="str">
        <f>IF('Status Thresholds'!B461=0, "", 'Status Thresholds'!B461)</f>
        <v>Lagiacrus</v>
      </c>
      <c r="D466" s="33" t="s">
        <v>34</v>
      </c>
      <c r="E466" s="36" t="str">
        <f t="shared" si="6"/>
        <v>LagiacrusMount</v>
      </c>
      <c r="F466" s="36" t="str">
        <f>IFERROR(
ROUNDUP(
IF(AND($U$5=FALSE,$U$4=FALSE),"-",IF(AND($U$5=TRUE,$U$4=TRUE),"-",
IF((AND($U$4=TRUE,$U$5=FALSE,$U$6=FALSE,$U$7=FALSE)),VLOOKUP($E466,'Status Thresholds'!$E:$AR,2,FALSE),IF((AND($U$4=TRUE,$U$5=FALSE,$U$6=TRUE,$U$7=FALSE)),VLOOKUP($E466,'Status Thresholds'!$E:$AR,12,FALSE),IF((AND($U$4=TRUE,$U$5=FALSE,$U$6=TRUE,$U$7=TRUE)),VLOOKUP($E466,'Status Thresholds'!$E:$AR,17,FALSE),IF((AND($U$4=TRUE,$U$5=FALSE,$U$6=FALSE,$U$7=TRUE)),VLOOKUP($E466,'Status Thresholds'!$E:$AR,7,FALSE),
IF((AND($U$4=FALSE,$U$5=TRUE,$U$6=FALSE,$U$7=FALSE)),VLOOKUP($E466,'Status Thresholds'!$E:$AR,22,FALSE),IF((AND($U$4=FALSE,$U$5=TRUE,$U$6=TRUE,$U$7=FALSE)),VLOOKUP($E466,'Status Thresholds'!$E:$AR,32,FALSE),IF((AND($U$4=FALSE,$U$5=TRUE,$U$6=TRUE,$U$7=TRUE)),VLOOKUP($E466,'Status Thresholds'!$E:$AR,37,FALSE),IF((AND($U$4=FALSE,$U$5=TRUE,$U$6=FALSE,$U$7=TRUE)),VLOOKUP($E466,'Status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466" s="36" t="str">
        <f>IFERROR(
ROUNDUP(
IF(AND($U$5=FALSE,$U$4=FALSE),"-",IF(AND($U$5=TRUE,$U$4=TRUE),"-",
IF((AND($U$4=TRUE,$U$5=FALSE,$U$6=FALSE,$U$7=FALSE)),VLOOKUP($E465,'Status Thresholds'!$E:$AR,3,FALSE),IF((AND($U$4=TRUE,$U$5=FALSE,$U$6=TRUE,$U$7=FALSE)),VLOOKUP($E465,'Status Thresholds'!$E:$AR,13,FALSE),IF((AND($U$4=TRUE,$U$5=FALSE,$U$6=TRUE,$U$7=TRUE)),VLOOKUP($E465,'Status Thresholds'!$E:$AR,18,FALSE),IF((AND($U$4=TRUE,$U$5=FALSE,$U$6=FALSE,$U$7=TRUE)),VLOOKUP($E465,'Status Thresholds'!$E:$AR,8,FALSE),
IF((AND($U$4=FALSE,$U$5=TRUE,$U$6=FALSE,$U$7=FALSE)),VLOOKUP($E465,'Status Thresholds'!$E:$AR,23,FALSE),IF((AND($U$4=FALSE,$U$5=TRUE,$U$6=TRUE,$U$7=FALSE)),VLOOKUP($E465,'Status Thresholds'!$E:$AR,33,FALSE),IF((AND($U$4=FALSE,$U$5=TRUE,$U$6=TRUE,$U$7=TRUE)),VLOOKUP($E465,'Status Thresholds'!$E:$AR,38,FALSE),IF((AND($U$4=FALSE,$U$5=TRUE,$U$6=FALSE,$U$7=TRUE)),VLOOKUP($E465,'Status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466" s="36" t="str">
        <f>IFERROR(
ROUNDUP(
IF(AND($U$5=FALSE,$U$4=FALSE),"-",IF(AND($U$5=TRUE,$U$4=TRUE),"-",
IF((AND($U$4=TRUE,$U$5=FALSE,$U$6=FALSE,$U$7=FALSE)),VLOOKUP($E465,'Status Thresholds'!$E:$AR,4,FALSE),IF((AND($U$4=TRUE,$U$5=FALSE,$U$6=TRUE,$U$7=FALSE)),VLOOKUP($E465,'Status Thresholds'!$E:$AR,14,FALSE),IF((AND($U$4=TRUE,$U$5=FALSE,$U$6=TRUE,$U$7=TRUE)),VLOOKUP($E465,'Status Thresholds'!$E:$AR,19,FALSE),IF((AND($U$4=TRUE,$U$5=FALSE,$U$6=FALSE,$U$7=TRUE)),VLOOKUP($E465,'Status Thresholds'!$E:$AR,9,FALSE),
IF((AND($U$4=FALSE,$U$5=TRUE,$U$6=FALSE,$U$7=FALSE)),VLOOKUP($E465,'Status Thresholds'!$E:$AR,24,FALSE),IF((AND($U$4=FALSE,$U$5=TRUE,$U$6=TRUE,$U$7=FALSE)),VLOOKUP($E465,'Status Thresholds'!$E:$AR,34,FALSE),IF((AND($U$4=FALSE,$U$5=TRUE,$U$6=TRUE,$U$7=TRUE)),VLOOKUP($E465,'Status Thresholds'!$E:$AR,39,FALSE),IF((AND($U$4=FALSE,$U$5=TRUE,$U$6=FALSE,$U$7=TRUE)),VLOOKUP($E465,'Status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466" s="36" t="str">
        <f>IFERROR(
ROUNDUP(
IF(AND($U$5=FALSE,$U$4=FALSE),"-",IF(AND($U$5=TRUE,$U$4=TRUE),"-",
IF((AND($U$4=TRUE,$U$5=FALSE,$U$6=FALSE,$U$7=FALSE)),VLOOKUP($E465,'Status Thresholds'!$E:$AR,5,FALSE),IF((AND($U$4=TRUE,$U$5=FALSE,$U$6=TRUE,$U$7=FALSE)),VLOOKUP($E465,'Status Thresholds'!$E:$AR,15,FALSE),IF((AND($U$4=TRUE,$U$5=FALSE,$U$6=TRUE,$U$7=TRUE)),VLOOKUP($E465,'Status Thresholds'!$E:$AR,20,FALSE),IF((AND($U$4=TRUE,$U$5=FALSE,$U$6=FALSE,$U$7=TRUE)),VLOOKUP($E465,'Status Thresholds'!$E:$AR,10,FALSE),
IF((AND($U$4=FALSE,$U$5=TRUE,$U$6=FALSE,$U$7=FALSE)),VLOOKUP($E465,'Status Thresholds'!$E:$AR,25,FALSE),IF((AND($U$4=FALSE,$U$5=TRUE,$U$6=TRUE,$U$7=FALSE)),VLOOKUP($E465,'Status Thresholds'!$E:$AR,35,FALSE),IF((AND($U$4=FALSE,$U$5=TRUE,$U$6=TRUE,$U$7=TRUE)),VLOOKUP($E465,'Status Thresholds'!$E:$AR,40,FALSE),IF((AND($U$4=FALSE,$U$5=TRUE,$U$6=FALSE,$U$7=TRUE)),VLOOKUP($E465,'Status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466" s="46">
        <f>IFERROR(IF(AND($U$5=FALSE,$U$4=FALSE),"-",VLOOKUP($E466,'Status Thresholds'!$E:$AU,41,FALSE)),"-")</f>
        <v>0</v>
      </c>
      <c r="K466" s="46" t="str">
        <f>IFERROR(IF(AND($U$5=FALSE,$U$4=FALSE),"-",VLOOKUP($E466,'Status Thresholds'!$E:$AU,42,FALSE)),"-")</f>
        <v>-</v>
      </c>
      <c r="L466" s="46" t="str">
        <f>IFERROR(IF(AND($U$5=FALSE,$U$4=FALSE),"-",VLOOKUP($E466,'Status Thresholds'!$E:$AU,43,FALSE)),"-")</f>
        <v>-</v>
      </c>
    </row>
    <row r="467" spans="1:12" ht="15" customHeight="1" x14ac:dyDescent="0.25">
      <c r="A467" s="35"/>
      <c r="B467" s="64" t="str">
        <f>VLOOKUP(C467,'Status Thresholds'!B:C,2,FALSE)</f>
        <v>MHGen</v>
      </c>
      <c r="C467" s="64" t="str">
        <f>IF('Status Thresholds'!B462=0, "", 'Status Thresholds'!B462)</f>
        <v>Lagiacrus</v>
      </c>
      <c r="D467" s="77" t="s">
        <v>207</v>
      </c>
      <c r="E467" s="36" t="str">
        <f t="shared" si="6"/>
        <v>LagiacrusShock Trap</v>
      </c>
      <c r="F467" s="76" t="s">
        <v>214</v>
      </c>
      <c r="G467" s="46" t="s">
        <v>214</v>
      </c>
      <c r="H467" s="46" t="s">
        <v>214</v>
      </c>
      <c r="I467" s="46" t="s">
        <v>214</v>
      </c>
      <c r="J467" s="46">
        <f>IFERROR(IF(AND($U$5=FALSE,$U$4=FALSE),"-",VLOOKUP($E467,'Status Thresholds'!$E:$AU,43,FALSE)),"-")</f>
        <v>8</v>
      </c>
      <c r="K467" s="46">
        <f>IFERROR(IF(AND($U$5=FALSE,$U$4=FALSE),"-",VLOOKUP($E467,'Status Thresholds'!$E:$AU,41,FALSE)),"-")</f>
        <v>4</v>
      </c>
      <c r="L467" s="46">
        <f>IFERROR(IF(AND($U$5=FALSE,$U$4=FALSE),"-",VLOOKUP($E467,'Status Thresholds'!$E:$AU,42,FALSE)),"-")</f>
        <v>12</v>
      </c>
    </row>
    <row r="468" spans="1:12" x14ac:dyDescent="0.25">
      <c r="A468" s="35"/>
      <c r="B468" s="64" t="str">
        <f>VLOOKUP(C468,'Status Thresholds'!B:C,2,FALSE)</f>
        <v>MHGen</v>
      </c>
      <c r="C468" s="64" t="str">
        <f>IF('Status Thresholds'!B463=0, "", 'Status Thresholds'!B463)</f>
        <v>Lagiacrus</v>
      </c>
      <c r="D468" s="77" t="s">
        <v>213</v>
      </c>
      <c r="E468" s="36" t="str">
        <f t="shared" si="6"/>
        <v>LagiacrusPitfall Trap</v>
      </c>
      <c r="F468" s="46" t="s">
        <v>214</v>
      </c>
      <c r="G468" s="46" t="s">
        <v>214</v>
      </c>
      <c r="H468" s="46" t="s">
        <v>214</v>
      </c>
      <c r="I468" s="46" t="s">
        <v>214</v>
      </c>
      <c r="J468" s="46">
        <f>IFERROR(IF(AND($U$5=FALSE,$U$4=FALSE),"-",VLOOKUP($E468,'Status Thresholds'!$E:$AU,43,FALSE)),"-")</f>
        <v>13</v>
      </c>
      <c r="K468" s="46">
        <f>IFERROR(IF(AND($U$5=FALSE,$U$4=FALSE),"-",VLOOKUP($E468,'Status Thresholds'!$E:$AU,41,FALSE)),"-")</f>
        <v>5</v>
      </c>
      <c r="L468" s="46">
        <f>IFERROR(IF(AND($U$5=FALSE,$U$4=FALSE),"-",VLOOKUP($E468,'Status Thresholds'!$E:$AU,42,FALSE)),"-")</f>
        <v>20</v>
      </c>
    </row>
    <row r="469" spans="1:12" s="36" customFormat="1" x14ac:dyDescent="0.25">
      <c r="A469" s="64"/>
      <c r="B469" s="64" t="str">
        <f>VLOOKUP(C469,'Status Thresholds'!B:C,2,FALSE)</f>
        <v>MHGen</v>
      </c>
      <c r="C469" s="64" t="str">
        <f>IF('Status Thresholds'!B464=0, "", 'Status Thresholds'!B464)</f>
        <v>Lagombi</v>
      </c>
      <c r="D469" s="37" t="s">
        <v>0</v>
      </c>
      <c r="E469" s="36" t="str">
        <f t="shared" si="6"/>
        <v>LagombiPara</v>
      </c>
      <c r="F469" s="36" t="str">
        <f>IFERROR(
ROUNDUP(
IF(AND($U$5=FALSE,$U$4=FALSE),"-",IF(AND($U$5=TRUE,$U$4=TRUE),"-",
IF((AND($U$4=TRUE,$U$5=FALSE,$U$6=FALSE,$U$7=FALSE)),VLOOKUP($E469,'Status Thresholds'!$E:$AR,2,FALSE),IF((AND($U$4=TRUE,$U$5=FALSE,$U$6=TRUE,$U$7=FALSE)),VLOOKUP($E469,'Status Thresholds'!$E:$AR,12,FALSE),IF((AND($U$4=TRUE,$U$5=FALSE,$U$6=TRUE,$U$7=TRUE)),VLOOKUP($E469,'Status Thresholds'!$E:$AR,17,FALSE),IF((AND($U$4=TRUE,$U$5=FALSE,$U$6=FALSE,$U$7=TRUE)),VLOOKUP($E469,'Status Thresholds'!$E:$AR,7,FALSE),
IF((AND($U$4=FALSE,$U$5=TRUE,$U$6=FALSE,$U$7=FALSE)),VLOOKUP($E469,'Status Thresholds'!$E:$AR,22,FALSE),IF((AND($U$4=FALSE,$U$5=TRUE,$U$6=TRUE,$U$7=FALSE)),VLOOKUP($E469,'Status Thresholds'!$E:$AR,32,FALSE),IF((AND($U$4=FALSE,$U$5=TRUE,$U$6=TRUE,$U$7=TRUE)),VLOOKUP($E469,'Status Thresholds'!$E:$AR,37,FALSE),IF((AND($U$4=FALSE,$U$5=TRUE,$U$6=FALSE,$U$7=TRUE)),VLOOKUP($E469,'Status Thresholds'!$E:$AR,27,FALSE)))))))))
))/
IF(OR($X$5=TRUE,$AC$3=TRUE
),($F$3/2), IF(OR($X$2,$X$3,$X$4,$X$6,$X$7,$X$8,$Z$2,$Z$3,$Z$4,$Z$5,$Z$6,$Z$7,$Z$8)=TRUE,$F$3)),0),"-")</f>
        <v>-</v>
      </c>
      <c r="G469" s="36" t="str">
        <f>IFERROR(
ROUNDUP(
IF(AND($U$5=FALSE,$U$4=FALSE),"-",IF(AND($U$5=TRUE,$U$4=TRUE),"-",
IF((AND($U$4=TRUE,$U$5=FALSE,$U$6=FALSE,$U$7=FALSE)),VLOOKUP($E469,'Status Thresholds'!$E:$AR,3,FALSE),IF((AND($U$4=TRUE,$U$5=FALSE,$U$6=TRUE,$U$7=FALSE)),VLOOKUP($E469,'Status Thresholds'!$E:$AR,13,FALSE),IF((AND($U$4=TRUE,$U$5=FALSE,$U$6=TRUE,$U$7=TRUE)),VLOOKUP($E469,'Status Thresholds'!$E:$AR,18,FALSE),IF((AND($U$4=TRUE,$U$5=FALSE,$U$6=FALSE,$U$7=TRUE)),VLOOKUP($E469,'Status Thresholds'!$E:$AR,8,FALSE),
IF((AND($U$4=FALSE,$U$5=TRUE,$U$6=FALSE,$U$7=FALSE)),VLOOKUP($E469,'Status Thresholds'!$E:$AR,23,FALSE),IF((AND($U$4=FALSE,$U$5=TRUE,$U$6=TRUE,$U$7=FALSE)),VLOOKUP($E469,'Status Thresholds'!$E:$AR,33,FALSE),IF((AND($U$4=FALSE,$U$5=TRUE,$U$6=TRUE,$U$7=TRUE)),VLOOKUP($E469,'Status Thresholds'!$E:$AR,38,FALSE),IF((AND($U$4=FALSE,$U$5=TRUE,$U$6=FALSE,$U$7=TRUE)),VLOOKUP($E469,'Status Thresholds'!$E:$AR,28,FALSE)))))))))
))/
IF(OR($X$5=TRUE,$AC$3=TRUE
),($F$3/2), IF(OR($X$2,$X$3,$X$4,$X$6,$X$7,$X$8,$Z$2,$Z$3,$Z$4,$Z$5,$Z$6,$Z$7,$Z$8)=TRUE,$F$3)),0),"-")</f>
        <v>-</v>
      </c>
      <c r="H469" s="36" t="str">
        <f>IFERROR(
ROUNDUP(
IF(AND($U$5=FALSE,$U$4=FALSE),"-",IF(AND($U$5=TRUE,$U$4=TRUE),"-",
IF((AND($U$4=TRUE,$U$5=FALSE,$U$6=FALSE,$U$7=FALSE)),VLOOKUP($E469,'Status Thresholds'!$E:$AR,4,FALSE),IF((AND($U$4=TRUE,$U$5=FALSE,$U$6=TRUE,$U$7=FALSE)),VLOOKUP($E469,'Status Thresholds'!$E:$AR,14,FALSE),IF((AND($U$4=TRUE,$U$5=FALSE,$U$6=TRUE,$U$7=TRUE)),VLOOKUP($E469,'Status Thresholds'!$E:$AR,19,FALSE),IF((AND($U$4=TRUE,$U$5=FALSE,$U$6=FALSE,$U$7=TRUE)),VLOOKUP($E469,'Status Thresholds'!$E:$AR,9,FALSE),
IF((AND($U$4=FALSE,$U$5=TRUE,$U$6=FALSE,$U$7=FALSE)),VLOOKUP($E469,'Status Thresholds'!$E:$AR,24,FALSE),IF((AND($U$4=FALSE,$U$5=TRUE,$U$6=TRUE,$U$7=FALSE)),VLOOKUP($E469,'Status Thresholds'!$E:$AR,34,FALSE),IF((AND($U$4=FALSE,$U$5=TRUE,$U$6=TRUE,$U$7=TRUE)),VLOOKUP($E469,'Status Thresholds'!$E:$AR,39,FALSE),IF((AND($U$4=FALSE,$U$5=TRUE,$U$6=FALSE,$U$7=TRUE)),VLOOKUP($E469,'Status Thresholds'!$E:$AR,29,FALSE)))))))))
))/
IF(OR($X$5=TRUE,$AC$3=TRUE
),($F$3/2), IF(OR($X$2,$X$3,$X$4,$X$6,$X$7,$X$8,$Z$2,$Z$3,$Z$4,$Z$5,$Z$6,$Z$7,$Z$8)=TRUE,$F$3)),0),"-")</f>
        <v>-</v>
      </c>
      <c r="I469" s="36" t="str">
        <f>IFERROR(
ROUNDUP(
IF(AND($U$5=FALSE,$U$4=FALSE),"-",IF(AND($U$5=TRUE,$U$4=TRUE),"-",
IF((AND($U$4=TRUE,$U$5=FALSE,$U$6=FALSE,$U$7=FALSE)),VLOOKUP($E469,'Status Thresholds'!$E:$AR,5,FALSE),IF((AND($U$4=TRUE,$U$5=FALSE,$U$6=TRUE,$U$7=FALSE)),VLOOKUP($E469,'Status Thresholds'!$E:$AR,15,FALSE),IF((AND($U$4=TRUE,$U$5=FALSE,$U$6=TRUE,$U$7=TRUE)),VLOOKUP($E469,'Status Thresholds'!$E:$AR,20,FALSE),IF((AND($U$4=TRUE,$U$5=FALSE,$U$6=FALSE,$U$7=TRUE)),VLOOKUP($E469,'Status Thresholds'!$E:$AR,10,FALSE),
IF((AND($U$4=FALSE,$U$5=TRUE,$U$6=FALSE,$U$7=FALSE)),VLOOKUP($E469,'Status Thresholds'!$E:$AR,25,FALSE),IF((AND($U$4=FALSE,$U$5=TRUE,$U$6=TRUE,$U$7=FALSE)),VLOOKUP($E469,'Status Thresholds'!$E:$AR,35,FALSE),IF((AND($U$4=FALSE,$U$5=TRUE,$U$6=TRUE,$U$7=TRUE)),VLOOKUP($E469,'Status Thresholds'!$E:$AR,40,FALSE),IF((AND($U$4=FALSE,$U$5=TRUE,$U$6=FALSE,$U$7=TRUE)),VLOOKUP($E469,'Status Thresholds'!$E:$AR,30,FALSE)))))))))
))/
IF(OR($X$5=TRUE,$AC$3=TRUE
),($F$3/2), IF(OR($X$2,$X$3,$X$4,$X$6,$X$7,$X$8,$Z$2,$Z$3,$Z$4,$Z$5,$Z$6,$Z$7,$Z$8)=TRUE,$F$3)),0),"-")</f>
        <v>-</v>
      </c>
      <c r="J469" s="36">
        <f>IFERROR(IF(AND($U$5=FALSE,$U$4=FALSE),"-",VLOOKUP($E469,'Status Thresholds'!$E:$AU,41,FALSE)),"-")</f>
        <v>10</v>
      </c>
      <c r="K469" s="36" t="str">
        <f>IFERROR(IF(AND($U$5=FALSE,$U$4=FALSE),"-",VLOOKUP($E469,'Status Thresholds'!$E:$AU,42,FALSE)),"-")</f>
        <v>-</v>
      </c>
      <c r="L469" s="36" t="str">
        <f>IFERROR(IF(AND($U$5=FALSE,$U$4=FALSE),"-",VLOOKUP($E469,'Status Thresholds'!$E:$AU,43,FALSE)),"-")</f>
        <v>-</v>
      </c>
    </row>
    <row r="470" spans="1:12" x14ac:dyDescent="0.25">
      <c r="A470" s="35"/>
      <c r="B470" s="64" t="str">
        <f>VLOOKUP(C470,'Status Thresholds'!B:C,2,FALSE)</f>
        <v>MHGen</v>
      </c>
      <c r="C470" s="64" t="str">
        <f>IF('Status Thresholds'!B465=0, "", 'Status Thresholds'!B465)</f>
        <v>Lagombi</v>
      </c>
      <c r="D470" s="31" t="s">
        <v>32</v>
      </c>
      <c r="E470" s="36" t="str">
        <f t="shared" si="6"/>
        <v>LagombiSleep</v>
      </c>
      <c r="F470" s="36" t="str">
        <f>IFERROR(
ROUNDUP(
IF(AND($U$5=FALSE,$U$4=FALSE),"-",IF(AND($U$5=TRUE,$U$4=TRUE),"-",
IF((AND($U$4=TRUE,$U$5=FALSE,$U$6=FALSE,$U$7=FALSE)),VLOOKUP($E470,'Status Thresholds'!$E:$AR,2,FALSE),IF((AND($U$4=TRUE,$U$5=FALSE,$U$6=TRUE,$U$7=FALSE)),VLOOKUP($E470,'Status Thresholds'!$E:$AR,12,FALSE),IF((AND($U$4=TRUE,$U$5=FALSE,$U$6=TRUE,$U$7=TRUE)),VLOOKUP($E470,'Status Thresholds'!$E:$AR,17,FALSE),IF((AND($U$4=TRUE,$U$5=FALSE,$U$6=FALSE,$U$7=TRUE)),VLOOKUP($E470,'Status Thresholds'!$E:$AR,7,FALSE),
IF((AND($U$4=FALSE,$U$5=TRUE,$U$6=FALSE,$U$7=FALSE)),VLOOKUP($E470,'Status Thresholds'!$E:$AR,22,FALSE),IF((AND($U$4=FALSE,$U$5=TRUE,$U$6=TRUE,$U$7=FALSE)),VLOOKUP($E470,'Status Thresholds'!$E:$AR,32,FALSE),IF((AND($U$4=FALSE,$U$5=TRUE,$U$6=TRUE,$U$7=TRUE)),VLOOKUP($E470,'Status Thresholds'!$E:$AR,37,FALSE),IF((AND($U$4=FALSE,$U$5=TRUE,$U$6=FALSE,$U$7=TRUE)),VLOOKUP($E470,'Status Thresholds'!$E:$AR,27,FALSE)))))))))
))/
IF(OR($X$5=TRUE,$AC$3=TRUE
),($F$4/2), IF(OR($X$2,$X$3,$X$4,$X$6,$X$7,$X$8,$Z$2,$Z$3,$Z$4,$Z$5,$Z$6,$Z$7,$Z$8)=TRUE,$F$4)),0),"-")</f>
        <v>-</v>
      </c>
      <c r="G470" s="36" t="str">
        <f>IFERROR(
ROUNDUP(
IF(AND($U$5=FALSE,$U$4=FALSE),"-",IF(AND($U$5=TRUE,$U$4=TRUE),"-",
IF((AND($U$4=TRUE,$U$5=FALSE,$U$6=FALSE,$U$7=FALSE)),VLOOKUP($E470,'Status Thresholds'!$E:$AR,3,FALSE),IF((AND($U$4=TRUE,$U$5=FALSE,$U$6=TRUE,$U$7=FALSE)),VLOOKUP($E470,'Status Thresholds'!$E:$AR,13,FALSE),IF((AND($U$4=TRUE,$U$5=FALSE,$U$6=TRUE,$U$7=TRUE)),VLOOKUP($E470,'Status Thresholds'!$E:$AR,18,FALSE),IF((AND($U$4=TRUE,$U$5=FALSE,$U$6=FALSE,$U$7=TRUE)),VLOOKUP($E470,'Status Thresholds'!$E:$AR,8,FALSE),
IF((AND($U$4=FALSE,$U$5=TRUE,$U$6=FALSE,$U$7=FALSE)),VLOOKUP($E470,'Status Thresholds'!$E:$AR,23,FALSE),IF((AND($U$4=FALSE,$U$5=TRUE,$U$6=TRUE,$U$7=FALSE)),VLOOKUP($E470,'Status Thresholds'!$E:$AR,33,FALSE),IF((AND($U$4=FALSE,$U$5=TRUE,$U$6=TRUE,$U$7=TRUE)),VLOOKUP($E470,'Status Thresholds'!$E:$AR,38,FALSE),IF((AND($U$4=FALSE,$U$5=TRUE,$U$6=FALSE,$U$7=TRUE)),VLOOKUP($E470,'Status Thresholds'!$E:$AR,28,FALSE)))))))))
))/
IF(OR($X$5=TRUE,$AC$3=TRUE
),($F$4/2), IF(OR($X$2,$X$3,$X$4,$X$6,$X$7,$X$8,$Z$2,$Z$3,$Z$4,$Z$5,$Z$6,$Z$7,$Z$8)=TRUE,$F$4)),0),"-")</f>
        <v>-</v>
      </c>
      <c r="H470" s="36" t="str">
        <f>IFERROR(
ROUNDUP(
IF(AND($U$5=FALSE,$U$4=FALSE),"-",IF(AND($U$5=TRUE,$U$4=TRUE),"-",
IF((AND($U$4=TRUE,$U$5=FALSE,$U$6=FALSE,$U$7=FALSE)),VLOOKUP($E470,'Status Thresholds'!$E:$AR,4,FALSE),IF((AND($U$4=TRUE,$U$5=FALSE,$U$6=TRUE,$U$7=FALSE)),VLOOKUP($E470,'Status Thresholds'!$E:$AR,14,FALSE),IF((AND($U$4=TRUE,$U$5=FALSE,$U$6=TRUE,$U$7=TRUE)),VLOOKUP($E470,'Status Thresholds'!$E:$AR,19,FALSE),IF((AND($U$4=TRUE,$U$5=FALSE,$U$6=FALSE,$U$7=TRUE)),VLOOKUP($E470,'Status Thresholds'!$E:$AR,9,FALSE),
IF((AND($U$4=FALSE,$U$5=TRUE,$U$6=FALSE,$U$7=FALSE)),VLOOKUP($E470,'Status Thresholds'!$E:$AR,24,FALSE),IF((AND($U$4=FALSE,$U$5=TRUE,$U$6=TRUE,$U$7=FALSE)),VLOOKUP($E470,'Status Thresholds'!$E:$AR,34,FALSE),IF((AND($U$4=FALSE,$U$5=TRUE,$U$6=TRUE,$U$7=TRUE)),VLOOKUP($E470,'Status Thresholds'!$E:$AR,39,FALSE),IF((AND($U$4=FALSE,$U$5=TRUE,$U$6=FALSE,$U$7=TRUE)),VLOOKUP($E470,'Status Thresholds'!$E:$AR,29,FALSE)))))))))
))/
IF(OR($X$5=TRUE,$AC$3=TRUE
),($F$4/2), IF(OR($X$2,$X$3,$X$4,$X$6,$X$7,$X$8,$Z$2,$Z$3,$Z$4,$Z$5,$Z$6,$Z$7,$Z$8)=TRUE,$F$4)),0),"-")</f>
        <v>-</v>
      </c>
      <c r="I470" s="36" t="str">
        <f>IFERROR(
ROUNDUP(
IF(AND($U$5=FALSE,$U$4=FALSE),"-",IF(AND($U$5=TRUE,$U$4=TRUE),"-",
IF((AND($U$4=TRUE,$U$5=FALSE,$U$6=FALSE,$U$7=FALSE)),VLOOKUP($E470,'Status Thresholds'!$E:$AR,5,FALSE),IF((AND($U$4=TRUE,$U$5=FALSE,$U$6=TRUE,$U$7=FALSE)),VLOOKUP($E470,'Status Thresholds'!$E:$AR,15,FALSE),IF((AND($U$4=TRUE,$U$5=FALSE,$U$6=TRUE,$U$7=TRUE)),VLOOKUP($E470,'Status Thresholds'!$E:$AR,20,FALSE),IF((AND($U$4=TRUE,$U$5=FALSE,$U$6=FALSE,$U$7=TRUE)),VLOOKUP($E470,'Status Thresholds'!$E:$AR,10,FALSE),
IF((AND($U$4=FALSE,$U$5=TRUE,$U$6=FALSE,$U$7=FALSE)),VLOOKUP($E470,'Status Thresholds'!$E:$AR,25,FALSE),IF((AND($U$4=FALSE,$U$5=TRUE,$U$6=TRUE,$U$7=FALSE)),VLOOKUP($E470,'Status Thresholds'!$E:$AR,35,FALSE),IF((AND($U$4=FALSE,$U$5=TRUE,$U$6=TRUE,$U$7=TRUE)),VLOOKUP($E470,'Status Thresholds'!$E:$AR,40,FALSE),IF((AND($U$4=FALSE,$U$5=TRUE,$U$6=FALSE,$U$7=TRUE)),VLOOKUP($E470,'Status Thresholds'!$E:$AR,30,FALSE)))))))))
))/
IF(OR($X$5=TRUE,$AC$3=TRUE
),($F$4/2), IF(OR($X$2,$X$3,$X$4,$X$6,$X$7,$X$8,$Z$2,$Z$3,$Z$4,$Z$5,$Z$6,$Z$7,$Z$8)=TRUE,$F$4)),0),"-")</f>
        <v>-</v>
      </c>
      <c r="J470" s="46">
        <f>IFERROR(IF(AND($U$5=FALSE,$U$4=FALSE),"-",VLOOKUP($E470,'Status Thresholds'!$E:$AU,41,FALSE)),"-")</f>
        <v>60</v>
      </c>
      <c r="K470" s="46" t="str">
        <f>IFERROR(IF(AND($U$5=FALSE,$U$4=FALSE),"-",VLOOKUP($E470,'Status Thresholds'!$E:$AU,42,FALSE)),"-")</f>
        <v>-</v>
      </c>
      <c r="L470" s="46" t="str">
        <f>IFERROR(IF(AND($U$5=FALSE,$U$4=FALSE),"-",VLOOKUP($E470,'Status Thresholds'!$E:$AU,43,FALSE)),"-")</f>
        <v>-</v>
      </c>
    </row>
    <row r="471" spans="1:12" x14ac:dyDescent="0.25">
      <c r="A471" s="35"/>
      <c r="B471" s="64" t="str">
        <f>VLOOKUP(C471,'Status Thresholds'!B:C,2,FALSE)</f>
        <v>MHGen</v>
      </c>
      <c r="C471" s="64" t="str">
        <f>IF('Status Thresholds'!B466=0, "", 'Status Thresholds'!B466)</f>
        <v>Lagombi</v>
      </c>
      <c r="D471" s="32" t="s">
        <v>33</v>
      </c>
      <c r="E471" s="36" t="str">
        <f t="shared" si="6"/>
        <v>LagombiPoison</v>
      </c>
      <c r="F471" s="36" t="str">
        <f>IFERROR(
ROUNDUP(
IF(AND($U$5=FALSE,$U$4=FALSE),"-",IF(AND($U$5=TRUE,$U$4=TRUE),"-",
IF((AND($U$4=TRUE,$U$5=FALSE,$U$6=FALSE,$U$7=FALSE)),VLOOKUP($E471,'Status Thresholds'!$E:$AR,2,FALSE),IF((AND($U$4=TRUE,$U$5=FALSE,$U$6=TRUE,$U$7=FALSE)),VLOOKUP($E471,'Status Thresholds'!$E:$AR,12,FALSE),IF((AND($U$4=TRUE,$U$5=FALSE,$U$6=TRUE,$U$7=TRUE)),VLOOKUP($E471,'Status Thresholds'!$E:$AR,17,FALSE),IF((AND($U$4=TRUE,$U$5=FALSE,$U$6=FALSE,$U$7=TRUE)),VLOOKUP($E471,'Status Thresholds'!$E:$AR,7,FALSE),
IF((AND($U$4=FALSE,$U$5=TRUE,$U$6=FALSE,$U$7=FALSE)),VLOOKUP($E471,'Status Thresholds'!$E:$AR,22,FALSE),IF((AND($U$4=FALSE,$U$5=TRUE,$U$6=TRUE,$U$7=FALSE)),VLOOKUP($E471,'Status Thresholds'!$E:$AR,32,FALSE),IF((AND($U$4=FALSE,$U$5=TRUE,$U$6=TRUE,$U$7=TRUE)),VLOOKUP($E471,'Status Thresholds'!$E:$AR,37,FALSE),IF((AND($U$4=FALSE,$U$5=TRUE,$U$6=FALSE,$U$7=TRUE)),VLOOKUP($E471,'Status Thresholds'!$E:$AR,27,FALSE)))))))))
))/
IF(OR($X$5=TRUE,$AC$3=TRUE
),($F$5/2), IF(OR($X$2,$X$3,$X$4,$X$6,$X$7,$X$8,$Z$2,$Z$3,$Z$4,$Z$5,$Z$6,$Z$7,$Z$8)=TRUE,$F$5)),0),"-")</f>
        <v>-</v>
      </c>
      <c r="G471" s="36" t="str">
        <f>IFERROR(
ROUNDUP(
IF(AND($U$5=FALSE,$U$4=FALSE),"-",IF(AND($U$5=TRUE,$U$4=TRUE),"-",
IF((AND($U$4=TRUE,$U$5=FALSE,$U$6=FALSE,$U$7=FALSE)),VLOOKUP($E471,'Status Thresholds'!$E:$AR,3,FALSE),IF((AND($U$4=TRUE,$U$5=FALSE,$U$6=TRUE,$U$7=FALSE)),VLOOKUP($E471,'Status Thresholds'!$E:$AR,13,FALSE),IF((AND($U$4=TRUE,$U$5=FALSE,$U$6=TRUE,$U$7=TRUE)),VLOOKUP($E471,'Status Thresholds'!$E:$AR,18,FALSE),IF((AND($U$4=TRUE,$U$5=FALSE,$U$6=FALSE,$U$7=TRUE)),VLOOKUP($E471,'Status Thresholds'!$E:$AR,8,FALSE),
IF((AND($U$4=FALSE,$U$5=TRUE,$U$6=FALSE,$U$7=FALSE)),VLOOKUP($E471,'Status Thresholds'!$E:$AR,23,FALSE),IF((AND($U$4=FALSE,$U$5=TRUE,$U$6=TRUE,$U$7=FALSE)),VLOOKUP($E471,'Status Thresholds'!$E:$AR,33,FALSE),IF((AND($U$4=FALSE,$U$5=TRUE,$U$6=TRUE,$U$7=TRUE)),VLOOKUP($E471,'Status Thresholds'!$E:$AR,38,FALSE),IF((AND($U$4=FALSE,$U$5=TRUE,$U$6=FALSE,$U$7=TRUE)),VLOOKUP($E471,'Status Thresholds'!$E:$AR,28,FALSE)))))))))
))/
IF(OR($X$5=TRUE,$AC$3=TRUE
),($F$5/2), IF(OR($X$2,$X$3,$X$4,$X$6,$X$7,$X$8,$Z$2,$Z$3,$Z$4,$Z$5,$Z$6,$Z$7,$Z$8)=TRUE,$F$5)),0),"-")</f>
        <v>-</v>
      </c>
      <c r="H471" s="36" t="str">
        <f>IFERROR(
ROUNDUP(
IF(AND($U$5=FALSE,$U$4=FALSE),"-",IF(AND($U$5=TRUE,$U$4=TRUE),"-",
IF((AND($U$4=TRUE,$U$5=FALSE,$U$6=FALSE,$U$7=FALSE)),VLOOKUP($E471,'Status Thresholds'!$E:$AR,4,FALSE),IF((AND($U$4=TRUE,$U$5=FALSE,$U$6=TRUE,$U$7=FALSE)),VLOOKUP($E471,'Status Thresholds'!$E:$AR,14,FALSE),IF((AND($U$4=TRUE,$U$5=FALSE,$U$6=TRUE,$U$7=TRUE)),VLOOKUP($E471,'Status Thresholds'!$E:$AR,19,FALSE),IF((AND($U$4=TRUE,$U$5=FALSE,$U$6=FALSE,$U$7=TRUE)),VLOOKUP($E471,'Status Thresholds'!$E:$AR,9,FALSE),
IF((AND($U$4=FALSE,$U$5=TRUE,$U$6=FALSE,$U$7=FALSE)),VLOOKUP($E471,'Status Thresholds'!$E:$AR,24,FALSE),IF((AND($U$4=FALSE,$U$5=TRUE,$U$6=TRUE,$U$7=FALSE)),VLOOKUP($E471,'Status Thresholds'!$E:$AR,34,FALSE),IF((AND($U$4=FALSE,$U$5=TRUE,$U$6=TRUE,$U$7=TRUE)),VLOOKUP($E471,'Status Thresholds'!$E:$AR,39,FALSE),IF((AND($U$4=FALSE,$U$5=TRUE,$U$6=FALSE,$U$7=TRUE)),VLOOKUP($E471,'Status Thresholds'!$E:$AR,29,FALSE)))))))))
))/
IF(OR($X$5=TRUE,$AC$3=TRUE
),($F$5/2), IF(OR($X$2,$X$3,$X$4,$X$6,$X$7,$X$8,$Z$2,$Z$3,$Z$4,$Z$5,$Z$6,$Z$7,$Z$8)=TRUE,$F$5)),0),"-")</f>
        <v>-</v>
      </c>
      <c r="I471" s="36" t="str">
        <f>IFERROR(
ROUNDUP(
IF(AND($U$5=FALSE,$U$4=FALSE),"-",IF(AND($U$5=TRUE,$U$4=TRUE),"-",
IF((AND($U$4=TRUE,$U$5=FALSE,$U$6=FALSE,$U$7=FALSE)),VLOOKUP($E471,'Status Thresholds'!$E:$AR,5,FALSE),IF((AND($U$4=TRUE,$U$5=FALSE,$U$6=TRUE,$U$7=FALSE)),VLOOKUP($E471,'Status Thresholds'!$E:$AR,15,FALSE),IF((AND($U$4=TRUE,$U$5=FALSE,$U$6=TRUE,$U$7=TRUE)),VLOOKUP($E471,'Status Thresholds'!$E:$AR,20,FALSE),IF((AND($U$4=TRUE,$U$5=FALSE,$U$6=FALSE,$U$7=TRUE)),VLOOKUP($E471,'Status Thresholds'!$E:$AR,10,FALSE),
IF((AND($U$4=FALSE,$U$5=TRUE,$U$6=FALSE,$U$7=FALSE)),VLOOKUP($E471,'Status Thresholds'!$E:$AR,25,FALSE),IF((AND($U$4=FALSE,$U$5=TRUE,$U$6=TRUE,$U$7=FALSE)),VLOOKUP($E471,'Status Thresholds'!$E:$AR,35,FALSE),IF((AND($U$4=FALSE,$U$5=TRUE,$U$6=TRUE,$U$7=TRUE)),VLOOKUP($E471,'Status Thresholds'!$E:$AR,40,FALSE),IF((AND($U$4=FALSE,$U$5=TRUE,$U$6=FALSE,$U$7=TRUE)),VLOOKUP($E471,'Status Thresholds'!$E:$AR,30,FALSE)))))))))
))/
IF(OR($X$5=TRUE,$AC$3=TRUE
),($F$5/2), IF(OR($X$2,$X$3,$X$4,$X$6,$X$7,$X$8,$Z$2,$Z$3,$Z$4,$Z$5,$Z$6,$Z$7,$Z$8)=TRUE,$F$5)),0),"-")</f>
        <v>-</v>
      </c>
      <c r="J471" s="46">
        <f>IFERROR(IF(AND($U$5=FALSE,$U$4=FALSE),"-",VLOOKUP($E471,'Status Thresholds'!$E:$AU,41,FALSE)),"-")</f>
        <v>60</v>
      </c>
      <c r="K471" s="46" t="str">
        <f>IFERROR(IF(AND($U$5=FALSE,$U$4=FALSE),"-",VLOOKUP($E471,'Status Thresholds'!$E:$AU,42,FALSE)),"-")</f>
        <v>-</v>
      </c>
      <c r="L471" s="46" t="str">
        <f>IFERROR(IF(AND($U$5=FALSE,$U$4=FALSE),"-",VLOOKUP($E471,'Status Thresholds'!$E:$AU,43,FALSE)),"-")</f>
        <v>-</v>
      </c>
    </row>
    <row r="472" spans="1:12" x14ac:dyDescent="0.25">
      <c r="A472" s="35"/>
      <c r="B472" s="64" t="str">
        <f>VLOOKUP(C472,'Status Thresholds'!B:C,2,FALSE)</f>
        <v>MHGen</v>
      </c>
      <c r="C472" s="64" t="str">
        <f>IF('Status Thresholds'!B467=0, "", 'Status Thresholds'!B467)</f>
        <v>Lagombi</v>
      </c>
      <c r="D472" s="10" t="s">
        <v>22</v>
      </c>
      <c r="E472" s="36" t="str">
        <f t="shared" si="6"/>
        <v>LagombiExhaust</v>
      </c>
      <c r="F472" s="36" t="str">
        <f>IFERROR(
ROUNDUP(
IF(AND($U$5=FALSE,$U$4=FALSE),"-",IF(AND($U$5=TRUE,$U$4=TRUE),"-",
IF((AND($U$4=TRUE,$U$5=FALSE,$U$6=FALSE,$U$7=FALSE)),VLOOKUP($E472,'Status Thresholds'!$E:$AR,2,FALSE),IF((AND($U$4=TRUE,$U$5=FALSE,$U$6=TRUE,$U$7=FALSE)),VLOOKUP($E472,'Status Thresholds'!$E:$AR,12,FALSE),IF((AND($U$4=TRUE,$U$5=FALSE,$U$6=TRUE,$U$7=TRUE)),VLOOKUP($E472,'Status Thresholds'!$E:$AR,17,FALSE),IF((AND($U$4=TRUE,$U$5=FALSE,$U$6=FALSE,$U$7=TRUE)),VLOOKUP($E472,'Status Thresholds'!$E:$AR,7,FALSE),
IF((AND($U$4=FALSE,$U$5=TRUE,$U$6=FALSE,$U$7=FALSE)),VLOOKUP($E472,'Status Thresholds'!$E:$AR,22,FALSE),IF((AND($U$4=FALSE,$U$5=TRUE,$U$6=TRUE,$U$7=FALSE)),VLOOKUP($E472,'Status Thresholds'!$E:$AR,32,FALSE),IF((AND($U$4=FALSE,$U$5=TRUE,$U$6=TRUE,$U$7=TRUE)),VLOOKUP($E472,'Status Thresholds'!$E:$AR,37,FALSE),IF((AND($U$4=FALSE,$U$5=TRUE,$U$6=FALSE,$U$7=TRUE)),VLOOKUP($E472,'Status Thresholds'!$E:$AR,27,FALSE)))))))))
))/
IF(OR($X$5=TRUE,$AC$3=TRUE
),($F$6/2), IF(OR($X$2,$X$3,$X$4,$X$6,$X$7,$X$8,$Z$2,$Z$3,$Z$4,$Z$5,$Z$6,$Z$7,$Z$8)=TRUE,$F$6)),0),"-")</f>
        <v>-</v>
      </c>
      <c r="G472" s="36" t="str">
        <f>IFERROR(
ROUNDUP(
IF(AND($U$5=FALSE,$U$4=FALSE),"-",IF(AND($U$5=TRUE,$U$4=TRUE),"-",
IF((AND($U$4=TRUE,$U$5=FALSE,$U$6=FALSE,$U$7=FALSE)),VLOOKUP($E472,'Status Thresholds'!$E:$AR,3,FALSE),IF((AND($U$4=TRUE,$U$5=FALSE,$U$6=TRUE,$U$7=FALSE)),VLOOKUP($E472,'Status Thresholds'!$E:$AR,13,FALSE),IF((AND($U$4=TRUE,$U$5=FALSE,$U$6=TRUE,$U$7=TRUE)),VLOOKUP($E472,'Status Thresholds'!$E:$AR,18,FALSE),IF((AND($U$4=TRUE,$U$5=FALSE,$U$6=FALSE,$U$7=TRUE)),VLOOKUP($E472,'Status Thresholds'!$E:$AR,8,FALSE),
IF((AND($U$4=FALSE,$U$5=TRUE,$U$6=FALSE,$U$7=FALSE)),VLOOKUP($E472,'Status Thresholds'!$E:$AR,23,FALSE),IF((AND($U$4=FALSE,$U$5=TRUE,$U$6=TRUE,$U$7=FALSE)),VLOOKUP($E472,'Status Thresholds'!$E:$AR,33,FALSE),IF((AND($U$4=FALSE,$U$5=TRUE,$U$6=TRUE,$U$7=TRUE)),VLOOKUP($E472,'Status Thresholds'!$E:$AR,38,FALSE),IF((AND($U$4=FALSE,$U$5=TRUE,$U$6=FALSE,$U$7=TRUE)),VLOOKUP($E472,'Status Thresholds'!$E:$AR,28,FALSE)))))))))
))/
IF(OR($X$5=TRUE,$AC$3=TRUE
),($F$6/2), IF(OR($X$2,$X$3,$X$4,$X$6,$X$7,$X$8,$Z$2,$Z$3,$Z$4,$Z$5,$Z$6,$Z$7,$Z$8)=TRUE,$F$6)),0),"-")</f>
        <v>-</v>
      </c>
      <c r="H472" s="36" t="str">
        <f>IFERROR(
ROUNDUP(
IF(AND($U$5=FALSE,$U$4=FALSE),"-",IF(AND($U$5=TRUE,$U$4=TRUE),"-",
IF((AND($U$4=TRUE,$U$5=FALSE,$U$6=FALSE,$U$7=FALSE)),VLOOKUP($E472,'Status Thresholds'!$E:$AR,4,FALSE),IF((AND($U$4=TRUE,$U$5=FALSE,$U$6=TRUE,$U$7=FALSE)),VLOOKUP($E472,'Status Thresholds'!$E:$AR,14,FALSE),IF((AND($U$4=TRUE,$U$5=FALSE,$U$6=TRUE,$U$7=TRUE)),VLOOKUP($E472,'Status Thresholds'!$E:$AR,19,FALSE),IF((AND($U$4=TRUE,$U$5=FALSE,$U$6=FALSE,$U$7=TRUE)),VLOOKUP($E472,'Status Thresholds'!$E:$AR,9,FALSE),
IF((AND($U$4=FALSE,$U$5=TRUE,$U$6=FALSE,$U$7=FALSE)),VLOOKUP($E472,'Status Thresholds'!$E:$AR,24,FALSE),IF((AND($U$4=FALSE,$U$5=TRUE,$U$6=TRUE,$U$7=FALSE)),VLOOKUP($E472,'Status Thresholds'!$E:$AR,34,FALSE),IF((AND($U$4=FALSE,$U$5=TRUE,$U$6=TRUE,$U$7=TRUE)),VLOOKUP($E472,'Status Thresholds'!$E:$AR,39,FALSE),IF((AND($U$4=FALSE,$U$5=TRUE,$U$6=FALSE,$U$7=TRUE)),VLOOKUP($E472,'Status Thresholds'!$E:$AR,29,FALSE)))))))))
))/
IF(OR($X$5=TRUE,$AC$3=TRUE
),($F$6/2), IF(OR($X$2,$X$3,$X$4,$X$6,$X$7,$X$8,$Z$2,$Z$3,$Z$4,$Z$5,$Z$6,$Z$7,$Z$8)=TRUE,$F$6)),0),"-")</f>
        <v>-</v>
      </c>
      <c r="I472" s="36" t="str">
        <f>IFERROR(
ROUNDUP(
IF(AND($U$5=FALSE,$U$4=FALSE),"-",IF(AND($U$5=TRUE,$U$4=TRUE),"-",
IF((AND($U$4=TRUE,$U$5=FALSE,$U$6=FALSE,$U$7=FALSE)),VLOOKUP($E472,'Status Thresholds'!$E:$AR,5,FALSE),IF((AND($U$4=TRUE,$U$5=FALSE,$U$6=TRUE,$U$7=FALSE)),VLOOKUP($E472,'Status Thresholds'!$E:$AR,15,FALSE),IF((AND($U$4=TRUE,$U$5=FALSE,$U$6=TRUE,$U$7=TRUE)),VLOOKUP($E472,'Status Thresholds'!$E:$AR,20,FALSE),IF((AND($U$4=TRUE,$U$5=FALSE,$U$6=FALSE,$U$7=TRUE)),VLOOKUP($E472,'Status Thresholds'!$E:$AR,10,FALSE),
IF((AND($U$4=FALSE,$U$5=TRUE,$U$6=FALSE,$U$7=FALSE)),VLOOKUP($E472,'Status Thresholds'!$E:$AR,25,FALSE),IF((AND($U$4=FALSE,$U$5=TRUE,$U$6=TRUE,$U$7=FALSE)),VLOOKUP($E472,'Status Thresholds'!$E:$AR,35,FALSE),IF((AND($U$4=FALSE,$U$5=TRUE,$U$6=TRUE,$U$7=TRUE)),VLOOKUP($E472,'Status Thresholds'!$E:$AR,40,FALSE),IF((AND($U$4=FALSE,$U$5=TRUE,$U$6=FALSE,$U$7=TRUE)),VLOOKUP($E472,'Status Thresholds'!$E:$AR,30,FALSE)))))))))
))/
IF(OR($X$5=TRUE,$AC$3=TRUE
),($F$6/2), IF(OR($X$2,$X$3,$X$4,$X$6,$X$7,$X$8,$Z$2,$Z$3,$Z$4,$Z$5,$Z$6,$Z$7,$Z$8)=TRUE,$F$6)),0),"-")</f>
        <v>-</v>
      </c>
      <c r="J472" s="46">
        <f>IFERROR(IF(AND($U$5=FALSE,$U$4=FALSE),"-",VLOOKUP($E472,'Status Thresholds'!$E:$AU,41,FALSE)),"-")</f>
        <v>0</v>
      </c>
      <c r="K472" s="46" t="str">
        <f>IFERROR(IF(AND($U$5=FALSE,$U$4=FALSE),"-",VLOOKUP($E472,'Status Thresholds'!$E:$AU,42,FALSE)),"-")</f>
        <v>-</v>
      </c>
      <c r="L472" s="46" t="str">
        <f>IFERROR(IF(AND($U$5=FALSE,$U$4=FALSE),"-",VLOOKUP($E472,'Status Thresholds'!$E:$AU,43,FALSE)),"-")</f>
        <v>-</v>
      </c>
    </row>
    <row r="473" spans="1:12" x14ac:dyDescent="0.25">
      <c r="A473" s="35"/>
      <c r="B473" s="64" t="str">
        <f>VLOOKUP(C473,'Status Thresholds'!B:C,2,FALSE)</f>
        <v>MHGen</v>
      </c>
      <c r="C473" s="64" t="str">
        <f>IF('Status Thresholds'!B468=0, "", 'Status Thresholds'!B468)</f>
        <v>Lagombi</v>
      </c>
      <c r="D473" s="30" t="s">
        <v>35</v>
      </c>
      <c r="E473" s="36" t="str">
        <f t="shared" si="6"/>
        <v>LagombiBlast</v>
      </c>
      <c r="F473" s="36" t="str">
        <f>IFERROR(
ROUNDUP(
IF(AND($U$5=FALSE,$U$4=FALSE),"-",IF(AND($U$5=TRUE,$U$4=TRUE),"-",
IF((AND($U$4=TRUE,$U$5=FALSE,$U$6=FALSE,$U$7=FALSE)),VLOOKUP($E473,'Status Thresholds'!$E:$AR,2,FALSE),IF((AND($U$4=TRUE,$U$5=FALSE,$U$6=TRUE,$U$7=FALSE)),VLOOKUP($E473,'Status Thresholds'!$E:$AR,12,FALSE),IF((AND($U$4=TRUE,$U$5=FALSE,$U$6=TRUE,$U$7=TRUE)),VLOOKUP($E473,'Status Thresholds'!$E:$AR,17,FALSE),IF((AND($U$4=TRUE,$U$5=FALSE,$U$6=FALSE,$U$7=TRUE)),VLOOKUP($E473,'Status Thresholds'!$E:$AR,7,FALSE),
IF((AND($U$4=FALSE,$U$5=TRUE,$U$6=FALSE,$U$7=FALSE)),VLOOKUP($E473,'Status Thresholds'!$E:$AR,22,FALSE),IF((AND($U$4=FALSE,$U$5=TRUE,$U$6=TRUE,$U$7=FALSE)),VLOOKUP($E473,'Status Thresholds'!$E:$AR,32,FALSE),IF((AND($U$4=FALSE,$U$5=TRUE,$U$6=TRUE,$U$7=TRUE)),VLOOKUP($E473,'Status Thresholds'!$E:$AR,37,FALSE),IF((AND($U$4=FALSE,$U$5=TRUE,$U$6=FALSE,$U$7=TRUE)),VLOOKUP($E473,'Status Thresholds'!$E:$AR,27,FALSE)))))))))
))/
IF(OR($X$5=TRUE,$AC$3=TRUE
),($F$7/2), IF(OR($X$2,$X$3,$X$4,$X$6,$X$7,$X$8,$Z$2,$Z$3,$Z$4,$Z$5,$Z$6,$Z$7,$Z$8)=TRUE,$F$7)),0),"-")</f>
        <v>-</v>
      </c>
      <c r="G473" s="36" t="str">
        <f>IFERROR(
ROUNDUP(
IF(AND($U$5=FALSE,$U$4=FALSE),"-",IF(AND($U$5=TRUE,$U$4=TRUE),"-",
IF((AND($U$4=TRUE,$U$5=FALSE,$U$6=FALSE,$U$7=FALSE)),VLOOKUP($E473,'Status Thresholds'!$E:$AR,3,FALSE),IF((AND($U$4=TRUE,$U$5=FALSE,$U$6=TRUE,$U$7=FALSE)),VLOOKUP($E473,'Status Thresholds'!$E:$AR,13,FALSE),IF((AND($U$4=TRUE,$U$5=FALSE,$U$6=TRUE,$U$7=TRUE)),VLOOKUP($E473,'Status Thresholds'!$E:$AR,18,FALSE),IF((AND($U$4=TRUE,$U$5=FALSE,$U$6=FALSE,$U$7=TRUE)),VLOOKUP($E473,'Status Thresholds'!$E:$AR,8,FALSE),
IF((AND($U$4=FALSE,$U$5=TRUE,$U$6=FALSE,$U$7=FALSE)),VLOOKUP($E473,'Status Thresholds'!$E:$AR,23,FALSE),IF((AND($U$4=FALSE,$U$5=TRUE,$U$6=TRUE,$U$7=FALSE)),VLOOKUP($E473,'Status Thresholds'!$E:$AR,33,FALSE),IF((AND($U$4=FALSE,$U$5=TRUE,$U$6=TRUE,$U$7=TRUE)),VLOOKUP($E473,'Status Thresholds'!$E:$AR,38,FALSE),IF((AND($U$4=FALSE,$U$5=TRUE,$U$6=FALSE,$U$7=TRUE)),VLOOKUP($E473,'Status Thresholds'!$E:$AR,28,FALSE)))))))))
))/
IF(OR($X$5=TRUE,$AC$3=TRUE
),($F$7/2), IF(OR($X$2,$X$3,$X$4,$X$6,$X$7,$X$8,$Z$2,$Z$3,$Z$4,$Z$5,$Z$6,$Z$7,$Z$8)=TRUE,$F$7)),0),"-")</f>
        <v>-</v>
      </c>
      <c r="H473" s="36" t="str">
        <f>IFERROR(
ROUNDUP(
IF(AND($U$5=FALSE,$U$4=FALSE),"-",IF(AND($U$5=TRUE,$U$4=TRUE),"-",
IF((AND($U$4=TRUE,$U$5=FALSE,$U$6=FALSE,$U$7=FALSE)),VLOOKUP($E473,'Status Thresholds'!$E:$AR,4,FALSE),IF((AND($U$4=TRUE,$U$5=FALSE,$U$6=TRUE,$U$7=FALSE)),VLOOKUP($E473,'Status Thresholds'!$E:$AR,14,FALSE),IF((AND($U$4=TRUE,$U$5=FALSE,$U$6=TRUE,$U$7=TRUE)),VLOOKUP($E473,'Status Thresholds'!$E:$AR,19,FALSE),IF((AND($U$4=TRUE,$U$5=FALSE,$U$6=FALSE,$U$7=TRUE)),VLOOKUP($E473,'Status Thresholds'!$E:$AR,9,FALSE),
IF((AND($U$4=FALSE,$U$5=TRUE,$U$6=FALSE,$U$7=FALSE)),VLOOKUP($E473,'Status Thresholds'!$E:$AR,24,FALSE),IF((AND($U$4=FALSE,$U$5=TRUE,$U$6=TRUE,$U$7=FALSE)),VLOOKUP($E473,'Status Thresholds'!$E:$AR,34,FALSE),IF((AND($U$4=FALSE,$U$5=TRUE,$U$6=TRUE,$U$7=TRUE)),VLOOKUP($E473,'Status Thresholds'!$E:$AR,39,FALSE),IF((AND($U$4=FALSE,$U$5=TRUE,$U$6=FALSE,$U$7=TRUE)),VLOOKUP($E473,'Status Thresholds'!$E:$AR,29,FALSE)))))))))
))/
IF(OR($X$5=TRUE,$AC$3=TRUE
),($F$7/2), IF(OR($X$2,$X$3,$X$4,$X$6,$X$7,$X$8,$Z$2,$Z$3,$Z$4,$Z$5,$Z$6,$Z$7,$Z$8)=TRUE,$F$7)),0),"-")</f>
        <v>-</v>
      </c>
      <c r="I473" s="36" t="str">
        <f>IFERROR(
ROUNDUP(
IF(AND($U$5=FALSE,$U$4=FALSE),"-",IF(AND($U$5=TRUE,$U$4=TRUE),"-",
IF((AND($U$4=TRUE,$U$5=FALSE,$U$6=FALSE,$U$7=FALSE)),VLOOKUP($E473,'Status Thresholds'!$E:$AR,5,FALSE),IF((AND($U$4=TRUE,$U$5=FALSE,$U$6=TRUE,$U$7=FALSE)),VLOOKUP($E473,'Status Thresholds'!$E:$AR,15,FALSE),IF((AND($U$4=TRUE,$U$5=FALSE,$U$6=TRUE,$U$7=TRUE)),VLOOKUP($E473,'Status Thresholds'!$E:$AR,20,FALSE),IF((AND($U$4=TRUE,$U$5=FALSE,$U$6=FALSE,$U$7=TRUE)),VLOOKUP($E473,'Status Thresholds'!$E:$AR,10,FALSE),
IF((AND($U$4=FALSE,$U$5=TRUE,$U$6=FALSE,$U$7=FALSE)),VLOOKUP($E473,'Status Thresholds'!$E:$AR,25,FALSE),IF((AND($U$4=FALSE,$U$5=TRUE,$U$6=TRUE,$U$7=FALSE)),VLOOKUP($E473,'Status Thresholds'!$E:$AR,35,FALSE),IF((AND($U$4=FALSE,$U$5=TRUE,$U$6=TRUE,$U$7=TRUE)),VLOOKUP($E473,'Status Thresholds'!$E:$AR,40,FALSE),IF((AND($U$4=FALSE,$U$5=TRUE,$U$6=FALSE,$U$7=TRUE)),VLOOKUP($E473,'Status Thresholds'!$E:$AR,30,FALSE)))))))))
))/
IF(OR($X$5=TRUE,$AC$3=TRUE
),($F$7/2), IF(OR($X$2,$X$3,$X$4,$X$6,$X$7,$X$8,$Z$2,$Z$3,$Z$4,$Z$5,$Z$6,$Z$7,$Z$8)=TRUE,$F$7)),0),"-")</f>
        <v>-</v>
      </c>
      <c r="J473" s="46">
        <f>IFERROR(IF(AND($U$5=FALSE,$U$4=FALSE),"-",VLOOKUP($E473,'Status Thresholds'!$E:$AU,41,FALSE)),"-")</f>
        <v>0</v>
      </c>
      <c r="K473" s="46" t="str">
        <f>IFERROR(IF(AND($U$5=FALSE,$U$4=FALSE),"-",VLOOKUP($E473,'Status Thresholds'!$E:$AU,42,FALSE)),"-")</f>
        <v>-</v>
      </c>
      <c r="L473" s="46" t="str">
        <f>IFERROR(IF(AND($U$5=FALSE,$U$4=FALSE),"-",VLOOKUP($E473,'Status Thresholds'!$E:$AU,43,FALSE)),"-")</f>
        <v>-</v>
      </c>
    </row>
    <row r="474" spans="1:12" ht="14.45" customHeight="1" x14ac:dyDescent="0.25">
      <c r="A474" s="35"/>
      <c r="B474" s="64" t="str">
        <f>VLOOKUP(C474,'Status Thresholds'!B:C,2,FALSE)</f>
        <v>MHGen</v>
      </c>
      <c r="C474" s="64" t="str">
        <f>IF('Status Thresholds'!B469=0, "", 'Status Thresholds'!B469)</f>
        <v>Lagombi</v>
      </c>
      <c r="D474" s="34" t="s">
        <v>14</v>
      </c>
      <c r="E474" s="36" t="str">
        <f t="shared" si="6"/>
        <v>LagombiKO</v>
      </c>
      <c r="F474" s="36" t="s">
        <v>214</v>
      </c>
      <c r="G474" s="36" t="s">
        <v>214</v>
      </c>
      <c r="H474" s="36" t="s">
        <v>214</v>
      </c>
      <c r="I474" s="36" t="s">
        <v>214</v>
      </c>
      <c r="J474" s="46">
        <f>IFERROR(IF(AND($U$5=FALSE,$U$4=FALSE),"-",VLOOKUP($E474,'Status Thresholds'!$E:$AU,41,FALSE)),"-")</f>
        <v>10</v>
      </c>
      <c r="K474" s="46" t="str">
        <f>IFERROR(IF(AND($U$5=FALSE,$U$4=FALSE),"-",VLOOKUP($E474,'Status Thresholds'!$E:$AU,42,FALSE)),"-")</f>
        <v>-</v>
      </c>
      <c r="L474" s="46" t="str">
        <f>IFERROR(IF(AND($U$5=FALSE,$U$4=FALSE),"-",VLOOKUP($E474,'Status Thresholds'!$E:$AU,43,FALSE)),"-")</f>
        <v>-</v>
      </c>
    </row>
    <row r="475" spans="1:12" x14ac:dyDescent="0.25">
      <c r="A475" s="35"/>
      <c r="B475" s="64" t="str">
        <f>VLOOKUP(C475,'Status Thresholds'!B:C,2,FALSE)</f>
        <v>MHGen</v>
      </c>
      <c r="C475" s="64" t="str">
        <f>IF('Status Thresholds'!B470=0, "", 'Status Thresholds'!B470)</f>
        <v>Lagombi</v>
      </c>
      <c r="D475" s="33" t="s">
        <v>34</v>
      </c>
      <c r="E475" s="36" t="str">
        <f t="shared" si="6"/>
        <v>LagombiMount</v>
      </c>
      <c r="F475" s="36" t="str">
        <f>IFERROR(
ROUNDUP(
IF(AND($U$5=FALSE,$U$4=FALSE),"-",IF(AND($U$5=TRUE,$U$4=TRUE),"-",
IF((AND($U$4=TRUE,$U$5=FALSE,$U$6=FALSE,$U$7=FALSE)),VLOOKUP($E475,'Status Thresholds'!$E:$AR,2,FALSE),IF((AND($U$4=TRUE,$U$5=FALSE,$U$6=TRUE,$U$7=FALSE)),VLOOKUP($E475,'Status Thresholds'!$E:$AR,12,FALSE),IF((AND($U$4=TRUE,$U$5=FALSE,$U$6=TRUE,$U$7=TRUE)),VLOOKUP($E475,'Status Thresholds'!$E:$AR,17,FALSE),IF((AND($U$4=TRUE,$U$5=FALSE,$U$6=FALSE,$U$7=TRUE)),VLOOKUP($E475,'Status Thresholds'!$E:$AR,7,FALSE),
IF((AND($U$4=FALSE,$U$5=TRUE,$U$6=FALSE,$U$7=FALSE)),VLOOKUP($E475,'Status Thresholds'!$E:$AR,22,FALSE),IF((AND($U$4=FALSE,$U$5=TRUE,$U$6=TRUE,$U$7=FALSE)),VLOOKUP($E475,'Status Thresholds'!$E:$AR,32,FALSE),IF((AND($U$4=FALSE,$U$5=TRUE,$U$6=TRUE,$U$7=TRUE)),VLOOKUP($E475,'Status Thresholds'!$E:$AR,37,FALSE),IF((AND($U$4=FALSE,$U$5=TRUE,$U$6=FALSE,$U$7=TRUE)),VLOOKUP($E475,'Status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475" s="36" t="str">
        <f>IFERROR(
ROUNDUP(
IF(AND($U$5=FALSE,$U$4=FALSE),"-",IF(AND($U$5=TRUE,$U$4=TRUE),"-",
IF((AND($U$4=TRUE,$U$5=FALSE,$U$6=FALSE,$U$7=FALSE)),VLOOKUP($E474,'Status Thresholds'!$E:$AR,3,FALSE),IF((AND($U$4=TRUE,$U$5=FALSE,$U$6=TRUE,$U$7=FALSE)),VLOOKUP($E474,'Status Thresholds'!$E:$AR,13,FALSE),IF((AND($U$4=TRUE,$U$5=FALSE,$U$6=TRUE,$U$7=TRUE)),VLOOKUP($E474,'Status Thresholds'!$E:$AR,18,FALSE),IF((AND($U$4=TRUE,$U$5=FALSE,$U$6=FALSE,$U$7=TRUE)),VLOOKUP($E474,'Status Thresholds'!$E:$AR,8,FALSE),
IF((AND($U$4=FALSE,$U$5=TRUE,$U$6=FALSE,$U$7=FALSE)),VLOOKUP($E474,'Status Thresholds'!$E:$AR,23,FALSE),IF((AND($U$4=FALSE,$U$5=TRUE,$U$6=TRUE,$U$7=FALSE)),VLOOKUP($E474,'Status Thresholds'!$E:$AR,33,FALSE),IF((AND($U$4=FALSE,$U$5=TRUE,$U$6=TRUE,$U$7=TRUE)),VLOOKUP($E474,'Status Thresholds'!$E:$AR,38,FALSE),IF((AND($U$4=FALSE,$U$5=TRUE,$U$6=FALSE,$U$7=TRUE)),VLOOKUP($E474,'Status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475" s="36" t="str">
        <f>IFERROR(
ROUNDUP(
IF(AND($U$5=FALSE,$U$4=FALSE),"-",IF(AND($U$5=TRUE,$U$4=TRUE),"-",
IF((AND($U$4=TRUE,$U$5=FALSE,$U$6=FALSE,$U$7=FALSE)),VLOOKUP($E474,'Status Thresholds'!$E:$AR,4,FALSE),IF((AND($U$4=TRUE,$U$5=FALSE,$U$6=TRUE,$U$7=FALSE)),VLOOKUP($E474,'Status Thresholds'!$E:$AR,14,FALSE),IF((AND($U$4=TRUE,$U$5=FALSE,$U$6=TRUE,$U$7=TRUE)),VLOOKUP($E474,'Status Thresholds'!$E:$AR,19,FALSE),IF((AND($U$4=TRUE,$U$5=FALSE,$U$6=FALSE,$U$7=TRUE)),VLOOKUP($E474,'Status Thresholds'!$E:$AR,9,FALSE),
IF((AND($U$4=FALSE,$U$5=TRUE,$U$6=FALSE,$U$7=FALSE)),VLOOKUP($E474,'Status Thresholds'!$E:$AR,24,FALSE),IF((AND($U$4=FALSE,$U$5=TRUE,$U$6=TRUE,$U$7=FALSE)),VLOOKUP($E474,'Status Thresholds'!$E:$AR,34,FALSE),IF((AND($U$4=FALSE,$U$5=TRUE,$U$6=TRUE,$U$7=TRUE)),VLOOKUP($E474,'Status Thresholds'!$E:$AR,39,FALSE),IF((AND($U$4=FALSE,$U$5=TRUE,$U$6=FALSE,$U$7=TRUE)),VLOOKUP($E474,'Status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475" s="36" t="str">
        <f>IFERROR(
ROUNDUP(
IF(AND($U$5=FALSE,$U$4=FALSE),"-",IF(AND($U$5=TRUE,$U$4=TRUE),"-",
IF((AND($U$4=TRUE,$U$5=FALSE,$U$6=FALSE,$U$7=FALSE)),VLOOKUP($E474,'Status Thresholds'!$E:$AR,5,FALSE),IF((AND($U$4=TRUE,$U$5=FALSE,$U$6=TRUE,$U$7=FALSE)),VLOOKUP($E474,'Status Thresholds'!$E:$AR,15,FALSE),IF((AND($U$4=TRUE,$U$5=FALSE,$U$6=TRUE,$U$7=TRUE)),VLOOKUP($E474,'Status Thresholds'!$E:$AR,20,FALSE),IF((AND($U$4=TRUE,$U$5=FALSE,$U$6=FALSE,$U$7=TRUE)),VLOOKUP($E474,'Status Thresholds'!$E:$AR,10,FALSE),
IF((AND($U$4=FALSE,$U$5=TRUE,$U$6=FALSE,$U$7=FALSE)),VLOOKUP($E474,'Status Thresholds'!$E:$AR,25,FALSE),IF((AND($U$4=FALSE,$U$5=TRUE,$U$6=TRUE,$U$7=FALSE)),VLOOKUP($E474,'Status Thresholds'!$E:$AR,35,FALSE),IF((AND($U$4=FALSE,$U$5=TRUE,$U$6=TRUE,$U$7=TRUE)),VLOOKUP($E474,'Status Thresholds'!$E:$AR,40,FALSE),IF((AND($U$4=FALSE,$U$5=TRUE,$U$6=FALSE,$U$7=TRUE)),VLOOKUP($E474,'Status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475" s="46">
        <f>IFERROR(IF(AND($U$5=FALSE,$U$4=FALSE),"-",VLOOKUP($E475,'Status Thresholds'!$E:$AU,41,FALSE)),"-")</f>
        <v>0</v>
      </c>
      <c r="K475" s="46" t="str">
        <f>IFERROR(IF(AND($U$5=FALSE,$U$4=FALSE),"-",VLOOKUP($E475,'Status Thresholds'!$E:$AU,42,FALSE)),"-")</f>
        <v>-</v>
      </c>
      <c r="L475" s="46" t="str">
        <f>IFERROR(IF(AND($U$5=FALSE,$U$4=FALSE),"-",VLOOKUP($E475,'Status Thresholds'!$E:$AU,43,FALSE)),"-")</f>
        <v>-</v>
      </c>
    </row>
    <row r="476" spans="1:12" ht="15" customHeight="1" x14ac:dyDescent="0.25">
      <c r="A476" s="35"/>
      <c r="B476" s="64" t="str">
        <f>VLOOKUP(C476,'Status Thresholds'!B:C,2,FALSE)</f>
        <v>MHGen</v>
      </c>
      <c r="C476" s="64" t="str">
        <f>IF('Status Thresholds'!B471=0, "", 'Status Thresholds'!B471)</f>
        <v>Lagombi</v>
      </c>
      <c r="D476" s="77" t="s">
        <v>207</v>
      </c>
      <c r="E476" s="36" t="str">
        <f t="shared" ref="E476:E539" si="7">$C476&amp;$D476</f>
        <v>LagombiShock Trap</v>
      </c>
      <c r="F476" s="76" t="s">
        <v>214</v>
      </c>
      <c r="G476" s="46" t="s">
        <v>214</v>
      </c>
      <c r="H476" s="46" t="s">
        <v>214</v>
      </c>
      <c r="I476" s="46" t="s">
        <v>214</v>
      </c>
      <c r="J476" s="46">
        <f>IFERROR(IF(AND($U$5=FALSE,$U$4=FALSE),"-",VLOOKUP($E476,'Status Thresholds'!$E:$AU,43,FALSE)),"-")</f>
        <v>15</v>
      </c>
      <c r="K476" s="46">
        <f>IFERROR(IF(AND($U$5=FALSE,$U$4=FALSE),"-",VLOOKUP($E476,'Status Thresholds'!$E:$AU,41,FALSE)),"-")</f>
        <v>15</v>
      </c>
      <c r="L476" s="46">
        <f>IFERROR(IF(AND($U$5=FALSE,$U$4=FALSE),"-",VLOOKUP($E476,'Status Thresholds'!$E:$AU,42,FALSE)),"-")</f>
        <v>20</v>
      </c>
    </row>
    <row r="477" spans="1:12" x14ac:dyDescent="0.25">
      <c r="A477" s="35"/>
      <c r="B477" s="64" t="str">
        <f>VLOOKUP(C477,'Status Thresholds'!B:C,2,FALSE)</f>
        <v>MHGen</v>
      </c>
      <c r="C477" s="64" t="str">
        <f>IF('Status Thresholds'!B472=0, "", 'Status Thresholds'!B472)</f>
        <v>Lagombi</v>
      </c>
      <c r="D477" s="77" t="s">
        <v>213</v>
      </c>
      <c r="E477" s="36" t="str">
        <f t="shared" si="7"/>
        <v>LagombiPitfall Trap</v>
      </c>
      <c r="F477" s="46" t="s">
        <v>214</v>
      </c>
      <c r="G477" s="46" t="s">
        <v>214</v>
      </c>
      <c r="H477" s="46" t="s">
        <v>214</v>
      </c>
      <c r="I477" s="46" t="s">
        <v>214</v>
      </c>
      <c r="J477" s="46">
        <f>IFERROR(IF(AND($U$5=FALSE,$U$4=FALSE),"-",VLOOKUP($E477,'Status Thresholds'!$E:$AU,43,FALSE)),"-")</f>
        <v>20</v>
      </c>
      <c r="K477" s="46">
        <f>IFERROR(IF(AND($U$5=FALSE,$U$4=FALSE),"-",VLOOKUP($E477,'Status Thresholds'!$E:$AU,41,FALSE)),"-")</f>
        <v>20</v>
      </c>
      <c r="L477" s="46">
        <f>IFERROR(IF(AND($U$5=FALSE,$U$4=FALSE),"-",VLOOKUP($E477,'Status Thresholds'!$E:$AU,42,FALSE)),"-")</f>
        <v>25</v>
      </c>
    </row>
    <row r="478" spans="1:12" s="36" customFormat="1" x14ac:dyDescent="0.25">
      <c r="A478" s="64"/>
      <c r="B478" s="64" t="str">
        <f>VLOOKUP(C478,'Status Thresholds'!B:C,2,FALSE)</f>
        <v>MHGU</v>
      </c>
      <c r="C478" s="64" t="str">
        <f>IF('Status Thresholds'!B473=0, "", 'Status Thresholds'!B473)</f>
        <v>Lao-Shan Long</v>
      </c>
      <c r="D478" s="37" t="s">
        <v>0</v>
      </c>
      <c r="E478" s="36" t="str">
        <f t="shared" si="7"/>
        <v>Lao-Shan LongPara</v>
      </c>
      <c r="F478" s="36" t="str">
        <f>IFERROR(
ROUNDUP(
IF(AND($U$5=FALSE,$U$4=FALSE),"-",IF(AND($U$5=TRUE,$U$4=TRUE),"-",
IF((AND($U$4=TRUE,$U$5=FALSE,$U$6=FALSE,$U$7=FALSE)),VLOOKUP($E478,'Status Thresholds'!$E:$AR,2,FALSE),IF((AND($U$4=TRUE,$U$5=FALSE,$U$6=TRUE,$U$7=FALSE)),VLOOKUP($E478,'Status Thresholds'!$E:$AR,12,FALSE),IF((AND($U$4=TRUE,$U$5=FALSE,$U$6=TRUE,$U$7=TRUE)),VLOOKUP($E478,'Status Thresholds'!$E:$AR,17,FALSE),IF((AND($U$4=TRUE,$U$5=FALSE,$U$6=FALSE,$U$7=TRUE)),VLOOKUP($E478,'Status Thresholds'!$E:$AR,7,FALSE),
IF((AND($U$4=FALSE,$U$5=TRUE,$U$6=FALSE,$U$7=FALSE)),VLOOKUP($E478,'Status Thresholds'!$E:$AR,22,FALSE),IF((AND($U$4=FALSE,$U$5=TRUE,$U$6=TRUE,$U$7=FALSE)),VLOOKUP($E478,'Status Thresholds'!$E:$AR,32,FALSE),IF((AND($U$4=FALSE,$U$5=TRUE,$U$6=TRUE,$U$7=TRUE)),VLOOKUP($E478,'Status Thresholds'!$E:$AR,37,FALSE),IF((AND($U$4=FALSE,$U$5=TRUE,$U$6=FALSE,$U$7=TRUE)),VLOOKUP($E478,'Status Thresholds'!$E:$AR,27,FALSE)))))))))
))/
IF(OR($X$5=TRUE,$AC$3=TRUE
),($F$3/2), IF(OR($X$2,$X$3,$X$4,$X$6,$X$7,$X$8,$Z$2,$Z$3,$Z$4,$Z$5,$Z$6,$Z$7,$Z$8)=TRUE,$F$3)),0),"-")</f>
        <v>-</v>
      </c>
      <c r="G478" s="36" t="str">
        <f>IFERROR(
ROUNDUP(
IF(AND($U$5=FALSE,$U$4=FALSE),"-",IF(AND($U$5=TRUE,$U$4=TRUE),"-",
IF((AND($U$4=TRUE,$U$5=FALSE,$U$6=FALSE,$U$7=FALSE)),VLOOKUP($E478,'Status Thresholds'!$E:$AR,3,FALSE),IF((AND($U$4=TRUE,$U$5=FALSE,$U$6=TRUE,$U$7=FALSE)),VLOOKUP($E478,'Status Thresholds'!$E:$AR,13,FALSE),IF((AND($U$4=TRUE,$U$5=FALSE,$U$6=TRUE,$U$7=TRUE)),VLOOKUP($E478,'Status Thresholds'!$E:$AR,18,FALSE),IF((AND($U$4=TRUE,$U$5=FALSE,$U$6=FALSE,$U$7=TRUE)),VLOOKUP($E478,'Status Thresholds'!$E:$AR,8,FALSE),
IF((AND($U$4=FALSE,$U$5=TRUE,$U$6=FALSE,$U$7=FALSE)),VLOOKUP($E478,'Status Thresholds'!$E:$AR,23,FALSE),IF((AND($U$4=FALSE,$U$5=TRUE,$U$6=TRUE,$U$7=FALSE)),VLOOKUP($E478,'Status Thresholds'!$E:$AR,33,FALSE),IF((AND($U$4=FALSE,$U$5=TRUE,$U$6=TRUE,$U$7=TRUE)),VLOOKUP($E478,'Status Thresholds'!$E:$AR,38,FALSE),IF((AND($U$4=FALSE,$U$5=TRUE,$U$6=FALSE,$U$7=TRUE)),VLOOKUP($E478,'Status Thresholds'!$E:$AR,28,FALSE)))))))))
))/
IF(OR($X$5=TRUE,$AC$3=TRUE
),($F$3/2), IF(OR($X$2,$X$3,$X$4,$X$6,$X$7,$X$8,$Z$2,$Z$3,$Z$4,$Z$5,$Z$6,$Z$7,$Z$8)=TRUE,$F$3)),0),"-")</f>
        <v>-</v>
      </c>
      <c r="H478" s="36" t="str">
        <f>IFERROR(
ROUNDUP(
IF(AND($U$5=FALSE,$U$4=FALSE),"-",IF(AND($U$5=TRUE,$U$4=TRUE),"-",
IF((AND($U$4=TRUE,$U$5=FALSE,$U$6=FALSE,$U$7=FALSE)),VLOOKUP($E478,'Status Thresholds'!$E:$AR,4,FALSE),IF((AND($U$4=TRUE,$U$5=FALSE,$U$6=TRUE,$U$7=FALSE)),VLOOKUP($E478,'Status Thresholds'!$E:$AR,14,FALSE),IF((AND($U$4=TRUE,$U$5=FALSE,$U$6=TRUE,$U$7=TRUE)),VLOOKUP($E478,'Status Thresholds'!$E:$AR,19,FALSE),IF((AND($U$4=TRUE,$U$5=FALSE,$U$6=FALSE,$U$7=TRUE)),VLOOKUP($E478,'Status Thresholds'!$E:$AR,9,FALSE),
IF((AND($U$4=FALSE,$U$5=TRUE,$U$6=FALSE,$U$7=FALSE)),VLOOKUP($E478,'Status Thresholds'!$E:$AR,24,FALSE),IF((AND($U$4=FALSE,$U$5=TRUE,$U$6=TRUE,$U$7=FALSE)),VLOOKUP($E478,'Status Thresholds'!$E:$AR,34,FALSE),IF((AND($U$4=FALSE,$U$5=TRUE,$U$6=TRUE,$U$7=TRUE)),VLOOKUP($E478,'Status Thresholds'!$E:$AR,39,FALSE),IF((AND($U$4=FALSE,$U$5=TRUE,$U$6=FALSE,$U$7=TRUE)),VLOOKUP($E478,'Status Thresholds'!$E:$AR,29,FALSE)))))))))
))/
IF(OR($X$5=TRUE,$AC$3=TRUE
),($F$3/2), IF(OR($X$2,$X$3,$X$4,$X$6,$X$7,$X$8,$Z$2,$Z$3,$Z$4,$Z$5,$Z$6,$Z$7,$Z$8)=TRUE,$F$3)),0),"-")</f>
        <v>-</v>
      </c>
      <c r="I478" s="36" t="str">
        <f>IFERROR(
ROUNDUP(
IF(AND($U$5=FALSE,$U$4=FALSE),"-",IF(AND($U$5=TRUE,$U$4=TRUE),"-",
IF((AND($U$4=TRUE,$U$5=FALSE,$U$6=FALSE,$U$7=FALSE)),VLOOKUP($E478,'Status Thresholds'!$E:$AR,5,FALSE),IF((AND($U$4=TRUE,$U$5=FALSE,$U$6=TRUE,$U$7=FALSE)),VLOOKUP($E478,'Status Thresholds'!$E:$AR,15,FALSE),IF((AND($U$4=TRUE,$U$5=FALSE,$U$6=TRUE,$U$7=TRUE)),VLOOKUP($E478,'Status Thresholds'!$E:$AR,20,FALSE),IF((AND($U$4=TRUE,$U$5=FALSE,$U$6=FALSE,$U$7=TRUE)),VLOOKUP($E478,'Status Thresholds'!$E:$AR,10,FALSE),
IF((AND($U$4=FALSE,$U$5=TRUE,$U$6=FALSE,$U$7=FALSE)),VLOOKUP($E478,'Status Thresholds'!$E:$AR,25,FALSE),IF((AND($U$4=FALSE,$U$5=TRUE,$U$6=TRUE,$U$7=FALSE)),VLOOKUP($E478,'Status Thresholds'!$E:$AR,35,FALSE),IF((AND($U$4=FALSE,$U$5=TRUE,$U$6=TRUE,$U$7=TRUE)),VLOOKUP($E478,'Status Thresholds'!$E:$AR,40,FALSE),IF((AND($U$4=FALSE,$U$5=TRUE,$U$6=FALSE,$U$7=TRUE)),VLOOKUP($E478,'Status Thresholds'!$E:$AR,30,FALSE)))))))))
))/
IF(OR($X$5=TRUE,$AC$3=TRUE
),($F$3/2), IF(OR($X$2,$X$3,$X$4,$X$6,$X$7,$X$8,$Z$2,$Z$3,$Z$4,$Z$5,$Z$6,$Z$7,$Z$8)=TRUE,$F$3)),0),"-")</f>
        <v>-</v>
      </c>
      <c r="J478" s="36">
        <f>IFERROR(IF(AND($U$5=FALSE,$U$4=FALSE),"-",VLOOKUP($E478,'Status Thresholds'!$E:$AU,41,FALSE)),"-")</f>
        <v>0</v>
      </c>
      <c r="K478" s="36" t="str">
        <f>IFERROR(IF(AND($U$5=FALSE,$U$4=FALSE),"-",VLOOKUP($E478,'Status Thresholds'!$E:$AU,42,FALSE)),"-")</f>
        <v>-</v>
      </c>
      <c r="L478" s="36" t="str">
        <f>IFERROR(IF(AND($U$5=FALSE,$U$4=FALSE),"-",VLOOKUP($E478,'Status Thresholds'!$E:$AU,43,FALSE)),"-")</f>
        <v>-</v>
      </c>
    </row>
    <row r="479" spans="1:12" x14ac:dyDescent="0.25">
      <c r="A479" s="35"/>
      <c r="B479" s="64" t="str">
        <f>VLOOKUP(C479,'Status Thresholds'!B:C,2,FALSE)</f>
        <v>MHGU</v>
      </c>
      <c r="C479" s="64" t="str">
        <f>IF('Status Thresholds'!B474=0, "", 'Status Thresholds'!B474)</f>
        <v>Lao-Shan Long</v>
      </c>
      <c r="D479" s="31" t="s">
        <v>32</v>
      </c>
      <c r="E479" s="36" t="str">
        <f t="shared" si="7"/>
        <v>Lao-Shan LongSleep</v>
      </c>
      <c r="F479" s="36" t="str">
        <f>IFERROR(
ROUNDUP(
IF(AND($U$5=FALSE,$U$4=FALSE),"-",IF(AND($U$5=TRUE,$U$4=TRUE),"-",
IF((AND($U$4=TRUE,$U$5=FALSE,$U$6=FALSE,$U$7=FALSE)),VLOOKUP($E479,'Status Thresholds'!$E:$AR,2,FALSE),IF((AND($U$4=TRUE,$U$5=FALSE,$U$6=TRUE,$U$7=FALSE)),VLOOKUP($E479,'Status Thresholds'!$E:$AR,12,FALSE),IF((AND($U$4=TRUE,$U$5=FALSE,$U$6=TRUE,$U$7=TRUE)),VLOOKUP($E479,'Status Thresholds'!$E:$AR,17,FALSE),IF((AND($U$4=TRUE,$U$5=FALSE,$U$6=FALSE,$U$7=TRUE)),VLOOKUP($E479,'Status Thresholds'!$E:$AR,7,FALSE),
IF((AND($U$4=FALSE,$U$5=TRUE,$U$6=FALSE,$U$7=FALSE)),VLOOKUP($E479,'Status Thresholds'!$E:$AR,22,FALSE),IF((AND($U$4=FALSE,$U$5=TRUE,$U$6=TRUE,$U$7=FALSE)),VLOOKUP($E479,'Status Thresholds'!$E:$AR,32,FALSE),IF((AND($U$4=FALSE,$U$5=TRUE,$U$6=TRUE,$U$7=TRUE)),VLOOKUP($E479,'Status Thresholds'!$E:$AR,37,FALSE),IF((AND($U$4=FALSE,$U$5=TRUE,$U$6=FALSE,$U$7=TRUE)),VLOOKUP($E479,'Status Thresholds'!$E:$AR,27,FALSE)))))))))
))/
IF(OR($X$5=TRUE,$AC$3=TRUE
),($F$4/2), IF(OR($X$2,$X$3,$X$4,$X$6,$X$7,$X$8,$Z$2,$Z$3,$Z$4,$Z$5,$Z$6,$Z$7,$Z$8)=TRUE,$F$4)),0),"-")</f>
        <v>-</v>
      </c>
      <c r="G479" s="36" t="str">
        <f>IFERROR(
ROUNDUP(
IF(AND($U$5=FALSE,$U$4=FALSE),"-",IF(AND($U$5=TRUE,$U$4=TRUE),"-",
IF((AND($U$4=TRUE,$U$5=FALSE,$U$6=FALSE,$U$7=FALSE)),VLOOKUP($E479,'Status Thresholds'!$E:$AR,3,FALSE),IF((AND($U$4=TRUE,$U$5=FALSE,$U$6=TRUE,$U$7=FALSE)),VLOOKUP($E479,'Status Thresholds'!$E:$AR,13,FALSE),IF((AND($U$4=TRUE,$U$5=FALSE,$U$6=TRUE,$U$7=TRUE)),VLOOKUP($E479,'Status Thresholds'!$E:$AR,18,FALSE),IF((AND($U$4=TRUE,$U$5=FALSE,$U$6=FALSE,$U$7=TRUE)),VLOOKUP($E479,'Status Thresholds'!$E:$AR,8,FALSE),
IF((AND($U$4=FALSE,$U$5=TRUE,$U$6=FALSE,$U$7=FALSE)),VLOOKUP($E479,'Status Thresholds'!$E:$AR,23,FALSE),IF((AND($U$4=FALSE,$U$5=TRUE,$U$6=TRUE,$U$7=FALSE)),VLOOKUP($E479,'Status Thresholds'!$E:$AR,33,FALSE),IF((AND($U$4=FALSE,$U$5=TRUE,$U$6=TRUE,$U$7=TRUE)),VLOOKUP($E479,'Status Thresholds'!$E:$AR,38,FALSE),IF((AND($U$4=FALSE,$U$5=TRUE,$U$6=FALSE,$U$7=TRUE)),VLOOKUP($E479,'Status Thresholds'!$E:$AR,28,FALSE)))))))))
))/
IF(OR($X$5=TRUE,$AC$3=TRUE
),($F$4/2), IF(OR($X$2,$X$3,$X$4,$X$6,$X$7,$X$8,$Z$2,$Z$3,$Z$4,$Z$5,$Z$6,$Z$7,$Z$8)=TRUE,$F$4)),0),"-")</f>
        <v>-</v>
      </c>
      <c r="H479" s="36" t="str">
        <f>IFERROR(
ROUNDUP(
IF(AND($U$5=FALSE,$U$4=FALSE),"-",IF(AND($U$5=TRUE,$U$4=TRUE),"-",
IF((AND($U$4=TRUE,$U$5=FALSE,$U$6=FALSE,$U$7=FALSE)),VLOOKUP($E479,'Status Thresholds'!$E:$AR,4,FALSE),IF((AND($U$4=TRUE,$U$5=FALSE,$U$6=TRUE,$U$7=FALSE)),VLOOKUP($E479,'Status Thresholds'!$E:$AR,14,FALSE),IF((AND($U$4=TRUE,$U$5=FALSE,$U$6=TRUE,$U$7=TRUE)),VLOOKUP($E479,'Status Thresholds'!$E:$AR,19,FALSE),IF((AND($U$4=TRUE,$U$5=FALSE,$U$6=FALSE,$U$7=TRUE)),VLOOKUP($E479,'Status Thresholds'!$E:$AR,9,FALSE),
IF((AND($U$4=FALSE,$U$5=TRUE,$U$6=FALSE,$U$7=FALSE)),VLOOKUP($E479,'Status Thresholds'!$E:$AR,24,FALSE),IF((AND($U$4=FALSE,$U$5=TRUE,$U$6=TRUE,$U$7=FALSE)),VLOOKUP($E479,'Status Thresholds'!$E:$AR,34,FALSE),IF((AND($U$4=FALSE,$U$5=TRUE,$U$6=TRUE,$U$7=TRUE)),VLOOKUP($E479,'Status Thresholds'!$E:$AR,39,FALSE),IF((AND($U$4=FALSE,$U$5=TRUE,$U$6=FALSE,$U$7=TRUE)),VLOOKUP($E479,'Status Thresholds'!$E:$AR,29,FALSE)))))))))
))/
IF(OR($X$5=TRUE,$AC$3=TRUE
),($F$4/2), IF(OR($X$2,$X$3,$X$4,$X$6,$X$7,$X$8,$Z$2,$Z$3,$Z$4,$Z$5,$Z$6,$Z$7,$Z$8)=TRUE,$F$4)),0),"-")</f>
        <v>-</v>
      </c>
      <c r="I479" s="36" t="str">
        <f>IFERROR(
ROUNDUP(
IF(AND($U$5=FALSE,$U$4=FALSE),"-",IF(AND($U$5=TRUE,$U$4=TRUE),"-",
IF((AND($U$4=TRUE,$U$5=FALSE,$U$6=FALSE,$U$7=FALSE)),VLOOKUP($E479,'Status Thresholds'!$E:$AR,5,FALSE),IF((AND($U$4=TRUE,$U$5=FALSE,$U$6=TRUE,$U$7=FALSE)),VLOOKUP($E479,'Status Thresholds'!$E:$AR,15,FALSE),IF((AND($U$4=TRUE,$U$5=FALSE,$U$6=TRUE,$U$7=TRUE)),VLOOKUP($E479,'Status Thresholds'!$E:$AR,20,FALSE),IF((AND($U$4=TRUE,$U$5=FALSE,$U$6=FALSE,$U$7=TRUE)),VLOOKUP($E479,'Status Thresholds'!$E:$AR,10,FALSE),
IF((AND($U$4=FALSE,$U$5=TRUE,$U$6=FALSE,$U$7=FALSE)),VLOOKUP($E479,'Status Thresholds'!$E:$AR,25,FALSE),IF((AND($U$4=FALSE,$U$5=TRUE,$U$6=TRUE,$U$7=FALSE)),VLOOKUP($E479,'Status Thresholds'!$E:$AR,35,FALSE),IF((AND($U$4=FALSE,$U$5=TRUE,$U$6=TRUE,$U$7=TRUE)),VLOOKUP($E479,'Status Thresholds'!$E:$AR,40,FALSE),IF((AND($U$4=FALSE,$U$5=TRUE,$U$6=FALSE,$U$7=TRUE)),VLOOKUP($E479,'Status Thresholds'!$E:$AR,30,FALSE)))))))))
))/
IF(OR($X$5=TRUE,$AC$3=TRUE
),($F$4/2), IF(OR($X$2,$X$3,$X$4,$X$6,$X$7,$X$8,$Z$2,$Z$3,$Z$4,$Z$5,$Z$6,$Z$7,$Z$8)=TRUE,$F$4)),0),"-")</f>
        <v>-</v>
      </c>
      <c r="J479" s="46">
        <f>IFERROR(IF(AND($U$5=FALSE,$U$4=FALSE),"-",VLOOKUP($E479,'Status Thresholds'!$E:$AU,41,FALSE)),"-")</f>
        <v>0</v>
      </c>
      <c r="K479" s="46" t="str">
        <f>IFERROR(IF(AND($U$5=FALSE,$U$4=FALSE),"-",VLOOKUP($E479,'Status Thresholds'!$E:$AU,42,FALSE)),"-")</f>
        <v>-</v>
      </c>
      <c r="L479" s="46" t="str">
        <f>IFERROR(IF(AND($U$5=FALSE,$U$4=FALSE),"-",VLOOKUP($E479,'Status Thresholds'!$E:$AU,43,FALSE)),"-")</f>
        <v>-</v>
      </c>
    </row>
    <row r="480" spans="1:12" x14ac:dyDescent="0.25">
      <c r="A480" s="35"/>
      <c r="B480" s="64" t="str">
        <f>VLOOKUP(C480,'Status Thresholds'!B:C,2,FALSE)</f>
        <v>MHGU</v>
      </c>
      <c r="C480" s="64" t="str">
        <f>IF('Status Thresholds'!B475=0, "", 'Status Thresholds'!B475)</f>
        <v>Lao-Shan Long</v>
      </c>
      <c r="D480" s="32" t="s">
        <v>33</v>
      </c>
      <c r="E480" s="36" t="str">
        <f t="shared" si="7"/>
        <v>Lao-Shan LongPoison</v>
      </c>
      <c r="F480" s="36" t="str">
        <f>IFERROR(
ROUNDUP(
IF(AND($U$5=FALSE,$U$4=FALSE),"-",IF(AND($U$5=TRUE,$U$4=TRUE),"-",
IF((AND($U$4=TRUE,$U$5=FALSE,$U$6=FALSE,$U$7=FALSE)),VLOOKUP($E480,'Status Thresholds'!$E:$AR,2,FALSE),IF((AND($U$4=TRUE,$U$5=FALSE,$U$6=TRUE,$U$7=FALSE)),VLOOKUP($E480,'Status Thresholds'!$E:$AR,12,FALSE),IF((AND($U$4=TRUE,$U$5=FALSE,$U$6=TRUE,$U$7=TRUE)),VLOOKUP($E480,'Status Thresholds'!$E:$AR,17,FALSE),IF((AND($U$4=TRUE,$U$5=FALSE,$U$6=FALSE,$U$7=TRUE)),VLOOKUP($E480,'Status Thresholds'!$E:$AR,7,FALSE),
IF((AND($U$4=FALSE,$U$5=TRUE,$U$6=FALSE,$U$7=FALSE)),VLOOKUP($E480,'Status Thresholds'!$E:$AR,22,FALSE),IF((AND($U$4=FALSE,$U$5=TRUE,$U$6=TRUE,$U$7=FALSE)),VLOOKUP($E480,'Status Thresholds'!$E:$AR,32,FALSE),IF((AND($U$4=FALSE,$U$5=TRUE,$U$6=TRUE,$U$7=TRUE)),VLOOKUP($E480,'Status Thresholds'!$E:$AR,37,FALSE),IF((AND($U$4=FALSE,$U$5=TRUE,$U$6=FALSE,$U$7=TRUE)),VLOOKUP($E480,'Status Thresholds'!$E:$AR,27,FALSE)))))))))
))/
IF(OR($X$5=TRUE,$AC$3=TRUE
),($F$5/2), IF(OR($X$2,$X$3,$X$4,$X$6,$X$7,$X$8,$Z$2,$Z$3,$Z$4,$Z$5,$Z$6,$Z$7,$Z$8)=TRUE,$F$5)),0),"-")</f>
        <v>-</v>
      </c>
      <c r="G480" s="36" t="str">
        <f>IFERROR(
ROUNDUP(
IF(AND($U$5=FALSE,$U$4=FALSE),"-",IF(AND($U$5=TRUE,$U$4=TRUE),"-",
IF((AND($U$4=TRUE,$U$5=FALSE,$U$6=FALSE,$U$7=FALSE)),VLOOKUP($E480,'Status Thresholds'!$E:$AR,3,FALSE),IF((AND($U$4=TRUE,$U$5=FALSE,$U$6=TRUE,$U$7=FALSE)),VLOOKUP($E480,'Status Thresholds'!$E:$AR,13,FALSE),IF((AND($U$4=TRUE,$U$5=FALSE,$U$6=TRUE,$U$7=TRUE)),VLOOKUP($E480,'Status Thresholds'!$E:$AR,18,FALSE),IF((AND($U$4=TRUE,$U$5=FALSE,$U$6=FALSE,$U$7=TRUE)),VLOOKUP($E480,'Status Thresholds'!$E:$AR,8,FALSE),
IF((AND($U$4=FALSE,$U$5=TRUE,$U$6=FALSE,$U$7=FALSE)),VLOOKUP($E480,'Status Thresholds'!$E:$AR,23,FALSE),IF((AND($U$4=FALSE,$U$5=TRUE,$U$6=TRUE,$U$7=FALSE)),VLOOKUP($E480,'Status Thresholds'!$E:$AR,33,FALSE),IF((AND($U$4=FALSE,$U$5=TRUE,$U$6=TRUE,$U$7=TRUE)),VLOOKUP($E480,'Status Thresholds'!$E:$AR,38,FALSE),IF((AND($U$4=FALSE,$U$5=TRUE,$U$6=FALSE,$U$7=TRUE)),VLOOKUP($E480,'Status Thresholds'!$E:$AR,28,FALSE)))))))))
))/
IF(OR($X$5=TRUE,$AC$3=TRUE
),($F$5/2), IF(OR($X$2,$X$3,$X$4,$X$6,$X$7,$X$8,$Z$2,$Z$3,$Z$4,$Z$5,$Z$6,$Z$7,$Z$8)=TRUE,$F$5)),0),"-")</f>
        <v>-</v>
      </c>
      <c r="H480" s="36" t="str">
        <f>IFERROR(
ROUNDUP(
IF(AND($U$5=FALSE,$U$4=FALSE),"-",IF(AND($U$5=TRUE,$U$4=TRUE),"-",
IF((AND($U$4=TRUE,$U$5=FALSE,$U$6=FALSE,$U$7=FALSE)),VLOOKUP($E480,'Status Thresholds'!$E:$AR,4,FALSE),IF((AND($U$4=TRUE,$U$5=FALSE,$U$6=TRUE,$U$7=FALSE)),VLOOKUP($E480,'Status Thresholds'!$E:$AR,14,FALSE),IF((AND($U$4=TRUE,$U$5=FALSE,$U$6=TRUE,$U$7=TRUE)),VLOOKUP($E480,'Status Thresholds'!$E:$AR,19,FALSE),IF((AND($U$4=TRUE,$U$5=FALSE,$U$6=FALSE,$U$7=TRUE)),VLOOKUP($E480,'Status Thresholds'!$E:$AR,9,FALSE),
IF((AND($U$4=FALSE,$U$5=TRUE,$U$6=FALSE,$U$7=FALSE)),VLOOKUP($E480,'Status Thresholds'!$E:$AR,24,FALSE),IF((AND($U$4=FALSE,$U$5=TRUE,$U$6=TRUE,$U$7=FALSE)),VLOOKUP($E480,'Status Thresholds'!$E:$AR,34,FALSE),IF((AND($U$4=FALSE,$U$5=TRUE,$U$6=TRUE,$U$7=TRUE)),VLOOKUP($E480,'Status Thresholds'!$E:$AR,39,FALSE),IF((AND($U$4=FALSE,$U$5=TRUE,$U$6=FALSE,$U$7=TRUE)),VLOOKUP($E480,'Status Thresholds'!$E:$AR,29,FALSE)))))))))
))/
IF(OR($X$5=TRUE,$AC$3=TRUE
),($F$5/2), IF(OR($X$2,$X$3,$X$4,$X$6,$X$7,$X$8,$Z$2,$Z$3,$Z$4,$Z$5,$Z$6,$Z$7,$Z$8)=TRUE,$F$5)),0),"-")</f>
        <v>-</v>
      </c>
      <c r="I480" s="36" t="str">
        <f>IFERROR(
ROUNDUP(
IF(AND($U$5=FALSE,$U$4=FALSE),"-",IF(AND($U$5=TRUE,$U$4=TRUE),"-",
IF((AND($U$4=TRUE,$U$5=FALSE,$U$6=FALSE,$U$7=FALSE)),VLOOKUP($E480,'Status Thresholds'!$E:$AR,5,FALSE),IF((AND($U$4=TRUE,$U$5=FALSE,$U$6=TRUE,$U$7=FALSE)),VLOOKUP($E480,'Status Thresholds'!$E:$AR,15,FALSE),IF((AND($U$4=TRUE,$U$5=FALSE,$U$6=TRUE,$U$7=TRUE)),VLOOKUP($E480,'Status Thresholds'!$E:$AR,20,FALSE),IF((AND($U$4=TRUE,$U$5=FALSE,$U$6=FALSE,$U$7=TRUE)),VLOOKUP($E480,'Status Thresholds'!$E:$AR,10,FALSE),
IF((AND($U$4=FALSE,$U$5=TRUE,$U$6=FALSE,$U$7=FALSE)),VLOOKUP($E480,'Status Thresholds'!$E:$AR,25,FALSE),IF((AND($U$4=FALSE,$U$5=TRUE,$U$6=TRUE,$U$7=FALSE)),VLOOKUP($E480,'Status Thresholds'!$E:$AR,35,FALSE),IF((AND($U$4=FALSE,$U$5=TRUE,$U$6=TRUE,$U$7=TRUE)),VLOOKUP($E480,'Status Thresholds'!$E:$AR,40,FALSE),IF((AND($U$4=FALSE,$U$5=TRUE,$U$6=FALSE,$U$7=TRUE)),VLOOKUP($E480,'Status Thresholds'!$E:$AR,30,FALSE)))))))))
))/
IF(OR($X$5=TRUE,$AC$3=TRUE
),($F$5/2), IF(OR($X$2,$X$3,$X$4,$X$6,$X$7,$X$8,$Z$2,$Z$3,$Z$4,$Z$5,$Z$6,$Z$7,$Z$8)=TRUE,$F$5)),0),"-")</f>
        <v>-</v>
      </c>
      <c r="J480" s="46">
        <f>IFERROR(IF(AND($U$5=FALSE,$U$4=FALSE),"-",VLOOKUP($E480,'Status Thresholds'!$E:$AU,41,FALSE)),"-")</f>
        <v>0</v>
      </c>
      <c r="K480" s="46" t="str">
        <f>IFERROR(IF(AND($U$5=FALSE,$U$4=FALSE),"-",VLOOKUP($E480,'Status Thresholds'!$E:$AU,42,FALSE)),"-")</f>
        <v>-</v>
      </c>
      <c r="L480" s="46" t="str">
        <f>IFERROR(IF(AND($U$5=FALSE,$U$4=FALSE),"-",VLOOKUP($E480,'Status Thresholds'!$E:$AU,43,FALSE)),"-")</f>
        <v>-</v>
      </c>
    </row>
    <row r="481" spans="1:12" x14ac:dyDescent="0.25">
      <c r="A481" s="35"/>
      <c r="B481" s="64" t="str">
        <f>VLOOKUP(C481,'Status Thresholds'!B:C,2,FALSE)</f>
        <v>MHGU</v>
      </c>
      <c r="C481" s="64" t="str">
        <f>IF('Status Thresholds'!B476=0, "", 'Status Thresholds'!B476)</f>
        <v>Lao-Shan Long</v>
      </c>
      <c r="D481" s="10" t="s">
        <v>22</v>
      </c>
      <c r="E481" s="36" t="str">
        <f t="shared" si="7"/>
        <v>Lao-Shan LongExhaust</v>
      </c>
      <c r="F481" s="36" t="str">
        <f>IFERROR(
ROUNDUP(
IF(AND($U$5=FALSE,$U$4=FALSE),"-",IF(AND($U$5=TRUE,$U$4=TRUE),"-",
IF((AND($U$4=TRUE,$U$5=FALSE,$U$6=FALSE,$U$7=FALSE)),VLOOKUP($E481,'Status Thresholds'!$E:$AR,2,FALSE),IF((AND($U$4=TRUE,$U$5=FALSE,$U$6=TRUE,$U$7=FALSE)),VLOOKUP($E481,'Status Thresholds'!$E:$AR,12,FALSE),IF((AND($U$4=TRUE,$U$5=FALSE,$U$6=TRUE,$U$7=TRUE)),VLOOKUP($E481,'Status Thresholds'!$E:$AR,17,FALSE),IF((AND($U$4=TRUE,$U$5=FALSE,$U$6=FALSE,$U$7=TRUE)),VLOOKUP($E481,'Status Thresholds'!$E:$AR,7,FALSE),
IF((AND($U$4=FALSE,$U$5=TRUE,$U$6=FALSE,$U$7=FALSE)),VLOOKUP($E481,'Status Thresholds'!$E:$AR,22,FALSE),IF((AND($U$4=FALSE,$U$5=TRUE,$U$6=TRUE,$U$7=FALSE)),VLOOKUP($E481,'Status Thresholds'!$E:$AR,32,FALSE),IF((AND($U$4=FALSE,$U$5=TRUE,$U$6=TRUE,$U$7=TRUE)),VLOOKUP($E481,'Status Thresholds'!$E:$AR,37,FALSE),IF((AND($U$4=FALSE,$U$5=TRUE,$U$6=FALSE,$U$7=TRUE)),VLOOKUP($E481,'Status Thresholds'!$E:$AR,27,FALSE)))))))))
))/
IF(OR($X$5=TRUE,$AC$3=TRUE
),($F$6/2), IF(OR($X$2,$X$3,$X$4,$X$6,$X$7,$X$8,$Z$2,$Z$3,$Z$4,$Z$5,$Z$6,$Z$7,$Z$8)=TRUE,$F$6)),0),"-")</f>
        <v>-</v>
      </c>
      <c r="G481" s="36" t="str">
        <f>IFERROR(
ROUNDUP(
IF(AND($U$5=FALSE,$U$4=FALSE),"-",IF(AND($U$5=TRUE,$U$4=TRUE),"-",
IF((AND($U$4=TRUE,$U$5=FALSE,$U$6=FALSE,$U$7=FALSE)),VLOOKUP($E481,'Status Thresholds'!$E:$AR,3,FALSE),IF((AND($U$4=TRUE,$U$5=FALSE,$U$6=TRUE,$U$7=FALSE)),VLOOKUP($E481,'Status Thresholds'!$E:$AR,13,FALSE),IF((AND($U$4=TRUE,$U$5=FALSE,$U$6=TRUE,$U$7=TRUE)),VLOOKUP($E481,'Status Thresholds'!$E:$AR,18,FALSE),IF((AND($U$4=TRUE,$U$5=FALSE,$U$6=FALSE,$U$7=TRUE)),VLOOKUP($E481,'Status Thresholds'!$E:$AR,8,FALSE),
IF((AND($U$4=FALSE,$U$5=TRUE,$U$6=FALSE,$U$7=FALSE)),VLOOKUP($E481,'Status Thresholds'!$E:$AR,23,FALSE),IF((AND($U$4=FALSE,$U$5=TRUE,$U$6=TRUE,$U$7=FALSE)),VLOOKUP($E481,'Status Thresholds'!$E:$AR,33,FALSE),IF((AND($U$4=FALSE,$U$5=TRUE,$U$6=TRUE,$U$7=TRUE)),VLOOKUP($E481,'Status Thresholds'!$E:$AR,38,FALSE),IF((AND($U$4=FALSE,$U$5=TRUE,$U$6=FALSE,$U$7=TRUE)),VLOOKUP($E481,'Status Thresholds'!$E:$AR,28,FALSE)))))))))
))/
IF(OR($X$5=TRUE,$AC$3=TRUE
),($F$6/2), IF(OR($X$2,$X$3,$X$4,$X$6,$X$7,$X$8,$Z$2,$Z$3,$Z$4,$Z$5,$Z$6,$Z$7,$Z$8)=TRUE,$F$6)),0),"-")</f>
        <v>-</v>
      </c>
      <c r="H481" s="36" t="str">
        <f>IFERROR(
ROUNDUP(
IF(AND($U$5=FALSE,$U$4=FALSE),"-",IF(AND($U$5=TRUE,$U$4=TRUE),"-",
IF((AND($U$4=TRUE,$U$5=FALSE,$U$6=FALSE,$U$7=FALSE)),VLOOKUP($E481,'Status Thresholds'!$E:$AR,4,FALSE),IF((AND($U$4=TRUE,$U$5=FALSE,$U$6=TRUE,$U$7=FALSE)),VLOOKUP($E481,'Status Thresholds'!$E:$AR,14,FALSE),IF((AND($U$4=TRUE,$U$5=FALSE,$U$6=TRUE,$U$7=TRUE)),VLOOKUP($E481,'Status Thresholds'!$E:$AR,19,FALSE),IF((AND($U$4=TRUE,$U$5=FALSE,$U$6=FALSE,$U$7=TRUE)),VLOOKUP($E481,'Status Thresholds'!$E:$AR,9,FALSE),
IF((AND($U$4=FALSE,$U$5=TRUE,$U$6=FALSE,$U$7=FALSE)),VLOOKUP($E481,'Status Thresholds'!$E:$AR,24,FALSE),IF((AND($U$4=FALSE,$U$5=TRUE,$U$6=TRUE,$U$7=FALSE)),VLOOKUP($E481,'Status Thresholds'!$E:$AR,34,FALSE),IF((AND($U$4=FALSE,$U$5=TRUE,$U$6=TRUE,$U$7=TRUE)),VLOOKUP($E481,'Status Thresholds'!$E:$AR,39,FALSE),IF((AND($U$4=FALSE,$U$5=TRUE,$U$6=FALSE,$U$7=TRUE)),VLOOKUP($E481,'Status Thresholds'!$E:$AR,29,FALSE)))))))))
))/
IF(OR($X$5=TRUE,$AC$3=TRUE
),($F$6/2), IF(OR($X$2,$X$3,$X$4,$X$6,$X$7,$X$8,$Z$2,$Z$3,$Z$4,$Z$5,$Z$6,$Z$7,$Z$8)=TRUE,$F$6)),0),"-")</f>
        <v>-</v>
      </c>
      <c r="I481" s="36" t="str">
        <f>IFERROR(
ROUNDUP(
IF(AND($U$5=FALSE,$U$4=FALSE),"-",IF(AND($U$5=TRUE,$U$4=TRUE),"-",
IF((AND($U$4=TRUE,$U$5=FALSE,$U$6=FALSE,$U$7=FALSE)),VLOOKUP($E481,'Status Thresholds'!$E:$AR,5,FALSE),IF((AND($U$4=TRUE,$U$5=FALSE,$U$6=TRUE,$U$7=FALSE)),VLOOKUP($E481,'Status Thresholds'!$E:$AR,15,FALSE),IF((AND($U$4=TRUE,$U$5=FALSE,$U$6=TRUE,$U$7=TRUE)),VLOOKUP($E481,'Status Thresholds'!$E:$AR,20,FALSE),IF((AND($U$4=TRUE,$U$5=FALSE,$U$6=FALSE,$U$7=TRUE)),VLOOKUP($E481,'Status Thresholds'!$E:$AR,10,FALSE),
IF((AND($U$4=FALSE,$U$5=TRUE,$U$6=FALSE,$U$7=FALSE)),VLOOKUP($E481,'Status Thresholds'!$E:$AR,25,FALSE),IF((AND($U$4=FALSE,$U$5=TRUE,$U$6=TRUE,$U$7=FALSE)),VLOOKUP($E481,'Status Thresholds'!$E:$AR,35,FALSE),IF((AND($U$4=FALSE,$U$5=TRUE,$U$6=TRUE,$U$7=TRUE)),VLOOKUP($E481,'Status Thresholds'!$E:$AR,40,FALSE),IF((AND($U$4=FALSE,$U$5=TRUE,$U$6=FALSE,$U$7=TRUE)),VLOOKUP($E481,'Status Thresholds'!$E:$AR,30,FALSE)))))))))
))/
IF(OR($X$5=TRUE,$AC$3=TRUE
),($F$6/2), IF(OR($X$2,$X$3,$X$4,$X$6,$X$7,$X$8,$Z$2,$Z$3,$Z$4,$Z$5,$Z$6,$Z$7,$Z$8)=TRUE,$F$6)),0),"-")</f>
        <v>-</v>
      </c>
      <c r="J481" s="46">
        <f>IFERROR(IF(AND($U$5=FALSE,$U$4=FALSE),"-",VLOOKUP($E481,'Status Thresholds'!$E:$AU,41,FALSE)),"-")</f>
        <v>0</v>
      </c>
      <c r="K481" s="46" t="str">
        <f>IFERROR(IF(AND($U$5=FALSE,$U$4=FALSE),"-",VLOOKUP($E481,'Status Thresholds'!$E:$AU,42,FALSE)),"-")</f>
        <v>-</v>
      </c>
      <c r="L481" s="46" t="str">
        <f>IFERROR(IF(AND($U$5=FALSE,$U$4=FALSE),"-",VLOOKUP($E481,'Status Thresholds'!$E:$AU,43,FALSE)),"-")</f>
        <v>-</v>
      </c>
    </row>
    <row r="482" spans="1:12" x14ac:dyDescent="0.25">
      <c r="A482" s="35"/>
      <c r="B482" s="64" t="str">
        <f>VLOOKUP(C482,'Status Thresholds'!B:C,2,FALSE)</f>
        <v>MHGU</v>
      </c>
      <c r="C482" s="64" t="str">
        <f>IF('Status Thresholds'!B477=0, "", 'Status Thresholds'!B477)</f>
        <v>Lao-Shan Long</v>
      </c>
      <c r="D482" s="30" t="s">
        <v>35</v>
      </c>
      <c r="E482" s="36" t="str">
        <f t="shared" si="7"/>
        <v>Lao-Shan LongBlast</v>
      </c>
      <c r="F482" s="36" t="str">
        <f>IFERROR(
ROUNDUP(
IF(AND($U$5=FALSE,$U$4=FALSE),"-",IF(AND($U$5=TRUE,$U$4=TRUE),"-",
IF((AND($U$4=TRUE,$U$5=FALSE,$U$6=FALSE,$U$7=FALSE)),VLOOKUP($E482,'Status Thresholds'!$E:$AR,2,FALSE),IF((AND($U$4=TRUE,$U$5=FALSE,$U$6=TRUE,$U$7=FALSE)),VLOOKUP($E482,'Status Thresholds'!$E:$AR,12,FALSE),IF((AND($U$4=TRUE,$U$5=FALSE,$U$6=TRUE,$U$7=TRUE)),VLOOKUP($E482,'Status Thresholds'!$E:$AR,17,FALSE),IF((AND($U$4=TRUE,$U$5=FALSE,$U$6=FALSE,$U$7=TRUE)),VLOOKUP($E482,'Status Thresholds'!$E:$AR,7,FALSE),
IF((AND($U$4=FALSE,$U$5=TRUE,$U$6=FALSE,$U$7=FALSE)),VLOOKUP($E482,'Status Thresholds'!$E:$AR,22,FALSE),IF((AND($U$4=FALSE,$U$5=TRUE,$U$6=TRUE,$U$7=FALSE)),VLOOKUP($E482,'Status Thresholds'!$E:$AR,32,FALSE),IF((AND($U$4=FALSE,$U$5=TRUE,$U$6=TRUE,$U$7=TRUE)),VLOOKUP($E482,'Status Thresholds'!$E:$AR,37,FALSE),IF((AND($U$4=FALSE,$U$5=TRUE,$U$6=FALSE,$U$7=TRUE)),VLOOKUP($E482,'Status Thresholds'!$E:$AR,27,FALSE)))))))))
))/
IF(OR($X$5=TRUE,$AC$3=TRUE
),($F$7/2), IF(OR($X$2,$X$3,$X$4,$X$6,$X$7,$X$8,$Z$2,$Z$3,$Z$4,$Z$5,$Z$6,$Z$7,$Z$8)=TRUE,$F$7)),0),"-")</f>
        <v>-</v>
      </c>
      <c r="G482" s="36" t="str">
        <f>IFERROR(
ROUNDUP(
IF(AND($U$5=FALSE,$U$4=FALSE),"-",IF(AND($U$5=TRUE,$U$4=TRUE),"-",
IF((AND($U$4=TRUE,$U$5=FALSE,$U$6=FALSE,$U$7=FALSE)),VLOOKUP($E482,'Status Thresholds'!$E:$AR,3,FALSE),IF((AND($U$4=TRUE,$U$5=FALSE,$U$6=TRUE,$U$7=FALSE)),VLOOKUP($E482,'Status Thresholds'!$E:$AR,13,FALSE),IF((AND($U$4=TRUE,$U$5=FALSE,$U$6=TRUE,$U$7=TRUE)),VLOOKUP($E482,'Status Thresholds'!$E:$AR,18,FALSE),IF((AND($U$4=TRUE,$U$5=FALSE,$U$6=FALSE,$U$7=TRUE)),VLOOKUP($E482,'Status Thresholds'!$E:$AR,8,FALSE),
IF((AND($U$4=FALSE,$U$5=TRUE,$U$6=FALSE,$U$7=FALSE)),VLOOKUP($E482,'Status Thresholds'!$E:$AR,23,FALSE),IF((AND($U$4=FALSE,$U$5=TRUE,$U$6=TRUE,$U$7=FALSE)),VLOOKUP($E482,'Status Thresholds'!$E:$AR,33,FALSE),IF((AND($U$4=FALSE,$U$5=TRUE,$U$6=TRUE,$U$7=TRUE)),VLOOKUP($E482,'Status Thresholds'!$E:$AR,38,FALSE),IF((AND($U$4=FALSE,$U$5=TRUE,$U$6=FALSE,$U$7=TRUE)),VLOOKUP($E482,'Status Thresholds'!$E:$AR,28,FALSE)))))))))
))/
IF(OR($X$5=TRUE,$AC$3=TRUE
),($F$7/2), IF(OR($X$2,$X$3,$X$4,$X$6,$X$7,$X$8,$Z$2,$Z$3,$Z$4,$Z$5,$Z$6,$Z$7,$Z$8)=TRUE,$F$7)),0),"-")</f>
        <v>-</v>
      </c>
      <c r="H482" s="36" t="str">
        <f>IFERROR(
ROUNDUP(
IF(AND($U$5=FALSE,$U$4=FALSE),"-",IF(AND($U$5=TRUE,$U$4=TRUE),"-",
IF((AND($U$4=TRUE,$U$5=FALSE,$U$6=FALSE,$U$7=FALSE)),VLOOKUP($E482,'Status Thresholds'!$E:$AR,4,FALSE),IF((AND($U$4=TRUE,$U$5=FALSE,$U$6=TRUE,$U$7=FALSE)),VLOOKUP($E482,'Status Thresholds'!$E:$AR,14,FALSE),IF((AND($U$4=TRUE,$U$5=FALSE,$U$6=TRUE,$U$7=TRUE)),VLOOKUP($E482,'Status Thresholds'!$E:$AR,19,FALSE),IF((AND($U$4=TRUE,$U$5=FALSE,$U$6=FALSE,$U$7=TRUE)),VLOOKUP($E482,'Status Thresholds'!$E:$AR,9,FALSE),
IF((AND($U$4=FALSE,$U$5=TRUE,$U$6=FALSE,$U$7=FALSE)),VLOOKUP($E482,'Status Thresholds'!$E:$AR,24,FALSE),IF((AND($U$4=FALSE,$U$5=TRUE,$U$6=TRUE,$U$7=FALSE)),VLOOKUP($E482,'Status Thresholds'!$E:$AR,34,FALSE),IF((AND($U$4=FALSE,$U$5=TRUE,$U$6=TRUE,$U$7=TRUE)),VLOOKUP($E482,'Status Thresholds'!$E:$AR,39,FALSE),IF((AND($U$4=FALSE,$U$5=TRUE,$U$6=FALSE,$U$7=TRUE)),VLOOKUP($E482,'Status Thresholds'!$E:$AR,29,FALSE)))))))))
))/
IF(OR($X$5=TRUE,$AC$3=TRUE
),($F$7/2), IF(OR($X$2,$X$3,$X$4,$X$6,$X$7,$X$8,$Z$2,$Z$3,$Z$4,$Z$5,$Z$6,$Z$7,$Z$8)=TRUE,$F$7)),0),"-")</f>
        <v>-</v>
      </c>
      <c r="I482" s="36" t="str">
        <f>IFERROR(
ROUNDUP(
IF(AND($U$5=FALSE,$U$4=FALSE),"-",IF(AND($U$5=TRUE,$U$4=TRUE),"-",
IF((AND($U$4=TRUE,$U$5=FALSE,$U$6=FALSE,$U$7=FALSE)),VLOOKUP($E482,'Status Thresholds'!$E:$AR,5,FALSE),IF((AND($U$4=TRUE,$U$5=FALSE,$U$6=TRUE,$U$7=FALSE)),VLOOKUP($E482,'Status Thresholds'!$E:$AR,15,FALSE),IF((AND($U$4=TRUE,$U$5=FALSE,$U$6=TRUE,$U$7=TRUE)),VLOOKUP($E482,'Status Thresholds'!$E:$AR,20,FALSE),IF((AND($U$4=TRUE,$U$5=FALSE,$U$6=FALSE,$U$7=TRUE)),VLOOKUP($E482,'Status Thresholds'!$E:$AR,10,FALSE),
IF((AND($U$4=FALSE,$U$5=TRUE,$U$6=FALSE,$U$7=FALSE)),VLOOKUP($E482,'Status Thresholds'!$E:$AR,25,FALSE),IF((AND($U$4=FALSE,$U$5=TRUE,$U$6=TRUE,$U$7=FALSE)),VLOOKUP($E482,'Status Thresholds'!$E:$AR,35,FALSE),IF((AND($U$4=FALSE,$U$5=TRUE,$U$6=TRUE,$U$7=TRUE)),VLOOKUP($E482,'Status Thresholds'!$E:$AR,40,FALSE),IF((AND($U$4=FALSE,$U$5=TRUE,$U$6=FALSE,$U$7=TRUE)),VLOOKUP($E482,'Status Thresholds'!$E:$AR,30,FALSE)))))))))
))/
IF(OR($X$5=TRUE,$AC$3=TRUE
),($F$7/2), IF(OR($X$2,$X$3,$X$4,$X$6,$X$7,$X$8,$Z$2,$Z$3,$Z$4,$Z$5,$Z$6,$Z$7,$Z$8)=TRUE,$F$7)),0),"-")</f>
        <v>-</v>
      </c>
      <c r="J482" s="46">
        <f>IFERROR(IF(AND($U$5=FALSE,$U$4=FALSE),"-",VLOOKUP($E482,'Status Thresholds'!$E:$AU,41,FALSE)),"-")</f>
        <v>0</v>
      </c>
      <c r="K482" s="46" t="str">
        <f>IFERROR(IF(AND($U$5=FALSE,$U$4=FALSE),"-",VLOOKUP($E482,'Status Thresholds'!$E:$AU,42,FALSE)),"-")</f>
        <v>-</v>
      </c>
      <c r="L482" s="46" t="str">
        <f>IFERROR(IF(AND($U$5=FALSE,$U$4=FALSE),"-",VLOOKUP($E482,'Status Thresholds'!$E:$AU,43,FALSE)),"-")</f>
        <v>-</v>
      </c>
    </row>
    <row r="483" spans="1:12" ht="14.45" customHeight="1" x14ac:dyDescent="0.25">
      <c r="A483" s="35"/>
      <c r="B483" s="64" t="str">
        <f>VLOOKUP(C483,'Status Thresholds'!B:C,2,FALSE)</f>
        <v>MHGU</v>
      </c>
      <c r="C483" s="64" t="str">
        <f>IF('Status Thresholds'!B478=0, "", 'Status Thresholds'!B478)</f>
        <v>Lao-Shan Long</v>
      </c>
      <c r="D483" s="34" t="s">
        <v>14</v>
      </c>
      <c r="E483" s="36" t="str">
        <f t="shared" si="7"/>
        <v>Lao-Shan LongKO</v>
      </c>
      <c r="F483" s="36" t="s">
        <v>214</v>
      </c>
      <c r="G483" s="36" t="s">
        <v>214</v>
      </c>
      <c r="H483" s="36" t="s">
        <v>214</v>
      </c>
      <c r="I483" s="36" t="s">
        <v>214</v>
      </c>
      <c r="J483" s="46">
        <f>IFERROR(IF(AND($U$5=FALSE,$U$4=FALSE),"-",VLOOKUP($E483,'Status Thresholds'!$E:$AU,41,FALSE)),"-")</f>
        <v>0</v>
      </c>
      <c r="K483" s="46" t="str">
        <f>IFERROR(IF(AND($U$5=FALSE,$U$4=FALSE),"-",VLOOKUP($E483,'Status Thresholds'!$E:$AU,42,FALSE)),"-")</f>
        <v>-</v>
      </c>
      <c r="L483" s="46" t="str">
        <f>IFERROR(IF(AND($U$5=FALSE,$U$4=FALSE),"-",VLOOKUP($E483,'Status Thresholds'!$E:$AU,43,FALSE)),"-")</f>
        <v>-</v>
      </c>
    </row>
    <row r="484" spans="1:12" x14ac:dyDescent="0.25">
      <c r="A484" s="35"/>
      <c r="B484" s="64" t="str">
        <f>VLOOKUP(C484,'Status Thresholds'!B:C,2,FALSE)</f>
        <v>MHGU</v>
      </c>
      <c r="C484" s="64" t="str">
        <f>IF('Status Thresholds'!B479=0, "", 'Status Thresholds'!B479)</f>
        <v>Lao-Shan Long</v>
      </c>
      <c r="D484" s="33" t="s">
        <v>34</v>
      </c>
      <c r="E484" s="36" t="str">
        <f t="shared" si="7"/>
        <v>Lao-Shan LongMount</v>
      </c>
      <c r="F484" s="36" t="str">
        <f>IFERROR(
ROUNDUP(
IF(AND($U$5=FALSE,$U$4=FALSE),"-",IF(AND($U$5=TRUE,$U$4=TRUE),"-",
IF((AND($U$4=TRUE,$U$5=FALSE,$U$6=FALSE,$U$7=FALSE)),VLOOKUP($E484,'Status Thresholds'!$E:$AR,2,FALSE),IF((AND($U$4=TRUE,$U$5=FALSE,$U$6=TRUE,$U$7=FALSE)),VLOOKUP($E484,'Status Thresholds'!$E:$AR,12,FALSE),IF((AND($U$4=TRUE,$U$5=FALSE,$U$6=TRUE,$U$7=TRUE)),VLOOKUP($E484,'Status Thresholds'!$E:$AR,17,FALSE),IF((AND($U$4=TRUE,$U$5=FALSE,$U$6=FALSE,$U$7=TRUE)),VLOOKUP($E484,'Status Thresholds'!$E:$AR,7,FALSE),
IF((AND($U$4=FALSE,$U$5=TRUE,$U$6=FALSE,$U$7=FALSE)),VLOOKUP($E484,'Status Thresholds'!$E:$AR,22,FALSE),IF((AND($U$4=FALSE,$U$5=TRUE,$U$6=TRUE,$U$7=FALSE)),VLOOKUP($E484,'Status Thresholds'!$E:$AR,32,FALSE),IF((AND($U$4=FALSE,$U$5=TRUE,$U$6=TRUE,$U$7=TRUE)),VLOOKUP($E484,'Status Thresholds'!$E:$AR,37,FALSE),IF((AND($U$4=FALSE,$U$5=TRUE,$U$6=FALSE,$U$7=TRUE)),VLOOKUP($E484,'Status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484" s="36" t="str">
        <f>IFERROR(
ROUNDUP(
IF(AND($U$5=FALSE,$U$4=FALSE),"-",IF(AND($U$5=TRUE,$U$4=TRUE),"-",
IF((AND($U$4=TRUE,$U$5=FALSE,$U$6=FALSE,$U$7=FALSE)),VLOOKUP($E483,'Status Thresholds'!$E:$AR,3,FALSE),IF((AND($U$4=TRUE,$U$5=FALSE,$U$6=TRUE,$U$7=FALSE)),VLOOKUP($E483,'Status Thresholds'!$E:$AR,13,FALSE),IF((AND($U$4=TRUE,$U$5=FALSE,$U$6=TRUE,$U$7=TRUE)),VLOOKUP($E483,'Status Thresholds'!$E:$AR,18,FALSE),IF((AND($U$4=TRUE,$U$5=FALSE,$U$6=FALSE,$U$7=TRUE)),VLOOKUP($E483,'Status Thresholds'!$E:$AR,8,FALSE),
IF((AND($U$4=FALSE,$U$5=TRUE,$U$6=FALSE,$U$7=FALSE)),VLOOKUP($E483,'Status Thresholds'!$E:$AR,23,FALSE),IF((AND($U$4=FALSE,$U$5=TRUE,$U$6=TRUE,$U$7=FALSE)),VLOOKUP($E483,'Status Thresholds'!$E:$AR,33,FALSE),IF((AND($U$4=FALSE,$U$5=TRUE,$U$6=TRUE,$U$7=TRUE)),VLOOKUP($E483,'Status Thresholds'!$E:$AR,38,FALSE),IF((AND($U$4=FALSE,$U$5=TRUE,$U$6=FALSE,$U$7=TRUE)),VLOOKUP($E483,'Status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484" s="36" t="str">
        <f>IFERROR(
ROUNDUP(
IF(AND($U$5=FALSE,$U$4=FALSE),"-",IF(AND($U$5=TRUE,$U$4=TRUE),"-",
IF((AND($U$4=TRUE,$U$5=FALSE,$U$6=FALSE,$U$7=FALSE)),VLOOKUP($E483,'Status Thresholds'!$E:$AR,4,FALSE),IF((AND($U$4=TRUE,$U$5=FALSE,$U$6=TRUE,$U$7=FALSE)),VLOOKUP($E483,'Status Thresholds'!$E:$AR,14,FALSE),IF((AND($U$4=TRUE,$U$5=FALSE,$U$6=TRUE,$U$7=TRUE)),VLOOKUP($E483,'Status Thresholds'!$E:$AR,19,FALSE),IF((AND($U$4=TRUE,$U$5=FALSE,$U$6=FALSE,$U$7=TRUE)),VLOOKUP($E483,'Status Thresholds'!$E:$AR,9,FALSE),
IF((AND($U$4=FALSE,$U$5=TRUE,$U$6=FALSE,$U$7=FALSE)),VLOOKUP($E483,'Status Thresholds'!$E:$AR,24,FALSE),IF((AND($U$4=FALSE,$U$5=TRUE,$U$6=TRUE,$U$7=FALSE)),VLOOKUP($E483,'Status Thresholds'!$E:$AR,34,FALSE),IF((AND($U$4=FALSE,$U$5=TRUE,$U$6=TRUE,$U$7=TRUE)),VLOOKUP($E483,'Status Thresholds'!$E:$AR,39,FALSE),IF((AND($U$4=FALSE,$U$5=TRUE,$U$6=FALSE,$U$7=TRUE)),VLOOKUP($E483,'Status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484" s="36" t="str">
        <f>IFERROR(
ROUNDUP(
IF(AND($U$5=FALSE,$U$4=FALSE),"-",IF(AND($U$5=TRUE,$U$4=TRUE),"-",
IF((AND($U$4=TRUE,$U$5=FALSE,$U$6=FALSE,$U$7=FALSE)),VLOOKUP($E483,'Status Thresholds'!$E:$AR,5,FALSE),IF((AND($U$4=TRUE,$U$5=FALSE,$U$6=TRUE,$U$7=FALSE)),VLOOKUP($E483,'Status Thresholds'!$E:$AR,15,FALSE),IF((AND($U$4=TRUE,$U$5=FALSE,$U$6=TRUE,$U$7=TRUE)),VLOOKUP($E483,'Status Thresholds'!$E:$AR,20,FALSE),IF((AND($U$4=TRUE,$U$5=FALSE,$U$6=FALSE,$U$7=TRUE)),VLOOKUP($E483,'Status Thresholds'!$E:$AR,10,FALSE),
IF((AND($U$4=FALSE,$U$5=TRUE,$U$6=FALSE,$U$7=FALSE)),VLOOKUP($E483,'Status Thresholds'!$E:$AR,25,FALSE),IF((AND($U$4=FALSE,$U$5=TRUE,$U$6=TRUE,$U$7=FALSE)),VLOOKUP($E483,'Status Thresholds'!$E:$AR,35,FALSE),IF((AND($U$4=FALSE,$U$5=TRUE,$U$6=TRUE,$U$7=TRUE)),VLOOKUP($E483,'Status Thresholds'!$E:$AR,40,FALSE),IF((AND($U$4=FALSE,$U$5=TRUE,$U$6=FALSE,$U$7=TRUE)),VLOOKUP($E483,'Status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484" s="46">
        <f>IFERROR(IF(AND($U$5=FALSE,$U$4=FALSE),"-",VLOOKUP($E484,'Status Thresholds'!$E:$AU,41,FALSE)),"-")</f>
        <v>0</v>
      </c>
      <c r="K484" s="46" t="str">
        <f>IFERROR(IF(AND($U$5=FALSE,$U$4=FALSE),"-",VLOOKUP($E484,'Status Thresholds'!$E:$AU,42,FALSE)),"-")</f>
        <v>-</v>
      </c>
      <c r="L484" s="46" t="str">
        <f>IFERROR(IF(AND($U$5=FALSE,$U$4=FALSE),"-",VLOOKUP($E484,'Status Thresholds'!$E:$AU,43,FALSE)),"-")</f>
        <v>-</v>
      </c>
    </row>
    <row r="485" spans="1:12" ht="15" customHeight="1" x14ac:dyDescent="0.25">
      <c r="A485" s="35"/>
      <c r="B485" s="64" t="str">
        <f>VLOOKUP(C485,'Status Thresholds'!B:C,2,FALSE)</f>
        <v>MHGU</v>
      </c>
      <c r="C485" s="64" t="str">
        <f>IF('Status Thresholds'!B480=0, "", 'Status Thresholds'!B480)</f>
        <v>Lao-Shan Long</v>
      </c>
      <c r="D485" s="77" t="s">
        <v>207</v>
      </c>
      <c r="E485" s="36" t="str">
        <f t="shared" si="7"/>
        <v>Lao-Shan LongShock Trap</v>
      </c>
      <c r="F485" s="76" t="s">
        <v>214</v>
      </c>
      <c r="G485" s="46" t="s">
        <v>214</v>
      </c>
      <c r="H485" s="46" t="s">
        <v>214</v>
      </c>
      <c r="I485" s="46" t="s">
        <v>214</v>
      </c>
      <c r="J485" s="46">
        <f>IFERROR(IF(AND($U$5=FALSE,$U$4=FALSE),"-",VLOOKUP($E485,'Status Thresholds'!$E:$AU,43,FALSE)),"-")</f>
        <v>0</v>
      </c>
      <c r="K485" s="46">
        <f>IFERROR(IF(AND($U$5=FALSE,$U$4=FALSE),"-",VLOOKUP($E485,'Status Thresholds'!$E:$AU,41,FALSE)),"-")</f>
        <v>0</v>
      </c>
      <c r="L485" s="46">
        <f>IFERROR(IF(AND($U$5=FALSE,$U$4=FALSE),"-",VLOOKUP($E485,'Status Thresholds'!$E:$AU,42,FALSE)),"-")</f>
        <v>0</v>
      </c>
    </row>
    <row r="486" spans="1:12" x14ac:dyDescent="0.25">
      <c r="A486" s="35"/>
      <c r="B486" s="64" t="str">
        <f>VLOOKUP(C486,'Status Thresholds'!B:C,2,FALSE)</f>
        <v>MHGU</v>
      </c>
      <c r="C486" s="64" t="str">
        <f>IF('Status Thresholds'!B481=0, "", 'Status Thresholds'!B481)</f>
        <v>Lao-Shan Long</v>
      </c>
      <c r="D486" s="77" t="s">
        <v>213</v>
      </c>
      <c r="E486" s="36" t="str">
        <f t="shared" si="7"/>
        <v>Lao-Shan LongPitfall Trap</v>
      </c>
      <c r="F486" s="46" t="s">
        <v>214</v>
      </c>
      <c r="G486" s="46" t="s">
        <v>214</v>
      </c>
      <c r="H486" s="46" t="s">
        <v>214</v>
      </c>
      <c r="I486" s="46" t="s">
        <v>214</v>
      </c>
      <c r="J486" s="46">
        <f>IFERROR(IF(AND($U$5=FALSE,$U$4=FALSE),"-",VLOOKUP($E486,'Status Thresholds'!$E:$AU,43,FALSE)),"-")</f>
        <v>0</v>
      </c>
      <c r="K486" s="46">
        <f>IFERROR(IF(AND($U$5=FALSE,$U$4=FALSE),"-",VLOOKUP($E486,'Status Thresholds'!$E:$AU,41,FALSE)),"-")</f>
        <v>0</v>
      </c>
      <c r="L486" s="46">
        <f>IFERROR(IF(AND($U$5=FALSE,$U$4=FALSE),"-",VLOOKUP($E486,'Status Thresholds'!$E:$AU,42,FALSE)),"-")</f>
        <v>0</v>
      </c>
    </row>
    <row r="487" spans="1:12" s="36" customFormat="1" x14ac:dyDescent="0.25">
      <c r="A487" s="64"/>
      <c r="B487" s="64" t="str">
        <f>VLOOKUP(C487,'Status Thresholds'!B:C,2,FALSE)</f>
        <v>MHGen</v>
      </c>
      <c r="C487" s="64" t="str">
        <f>IF('Status Thresholds'!B482=0, "", 'Status Thresholds'!B482)</f>
        <v>Lavasioth</v>
      </c>
      <c r="D487" s="37" t="s">
        <v>0</v>
      </c>
      <c r="E487" s="36" t="str">
        <f t="shared" si="7"/>
        <v>LavasiothPara</v>
      </c>
      <c r="F487" s="36" t="str">
        <f>IFERROR(
ROUNDUP(
IF(AND($U$5=FALSE,$U$4=FALSE),"-",IF(AND($U$5=TRUE,$U$4=TRUE),"-",
IF((AND($U$4=TRUE,$U$5=FALSE,$U$6=FALSE,$U$7=FALSE)),VLOOKUP($E487,'Status Thresholds'!$E:$AR,2,FALSE),IF((AND($U$4=TRUE,$U$5=FALSE,$U$6=TRUE,$U$7=FALSE)),VLOOKUP($E487,'Status Thresholds'!$E:$AR,12,FALSE),IF((AND($U$4=TRUE,$U$5=FALSE,$U$6=TRUE,$U$7=TRUE)),VLOOKUP($E487,'Status Thresholds'!$E:$AR,17,FALSE),IF((AND($U$4=TRUE,$U$5=FALSE,$U$6=FALSE,$U$7=TRUE)),VLOOKUP($E487,'Status Thresholds'!$E:$AR,7,FALSE),
IF((AND($U$4=FALSE,$U$5=TRUE,$U$6=FALSE,$U$7=FALSE)),VLOOKUP($E487,'Status Thresholds'!$E:$AR,22,FALSE),IF((AND($U$4=FALSE,$U$5=TRUE,$U$6=TRUE,$U$7=FALSE)),VLOOKUP($E487,'Status Thresholds'!$E:$AR,32,FALSE),IF((AND($U$4=FALSE,$U$5=TRUE,$U$6=TRUE,$U$7=TRUE)),VLOOKUP($E487,'Status Thresholds'!$E:$AR,37,FALSE),IF((AND($U$4=FALSE,$U$5=TRUE,$U$6=FALSE,$U$7=TRUE)),VLOOKUP($E487,'Status Thresholds'!$E:$AR,27,FALSE)))))))))
))/
IF(OR($X$5=TRUE,$AC$3=TRUE
),($F$3/2), IF(OR($X$2,$X$3,$X$4,$X$6,$X$7,$X$8,$Z$2,$Z$3,$Z$4,$Z$5,$Z$6,$Z$7,$Z$8)=TRUE,$F$3)),0),"-")</f>
        <v>-</v>
      </c>
      <c r="G487" s="36" t="str">
        <f>IFERROR(
ROUNDUP(
IF(AND($U$5=FALSE,$U$4=FALSE),"-",IF(AND($U$5=TRUE,$U$4=TRUE),"-",
IF((AND($U$4=TRUE,$U$5=FALSE,$U$6=FALSE,$U$7=FALSE)),VLOOKUP($E487,'Status Thresholds'!$E:$AR,3,FALSE),IF((AND($U$4=TRUE,$U$5=FALSE,$U$6=TRUE,$U$7=FALSE)),VLOOKUP($E487,'Status Thresholds'!$E:$AR,13,FALSE),IF((AND($U$4=TRUE,$U$5=FALSE,$U$6=TRUE,$U$7=TRUE)),VLOOKUP($E487,'Status Thresholds'!$E:$AR,18,FALSE),IF((AND($U$4=TRUE,$U$5=FALSE,$U$6=FALSE,$U$7=TRUE)),VLOOKUP($E487,'Status Thresholds'!$E:$AR,8,FALSE),
IF((AND($U$4=FALSE,$U$5=TRUE,$U$6=FALSE,$U$7=FALSE)),VLOOKUP($E487,'Status Thresholds'!$E:$AR,23,FALSE),IF((AND($U$4=FALSE,$U$5=TRUE,$U$6=TRUE,$U$7=FALSE)),VLOOKUP($E487,'Status Thresholds'!$E:$AR,33,FALSE),IF((AND($U$4=FALSE,$U$5=TRUE,$U$6=TRUE,$U$7=TRUE)),VLOOKUP($E487,'Status Thresholds'!$E:$AR,38,FALSE),IF((AND($U$4=FALSE,$U$5=TRUE,$U$6=FALSE,$U$7=TRUE)),VLOOKUP($E487,'Status Thresholds'!$E:$AR,28,FALSE)))))))))
))/
IF(OR($X$5=TRUE,$AC$3=TRUE
),($F$3/2), IF(OR($X$2,$X$3,$X$4,$X$6,$X$7,$X$8,$Z$2,$Z$3,$Z$4,$Z$5,$Z$6,$Z$7,$Z$8)=TRUE,$F$3)),0),"-")</f>
        <v>-</v>
      </c>
      <c r="H487" s="36" t="str">
        <f>IFERROR(
ROUNDUP(
IF(AND($U$5=FALSE,$U$4=FALSE),"-",IF(AND($U$5=TRUE,$U$4=TRUE),"-",
IF((AND($U$4=TRUE,$U$5=FALSE,$U$6=FALSE,$U$7=FALSE)),VLOOKUP($E487,'Status Thresholds'!$E:$AR,4,FALSE),IF((AND($U$4=TRUE,$U$5=FALSE,$U$6=TRUE,$U$7=FALSE)),VLOOKUP($E487,'Status Thresholds'!$E:$AR,14,FALSE),IF((AND($U$4=TRUE,$U$5=FALSE,$U$6=TRUE,$U$7=TRUE)),VLOOKUP($E487,'Status Thresholds'!$E:$AR,19,FALSE),IF((AND($U$4=TRUE,$U$5=FALSE,$U$6=FALSE,$U$7=TRUE)),VLOOKUP($E487,'Status Thresholds'!$E:$AR,9,FALSE),
IF((AND($U$4=FALSE,$U$5=TRUE,$U$6=FALSE,$U$7=FALSE)),VLOOKUP($E487,'Status Thresholds'!$E:$AR,24,FALSE),IF((AND($U$4=FALSE,$U$5=TRUE,$U$6=TRUE,$U$7=FALSE)),VLOOKUP($E487,'Status Thresholds'!$E:$AR,34,FALSE),IF((AND($U$4=FALSE,$U$5=TRUE,$U$6=TRUE,$U$7=TRUE)),VLOOKUP($E487,'Status Thresholds'!$E:$AR,39,FALSE),IF((AND($U$4=FALSE,$U$5=TRUE,$U$6=FALSE,$U$7=TRUE)),VLOOKUP($E487,'Status Thresholds'!$E:$AR,29,FALSE)))))))))
))/
IF(OR($X$5=TRUE,$AC$3=TRUE
),($F$3/2), IF(OR($X$2,$X$3,$X$4,$X$6,$X$7,$X$8,$Z$2,$Z$3,$Z$4,$Z$5,$Z$6,$Z$7,$Z$8)=TRUE,$F$3)),0),"-")</f>
        <v>-</v>
      </c>
      <c r="I487" s="36" t="str">
        <f>IFERROR(
ROUNDUP(
IF(AND($U$5=FALSE,$U$4=FALSE),"-",IF(AND($U$5=TRUE,$U$4=TRUE),"-",
IF((AND($U$4=TRUE,$U$5=FALSE,$U$6=FALSE,$U$7=FALSE)),VLOOKUP($E487,'Status Thresholds'!$E:$AR,5,FALSE),IF((AND($U$4=TRUE,$U$5=FALSE,$U$6=TRUE,$U$7=FALSE)),VLOOKUP($E487,'Status Thresholds'!$E:$AR,15,FALSE),IF((AND($U$4=TRUE,$U$5=FALSE,$U$6=TRUE,$U$7=TRUE)),VLOOKUP($E487,'Status Thresholds'!$E:$AR,20,FALSE),IF((AND($U$4=TRUE,$U$5=FALSE,$U$6=FALSE,$U$7=TRUE)),VLOOKUP($E487,'Status Thresholds'!$E:$AR,10,FALSE),
IF((AND($U$4=FALSE,$U$5=TRUE,$U$6=FALSE,$U$7=FALSE)),VLOOKUP($E487,'Status Thresholds'!$E:$AR,25,FALSE),IF((AND($U$4=FALSE,$U$5=TRUE,$U$6=TRUE,$U$7=FALSE)),VLOOKUP($E487,'Status Thresholds'!$E:$AR,35,FALSE),IF((AND($U$4=FALSE,$U$5=TRUE,$U$6=TRUE,$U$7=TRUE)),VLOOKUP($E487,'Status Thresholds'!$E:$AR,40,FALSE),IF((AND($U$4=FALSE,$U$5=TRUE,$U$6=FALSE,$U$7=TRUE)),VLOOKUP($E487,'Status Thresholds'!$E:$AR,30,FALSE)))))))))
))/
IF(OR($X$5=TRUE,$AC$3=TRUE
),($F$3/2), IF(OR($X$2,$X$3,$X$4,$X$6,$X$7,$X$8,$Z$2,$Z$3,$Z$4,$Z$5,$Z$6,$Z$7,$Z$8)=TRUE,$F$3)),0),"-")</f>
        <v>-</v>
      </c>
      <c r="J487" s="36">
        <f>IFERROR(IF(AND($U$5=FALSE,$U$4=FALSE),"-",VLOOKUP($E487,'Status Thresholds'!$E:$AU,41,FALSE)),"-")</f>
        <v>10</v>
      </c>
      <c r="K487" s="36" t="str">
        <f>IFERROR(IF(AND($U$5=FALSE,$U$4=FALSE),"-",VLOOKUP($E487,'Status Thresholds'!$E:$AU,42,FALSE)),"-")</f>
        <v>-</v>
      </c>
      <c r="L487" s="36" t="str">
        <f>IFERROR(IF(AND($U$5=FALSE,$U$4=FALSE),"-",VLOOKUP($E487,'Status Thresholds'!$E:$AU,43,FALSE)),"-")</f>
        <v>-</v>
      </c>
    </row>
    <row r="488" spans="1:12" x14ac:dyDescent="0.25">
      <c r="A488" s="35"/>
      <c r="B488" s="64" t="str">
        <f>VLOOKUP(C488,'Status Thresholds'!B:C,2,FALSE)</f>
        <v>MHGen</v>
      </c>
      <c r="C488" s="64" t="str">
        <f>IF('Status Thresholds'!B483=0, "", 'Status Thresholds'!B483)</f>
        <v>Lavasioth</v>
      </c>
      <c r="D488" s="31" t="s">
        <v>32</v>
      </c>
      <c r="E488" s="36" t="str">
        <f t="shared" si="7"/>
        <v>LavasiothSleep</v>
      </c>
      <c r="F488" s="36" t="str">
        <f>IFERROR(
ROUNDUP(
IF(AND($U$5=FALSE,$U$4=FALSE),"-",IF(AND($U$5=TRUE,$U$4=TRUE),"-",
IF((AND($U$4=TRUE,$U$5=FALSE,$U$6=FALSE,$U$7=FALSE)),VLOOKUP($E488,'Status Thresholds'!$E:$AR,2,FALSE),IF((AND($U$4=TRUE,$U$5=FALSE,$U$6=TRUE,$U$7=FALSE)),VLOOKUP($E488,'Status Thresholds'!$E:$AR,12,FALSE),IF((AND($U$4=TRUE,$U$5=FALSE,$U$6=TRUE,$U$7=TRUE)),VLOOKUP($E488,'Status Thresholds'!$E:$AR,17,FALSE),IF((AND($U$4=TRUE,$U$5=FALSE,$U$6=FALSE,$U$7=TRUE)),VLOOKUP($E488,'Status Thresholds'!$E:$AR,7,FALSE),
IF((AND($U$4=FALSE,$U$5=TRUE,$U$6=FALSE,$U$7=FALSE)),VLOOKUP($E488,'Status Thresholds'!$E:$AR,22,FALSE),IF((AND($U$4=FALSE,$U$5=TRUE,$U$6=TRUE,$U$7=FALSE)),VLOOKUP($E488,'Status Thresholds'!$E:$AR,32,FALSE),IF((AND($U$4=FALSE,$U$5=TRUE,$U$6=TRUE,$U$7=TRUE)),VLOOKUP($E488,'Status Thresholds'!$E:$AR,37,FALSE),IF((AND($U$4=FALSE,$U$5=TRUE,$U$6=FALSE,$U$7=TRUE)),VLOOKUP($E488,'Status Thresholds'!$E:$AR,27,FALSE)))))))))
))/
IF(OR($X$5=TRUE,$AC$3=TRUE
),($F$4/2), IF(OR($X$2,$X$3,$X$4,$X$6,$X$7,$X$8,$Z$2,$Z$3,$Z$4,$Z$5,$Z$6,$Z$7,$Z$8)=TRUE,$F$4)),0),"-")</f>
        <v>-</v>
      </c>
      <c r="G488" s="36" t="str">
        <f>IFERROR(
ROUNDUP(
IF(AND($U$5=FALSE,$U$4=FALSE),"-",IF(AND($U$5=TRUE,$U$4=TRUE),"-",
IF((AND($U$4=TRUE,$U$5=FALSE,$U$6=FALSE,$U$7=FALSE)),VLOOKUP($E488,'Status Thresholds'!$E:$AR,3,FALSE),IF((AND($U$4=TRUE,$U$5=FALSE,$U$6=TRUE,$U$7=FALSE)),VLOOKUP($E488,'Status Thresholds'!$E:$AR,13,FALSE),IF((AND($U$4=TRUE,$U$5=FALSE,$U$6=TRUE,$U$7=TRUE)),VLOOKUP($E488,'Status Thresholds'!$E:$AR,18,FALSE),IF((AND($U$4=TRUE,$U$5=FALSE,$U$6=FALSE,$U$7=TRUE)),VLOOKUP($E488,'Status Thresholds'!$E:$AR,8,FALSE),
IF((AND($U$4=FALSE,$U$5=TRUE,$U$6=FALSE,$U$7=FALSE)),VLOOKUP($E488,'Status Thresholds'!$E:$AR,23,FALSE),IF((AND($U$4=FALSE,$U$5=TRUE,$U$6=TRUE,$U$7=FALSE)),VLOOKUP($E488,'Status Thresholds'!$E:$AR,33,FALSE),IF((AND($U$4=FALSE,$U$5=TRUE,$U$6=TRUE,$U$7=TRUE)),VLOOKUP($E488,'Status Thresholds'!$E:$AR,38,FALSE),IF((AND($U$4=FALSE,$U$5=TRUE,$U$6=FALSE,$U$7=TRUE)),VLOOKUP($E488,'Status Thresholds'!$E:$AR,28,FALSE)))))))))
))/
IF(OR($X$5=TRUE,$AC$3=TRUE
),($F$4/2), IF(OR($X$2,$X$3,$X$4,$X$6,$X$7,$X$8,$Z$2,$Z$3,$Z$4,$Z$5,$Z$6,$Z$7,$Z$8)=TRUE,$F$4)),0),"-")</f>
        <v>-</v>
      </c>
      <c r="H488" s="36" t="str">
        <f>IFERROR(
ROUNDUP(
IF(AND($U$5=FALSE,$U$4=FALSE),"-",IF(AND($U$5=TRUE,$U$4=TRUE),"-",
IF((AND($U$4=TRUE,$U$5=FALSE,$U$6=FALSE,$U$7=FALSE)),VLOOKUP($E488,'Status Thresholds'!$E:$AR,4,FALSE),IF((AND($U$4=TRUE,$U$5=FALSE,$U$6=TRUE,$U$7=FALSE)),VLOOKUP($E488,'Status Thresholds'!$E:$AR,14,FALSE),IF((AND($U$4=TRUE,$U$5=FALSE,$U$6=TRUE,$U$7=TRUE)),VLOOKUP($E488,'Status Thresholds'!$E:$AR,19,FALSE),IF((AND($U$4=TRUE,$U$5=FALSE,$U$6=FALSE,$U$7=TRUE)),VLOOKUP($E488,'Status Thresholds'!$E:$AR,9,FALSE),
IF((AND($U$4=FALSE,$U$5=TRUE,$U$6=FALSE,$U$7=FALSE)),VLOOKUP($E488,'Status Thresholds'!$E:$AR,24,FALSE),IF((AND($U$4=FALSE,$U$5=TRUE,$U$6=TRUE,$U$7=FALSE)),VLOOKUP($E488,'Status Thresholds'!$E:$AR,34,FALSE),IF((AND($U$4=FALSE,$U$5=TRUE,$U$6=TRUE,$U$7=TRUE)),VLOOKUP($E488,'Status Thresholds'!$E:$AR,39,FALSE),IF((AND($U$4=FALSE,$U$5=TRUE,$U$6=FALSE,$U$7=TRUE)),VLOOKUP($E488,'Status Thresholds'!$E:$AR,29,FALSE)))))))))
))/
IF(OR($X$5=TRUE,$AC$3=TRUE
),($F$4/2), IF(OR($X$2,$X$3,$X$4,$X$6,$X$7,$X$8,$Z$2,$Z$3,$Z$4,$Z$5,$Z$6,$Z$7,$Z$8)=TRUE,$F$4)),0),"-")</f>
        <v>-</v>
      </c>
      <c r="I488" s="36" t="str">
        <f>IFERROR(
ROUNDUP(
IF(AND($U$5=FALSE,$U$4=FALSE),"-",IF(AND($U$5=TRUE,$U$4=TRUE),"-",
IF((AND($U$4=TRUE,$U$5=FALSE,$U$6=FALSE,$U$7=FALSE)),VLOOKUP($E488,'Status Thresholds'!$E:$AR,5,FALSE),IF((AND($U$4=TRUE,$U$5=FALSE,$U$6=TRUE,$U$7=FALSE)),VLOOKUP($E488,'Status Thresholds'!$E:$AR,15,FALSE),IF((AND($U$4=TRUE,$U$5=FALSE,$U$6=TRUE,$U$7=TRUE)),VLOOKUP($E488,'Status Thresholds'!$E:$AR,20,FALSE),IF((AND($U$4=TRUE,$U$5=FALSE,$U$6=FALSE,$U$7=TRUE)),VLOOKUP($E488,'Status Thresholds'!$E:$AR,10,FALSE),
IF((AND($U$4=FALSE,$U$5=TRUE,$U$6=FALSE,$U$7=FALSE)),VLOOKUP($E488,'Status Thresholds'!$E:$AR,25,FALSE),IF((AND($U$4=FALSE,$U$5=TRUE,$U$6=TRUE,$U$7=FALSE)),VLOOKUP($E488,'Status Thresholds'!$E:$AR,35,FALSE),IF((AND($U$4=FALSE,$U$5=TRUE,$U$6=TRUE,$U$7=TRUE)),VLOOKUP($E488,'Status Thresholds'!$E:$AR,40,FALSE),IF((AND($U$4=FALSE,$U$5=TRUE,$U$6=FALSE,$U$7=TRUE)),VLOOKUP($E488,'Status Thresholds'!$E:$AR,30,FALSE)))))))))
))/
IF(OR($X$5=TRUE,$AC$3=TRUE
),($F$4/2), IF(OR($X$2,$X$3,$X$4,$X$6,$X$7,$X$8,$Z$2,$Z$3,$Z$4,$Z$5,$Z$6,$Z$7,$Z$8)=TRUE,$F$4)),0),"-")</f>
        <v>-</v>
      </c>
      <c r="J488" s="46">
        <f>IFERROR(IF(AND($U$5=FALSE,$U$4=FALSE),"-",VLOOKUP($E488,'Status Thresholds'!$E:$AU,41,FALSE)),"-")</f>
        <v>50</v>
      </c>
      <c r="K488" s="46" t="str">
        <f>IFERROR(IF(AND($U$5=FALSE,$U$4=FALSE),"-",VLOOKUP($E488,'Status Thresholds'!$E:$AU,42,FALSE)),"-")</f>
        <v>-</v>
      </c>
      <c r="L488" s="46" t="str">
        <f>IFERROR(IF(AND($U$5=FALSE,$U$4=FALSE),"-",VLOOKUP($E488,'Status Thresholds'!$E:$AU,43,FALSE)),"-")</f>
        <v>-</v>
      </c>
    </row>
    <row r="489" spans="1:12" x14ac:dyDescent="0.25">
      <c r="A489" s="35"/>
      <c r="B489" s="64" t="str">
        <f>VLOOKUP(C489,'Status Thresholds'!B:C,2,FALSE)</f>
        <v>MHGen</v>
      </c>
      <c r="C489" s="64" t="str">
        <f>IF('Status Thresholds'!B484=0, "", 'Status Thresholds'!B484)</f>
        <v>Lavasioth</v>
      </c>
      <c r="D489" s="32" t="s">
        <v>33</v>
      </c>
      <c r="E489" s="36" t="str">
        <f t="shared" si="7"/>
        <v>LavasiothPoison</v>
      </c>
      <c r="F489" s="36" t="str">
        <f>IFERROR(
ROUNDUP(
IF(AND($U$5=FALSE,$U$4=FALSE),"-",IF(AND($U$5=TRUE,$U$4=TRUE),"-",
IF((AND($U$4=TRUE,$U$5=FALSE,$U$6=FALSE,$U$7=FALSE)),VLOOKUP($E489,'Status Thresholds'!$E:$AR,2,FALSE),IF((AND($U$4=TRUE,$U$5=FALSE,$U$6=TRUE,$U$7=FALSE)),VLOOKUP($E489,'Status Thresholds'!$E:$AR,12,FALSE),IF((AND($U$4=TRUE,$U$5=FALSE,$U$6=TRUE,$U$7=TRUE)),VLOOKUP($E489,'Status Thresholds'!$E:$AR,17,FALSE),IF((AND($U$4=TRUE,$U$5=FALSE,$U$6=FALSE,$U$7=TRUE)),VLOOKUP($E489,'Status Thresholds'!$E:$AR,7,FALSE),
IF((AND($U$4=FALSE,$U$5=TRUE,$U$6=FALSE,$U$7=FALSE)),VLOOKUP($E489,'Status Thresholds'!$E:$AR,22,FALSE),IF((AND($U$4=FALSE,$U$5=TRUE,$U$6=TRUE,$U$7=FALSE)),VLOOKUP($E489,'Status Thresholds'!$E:$AR,32,FALSE),IF((AND($U$4=FALSE,$U$5=TRUE,$U$6=TRUE,$U$7=TRUE)),VLOOKUP($E489,'Status Thresholds'!$E:$AR,37,FALSE),IF((AND($U$4=FALSE,$U$5=TRUE,$U$6=FALSE,$U$7=TRUE)),VLOOKUP($E489,'Status Thresholds'!$E:$AR,27,FALSE)))))))))
))/
IF(OR($X$5=TRUE,$AC$3=TRUE
),($F$5/2), IF(OR($X$2,$X$3,$X$4,$X$6,$X$7,$X$8,$Z$2,$Z$3,$Z$4,$Z$5,$Z$6,$Z$7,$Z$8)=TRUE,$F$5)),0),"-")</f>
        <v>-</v>
      </c>
      <c r="G489" s="36" t="str">
        <f>IFERROR(
ROUNDUP(
IF(AND($U$5=FALSE,$U$4=FALSE),"-",IF(AND($U$5=TRUE,$U$4=TRUE),"-",
IF((AND($U$4=TRUE,$U$5=FALSE,$U$6=FALSE,$U$7=FALSE)),VLOOKUP($E489,'Status Thresholds'!$E:$AR,3,FALSE),IF((AND($U$4=TRUE,$U$5=FALSE,$U$6=TRUE,$U$7=FALSE)),VLOOKUP($E489,'Status Thresholds'!$E:$AR,13,FALSE),IF((AND($U$4=TRUE,$U$5=FALSE,$U$6=TRUE,$U$7=TRUE)),VLOOKUP($E489,'Status Thresholds'!$E:$AR,18,FALSE),IF((AND($U$4=TRUE,$U$5=FALSE,$U$6=FALSE,$U$7=TRUE)),VLOOKUP($E489,'Status Thresholds'!$E:$AR,8,FALSE),
IF((AND($U$4=FALSE,$U$5=TRUE,$U$6=FALSE,$U$7=FALSE)),VLOOKUP($E489,'Status Thresholds'!$E:$AR,23,FALSE),IF((AND($U$4=FALSE,$U$5=TRUE,$U$6=TRUE,$U$7=FALSE)),VLOOKUP($E489,'Status Thresholds'!$E:$AR,33,FALSE),IF((AND($U$4=FALSE,$U$5=TRUE,$U$6=TRUE,$U$7=TRUE)),VLOOKUP($E489,'Status Thresholds'!$E:$AR,38,FALSE),IF((AND($U$4=FALSE,$U$5=TRUE,$U$6=FALSE,$U$7=TRUE)),VLOOKUP($E489,'Status Thresholds'!$E:$AR,28,FALSE)))))))))
))/
IF(OR($X$5=TRUE,$AC$3=TRUE
),($F$5/2), IF(OR($X$2,$X$3,$X$4,$X$6,$X$7,$X$8,$Z$2,$Z$3,$Z$4,$Z$5,$Z$6,$Z$7,$Z$8)=TRUE,$F$5)),0),"-")</f>
        <v>-</v>
      </c>
      <c r="H489" s="36" t="str">
        <f>IFERROR(
ROUNDUP(
IF(AND($U$5=FALSE,$U$4=FALSE),"-",IF(AND($U$5=TRUE,$U$4=TRUE),"-",
IF((AND($U$4=TRUE,$U$5=FALSE,$U$6=FALSE,$U$7=FALSE)),VLOOKUP($E489,'Status Thresholds'!$E:$AR,4,FALSE),IF((AND($U$4=TRUE,$U$5=FALSE,$U$6=TRUE,$U$7=FALSE)),VLOOKUP($E489,'Status Thresholds'!$E:$AR,14,FALSE),IF((AND($U$4=TRUE,$U$5=FALSE,$U$6=TRUE,$U$7=TRUE)),VLOOKUP($E489,'Status Thresholds'!$E:$AR,19,FALSE),IF((AND($U$4=TRUE,$U$5=FALSE,$U$6=FALSE,$U$7=TRUE)),VLOOKUP($E489,'Status Thresholds'!$E:$AR,9,FALSE),
IF((AND($U$4=FALSE,$U$5=TRUE,$U$6=FALSE,$U$7=FALSE)),VLOOKUP($E489,'Status Thresholds'!$E:$AR,24,FALSE),IF((AND($U$4=FALSE,$U$5=TRUE,$U$6=TRUE,$U$7=FALSE)),VLOOKUP($E489,'Status Thresholds'!$E:$AR,34,FALSE),IF((AND($U$4=FALSE,$U$5=TRUE,$U$6=TRUE,$U$7=TRUE)),VLOOKUP($E489,'Status Thresholds'!$E:$AR,39,FALSE),IF((AND($U$4=FALSE,$U$5=TRUE,$U$6=FALSE,$U$7=TRUE)),VLOOKUP($E489,'Status Thresholds'!$E:$AR,29,FALSE)))))))))
))/
IF(OR($X$5=TRUE,$AC$3=TRUE
),($F$5/2), IF(OR($X$2,$X$3,$X$4,$X$6,$X$7,$X$8,$Z$2,$Z$3,$Z$4,$Z$5,$Z$6,$Z$7,$Z$8)=TRUE,$F$5)),0),"-")</f>
        <v>-</v>
      </c>
      <c r="I489" s="36" t="str">
        <f>IFERROR(
ROUNDUP(
IF(AND($U$5=FALSE,$U$4=FALSE),"-",IF(AND($U$5=TRUE,$U$4=TRUE),"-",
IF((AND($U$4=TRUE,$U$5=FALSE,$U$6=FALSE,$U$7=FALSE)),VLOOKUP($E489,'Status Thresholds'!$E:$AR,5,FALSE),IF((AND($U$4=TRUE,$U$5=FALSE,$U$6=TRUE,$U$7=FALSE)),VLOOKUP($E489,'Status Thresholds'!$E:$AR,15,FALSE),IF((AND($U$4=TRUE,$U$5=FALSE,$U$6=TRUE,$U$7=TRUE)),VLOOKUP($E489,'Status Thresholds'!$E:$AR,20,FALSE),IF((AND($U$4=TRUE,$U$5=FALSE,$U$6=FALSE,$U$7=TRUE)),VLOOKUP($E489,'Status Thresholds'!$E:$AR,10,FALSE),
IF((AND($U$4=FALSE,$U$5=TRUE,$U$6=FALSE,$U$7=FALSE)),VLOOKUP($E489,'Status Thresholds'!$E:$AR,25,FALSE),IF((AND($U$4=FALSE,$U$5=TRUE,$U$6=TRUE,$U$7=FALSE)),VLOOKUP($E489,'Status Thresholds'!$E:$AR,35,FALSE),IF((AND($U$4=FALSE,$U$5=TRUE,$U$6=TRUE,$U$7=TRUE)),VLOOKUP($E489,'Status Thresholds'!$E:$AR,40,FALSE),IF((AND($U$4=FALSE,$U$5=TRUE,$U$6=FALSE,$U$7=TRUE)),VLOOKUP($E489,'Status Thresholds'!$E:$AR,30,FALSE)))))))))
))/
IF(OR($X$5=TRUE,$AC$3=TRUE
),($F$5/2), IF(OR($X$2,$X$3,$X$4,$X$6,$X$7,$X$8,$Z$2,$Z$3,$Z$4,$Z$5,$Z$6,$Z$7,$Z$8)=TRUE,$F$5)),0),"-")</f>
        <v>-</v>
      </c>
      <c r="J489" s="46">
        <f>IFERROR(IF(AND($U$5=FALSE,$U$4=FALSE),"-",VLOOKUP($E489,'Status Thresholds'!$E:$AU,41,FALSE)),"-")</f>
        <v>60</v>
      </c>
      <c r="K489" s="46" t="str">
        <f>IFERROR(IF(AND($U$5=FALSE,$U$4=FALSE),"-",VLOOKUP($E489,'Status Thresholds'!$E:$AU,42,FALSE)),"-")</f>
        <v>-</v>
      </c>
      <c r="L489" s="46" t="str">
        <f>IFERROR(IF(AND($U$5=FALSE,$U$4=FALSE),"-",VLOOKUP($E489,'Status Thresholds'!$E:$AU,43,FALSE)),"-")</f>
        <v>-</v>
      </c>
    </row>
    <row r="490" spans="1:12" x14ac:dyDescent="0.25">
      <c r="A490" s="35"/>
      <c r="B490" s="64" t="str">
        <f>VLOOKUP(C490,'Status Thresholds'!B:C,2,FALSE)</f>
        <v>MHGen</v>
      </c>
      <c r="C490" s="64" t="str">
        <f>IF('Status Thresholds'!B485=0, "", 'Status Thresholds'!B485)</f>
        <v>Lavasioth</v>
      </c>
      <c r="D490" s="10" t="s">
        <v>22</v>
      </c>
      <c r="E490" s="36" t="str">
        <f t="shared" si="7"/>
        <v>LavasiothExhaust</v>
      </c>
      <c r="F490" s="36" t="str">
        <f>IFERROR(
ROUNDUP(
IF(AND($U$5=FALSE,$U$4=FALSE),"-",IF(AND($U$5=TRUE,$U$4=TRUE),"-",
IF((AND($U$4=TRUE,$U$5=FALSE,$U$6=FALSE,$U$7=FALSE)),VLOOKUP($E490,'Status Thresholds'!$E:$AR,2,FALSE),IF((AND($U$4=TRUE,$U$5=FALSE,$U$6=TRUE,$U$7=FALSE)),VLOOKUP($E490,'Status Thresholds'!$E:$AR,12,FALSE),IF((AND($U$4=TRUE,$U$5=FALSE,$U$6=TRUE,$U$7=TRUE)),VLOOKUP($E490,'Status Thresholds'!$E:$AR,17,FALSE),IF((AND($U$4=TRUE,$U$5=FALSE,$U$6=FALSE,$U$7=TRUE)),VLOOKUP($E490,'Status Thresholds'!$E:$AR,7,FALSE),
IF((AND($U$4=FALSE,$U$5=TRUE,$U$6=FALSE,$U$7=FALSE)),VLOOKUP($E490,'Status Thresholds'!$E:$AR,22,FALSE),IF((AND($U$4=FALSE,$U$5=TRUE,$U$6=TRUE,$U$7=FALSE)),VLOOKUP($E490,'Status Thresholds'!$E:$AR,32,FALSE),IF((AND($U$4=FALSE,$U$5=TRUE,$U$6=TRUE,$U$7=TRUE)),VLOOKUP($E490,'Status Thresholds'!$E:$AR,37,FALSE),IF((AND($U$4=FALSE,$U$5=TRUE,$U$6=FALSE,$U$7=TRUE)),VLOOKUP($E490,'Status Thresholds'!$E:$AR,27,FALSE)))))))))
))/
IF(OR($X$5=TRUE,$AC$3=TRUE
),($F$6/2), IF(OR($X$2,$X$3,$X$4,$X$6,$X$7,$X$8,$Z$2,$Z$3,$Z$4,$Z$5,$Z$6,$Z$7,$Z$8)=TRUE,$F$6)),0),"-")</f>
        <v>-</v>
      </c>
      <c r="G490" s="36" t="str">
        <f>IFERROR(
ROUNDUP(
IF(AND($U$5=FALSE,$U$4=FALSE),"-",IF(AND($U$5=TRUE,$U$4=TRUE),"-",
IF((AND($U$4=TRUE,$U$5=FALSE,$U$6=FALSE,$U$7=FALSE)),VLOOKUP($E490,'Status Thresholds'!$E:$AR,3,FALSE),IF((AND($U$4=TRUE,$U$5=FALSE,$U$6=TRUE,$U$7=FALSE)),VLOOKUP($E490,'Status Thresholds'!$E:$AR,13,FALSE),IF((AND($U$4=TRUE,$U$5=FALSE,$U$6=TRUE,$U$7=TRUE)),VLOOKUP($E490,'Status Thresholds'!$E:$AR,18,FALSE),IF((AND($U$4=TRUE,$U$5=FALSE,$U$6=FALSE,$U$7=TRUE)),VLOOKUP($E490,'Status Thresholds'!$E:$AR,8,FALSE),
IF((AND($U$4=FALSE,$U$5=TRUE,$U$6=FALSE,$U$7=FALSE)),VLOOKUP($E490,'Status Thresholds'!$E:$AR,23,FALSE),IF((AND($U$4=FALSE,$U$5=TRUE,$U$6=TRUE,$U$7=FALSE)),VLOOKUP($E490,'Status Thresholds'!$E:$AR,33,FALSE),IF((AND($U$4=FALSE,$U$5=TRUE,$U$6=TRUE,$U$7=TRUE)),VLOOKUP($E490,'Status Thresholds'!$E:$AR,38,FALSE),IF((AND($U$4=FALSE,$U$5=TRUE,$U$6=FALSE,$U$7=TRUE)),VLOOKUP($E490,'Status Thresholds'!$E:$AR,28,FALSE)))))))))
))/
IF(OR($X$5=TRUE,$AC$3=TRUE
),($F$6/2), IF(OR($X$2,$X$3,$X$4,$X$6,$X$7,$X$8,$Z$2,$Z$3,$Z$4,$Z$5,$Z$6,$Z$7,$Z$8)=TRUE,$F$6)),0),"-")</f>
        <v>-</v>
      </c>
      <c r="H490" s="36" t="str">
        <f>IFERROR(
ROUNDUP(
IF(AND($U$5=FALSE,$U$4=FALSE),"-",IF(AND($U$5=TRUE,$U$4=TRUE),"-",
IF((AND($U$4=TRUE,$U$5=FALSE,$U$6=FALSE,$U$7=FALSE)),VLOOKUP($E490,'Status Thresholds'!$E:$AR,4,FALSE),IF((AND($U$4=TRUE,$U$5=FALSE,$U$6=TRUE,$U$7=FALSE)),VLOOKUP($E490,'Status Thresholds'!$E:$AR,14,FALSE),IF((AND($U$4=TRUE,$U$5=FALSE,$U$6=TRUE,$U$7=TRUE)),VLOOKUP($E490,'Status Thresholds'!$E:$AR,19,FALSE),IF((AND($U$4=TRUE,$U$5=FALSE,$U$6=FALSE,$U$7=TRUE)),VLOOKUP($E490,'Status Thresholds'!$E:$AR,9,FALSE),
IF((AND($U$4=FALSE,$U$5=TRUE,$U$6=FALSE,$U$7=FALSE)),VLOOKUP($E490,'Status Thresholds'!$E:$AR,24,FALSE),IF((AND($U$4=FALSE,$U$5=TRUE,$U$6=TRUE,$U$7=FALSE)),VLOOKUP($E490,'Status Thresholds'!$E:$AR,34,FALSE),IF((AND($U$4=FALSE,$U$5=TRUE,$U$6=TRUE,$U$7=TRUE)),VLOOKUP($E490,'Status Thresholds'!$E:$AR,39,FALSE),IF((AND($U$4=FALSE,$U$5=TRUE,$U$6=FALSE,$U$7=TRUE)),VLOOKUP($E490,'Status Thresholds'!$E:$AR,29,FALSE)))))))))
))/
IF(OR($X$5=TRUE,$AC$3=TRUE
),($F$6/2), IF(OR($X$2,$X$3,$X$4,$X$6,$X$7,$X$8,$Z$2,$Z$3,$Z$4,$Z$5,$Z$6,$Z$7,$Z$8)=TRUE,$F$6)),0),"-")</f>
        <v>-</v>
      </c>
      <c r="I490" s="36" t="str">
        <f>IFERROR(
ROUNDUP(
IF(AND($U$5=FALSE,$U$4=FALSE),"-",IF(AND($U$5=TRUE,$U$4=TRUE),"-",
IF((AND($U$4=TRUE,$U$5=FALSE,$U$6=FALSE,$U$7=FALSE)),VLOOKUP($E490,'Status Thresholds'!$E:$AR,5,FALSE),IF((AND($U$4=TRUE,$U$5=FALSE,$U$6=TRUE,$U$7=FALSE)),VLOOKUP($E490,'Status Thresholds'!$E:$AR,15,FALSE),IF((AND($U$4=TRUE,$U$5=FALSE,$U$6=TRUE,$U$7=TRUE)),VLOOKUP($E490,'Status Thresholds'!$E:$AR,20,FALSE),IF((AND($U$4=TRUE,$U$5=FALSE,$U$6=FALSE,$U$7=TRUE)),VLOOKUP($E490,'Status Thresholds'!$E:$AR,10,FALSE),
IF((AND($U$4=FALSE,$U$5=TRUE,$U$6=FALSE,$U$7=FALSE)),VLOOKUP($E490,'Status Thresholds'!$E:$AR,25,FALSE),IF((AND($U$4=FALSE,$U$5=TRUE,$U$6=TRUE,$U$7=FALSE)),VLOOKUP($E490,'Status Thresholds'!$E:$AR,35,FALSE),IF((AND($U$4=FALSE,$U$5=TRUE,$U$6=TRUE,$U$7=TRUE)),VLOOKUP($E490,'Status Thresholds'!$E:$AR,40,FALSE),IF((AND($U$4=FALSE,$U$5=TRUE,$U$6=FALSE,$U$7=TRUE)),VLOOKUP($E490,'Status Thresholds'!$E:$AR,30,FALSE)))))))))
))/
IF(OR($X$5=TRUE,$AC$3=TRUE
),($F$6/2), IF(OR($X$2,$X$3,$X$4,$X$6,$X$7,$X$8,$Z$2,$Z$3,$Z$4,$Z$5,$Z$6,$Z$7,$Z$8)=TRUE,$F$6)),0),"-")</f>
        <v>-</v>
      </c>
      <c r="J490" s="46">
        <f>IFERROR(IF(AND($U$5=FALSE,$U$4=FALSE),"-",VLOOKUP($E490,'Status Thresholds'!$E:$AU,41,FALSE)),"-")</f>
        <v>0</v>
      </c>
      <c r="K490" s="46" t="str">
        <f>IFERROR(IF(AND($U$5=FALSE,$U$4=FALSE),"-",VLOOKUP($E490,'Status Thresholds'!$E:$AU,42,FALSE)),"-")</f>
        <v>-</v>
      </c>
      <c r="L490" s="46" t="str">
        <f>IFERROR(IF(AND($U$5=FALSE,$U$4=FALSE),"-",VLOOKUP($E490,'Status Thresholds'!$E:$AU,43,FALSE)),"-")</f>
        <v>-</v>
      </c>
    </row>
    <row r="491" spans="1:12" x14ac:dyDescent="0.25">
      <c r="A491" s="35"/>
      <c r="B491" s="64" t="str">
        <f>VLOOKUP(C491,'Status Thresholds'!B:C,2,FALSE)</f>
        <v>MHGen</v>
      </c>
      <c r="C491" s="64" t="str">
        <f>IF('Status Thresholds'!B486=0, "", 'Status Thresholds'!B486)</f>
        <v>Lavasioth</v>
      </c>
      <c r="D491" s="30" t="s">
        <v>35</v>
      </c>
      <c r="E491" s="36" t="str">
        <f t="shared" si="7"/>
        <v>LavasiothBlast</v>
      </c>
      <c r="F491" s="36" t="str">
        <f>IFERROR(
ROUNDUP(
IF(AND($U$5=FALSE,$U$4=FALSE),"-",IF(AND($U$5=TRUE,$U$4=TRUE),"-",
IF((AND($U$4=TRUE,$U$5=FALSE,$U$6=FALSE,$U$7=FALSE)),VLOOKUP($E491,'Status Thresholds'!$E:$AR,2,FALSE),IF((AND($U$4=TRUE,$U$5=FALSE,$U$6=TRUE,$U$7=FALSE)),VLOOKUP($E491,'Status Thresholds'!$E:$AR,12,FALSE),IF((AND($U$4=TRUE,$U$5=FALSE,$U$6=TRUE,$U$7=TRUE)),VLOOKUP($E491,'Status Thresholds'!$E:$AR,17,FALSE),IF((AND($U$4=TRUE,$U$5=FALSE,$U$6=FALSE,$U$7=TRUE)),VLOOKUP($E491,'Status Thresholds'!$E:$AR,7,FALSE),
IF((AND($U$4=FALSE,$U$5=TRUE,$U$6=FALSE,$U$7=FALSE)),VLOOKUP($E491,'Status Thresholds'!$E:$AR,22,FALSE),IF((AND($U$4=FALSE,$U$5=TRUE,$U$6=TRUE,$U$7=FALSE)),VLOOKUP($E491,'Status Thresholds'!$E:$AR,32,FALSE),IF((AND($U$4=FALSE,$U$5=TRUE,$U$6=TRUE,$U$7=TRUE)),VLOOKUP($E491,'Status Thresholds'!$E:$AR,37,FALSE),IF((AND($U$4=FALSE,$U$5=TRUE,$U$6=FALSE,$U$7=TRUE)),VLOOKUP($E491,'Status Thresholds'!$E:$AR,27,FALSE)))))))))
))/
IF(OR($X$5=TRUE,$AC$3=TRUE
),($F$7/2), IF(OR($X$2,$X$3,$X$4,$X$6,$X$7,$X$8,$Z$2,$Z$3,$Z$4,$Z$5,$Z$6,$Z$7,$Z$8)=TRUE,$F$7)),0),"-")</f>
        <v>-</v>
      </c>
      <c r="G491" s="36" t="str">
        <f>IFERROR(
ROUNDUP(
IF(AND($U$5=FALSE,$U$4=FALSE),"-",IF(AND($U$5=TRUE,$U$4=TRUE),"-",
IF((AND($U$4=TRUE,$U$5=FALSE,$U$6=FALSE,$U$7=FALSE)),VLOOKUP($E491,'Status Thresholds'!$E:$AR,3,FALSE),IF((AND($U$4=TRUE,$U$5=FALSE,$U$6=TRUE,$U$7=FALSE)),VLOOKUP($E491,'Status Thresholds'!$E:$AR,13,FALSE),IF((AND($U$4=TRUE,$U$5=FALSE,$U$6=TRUE,$U$7=TRUE)),VLOOKUP($E491,'Status Thresholds'!$E:$AR,18,FALSE),IF((AND($U$4=TRUE,$U$5=FALSE,$U$6=FALSE,$U$7=TRUE)),VLOOKUP($E491,'Status Thresholds'!$E:$AR,8,FALSE),
IF((AND($U$4=FALSE,$U$5=TRUE,$U$6=FALSE,$U$7=FALSE)),VLOOKUP($E491,'Status Thresholds'!$E:$AR,23,FALSE),IF((AND($U$4=FALSE,$U$5=TRUE,$U$6=TRUE,$U$7=FALSE)),VLOOKUP($E491,'Status Thresholds'!$E:$AR,33,FALSE),IF((AND($U$4=FALSE,$U$5=TRUE,$U$6=TRUE,$U$7=TRUE)),VLOOKUP($E491,'Status Thresholds'!$E:$AR,38,FALSE),IF((AND($U$4=FALSE,$U$5=TRUE,$U$6=FALSE,$U$7=TRUE)),VLOOKUP($E491,'Status Thresholds'!$E:$AR,28,FALSE)))))))))
))/
IF(OR($X$5=TRUE,$AC$3=TRUE
),($F$7/2), IF(OR($X$2,$X$3,$X$4,$X$6,$X$7,$X$8,$Z$2,$Z$3,$Z$4,$Z$5,$Z$6,$Z$7,$Z$8)=TRUE,$F$7)),0),"-")</f>
        <v>-</v>
      </c>
      <c r="H491" s="36" t="str">
        <f>IFERROR(
ROUNDUP(
IF(AND($U$5=FALSE,$U$4=FALSE),"-",IF(AND($U$5=TRUE,$U$4=TRUE),"-",
IF((AND($U$4=TRUE,$U$5=FALSE,$U$6=FALSE,$U$7=FALSE)),VLOOKUP($E491,'Status Thresholds'!$E:$AR,4,FALSE),IF((AND($U$4=TRUE,$U$5=FALSE,$U$6=TRUE,$U$7=FALSE)),VLOOKUP($E491,'Status Thresholds'!$E:$AR,14,FALSE),IF((AND($U$4=TRUE,$U$5=FALSE,$U$6=TRUE,$U$7=TRUE)),VLOOKUP($E491,'Status Thresholds'!$E:$AR,19,FALSE),IF((AND($U$4=TRUE,$U$5=FALSE,$U$6=FALSE,$U$7=TRUE)),VLOOKUP($E491,'Status Thresholds'!$E:$AR,9,FALSE),
IF((AND($U$4=FALSE,$U$5=TRUE,$U$6=FALSE,$U$7=FALSE)),VLOOKUP($E491,'Status Thresholds'!$E:$AR,24,FALSE),IF((AND($U$4=FALSE,$U$5=TRUE,$U$6=TRUE,$U$7=FALSE)),VLOOKUP($E491,'Status Thresholds'!$E:$AR,34,FALSE),IF((AND($U$4=FALSE,$U$5=TRUE,$U$6=TRUE,$U$7=TRUE)),VLOOKUP($E491,'Status Thresholds'!$E:$AR,39,FALSE),IF((AND($U$4=FALSE,$U$5=TRUE,$U$6=FALSE,$U$7=TRUE)),VLOOKUP($E491,'Status Thresholds'!$E:$AR,29,FALSE)))))))))
))/
IF(OR($X$5=TRUE,$AC$3=TRUE
),($F$7/2), IF(OR($X$2,$X$3,$X$4,$X$6,$X$7,$X$8,$Z$2,$Z$3,$Z$4,$Z$5,$Z$6,$Z$7,$Z$8)=TRUE,$F$7)),0),"-")</f>
        <v>-</v>
      </c>
      <c r="I491" s="36" t="str">
        <f>IFERROR(
ROUNDUP(
IF(AND($U$5=FALSE,$U$4=FALSE),"-",IF(AND($U$5=TRUE,$U$4=TRUE),"-",
IF((AND($U$4=TRUE,$U$5=FALSE,$U$6=FALSE,$U$7=FALSE)),VLOOKUP($E491,'Status Thresholds'!$E:$AR,5,FALSE),IF((AND($U$4=TRUE,$U$5=FALSE,$U$6=TRUE,$U$7=FALSE)),VLOOKUP($E491,'Status Thresholds'!$E:$AR,15,FALSE),IF((AND($U$4=TRUE,$U$5=FALSE,$U$6=TRUE,$U$7=TRUE)),VLOOKUP($E491,'Status Thresholds'!$E:$AR,20,FALSE),IF((AND($U$4=TRUE,$U$5=FALSE,$U$6=FALSE,$U$7=TRUE)),VLOOKUP($E491,'Status Thresholds'!$E:$AR,10,FALSE),
IF((AND($U$4=FALSE,$U$5=TRUE,$U$6=FALSE,$U$7=FALSE)),VLOOKUP($E491,'Status Thresholds'!$E:$AR,25,FALSE),IF((AND($U$4=FALSE,$U$5=TRUE,$U$6=TRUE,$U$7=FALSE)),VLOOKUP($E491,'Status Thresholds'!$E:$AR,35,FALSE),IF((AND($U$4=FALSE,$U$5=TRUE,$U$6=TRUE,$U$7=TRUE)),VLOOKUP($E491,'Status Thresholds'!$E:$AR,40,FALSE),IF((AND($U$4=FALSE,$U$5=TRUE,$U$6=FALSE,$U$7=TRUE)),VLOOKUP($E491,'Status Thresholds'!$E:$AR,30,FALSE)))))))))
))/
IF(OR($X$5=TRUE,$AC$3=TRUE
),($F$7/2), IF(OR($X$2,$X$3,$X$4,$X$6,$X$7,$X$8,$Z$2,$Z$3,$Z$4,$Z$5,$Z$6,$Z$7,$Z$8)=TRUE,$F$7)),0),"-")</f>
        <v>-</v>
      </c>
      <c r="J491" s="46">
        <f>IFERROR(IF(AND($U$5=FALSE,$U$4=FALSE),"-",VLOOKUP($E491,'Status Thresholds'!$E:$AU,41,FALSE)),"-")</f>
        <v>0</v>
      </c>
      <c r="K491" s="46" t="str">
        <f>IFERROR(IF(AND($U$5=FALSE,$U$4=FALSE),"-",VLOOKUP($E491,'Status Thresholds'!$E:$AU,42,FALSE)),"-")</f>
        <v>-</v>
      </c>
      <c r="L491" s="46" t="str">
        <f>IFERROR(IF(AND($U$5=FALSE,$U$4=FALSE),"-",VLOOKUP($E491,'Status Thresholds'!$E:$AU,43,FALSE)),"-")</f>
        <v>-</v>
      </c>
    </row>
    <row r="492" spans="1:12" ht="14.45" customHeight="1" x14ac:dyDescent="0.25">
      <c r="A492" s="35"/>
      <c r="B492" s="64" t="str">
        <f>VLOOKUP(C492,'Status Thresholds'!B:C,2,FALSE)</f>
        <v>MHGen</v>
      </c>
      <c r="C492" s="64" t="str">
        <f>IF('Status Thresholds'!B487=0, "", 'Status Thresholds'!B487)</f>
        <v>Lavasioth</v>
      </c>
      <c r="D492" s="34" t="s">
        <v>14</v>
      </c>
      <c r="E492" s="36" t="str">
        <f t="shared" si="7"/>
        <v>LavasiothKO</v>
      </c>
      <c r="F492" s="36" t="s">
        <v>214</v>
      </c>
      <c r="G492" s="36" t="s">
        <v>214</v>
      </c>
      <c r="H492" s="36" t="s">
        <v>214</v>
      </c>
      <c r="I492" s="36" t="s">
        <v>214</v>
      </c>
      <c r="J492" s="46">
        <f>IFERROR(IF(AND($U$5=FALSE,$U$4=FALSE),"-",VLOOKUP($E492,'Status Thresholds'!$E:$AU,41,FALSE)),"-")</f>
        <v>10</v>
      </c>
      <c r="K492" s="46" t="str">
        <f>IFERROR(IF(AND($U$5=FALSE,$U$4=FALSE),"-",VLOOKUP($E492,'Status Thresholds'!$E:$AU,42,FALSE)),"-")</f>
        <v>-</v>
      </c>
      <c r="L492" s="46" t="str">
        <f>IFERROR(IF(AND($U$5=FALSE,$U$4=FALSE),"-",VLOOKUP($E492,'Status Thresholds'!$E:$AU,43,FALSE)),"-")</f>
        <v>-</v>
      </c>
    </row>
    <row r="493" spans="1:12" x14ac:dyDescent="0.25">
      <c r="A493" s="35"/>
      <c r="B493" s="64" t="str">
        <f>VLOOKUP(C493,'Status Thresholds'!B:C,2,FALSE)</f>
        <v>MHGen</v>
      </c>
      <c r="C493" s="64" t="str">
        <f>IF('Status Thresholds'!B488=0, "", 'Status Thresholds'!B488)</f>
        <v>Lavasioth</v>
      </c>
      <c r="D493" s="33" t="s">
        <v>34</v>
      </c>
      <c r="E493" s="36" t="str">
        <f t="shared" si="7"/>
        <v>LavasiothMount</v>
      </c>
      <c r="F493" s="36" t="str">
        <f>IFERROR(
ROUNDUP(
IF(AND($U$5=FALSE,$U$4=FALSE),"-",IF(AND($U$5=TRUE,$U$4=TRUE),"-",
IF((AND($U$4=TRUE,$U$5=FALSE,$U$6=FALSE,$U$7=FALSE)),VLOOKUP($E493,'Status Thresholds'!$E:$AR,2,FALSE),IF((AND($U$4=TRUE,$U$5=FALSE,$U$6=TRUE,$U$7=FALSE)),VLOOKUP($E493,'Status Thresholds'!$E:$AR,12,FALSE),IF((AND($U$4=TRUE,$U$5=FALSE,$U$6=TRUE,$U$7=TRUE)),VLOOKUP($E493,'Status Thresholds'!$E:$AR,17,FALSE),IF((AND($U$4=TRUE,$U$5=FALSE,$U$6=FALSE,$U$7=TRUE)),VLOOKUP($E493,'Status Thresholds'!$E:$AR,7,FALSE),
IF((AND($U$4=FALSE,$U$5=TRUE,$U$6=FALSE,$U$7=FALSE)),VLOOKUP($E493,'Status Thresholds'!$E:$AR,22,FALSE),IF((AND($U$4=FALSE,$U$5=TRUE,$U$6=TRUE,$U$7=FALSE)),VLOOKUP($E493,'Status Thresholds'!$E:$AR,32,FALSE),IF((AND($U$4=FALSE,$U$5=TRUE,$U$6=TRUE,$U$7=TRUE)),VLOOKUP($E493,'Status Thresholds'!$E:$AR,37,FALSE),IF((AND($U$4=FALSE,$U$5=TRUE,$U$6=FALSE,$U$7=TRUE)),VLOOKUP($E493,'Status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493" s="36" t="str">
        <f>IFERROR(
ROUNDUP(
IF(AND($U$5=FALSE,$U$4=FALSE),"-",IF(AND($U$5=TRUE,$U$4=TRUE),"-",
IF((AND($U$4=TRUE,$U$5=FALSE,$U$6=FALSE,$U$7=FALSE)),VLOOKUP($E492,'Status Thresholds'!$E:$AR,3,FALSE),IF((AND($U$4=TRUE,$U$5=FALSE,$U$6=TRUE,$U$7=FALSE)),VLOOKUP($E492,'Status Thresholds'!$E:$AR,13,FALSE),IF((AND($U$4=TRUE,$U$5=FALSE,$U$6=TRUE,$U$7=TRUE)),VLOOKUP($E492,'Status Thresholds'!$E:$AR,18,FALSE),IF((AND($U$4=TRUE,$U$5=FALSE,$U$6=FALSE,$U$7=TRUE)),VLOOKUP($E492,'Status Thresholds'!$E:$AR,8,FALSE),
IF((AND($U$4=FALSE,$U$5=TRUE,$U$6=FALSE,$U$7=FALSE)),VLOOKUP($E492,'Status Thresholds'!$E:$AR,23,FALSE),IF((AND($U$4=FALSE,$U$5=TRUE,$U$6=TRUE,$U$7=FALSE)),VLOOKUP($E492,'Status Thresholds'!$E:$AR,33,FALSE),IF((AND($U$4=FALSE,$U$5=TRUE,$U$6=TRUE,$U$7=TRUE)),VLOOKUP($E492,'Status Thresholds'!$E:$AR,38,FALSE),IF((AND($U$4=FALSE,$U$5=TRUE,$U$6=FALSE,$U$7=TRUE)),VLOOKUP($E492,'Status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493" s="36" t="str">
        <f>IFERROR(
ROUNDUP(
IF(AND($U$5=FALSE,$U$4=FALSE),"-",IF(AND($U$5=TRUE,$U$4=TRUE),"-",
IF((AND($U$4=TRUE,$U$5=FALSE,$U$6=FALSE,$U$7=FALSE)),VLOOKUP($E492,'Status Thresholds'!$E:$AR,4,FALSE),IF((AND($U$4=TRUE,$U$5=FALSE,$U$6=TRUE,$U$7=FALSE)),VLOOKUP($E492,'Status Thresholds'!$E:$AR,14,FALSE),IF((AND($U$4=TRUE,$U$5=FALSE,$U$6=TRUE,$U$7=TRUE)),VLOOKUP($E492,'Status Thresholds'!$E:$AR,19,FALSE),IF((AND($U$4=TRUE,$U$5=FALSE,$U$6=FALSE,$U$7=TRUE)),VLOOKUP($E492,'Status Thresholds'!$E:$AR,9,FALSE),
IF((AND($U$4=FALSE,$U$5=TRUE,$U$6=FALSE,$U$7=FALSE)),VLOOKUP($E492,'Status Thresholds'!$E:$AR,24,FALSE),IF((AND($U$4=FALSE,$U$5=TRUE,$U$6=TRUE,$U$7=FALSE)),VLOOKUP($E492,'Status Thresholds'!$E:$AR,34,FALSE),IF((AND($U$4=FALSE,$U$5=TRUE,$U$6=TRUE,$U$7=TRUE)),VLOOKUP($E492,'Status Thresholds'!$E:$AR,39,FALSE),IF((AND($U$4=FALSE,$U$5=TRUE,$U$6=FALSE,$U$7=TRUE)),VLOOKUP($E492,'Status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493" s="36" t="str">
        <f>IFERROR(
ROUNDUP(
IF(AND($U$5=FALSE,$U$4=FALSE),"-",IF(AND($U$5=TRUE,$U$4=TRUE),"-",
IF((AND($U$4=TRUE,$U$5=FALSE,$U$6=FALSE,$U$7=FALSE)),VLOOKUP($E492,'Status Thresholds'!$E:$AR,5,FALSE),IF((AND($U$4=TRUE,$U$5=FALSE,$U$6=TRUE,$U$7=FALSE)),VLOOKUP($E492,'Status Thresholds'!$E:$AR,15,FALSE),IF((AND($U$4=TRUE,$U$5=FALSE,$U$6=TRUE,$U$7=TRUE)),VLOOKUP($E492,'Status Thresholds'!$E:$AR,20,FALSE),IF((AND($U$4=TRUE,$U$5=FALSE,$U$6=FALSE,$U$7=TRUE)),VLOOKUP($E492,'Status Thresholds'!$E:$AR,10,FALSE),
IF((AND($U$4=FALSE,$U$5=TRUE,$U$6=FALSE,$U$7=FALSE)),VLOOKUP($E492,'Status Thresholds'!$E:$AR,25,FALSE),IF((AND($U$4=FALSE,$U$5=TRUE,$U$6=TRUE,$U$7=FALSE)),VLOOKUP($E492,'Status Thresholds'!$E:$AR,35,FALSE),IF((AND($U$4=FALSE,$U$5=TRUE,$U$6=TRUE,$U$7=TRUE)),VLOOKUP($E492,'Status Thresholds'!$E:$AR,40,FALSE),IF((AND($U$4=FALSE,$U$5=TRUE,$U$6=FALSE,$U$7=TRUE)),VLOOKUP($E492,'Status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493" s="46">
        <f>IFERROR(IF(AND($U$5=FALSE,$U$4=FALSE),"-",VLOOKUP($E493,'Status Thresholds'!$E:$AU,41,FALSE)),"-")</f>
        <v>0</v>
      </c>
      <c r="K493" s="46" t="str">
        <f>IFERROR(IF(AND($U$5=FALSE,$U$4=FALSE),"-",VLOOKUP($E493,'Status Thresholds'!$E:$AU,42,FALSE)),"-")</f>
        <v>-</v>
      </c>
      <c r="L493" s="46" t="str">
        <f>IFERROR(IF(AND($U$5=FALSE,$U$4=FALSE),"-",VLOOKUP($E493,'Status Thresholds'!$E:$AU,43,FALSE)),"-")</f>
        <v>-</v>
      </c>
    </row>
    <row r="494" spans="1:12" ht="15" customHeight="1" x14ac:dyDescent="0.25">
      <c r="A494" s="35"/>
      <c r="B494" s="64" t="str">
        <f>VLOOKUP(C494,'Status Thresholds'!B:C,2,FALSE)</f>
        <v>MHGen</v>
      </c>
      <c r="C494" s="64" t="str">
        <f>IF('Status Thresholds'!B489=0, "", 'Status Thresholds'!B489)</f>
        <v>Lavasioth</v>
      </c>
      <c r="D494" s="77" t="s">
        <v>207</v>
      </c>
      <c r="E494" s="36" t="str">
        <f t="shared" si="7"/>
        <v>LavasiothShock Trap</v>
      </c>
      <c r="F494" s="76" t="s">
        <v>214</v>
      </c>
      <c r="G494" s="46" t="s">
        <v>214</v>
      </c>
      <c r="H494" s="46" t="s">
        <v>214</v>
      </c>
      <c r="I494" s="46" t="s">
        <v>214</v>
      </c>
      <c r="J494" s="46">
        <f>IFERROR(IF(AND($U$5=FALSE,$U$4=FALSE),"-",VLOOKUP($E494,'Status Thresholds'!$E:$AU,43,FALSE)),"-")</f>
        <v>10</v>
      </c>
      <c r="K494" s="46">
        <f>IFERROR(IF(AND($U$5=FALSE,$U$4=FALSE),"-",VLOOKUP($E494,'Status Thresholds'!$E:$AU,41,FALSE)),"-")</f>
        <v>8</v>
      </c>
      <c r="L494" s="46">
        <f>IFERROR(IF(AND($U$5=FALSE,$U$4=FALSE),"-",VLOOKUP($E494,'Status Thresholds'!$E:$AU,42,FALSE)),"-")</f>
        <v>15</v>
      </c>
    </row>
    <row r="495" spans="1:12" x14ac:dyDescent="0.25">
      <c r="A495" s="35"/>
      <c r="B495" s="64" t="str">
        <f>VLOOKUP(C495,'Status Thresholds'!B:C,2,FALSE)</f>
        <v>MHGen</v>
      </c>
      <c r="C495" s="64" t="str">
        <f>IF('Status Thresholds'!B490=0, "", 'Status Thresholds'!B490)</f>
        <v>Lavasioth</v>
      </c>
      <c r="D495" s="77" t="s">
        <v>213</v>
      </c>
      <c r="E495" s="36" t="str">
        <f t="shared" si="7"/>
        <v>LavasiothPitfall Trap</v>
      </c>
      <c r="F495" s="46" t="s">
        <v>214</v>
      </c>
      <c r="G495" s="46" t="s">
        <v>214</v>
      </c>
      <c r="H495" s="46" t="s">
        <v>214</v>
      </c>
      <c r="I495" s="46" t="s">
        <v>214</v>
      </c>
      <c r="J495" s="46">
        <f>IFERROR(IF(AND($U$5=FALSE,$U$4=FALSE),"-",VLOOKUP($E495,'Status Thresholds'!$E:$AU,43,FALSE)),"-")</f>
        <v>16</v>
      </c>
      <c r="K495" s="46">
        <f>IFERROR(IF(AND($U$5=FALSE,$U$4=FALSE),"-",VLOOKUP($E495,'Status Thresholds'!$E:$AU,41,FALSE)),"-")</f>
        <v>12</v>
      </c>
      <c r="L495" s="46">
        <f>IFERROR(IF(AND($U$5=FALSE,$U$4=FALSE),"-",VLOOKUP($E495,'Status Thresholds'!$E:$AU,42,FALSE)),"-")</f>
        <v>20</v>
      </c>
    </row>
    <row r="496" spans="1:12" s="36" customFormat="1" x14ac:dyDescent="0.25">
      <c r="A496" s="64"/>
      <c r="B496" s="64" t="str">
        <f>VLOOKUP(C496,'Status Thresholds'!B:C,2,FALSE)</f>
        <v>MHGen</v>
      </c>
      <c r="C496" s="64" t="str">
        <f>IF('Status Thresholds'!B491=0, "", 'Status Thresholds'!B491)</f>
        <v>Malfestio</v>
      </c>
      <c r="D496" s="37" t="s">
        <v>0</v>
      </c>
      <c r="E496" s="36" t="str">
        <f t="shared" si="7"/>
        <v>MalfestioPara</v>
      </c>
      <c r="F496" s="36" t="str">
        <f>IFERROR(
ROUNDUP(
IF(AND($U$5=FALSE,$U$4=FALSE),"-",IF(AND($U$5=TRUE,$U$4=TRUE),"-",
IF((AND($U$4=TRUE,$U$5=FALSE,$U$6=FALSE,$U$7=FALSE)),VLOOKUP($E496,'Status Thresholds'!$E:$AR,2,FALSE),IF((AND($U$4=TRUE,$U$5=FALSE,$U$6=TRUE,$U$7=FALSE)),VLOOKUP($E496,'Status Thresholds'!$E:$AR,12,FALSE),IF((AND($U$4=TRUE,$U$5=FALSE,$U$6=TRUE,$U$7=TRUE)),VLOOKUP($E496,'Status Thresholds'!$E:$AR,17,FALSE),IF((AND($U$4=TRUE,$U$5=FALSE,$U$6=FALSE,$U$7=TRUE)),VLOOKUP($E496,'Status Thresholds'!$E:$AR,7,FALSE),
IF((AND($U$4=FALSE,$U$5=TRUE,$U$6=FALSE,$U$7=FALSE)),VLOOKUP($E496,'Status Thresholds'!$E:$AR,22,FALSE),IF((AND($U$4=FALSE,$U$5=TRUE,$U$6=TRUE,$U$7=FALSE)),VLOOKUP($E496,'Status Thresholds'!$E:$AR,32,FALSE),IF((AND($U$4=FALSE,$U$5=TRUE,$U$6=TRUE,$U$7=TRUE)),VLOOKUP($E496,'Status Thresholds'!$E:$AR,37,FALSE),IF((AND($U$4=FALSE,$U$5=TRUE,$U$6=FALSE,$U$7=TRUE)),VLOOKUP($E496,'Status Thresholds'!$E:$AR,27,FALSE)))))))))
))/
IF(OR($X$5=TRUE,$AC$3=TRUE
),($F$3/2), IF(OR($X$2,$X$3,$X$4,$X$6,$X$7,$X$8,$Z$2,$Z$3,$Z$4,$Z$5,$Z$6,$Z$7,$Z$8)=TRUE,$F$3)),0),"-")</f>
        <v>-</v>
      </c>
      <c r="G496" s="36" t="str">
        <f>IFERROR(
ROUNDUP(
IF(AND($U$5=FALSE,$U$4=FALSE),"-",IF(AND($U$5=TRUE,$U$4=TRUE),"-",
IF((AND($U$4=TRUE,$U$5=FALSE,$U$6=FALSE,$U$7=FALSE)),VLOOKUP($E496,'Status Thresholds'!$E:$AR,3,FALSE),IF((AND($U$4=TRUE,$U$5=FALSE,$U$6=TRUE,$U$7=FALSE)),VLOOKUP($E496,'Status Thresholds'!$E:$AR,13,FALSE),IF((AND($U$4=TRUE,$U$5=FALSE,$U$6=TRUE,$U$7=TRUE)),VLOOKUP($E496,'Status Thresholds'!$E:$AR,18,FALSE),IF((AND($U$4=TRUE,$U$5=FALSE,$U$6=FALSE,$U$7=TRUE)),VLOOKUP($E496,'Status Thresholds'!$E:$AR,8,FALSE),
IF((AND($U$4=FALSE,$U$5=TRUE,$U$6=FALSE,$U$7=FALSE)),VLOOKUP($E496,'Status Thresholds'!$E:$AR,23,FALSE),IF((AND($U$4=FALSE,$U$5=TRUE,$U$6=TRUE,$U$7=FALSE)),VLOOKUP($E496,'Status Thresholds'!$E:$AR,33,FALSE),IF((AND($U$4=FALSE,$U$5=TRUE,$U$6=TRUE,$U$7=TRUE)),VLOOKUP($E496,'Status Thresholds'!$E:$AR,38,FALSE),IF((AND($U$4=FALSE,$U$5=TRUE,$U$6=FALSE,$U$7=TRUE)),VLOOKUP($E496,'Status Thresholds'!$E:$AR,28,FALSE)))))))))
))/
IF(OR($X$5=TRUE,$AC$3=TRUE
),($F$3/2), IF(OR($X$2,$X$3,$X$4,$X$6,$X$7,$X$8,$Z$2,$Z$3,$Z$4,$Z$5,$Z$6,$Z$7,$Z$8)=TRUE,$F$3)),0),"-")</f>
        <v>-</v>
      </c>
      <c r="H496" s="36" t="str">
        <f>IFERROR(
ROUNDUP(
IF(AND($U$5=FALSE,$U$4=FALSE),"-",IF(AND($U$5=TRUE,$U$4=TRUE),"-",
IF((AND($U$4=TRUE,$U$5=FALSE,$U$6=FALSE,$U$7=FALSE)),VLOOKUP($E496,'Status Thresholds'!$E:$AR,4,FALSE),IF((AND($U$4=TRUE,$U$5=FALSE,$U$6=TRUE,$U$7=FALSE)),VLOOKUP($E496,'Status Thresholds'!$E:$AR,14,FALSE),IF((AND($U$4=TRUE,$U$5=FALSE,$U$6=TRUE,$U$7=TRUE)),VLOOKUP($E496,'Status Thresholds'!$E:$AR,19,FALSE),IF((AND($U$4=TRUE,$U$5=FALSE,$U$6=FALSE,$U$7=TRUE)),VLOOKUP($E496,'Status Thresholds'!$E:$AR,9,FALSE),
IF((AND($U$4=FALSE,$U$5=TRUE,$U$6=FALSE,$U$7=FALSE)),VLOOKUP($E496,'Status Thresholds'!$E:$AR,24,FALSE),IF((AND($U$4=FALSE,$U$5=TRUE,$U$6=TRUE,$U$7=FALSE)),VLOOKUP($E496,'Status Thresholds'!$E:$AR,34,FALSE),IF((AND($U$4=FALSE,$U$5=TRUE,$U$6=TRUE,$U$7=TRUE)),VLOOKUP($E496,'Status Thresholds'!$E:$AR,39,FALSE),IF((AND($U$4=FALSE,$U$5=TRUE,$U$6=FALSE,$U$7=TRUE)),VLOOKUP($E496,'Status Thresholds'!$E:$AR,29,FALSE)))))))))
))/
IF(OR($X$5=TRUE,$AC$3=TRUE
),($F$3/2), IF(OR($X$2,$X$3,$X$4,$X$6,$X$7,$X$8,$Z$2,$Z$3,$Z$4,$Z$5,$Z$6,$Z$7,$Z$8)=TRUE,$F$3)),0),"-")</f>
        <v>-</v>
      </c>
      <c r="I496" s="36" t="str">
        <f>IFERROR(
ROUNDUP(
IF(AND($U$5=FALSE,$U$4=FALSE),"-",IF(AND($U$5=TRUE,$U$4=TRUE),"-",
IF((AND($U$4=TRUE,$U$5=FALSE,$U$6=FALSE,$U$7=FALSE)),VLOOKUP($E496,'Status Thresholds'!$E:$AR,5,FALSE),IF((AND($U$4=TRUE,$U$5=FALSE,$U$6=TRUE,$U$7=FALSE)),VLOOKUP($E496,'Status Thresholds'!$E:$AR,15,FALSE),IF((AND($U$4=TRUE,$U$5=FALSE,$U$6=TRUE,$U$7=TRUE)),VLOOKUP($E496,'Status Thresholds'!$E:$AR,20,FALSE),IF((AND($U$4=TRUE,$U$5=FALSE,$U$6=FALSE,$U$7=TRUE)),VLOOKUP($E496,'Status Thresholds'!$E:$AR,10,FALSE),
IF((AND($U$4=FALSE,$U$5=TRUE,$U$6=FALSE,$U$7=FALSE)),VLOOKUP($E496,'Status Thresholds'!$E:$AR,25,FALSE),IF((AND($U$4=FALSE,$U$5=TRUE,$U$6=TRUE,$U$7=FALSE)),VLOOKUP($E496,'Status Thresholds'!$E:$AR,35,FALSE),IF((AND($U$4=FALSE,$U$5=TRUE,$U$6=TRUE,$U$7=TRUE)),VLOOKUP($E496,'Status Thresholds'!$E:$AR,40,FALSE),IF((AND($U$4=FALSE,$U$5=TRUE,$U$6=FALSE,$U$7=TRUE)),VLOOKUP($E496,'Status Thresholds'!$E:$AR,30,FALSE)))))))))
))/
IF(OR($X$5=TRUE,$AC$3=TRUE
),($F$3/2), IF(OR($X$2,$X$3,$X$4,$X$6,$X$7,$X$8,$Z$2,$Z$3,$Z$4,$Z$5,$Z$6,$Z$7,$Z$8)=TRUE,$F$3)),0),"-")</f>
        <v>-</v>
      </c>
      <c r="J496" s="36">
        <f>IFERROR(IF(AND($U$5=FALSE,$U$4=FALSE),"-",VLOOKUP($E496,'Status Thresholds'!$E:$AU,41,FALSE)),"-")</f>
        <v>10</v>
      </c>
      <c r="K496" s="36" t="str">
        <f>IFERROR(IF(AND($U$5=FALSE,$U$4=FALSE),"-",VLOOKUP($E496,'Status Thresholds'!$E:$AU,42,FALSE)),"-")</f>
        <v>-</v>
      </c>
      <c r="L496" s="36" t="str">
        <f>IFERROR(IF(AND($U$5=FALSE,$U$4=FALSE),"-",VLOOKUP($E496,'Status Thresholds'!$E:$AU,43,FALSE)),"-")</f>
        <v>-</v>
      </c>
    </row>
    <row r="497" spans="1:12" x14ac:dyDescent="0.25">
      <c r="A497" s="35"/>
      <c r="B497" s="64" t="str">
        <f>VLOOKUP(C497,'Status Thresholds'!B:C,2,FALSE)</f>
        <v>MHGen</v>
      </c>
      <c r="C497" s="64" t="str">
        <f>IF('Status Thresholds'!B492=0, "", 'Status Thresholds'!B492)</f>
        <v>Malfestio</v>
      </c>
      <c r="D497" s="31" t="s">
        <v>32</v>
      </c>
      <c r="E497" s="36" t="str">
        <f t="shared" si="7"/>
        <v>MalfestioSleep</v>
      </c>
      <c r="F497" s="36" t="str">
        <f>IFERROR(
ROUNDUP(
IF(AND($U$5=FALSE,$U$4=FALSE),"-",IF(AND($U$5=TRUE,$U$4=TRUE),"-",
IF((AND($U$4=TRUE,$U$5=FALSE,$U$6=FALSE,$U$7=FALSE)),VLOOKUP($E497,'Status Thresholds'!$E:$AR,2,FALSE),IF((AND($U$4=TRUE,$U$5=FALSE,$U$6=TRUE,$U$7=FALSE)),VLOOKUP($E497,'Status Thresholds'!$E:$AR,12,FALSE),IF((AND($U$4=TRUE,$U$5=FALSE,$U$6=TRUE,$U$7=TRUE)),VLOOKUP($E497,'Status Thresholds'!$E:$AR,17,FALSE),IF((AND($U$4=TRUE,$U$5=FALSE,$U$6=FALSE,$U$7=TRUE)),VLOOKUP($E497,'Status Thresholds'!$E:$AR,7,FALSE),
IF((AND($U$4=FALSE,$U$5=TRUE,$U$6=FALSE,$U$7=FALSE)),VLOOKUP($E497,'Status Thresholds'!$E:$AR,22,FALSE),IF((AND($U$4=FALSE,$U$5=TRUE,$U$6=TRUE,$U$7=FALSE)),VLOOKUP($E497,'Status Thresholds'!$E:$AR,32,FALSE),IF((AND($U$4=FALSE,$U$5=TRUE,$U$6=TRUE,$U$7=TRUE)),VLOOKUP($E497,'Status Thresholds'!$E:$AR,37,FALSE),IF((AND($U$4=FALSE,$U$5=TRUE,$U$6=FALSE,$U$7=TRUE)),VLOOKUP($E497,'Status Thresholds'!$E:$AR,27,FALSE)))))))))
))/
IF(OR($X$5=TRUE,$AC$3=TRUE
),($F$4/2), IF(OR($X$2,$X$3,$X$4,$X$6,$X$7,$X$8,$Z$2,$Z$3,$Z$4,$Z$5,$Z$6,$Z$7,$Z$8)=TRUE,$F$4)),0),"-")</f>
        <v>-</v>
      </c>
      <c r="G497" s="36" t="str">
        <f>IFERROR(
ROUNDUP(
IF(AND($U$5=FALSE,$U$4=FALSE),"-",IF(AND($U$5=TRUE,$U$4=TRUE),"-",
IF((AND($U$4=TRUE,$U$5=FALSE,$U$6=FALSE,$U$7=FALSE)),VLOOKUP($E497,'Status Thresholds'!$E:$AR,3,FALSE),IF((AND($U$4=TRUE,$U$5=FALSE,$U$6=TRUE,$U$7=FALSE)),VLOOKUP($E497,'Status Thresholds'!$E:$AR,13,FALSE),IF((AND($U$4=TRUE,$U$5=FALSE,$U$6=TRUE,$U$7=TRUE)),VLOOKUP($E497,'Status Thresholds'!$E:$AR,18,FALSE),IF((AND($U$4=TRUE,$U$5=FALSE,$U$6=FALSE,$U$7=TRUE)),VLOOKUP($E497,'Status Thresholds'!$E:$AR,8,FALSE),
IF((AND($U$4=FALSE,$U$5=TRUE,$U$6=FALSE,$U$7=FALSE)),VLOOKUP($E497,'Status Thresholds'!$E:$AR,23,FALSE),IF((AND($U$4=FALSE,$U$5=TRUE,$U$6=TRUE,$U$7=FALSE)),VLOOKUP($E497,'Status Thresholds'!$E:$AR,33,FALSE),IF((AND($U$4=FALSE,$U$5=TRUE,$U$6=TRUE,$U$7=TRUE)),VLOOKUP($E497,'Status Thresholds'!$E:$AR,38,FALSE),IF((AND($U$4=FALSE,$U$5=TRUE,$U$6=FALSE,$U$7=TRUE)),VLOOKUP($E497,'Status Thresholds'!$E:$AR,28,FALSE)))))))))
))/
IF(OR($X$5=TRUE,$AC$3=TRUE
),($F$4/2), IF(OR($X$2,$X$3,$X$4,$X$6,$X$7,$X$8,$Z$2,$Z$3,$Z$4,$Z$5,$Z$6,$Z$7,$Z$8)=TRUE,$F$4)),0),"-")</f>
        <v>-</v>
      </c>
      <c r="H497" s="36" t="str">
        <f>IFERROR(
ROUNDUP(
IF(AND($U$5=FALSE,$U$4=FALSE),"-",IF(AND($U$5=TRUE,$U$4=TRUE),"-",
IF((AND($U$4=TRUE,$U$5=FALSE,$U$6=FALSE,$U$7=FALSE)),VLOOKUP($E497,'Status Thresholds'!$E:$AR,4,FALSE),IF((AND($U$4=TRUE,$U$5=FALSE,$U$6=TRUE,$U$7=FALSE)),VLOOKUP($E497,'Status Thresholds'!$E:$AR,14,FALSE),IF((AND($U$4=TRUE,$U$5=FALSE,$U$6=TRUE,$U$7=TRUE)),VLOOKUP($E497,'Status Thresholds'!$E:$AR,19,FALSE),IF((AND($U$4=TRUE,$U$5=FALSE,$U$6=FALSE,$U$7=TRUE)),VLOOKUP($E497,'Status Thresholds'!$E:$AR,9,FALSE),
IF((AND($U$4=FALSE,$U$5=TRUE,$U$6=FALSE,$U$7=FALSE)),VLOOKUP($E497,'Status Thresholds'!$E:$AR,24,FALSE),IF((AND($U$4=FALSE,$U$5=TRUE,$U$6=TRUE,$U$7=FALSE)),VLOOKUP($E497,'Status Thresholds'!$E:$AR,34,FALSE),IF((AND($U$4=FALSE,$U$5=TRUE,$U$6=TRUE,$U$7=TRUE)),VLOOKUP($E497,'Status Thresholds'!$E:$AR,39,FALSE),IF((AND($U$4=FALSE,$U$5=TRUE,$U$6=FALSE,$U$7=TRUE)),VLOOKUP($E497,'Status Thresholds'!$E:$AR,29,FALSE)))))))))
))/
IF(OR($X$5=TRUE,$AC$3=TRUE
),($F$4/2), IF(OR($X$2,$X$3,$X$4,$X$6,$X$7,$X$8,$Z$2,$Z$3,$Z$4,$Z$5,$Z$6,$Z$7,$Z$8)=TRUE,$F$4)),0),"-")</f>
        <v>-</v>
      </c>
      <c r="I497" s="36" t="str">
        <f>IFERROR(
ROUNDUP(
IF(AND($U$5=FALSE,$U$4=FALSE),"-",IF(AND($U$5=TRUE,$U$4=TRUE),"-",
IF((AND($U$4=TRUE,$U$5=FALSE,$U$6=FALSE,$U$7=FALSE)),VLOOKUP($E497,'Status Thresholds'!$E:$AR,5,FALSE),IF((AND($U$4=TRUE,$U$5=FALSE,$U$6=TRUE,$U$7=FALSE)),VLOOKUP($E497,'Status Thresholds'!$E:$AR,15,FALSE),IF((AND($U$4=TRUE,$U$5=FALSE,$U$6=TRUE,$U$7=TRUE)),VLOOKUP($E497,'Status Thresholds'!$E:$AR,20,FALSE),IF((AND($U$4=TRUE,$U$5=FALSE,$U$6=FALSE,$U$7=TRUE)),VLOOKUP($E497,'Status Thresholds'!$E:$AR,10,FALSE),
IF((AND($U$4=FALSE,$U$5=TRUE,$U$6=FALSE,$U$7=FALSE)),VLOOKUP($E497,'Status Thresholds'!$E:$AR,25,FALSE),IF((AND($U$4=FALSE,$U$5=TRUE,$U$6=TRUE,$U$7=FALSE)),VLOOKUP($E497,'Status Thresholds'!$E:$AR,35,FALSE),IF((AND($U$4=FALSE,$U$5=TRUE,$U$6=TRUE,$U$7=TRUE)),VLOOKUP($E497,'Status Thresholds'!$E:$AR,40,FALSE),IF((AND($U$4=FALSE,$U$5=TRUE,$U$6=FALSE,$U$7=TRUE)),VLOOKUP($E497,'Status Thresholds'!$E:$AR,30,FALSE)))))))))
))/
IF(OR($X$5=TRUE,$AC$3=TRUE
),($F$4/2), IF(OR($X$2,$X$3,$X$4,$X$6,$X$7,$X$8,$Z$2,$Z$3,$Z$4,$Z$5,$Z$6,$Z$7,$Z$8)=TRUE,$F$4)),0),"-")</f>
        <v>-</v>
      </c>
      <c r="J497" s="46">
        <f>IFERROR(IF(AND($U$5=FALSE,$U$4=FALSE),"-",VLOOKUP($E497,'Status Thresholds'!$E:$AU,41,FALSE)),"-")</f>
        <v>40</v>
      </c>
      <c r="K497" s="46" t="str">
        <f>IFERROR(IF(AND($U$5=FALSE,$U$4=FALSE),"-",VLOOKUP($E497,'Status Thresholds'!$E:$AU,42,FALSE)),"-")</f>
        <v>-</v>
      </c>
      <c r="L497" s="46" t="str">
        <f>IFERROR(IF(AND($U$5=FALSE,$U$4=FALSE),"-",VLOOKUP($E497,'Status Thresholds'!$E:$AU,43,FALSE)),"-")</f>
        <v>-</v>
      </c>
    </row>
    <row r="498" spans="1:12" x14ac:dyDescent="0.25">
      <c r="A498" s="35"/>
      <c r="B498" s="64" t="str">
        <f>VLOOKUP(C498,'Status Thresholds'!B:C,2,FALSE)</f>
        <v>MHGen</v>
      </c>
      <c r="C498" s="64" t="str">
        <f>IF('Status Thresholds'!B493=0, "", 'Status Thresholds'!B493)</f>
        <v>Malfestio</v>
      </c>
      <c r="D498" s="32" t="s">
        <v>33</v>
      </c>
      <c r="E498" s="36" t="str">
        <f t="shared" si="7"/>
        <v>MalfestioPoison</v>
      </c>
      <c r="F498" s="36" t="str">
        <f>IFERROR(
ROUNDUP(
IF(AND($U$5=FALSE,$U$4=FALSE),"-",IF(AND($U$5=TRUE,$U$4=TRUE),"-",
IF((AND($U$4=TRUE,$U$5=FALSE,$U$6=FALSE,$U$7=FALSE)),VLOOKUP($E498,'Status Thresholds'!$E:$AR,2,FALSE),IF((AND($U$4=TRUE,$U$5=FALSE,$U$6=TRUE,$U$7=FALSE)),VLOOKUP($E498,'Status Thresholds'!$E:$AR,12,FALSE),IF((AND($U$4=TRUE,$U$5=FALSE,$U$6=TRUE,$U$7=TRUE)),VLOOKUP($E498,'Status Thresholds'!$E:$AR,17,FALSE),IF((AND($U$4=TRUE,$U$5=FALSE,$U$6=FALSE,$U$7=TRUE)),VLOOKUP($E498,'Status Thresholds'!$E:$AR,7,FALSE),
IF((AND($U$4=FALSE,$U$5=TRUE,$U$6=FALSE,$U$7=FALSE)),VLOOKUP($E498,'Status Thresholds'!$E:$AR,22,FALSE),IF((AND($U$4=FALSE,$U$5=TRUE,$U$6=TRUE,$U$7=FALSE)),VLOOKUP($E498,'Status Thresholds'!$E:$AR,32,FALSE),IF((AND($U$4=FALSE,$U$5=TRUE,$U$6=TRUE,$U$7=TRUE)),VLOOKUP($E498,'Status Thresholds'!$E:$AR,37,FALSE),IF((AND($U$4=FALSE,$U$5=TRUE,$U$6=FALSE,$U$7=TRUE)),VLOOKUP($E498,'Status Thresholds'!$E:$AR,27,FALSE)))))))))
))/
IF(OR($X$5=TRUE,$AC$3=TRUE
),($F$5/2), IF(OR($X$2,$X$3,$X$4,$X$6,$X$7,$X$8,$Z$2,$Z$3,$Z$4,$Z$5,$Z$6,$Z$7,$Z$8)=TRUE,$F$5)),0),"-")</f>
        <v>-</v>
      </c>
      <c r="G498" s="36" t="str">
        <f>IFERROR(
ROUNDUP(
IF(AND($U$5=FALSE,$U$4=FALSE),"-",IF(AND($U$5=TRUE,$U$4=TRUE),"-",
IF((AND($U$4=TRUE,$U$5=FALSE,$U$6=FALSE,$U$7=FALSE)),VLOOKUP($E498,'Status Thresholds'!$E:$AR,3,FALSE),IF((AND($U$4=TRUE,$U$5=FALSE,$U$6=TRUE,$U$7=FALSE)),VLOOKUP($E498,'Status Thresholds'!$E:$AR,13,FALSE),IF((AND($U$4=TRUE,$U$5=FALSE,$U$6=TRUE,$U$7=TRUE)),VLOOKUP($E498,'Status Thresholds'!$E:$AR,18,FALSE),IF((AND($U$4=TRUE,$U$5=FALSE,$U$6=FALSE,$U$7=TRUE)),VLOOKUP($E498,'Status Thresholds'!$E:$AR,8,FALSE),
IF((AND($U$4=FALSE,$U$5=TRUE,$U$6=FALSE,$U$7=FALSE)),VLOOKUP($E498,'Status Thresholds'!$E:$AR,23,FALSE),IF((AND($U$4=FALSE,$U$5=TRUE,$U$6=TRUE,$U$7=FALSE)),VLOOKUP($E498,'Status Thresholds'!$E:$AR,33,FALSE),IF((AND($U$4=FALSE,$U$5=TRUE,$U$6=TRUE,$U$7=TRUE)),VLOOKUP($E498,'Status Thresholds'!$E:$AR,38,FALSE),IF((AND($U$4=FALSE,$U$5=TRUE,$U$6=FALSE,$U$7=TRUE)),VLOOKUP($E498,'Status Thresholds'!$E:$AR,28,FALSE)))))))))
))/
IF(OR($X$5=TRUE,$AC$3=TRUE
),($F$5/2), IF(OR($X$2,$X$3,$X$4,$X$6,$X$7,$X$8,$Z$2,$Z$3,$Z$4,$Z$5,$Z$6,$Z$7,$Z$8)=TRUE,$F$5)),0),"-")</f>
        <v>-</v>
      </c>
      <c r="H498" s="36" t="str">
        <f>IFERROR(
ROUNDUP(
IF(AND($U$5=FALSE,$U$4=FALSE),"-",IF(AND($U$5=TRUE,$U$4=TRUE),"-",
IF((AND($U$4=TRUE,$U$5=FALSE,$U$6=FALSE,$U$7=FALSE)),VLOOKUP($E498,'Status Thresholds'!$E:$AR,4,FALSE),IF((AND($U$4=TRUE,$U$5=FALSE,$U$6=TRUE,$U$7=FALSE)),VLOOKUP($E498,'Status Thresholds'!$E:$AR,14,FALSE),IF((AND($U$4=TRUE,$U$5=FALSE,$U$6=TRUE,$U$7=TRUE)),VLOOKUP($E498,'Status Thresholds'!$E:$AR,19,FALSE),IF((AND($U$4=TRUE,$U$5=FALSE,$U$6=FALSE,$U$7=TRUE)),VLOOKUP($E498,'Status Thresholds'!$E:$AR,9,FALSE),
IF((AND($U$4=FALSE,$U$5=TRUE,$U$6=FALSE,$U$7=FALSE)),VLOOKUP($E498,'Status Thresholds'!$E:$AR,24,FALSE),IF((AND($U$4=FALSE,$U$5=TRUE,$U$6=TRUE,$U$7=FALSE)),VLOOKUP($E498,'Status Thresholds'!$E:$AR,34,FALSE),IF((AND($U$4=FALSE,$U$5=TRUE,$U$6=TRUE,$U$7=TRUE)),VLOOKUP($E498,'Status Thresholds'!$E:$AR,39,FALSE),IF((AND($U$4=FALSE,$U$5=TRUE,$U$6=FALSE,$U$7=TRUE)),VLOOKUP($E498,'Status Thresholds'!$E:$AR,29,FALSE)))))))))
))/
IF(OR($X$5=TRUE,$AC$3=TRUE
),($F$5/2), IF(OR($X$2,$X$3,$X$4,$X$6,$X$7,$X$8,$Z$2,$Z$3,$Z$4,$Z$5,$Z$6,$Z$7,$Z$8)=TRUE,$F$5)),0),"-")</f>
        <v>-</v>
      </c>
      <c r="I498" s="36" t="str">
        <f>IFERROR(
ROUNDUP(
IF(AND($U$5=FALSE,$U$4=FALSE),"-",IF(AND($U$5=TRUE,$U$4=TRUE),"-",
IF((AND($U$4=TRUE,$U$5=FALSE,$U$6=FALSE,$U$7=FALSE)),VLOOKUP($E498,'Status Thresholds'!$E:$AR,5,FALSE),IF((AND($U$4=TRUE,$U$5=FALSE,$U$6=TRUE,$U$7=FALSE)),VLOOKUP($E498,'Status Thresholds'!$E:$AR,15,FALSE),IF((AND($U$4=TRUE,$U$5=FALSE,$U$6=TRUE,$U$7=TRUE)),VLOOKUP($E498,'Status Thresholds'!$E:$AR,20,FALSE),IF((AND($U$4=TRUE,$U$5=FALSE,$U$6=FALSE,$U$7=TRUE)),VLOOKUP($E498,'Status Thresholds'!$E:$AR,10,FALSE),
IF((AND($U$4=FALSE,$U$5=TRUE,$U$6=FALSE,$U$7=FALSE)),VLOOKUP($E498,'Status Thresholds'!$E:$AR,25,FALSE),IF((AND($U$4=FALSE,$U$5=TRUE,$U$6=TRUE,$U$7=FALSE)),VLOOKUP($E498,'Status Thresholds'!$E:$AR,35,FALSE),IF((AND($U$4=FALSE,$U$5=TRUE,$U$6=TRUE,$U$7=TRUE)),VLOOKUP($E498,'Status Thresholds'!$E:$AR,40,FALSE),IF((AND($U$4=FALSE,$U$5=TRUE,$U$6=FALSE,$U$7=TRUE)),VLOOKUP($E498,'Status Thresholds'!$E:$AR,30,FALSE)))))))))
))/
IF(OR($X$5=TRUE,$AC$3=TRUE
),($F$5/2), IF(OR($X$2,$X$3,$X$4,$X$6,$X$7,$X$8,$Z$2,$Z$3,$Z$4,$Z$5,$Z$6,$Z$7,$Z$8)=TRUE,$F$5)),0),"-")</f>
        <v>-</v>
      </c>
      <c r="J498" s="46">
        <f>IFERROR(IF(AND($U$5=FALSE,$U$4=FALSE),"-",VLOOKUP($E498,'Status Thresholds'!$E:$AU,41,FALSE)),"-")</f>
        <v>60</v>
      </c>
      <c r="K498" s="46" t="str">
        <f>IFERROR(IF(AND($U$5=FALSE,$U$4=FALSE),"-",VLOOKUP($E498,'Status Thresholds'!$E:$AU,42,FALSE)),"-")</f>
        <v>-</v>
      </c>
      <c r="L498" s="46" t="str">
        <f>IFERROR(IF(AND($U$5=FALSE,$U$4=FALSE),"-",VLOOKUP($E498,'Status Thresholds'!$E:$AU,43,FALSE)),"-")</f>
        <v>-</v>
      </c>
    </row>
    <row r="499" spans="1:12" x14ac:dyDescent="0.25">
      <c r="A499" s="35"/>
      <c r="B499" s="64" t="str">
        <f>VLOOKUP(C499,'Status Thresholds'!B:C,2,FALSE)</f>
        <v>MHGen</v>
      </c>
      <c r="C499" s="64" t="str">
        <f>IF('Status Thresholds'!B494=0, "", 'Status Thresholds'!B494)</f>
        <v>Malfestio</v>
      </c>
      <c r="D499" s="10" t="s">
        <v>22</v>
      </c>
      <c r="E499" s="36" t="str">
        <f t="shared" si="7"/>
        <v>MalfestioExhaust</v>
      </c>
      <c r="F499" s="36" t="str">
        <f>IFERROR(
ROUNDUP(
IF(AND($U$5=FALSE,$U$4=FALSE),"-",IF(AND($U$5=TRUE,$U$4=TRUE),"-",
IF((AND($U$4=TRUE,$U$5=FALSE,$U$6=FALSE,$U$7=FALSE)),VLOOKUP($E499,'Status Thresholds'!$E:$AR,2,FALSE),IF((AND($U$4=TRUE,$U$5=FALSE,$U$6=TRUE,$U$7=FALSE)),VLOOKUP($E499,'Status Thresholds'!$E:$AR,12,FALSE),IF((AND($U$4=TRUE,$U$5=FALSE,$U$6=TRUE,$U$7=TRUE)),VLOOKUP($E499,'Status Thresholds'!$E:$AR,17,FALSE),IF((AND($U$4=TRUE,$U$5=FALSE,$U$6=FALSE,$U$7=TRUE)),VLOOKUP($E499,'Status Thresholds'!$E:$AR,7,FALSE),
IF((AND($U$4=FALSE,$U$5=TRUE,$U$6=FALSE,$U$7=FALSE)),VLOOKUP($E499,'Status Thresholds'!$E:$AR,22,FALSE),IF((AND($U$4=FALSE,$U$5=TRUE,$U$6=TRUE,$U$7=FALSE)),VLOOKUP($E499,'Status Thresholds'!$E:$AR,32,FALSE),IF((AND($U$4=FALSE,$U$5=TRUE,$U$6=TRUE,$U$7=TRUE)),VLOOKUP($E499,'Status Thresholds'!$E:$AR,37,FALSE),IF((AND($U$4=FALSE,$U$5=TRUE,$U$6=FALSE,$U$7=TRUE)),VLOOKUP($E499,'Status Thresholds'!$E:$AR,27,FALSE)))))))))
))/
IF(OR($X$5=TRUE,$AC$3=TRUE
),($F$6/2), IF(OR($X$2,$X$3,$X$4,$X$6,$X$7,$X$8,$Z$2,$Z$3,$Z$4,$Z$5,$Z$6,$Z$7,$Z$8)=TRUE,$F$6)),0),"-")</f>
        <v>-</v>
      </c>
      <c r="G499" s="36" t="str">
        <f>IFERROR(
ROUNDUP(
IF(AND($U$5=FALSE,$U$4=FALSE),"-",IF(AND($U$5=TRUE,$U$4=TRUE),"-",
IF((AND($U$4=TRUE,$U$5=FALSE,$U$6=FALSE,$U$7=FALSE)),VLOOKUP($E499,'Status Thresholds'!$E:$AR,3,FALSE),IF((AND($U$4=TRUE,$U$5=FALSE,$U$6=TRUE,$U$7=FALSE)),VLOOKUP($E499,'Status Thresholds'!$E:$AR,13,FALSE),IF((AND($U$4=TRUE,$U$5=FALSE,$U$6=TRUE,$U$7=TRUE)),VLOOKUP($E499,'Status Thresholds'!$E:$AR,18,FALSE),IF((AND($U$4=TRUE,$U$5=FALSE,$U$6=FALSE,$U$7=TRUE)),VLOOKUP($E499,'Status Thresholds'!$E:$AR,8,FALSE),
IF((AND($U$4=FALSE,$U$5=TRUE,$U$6=FALSE,$U$7=FALSE)),VLOOKUP($E499,'Status Thresholds'!$E:$AR,23,FALSE),IF((AND($U$4=FALSE,$U$5=TRUE,$U$6=TRUE,$U$7=FALSE)),VLOOKUP($E499,'Status Thresholds'!$E:$AR,33,FALSE),IF((AND($U$4=FALSE,$U$5=TRUE,$U$6=TRUE,$U$7=TRUE)),VLOOKUP($E499,'Status Thresholds'!$E:$AR,38,FALSE),IF((AND($U$4=FALSE,$U$5=TRUE,$U$6=FALSE,$U$7=TRUE)),VLOOKUP($E499,'Status Thresholds'!$E:$AR,28,FALSE)))))))))
))/
IF(OR($X$5=TRUE,$AC$3=TRUE
),($F$6/2), IF(OR($X$2,$X$3,$X$4,$X$6,$X$7,$X$8,$Z$2,$Z$3,$Z$4,$Z$5,$Z$6,$Z$7,$Z$8)=TRUE,$F$6)),0),"-")</f>
        <v>-</v>
      </c>
      <c r="H499" s="36" t="str">
        <f>IFERROR(
ROUNDUP(
IF(AND($U$5=FALSE,$U$4=FALSE),"-",IF(AND($U$5=TRUE,$U$4=TRUE),"-",
IF((AND($U$4=TRUE,$U$5=FALSE,$U$6=FALSE,$U$7=FALSE)),VLOOKUP($E499,'Status Thresholds'!$E:$AR,4,FALSE),IF((AND($U$4=TRUE,$U$5=FALSE,$U$6=TRUE,$U$7=FALSE)),VLOOKUP($E499,'Status Thresholds'!$E:$AR,14,FALSE),IF((AND($U$4=TRUE,$U$5=FALSE,$U$6=TRUE,$U$7=TRUE)),VLOOKUP($E499,'Status Thresholds'!$E:$AR,19,FALSE),IF((AND($U$4=TRUE,$U$5=FALSE,$U$6=FALSE,$U$7=TRUE)),VLOOKUP($E499,'Status Thresholds'!$E:$AR,9,FALSE),
IF((AND($U$4=FALSE,$U$5=TRUE,$U$6=FALSE,$U$7=FALSE)),VLOOKUP($E499,'Status Thresholds'!$E:$AR,24,FALSE),IF((AND($U$4=FALSE,$U$5=TRUE,$U$6=TRUE,$U$7=FALSE)),VLOOKUP($E499,'Status Thresholds'!$E:$AR,34,FALSE),IF((AND($U$4=FALSE,$U$5=TRUE,$U$6=TRUE,$U$7=TRUE)),VLOOKUP($E499,'Status Thresholds'!$E:$AR,39,FALSE),IF((AND($U$4=FALSE,$U$5=TRUE,$U$6=FALSE,$U$7=TRUE)),VLOOKUP($E499,'Status Thresholds'!$E:$AR,29,FALSE)))))))))
))/
IF(OR($X$5=TRUE,$AC$3=TRUE
),($F$6/2), IF(OR($X$2,$X$3,$X$4,$X$6,$X$7,$X$8,$Z$2,$Z$3,$Z$4,$Z$5,$Z$6,$Z$7,$Z$8)=TRUE,$F$6)),0),"-")</f>
        <v>-</v>
      </c>
      <c r="I499" s="36" t="str">
        <f>IFERROR(
ROUNDUP(
IF(AND($U$5=FALSE,$U$4=FALSE),"-",IF(AND($U$5=TRUE,$U$4=TRUE),"-",
IF((AND($U$4=TRUE,$U$5=FALSE,$U$6=FALSE,$U$7=FALSE)),VLOOKUP($E499,'Status Thresholds'!$E:$AR,5,FALSE),IF((AND($U$4=TRUE,$U$5=FALSE,$U$6=TRUE,$U$7=FALSE)),VLOOKUP($E499,'Status Thresholds'!$E:$AR,15,FALSE),IF((AND($U$4=TRUE,$U$5=FALSE,$U$6=TRUE,$U$7=TRUE)),VLOOKUP($E499,'Status Thresholds'!$E:$AR,20,FALSE),IF((AND($U$4=TRUE,$U$5=FALSE,$U$6=FALSE,$U$7=TRUE)),VLOOKUP($E499,'Status Thresholds'!$E:$AR,10,FALSE),
IF((AND($U$4=FALSE,$U$5=TRUE,$U$6=FALSE,$U$7=FALSE)),VLOOKUP($E499,'Status Thresholds'!$E:$AR,25,FALSE),IF((AND($U$4=FALSE,$U$5=TRUE,$U$6=TRUE,$U$7=FALSE)),VLOOKUP($E499,'Status Thresholds'!$E:$AR,35,FALSE),IF((AND($U$4=FALSE,$U$5=TRUE,$U$6=TRUE,$U$7=TRUE)),VLOOKUP($E499,'Status Thresholds'!$E:$AR,40,FALSE),IF((AND($U$4=FALSE,$U$5=TRUE,$U$6=FALSE,$U$7=TRUE)),VLOOKUP($E499,'Status Thresholds'!$E:$AR,30,FALSE)))))))))
))/
IF(OR($X$5=TRUE,$AC$3=TRUE
),($F$6/2), IF(OR($X$2,$X$3,$X$4,$X$6,$X$7,$X$8,$Z$2,$Z$3,$Z$4,$Z$5,$Z$6,$Z$7,$Z$8)=TRUE,$F$6)),0),"-")</f>
        <v>-</v>
      </c>
      <c r="J499" s="46">
        <f>IFERROR(IF(AND($U$5=FALSE,$U$4=FALSE),"-",VLOOKUP($E499,'Status Thresholds'!$E:$AU,41,FALSE)),"-")</f>
        <v>0</v>
      </c>
      <c r="K499" s="46" t="str">
        <f>IFERROR(IF(AND($U$5=FALSE,$U$4=FALSE),"-",VLOOKUP($E499,'Status Thresholds'!$E:$AU,42,FALSE)),"-")</f>
        <v>-</v>
      </c>
      <c r="L499" s="46" t="str">
        <f>IFERROR(IF(AND($U$5=FALSE,$U$4=FALSE),"-",VLOOKUP($E499,'Status Thresholds'!$E:$AU,43,FALSE)),"-")</f>
        <v>-</v>
      </c>
    </row>
    <row r="500" spans="1:12" x14ac:dyDescent="0.25">
      <c r="A500" s="35"/>
      <c r="B500" s="64" t="str">
        <f>VLOOKUP(C500,'Status Thresholds'!B:C,2,FALSE)</f>
        <v>MHGen</v>
      </c>
      <c r="C500" s="64" t="str">
        <f>IF('Status Thresholds'!B495=0, "", 'Status Thresholds'!B495)</f>
        <v>Malfestio</v>
      </c>
      <c r="D500" s="30" t="s">
        <v>35</v>
      </c>
      <c r="E500" s="36" t="str">
        <f t="shared" si="7"/>
        <v>MalfestioBlast</v>
      </c>
      <c r="F500" s="36" t="str">
        <f>IFERROR(
ROUNDUP(
IF(AND($U$5=FALSE,$U$4=FALSE),"-",IF(AND($U$5=TRUE,$U$4=TRUE),"-",
IF((AND($U$4=TRUE,$U$5=FALSE,$U$6=FALSE,$U$7=FALSE)),VLOOKUP($E500,'Status Thresholds'!$E:$AR,2,FALSE),IF((AND($U$4=TRUE,$U$5=FALSE,$U$6=TRUE,$U$7=FALSE)),VLOOKUP($E500,'Status Thresholds'!$E:$AR,12,FALSE),IF((AND($U$4=TRUE,$U$5=FALSE,$U$6=TRUE,$U$7=TRUE)),VLOOKUP($E500,'Status Thresholds'!$E:$AR,17,FALSE),IF((AND($U$4=TRUE,$U$5=FALSE,$U$6=FALSE,$U$7=TRUE)),VLOOKUP($E500,'Status Thresholds'!$E:$AR,7,FALSE),
IF((AND($U$4=FALSE,$U$5=TRUE,$U$6=FALSE,$U$7=FALSE)),VLOOKUP($E500,'Status Thresholds'!$E:$AR,22,FALSE),IF((AND($U$4=FALSE,$U$5=TRUE,$U$6=TRUE,$U$7=FALSE)),VLOOKUP($E500,'Status Thresholds'!$E:$AR,32,FALSE),IF((AND($U$4=FALSE,$U$5=TRUE,$U$6=TRUE,$U$7=TRUE)),VLOOKUP($E500,'Status Thresholds'!$E:$AR,37,FALSE),IF((AND($U$4=FALSE,$U$5=TRUE,$U$6=FALSE,$U$7=TRUE)),VLOOKUP($E500,'Status Thresholds'!$E:$AR,27,FALSE)))))))))
))/
IF(OR($X$5=TRUE,$AC$3=TRUE
),($F$7/2), IF(OR($X$2,$X$3,$X$4,$X$6,$X$7,$X$8,$Z$2,$Z$3,$Z$4,$Z$5,$Z$6,$Z$7,$Z$8)=TRUE,$F$7)),0),"-")</f>
        <v>-</v>
      </c>
      <c r="G500" s="36" t="str">
        <f>IFERROR(
ROUNDUP(
IF(AND($U$5=FALSE,$U$4=FALSE),"-",IF(AND($U$5=TRUE,$U$4=TRUE),"-",
IF((AND($U$4=TRUE,$U$5=FALSE,$U$6=FALSE,$U$7=FALSE)),VLOOKUP($E500,'Status Thresholds'!$E:$AR,3,FALSE),IF((AND($U$4=TRUE,$U$5=FALSE,$U$6=TRUE,$U$7=FALSE)),VLOOKUP($E500,'Status Thresholds'!$E:$AR,13,FALSE),IF((AND($U$4=TRUE,$U$5=FALSE,$U$6=TRUE,$U$7=TRUE)),VLOOKUP($E500,'Status Thresholds'!$E:$AR,18,FALSE),IF((AND($U$4=TRUE,$U$5=FALSE,$U$6=FALSE,$U$7=TRUE)),VLOOKUP($E500,'Status Thresholds'!$E:$AR,8,FALSE),
IF((AND($U$4=FALSE,$U$5=TRUE,$U$6=FALSE,$U$7=FALSE)),VLOOKUP($E500,'Status Thresholds'!$E:$AR,23,FALSE),IF((AND($U$4=FALSE,$U$5=TRUE,$U$6=TRUE,$U$7=FALSE)),VLOOKUP($E500,'Status Thresholds'!$E:$AR,33,FALSE),IF((AND($U$4=FALSE,$U$5=TRUE,$U$6=TRUE,$U$7=TRUE)),VLOOKUP($E500,'Status Thresholds'!$E:$AR,38,FALSE),IF((AND($U$4=FALSE,$U$5=TRUE,$U$6=FALSE,$U$7=TRUE)),VLOOKUP($E500,'Status Thresholds'!$E:$AR,28,FALSE)))))))))
))/
IF(OR($X$5=TRUE,$AC$3=TRUE
),($F$7/2), IF(OR($X$2,$X$3,$X$4,$X$6,$X$7,$X$8,$Z$2,$Z$3,$Z$4,$Z$5,$Z$6,$Z$7,$Z$8)=TRUE,$F$7)),0),"-")</f>
        <v>-</v>
      </c>
      <c r="H500" s="36" t="str">
        <f>IFERROR(
ROUNDUP(
IF(AND($U$5=FALSE,$U$4=FALSE),"-",IF(AND($U$5=TRUE,$U$4=TRUE),"-",
IF((AND($U$4=TRUE,$U$5=FALSE,$U$6=FALSE,$U$7=FALSE)),VLOOKUP($E500,'Status Thresholds'!$E:$AR,4,FALSE),IF((AND($U$4=TRUE,$U$5=FALSE,$U$6=TRUE,$U$7=FALSE)),VLOOKUP($E500,'Status Thresholds'!$E:$AR,14,FALSE),IF((AND($U$4=TRUE,$U$5=FALSE,$U$6=TRUE,$U$7=TRUE)),VLOOKUP($E500,'Status Thresholds'!$E:$AR,19,FALSE),IF((AND($U$4=TRUE,$U$5=FALSE,$U$6=FALSE,$U$7=TRUE)),VLOOKUP($E500,'Status Thresholds'!$E:$AR,9,FALSE),
IF((AND($U$4=FALSE,$U$5=TRUE,$U$6=FALSE,$U$7=FALSE)),VLOOKUP($E500,'Status Thresholds'!$E:$AR,24,FALSE),IF((AND($U$4=FALSE,$U$5=TRUE,$U$6=TRUE,$U$7=FALSE)),VLOOKUP($E500,'Status Thresholds'!$E:$AR,34,FALSE),IF((AND($U$4=FALSE,$U$5=TRUE,$U$6=TRUE,$U$7=TRUE)),VLOOKUP($E500,'Status Thresholds'!$E:$AR,39,FALSE),IF((AND($U$4=FALSE,$U$5=TRUE,$U$6=FALSE,$U$7=TRUE)),VLOOKUP($E500,'Status Thresholds'!$E:$AR,29,FALSE)))))))))
))/
IF(OR($X$5=TRUE,$AC$3=TRUE
),($F$7/2), IF(OR($X$2,$X$3,$X$4,$X$6,$X$7,$X$8,$Z$2,$Z$3,$Z$4,$Z$5,$Z$6,$Z$7,$Z$8)=TRUE,$F$7)),0),"-")</f>
        <v>-</v>
      </c>
      <c r="I500" s="36" t="str">
        <f>IFERROR(
ROUNDUP(
IF(AND($U$5=FALSE,$U$4=FALSE),"-",IF(AND($U$5=TRUE,$U$4=TRUE),"-",
IF((AND($U$4=TRUE,$U$5=FALSE,$U$6=FALSE,$U$7=FALSE)),VLOOKUP($E500,'Status Thresholds'!$E:$AR,5,FALSE),IF((AND($U$4=TRUE,$U$5=FALSE,$U$6=TRUE,$U$7=FALSE)),VLOOKUP($E500,'Status Thresholds'!$E:$AR,15,FALSE),IF((AND($U$4=TRUE,$U$5=FALSE,$U$6=TRUE,$U$7=TRUE)),VLOOKUP($E500,'Status Thresholds'!$E:$AR,20,FALSE),IF((AND($U$4=TRUE,$U$5=FALSE,$U$6=FALSE,$U$7=TRUE)),VLOOKUP($E500,'Status Thresholds'!$E:$AR,10,FALSE),
IF((AND($U$4=FALSE,$U$5=TRUE,$U$6=FALSE,$U$7=FALSE)),VLOOKUP($E500,'Status Thresholds'!$E:$AR,25,FALSE),IF((AND($U$4=FALSE,$U$5=TRUE,$U$6=TRUE,$U$7=FALSE)),VLOOKUP($E500,'Status Thresholds'!$E:$AR,35,FALSE),IF((AND($U$4=FALSE,$U$5=TRUE,$U$6=TRUE,$U$7=TRUE)),VLOOKUP($E500,'Status Thresholds'!$E:$AR,40,FALSE),IF((AND($U$4=FALSE,$U$5=TRUE,$U$6=FALSE,$U$7=TRUE)),VLOOKUP($E500,'Status Thresholds'!$E:$AR,30,FALSE)))))))))
))/
IF(OR($X$5=TRUE,$AC$3=TRUE
),($F$7/2), IF(OR($X$2,$X$3,$X$4,$X$6,$X$7,$X$8,$Z$2,$Z$3,$Z$4,$Z$5,$Z$6,$Z$7,$Z$8)=TRUE,$F$7)),0),"-")</f>
        <v>-</v>
      </c>
      <c r="J500" s="46">
        <f>IFERROR(IF(AND($U$5=FALSE,$U$4=FALSE),"-",VLOOKUP($E500,'Status Thresholds'!$E:$AU,41,FALSE)),"-")</f>
        <v>0</v>
      </c>
      <c r="K500" s="46" t="str">
        <f>IFERROR(IF(AND($U$5=FALSE,$U$4=FALSE),"-",VLOOKUP($E500,'Status Thresholds'!$E:$AU,42,FALSE)),"-")</f>
        <v>-</v>
      </c>
      <c r="L500" s="46" t="str">
        <f>IFERROR(IF(AND($U$5=FALSE,$U$4=FALSE),"-",VLOOKUP($E500,'Status Thresholds'!$E:$AU,43,FALSE)),"-")</f>
        <v>-</v>
      </c>
    </row>
    <row r="501" spans="1:12" ht="14.45" customHeight="1" x14ac:dyDescent="0.25">
      <c r="A501" s="35"/>
      <c r="B501" s="64" t="str">
        <f>VLOOKUP(C501,'Status Thresholds'!B:C,2,FALSE)</f>
        <v>MHGen</v>
      </c>
      <c r="C501" s="64" t="str">
        <f>IF('Status Thresholds'!B496=0, "", 'Status Thresholds'!B496)</f>
        <v>Malfestio</v>
      </c>
      <c r="D501" s="34" t="s">
        <v>14</v>
      </c>
      <c r="E501" s="36" t="str">
        <f t="shared" si="7"/>
        <v>MalfestioKO</v>
      </c>
      <c r="F501" s="36" t="s">
        <v>214</v>
      </c>
      <c r="G501" s="36" t="s">
        <v>214</v>
      </c>
      <c r="H501" s="36" t="s">
        <v>214</v>
      </c>
      <c r="I501" s="36" t="s">
        <v>214</v>
      </c>
      <c r="J501" s="46">
        <f>IFERROR(IF(AND($U$5=FALSE,$U$4=FALSE),"-",VLOOKUP($E501,'Status Thresholds'!$E:$AU,41,FALSE)),"-")</f>
        <v>10</v>
      </c>
      <c r="K501" s="46" t="str">
        <f>IFERROR(IF(AND($U$5=FALSE,$U$4=FALSE),"-",VLOOKUP($E501,'Status Thresholds'!$E:$AU,42,FALSE)),"-")</f>
        <v>-</v>
      </c>
      <c r="L501" s="46" t="str">
        <f>IFERROR(IF(AND($U$5=FALSE,$U$4=FALSE),"-",VLOOKUP($E501,'Status Thresholds'!$E:$AU,43,FALSE)),"-")</f>
        <v>-</v>
      </c>
    </row>
    <row r="502" spans="1:12" x14ac:dyDescent="0.25">
      <c r="A502" s="35"/>
      <c r="B502" s="64" t="str">
        <f>VLOOKUP(C502,'Status Thresholds'!B:C,2,FALSE)</f>
        <v>MHGen</v>
      </c>
      <c r="C502" s="64" t="str">
        <f>IF('Status Thresholds'!B497=0, "", 'Status Thresholds'!B497)</f>
        <v>Malfestio</v>
      </c>
      <c r="D502" s="33" t="s">
        <v>34</v>
      </c>
      <c r="E502" s="36" t="str">
        <f t="shared" si="7"/>
        <v>MalfestioMount</v>
      </c>
      <c r="F502" s="36" t="str">
        <f>IFERROR(
ROUNDUP(
IF(AND($U$5=FALSE,$U$4=FALSE),"-",IF(AND($U$5=TRUE,$U$4=TRUE),"-",
IF((AND($U$4=TRUE,$U$5=FALSE,$U$6=FALSE,$U$7=FALSE)),VLOOKUP($E502,'Status Thresholds'!$E:$AR,2,FALSE),IF((AND($U$4=TRUE,$U$5=FALSE,$U$6=TRUE,$U$7=FALSE)),VLOOKUP($E502,'Status Thresholds'!$E:$AR,12,FALSE),IF((AND($U$4=TRUE,$U$5=FALSE,$U$6=TRUE,$U$7=TRUE)),VLOOKUP($E502,'Status Thresholds'!$E:$AR,17,FALSE),IF((AND($U$4=TRUE,$U$5=FALSE,$U$6=FALSE,$U$7=TRUE)),VLOOKUP($E502,'Status Thresholds'!$E:$AR,7,FALSE),
IF((AND($U$4=FALSE,$U$5=TRUE,$U$6=FALSE,$U$7=FALSE)),VLOOKUP($E502,'Status Thresholds'!$E:$AR,22,FALSE),IF((AND($U$4=FALSE,$U$5=TRUE,$U$6=TRUE,$U$7=FALSE)),VLOOKUP($E502,'Status Thresholds'!$E:$AR,32,FALSE),IF((AND($U$4=FALSE,$U$5=TRUE,$U$6=TRUE,$U$7=TRUE)),VLOOKUP($E502,'Status Thresholds'!$E:$AR,37,FALSE),IF((AND($U$4=FALSE,$U$5=TRUE,$U$6=FALSE,$U$7=TRUE)),VLOOKUP($E502,'Status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502" s="36" t="str">
        <f>IFERROR(
ROUNDUP(
IF(AND($U$5=FALSE,$U$4=FALSE),"-",IF(AND($U$5=TRUE,$U$4=TRUE),"-",
IF((AND($U$4=TRUE,$U$5=FALSE,$U$6=FALSE,$U$7=FALSE)),VLOOKUP($E501,'Status Thresholds'!$E:$AR,3,FALSE),IF((AND($U$4=TRUE,$U$5=FALSE,$U$6=TRUE,$U$7=FALSE)),VLOOKUP($E501,'Status Thresholds'!$E:$AR,13,FALSE),IF((AND($U$4=TRUE,$U$5=FALSE,$U$6=TRUE,$U$7=TRUE)),VLOOKUP($E501,'Status Thresholds'!$E:$AR,18,FALSE),IF((AND($U$4=TRUE,$U$5=FALSE,$U$6=FALSE,$U$7=TRUE)),VLOOKUP($E501,'Status Thresholds'!$E:$AR,8,FALSE),
IF((AND($U$4=FALSE,$U$5=TRUE,$U$6=FALSE,$U$7=FALSE)),VLOOKUP($E501,'Status Thresholds'!$E:$AR,23,FALSE),IF((AND($U$4=FALSE,$U$5=TRUE,$U$6=TRUE,$U$7=FALSE)),VLOOKUP($E501,'Status Thresholds'!$E:$AR,33,FALSE),IF((AND($U$4=FALSE,$U$5=TRUE,$U$6=TRUE,$U$7=TRUE)),VLOOKUP($E501,'Status Thresholds'!$E:$AR,38,FALSE),IF((AND($U$4=FALSE,$U$5=TRUE,$U$6=FALSE,$U$7=TRUE)),VLOOKUP($E501,'Status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502" s="36" t="str">
        <f>IFERROR(
ROUNDUP(
IF(AND($U$5=FALSE,$U$4=FALSE),"-",IF(AND($U$5=TRUE,$U$4=TRUE),"-",
IF((AND($U$4=TRUE,$U$5=FALSE,$U$6=FALSE,$U$7=FALSE)),VLOOKUP($E501,'Status Thresholds'!$E:$AR,4,FALSE),IF((AND($U$4=TRUE,$U$5=FALSE,$U$6=TRUE,$U$7=FALSE)),VLOOKUP($E501,'Status Thresholds'!$E:$AR,14,FALSE),IF((AND($U$4=TRUE,$U$5=FALSE,$U$6=TRUE,$U$7=TRUE)),VLOOKUP($E501,'Status Thresholds'!$E:$AR,19,FALSE),IF((AND($U$4=TRUE,$U$5=FALSE,$U$6=FALSE,$U$7=TRUE)),VLOOKUP($E501,'Status Thresholds'!$E:$AR,9,FALSE),
IF((AND($U$4=FALSE,$U$5=TRUE,$U$6=FALSE,$U$7=FALSE)),VLOOKUP($E501,'Status Thresholds'!$E:$AR,24,FALSE),IF((AND($U$4=FALSE,$U$5=TRUE,$U$6=TRUE,$U$7=FALSE)),VLOOKUP($E501,'Status Thresholds'!$E:$AR,34,FALSE),IF((AND($U$4=FALSE,$U$5=TRUE,$U$6=TRUE,$U$7=TRUE)),VLOOKUP($E501,'Status Thresholds'!$E:$AR,39,FALSE),IF((AND($U$4=FALSE,$U$5=TRUE,$U$6=FALSE,$U$7=TRUE)),VLOOKUP($E501,'Status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502" s="36" t="str">
        <f>IFERROR(
ROUNDUP(
IF(AND($U$5=FALSE,$U$4=FALSE),"-",IF(AND($U$5=TRUE,$U$4=TRUE),"-",
IF((AND($U$4=TRUE,$U$5=FALSE,$U$6=FALSE,$U$7=FALSE)),VLOOKUP($E501,'Status Thresholds'!$E:$AR,5,FALSE),IF((AND($U$4=TRUE,$U$5=FALSE,$U$6=TRUE,$U$7=FALSE)),VLOOKUP($E501,'Status Thresholds'!$E:$AR,15,FALSE),IF((AND($U$4=TRUE,$U$5=FALSE,$U$6=TRUE,$U$7=TRUE)),VLOOKUP($E501,'Status Thresholds'!$E:$AR,20,FALSE),IF((AND($U$4=TRUE,$U$5=FALSE,$U$6=FALSE,$U$7=TRUE)),VLOOKUP($E501,'Status Thresholds'!$E:$AR,10,FALSE),
IF((AND($U$4=FALSE,$U$5=TRUE,$U$6=FALSE,$U$7=FALSE)),VLOOKUP($E501,'Status Thresholds'!$E:$AR,25,FALSE),IF((AND($U$4=FALSE,$U$5=TRUE,$U$6=TRUE,$U$7=FALSE)),VLOOKUP($E501,'Status Thresholds'!$E:$AR,35,FALSE),IF((AND($U$4=FALSE,$U$5=TRUE,$U$6=TRUE,$U$7=TRUE)),VLOOKUP($E501,'Status Thresholds'!$E:$AR,40,FALSE),IF((AND($U$4=FALSE,$U$5=TRUE,$U$6=FALSE,$U$7=TRUE)),VLOOKUP($E501,'Status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502" s="46">
        <f>IFERROR(IF(AND($U$5=FALSE,$U$4=FALSE),"-",VLOOKUP($E502,'Status Thresholds'!$E:$AU,41,FALSE)),"-")</f>
        <v>0</v>
      </c>
      <c r="K502" s="46" t="str">
        <f>IFERROR(IF(AND($U$5=FALSE,$U$4=FALSE),"-",VLOOKUP($E502,'Status Thresholds'!$E:$AU,42,FALSE)),"-")</f>
        <v>-</v>
      </c>
      <c r="L502" s="46" t="str">
        <f>IFERROR(IF(AND($U$5=FALSE,$U$4=FALSE),"-",VLOOKUP($E502,'Status Thresholds'!$E:$AU,43,FALSE)),"-")</f>
        <v>-</v>
      </c>
    </row>
    <row r="503" spans="1:12" ht="15" customHeight="1" x14ac:dyDescent="0.25">
      <c r="A503" s="35"/>
      <c r="B503" s="64" t="str">
        <f>VLOOKUP(C503,'Status Thresholds'!B:C,2,FALSE)</f>
        <v>MHGen</v>
      </c>
      <c r="C503" s="64" t="str">
        <f>IF('Status Thresholds'!B498=0, "", 'Status Thresholds'!B498)</f>
        <v>Malfestio</v>
      </c>
      <c r="D503" s="77" t="s">
        <v>207</v>
      </c>
      <c r="E503" s="36" t="str">
        <f t="shared" si="7"/>
        <v>MalfestioShock Trap</v>
      </c>
      <c r="F503" s="76" t="s">
        <v>214</v>
      </c>
      <c r="G503" s="46" t="s">
        <v>214</v>
      </c>
      <c r="H503" s="46" t="s">
        <v>214</v>
      </c>
      <c r="I503" s="46" t="s">
        <v>214</v>
      </c>
      <c r="J503" s="46">
        <f>IFERROR(IF(AND($U$5=FALSE,$U$4=FALSE),"-",VLOOKUP($E503,'Status Thresholds'!$E:$AU,43,FALSE)),"-")</f>
        <v>8</v>
      </c>
      <c r="K503" s="46">
        <f>IFERROR(IF(AND($U$5=FALSE,$U$4=FALSE),"-",VLOOKUP($E503,'Status Thresholds'!$E:$AU,41,FALSE)),"-")</f>
        <v>8</v>
      </c>
      <c r="L503" s="46">
        <f>IFERROR(IF(AND($U$5=FALSE,$U$4=FALSE),"-",VLOOKUP($E503,'Status Thresholds'!$E:$AU,42,FALSE)),"-")</f>
        <v>15</v>
      </c>
    </row>
    <row r="504" spans="1:12" x14ac:dyDescent="0.25">
      <c r="A504" s="35"/>
      <c r="B504" s="64" t="str">
        <f>VLOOKUP(C504,'Status Thresholds'!B:C,2,FALSE)</f>
        <v>MHGen</v>
      </c>
      <c r="C504" s="64" t="str">
        <f>IF('Status Thresholds'!B499=0, "", 'Status Thresholds'!B499)</f>
        <v>Malfestio</v>
      </c>
      <c r="D504" s="77" t="s">
        <v>213</v>
      </c>
      <c r="E504" s="36" t="str">
        <f t="shared" si="7"/>
        <v>MalfestioPitfall Trap</v>
      </c>
      <c r="F504" s="46" t="s">
        <v>214</v>
      </c>
      <c r="G504" s="46" t="s">
        <v>214</v>
      </c>
      <c r="H504" s="46" t="s">
        <v>214</v>
      </c>
      <c r="I504" s="46" t="s">
        <v>214</v>
      </c>
      <c r="J504" s="46">
        <f>IFERROR(IF(AND($U$5=FALSE,$U$4=FALSE),"-",VLOOKUP($E504,'Status Thresholds'!$E:$AU,43,FALSE)),"-")</f>
        <v>12</v>
      </c>
      <c r="K504" s="46">
        <f>IFERROR(IF(AND($U$5=FALSE,$U$4=FALSE),"-",VLOOKUP($E504,'Status Thresholds'!$E:$AU,41,FALSE)),"-")</f>
        <v>12</v>
      </c>
      <c r="L504" s="46">
        <f>IFERROR(IF(AND($U$5=FALSE,$U$4=FALSE),"-",VLOOKUP($E504,'Status Thresholds'!$E:$AU,42,FALSE)),"-")</f>
        <v>25</v>
      </c>
    </row>
    <row r="505" spans="1:12" s="36" customFormat="1" x14ac:dyDescent="0.25">
      <c r="A505" s="64"/>
      <c r="B505" s="64" t="str">
        <f>VLOOKUP(C505,'Status Thresholds'!B:C,2,FALSE)</f>
        <v>MHGen</v>
      </c>
      <c r="C505" s="64" t="str">
        <f>IF('Status Thresholds'!B500=0, "", 'Status Thresholds'!B500)</f>
        <v>Mizutune</v>
      </c>
      <c r="D505" s="37" t="s">
        <v>0</v>
      </c>
      <c r="E505" s="36" t="str">
        <f t="shared" si="7"/>
        <v>MizutunePara</v>
      </c>
      <c r="F505" s="36" t="str">
        <f>IFERROR(
ROUNDUP(
IF(AND($U$5=FALSE,$U$4=FALSE),"-",IF(AND($U$5=TRUE,$U$4=TRUE),"-",
IF((AND($U$4=TRUE,$U$5=FALSE,$U$6=FALSE,$U$7=FALSE)),VLOOKUP($E505,'Status Thresholds'!$E:$AR,2,FALSE),IF((AND($U$4=TRUE,$U$5=FALSE,$U$6=TRUE,$U$7=FALSE)),VLOOKUP($E505,'Status Thresholds'!$E:$AR,12,FALSE),IF((AND($U$4=TRUE,$U$5=FALSE,$U$6=TRUE,$U$7=TRUE)),VLOOKUP($E505,'Status Thresholds'!$E:$AR,17,FALSE),IF((AND($U$4=TRUE,$U$5=FALSE,$U$6=FALSE,$U$7=TRUE)),VLOOKUP($E505,'Status Thresholds'!$E:$AR,7,FALSE),
IF((AND($U$4=FALSE,$U$5=TRUE,$U$6=FALSE,$U$7=FALSE)),VLOOKUP($E505,'Status Thresholds'!$E:$AR,22,FALSE),IF((AND($U$4=FALSE,$U$5=TRUE,$U$6=TRUE,$U$7=FALSE)),VLOOKUP($E505,'Status Thresholds'!$E:$AR,32,FALSE),IF((AND($U$4=FALSE,$U$5=TRUE,$U$6=TRUE,$U$7=TRUE)),VLOOKUP($E505,'Status Thresholds'!$E:$AR,37,FALSE),IF((AND($U$4=FALSE,$U$5=TRUE,$U$6=FALSE,$U$7=TRUE)),VLOOKUP($E505,'Status Thresholds'!$E:$AR,27,FALSE)))))))))
))/
IF(OR($X$5=TRUE,$AC$3=TRUE
),($F$3/2), IF(OR($X$2,$X$3,$X$4,$X$6,$X$7,$X$8,$Z$2,$Z$3,$Z$4,$Z$5,$Z$6,$Z$7,$Z$8)=TRUE,$F$3)),0),"-")</f>
        <v>-</v>
      </c>
      <c r="G505" s="36" t="str">
        <f>IFERROR(
ROUNDUP(
IF(AND($U$5=FALSE,$U$4=FALSE),"-",IF(AND($U$5=TRUE,$U$4=TRUE),"-",
IF((AND($U$4=TRUE,$U$5=FALSE,$U$6=FALSE,$U$7=FALSE)),VLOOKUP($E505,'Status Thresholds'!$E:$AR,3,FALSE),IF((AND($U$4=TRUE,$U$5=FALSE,$U$6=TRUE,$U$7=FALSE)),VLOOKUP($E505,'Status Thresholds'!$E:$AR,13,FALSE),IF((AND($U$4=TRUE,$U$5=FALSE,$U$6=TRUE,$U$7=TRUE)),VLOOKUP($E505,'Status Thresholds'!$E:$AR,18,FALSE),IF((AND($U$4=TRUE,$U$5=FALSE,$U$6=FALSE,$U$7=TRUE)),VLOOKUP($E505,'Status Thresholds'!$E:$AR,8,FALSE),
IF((AND($U$4=FALSE,$U$5=TRUE,$U$6=FALSE,$U$7=FALSE)),VLOOKUP($E505,'Status Thresholds'!$E:$AR,23,FALSE),IF((AND($U$4=FALSE,$U$5=TRUE,$U$6=TRUE,$U$7=FALSE)),VLOOKUP($E505,'Status Thresholds'!$E:$AR,33,FALSE),IF((AND($U$4=FALSE,$U$5=TRUE,$U$6=TRUE,$U$7=TRUE)),VLOOKUP($E505,'Status Thresholds'!$E:$AR,38,FALSE),IF((AND($U$4=FALSE,$U$5=TRUE,$U$6=FALSE,$U$7=TRUE)),VLOOKUP($E505,'Status Thresholds'!$E:$AR,28,FALSE)))))))))
))/
IF(OR($X$5=TRUE,$AC$3=TRUE
),($F$3/2), IF(OR($X$2,$X$3,$X$4,$X$6,$X$7,$X$8,$Z$2,$Z$3,$Z$4,$Z$5,$Z$6,$Z$7,$Z$8)=TRUE,$F$3)),0),"-")</f>
        <v>-</v>
      </c>
      <c r="H505" s="36" t="str">
        <f>IFERROR(
ROUNDUP(
IF(AND($U$5=FALSE,$U$4=FALSE),"-",IF(AND($U$5=TRUE,$U$4=TRUE),"-",
IF((AND($U$4=TRUE,$U$5=FALSE,$U$6=FALSE,$U$7=FALSE)),VLOOKUP($E505,'Status Thresholds'!$E:$AR,4,FALSE),IF((AND($U$4=TRUE,$U$5=FALSE,$U$6=TRUE,$U$7=FALSE)),VLOOKUP($E505,'Status Thresholds'!$E:$AR,14,FALSE),IF((AND($U$4=TRUE,$U$5=FALSE,$U$6=TRUE,$U$7=TRUE)),VLOOKUP($E505,'Status Thresholds'!$E:$AR,19,FALSE),IF((AND($U$4=TRUE,$U$5=FALSE,$U$6=FALSE,$U$7=TRUE)),VLOOKUP($E505,'Status Thresholds'!$E:$AR,9,FALSE),
IF((AND($U$4=FALSE,$U$5=TRUE,$U$6=FALSE,$U$7=FALSE)),VLOOKUP($E505,'Status Thresholds'!$E:$AR,24,FALSE),IF((AND($U$4=FALSE,$U$5=TRUE,$U$6=TRUE,$U$7=FALSE)),VLOOKUP($E505,'Status Thresholds'!$E:$AR,34,FALSE),IF((AND($U$4=FALSE,$U$5=TRUE,$U$6=TRUE,$U$7=TRUE)),VLOOKUP($E505,'Status Thresholds'!$E:$AR,39,FALSE),IF((AND($U$4=FALSE,$U$5=TRUE,$U$6=FALSE,$U$7=TRUE)),VLOOKUP($E505,'Status Thresholds'!$E:$AR,29,FALSE)))))))))
))/
IF(OR($X$5=TRUE,$AC$3=TRUE
),($F$3/2), IF(OR($X$2,$X$3,$X$4,$X$6,$X$7,$X$8,$Z$2,$Z$3,$Z$4,$Z$5,$Z$6,$Z$7,$Z$8)=TRUE,$F$3)),0),"-")</f>
        <v>-</v>
      </c>
      <c r="I505" s="36" t="str">
        <f>IFERROR(
ROUNDUP(
IF(AND($U$5=FALSE,$U$4=FALSE),"-",IF(AND($U$5=TRUE,$U$4=TRUE),"-",
IF((AND($U$4=TRUE,$U$5=FALSE,$U$6=FALSE,$U$7=FALSE)),VLOOKUP($E505,'Status Thresholds'!$E:$AR,5,FALSE),IF((AND($U$4=TRUE,$U$5=FALSE,$U$6=TRUE,$U$7=FALSE)),VLOOKUP($E505,'Status Thresholds'!$E:$AR,15,FALSE),IF((AND($U$4=TRUE,$U$5=FALSE,$U$6=TRUE,$U$7=TRUE)),VLOOKUP($E505,'Status Thresholds'!$E:$AR,20,FALSE),IF((AND($U$4=TRUE,$U$5=FALSE,$U$6=FALSE,$U$7=TRUE)),VLOOKUP($E505,'Status Thresholds'!$E:$AR,10,FALSE),
IF((AND($U$4=FALSE,$U$5=TRUE,$U$6=FALSE,$U$7=FALSE)),VLOOKUP($E505,'Status Thresholds'!$E:$AR,25,FALSE),IF((AND($U$4=FALSE,$U$5=TRUE,$U$6=TRUE,$U$7=FALSE)),VLOOKUP($E505,'Status Thresholds'!$E:$AR,35,FALSE),IF((AND($U$4=FALSE,$U$5=TRUE,$U$6=TRUE,$U$7=TRUE)),VLOOKUP($E505,'Status Thresholds'!$E:$AR,40,FALSE),IF((AND($U$4=FALSE,$U$5=TRUE,$U$6=FALSE,$U$7=TRUE)),VLOOKUP($E505,'Status Thresholds'!$E:$AR,30,FALSE)))))))))
))/
IF(OR($X$5=TRUE,$AC$3=TRUE
),($F$3/2), IF(OR($X$2,$X$3,$X$4,$X$6,$X$7,$X$8,$Z$2,$Z$3,$Z$4,$Z$5,$Z$6,$Z$7,$Z$8)=TRUE,$F$3)),0),"-")</f>
        <v>-</v>
      </c>
      <c r="J505" s="36">
        <f>IFERROR(IF(AND($U$5=FALSE,$U$4=FALSE),"-",VLOOKUP($E505,'Status Thresholds'!$E:$AU,41,FALSE)),"-")</f>
        <v>10</v>
      </c>
      <c r="K505" s="36" t="str">
        <f>IFERROR(IF(AND($U$5=FALSE,$U$4=FALSE),"-",VLOOKUP($E505,'Status Thresholds'!$E:$AU,42,FALSE)),"-")</f>
        <v>-</v>
      </c>
      <c r="L505" s="36" t="str">
        <f>IFERROR(IF(AND($U$5=FALSE,$U$4=FALSE),"-",VLOOKUP($E505,'Status Thresholds'!$E:$AU,43,FALSE)),"-")</f>
        <v>-</v>
      </c>
    </row>
    <row r="506" spans="1:12" x14ac:dyDescent="0.25">
      <c r="A506" s="35"/>
      <c r="B506" s="64" t="str">
        <f>VLOOKUP(C506,'Status Thresholds'!B:C,2,FALSE)</f>
        <v>MHGen</v>
      </c>
      <c r="C506" s="64" t="str">
        <f>IF('Status Thresholds'!B501=0, "", 'Status Thresholds'!B501)</f>
        <v>Mizutune</v>
      </c>
      <c r="D506" s="31" t="s">
        <v>32</v>
      </c>
      <c r="E506" s="36" t="str">
        <f t="shared" si="7"/>
        <v>MizutuneSleep</v>
      </c>
      <c r="F506" s="36" t="str">
        <f>IFERROR(
ROUNDUP(
IF(AND($U$5=FALSE,$U$4=FALSE),"-",IF(AND($U$5=TRUE,$U$4=TRUE),"-",
IF((AND($U$4=TRUE,$U$5=FALSE,$U$6=FALSE,$U$7=FALSE)),VLOOKUP($E506,'Status Thresholds'!$E:$AR,2,FALSE),IF((AND($U$4=TRUE,$U$5=FALSE,$U$6=TRUE,$U$7=FALSE)),VLOOKUP($E506,'Status Thresholds'!$E:$AR,12,FALSE),IF((AND($U$4=TRUE,$U$5=FALSE,$U$6=TRUE,$U$7=TRUE)),VLOOKUP($E506,'Status Thresholds'!$E:$AR,17,FALSE),IF((AND($U$4=TRUE,$U$5=FALSE,$U$6=FALSE,$U$7=TRUE)),VLOOKUP($E506,'Status Thresholds'!$E:$AR,7,FALSE),
IF((AND($U$4=FALSE,$U$5=TRUE,$U$6=FALSE,$U$7=FALSE)),VLOOKUP($E506,'Status Thresholds'!$E:$AR,22,FALSE),IF((AND($U$4=FALSE,$U$5=TRUE,$U$6=TRUE,$U$7=FALSE)),VLOOKUP($E506,'Status Thresholds'!$E:$AR,32,FALSE),IF((AND($U$4=FALSE,$U$5=TRUE,$U$6=TRUE,$U$7=TRUE)),VLOOKUP($E506,'Status Thresholds'!$E:$AR,37,FALSE),IF((AND($U$4=FALSE,$U$5=TRUE,$U$6=FALSE,$U$7=TRUE)),VLOOKUP($E506,'Status Thresholds'!$E:$AR,27,FALSE)))))))))
))/
IF(OR($X$5=TRUE,$AC$3=TRUE
),($F$4/2), IF(OR($X$2,$X$3,$X$4,$X$6,$X$7,$X$8,$Z$2,$Z$3,$Z$4,$Z$5,$Z$6,$Z$7,$Z$8)=TRUE,$F$4)),0),"-")</f>
        <v>-</v>
      </c>
      <c r="G506" s="36" t="str">
        <f>IFERROR(
ROUNDUP(
IF(AND($U$5=FALSE,$U$4=FALSE),"-",IF(AND($U$5=TRUE,$U$4=TRUE),"-",
IF((AND($U$4=TRUE,$U$5=FALSE,$U$6=FALSE,$U$7=FALSE)),VLOOKUP($E506,'Status Thresholds'!$E:$AR,3,FALSE),IF((AND($U$4=TRUE,$U$5=FALSE,$U$6=TRUE,$U$7=FALSE)),VLOOKUP($E506,'Status Thresholds'!$E:$AR,13,FALSE),IF((AND($U$4=TRUE,$U$5=FALSE,$U$6=TRUE,$U$7=TRUE)),VLOOKUP($E506,'Status Thresholds'!$E:$AR,18,FALSE),IF((AND($U$4=TRUE,$U$5=FALSE,$U$6=FALSE,$U$7=TRUE)),VLOOKUP($E506,'Status Thresholds'!$E:$AR,8,FALSE),
IF((AND($U$4=FALSE,$U$5=TRUE,$U$6=FALSE,$U$7=FALSE)),VLOOKUP($E506,'Status Thresholds'!$E:$AR,23,FALSE),IF((AND($U$4=FALSE,$U$5=TRUE,$U$6=TRUE,$U$7=FALSE)),VLOOKUP($E506,'Status Thresholds'!$E:$AR,33,FALSE),IF((AND($U$4=FALSE,$U$5=TRUE,$U$6=TRUE,$U$7=TRUE)),VLOOKUP($E506,'Status Thresholds'!$E:$AR,38,FALSE),IF((AND($U$4=FALSE,$U$5=TRUE,$U$6=FALSE,$U$7=TRUE)),VLOOKUP($E506,'Status Thresholds'!$E:$AR,28,FALSE)))))))))
))/
IF(OR($X$5=TRUE,$AC$3=TRUE
),($F$4/2), IF(OR($X$2,$X$3,$X$4,$X$6,$X$7,$X$8,$Z$2,$Z$3,$Z$4,$Z$5,$Z$6,$Z$7,$Z$8)=TRUE,$F$4)),0),"-")</f>
        <v>-</v>
      </c>
      <c r="H506" s="36" t="str">
        <f>IFERROR(
ROUNDUP(
IF(AND($U$5=FALSE,$U$4=FALSE),"-",IF(AND($U$5=TRUE,$U$4=TRUE),"-",
IF((AND($U$4=TRUE,$U$5=FALSE,$U$6=FALSE,$U$7=FALSE)),VLOOKUP($E506,'Status Thresholds'!$E:$AR,4,FALSE),IF((AND($U$4=TRUE,$U$5=FALSE,$U$6=TRUE,$U$7=FALSE)),VLOOKUP($E506,'Status Thresholds'!$E:$AR,14,FALSE),IF((AND($U$4=TRUE,$U$5=FALSE,$U$6=TRUE,$U$7=TRUE)),VLOOKUP($E506,'Status Thresholds'!$E:$AR,19,FALSE),IF((AND($U$4=TRUE,$U$5=FALSE,$U$6=FALSE,$U$7=TRUE)),VLOOKUP($E506,'Status Thresholds'!$E:$AR,9,FALSE),
IF((AND($U$4=FALSE,$U$5=TRUE,$U$6=FALSE,$U$7=FALSE)),VLOOKUP($E506,'Status Thresholds'!$E:$AR,24,FALSE),IF((AND($U$4=FALSE,$U$5=TRUE,$U$6=TRUE,$U$7=FALSE)),VLOOKUP($E506,'Status Thresholds'!$E:$AR,34,FALSE),IF((AND($U$4=FALSE,$U$5=TRUE,$U$6=TRUE,$U$7=TRUE)),VLOOKUP($E506,'Status Thresholds'!$E:$AR,39,FALSE),IF((AND($U$4=FALSE,$U$5=TRUE,$U$6=FALSE,$U$7=TRUE)),VLOOKUP($E506,'Status Thresholds'!$E:$AR,29,FALSE)))))))))
))/
IF(OR($X$5=TRUE,$AC$3=TRUE
),($F$4/2), IF(OR($X$2,$X$3,$X$4,$X$6,$X$7,$X$8,$Z$2,$Z$3,$Z$4,$Z$5,$Z$6,$Z$7,$Z$8)=TRUE,$F$4)),0),"-")</f>
        <v>-</v>
      </c>
      <c r="I506" s="36" t="str">
        <f>IFERROR(
ROUNDUP(
IF(AND($U$5=FALSE,$U$4=FALSE),"-",IF(AND($U$5=TRUE,$U$4=TRUE),"-",
IF((AND($U$4=TRUE,$U$5=FALSE,$U$6=FALSE,$U$7=FALSE)),VLOOKUP($E506,'Status Thresholds'!$E:$AR,5,FALSE),IF((AND($U$4=TRUE,$U$5=FALSE,$U$6=TRUE,$U$7=FALSE)),VLOOKUP($E506,'Status Thresholds'!$E:$AR,15,FALSE),IF((AND($U$4=TRUE,$U$5=FALSE,$U$6=TRUE,$U$7=TRUE)),VLOOKUP($E506,'Status Thresholds'!$E:$AR,20,FALSE),IF((AND($U$4=TRUE,$U$5=FALSE,$U$6=FALSE,$U$7=TRUE)),VLOOKUP($E506,'Status Thresholds'!$E:$AR,10,FALSE),
IF((AND($U$4=FALSE,$U$5=TRUE,$U$6=FALSE,$U$7=FALSE)),VLOOKUP($E506,'Status Thresholds'!$E:$AR,25,FALSE),IF((AND($U$4=FALSE,$U$5=TRUE,$U$6=TRUE,$U$7=FALSE)),VLOOKUP($E506,'Status Thresholds'!$E:$AR,35,FALSE),IF((AND($U$4=FALSE,$U$5=TRUE,$U$6=TRUE,$U$7=TRUE)),VLOOKUP($E506,'Status Thresholds'!$E:$AR,40,FALSE),IF((AND($U$4=FALSE,$U$5=TRUE,$U$6=FALSE,$U$7=TRUE)),VLOOKUP($E506,'Status Thresholds'!$E:$AR,30,FALSE)))))))))
))/
IF(OR($X$5=TRUE,$AC$3=TRUE
),($F$4/2), IF(OR($X$2,$X$3,$X$4,$X$6,$X$7,$X$8,$Z$2,$Z$3,$Z$4,$Z$5,$Z$6,$Z$7,$Z$8)=TRUE,$F$4)),0),"-")</f>
        <v>-</v>
      </c>
      <c r="J506" s="46">
        <f>IFERROR(IF(AND($U$5=FALSE,$U$4=FALSE),"-",VLOOKUP($E506,'Status Thresholds'!$E:$AU,41,FALSE)),"-")</f>
        <v>40</v>
      </c>
      <c r="K506" s="46" t="str">
        <f>IFERROR(IF(AND($U$5=FALSE,$U$4=FALSE),"-",VLOOKUP($E506,'Status Thresholds'!$E:$AU,42,FALSE)),"-")</f>
        <v>-</v>
      </c>
      <c r="L506" s="46" t="str">
        <f>IFERROR(IF(AND($U$5=FALSE,$U$4=FALSE),"-",VLOOKUP($E506,'Status Thresholds'!$E:$AU,43,FALSE)),"-")</f>
        <v>-</v>
      </c>
    </row>
    <row r="507" spans="1:12" x14ac:dyDescent="0.25">
      <c r="A507" s="35"/>
      <c r="B507" s="64" t="str">
        <f>VLOOKUP(C507,'Status Thresholds'!B:C,2,FALSE)</f>
        <v>MHGen</v>
      </c>
      <c r="C507" s="64" t="str">
        <f>IF('Status Thresholds'!B502=0, "", 'Status Thresholds'!B502)</f>
        <v>Mizutune</v>
      </c>
      <c r="D507" s="32" t="s">
        <v>33</v>
      </c>
      <c r="E507" s="36" t="str">
        <f t="shared" si="7"/>
        <v>MizutunePoison</v>
      </c>
      <c r="F507" s="36" t="str">
        <f>IFERROR(
ROUNDUP(
IF(AND($U$5=FALSE,$U$4=FALSE),"-",IF(AND($U$5=TRUE,$U$4=TRUE),"-",
IF((AND($U$4=TRUE,$U$5=FALSE,$U$6=FALSE,$U$7=FALSE)),VLOOKUP($E507,'Status Thresholds'!$E:$AR,2,FALSE),IF((AND($U$4=TRUE,$U$5=FALSE,$U$6=TRUE,$U$7=FALSE)),VLOOKUP($E507,'Status Thresholds'!$E:$AR,12,FALSE),IF((AND($U$4=TRUE,$U$5=FALSE,$U$6=TRUE,$U$7=TRUE)),VLOOKUP($E507,'Status Thresholds'!$E:$AR,17,FALSE),IF((AND($U$4=TRUE,$U$5=FALSE,$U$6=FALSE,$U$7=TRUE)),VLOOKUP($E507,'Status Thresholds'!$E:$AR,7,FALSE),
IF((AND($U$4=FALSE,$U$5=TRUE,$U$6=FALSE,$U$7=FALSE)),VLOOKUP($E507,'Status Thresholds'!$E:$AR,22,FALSE),IF((AND($U$4=FALSE,$U$5=TRUE,$U$6=TRUE,$U$7=FALSE)),VLOOKUP($E507,'Status Thresholds'!$E:$AR,32,FALSE),IF((AND($U$4=FALSE,$U$5=TRUE,$U$6=TRUE,$U$7=TRUE)),VLOOKUP($E507,'Status Thresholds'!$E:$AR,37,FALSE),IF((AND($U$4=FALSE,$U$5=TRUE,$U$6=FALSE,$U$7=TRUE)),VLOOKUP($E507,'Status Thresholds'!$E:$AR,27,FALSE)))))))))
))/
IF(OR($X$5=TRUE,$AC$3=TRUE
),($F$5/2), IF(OR($X$2,$X$3,$X$4,$X$6,$X$7,$X$8,$Z$2,$Z$3,$Z$4,$Z$5,$Z$6,$Z$7,$Z$8)=TRUE,$F$5)),0),"-")</f>
        <v>-</v>
      </c>
      <c r="G507" s="36" t="str">
        <f>IFERROR(
ROUNDUP(
IF(AND($U$5=FALSE,$U$4=FALSE),"-",IF(AND($U$5=TRUE,$U$4=TRUE),"-",
IF((AND($U$4=TRUE,$U$5=FALSE,$U$6=FALSE,$U$7=FALSE)),VLOOKUP($E507,'Status Thresholds'!$E:$AR,3,FALSE),IF((AND($U$4=TRUE,$U$5=FALSE,$U$6=TRUE,$U$7=FALSE)),VLOOKUP($E507,'Status Thresholds'!$E:$AR,13,FALSE),IF((AND($U$4=TRUE,$U$5=FALSE,$U$6=TRUE,$U$7=TRUE)),VLOOKUP($E507,'Status Thresholds'!$E:$AR,18,FALSE),IF((AND($U$4=TRUE,$U$5=FALSE,$U$6=FALSE,$U$7=TRUE)),VLOOKUP($E507,'Status Thresholds'!$E:$AR,8,FALSE),
IF((AND($U$4=FALSE,$U$5=TRUE,$U$6=FALSE,$U$7=FALSE)),VLOOKUP($E507,'Status Thresholds'!$E:$AR,23,FALSE),IF((AND($U$4=FALSE,$U$5=TRUE,$U$6=TRUE,$U$7=FALSE)),VLOOKUP($E507,'Status Thresholds'!$E:$AR,33,FALSE),IF((AND($U$4=FALSE,$U$5=TRUE,$U$6=TRUE,$U$7=TRUE)),VLOOKUP($E507,'Status Thresholds'!$E:$AR,38,FALSE),IF((AND($U$4=FALSE,$U$5=TRUE,$U$6=FALSE,$U$7=TRUE)),VLOOKUP($E507,'Status Thresholds'!$E:$AR,28,FALSE)))))))))
))/
IF(OR($X$5=TRUE,$AC$3=TRUE
),($F$5/2), IF(OR($X$2,$X$3,$X$4,$X$6,$X$7,$X$8,$Z$2,$Z$3,$Z$4,$Z$5,$Z$6,$Z$7,$Z$8)=TRUE,$F$5)),0),"-")</f>
        <v>-</v>
      </c>
      <c r="H507" s="36" t="str">
        <f>IFERROR(
ROUNDUP(
IF(AND($U$5=FALSE,$U$4=FALSE),"-",IF(AND($U$5=TRUE,$U$4=TRUE),"-",
IF((AND($U$4=TRUE,$U$5=FALSE,$U$6=FALSE,$U$7=FALSE)),VLOOKUP($E507,'Status Thresholds'!$E:$AR,4,FALSE),IF((AND($U$4=TRUE,$U$5=FALSE,$U$6=TRUE,$U$7=FALSE)),VLOOKUP($E507,'Status Thresholds'!$E:$AR,14,FALSE),IF((AND($U$4=TRUE,$U$5=FALSE,$U$6=TRUE,$U$7=TRUE)),VLOOKUP($E507,'Status Thresholds'!$E:$AR,19,FALSE),IF((AND($U$4=TRUE,$U$5=FALSE,$U$6=FALSE,$U$7=TRUE)),VLOOKUP($E507,'Status Thresholds'!$E:$AR,9,FALSE),
IF((AND($U$4=FALSE,$U$5=TRUE,$U$6=FALSE,$U$7=FALSE)),VLOOKUP($E507,'Status Thresholds'!$E:$AR,24,FALSE),IF((AND($U$4=FALSE,$U$5=TRUE,$U$6=TRUE,$U$7=FALSE)),VLOOKUP($E507,'Status Thresholds'!$E:$AR,34,FALSE),IF((AND($U$4=FALSE,$U$5=TRUE,$U$6=TRUE,$U$7=TRUE)),VLOOKUP($E507,'Status Thresholds'!$E:$AR,39,FALSE),IF((AND($U$4=FALSE,$U$5=TRUE,$U$6=FALSE,$U$7=TRUE)),VLOOKUP($E507,'Status Thresholds'!$E:$AR,29,FALSE)))))))))
))/
IF(OR($X$5=TRUE,$AC$3=TRUE
),($F$5/2), IF(OR($X$2,$X$3,$X$4,$X$6,$X$7,$X$8,$Z$2,$Z$3,$Z$4,$Z$5,$Z$6,$Z$7,$Z$8)=TRUE,$F$5)),0),"-")</f>
        <v>-</v>
      </c>
      <c r="I507" s="36" t="str">
        <f>IFERROR(
ROUNDUP(
IF(AND($U$5=FALSE,$U$4=FALSE),"-",IF(AND($U$5=TRUE,$U$4=TRUE),"-",
IF((AND($U$4=TRUE,$U$5=FALSE,$U$6=FALSE,$U$7=FALSE)),VLOOKUP($E507,'Status Thresholds'!$E:$AR,5,FALSE),IF((AND($U$4=TRUE,$U$5=FALSE,$U$6=TRUE,$U$7=FALSE)),VLOOKUP($E507,'Status Thresholds'!$E:$AR,15,FALSE),IF((AND($U$4=TRUE,$U$5=FALSE,$U$6=TRUE,$U$7=TRUE)),VLOOKUP($E507,'Status Thresholds'!$E:$AR,20,FALSE),IF((AND($U$4=TRUE,$U$5=FALSE,$U$6=FALSE,$U$7=TRUE)),VLOOKUP($E507,'Status Thresholds'!$E:$AR,10,FALSE),
IF((AND($U$4=FALSE,$U$5=TRUE,$U$6=FALSE,$U$7=FALSE)),VLOOKUP($E507,'Status Thresholds'!$E:$AR,25,FALSE),IF((AND($U$4=FALSE,$U$5=TRUE,$U$6=TRUE,$U$7=FALSE)),VLOOKUP($E507,'Status Thresholds'!$E:$AR,35,FALSE),IF((AND($U$4=FALSE,$U$5=TRUE,$U$6=TRUE,$U$7=TRUE)),VLOOKUP($E507,'Status Thresholds'!$E:$AR,40,FALSE),IF((AND($U$4=FALSE,$U$5=TRUE,$U$6=FALSE,$U$7=TRUE)),VLOOKUP($E507,'Status Thresholds'!$E:$AR,30,FALSE)))))))))
))/
IF(OR($X$5=TRUE,$AC$3=TRUE
),($F$5/2), IF(OR($X$2,$X$3,$X$4,$X$6,$X$7,$X$8,$Z$2,$Z$3,$Z$4,$Z$5,$Z$6,$Z$7,$Z$8)=TRUE,$F$5)),0),"-")</f>
        <v>-</v>
      </c>
      <c r="J507" s="46">
        <f>IFERROR(IF(AND($U$5=FALSE,$U$4=FALSE),"-",VLOOKUP($E507,'Status Thresholds'!$E:$AU,41,FALSE)),"-")</f>
        <v>60</v>
      </c>
      <c r="K507" s="46" t="str">
        <f>IFERROR(IF(AND($U$5=FALSE,$U$4=FALSE),"-",VLOOKUP($E507,'Status Thresholds'!$E:$AU,42,FALSE)),"-")</f>
        <v>-</v>
      </c>
      <c r="L507" s="46" t="str">
        <f>IFERROR(IF(AND($U$5=FALSE,$U$4=FALSE),"-",VLOOKUP($E507,'Status Thresholds'!$E:$AU,43,FALSE)),"-")</f>
        <v>-</v>
      </c>
    </row>
    <row r="508" spans="1:12" x14ac:dyDescent="0.25">
      <c r="A508" s="35"/>
      <c r="B508" s="64" t="str">
        <f>VLOOKUP(C508,'Status Thresholds'!B:C,2,FALSE)</f>
        <v>MHGen</v>
      </c>
      <c r="C508" s="64" t="str">
        <f>IF('Status Thresholds'!B503=0, "", 'Status Thresholds'!B503)</f>
        <v>Mizutune</v>
      </c>
      <c r="D508" s="10" t="s">
        <v>22</v>
      </c>
      <c r="E508" s="36" t="str">
        <f t="shared" si="7"/>
        <v>MizutuneExhaust</v>
      </c>
      <c r="F508" s="36" t="str">
        <f>IFERROR(
ROUNDUP(
IF(AND($U$5=FALSE,$U$4=FALSE),"-",IF(AND($U$5=TRUE,$U$4=TRUE),"-",
IF((AND($U$4=TRUE,$U$5=FALSE,$U$6=FALSE,$U$7=FALSE)),VLOOKUP($E508,'Status Thresholds'!$E:$AR,2,FALSE),IF((AND($U$4=TRUE,$U$5=FALSE,$U$6=TRUE,$U$7=FALSE)),VLOOKUP($E508,'Status Thresholds'!$E:$AR,12,FALSE),IF((AND($U$4=TRUE,$U$5=FALSE,$U$6=TRUE,$U$7=TRUE)),VLOOKUP($E508,'Status Thresholds'!$E:$AR,17,FALSE),IF((AND($U$4=TRUE,$U$5=FALSE,$U$6=FALSE,$U$7=TRUE)),VLOOKUP($E508,'Status Thresholds'!$E:$AR,7,FALSE),
IF((AND($U$4=FALSE,$U$5=TRUE,$U$6=FALSE,$U$7=FALSE)),VLOOKUP($E508,'Status Thresholds'!$E:$AR,22,FALSE),IF((AND($U$4=FALSE,$U$5=TRUE,$U$6=TRUE,$U$7=FALSE)),VLOOKUP($E508,'Status Thresholds'!$E:$AR,32,FALSE),IF((AND($U$4=FALSE,$U$5=TRUE,$U$6=TRUE,$U$7=TRUE)),VLOOKUP($E508,'Status Thresholds'!$E:$AR,37,FALSE),IF((AND($U$4=FALSE,$U$5=TRUE,$U$6=FALSE,$U$7=TRUE)),VLOOKUP($E508,'Status Thresholds'!$E:$AR,27,FALSE)))))))))
))/
IF(OR($X$5=TRUE,$AC$3=TRUE
),($F$6/2), IF(OR($X$2,$X$3,$X$4,$X$6,$X$7,$X$8,$Z$2,$Z$3,$Z$4,$Z$5,$Z$6,$Z$7,$Z$8)=TRUE,$F$6)),0),"-")</f>
        <v>-</v>
      </c>
      <c r="G508" s="36" t="str">
        <f>IFERROR(
ROUNDUP(
IF(AND($U$5=FALSE,$U$4=FALSE),"-",IF(AND($U$5=TRUE,$U$4=TRUE),"-",
IF((AND($U$4=TRUE,$U$5=FALSE,$U$6=FALSE,$U$7=FALSE)),VLOOKUP($E508,'Status Thresholds'!$E:$AR,3,FALSE),IF((AND($U$4=TRUE,$U$5=FALSE,$U$6=TRUE,$U$7=FALSE)),VLOOKUP($E508,'Status Thresholds'!$E:$AR,13,FALSE),IF((AND($U$4=TRUE,$U$5=FALSE,$U$6=TRUE,$U$7=TRUE)),VLOOKUP($E508,'Status Thresholds'!$E:$AR,18,FALSE),IF((AND($U$4=TRUE,$U$5=FALSE,$U$6=FALSE,$U$7=TRUE)),VLOOKUP($E508,'Status Thresholds'!$E:$AR,8,FALSE),
IF((AND($U$4=FALSE,$U$5=TRUE,$U$6=FALSE,$U$7=FALSE)),VLOOKUP($E508,'Status Thresholds'!$E:$AR,23,FALSE),IF((AND($U$4=FALSE,$U$5=TRUE,$U$6=TRUE,$U$7=FALSE)),VLOOKUP($E508,'Status Thresholds'!$E:$AR,33,FALSE),IF((AND($U$4=FALSE,$U$5=TRUE,$U$6=TRUE,$U$7=TRUE)),VLOOKUP($E508,'Status Thresholds'!$E:$AR,38,FALSE),IF((AND($U$4=FALSE,$U$5=TRUE,$U$6=FALSE,$U$7=TRUE)),VLOOKUP($E508,'Status Thresholds'!$E:$AR,28,FALSE)))))))))
))/
IF(OR($X$5=TRUE,$AC$3=TRUE
),($F$6/2), IF(OR($X$2,$X$3,$X$4,$X$6,$X$7,$X$8,$Z$2,$Z$3,$Z$4,$Z$5,$Z$6,$Z$7,$Z$8)=TRUE,$F$6)),0),"-")</f>
        <v>-</v>
      </c>
      <c r="H508" s="36" t="str">
        <f>IFERROR(
ROUNDUP(
IF(AND($U$5=FALSE,$U$4=FALSE),"-",IF(AND($U$5=TRUE,$U$4=TRUE),"-",
IF((AND($U$4=TRUE,$U$5=FALSE,$U$6=FALSE,$U$7=FALSE)),VLOOKUP($E508,'Status Thresholds'!$E:$AR,4,FALSE),IF((AND($U$4=TRUE,$U$5=FALSE,$U$6=TRUE,$U$7=FALSE)),VLOOKUP($E508,'Status Thresholds'!$E:$AR,14,FALSE),IF((AND($U$4=TRUE,$U$5=FALSE,$U$6=TRUE,$U$7=TRUE)),VLOOKUP($E508,'Status Thresholds'!$E:$AR,19,FALSE),IF((AND($U$4=TRUE,$U$5=FALSE,$U$6=FALSE,$U$7=TRUE)),VLOOKUP($E508,'Status Thresholds'!$E:$AR,9,FALSE),
IF((AND($U$4=FALSE,$U$5=TRUE,$U$6=FALSE,$U$7=FALSE)),VLOOKUP($E508,'Status Thresholds'!$E:$AR,24,FALSE),IF((AND($U$4=FALSE,$U$5=TRUE,$U$6=TRUE,$U$7=FALSE)),VLOOKUP($E508,'Status Thresholds'!$E:$AR,34,FALSE),IF((AND($U$4=FALSE,$U$5=TRUE,$U$6=TRUE,$U$7=TRUE)),VLOOKUP($E508,'Status Thresholds'!$E:$AR,39,FALSE),IF((AND($U$4=FALSE,$U$5=TRUE,$U$6=FALSE,$U$7=TRUE)),VLOOKUP($E508,'Status Thresholds'!$E:$AR,29,FALSE)))))))))
))/
IF(OR($X$5=TRUE,$AC$3=TRUE
),($F$6/2), IF(OR($X$2,$X$3,$X$4,$X$6,$X$7,$X$8,$Z$2,$Z$3,$Z$4,$Z$5,$Z$6,$Z$7,$Z$8)=TRUE,$F$6)),0),"-")</f>
        <v>-</v>
      </c>
      <c r="I508" s="36" t="str">
        <f>IFERROR(
ROUNDUP(
IF(AND($U$5=FALSE,$U$4=FALSE),"-",IF(AND($U$5=TRUE,$U$4=TRUE),"-",
IF((AND($U$4=TRUE,$U$5=FALSE,$U$6=FALSE,$U$7=FALSE)),VLOOKUP($E508,'Status Thresholds'!$E:$AR,5,FALSE),IF((AND($U$4=TRUE,$U$5=FALSE,$U$6=TRUE,$U$7=FALSE)),VLOOKUP($E508,'Status Thresholds'!$E:$AR,15,FALSE),IF((AND($U$4=TRUE,$U$5=FALSE,$U$6=TRUE,$U$7=TRUE)),VLOOKUP($E508,'Status Thresholds'!$E:$AR,20,FALSE),IF((AND($U$4=TRUE,$U$5=FALSE,$U$6=FALSE,$U$7=TRUE)),VLOOKUP($E508,'Status Thresholds'!$E:$AR,10,FALSE),
IF((AND($U$4=FALSE,$U$5=TRUE,$U$6=FALSE,$U$7=FALSE)),VLOOKUP($E508,'Status Thresholds'!$E:$AR,25,FALSE),IF((AND($U$4=FALSE,$U$5=TRUE,$U$6=TRUE,$U$7=FALSE)),VLOOKUP($E508,'Status Thresholds'!$E:$AR,35,FALSE),IF((AND($U$4=FALSE,$U$5=TRUE,$U$6=TRUE,$U$7=TRUE)),VLOOKUP($E508,'Status Thresholds'!$E:$AR,40,FALSE),IF((AND($U$4=FALSE,$U$5=TRUE,$U$6=FALSE,$U$7=TRUE)),VLOOKUP($E508,'Status Thresholds'!$E:$AR,30,FALSE)))))))))
))/
IF(OR($X$5=TRUE,$AC$3=TRUE
),($F$6/2), IF(OR($X$2,$X$3,$X$4,$X$6,$X$7,$X$8,$Z$2,$Z$3,$Z$4,$Z$5,$Z$6,$Z$7,$Z$8)=TRUE,$F$6)),0),"-")</f>
        <v>-</v>
      </c>
      <c r="J508" s="46">
        <f>IFERROR(IF(AND($U$5=FALSE,$U$4=FALSE),"-",VLOOKUP($E508,'Status Thresholds'!$E:$AU,41,FALSE)),"-")</f>
        <v>0</v>
      </c>
      <c r="K508" s="46" t="str">
        <f>IFERROR(IF(AND($U$5=FALSE,$U$4=FALSE),"-",VLOOKUP($E508,'Status Thresholds'!$E:$AU,42,FALSE)),"-")</f>
        <v>-</v>
      </c>
      <c r="L508" s="46" t="str">
        <f>IFERROR(IF(AND($U$5=FALSE,$U$4=FALSE),"-",VLOOKUP($E508,'Status Thresholds'!$E:$AU,43,FALSE)),"-")</f>
        <v>-</v>
      </c>
    </row>
    <row r="509" spans="1:12" x14ac:dyDescent="0.25">
      <c r="A509" s="35"/>
      <c r="B509" s="64" t="str">
        <f>VLOOKUP(C509,'Status Thresholds'!B:C,2,FALSE)</f>
        <v>MHGen</v>
      </c>
      <c r="C509" s="64" t="str">
        <f>IF('Status Thresholds'!B504=0, "", 'Status Thresholds'!B504)</f>
        <v>Mizutune</v>
      </c>
      <c r="D509" s="30" t="s">
        <v>35</v>
      </c>
      <c r="E509" s="36" t="str">
        <f t="shared" si="7"/>
        <v>MizutuneBlast</v>
      </c>
      <c r="F509" s="36" t="str">
        <f>IFERROR(
ROUNDUP(
IF(AND($U$5=FALSE,$U$4=FALSE),"-",IF(AND($U$5=TRUE,$U$4=TRUE),"-",
IF((AND($U$4=TRUE,$U$5=FALSE,$U$6=FALSE,$U$7=FALSE)),VLOOKUP($E509,'Status Thresholds'!$E:$AR,2,FALSE),IF((AND($U$4=TRUE,$U$5=FALSE,$U$6=TRUE,$U$7=FALSE)),VLOOKUP($E509,'Status Thresholds'!$E:$AR,12,FALSE),IF((AND($U$4=TRUE,$U$5=FALSE,$U$6=TRUE,$U$7=TRUE)),VLOOKUP($E509,'Status Thresholds'!$E:$AR,17,FALSE),IF((AND($U$4=TRUE,$U$5=FALSE,$U$6=FALSE,$U$7=TRUE)),VLOOKUP($E509,'Status Thresholds'!$E:$AR,7,FALSE),
IF((AND($U$4=FALSE,$U$5=TRUE,$U$6=FALSE,$U$7=FALSE)),VLOOKUP($E509,'Status Thresholds'!$E:$AR,22,FALSE),IF((AND($U$4=FALSE,$U$5=TRUE,$U$6=TRUE,$U$7=FALSE)),VLOOKUP($E509,'Status Thresholds'!$E:$AR,32,FALSE),IF((AND($U$4=FALSE,$U$5=TRUE,$U$6=TRUE,$U$7=TRUE)),VLOOKUP($E509,'Status Thresholds'!$E:$AR,37,FALSE),IF((AND($U$4=FALSE,$U$5=TRUE,$U$6=FALSE,$U$7=TRUE)),VLOOKUP($E509,'Status Thresholds'!$E:$AR,27,FALSE)))))))))
))/
IF(OR($X$5=TRUE,$AC$3=TRUE
),($F$7/2), IF(OR($X$2,$X$3,$X$4,$X$6,$X$7,$X$8,$Z$2,$Z$3,$Z$4,$Z$5,$Z$6,$Z$7,$Z$8)=TRUE,$F$7)),0),"-")</f>
        <v>-</v>
      </c>
      <c r="G509" s="36" t="str">
        <f>IFERROR(
ROUNDUP(
IF(AND($U$5=FALSE,$U$4=FALSE),"-",IF(AND($U$5=TRUE,$U$4=TRUE),"-",
IF((AND($U$4=TRUE,$U$5=FALSE,$U$6=FALSE,$U$7=FALSE)),VLOOKUP($E509,'Status Thresholds'!$E:$AR,3,FALSE),IF((AND($U$4=TRUE,$U$5=FALSE,$U$6=TRUE,$U$7=FALSE)),VLOOKUP($E509,'Status Thresholds'!$E:$AR,13,FALSE),IF((AND($U$4=TRUE,$U$5=FALSE,$U$6=TRUE,$U$7=TRUE)),VLOOKUP($E509,'Status Thresholds'!$E:$AR,18,FALSE),IF((AND($U$4=TRUE,$U$5=FALSE,$U$6=FALSE,$U$7=TRUE)),VLOOKUP($E509,'Status Thresholds'!$E:$AR,8,FALSE),
IF((AND($U$4=FALSE,$U$5=TRUE,$U$6=FALSE,$U$7=FALSE)),VLOOKUP($E509,'Status Thresholds'!$E:$AR,23,FALSE),IF((AND($U$4=FALSE,$U$5=TRUE,$U$6=TRUE,$U$7=FALSE)),VLOOKUP($E509,'Status Thresholds'!$E:$AR,33,FALSE),IF((AND($U$4=FALSE,$U$5=TRUE,$U$6=TRUE,$U$7=TRUE)),VLOOKUP($E509,'Status Thresholds'!$E:$AR,38,FALSE),IF((AND($U$4=FALSE,$U$5=TRUE,$U$6=FALSE,$U$7=TRUE)),VLOOKUP($E509,'Status Thresholds'!$E:$AR,28,FALSE)))))))))
))/
IF(OR($X$5=TRUE,$AC$3=TRUE
),($F$7/2), IF(OR($X$2,$X$3,$X$4,$X$6,$X$7,$X$8,$Z$2,$Z$3,$Z$4,$Z$5,$Z$6,$Z$7,$Z$8)=TRUE,$F$7)),0),"-")</f>
        <v>-</v>
      </c>
      <c r="H509" s="36" t="str">
        <f>IFERROR(
ROUNDUP(
IF(AND($U$5=FALSE,$U$4=FALSE),"-",IF(AND($U$5=TRUE,$U$4=TRUE),"-",
IF((AND($U$4=TRUE,$U$5=FALSE,$U$6=FALSE,$U$7=FALSE)),VLOOKUP($E509,'Status Thresholds'!$E:$AR,4,FALSE),IF((AND($U$4=TRUE,$U$5=FALSE,$U$6=TRUE,$U$7=FALSE)),VLOOKUP($E509,'Status Thresholds'!$E:$AR,14,FALSE),IF((AND($U$4=TRUE,$U$5=FALSE,$U$6=TRUE,$U$7=TRUE)),VLOOKUP($E509,'Status Thresholds'!$E:$AR,19,FALSE),IF((AND($U$4=TRUE,$U$5=FALSE,$U$6=FALSE,$U$7=TRUE)),VLOOKUP($E509,'Status Thresholds'!$E:$AR,9,FALSE),
IF((AND($U$4=FALSE,$U$5=TRUE,$U$6=FALSE,$U$7=FALSE)),VLOOKUP($E509,'Status Thresholds'!$E:$AR,24,FALSE),IF((AND($U$4=FALSE,$U$5=TRUE,$U$6=TRUE,$U$7=FALSE)),VLOOKUP($E509,'Status Thresholds'!$E:$AR,34,FALSE),IF((AND($U$4=FALSE,$U$5=TRUE,$U$6=TRUE,$U$7=TRUE)),VLOOKUP($E509,'Status Thresholds'!$E:$AR,39,FALSE),IF((AND($U$4=FALSE,$U$5=TRUE,$U$6=FALSE,$U$7=TRUE)),VLOOKUP($E509,'Status Thresholds'!$E:$AR,29,FALSE)))))))))
))/
IF(OR($X$5=TRUE,$AC$3=TRUE
),($F$7/2), IF(OR($X$2,$X$3,$X$4,$X$6,$X$7,$X$8,$Z$2,$Z$3,$Z$4,$Z$5,$Z$6,$Z$7,$Z$8)=TRUE,$F$7)),0),"-")</f>
        <v>-</v>
      </c>
      <c r="I509" s="36" t="str">
        <f>IFERROR(
ROUNDUP(
IF(AND($U$5=FALSE,$U$4=FALSE),"-",IF(AND($U$5=TRUE,$U$4=TRUE),"-",
IF((AND($U$4=TRUE,$U$5=FALSE,$U$6=FALSE,$U$7=FALSE)),VLOOKUP($E509,'Status Thresholds'!$E:$AR,5,FALSE),IF((AND($U$4=TRUE,$U$5=FALSE,$U$6=TRUE,$U$7=FALSE)),VLOOKUP($E509,'Status Thresholds'!$E:$AR,15,FALSE),IF((AND($U$4=TRUE,$U$5=FALSE,$U$6=TRUE,$U$7=TRUE)),VLOOKUP($E509,'Status Thresholds'!$E:$AR,20,FALSE),IF((AND($U$4=TRUE,$U$5=FALSE,$U$6=FALSE,$U$7=TRUE)),VLOOKUP($E509,'Status Thresholds'!$E:$AR,10,FALSE),
IF((AND($U$4=FALSE,$U$5=TRUE,$U$6=FALSE,$U$7=FALSE)),VLOOKUP($E509,'Status Thresholds'!$E:$AR,25,FALSE),IF((AND($U$4=FALSE,$U$5=TRUE,$U$6=TRUE,$U$7=FALSE)),VLOOKUP($E509,'Status Thresholds'!$E:$AR,35,FALSE),IF((AND($U$4=FALSE,$U$5=TRUE,$U$6=TRUE,$U$7=TRUE)),VLOOKUP($E509,'Status Thresholds'!$E:$AR,40,FALSE),IF((AND($U$4=FALSE,$U$5=TRUE,$U$6=FALSE,$U$7=TRUE)),VLOOKUP($E509,'Status Thresholds'!$E:$AR,30,FALSE)))))))))
))/
IF(OR($X$5=TRUE,$AC$3=TRUE
),($F$7/2), IF(OR($X$2,$X$3,$X$4,$X$6,$X$7,$X$8,$Z$2,$Z$3,$Z$4,$Z$5,$Z$6,$Z$7,$Z$8)=TRUE,$F$7)),0),"-")</f>
        <v>-</v>
      </c>
      <c r="J509" s="46">
        <f>IFERROR(IF(AND($U$5=FALSE,$U$4=FALSE),"-",VLOOKUP($E509,'Status Thresholds'!$E:$AU,41,FALSE)),"-")</f>
        <v>0</v>
      </c>
      <c r="K509" s="46" t="str">
        <f>IFERROR(IF(AND($U$5=FALSE,$U$4=FALSE),"-",VLOOKUP($E509,'Status Thresholds'!$E:$AU,42,FALSE)),"-")</f>
        <v>-</v>
      </c>
      <c r="L509" s="46" t="str">
        <f>IFERROR(IF(AND($U$5=FALSE,$U$4=FALSE),"-",VLOOKUP($E509,'Status Thresholds'!$E:$AU,43,FALSE)),"-")</f>
        <v>-</v>
      </c>
    </row>
    <row r="510" spans="1:12" ht="14.45" customHeight="1" x14ac:dyDescent="0.25">
      <c r="A510" s="35"/>
      <c r="B510" s="64" t="str">
        <f>VLOOKUP(C510,'Status Thresholds'!B:C,2,FALSE)</f>
        <v>MHGen</v>
      </c>
      <c r="C510" s="64" t="str">
        <f>IF('Status Thresholds'!B505=0, "", 'Status Thresholds'!B505)</f>
        <v>Mizutune</v>
      </c>
      <c r="D510" s="34" t="s">
        <v>14</v>
      </c>
      <c r="E510" s="36" t="str">
        <f t="shared" si="7"/>
        <v>MizutuneKO</v>
      </c>
      <c r="F510" s="36" t="s">
        <v>214</v>
      </c>
      <c r="G510" s="36" t="s">
        <v>214</v>
      </c>
      <c r="H510" s="36" t="s">
        <v>214</v>
      </c>
      <c r="I510" s="36" t="s">
        <v>214</v>
      </c>
      <c r="J510" s="46">
        <f>IFERROR(IF(AND($U$5=FALSE,$U$4=FALSE),"-",VLOOKUP($E510,'Status Thresholds'!$E:$AU,41,FALSE)),"-")</f>
        <v>10</v>
      </c>
      <c r="K510" s="46" t="str">
        <f>IFERROR(IF(AND($U$5=FALSE,$U$4=FALSE),"-",VLOOKUP($E510,'Status Thresholds'!$E:$AU,42,FALSE)),"-")</f>
        <v>-</v>
      </c>
      <c r="L510" s="46" t="str">
        <f>IFERROR(IF(AND($U$5=FALSE,$U$4=FALSE),"-",VLOOKUP($E510,'Status Thresholds'!$E:$AU,43,FALSE)),"-")</f>
        <v>-</v>
      </c>
    </row>
    <row r="511" spans="1:12" x14ac:dyDescent="0.25">
      <c r="A511" s="35"/>
      <c r="B511" s="64" t="str">
        <f>VLOOKUP(C511,'Status Thresholds'!B:C,2,FALSE)</f>
        <v>MHGen</v>
      </c>
      <c r="C511" s="64" t="str">
        <f>IF('Status Thresholds'!B506=0, "", 'Status Thresholds'!B506)</f>
        <v>Mizutune</v>
      </c>
      <c r="D511" s="33" t="s">
        <v>34</v>
      </c>
      <c r="E511" s="36" t="str">
        <f t="shared" si="7"/>
        <v>MizutuneMount</v>
      </c>
      <c r="F511" s="36" t="str">
        <f>IFERROR(
ROUNDUP(
IF(AND($U$5=FALSE,$U$4=FALSE),"-",IF(AND($U$5=TRUE,$U$4=TRUE),"-",
IF((AND($U$4=TRUE,$U$5=FALSE,$U$6=FALSE,$U$7=FALSE)),VLOOKUP($E511,'Status Thresholds'!$E:$AR,2,FALSE),IF((AND($U$4=TRUE,$U$5=FALSE,$U$6=TRUE,$U$7=FALSE)),VLOOKUP($E511,'Status Thresholds'!$E:$AR,12,FALSE),IF((AND($U$4=TRUE,$U$5=FALSE,$U$6=TRUE,$U$7=TRUE)),VLOOKUP($E511,'Status Thresholds'!$E:$AR,17,FALSE),IF((AND($U$4=TRUE,$U$5=FALSE,$U$6=FALSE,$U$7=TRUE)),VLOOKUP($E511,'Status Thresholds'!$E:$AR,7,FALSE),
IF((AND($U$4=FALSE,$U$5=TRUE,$U$6=FALSE,$U$7=FALSE)),VLOOKUP($E511,'Status Thresholds'!$E:$AR,22,FALSE),IF((AND($U$4=FALSE,$U$5=TRUE,$U$6=TRUE,$U$7=FALSE)),VLOOKUP($E511,'Status Thresholds'!$E:$AR,32,FALSE),IF((AND($U$4=FALSE,$U$5=TRUE,$U$6=TRUE,$U$7=TRUE)),VLOOKUP($E511,'Status Thresholds'!$E:$AR,37,FALSE),IF((AND($U$4=FALSE,$U$5=TRUE,$U$6=FALSE,$U$7=TRUE)),VLOOKUP($E511,'Status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511" s="36" t="str">
        <f>IFERROR(
ROUNDUP(
IF(AND($U$5=FALSE,$U$4=FALSE),"-",IF(AND($U$5=TRUE,$U$4=TRUE),"-",
IF((AND($U$4=TRUE,$U$5=FALSE,$U$6=FALSE,$U$7=FALSE)),VLOOKUP($E510,'Status Thresholds'!$E:$AR,3,FALSE),IF((AND($U$4=TRUE,$U$5=FALSE,$U$6=TRUE,$U$7=FALSE)),VLOOKUP($E510,'Status Thresholds'!$E:$AR,13,FALSE),IF((AND($U$4=TRUE,$U$5=FALSE,$U$6=TRUE,$U$7=TRUE)),VLOOKUP($E510,'Status Thresholds'!$E:$AR,18,FALSE),IF((AND($U$4=TRUE,$U$5=FALSE,$U$6=FALSE,$U$7=TRUE)),VLOOKUP($E510,'Status Thresholds'!$E:$AR,8,FALSE),
IF((AND($U$4=FALSE,$U$5=TRUE,$U$6=FALSE,$U$7=FALSE)),VLOOKUP($E510,'Status Thresholds'!$E:$AR,23,FALSE),IF((AND($U$4=FALSE,$U$5=TRUE,$U$6=TRUE,$U$7=FALSE)),VLOOKUP($E510,'Status Thresholds'!$E:$AR,33,FALSE),IF((AND($U$4=FALSE,$U$5=TRUE,$U$6=TRUE,$U$7=TRUE)),VLOOKUP($E510,'Status Thresholds'!$E:$AR,38,FALSE),IF((AND($U$4=FALSE,$U$5=TRUE,$U$6=FALSE,$U$7=TRUE)),VLOOKUP($E510,'Status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511" s="36" t="str">
        <f>IFERROR(
ROUNDUP(
IF(AND($U$5=FALSE,$U$4=FALSE),"-",IF(AND($U$5=TRUE,$U$4=TRUE),"-",
IF((AND($U$4=TRUE,$U$5=FALSE,$U$6=FALSE,$U$7=FALSE)),VLOOKUP($E510,'Status Thresholds'!$E:$AR,4,FALSE),IF((AND($U$4=TRUE,$U$5=FALSE,$U$6=TRUE,$U$7=FALSE)),VLOOKUP($E510,'Status Thresholds'!$E:$AR,14,FALSE),IF((AND($U$4=TRUE,$U$5=FALSE,$U$6=TRUE,$U$7=TRUE)),VLOOKUP($E510,'Status Thresholds'!$E:$AR,19,FALSE),IF((AND($U$4=TRUE,$U$5=FALSE,$U$6=FALSE,$U$7=TRUE)),VLOOKUP($E510,'Status Thresholds'!$E:$AR,9,FALSE),
IF((AND($U$4=FALSE,$U$5=TRUE,$U$6=FALSE,$U$7=FALSE)),VLOOKUP($E510,'Status Thresholds'!$E:$AR,24,FALSE),IF((AND($U$4=FALSE,$U$5=TRUE,$U$6=TRUE,$U$7=FALSE)),VLOOKUP($E510,'Status Thresholds'!$E:$AR,34,FALSE),IF((AND($U$4=FALSE,$U$5=TRUE,$U$6=TRUE,$U$7=TRUE)),VLOOKUP($E510,'Status Thresholds'!$E:$AR,39,FALSE),IF((AND($U$4=FALSE,$U$5=TRUE,$U$6=FALSE,$U$7=TRUE)),VLOOKUP($E510,'Status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511" s="36" t="str">
        <f>IFERROR(
ROUNDUP(
IF(AND($U$5=FALSE,$U$4=FALSE),"-",IF(AND($U$5=TRUE,$U$4=TRUE),"-",
IF((AND($U$4=TRUE,$U$5=FALSE,$U$6=FALSE,$U$7=FALSE)),VLOOKUP($E510,'Status Thresholds'!$E:$AR,5,FALSE),IF((AND($U$4=TRUE,$U$5=FALSE,$U$6=TRUE,$U$7=FALSE)),VLOOKUP($E510,'Status Thresholds'!$E:$AR,15,FALSE),IF((AND($U$4=TRUE,$U$5=FALSE,$U$6=TRUE,$U$7=TRUE)),VLOOKUP($E510,'Status Thresholds'!$E:$AR,20,FALSE),IF((AND($U$4=TRUE,$U$5=FALSE,$U$6=FALSE,$U$7=TRUE)),VLOOKUP($E510,'Status Thresholds'!$E:$AR,10,FALSE),
IF((AND($U$4=FALSE,$U$5=TRUE,$U$6=FALSE,$U$7=FALSE)),VLOOKUP($E510,'Status Thresholds'!$E:$AR,25,FALSE),IF((AND($U$4=FALSE,$U$5=TRUE,$U$6=TRUE,$U$7=FALSE)),VLOOKUP($E510,'Status Thresholds'!$E:$AR,35,FALSE),IF((AND($U$4=FALSE,$U$5=TRUE,$U$6=TRUE,$U$7=TRUE)),VLOOKUP($E510,'Status Thresholds'!$E:$AR,40,FALSE),IF((AND($U$4=FALSE,$U$5=TRUE,$U$6=FALSE,$U$7=TRUE)),VLOOKUP($E510,'Status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511" s="46">
        <f>IFERROR(IF(AND($U$5=FALSE,$U$4=FALSE),"-",VLOOKUP($E511,'Status Thresholds'!$E:$AU,41,FALSE)),"-")</f>
        <v>0</v>
      </c>
      <c r="K511" s="46" t="str">
        <f>IFERROR(IF(AND($U$5=FALSE,$U$4=FALSE),"-",VLOOKUP($E511,'Status Thresholds'!$E:$AU,42,FALSE)),"-")</f>
        <v>-</v>
      </c>
      <c r="L511" s="46" t="str">
        <f>IFERROR(IF(AND($U$5=FALSE,$U$4=FALSE),"-",VLOOKUP($E511,'Status Thresholds'!$E:$AU,43,FALSE)),"-")</f>
        <v>-</v>
      </c>
    </row>
    <row r="512" spans="1:12" ht="15" customHeight="1" x14ac:dyDescent="0.25">
      <c r="A512" s="35"/>
      <c r="B512" s="64" t="str">
        <f>VLOOKUP(C512,'Status Thresholds'!B:C,2,FALSE)</f>
        <v>MHGen</v>
      </c>
      <c r="C512" s="64" t="str">
        <f>IF('Status Thresholds'!B507=0, "", 'Status Thresholds'!B507)</f>
        <v>Mizutune</v>
      </c>
      <c r="D512" s="77" t="s">
        <v>207</v>
      </c>
      <c r="E512" s="36" t="str">
        <f t="shared" si="7"/>
        <v>MizutuneShock Trap</v>
      </c>
      <c r="F512" s="76" t="s">
        <v>214</v>
      </c>
      <c r="G512" s="46" t="s">
        <v>214</v>
      </c>
      <c r="H512" s="46" t="s">
        <v>214</v>
      </c>
      <c r="I512" s="46" t="s">
        <v>214</v>
      </c>
      <c r="J512" s="46">
        <f>IFERROR(IF(AND($U$5=FALSE,$U$4=FALSE),"-",VLOOKUP($E512,'Status Thresholds'!$E:$AU,43,FALSE)),"-")</f>
        <v>10</v>
      </c>
      <c r="K512" s="46">
        <f>IFERROR(IF(AND($U$5=FALSE,$U$4=FALSE),"-",VLOOKUP($E512,'Status Thresholds'!$E:$AU,41,FALSE)),"-")</f>
        <v>8</v>
      </c>
      <c r="L512" s="46">
        <f>IFERROR(IF(AND($U$5=FALSE,$U$4=FALSE),"-",VLOOKUP($E512,'Status Thresholds'!$E:$AU,42,FALSE)),"-")</f>
        <v>15</v>
      </c>
    </row>
    <row r="513" spans="1:12" x14ac:dyDescent="0.25">
      <c r="A513" s="35"/>
      <c r="B513" s="64" t="str">
        <f>VLOOKUP(C513,'Status Thresholds'!B:C,2,FALSE)</f>
        <v>MHGen</v>
      </c>
      <c r="C513" s="64" t="str">
        <f>IF('Status Thresholds'!B508=0, "", 'Status Thresholds'!B508)</f>
        <v>Mizutune</v>
      </c>
      <c r="D513" s="77" t="s">
        <v>213</v>
      </c>
      <c r="E513" s="36" t="str">
        <f t="shared" si="7"/>
        <v>MizutunePitfall Trap</v>
      </c>
      <c r="F513" s="46" t="s">
        <v>214</v>
      </c>
      <c r="G513" s="46" t="s">
        <v>214</v>
      </c>
      <c r="H513" s="46" t="s">
        <v>214</v>
      </c>
      <c r="I513" s="46" t="s">
        <v>214</v>
      </c>
      <c r="J513" s="46">
        <f>IFERROR(IF(AND($U$5=FALSE,$U$4=FALSE),"-",VLOOKUP($E513,'Status Thresholds'!$E:$AU,43,FALSE)),"-")</f>
        <v>12</v>
      </c>
      <c r="K513" s="46">
        <f>IFERROR(IF(AND($U$5=FALSE,$U$4=FALSE),"-",VLOOKUP($E513,'Status Thresholds'!$E:$AU,41,FALSE)),"-")</f>
        <v>10</v>
      </c>
      <c r="L513" s="46">
        <f>IFERROR(IF(AND($U$5=FALSE,$U$4=FALSE),"-",VLOOKUP($E513,'Status Thresholds'!$E:$AU,42,FALSE)),"-")</f>
        <v>25</v>
      </c>
    </row>
    <row r="514" spans="1:12" s="36" customFormat="1" x14ac:dyDescent="0.25">
      <c r="A514" s="64"/>
      <c r="B514" s="64" t="str">
        <f>VLOOKUP(C514,'Status Thresholds'!B:C,2,FALSE)</f>
        <v>MHGen</v>
      </c>
      <c r="C514" s="64" t="str">
        <f>IF('Status Thresholds'!B509=0, "", 'Status Thresholds'!B509)</f>
        <v>Najarala</v>
      </c>
      <c r="D514" s="37" t="s">
        <v>0</v>
      </c>
      <c r="E514" s="36" t="str">
        <f t="shared" si="7"/>
        <v>NajaralaPara</v>
      </c>
      <c r="F514" s="36" t="str">
        <f>IFERROR(
ROUNDUP(
IF(AND($U$5=FALSE,$U$4=FALSE),"-",IF(AND($U$5=TRUE,$U$4=TRUE),"-",
IF((AND($U$4=TRUE,$U$5=FALSE,$U$6=FALSE,$U$7=FALSE)),VLOOKUP($E514,'Status Thresholds'!$E:$AR,2,FALSE),IF((AND($U$4=TRUE,$U$5=FALSE,$U$6=TRUE,$U$7=FALSE)),VLOOKUP($E514,'Status Thresholds'!$E:$AR,12,FALSE),IF((AND($U$4=TRUE,$U$5=FALSE,$U$6=TRUE,$U$7=TRUE)),VLOOKUP($E514,'Status Thresholds'!$E:$AR,17,FALSE),IF((AND($U$4=TRUE,$U$5=FALSE,$U$6=FALSE,$U$7=TRUE)),VLOOKUP($E514,'Status Thresholds'!$E:$AR,7,FALSE),
IF((AND($U$4=FALSE,$U$5=TRUE,$U$6=FALSE,$U$7=FALSE)),VLOOKUP($E514,'Status Thresholds'!$E:$AR,22,FALSE),IF((AND($U$4=FALSE,$U$5=TRUE,$U$6=TRUE,$U$7=FALSE)),VLOOKUP($E514,'Status Thresholds'!$E:$AR,32,FALSE),IF((AND($U$4=FALSE,$U$5=TRUE,$U$6=TRUE,$U$7=TRUE)),VLOOKUP($E514,'Status Thresholds'!$E:$AR,37,FALSE),IF((AND($U$4=FALSE,$U$5=TRUE,$U$6=FALSE,$U$7=TRUE)),VLOOKUP($E514,'Status Thresholds'!$E:$AR,27,FALSE)))))))))
))/
IF(OR($X$5=TRUE,$AC$3=TRUE
),($F$3/2), IF(OR($X$2,$X$3,$X$4,$X$6,$X$7,$X$8,$Z$2,$Z$3,$Z$4,$Z$5,$Z$6,$Z$7,$Z$8)=TRUE,$F$3)),0),"-")</f>
        <v>-</v>
      </c>
      <c r="G514" s="36" t="str">
        <f>IFERROR(
ROUNDUP(
IF(AND($U$5=FALSE,$U$4=FALSE),"-",IF(AND($U$5=TRUE,$U$4=TRUE),"-",
IF((AND($U$4=TRUE,$U$5=FALSE,$U$6=FALSE,$U$7=FALSE)),VLOOKUP($E514,'Status Thresholds'!$E:$AR,3,FALSE),IF((AND($U$4=TRUE,$U$5=FALSE,$U$6=TRUE,$U$7=FALSE)),VLOOKUP($E514,'Status Thresholds'!$E:$AR,13,FALSE),IF((AND($U$4=TRUE,$U$5=FALSE,$U$6=TRUE,$U$7=TRUE)),VLOOKUP($E514,'Status Thresholds'!$E:$AR,18,FALSE),IF((AND($U$4=TRUE,$U$5=FALSE,$U$6=FALSE,$U$7=TRUE)),VLOOKUP($E514,'Status Thresholds'!$E:$AR,8,FALSE),
IF((AND($U$4=FALSE,$U$5=TRUE,$U$6=FALSE,$U$7=FALSE)),VLOOKUP($E514,'Status Thresholds'!$E:$AR,23,FALSE),IF((AND($U$4=FALSE,$U$5=TRUE,$U$6=TRUE,$U$7=FALSE)),VLOOKUP($E514,'Status Thresholds'!$E:$AR,33,FALSE),IF((AND($U$4=FALSE,$U$5=TRUE,$U$6=TRUE,$U$7=TRUE)),VLOOKUP($E514,'Status Thresholds'!$E:$AR,38,FALSE),IF((AND($U$4=FALSE,$U$5=TRUE,$U$6=FALSE,$U$7=TRUE)),VLOOKUP($E514,'Status Thresholds'!$E:$AR,28,FALSE)))))))))
))/
IF(OR($X$5=TRUE,$AC$3=TRUE
),($F$3/2), IF(OR($X$2,$X$3,$X$4,$X$6,$X$7,$X$8,$Z$2,$Z$3,$Z$4,$Z$5,$Z$6,$Z$7,$Z$8)=TRUE,$F$3)),0),"-")</f>
        <v>-</v>
      </c>
      <c r="H514" s="36" t="str">
        <f>IFERROR(
ROUNDUP(
IF(AND($U$5=FALSE,$U$4=FALSE),"-",IF(AND($U$5=TRUE,$U$4=TRUE),"-",
IF((AND($U$4=TRUE,$U$5=FALSE,$U$6=FALSE,$U$7=FALSE)),VLOOKUP($E514,'Status Thresholds'!$E:$AR,4,FALSE),IF((AND($U$4=TRUE,$U$5=FALSE,$U$6=TRUE,$U$7=FALSE)),VLOOKUP($E514,'Status Thresholds'!$E:$AR,14,FALSE),IF((AND($U$4=TRUE,$U$5=FALSE,$U$6=TRUE,$U$7=TRUE)),VLOOKUP($E514,'Status Thresholds'!$E:$AR,19,FALSE),IF((AND($U$4=TRUE,$U$5=FALSE,$U$6=FALSE,$U$7=TRUE)),VLOOKUP($E514,'Status Thresholds'!$E:$AR,9,FALSE),
IF((AND($U$4=FALSE,$U$5=TRUE,$U$6=FALSE,$U$7=FALSE)),VLOOKUP($E514,'Status Thresholds'!$E:$AR,24,FALSE),IF((AND($U$4=FALSE,$U$5=TRUE,$U$6=TRUE,$U$7=FALSE)),VLOOKUP($E514,'Status Thresholds'!$E:$AR,34,FALSE),IF((AND($U$4=FALSE,$U$5=TRUE,$U$6=TRUE,$U$7=TRUE)),VLOOKUP($E514,'Status Thresholds'!$E:$AR,39,FALSE),IF((AND($U$4=FALSE,$U$5=TRUE,$U$6=FALSE,$U$7=TRUE)),VLOOKUP($E514,'Status Thresholds'!$E:$AR,29,FALSE)))))))))
))/
IF(OR($X$5=TRUE,$AC$3=TRUE
),($F$3/2), IF(OR($X$2,$X$3,$X$4,$X$6,$X$7,$X$8,$Z$2,$Z$3,$Z$4,$Z$5,$Z$6,$Z$7,$Z$8)=TRUE,$F$3)),0),"-")</f>
        <v>-</v>
      </c>
      <c r="I514" s="36" t="str">
        <f>IFERROR(
ROUNDUP(
IF(AND($U$5=FALSE,$U$4=FALSE),"-",IF(AND($U$5=TRUE,$U$4=TRUE),"-",
IF((AND($U$4=TRUE,$U$5=FALSE,$U$6=FALSE,$U$7=FALSE)),VLOOKUP($E514,'Status Thresholds'!$E:$AR,5,FALSE),IF((AND($U$4=TRUE,$U$5=FALSE,$U$6=TRUE,$U$7=FALSE)),VLOOKUP($E514,'Status Thresholds'!$E:$AR,15,FALSE),IF((AND($U$4=TRUE,$U$5=FALSE,$U$6=TRUE,$U$7=TRUE)),VLOOKUP($E514,'Status Thresholds'!$E:$AR,20,FALSE),IF((AND($U$4=TRUE,$U$5=FALSE,$U$6=FALSE,$U$7=TRUE)),VLOOKUP($E514,'Status Thresholds'!$E:$AR,10,FALSE),
IF((AND($U$4=FALSE,$U$5=TRUE,$U$6=FALSE,$U$7=FALSE)),VLOOKUP($E514,'Status Thresholds'!$E:$AR,25,FALSE),IF((AND($U$4=FALSE,$U$5=TRUE,$U$6=TRUE,$U$7=FALSE)),VLOOKUP($E514,'Status Thresholds'!$E:$AR,35,FALSE),IF((AND($U$4=FALSE,$U$5=TRUE,$U$6=TRUE,$U$7=TRUE)),VLOOKUP($E514,'Status Thresholds'!$E:$AR,40,FALSE),IF((AND($U$4=FALSE,$U$5=TRUE,$U$6=FALSE,$U$7=TRUE)),VLOOKUP($E514,'Status Thresholds'!$E:$AR,30,FALSE)))))))))
))/
IF(OR($X$5=TRUE,$AC$3=TRUE
),($F$3/2), IF(OR($X$2,$X$3,$X$4,$X$6,$X$7,$X$8,$Z$2,$Z$3,$Z$4,$Z$5,$Z$6,$Z$7,$Z$8)=TRUE,$F$3)),0),"-")</f>
        <v>-</v>
      </c>
      <c r="J514" s="36">
        <f>IFERROR(IF(AND($U$5=FALSE,$U$4=FALSE),"-",VLOOKUP($E514,'Status Thresholds'!$E:$AU,41,FALSE)),"-")</f>
        <v>10</v>
      </c>
      <c r="K514" s="36" t="str">
        <f>IFERROR(IF(AND($U$5=FALSE,$U$4=FALSE),"-",VLOOKUP($E514,'Status Thresholds'!$E:$AU,42,FALSE)),"-")</f>
        <v>-</v>
      </c>
      <c r="L514" s="36" t="str">
        <f>IFERROR(IF(AND($U$5=FALSE,$U$4=FALSE),"-",VLOOKUP($E514,'Status Thresholds'!$E:$AU,43,FALSE)),"-")</f>
        <v>-</v>
      </c>
    </row>
    <row r="515" spans="1:12" x14ac:dyDescent="0.25">
      <c r="A515" s="35"/>
      <c r="B515" s="64" t="str">
        <f>VLOOKUP(C515,'Status Thresholds'!B:C,2,FALSE)</f>
        <v>MHGen</v>
      </c>
      <c r="C515" s="64" t="str">
        <f>IF('Status Thresholds'!B510=0, "", 'Status Thresholds'!B510)</f>
        <v>Najarala</v>
      </c>
      <c r="D515" s="31" t="s">
        <v>32</v>
      </c>
      <c r="E515" s="36" t="str">
        <f t="shared" si="7"/>
        <v>NajaralaSleep</v>
      </c>
      <c r="F515" s="36" t="str">
        <f>IFERROR(
ROUNDUP(
IF(AND($U$5=FALSE,$U$4=FALSE),"-",IF(AND($U$5=TRUE,$U$4=TRUE),"-",
IF((AND($U$4=TRUE,$U$5=FALSE,$U$6=FALSE,$U$7=FALSE)),VLOOKUP($E515,'Status Thresholds'!$E:$AR,2,FALSE),IF((AND($U$4=TRUE,$U$5=FALSE,$U$6=TRUE,$U$7=FALSE)),VLOOKUP($E515,'Status Thresholds'!$E:$AR,12,FALSE),IF((AND($U$4=TRUE,$U$5=FALSE,$U$6=TRUE,$U$7=TRUE)),VLOOKUP($E515,'Status Thresholds'!$E:$AR,17,FALSE),IF((AND($U$4=TRUE,$U$5=FALSE,$U$6=FALSE,$U$7=TRUE)),VLOOKUP($E515,'Status Thresholds'!$E:$AR,7,FALSE),
IF((AND($U$4=FALSE,$U$5=TRUE,$U$6=FALSE,$U$7=FALSE)),VLOOKUP($E515,'Status Thresholds'!$E:$AR,22,FALSE),IF((AND($U$4=FALSE,$U$5=TRUE,$U$6=TRUE,$U$7=FALSE)),VLOOKUP($E515,'Status Thresholds'!$E:$AR,32,FALSE),IF((AND($U$4=FALSE,$U$5=TRUE,$U$6=TRUE,$U$7=TRUE)),VLOOKUP($E515,'Status Thresholds'!$E:$AR,37,FALSE),IF((AND($U$4=FALSE,$U$5=TRUE,$U$6=FALSE,$U$7=TRUE)),VLOOKUP($E515,'Status Thresholds'!$E:$AR,27,FALSE)))))))))
))/
IF(OR($X$5=TRUE,$AC$3=TRUE
),($F$4/2), IF(OR($X$2,$X$3,$X$4,$X$6,$X$7,$X$8,$Z$2,$Z$3,$Z$4,$Z$5,$Z$6,$Z$7,$Z$8)=TRUE,$F$4)),0),"-")</f>
        <v>-</v>
      </c>
      <c r="G515" s="36" t="str">
        <f>IFERROR(
ROUNDUP(
IF(AND($U$5=FALSE,$U$4=FALSE),"-",IF(AND($U$5=TRUE,$U$4=TRUE),"-",
IF((AND($U$4=TRUE,$U$5=FALSE,$U$6=FALSE,$U$7=FALSE)),VLOOKUP($E515,'Status Thresholds'!$E:$AR,3,FALSE),IF((AND($U$4=TRUE,$U$5=FALSE,$U$6=TRUE,$U$7=FALSE)),VLOOKUP($E515,'Status Thresholds'!$E:$AR,13,FALSE),IF((AND($U$4=TRUE,$U$5=FALSE,$U$6=TRUE,$U$7=TRUE)),VLOOKUP($E515,'Status Thresholds'!$E:$AR,18,FALSE),IF((AND($U$4=TRUE,$U$5=FALSE,$U$6=FALSE,$U$7=TRUE)),VLOOKUP($E515,'Status Thresholds'!$E:$AR,8,FALSE),
IF((AND($U$4=FALSE,$U$5=TRUE,$U$6=FALSE,$U$7=FALSE)),VLOOKUP($E515,'Status Thresholds'!$E:$AR,23,FALSE),IF((AND($U$4=FALSE,$U$5=TRUE,$U$6=TRUE,$U$7=FALSE)),VLOOKUP($E515,'Status Thresholds'!$E:$AR,33,FALSE),IF((AND($U$4=FALSE,$U$5=TRUE,$U$6=TRUE,$U$7=TRUE)),VLOOKUP($E515,'Status Thresholds'!$E:$AR,38,FALSE),IF((AND($U$4=FALSE,$U$5=TRUE,$U$6=FALSE,$U$7=TRUE)),VLOOKUP($E515,'Status Thresholds'!$E:$AR,28,FALSE)))))))))
))/
IF(OR($X$5=TRUE,$AC$3=TRUE
),($F$4/2), IF(OR($X$2,$X$3,$X$4,$X$6,$X$7,$X$8,$Z$2,$Z$3,$Z$4,$Z$5,$Z$6,$Z$7,$Z$8)=TRUE,$F$4)),0),"-")</f>
        <v>-</v>
      </c>
      <c r="H515" s="36" t="str">
        <f>IFERROR(
ROUNDUP(
IF(AND($U$5=FALSE,$U$4=FALSE),"-",IF(AND($U$5=TRUE,$U$4=TRUE),"-",
IF((AND($U$4=TRUE,$U$5=FALSE,$U$6=FALSE,$U$7=FALSE)),VLOOKUP($E515,'Status Thresholds'!$E:$AR,4,FALSE),IF((AND($U$4=TRUE,$U$5=FALSE,$U$6=TRUE,$U$7=FALSE)),VLOOKUP($E515,'Status Thresholds'!$E:$AR,14,FALSE),IF((AND($U$4=TRUE,$U$5=FALSE,$U$6=TRUE,$U$7=TRUE)),VLOOKUP($E515,'Status Thresholds'!$E:$AR,19,FALSE),IF((AND($U$4=TRUE,$U$5=FALSE,$U$6=FALSE,$U$7=TRUE)),VLOOKUP($E515,'Status Thresholds'!$E:$AR,9,FALSE),
IF((AND($U$4=FALSE,$U$5=TRUE,$U$6=FALSE,$U$7=FALSE)),VLOOKUP($E515,'Status Thresholds'!$E:$AR,24,FALSE),IF((AND($U$4=FALSE,$U$5=TRUE,$U$6=TRUE,$U$7=FALSE)),VLOOKUP($E515,'Status Thresholds'!$E:$AR,34,FALSE),IF((AND($U$4=FALSE,$U$5=TRUE,$U$6=TRUE,$U$7=TRUE)),VLOOKUP($E515,'Status Thresholds'!$E:$AR,39,FALSE),IF((AND($U$4=FALSE,$U$5=TRUE,$U$6=FALSE,$U$7=TRUE)),VLOOKUP($E515,'Status Thresholds'!$E:$AR,29,FALSE)))))))))
))/
IF(OR($X$5=TRUE,$AC$3=TRUE
),($F$4/2), IF(OR($X$2,$X$3,$X$4,$X$6,$X$7,$X$8,$Z$2,$Z$3,$Z$4,$Z$5,$Z$6,$Z$7,$Z$8)=TRUE,$F$4)),0),"-")</f>
        <v>-</v>
      </c>
      <c r="I515" s="36" t="str">
        <f>IFERROR(
ROUNDUP(
IF(AND($U$5=FALSE,$U$4=FALSE),"-",IF(AND($U$5=TRUE,$U$4=TRUE),"-",
IF((AND($U$4=TRUE,$U$5=FALSE,$U$6=FALSE,$U$7=FALSE)),VLOOKUP($E515,'Status Thresholds'!$E:$AR,5,FALSE),IF((AND($U$4=TRUE,$U$5=FALSE,$U$6=TRUE,$U$7=FALSE)),VLOOKUP($E515,'Status Thresholds'!$E:$AR,15,FALSE),IF((AND($U$4=TRUE,$U$5=FALSE,$U$6=TRUE,$U$7=TRUE)),VLOOKUP($E515,'Status Thresholds'!$E:$AR,20,FALSE),IF((AND($U$4=TRUE,$U$5=FALSE,$U$6=FALSE,$U$7=TRUE)),VLOOKUP($E515,'Status Thresholds'!$E:$AR,10,FALSE),
IF((AND($U$4=FALSE,$U$5=TRUE,$U$6=FALSE,$U$7=FALSE)),VLOOKUP($E515,'Status Thresholds'!$E:$AR,25,FALSE),IF((AND($U$4=FALSE,$U$5=TRUE,$U$6=TRUE,$U$7=FALSE)),VLOOKUP($E515,'Status Thresholds'!$E:$AR,35,FALSE),IF((AND($U$4=FALSE,$U$5=TRUE,$U$6=TRUE,$U$7=TRUE)),VLOOKUP($E515,'Status Thresholds'!$E:$AR,40,FALSE),IF((AND($U$4=FALSE,$U$5=TRUE,$U$6=FALSE,$U$7=TRUE)),VLOOKUP($E515,'Status Thresholds'!$E:$AR,30,FALSE)))))))))
))/
IF(OR($X$5=TRUE,$AC$3=TRUE
),($F$4/2), IF(OR($X$2,$X$3,$X$4,$X$6,$X$7,$X$8,$Z$2,$Z$3,$Z$4,$Z$5,$Z$6,$Z$7,$Z$8)=TRUE,$F$4)),0),"-")</f>
        <v>-</v>
      </c>
      <c r="J515" s="46">
        <f>IFERROR(IF(AND($U$5=FALSE,$U$4=FALSE),"-",VLOOKUP($E515,'Status Thresholds'!$E:$AU,41,FALSE)),"-")</f>
        <v>40</v>
      </c>
      <c r="K515" s="46" t="str">
        <f>IFERROR(IF(AND($U$5=FALSE,$U$4=FALSE),"-",VLOOKUP($E515,'Status Thresholds'!$E:$AU,42,FALSE)),"-")</f>
        <v>-</v>
      </c>
      <c r="L515" s="46" t="str">
        <f>IFERROR(IF(AND($U$5=FALSE,$U$4=FALSE),"-",VLOOKUP($E515,'Status Thresholds'!$E:$AU,43,FALSE)),"-")</f>
        <v>-</v>
      </c>
    </row>
    <row r="516" spans="1:12" x14ac:dyDescent="0.25">
      <c r="A516" s="35"/>
      <c r="B516" s="64" t="str">
        <f>VLOOKUP(C516,'Status Thresholds'!B:C,2,FALSE)</f>
        <v>MHGen</v>
      </c>
      <c r="C516" s="64" t="str">
        <f>IF('Status Thresholds'!B511=0, "", 'Status Thresholds'!B511)</f>
        <v>Najarala</v>
      </c>
      <c r="D516" s="32" t="s">
        <v>33</v>
      </c>
      <c r="E516" s="36" t="str">
        <f t="shared" si="7"/>
        <v>NajaralaPoison</v>
      </c>
      <c r="F516" s="36" t="str">
        <f>IFERROR(
ROUNDUP(
IF(AND($U$5=FALSE,$U$4=FALSE),"-",IF(AND($U$5=TRUE,$U$4=TRUE),"-",
IF((AND($U$4=TRUE,$U$5=FALSE,$U$6=FALSE,$U$7=FALSE)),VLOOKUP($E516,'Status Thresholds'!$E:$AR,2,FALSE),IF((AND($U$4=TRUE,$U$5=FALSE,$U$6=TRUE,$U$7=FALSE)),VLOOKUP($E516,'Status Thresholds'!$E:$AR,12,FALSE),IF((AND($U$4=TRUE,$U$5=FALSE,$U$6=TRUE,$U$7=TRUE)),VLOOKUP($E516,'Status Thresholds'!$E:$AR,17,FALSE),IF((AND($U$4=TRUE,$U$5=FALSE,$U$6=FALSE,$U$7=TRUE)),VLOOKUP($E516,'Status Thresholds'!$E:$AR,7,FALSE),
IF((AND($U$4=FALSE,$U$5=TRUE,$U$6=FALSE,$U$7=FALSE)),VLOOKUP($E516,'Status Thresholds'!$E:$AR,22,FALSE),IF((AND($U$4=FALSE,$U$5=TRUE,$U$6=TRUE,$U$7=FALSE)),VLOOKUP($E516,'Status Thresholds'!$E:$AR,32,FALSE),IF((AND($U$4=FALSE,$U$5=TRUE,$U$6=TRUE,$U$7=TRUE)),VLOOKUP($E516,'Status Thresholds'!$E:$AR,37,FALSE),IF((AND($U$4=FALSE,$U$5=TRUE,$U$6=FALSE,$U$7=TRUE)),VLOOKUP($E516,'Status Thresholds'!$E:$AR,27,FALSE)))))))))
))/
IF(OR($X$5=TRUE,$AC$3=TRUE
),($F$5/2), IF(OR($X$2,$X$3,$X$4,$X$6,$X$7,$X$8,$Z$2,$Z$3,$Z$4,$Z$5,$Z$6,$Z$7,$Z$8)=TRUE,$F$5)),0),"-")</f>
        <v>-</v>
      </c>
      <c r="G516" s="36" t="str">
        <f>IFERROR(
ROUNDUP(
IF(AND($U$5=FALSE,$U$4=FALSE),"-",IF(AND($U$5=TRUE,$U$4=TRUE),"-",
IF((AND($U$4=TRUE,$U$5=FALSE,$U$6=FALSE,$U$7=FALSE)),VLOOKUP($E516,'Status Thresholds'!$E:$AR,3,FALSE),IF((AND($U$4=TRUE,$U$5=FALSE,$U$6=TRUE,$U$7=FALSE)),VLOOKUP($E516,'Status Thresholds'!$E:$AR,13,FALSE),IF((AND($U$4=TRUE,$U$5=FALSE,$U$6=TRUE,$U$7=TRUE)),VLOOKUP($E516,'Status Thresholds'!$E:$AR,18,FALSE),IF((AND($U$4=TRUE,$U$5=FALSE,$U$6=FALSE,$U$7=TRUE)),VLOOKUP($E516,'Status Thresholds'!$E:$AR,8,FALSE),
IF((AND($U$4=FALSE,$U$5=TRUE,$U$6=FALSE,$U$7=FALSE)),VLOOKUP($E516,'Status Thresholds'!$E:$AR,23,FALSE),IF((AND($U$4=FALSE,$U$5=TRUE,$U$6=TRUE,$U$7=FALSE)),VLOOKUP($E516,'Status Thresholds'!$E:$AR,33,FALSE),IF((AND($U$4=FALSE,$U$5=TRUE,$U$6=TRUE,$U$7=TRUE)),VLOOKUP($E516,'Status Thresholds'!$E:$AR,38,FALSE),IF((AND($U$4=FALSE,$U$5=TRUE,$U$6=FALSE,$U$7=TRUE)),VLOOKUP($E516,'Status Thresholds'!$E:$AR,28,FALSE)))))))))
))/
IF(OR($X$5=TRUE,$AC$3=TRUE
),($F$5/2), IF(OR($X$2,$X$3,$X$4,$X$6,$X$7,$X$8,$Z$2,$Z$3,$Z$4,$Z$5,$Z$6,$Z$7,$Z$8)=TRUE,$F$5)),0),"-")</f>
        <v>-</v>
      </c>
      <c r="H516" s="36" t="str">
        <f>IFERROR(
ROUNDUP(
IF(AND($U$5=FALSE,$U$4=FALSE),"-",IF(AND($U$5=TRUE,$U$4=TRUE),"-",
IF((AND($U$4=TRUE,$U$5=FALSE,$U$6=FALSE,$U$7=FALSE)),VLOOKUP($E516,'Status Thresholds'!$E:$AR,4,FALSE),IF((AND($U$4=TRUE,$U$5=FALSE,$U$6=TRUE,$U$7=FALSE)),VLOOKUP($E516,'Status Thresholds'!$E:$AR,14,FALSE),IF((AND($U$4=TRUE,$U$5=FALSE,$U$6=TRUE,$U$7=TRUE)),VLOOKUP($E516,'Status Thresholds'!$E:$AR,19,FALSE),IF((AND($U$4=TRUE,$U$5=FALSE,$U$6=FALSE,$U$7=TRUE)),VLOOKUP($E516,'Status Thresholds'!$E:$AR,9,FALSE),
IF((AND($U$4=FALSE,$U$5=TRUE,$U$6=FALSE,$U$7=FALSE)),VLOOKUP($E516,'Status Thresholds'!$E:$AR,24,FALSE),IF((AND($U$4=FALSE,$U$5=TRUE,$U$6=TRUE,$U$7=FALSE)),VLOOKUP($E516,'Status Thresholds'!$E:$AR,34,FALSE),IF((AND($U$4=FALSE,$U$5=TRUE,$U$6=TRUE,$U$7=TRUE)),VLOOKUP($E516,'Status Thresholds'!$E:$AR,39,FALSE),IF((AND($U$4=FALSE,$U$5=TRUE,$U$6=FALSE,$U$7=TRUE)),VLOOKUP($E516,'Status Thresholds'!$E:$AR,29,FALSE)))))))))
))/
IF(OR($X$5=TRUE,$AC$3=TRUE
),($F$5/2), IF(OR($X$2,$X$3,$X$4,$X$6,$X$7,$X$8,$Z$2,$Z$3,$Z$4,$Z$5,$Z$6,$Z$7,$Z$8)=TRUE,$F$5)),0),"-")</f>
        <v>-</v>
      </c>
      <c r="I516" s="36" t="str">
        <f>IFERROR(
ROUNDUP(
IF(AND($U$5=FALSE,$U$4=FALSE),"-",IF(AND($U$5=TRUE,$U$4=TRUE),"-",
IF((AND($U$4=TRUE,$U$5=FALSE,$U$6=FALSE,$U$7=FALSE)),VLOOKUP($E516,'Status Thresholds'!$E:$AR,5,FALSE),IF((AND($U$4=TRUE,$U$5=FALSE,$U$6=TRUE,$U$7=FALSE)),VLOOKUP($E516,'Status Thresholds'!$E:$AR,15,FALSE),IF((AND($U$4=TRUE,$U$5=FALSE,$U$6=TRUE,$U$7=TRUE)),VLOOKUP($E516,'Status Thresholds'!$E:$AR,20,FALSE),IF((AND($U$4=TRUE,$U$5=FALSE,$U$6=FALSE,$U$7=TRUE)),VLOOKUP($E516,'Status Thresholds'!$E:$AR,10,FALSE),
IF((AND($U$4=FALSE,$U$5=TRUE,$U$6=FALSE,$U$7=FALSE)),VLOOKUP($E516,'Status Thresholds'!$E:$AR,25,FALSE),IF((AND($U$4=FALSE,$U$5=TRUE,$U$6=TRUE,$U$7=FALSE)),VLOOKUP($E516,'Status Thresholds'!$E:$AR,35,FALSE),IF((AND($U$4=FALSE,$U$5=TRUE,$U$6=TRUE,$U$7=TRUE)),VLOOKUP($E516,'Status Thresholds'!$E:$AR,40,FALSE),IF((AND($U$4=FALSE,$U$5=TRUE,$U$6=FALSE,$U$7=TRUE)),VLOOKUP($E516,'Status Thresholds'!$E:$AR,30,FALSE)))))))))
))/
IF(OR($X$5=TRUE,$AC$3=TRUE
),($F$5/2), IF(OR($X$2,$X$3,$X$4,$X$6,$X$7,$X$8,$Z$2,$Z$3,$Z$4,$Z$5,$Z$6,$Z$7,$Z$8)=TRUE,$F$5)),0),"-")</f>
        <v>-</v>
      </c>
      <c r="J516" s="46">
        <f>IFERROR(IF(AND($U$5=FALSE,$U$4=FALSE),"-",VLOOKUP($E516,'Status Thresholds'!$E:$AU,41,FALSE)),"-")</f>
        <v>60</v>
      </c>
      <c r="K516" s="46" t="str">
        <f>IFERROR(IF(AND($U$5=FALSE,$U$4=FALSE),"-",VLOOKUP($E516,'Status Thresholds'!$E:$AU,42,FALSE)),"-")</f>
        <v>-</v>
      </c>
      <c r="L516" s="46" t="str">
        <f>IFERROR(IF(AND($U$5=FALSE,$U$4=FALSE),"-",VLOOKUP($E516,'Status Thresholds'!$E:$AU,43,FALSE)),"-")</f>
        <v>-</v>
      </c>
    </row>
    <row r="517" spans="1:12" x14ac:dyDescent="0.25">
      <c r="A517" s="35"/>
      <c r="B517" s="64" t="str">
        <f>VLOOKUP(C517,'Status Thresholds'!B:C,2,FALSE)</f>
        <v>MHGen</v>
      </c>
      <c r="C517" s="64" t="str">
        <f>IF('Status Thresholds'!B512=0, "", 'Status Thresholds'!B512)</f>
        <v>Najarala</v>
      </c>
      <c r="D517" s="10" t="s">
        <v>22</v>
      </c>
      <c r="E517" s="36" t="str">
        <f t="shared" si="7"/>
        <v>NajaralaExhaust</v>
      </c>
      <c r="F517" s="36" t="str">
        <f>IFERROR(
ROUNDUP(
IF(AND($U$5=FALSE,$U$4=FALSE),"-",IF(AND($U$5=TRUE,$U$4=TRUE),"-",
IF((AND($U$4=TRUE,$U$5=FALSE,$U$6=FALSE,$U$7=FALSE)),VLOOKUP($E517,'Status Thresholds'!$E:$AR,2,FALSE),IF((AND($U$4=TRUE,$U$5=FALSE,$U$6=TRUE,$U$7=FALSE)),VLOOKUP($E517,'Status Thresholds'!$E:$AR,12,FALSE),IF((AND($U$4=TRUE,$U$5=FALSE,$U$6=TRUE,$U$7=TRUE)),VLOOKUP($E517,'Status Thresholds'!$E:$AR,17,FALSE),IF((AND($U$4=TRUE,$U$5=FALSE,$U$6=FALSE,$U$7=TRUE)),VLOOKUP($E517,'Status Thresholds'!$E:$AR,7,FALSE),
IF((AND($U$4=FALSE,$U$5=TRUE,$U$6=FALSE,$U$7=FALSE)),VLOOKUP($E517,'Status Thresholds'!$E:$AR,22,FALSE),IF((AND($U$4=FALSE,$U$5=TRUE,$U$6=TRUE,$U$7=FALSE)),VLOOKUP($E517,'Status Thresholds'!$E:$AR,32,FALSE),IF((AND($U$4=FALSE,$U$5=TRUE,$U$6=TRUE,$U$7=TRUE)),VLOOKUP($E517,'Status Thresholds'!$E:$AR,37,FALSE),IF((AND($U$4=FALSE,$U$5=TRUE,$U$6=FALSE,$U$7=TRUE)),VLOOKUP($E517,'Status Thresholds'!$E:$AR,27,FALSE)))))))))
))/
IF(OR($X$5=TRUE,$AC$3=TRUE
),($F$6/2), IF(OR($X$2,$X$3,$X$4,$X$6,$X$7,$X$8,$Z$2,$Z$3,$Z$4,$Z$5,$Z$6,$Z$7,$Z$8)=TRUE,$F$6)),0),"-")</f>
        <v>-</v>
      </c>
      <c r="G517" s="36" t="str">
        <f>IFERROR(
ROUNDUP(
IF(AND($U$5=FALSE,$U$4=FALSE),"-",IF(AND($U$5=TRUE,$U$4=TRUE),"-",
IF((AND($U$4=TRUE,$U$5=FALSE,$U$6=FALSE,$U$7=FALSE)),VLOOKUP($E517,'Status Thresholds'!$E:$AR,3,FALSE),IF((AND($U$4=TRUE,$U$5=FALSE,$U$6=TRUE,$U$7=FALSE)),VLOOKUP($E517,'Status Thresholds'!$E:$AR,13,FALSE),IF((AND($U$4=TRUE,$U$5=FALSE,$U$6=TRUE,$U$7=TRUE)),VLOOKUP($E517,'Status Thresholds'!$E:$AR,18,FALSE),IF((AND($U$4=TRUE,$U$5=FALSE,$U$6=FALSE,$U$7=TRUE)),VLOOKUP($E517,'Status Thresholds'!$E:$AR,8,FALSE),
IF((AND($U$4=FALSE,$U$5=TRUE,$U$6=FALSE,$U$7=FALSE)),VLOOKUP($E517,'Status Thresholds'!$E:$AR,23,FALSE),IF((AND($U$4=FALSE,$U$5=TRUE,$U$6=TRUE,$U$7=FALSE)),VLOOKUP($E517,'Status Thresholds'!$E:$AR,33,FALSE),IF((AND($U$4=FALSE,$U$5=TRUE,$U$6=TRUE,$U$7=TRUE)),VLOOKUP($E517,'Status Thresholds'!$E:$AR,38,FALSE),IF((AND($U$4=FALSE,$U$5=TRUE,$U$6=FALSE,$U$7=TRUE)),VLOOKUP($E517,'Status Thresholds'!$E:$AR,28,FALSE)))))))))
))/
IF(OR($X$5=TRUE,$AC$3=TRUE
),($F$6/2), IF(OR($X$2,$X$3,$X$4,$X$6,$X$7,$X$8,$Z$2,$Z$3,$Z$4,$Z$5,$Z$6,$Z$7,$Z$8)=TRUE,$F$6)),0),"-")</f>
        <v>-</v>
      </c>
      <c r="H517" s="36" t="str">
        <f>IFERROR(
ROUNDUP(
IF(AND($U$5=FALSE,$U$4=FALSE),"-",IF(AND($U$5=TRUE,$U$4=TRUE),"-",
IF((AND($U$4=TRUE,$U$5=FALSE,$U$6=FALSE,$U$7=FALSE)),VLOOKUP($E517,'Status Thresholds'!$E:$AR,4,FALSE),IF((AND($U$4=TRUE,$U$5=FALSE,$U$6=TRUE,$U$7=FALSE)),VLOOKUP($E517,'Status Thresholds'!$E:$AR,14,FALSE),IF((AND($U$4=TRUE,$U$5=FALSE,$U$6=TRUE,$U$7=TRUE)),VLOOKUP($E517,'Status Thresholds'!$E:$AR,19,FALSE),IF((AND($U$4=TRUE,$U$5=FALSE,$U$6=FALSE,$U$7=TRUE)),VLOOKUP($E517,'Status Thresholds'!$E:$AR,9,FALSE),
IF((AND($U$4=FALSE,$U$5=TRUE,$U$6=FALSE,$U$7=FALSE)),VLOOKUP($E517,'Status Thresholds'!$E:$AR,24,FALSE),IF((AND($U$4=FALSE,$U$5=TRUE,$U$6=TRUE,$U$7=FALSE)),VLOOKUP($E517,'Status Thresholds'!$E:$AR,34,FALSE),IF((AND($U$4=FALSE,$U$5=TRUE,$U$6=TRUE,$U$7=TRUE)),VLOOKUP($E517,'Status Thresholds'!$E:$AR,39,FALSE),IF((AND($U$4=FALSE,$U$5=TRUE,$U$6=FALSE,$U$7=TRUE)),VLOOKUP($E517,'Status Thresholds'!$E:$AR,29,FALSE)))))))))
))/
IF(OR($X$5=TRUE,$AC$3=TRUE
),($F$6/2), IF(OR($X$2,$X$3,$X$4,$X$6,$X$7,$X$8,$Z$2,$Z$3,$Z$4,$Z$5,$Z$6,$Z$7,$Z$8)=TRUE,$F$6)),0),"-")</f>
        <v>-</v>
      </c>
      <c r="I517" s="36" t="str">
        <f>IFERROR(
ROUNDUP(
IF(AND($U$5=FALSE,$U$4=FALSE),"-",IF(AND($U$5=TRUE,$U$4=TRUE),"-",
IF((AND($U$4=TRUE,$U$5=FALSE,$U$6=FALSE,$U$7=FALSE)),VLOOKUP($E517,'Status Thresholds'!$E:$AR,5,FALSE),IF((AND($U$4=TRUE,$U$5=FALSE,$U$6=TRUE,$U$7=FALSE)),VLOOKUP($E517,'Status Thresholds'!$E:$AR,15,FALSE),IF((AND($U$4=TRUE,$U$5=FALSE,$U$6=TRUE,$U$7=TRUE)),VLOOKUP($E517,'Status Thresholds'!$E:$AR,20,FALSE),IF((AND($U$4=TRUE,$U$5=FALSE,$U$6=FALSE,$U$7=TRUE)),VLOOKUP($E517,'Status Thresholds'!$E:$AR,10,FALSE),
IF((AND($U$4=FALSE,$U$5=TRUE,$U$6=FALSE,$U$7=FALSE)),VLOOKUP($E517,'Status Thresholds'!$E:$AR,25,FALSE),IF((AND($U$4=FALSE,$U$5=TRUE,$U$6=TRUE,$U$7=FALSE)),VLOOKUP($E517,'Status Thresholds'!$E:$AR,35,FALSE),IF((AND($U$4=FALSE,$U$5=TRUE,$U$6=TRUE,$U$7=TRUE)),VLOOKUP($E517,'Status Thresholds'!$E:$AR,40,FALSE),IF((AND($U$4=FALSE,$U$5=TRUE,$U$6=FALSE,$U$7=TRUE)),VLOOKUP($E517,'Status Thresholds'!$E:$AR,30,FALSE)))))))))
))/
IF(OR($X$5=TRUE,$AC$3=TRUE
),($F$6/2), IF(OR($X$2,$X$3,$X$4,$X$6,$X$7,$X$8,$Z$2,$Z$3,$Z$4,$Z$5,$Z$6,$Z$7,$Z$8)=TRUE,$F$6)),0),"-")</f>
        <v>-</v>
      </c>
      <c r="J517" s="46">
        <f>IFERROR(IF(AND($U$5=FALSE,$U$4=FALSE),"-",VLOOKUP($E517,'Status Thresholds'!$E:$AU,41,FALSE)),"-")</f>
        <v>0</v>
      </c>
      <c r="K517" s="46" t="str">
        <f>IFERROR(IF(AND($U$5=FALSE,$U$4=FALSE),"-",VLOOKUP($E517,'Status Thresholds'!$E:$AU,42,FALSE)),"-")</f>
        <v>-</v>
      </c>
      <c r="L517" s="46" t="str">
        <f>IFERROR(IF(AND($U$5=FALSE,$U$4=FALSE),"-",VLOOKUP($E517,'Status Thresholds'!$E:$AU,43,FALSE)),"-")</f>
        <v>-</v>
      </c>
    </row>
    <row r="518" spans="1:12" x14ac:dyDescent="0.25">
      <c r="A518" s="35"/>
      <c r="B518" s="64" t="str">
        <f>VLOOKUP(C518,'Status Thresholds'!B:C,2,FALSE)</f>
        <v>MHGen</v>
      </c>
      <c r="C518" s="64" t="str">
        <f>IF('Status Thresholds'!B513=0, "", 'Status Thresholds'!B513)</f>
        <v>Najarala</v>
      </c>
      <c r="D518" s="30" t="s">
        <v>35</v>
      </c>
      <c r="E518" s="36" t="str">
        <f t="shared" si="7"/>
        <v>NajaralaBlast</v>
      </c>
      <c r="F518" s="36" t="str">
        <f>IFERROR(
ROUNDUP(
IF(AND($U$5=FALSE,$U$4=FALSE),"-",IF(AND($U$5=TRUE,$U$4=TRUE),"-",
IF((AND($U$4=TRUE,$U$5=FALSE,$U$6=FALSE,$U$7=FALSE)),VLOOKUP($E518,'Status Thresholds'!$E:$AR,2,FALSE),IF((AND($U$4=TRUE,$U$5=FALSE,$U$6=TRUE,$U$7=FALSE)),VLOOKUP($E518,'Status Thresholds'!$E:$AR,12,FALSE),IF((AND($U$4=TRUE,$U$5=FALSE,$U$6=TRUE,$U$7=TRUE)),VLOOKUP($E518,'Status Thresholds'!$E:$AR,17,FALSE),IF((AND($U$4=TRUE,$U$5=FALSE,$U$6=FALSE,$U$7=TRUE)),VLOOKUP($E518,'Status Thresholds'!$E:$AR,7,FALSE),
IF((AND($U$4=FALSE,$U$5=TRUE,$U$6=FALSE,$U$7=FALSE)),VLOOKUP($E518,'Status Thresholds'!$E:$AR,22,FALSE),IF((AND($U$4=FALSE,$U$5=TRUE,$U$6=TRUE,$U$7=FALSE)),VLOOKUP($E518,'Status Thresholds'!$E:$AR,32,FALSE),IF((AND($U$4=FALSE,$U$5=TRUE,$U$6=TRUE,$U$7=TRUE)),VLOOKUP($E518,'Status Thresholds'!$E:$AR,37,FALSE),IF((AND($U$4=FALSE,$U$5=TRUE,$U$6=FALSE,$U$7=TRUE)),VLOOKUP($E518,'Status Thresholds'!$E:$AR,27,FALSE)))))))))
))/
IF(OR($X$5=TRUE,$AC$3=TRUE
),($F$7/2), IF(OR($X$2,$X$3,$X$4,$X$6,$X$7,$X$8,$Z$2,$Z$3,$Z$4,$Z$5,$Z$6,$Z$7,$Z$8)=TRUE,$F$7)),0),"-")</f>
        <v>-</v>
      </c>
      <c r="G518" s="36" t="str">
        <f>IFERROR(
ROUNDUP(
IF(AND($U$5=FALSE,$U$4=FALSE),"-",IF(AND($U$5=TRUE,$U$4=TRUE),"-",
IF((AND($U$4=TRUE,$U$5=FALSE,$U$6=FALSE,$U$7=FALSE)),VLOOKUP($E518,'Status Thresholds'!$E:$AR,3,FALSE),IF((AND($U$4=TRUE,$U$5=FALSE,$U$6=TRUE,$U$7=FALSE)),VLOOKUP($E518,'Status Thresholds'!$E:$AR,13,FALSE),IF((AND($U$4=TRUE,$U$5=FALSE,$U$6=TRUE,$U$7=TRUE)),VLOOKUP($E518,'Status Thresholds'!$E:$AR,18,FALSE),IF((AND($U$4=TRUE,$U$5=FALSE,$U$6=FALSE,$U$7=TRUE)),VLOOKUP($E518,'Status Thresholds'!$E:$AR,8,FALSE),
IF((AND($U$4=FALSE,$U$5=TRUE,$U$6=FALSE,$U$7=FALSE)),VLOOKUP($E518,'Status Thresholds'!$E:$AR,23,FALSE),IF((AND($U$4=FALSE,$U$5=TRUE,$U$6=TRUE,$U$7=FALSE)),VLOOKUP($E518,'Status Thresholds'!$E:$AR,33,FALSE),IF((AND($U$4=FALSE,$U$5=TRUE,$U$6=TRUE,$U$7=TRUE)),VLOOKUP($E518,'Status Thresholds'!$E:$AR,38,FALSE),IF((AND($U$4=FALSE,$U$5=TRUE,$U$6=FALSE,$U$7=TRUE)),VLOOKUP($E518,'Status Thresholds'!$E:$AR,28,FALSE)))))))))
))/
IF(OR($X$5=TRUE,$AC$3=TRUE
),($F$7/2), IF(OR($X$2,$X$3,$X$4,$X$6,$X$7,$X$8,$Z$2,$Z$3,$Z$4,$Z$5,$Z$6,$Z$7,$Z$8)=TRUE,$F$7)),0),"-")</f>
        <v>-</v>
      </c>
      <c r="H518" s="36" t="str">
        <f>IFERROR(
ROUNDUP(
IF(AND($U$5=FALSE,$U$4=FALSE),"-",IF(AND($U$5=TRUE,$U$4=TRUE),"-",
IF((AND($U$4=TRUE,$U$5=FALSE,$U$6=FALSE,$U$7=FALSE)),VLOOKUP($E518,'Status Thresholds'!$E:$AR,4,FALSE),IF((AND($U$4=TRUE,$U$5=FALSE,$U$6=TRUE,$U$7=FALSE)),VLOOKUP($E518,'Status Thresholds'!$E:$AR,14,FALSE),IF((AND($U$4=TRUE,$U$5=FALSE,$U$6=TRUE,$U$7=TRUE)),VLOOKUP($E518,'Status Thresholds'!$E:$AR,19,FALSE),IF((AND($U$4=TRUE,$U$5=FALSE,$U$6=FALSE,$U$7=TRUE)),VLOOKUP($E518,'Status Thresholds'!$E:$AR,9,FALSE),
IF((AND($U$4=FALSE,$U$5=TRUE,$U$6=FALSE,$U$7=FALSE)),VLOOKUP($E518,'Status Thresholds'!$E:$AR,24,FALSE),IF((AND($U$4=FALSE,$U$5=TRUE,$U$6=TRUE,$U$7=FALSE)),VLOOKUP($E518,'Status Thresholds'!$E:$AR,34,FALSE),IF((AND($U$4=FALSE,$U$5=TRUE,$U$6=TRUE,$U$7=TRUE)),VLOOKUP($E518,'Status Thresholds'!$E:$AR,39,FALSE),IF((AND($U$4=FALSE,$U$5=TRUE,$U$6=FALSE,$U$7=TRUE)),VLOOKUP($E518,'Status Thresholds'!$E:$AR,29,FALSE)))))))))
))/
IF(OR($X$5=TRUE,$AC$3=TRUE
),($F$7/2), IF(OR($X$2,$X$3,$X$4,$X$6,$X$7,$X$8,$Z$2,$Z$3,$Z$4,$Z$5,$Z$6,$Z$7,$Z$8)=TRUE,$F$7)),0),"-")</f>
        <v>-</v>
      </c>
      <c r="I518" s="36" t="str">
        <f>IFERROR(
ROUNDUP(
IF(AND($U$5=FALSE,$U$4=FALSE),"-",IF(AND($U$5=TRUE,$U$4=TRUE),"-",
IF((AND($U$4=TRUE,$U$5=FALSE,$U$6=FALSE,$U$7=FALSE)),VLOOKUP($E518,'Status Thresholds'!$E:$AR,5,FALSE),IF((AND($U$4=TRUE,$U$5=FALSE,$U$6=TRUE,$U$7=FALSE)),VLOOKUP($E518,'Status Thresholds'!$E:$AR,15,FALSE),IF((AND($U$4=TRUE,$U$5=FALSE,$U$6=TRUE,$U$7=TRUE)),VLOOKUP($E518,'Status Thresholds'!$E:$AR,20,FALSE),IF((AND($U$4=TRUE,$U$5=FALSE,$U$6=FALSE,$U$7=TRUE)),VLOOKUP($E518,'Status Thresholds'!$E:$AR,10,FALSE),
IF((AND($U$4=FALSE,$U$5=TRUE,$U$6=FALSE,$U$7=FALSE)),VLOOKUP($E518,'Status Thresholds'!$E:$AR,25,FALSE),IF((AND($U$4=FALSE,$U$5=TRUE,$U$6=TRUE,$U$7=FALSE)),VLOOKUP($E518,'Status Thresholds'!$E:$AR,35,FALSE),IF((AND($U$4=FALSE,$U$5=TRUE,$U$6=TRUE,$U$7=TRUE)),VLOOKUP($E518,'Status Thresholds'!$E:$AR,40,FALSE),IF((AND($U$4=FALSE,$U$5=TRUE,$U$6=FALSE,$U$7=TRUE)),VLOOKUP($E518,'Status Thresholds'!$E:$AR,30,FALSE)))))))))
))/
IF(OR($X$5=TRUE,$AC$3=TRUE
),($F$7/2), IF(OR($X$2,$X$3,$X$4,$X$6,$X$7,$X$8,$Z$2,$Z$3,$Z$4,$Z$5,$Z$6,$Z$7,$Z$8)=TRUE,$F$7)),0),"-")</f>
        <v>-</v>
      </c>
      <c r="J518" s="46">
        <f>IFERROR(IF(AND($U$5=FALSE,$U$4=FALSE),"-",VLOOKUP($E518,'Status Thresholds'!$E:$AU,41,FALSE)),"-")</f>
        <v>0</v>
      </c>
      <c r="K518" s="46" t="str">
        <f>IFERROR(IF(AND($U$5=FALSE,$U$4=FALSE),"-",VLOOKUP($E518,'Status Thresholds'!$E:$AU,42,FALSE)),"-")</f>
        <v>-</v>
      </c>
      <c r="L518" s="46" t="str">
        <f>IFERROR(IF(AND($U$5=FALSE,$U$4=FALSE),"-",VLOOKUP($E518,'Status Thresholds'!$E:$AU,43,FALSE)),"-")</f>
        <v>-</v>
      </c>
    </row>
    <row r="519" spans="1:12" ht="14.45" customHeight="1" x14ac:dyDescent="0.25">
      <c r="A519" s="35"/>
      <c r="B519" s="64" t="str">
        <f>VLOOKUP(C519,'Status Thresholds'!B:C,2,FALSE)</f>
        <v>MHGen</v>
      </c>
      <c r="C519" s="64" t="str">
        <f>IF('Status Thresholds'!B514=0, "", 'Status Thresholds'!B514)</f>
        <v>Najarala</v>
      </c>
      <c r="D519" s="34" t="s">
        <v>14</v>
      </c>
      <c r="E519" s="36" t="str">
        <f t="shared" si="7"/>
        <v>NajaralaKO</v>
      </c>
      <c r="F519" s="36" t="s">
        <v>214</v>
      </c>
      <c r="G519" s="36" t="s">
        <v>214</v>
      </c>
      <c r="H519" s="36" t="s">
        <v>214</v>
      </c>
      <c r="I519" s="36" t="s">
        <v>214</v>
      </c>
      <c r="J519" s="46">
        <f>IFERROR(IF(AND($U$5=FALSE,$U$4=FALSE),"-",VLOOKUP($E519,'Status Thresholds'!$E:$AU,41,FALSE)),"-")</f>
        <v>10</v>
      </c>
      <c r="K519" s="46" t="str">
        <f>IFERROR(IF(AND($U$5=FALSE,$U$4=FALSE),"-",VLOOKUP($E519,'Status Thresholds'!$E:$AU,42,FALSE)),"-")</f>
        <v>-</v>
      </c>
      <c r="L519" s="46" t="str">
        <f>IFERROR(IF(AND($U$5=FALSE,$U$4=FALSE),"-",VLOOKUP($E519,'Status Thresholds'!$E:$AU,43,FALSE)),"-")</f>
        <v>-</v>
      </c>
    </row>
    <row r="520" spans="1:12" x14ac:dyDescent="0.25">
      <c r="A520" s="35"/>
      <c r="B520" s="64" t="str">
        <f>VLOOKUP(C520,'Status Thresholds'!B:C,2,FALSE)</f>
        <v>MHGen</v>
      </c>
      <c r="C520" s="64" t="str">
        <f>IF('Status Thresholds'!B515=0, "", 'Status Thresholds'!B515)</f>
        <v>Najarala</v>
      </c>
      <c r="D520" s="33" t="s">
        <v>34</v>
      </c>
      <c r="E520" s="36" t="str">
        <f t="shared" si="7"/>
        <v>NajaralaMount</v>
      </c>
      <c r="F520" s="36" t="str">
        <f>IFERROR(
ROUNDUP(
IF(AND($U$5=FALSE,$U$4=FALSE),"-",IF(AND($U$5=TRUE,$U$4=TRUE),"-",
IF((AND($U$4=TRUE,$U$5=FALSE,$U$6=FALSE,$U$7=FALSE)),VLOOKUP($E520,'Status Thresholds'!$E:$AR,2,FALSE),IF((AND($U$4=TRUE,$U$5=FALSE,$U$6=TRUE,$U$7=FALSE)),VLOOKUP($E520,'Status Thresholds'!$E:$AR,12,FALSE),IF((AND($U$4=TRUE,$U$5=FALSE,$U$6=TRUE,$U$7=TRUE)),VLOOKUP($E520,'Status Thresholds'!$E:$AR,17,FALSE),IF((AND($U$4=TRUE,$U$5=FALSE,$U$6=FALSE,$U$7=TRUE)),VLOOKUP($E520,'Status Thresholds'!$E:$AR,7,FALSE),
IF((AND($U$4=FALSE,$U$5=TRUE,$U$6=FALSE,$U$7=FALSE)),VLOOKUP($E520,'Status Thresholds'!$E:$AR,22,FALSE),IF((AND($U$4=FALSE,$U$5=TRUE,$U$6=TRUE,$U$7=FALSE)),VLOOKUP($E520,'Status Thresholds'!$E:$AR,32,FALSE),IF((AND($U$4=FALSE,$U$5=TRUE,$U$6=TRUE,$U$7=TRUE)),VLOOKUP($E520,'Status Thresholds'!$E:$AR,37,FALSE),IF((AND($U$4=FALSE,$U$5=TRUE,$U$6=FALSE,$U$7=TRUE)),VLOOKUP($E520,'Status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520" s="36" t="str">
        <f>IFERROR(
ROUNDUP(
IF(AND($U$5=FALSE,$U$4=FALSE),"-",IF(AND($U$5=TRUE,$U$4=TRUE),"-",
IF((AND($U$4=TRUE,$U$5=FALSE,$U$6=FALSE,$U$7=FALSE)),VLOOKUP($E519,'Status Thresholds'!$E:$AR,3,FALSE),IF((AND($U$4=TRUE,$U$5=FALSE,$U$6=TRUE,$U$7=FALSE)),VLOOKUP($E519,'Status Thresholds'!$E:$AR,13,FALSE),IF((AND($U$4=TRUE,$U$5=FALSE,$U$6=TRUE,$U$7=TRUE)),VLOOKUP($E519,'Status Thresholds'!$E:$AR,18,FALSE),IF((AND($U$4=TRUE,$U$5=FALSE,$U$6=FALSE,$U$7=TRUE)),VLOOKUP($E519,'Status Thresholds'!$E:$AR,8,FALSE),
IF((AND($U$4=FALSE,$U$5=TRUE,$U$6=FALSE,$U$7=FALSE)),VLOOKUP($E519,'Status Thresholds'!$E:$AR,23,FALSE),IF((AND($U$4=FALSE,$U$5=TRUE,$U$6=TRUE,$U$7=FALSE)),VLOOKUP($E519,'Status Thresholds'!$E:$AR,33,FALSE),IF((AND($U$4=FALSE,$U$5=TRUE,$U$6=TRUE,$U$7=TRUE)),VLOOKUP($E519,'Status Thresholds'!$E:$AR,38,FALSE),IF((AND($U$4=FALSE,$U$5=TRUE,$U$6=FALSE,$U$7=TRUE)),VLOOKUP($E519,'Status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520" s="36" t="str">
        <f>IFERROR(
ROUNDUP(
IF(AND($U$5=FALSE,$U$4=FALSE),"-",IF(AND($U$5=TRUE,$U$4=TRUE),"-",
IF((AND($U$4=TRUE,$U$5=FALSE,$U$6=FALSE,$U$7=FALSE)),VLOOKUP($E519,'Status Thresholds'!$E:$AR,4,FALSE),IF((AND($U$4=TRUE,$U$5=FALSE,$U$6=TRUE,$U$7=FALSE)),VLOOKUP($E519,'Status Thresholds'!$E:$AR,14,FALSE),IF((AND($U$4=TRUE,$U$5=FALSE,$U$6=TRUE,$U$7=TRUE)),VLOOKUP($E519,'Status Thresholds'!$E:$AR,19,FALSE),IF((AND($U$4=TRUE,$U$5=FALSE,$U$6=FALSE,$U$7=TRUE)),VLOOKUP($E519,'Status Thresholds'!$E:$AR,9,FALSE),
IF((AND($U$4=FALSE,$U$5=TRUE,$U$6=FALSE,$U$7=FALSE)),VLOOKUP($E519,'Status Thresholds'!$E:$AR,24,FALSE),IF((AND($U$4=FALSE,$U$5=TRUE,$U$6=TRUE,$U$7=FALSE)),VLOOKUP($E519,'Status Thresholds'!$E:$AR,34,FALSE),IF((AND($U$4=FALSE,$U$5=TRUE,$U$6=TRUE,$U$7=TRUE)),VLOOKUP($E519,'Status Thresholds'!$E:$AR,39,FALSE),IF((AND($U$4=FALSE,$U$5=TRUE,$U$6=FALSE,$U$7=TRUE)),VLOOKUP($E519,'Status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520" s="36" t="str">
        <f>IFERROR(
ROUNDUP(
IF(AND($U$5=FALSE,$U$4=FALSE),"-",IF(AND($U$5=TRUE,$U$4=TRUE),"-",
IF((AND($U$4=TRUE,$U$5=FALSE,$U$6=FALSE,$U$7=FALSE)),VLOOKUP($E519,'Status Thresholds'!$E:$AR,5,FALSE),IF((AND($U$4=TRUE,$U$5=FALSE,$U$6=TRUE,$U$7=FALSE)),VLOOKUP($E519,'Status Thresholds'!$E:$AR,15,FALSE),IF((AND($U$4=TRUE,$U$5=FALSE,$U$6=TRUE,$U$7=TRUE)),VLOOKUP($E519,'Status Thresholds'!$E:$AR,20,FALSE),IF((AND($U$4=TRUE,$U$5=FALSE,$U$6=FALSE,$U$7=TRUE)),VLOOKUP($E519,'Status Thresholds'!$E:$AR,10,FALSE),
IF((AND($U$4=FALSE,$U$5=TRUE,$U$6=FALSE,$U$7=FALSE)),VLOOKUP($E519,'Status Thresholds'!$E:$AR,25,FALSE),IF((AND($U$4=FALSE,$U$5=TRUE,$U$6=TRUE,$U$7=FALSE)),VLOOKUP($E519,'Status Thresholds'!$E:$AR,35,FALSE),IF((AND($U$4=FALSE,$U$5=TRUE,$U$6=TRUE,$U$7=TRUE)),VLOOKUP($E519,'Status Thresholds'!$E:$AR,40,FALSE),IF((AND($U$4=FALSE,$U$5=TRUE,$U$6=FALSE,$U$7=TRUE)),VLOOKUP($E519,'Status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520" s="46">
        <f>IFERROR(IF(AND($U$5=FALSE,$U$4=FALSE),"-",VLOOKUP($E520,'Status Thresholds'!$E:$AU,41,FALSE)),"-")</f>
        <v>0</v>
      </c>
      <c r="K520" s="46" t="str">
        <f>IFERROR(IF(AND($U$5=FALSE,$U$4=FALSE),"-",VLOOKUP($E520,'Status Thresholds'!$E:$AU,42,FALSE)),"-")</f>
        <v>-</v>
      </c>
      <c r="L520" s="46" t="str">
        <f>IFERROR(IF(AND($U$5=FALSE,$U$4=FALSE),"-",VLOOKUP($E520,'Status Thresholds'!$E:$AU,43,FALSE)),"-")</f>
        <v>-</v>
      </c>
    </row>
    <row r="521" spans="1:12" ht="15" customHeight="1" x14ac:dyDescent="0.25">
      <c r="A521" s="35"/>
      <c r="B521" s="64" t="str">
        <f>VLOOKUP(C521,'Status Thresholds'!B:C,2,FALSE)</f>
        <v>MHGen</v>
      </c>
      <c r="C521" s="64" t="str">
        <f>IF('Status Thresholds'!B516=0, "", 'Status Thresholds'!B516)</f>
        <v>Najarala</v>
      </c>
      <c r="D521" s="77" t="s">
        <v>207</v>
      </c>
      <c r="E521" s="36" t="str">
        <f t="shared" si="7"/>
        <v>NajaralaShock Trap</v>
      </c>
      <c r="F521" s="76" t="s">
        <v>214</v>
      </c>
      <c r="G521" s="46" t="s">
        <v>214</v>
      </c>
      <c r="H521" s="46" t="s">
        <v>214</v>
      </c>
      <c r="I521" s="46" t="s">
        <v>214</v>
      </c>
      <c r="J521" s="46">
        <f>IFERROR(IF(AND($U$5=FALSE,$U$4=FALSE),"-",VLOOKUP($E521,'Status Thresholds'!$E:$AU,43,FALSE)),"-")</f>
        <v>10</v>
      </c>
      <c r="K521" s="46">
        <f>IFERROR(IF(AND($U$5=FALSE,$U$4=FALSE),"-",VLOOKUP($E521,'Status Thresholds'!$E:$AU,41,FALSE)),"-")</f>
        <v>8</v>
      </c>
      <c r="L521" s="46">
        <f>IFERROR(IF(AND($U$5=FALSE,$U$4=FALSE),"-",VLOOKUP($E521,'Status Thresholds'!$E:$AU,42,FALSE)),"-")</f>
        <v>15</v>
      </c>
    </row>
    <row r="522" spans="1:12" x14ac:dyDescent="0.25">
      <c r="A522" s="35"/>
      <c r="B522" s="64" t="str">
        <f>VLOOKUP(C522,'Status Thresholds'!B:C,2,FALSE)</f>
        <v>MHGen</v>
      </c>
      <c r="C522" s="64" t="str">
        <f>IF('Status Thresholds'!B517=0, "", 'Status Thresholds'!B517)</f>
        <v>Najarala</v>
      </c>
      <c r="D522" s="77" t="s">
        <v>213</v>
      </c>
      <c r="E522" s="36" t="str">
        <f t="shared" si="7"/>
        <v>NajaralaPitfall Trap</v>
      </c>
      <c r="F522" s="46" t="s">
        <v>214</v>
      </c>
      <c r="G522" s="46" t="s">
        <v>214</v>
      </c>
      <c r="H522" s="46" t="s">
        <v>214</v>
      </c>
      <c r="I522" s="46" t="s">
        <v>214</v>
      </c>
      <c r="J522" s="46">
        <f>IFERROR(IF(AND($U$5=FALSE,$U$4=FALSE),"-",VLOOKUP($E522,'Status Thresholds'!$E:$AU,43,FALSE)),"-")</f>
        <v>16</v>
      </c>
      <c r="K522" s="46">
        <f>IFERROR(IF(AND($U$5=FALSE,$U$4=FALSE),"-",VLOOKUP($E522,'Status Thresholds'!$E:$AU,41,FALSE)),"-")</f>
        <v>12</v>
      </c>
      <c r="L522" s="46">
        <f>IFERROR(IF(AND($U$5=FALSE,$U$4=FALSE),"-",VLOOKUP($E522,'Status Thresholds'!$E:$AU,42,FALSE)),"-")</f>
        <v>20</v>
      </c>
    </row>
    <row r="523" spans="1:12" s="36" customFormat="1" x14ac:dyDescent="0.25">
      <c r="A523" s="64"/>
      <c r="B523" s="64" t="str">
        <f>VLOOKUP(C523,'Status Thresholds'!B:C,2,FALSE)</f>
        <v>MHGen</v>
      </c>
      <c r="C523" s="64" t="str">
        <f>IF('Status Thresholds'!B518=0, "", 'Status Thresholds'!B518)</f>
        <v>Nargacuga</v>
      </c>
      <c r="D523" s="37" t="s">
        <v>0</v>
      </c>
      <c r="E523" s="36" t="str">
        <f t="shared" si="7"/>
        <v>NargacugaPara</v>
      </c>
      <c r="F523" s="36" t="str">
        <f>IFERROR(
ROUNDUP(
IF(AND($U$5=FALSE,$U$4=FALSE),"-",IF(AND($U$5=TRUE,$U$4=TRUE),"-",
IF((AND($U$4=TRUE,$U$5=FALSE,$U$6=FALSE,$U$7=FALSE)),VLOOKUP($E523,'Status Thresholds'!$E:$AR,2,FALSE),IF((AND($U$4=TRUE,$U$5=FALSE,$U$6=TRUE,$U$7=FALSE)),VLOOKUP($E523,'Status Thresholds'!$E:$AR,12,FALSE),IF((AND($U$4=TRUE,$U$5=FALSE,$U$6=TRUE,$U$7=TRUE)),VLOOKUP($E523,'Status Thresholds'!$E:$AR,17,FALSE),IF((AND($U$4=TRUE,$U$5=FALSE,$U$6=FALSE,$U$7=TRUE)),VLOOKUP($E523,'Status Thresholds'!$E:$AR,7,FALSE),
IF((AND($U$4=FALSE,$U$5=TRUE,$U$6=FALSE,$U$7=FALSE)),VLOOKUP($E523,'Status Thresholds'!$E:$AR,22,FALSE),IF((AND($U$4=FALSE,$U$5=TRUE,$U$6=TRUE,$U$7=FALSE)),VLOOKUP($E523,'Status Thresholds'!$E:$AR,32,FALSE),IF((AND($U$4=FALSE,$U$5=TRUE,$U$6=TRUE,$U$7=TRUE)),VLOOKUP($E523,'Status Thresholds'!$E:$AR,37,FALSE),IF((AND($U$4=FALSE,$U$5=TRUE,$U$6=FALSE,$U$7=TRUE)),VLOOKUP($E523,'Status Thresholds'!$E:$AR,27,FALSE)))))))))
))/
IF(OR($X$5=TRUE,$AC$3=TRUE
),($F$3/2), IF(OR($X$2,$X$3,$X$4,$X$6,$X$7,$X$8,$Z$2,$Z$3,$Z$4,$Z$5,$Z$6,$Z$7,$Z$8)=TRUE,$F$3)),0),"-")</f>
        <v>-</v>
      </c>
      <c r="G523" s="36" t="str">
        <f>IFERROR(
ROUNDUP(
IF(AND($U$5=FALSE,$U$4=FALSE),"-",IF(AND($U$5=TRUE,$U$4=TRUE),"-",
IF((AND($U$4=TRUE,$U$5=FALSE,$U$6=FALSE,$U$7=FALSE)),VLOOKUP($E523,'Status Thresholds'!$E:$AR,3,FALSE),IF((AND($U$4=TRUE,$U$5=FALSE,$U$6=TRUE,$U$7=FALSE)),VLOOKUP($E523,'Status Thresholds'!$E:$AR,13,FALSE),IF((AND($U$4=TRUE,$U$5=FALSE,$U$6=TRUE,$U$7=TRUE)),VLOOKUP($E523,'Status Thresholds'!$E:$AR,18,FALSE),IF((AND($U$4=TRUE,$U$5=FALSE,$U$6=FALSE,$U$7=TRUE)),VLOOKUP($E523,'Status Thresholds'!$E:$AR,8,FALSE),
IF((AND($U$4=FALSE,$U$5=TRUE,$U$6=FALSE,$U$7=FALSE)),VLOOKUP($E523,'Status Thresholds'!$E:$AR,23,FALSE),IF((AND($U$4=FALSE,$U$5=TRUE,$U$6=TRUE,$U$7=FALSE)),VLOOKUP($E523,'Status Thresholds'!$E:$AR,33,FALSE),IF((AND($U$4=FALSE,$U$5=TRUE,$U$6=TRUE,$U$7=TRUE)),VLOOKUP($E523,'Status Thresholds'!$E:$AR,38,FALSE),IF((AND($U$4=FALSE,$U$5=TRUE,$U$6=FALSE,$U$7=TRUE)),VLOOKUP($E523,'Status Thresholds'!$E:$AR,28,FALSE)))))))))
))/
IF(OR($X$5=TRUE,$AC$3=TRUE
),($F$3/2), IF(OR($X$2,$X$3,$X$4,$X$6,$X$7,$X$8,$Z$2,$Z$3,$Z$4,$Z$5,$Z$6,$Z$7,$Z$8)=TRUE,$F$3)),0),"-")</f>
        <v>-</v>
      </c>
      <c r="H523" s="36" t="str">
        <f>IFERROR(
ROUNDUP(
IF(AND($U$5=FALSE,$U$4=FALSE),"-",IF(AND($U$5=TRUE,$U$4=TRUE),"-",
IF((AND($U$4=TRUE,$U$5=FALSE,$U$6=FALSE,$U$7=FALSE)),VLOOKUP($E523,'Status Thresholds'!$E:$AR,4,FALSE),IF((AND($U$4=TRUE,$U$5=FALSE,$U$6=TRUE,$U$7=FALSE)),VLOOKUP($E523,'Status Thresholds'!$E:$AR,14,FALSE),IF((AND($U$4=TRUE,$U$5=FALSE,$U$6=TRUE,$U$7=TRUE)),VLOOKUP($E523,'Status Thresholds'!$E:$AR,19,FALSE),IF((AND($U$4=TRUE,$U$5=FALSE,$U$6=FALSE,$U$7=TRUE)),VLOOKUP($E523,'Status Thresholds'!$E:$AR,9,FALSE),
IF((AND($U$4=FALSE,$U$5=TRUE,$U$6=FALSE,$U$7=FALSE)),VLOOKUP($E523,'Status Thresholds'!$E:$AR,24,FALSE),IF((AND($U$4=FALSE,$U$5=TRUE,$U$6=TRUE,$U$7=FALSE)),VLOOKUP($E523,'Status Thresholds'!$E:$AR,34,FALSE),IF((AND($U$4=FALSE,$U$5=TRUE,$U$6=TRUE,$U$7=TRUE)),VLOOKUP($E523,'Status Thresholds'!$E:$AR,39,FALSE),IF((AND($U$4=FALSE,$U$5=TRUE,$U$6=FALSE,$U$7=TRUE)),VLOOKUP($E523,'Status Thresholds'!$E:$AR,29,FALSE)))))))))
))/
IF(OR($X$5=TRUE,$AC$3=TRUE
),($F$3/2), IF(OR($X$2,$X$3,$X$4,$X$6,$X$7,$X$8,$Z$2,$Z$3,$Z$4,$Z$5,$Z$6,$Z$7,$Z$8)=TRUE,$F$3)),0),"-")</f>
        <v>-</v>
      </c>
      <c r="I523" s="36" t="str">
        <f>IFERROR(
ROUNDUP(
IF(AND($U$5=FALSE,$U$4=FALSE),"-",IF(AND($U$5=TRUE,$U$4=TRUE),"-",
IF((AND($U$4=TRUE,$U$5=FALSE,$U$6=FALSE,$U$7=FALSE)),VLOOKUP($E523,'Status Thresholds'!$E:$AR,5,FALSE),IF((AND($U$4=TRUE,$U$5=FALSE,$U$6=TRUE,$U$7=FALSE)),VLOOKUP($E523,'Status Thresholds'!$E:$AR,15,FALSE),IF((AND($U$4=TRUE,$U$5=FALSE,$U$6=TRUE,$U$7=TRUE)),VLOOKUP($E523,'Status Thresholds'!$E:$AR,20,FALSE),IF((AND($U$4=TRUE,$U$5=FALSE,$U$6=FALSE,$U$7=TRUE)),VLOOKUP($E523,'Status Thresholds'!$E:$AR,10,FALSE),
IF((AND($U$4=FALSE,$U$5=TRUE,$U$6=FALSE,$U$7=FALSE)),VLOOKUP($E523,'Status Thresholds'!$E:$AR,25,FALSE),IF((AND($U$4=FALSE,$U$5=TRUE,$U$6=TRUE,$U$7=FALSE)),VLOOKUP($E523,'Status Thresholds'!$E:$AR,35,FALSE),IF((AND($U$4=FALSE,$U$5=TRUE,$U$6=TRUE,$U$7=TRUE)),VLOOKUP($E523,'Status Thresholds'!$E:$AR,40,FALSE),IF((AND($U$4=FALSE,$U$5=TRUE,$U$6=FALSE,$U$7=TRUE)),VLOOKUP($E523,'Status Thresholds'!$E:$AR,30,FALSE)))))))))
))/
IF(OR($X$5=TRUE,$AC$3=TRUE
),($F$3/2), IF(OR($X$2,$X$3,$X$4,$X$6,$X$7,$X$8,$Z$2,$Z$3,$Z$4,$Z$5,$Z$6,$Z$7,$Z$8)=TRUE,$F$3)),0),"-")</f>
        <v>-</v>
      </c>
      <c r="J523" s="36">
        <f>IFERROR(IF(AND($U$5=FALSE,$U$4=FALSE),"-",VLOOKUP($E523,'Status Thresholds'!$E:$AU,41,FALSE)),"-")</f>
        <v>10</v>
      </c>
      <c r="K523" s="36" t="str">
        <f>IFERROR(IF(AND($U$5=FALSE,$U$4=FALSE),"-",VLOOKUP($E523,'Status Thresholds'!$E:$AU,42,FALSE)),"-")</f>
        <v>-</v>
      </c>
      <c r="L523" s="36" t="str">
        <f>IFERROR(IF(AND($U$5=FALSE,$U$4=FALSE),"-",VLOOKUP($E523,'Status Thresholds'!$E:$AU,43,FALSE)),"-")</f>
        <v>-</v>
      </c>
    </row>
    <row r="524" spans="1:12" x14ac:dyDescent="0.25">
      <c r="A524" s="35"/>
      <c r="B524" s="64" t="str">
        <f>VLOOKUP(C524,'Status Thresholds'!B:C,2,FALSE)</f>
        <v>MHGen</v>
      </c>
      <c r="C524" s="64" t="str">
        <f>IF('Status Thresholds'!B519=0, "", 'Status Thresholds'!B519)</f>
        <v>Nargacuga</v>
      </c>
      <c r="D524" s="31" t="s">
        <v>32</v>
      </c>
      <c r="E524" s="36" t="str">
        <f t="shared" si="7"/>
        <v>NargacugaSleep</v>
      </c>
      <c r="F524" s="36" t="str">
        <f>IFERROR(
ROUNDUP(
IF(AND($U$5=FALSE,$U$4=FALSE),"-",IF(AND($U$5=TRUE,$U$4=TRUE),"-",
IF((AND($U$4=TRUE,$U$5=FALSE,$U$6=FALSE,$U$7=FALSE)),VLOOKUP($E524,'Status Thresholds'!$E:$AR,2,FALSE),IF((AND($U$4=TRUE,$U$5=FALSE,$U$6=TRUE,$U$7=FALSE)),VLOOKUP($E524,'Status Thresholds'!$E:$AR,12,FALSE),IF((AND($U$4=TRUE,$U$5=FALSE,$U$6=TRUE,$U$7=TRUE)),VLOOKUP($E524,'Status Thresholds'!$E:$AR,17,FALSE),IF((AND($U$4=TRUE,$U$5=FALSE,$U$6=FALSE,$U$7=TRUE)),VLOOKUP($E524,'Status Thresholds'!$E:$AR,7,FALSE),
IF((AND($U$4=FALSE,$U$5=TRUE,$U$6=FALSE,$U$7=FALSE)),VLOOKUP($E524,'Status Thresholds'!$E:$AR,22,FALSE),IF((AND($U$4=FALSE,$U$5=TRUE,$U$6=TRUE,$U$7=FALSE)),VLOOKUP($E524,'Status Thresholds'!$E:$AR,32,FALSE),IF((AND($U$4=FALSE,$U$5=TRUE,$U$6=TRUE,$U$7=TRUE)),VLOOKUP($E524,'Status Thresholds'!$E:$AR,37,FALSE),IF((AND($U$4=FALSE,$U$5=TRUE,$U$6=FALSE,$U$7=TRUE)),VLOOKUP($E524,'Status Thresholds'!$E:$AR,27,FALSE)))))))))
))/
IF(OR($X$5=TRUE,$AC$3=TRUE
),($F$4/2), IF(OR($X$2,$X$3,$X$4,$X$6,$X$7,$X$8,$Z$2,$Z$3,$Z$4,$Z$5,$Z$6,$Z$7,$Z$8)=TRUE,$F$4)),0),"-")</f>
        <v>-</v>
      </c>
      <c r="G524" s="36" t="str">
        <f>IFERROR(
ROUNDUP(
IF(AND($U$5=FALSE,$U$4=FALSE),"-",IF(AND($U$5=TRUE,$U$4=TRUE),"-",
IF((AND($U$4=TRUE,$U$5=FALSE,$U$6=FALSE,$U$7=FALSE)),VLOOKUP($E524,'Status Thresholds'!$E:$AR,3,FALSE),IF((AND($U$4=TRUE,$U$5=FALSE,$U$6=TRUE,$U$7=FALSE)),VLOOKUP($E524,'Status Thresholds'!$E:$AR,13,FALSE),IF((AND($U$4=TRUE,$U$5=FALSE,$U$6=TRUE,$U$7=TRUE)),VLOOKUP($E524,'Status Thresholds'!$E:$AR,18,FALSE),IF((AND($U$4=TRUE,$U$5=FALSE,$U$6=FALSE,$U$7=TRUE)),VLOOKUP($E524,'Status Thresholds'!$E:$AR,8,FALSE),
IF((AND($U$4=FALSE,$U$5=TRUE,$U$6=FALSE,$U$7=FALSE)),VLOOKUP($E524,'Status Thresholds'!$E:$AR,23,FALSE),IF((AND($U$4=FALSE,$U$5=TRUE,$U$6=TRUE,$U$7=FALSE)),VLOOKUP($E524,'Status Thresholds'!$E:$AR,33,FALSE),IF((AND($U$4=FALSE,$U$5=TRUE,$U$6=TRUE,$U$7=TRUE)),VLOOKUP($E524,'Status Thresholds'!$E:$AR,38,FALSE),IF((AND($U$4=FALSE,$U$5=TRUE,$U$6=FALSE,$U$7=TRUE)),VLOOKUP($E524,'Status Thresholds'!$E:$AR,28,FALSE)))))))))
))/
IF(OR($X$5=TRUE,$AC$3=TRUE
),($F$4/2), IF(OR($X$2,$X$3,$X$4,$X$6,$X$7,$X$8,$Z$2,$Z$3,$Z$4,$Z$5,$Z$6,$Z$7,$Z$8)=TRUE,$F$4)),0),"-")</f>
        <v>-</v>
      </c>
      <c r="H524" s="36" t="str">
        <f>IFERROR(
ROUNDUP(
IF(AND($U$5=FALSE,$U$4=FALSE),"-",IF(AND($U$5=TRUE,$U$4=TRUE),"-",
IF((AND($U$4=TRUE,$U$5=FALSE,$U$6=FALSE,$U$7=FALSE)),VLOOKUP($E524,'Status Thresholds'!$E:$AR,4,FALSE),IF((AND($U$4=TRUE,$U$5=FALSE,$U$6=TRUE,$U$7=FALSE)),VLOOKUP($E524,'Status Thresholds'!$E:$AR,14,FALSE),IF((AND($U$4=TRUE,$U$5=FALSE,$U$6=TRUE,$U$7=TRUE)),VLOOKUP($E524,'Status Thresholds'!$E:$AR,19,FALSE),IF((AND($U$4=TRUE,$U$5=FALSE,$U$6=FALSE,$U$7=TRUE)),VLOOKUP($E524,'Status Thresholds'!$E:$AR,9,FALSE),
IF((AND($U$4=FALSE,$U$5=TRUE,$U$6=FALSE,$U$7=FALSE)),VLOOKUP($E524,'Status Thresholds'!$E:$AR,24,FALSE),IF((AND($U$4=FALSE,$U$5=TRUE,$U$6=TRUE,$U$7=FALSE)),VLOOKUP($E524,'Status Thresholds'!$E:$AR,34,FALSE),IF((AND($U$4=FALSE,$U$5=TRUE,$U$6=TRUE,$U$7=TRUE)),VLOOKUP($E524,'Status Thresholds'!$E:$AR,39,FALSE),IF((AND($U$4=FALSE,$U$5=TRUE,$U$6=FALSE,$U$7=TRUE)),VLOOKUP($E524,'Status Thresholds'!$E:$AR,29,FALSE)))))))))
))/
IF(OR($X$5=TRUE,$AC$3=TRUE
),($F$4/2), IF(OR($X$2,$X$3,$X$4,$X$6,$X$7,$X$8,$Z$2,$Z$3,$Z$4,$Z$5,$Z$6,$Z$7,$Z$8)=TRUE,$F$4)),0),"-")</f>
        <v>-</v>
      </c>
      <c r="I524" s="36" t="str">
        <f>IFERROR(
ROUNDUP(
IF(AND($U$5=FALSE,$U$4=FALSE),"-",IF(AND($U$5=TRUE,$U$4=TRUE),"-",
IF((AND($U$4=TRUE,$U$5=FALSE,$U$6=FALSE,$U$7=FALSE)),VLOOKUP($E524,'Status Thresholds'!$E:$AR,5,FALSE),IF((AND($U$4=TRUE,$U$5=FALSE,$U$6=TRUE,$U$7=FALSE)),VLOOKUP($E524,'Status Thresholds'!$E:$AR,15,FALSE),IF((AND($U$4=TRUE,$U$5=FALSE,$U$6=TRUE,$U$7=TRUE)),VLOOKUP($E524,'Status Thresholds'!$E:$AR,20,FALSE),IF((AND($U$4=TRUE,$U$5=FALSE,$U$6=FALSE,$U$7=TRUE)),VLOOKUP($E524,'Status Thresholds'!$E:$AR,10,FALSE),
IF((AND($U$4=FALSE,$U$5=TRUE,$U$6=FALSE,$U$7=FALSE)),VLOOKUP($E524,'Status Thresholds'!$E:$AR,25,FALSE),IF((AND($U$4=FALSE,$U$5=TRUE,$U$6=TRUE,$U$7=FALSE)),VLOOKUP($E524,'Status Thresholds'!$E:$AR,35,FALSE),IF((AND($U$4=FALSE,$U$5=TRUE,$U$6=TRUE,$U$7=TRUE)),VLOOKUP($E524,'Status Thresholds'!$E:$AR,40,FALSE),IF((AND($U$4=FALSE,$U$5=TRUE,$U$6=FALSE,$U$7=TRUE)),VLOOKUP($E524,'Status Thresholds'!$E:$AR,30,FALSE)))))))))
))/
IF(OR($X$5=TRUE,$AC$3=TRUE
),($F$4/2), IF(OR($X$2,$X$3,$X$4,$X$6,$X$7,$X$8,$Z$2,$Z$3,$Z$4,$Z$5,$Z$6,$Z$7,$Z$8)=TRUE,$F$4)),0),"-")</f>
        <v>-</v>
      </c>
      <c r="J524" s="46">
        <f>IFERROR(IF(AND($U$5=FALSE,$U$4=FALSE),"-",VLOOKUP($E524,'Status Thresholds'!$E:$AU,41,FALSE)),"-")</f>
        <v>20</v>
      </c>
      <c r="K524" s="46" t="str">
        <f>IFERROR(IF(AND($U$5=FALSE,$U$4=FALSE),"-",VLOOKUP($E524,'Status Thresholds'!$E:$AU,42,FALSE)),"-")</f>
        <v>-</v>
      </c>
      <c r="L524" s="46" t="str">
        <f>IFERROR(IF(AND($U$5=FALSE,$U$4=FALSE),"-",VLOOKUP($E524,'Status Thresholds'!$E:$AU,43,FALSE)),"-")</f>
        <v>-</v>
      </c>
    </row>
    <row r="525" spans="1:12" x14ac:dyDescent="0.25">
      <c r="A525" s="35"/>
      <c r="B525" s="64" t="str">
        <f>VLOOKUP(C525,'Status Thresholds'!B:C,2,FALSE)</f>
        <v>MHGen</v>
      </c>
      <c r="C525" s="64" t="str">
        <f>IF('Status Thresholds'!B520=0, "", 'Status Thresholds'!B520)</f>
        <v>Nargacuga</v>
      </c>
      <c r="D525" s="32" t="s">
        <v>33</v>
      </c>
      <c r="E525" s="36" t="str">
        <f t="shared" si="7"/>
        <v>NargacugaPoison</v>
      </c>
      <c r="F525" s="36" t="str">
        <f>IFERROR(
ROUNDUP(
IF(AND($U$5=FALSE,$U$4=FALSE),"-",IF(AND($U$5=TRUE,$U$4=TRUE),"-",
IF((AND($U$4=TRUE,$U$5=FALSE,$U$6=FALSE,$U$7=FALSE)),VLOOKUP($E525,'Status Thresholds'!$E:$AR,2,FALSE),IF((AND($U$4=TRUE,$U$5=FALSE,$U$6=TRUE,$U$7=FALSE)),VLOOKUP($E525,'Status Thresholds'!$E:$AR,12,FALSE),IF((AND($U$4=TRUE,$U$5=FALSE,$U$6=TRUE,$U$7=TRUE)),VLOOKUP($E525,'Status Thresholds'!$E:$AR,17,FALSE),IF((AND($U$4=TRUE,$U$5=FALSE,$U$6=FALSE,$U$7=TRUE)),VLOOKUP($E525,'Status Thresholds'!$E:$AR,7,FALSE),
IF((AND($U$4=FALSE,$U$5=TRUE,$U$6=FALSE,$U$7=FALSE)),VLOOKUP($E525,'Status Thresholds'!$E:$AR,22,FALSE),IF((AND($U$4=FALSE,$U$5=TRUE,$U$6=TRUE,$U$7=FALSE)),VLOOKUP($E525,'Status Thresholds'!$E:$AR,32,FALSE),IF((AND($U$4=FALSE,$U$5=TRUE,$U$6=TRUE,$U$7=TRUE)),VLOOKUP($E525,'Status Thresholds'!$E:$AR,37,FALSE),IF((AND($U$4=FALSE,$U$5=TRUE,$U$6=FALSE,$U$7=TRUE)),VLOOKUP($E525,'Status Thresholds'!$E:$AR,27,FALSE)))))))))
))/
IF(OR($X$5=TRUE,$AC$3=TRUE
),($F$5/2), IF(OR($X$2,$X$3,$X$4,$X$6,$X$7,$X$8,$Z$2,$Z$3,$Z$4,$Z$5,$Z$6,$Z$7,$Z$8)=TRUE,$F$5)),0),"-")</f>
        <v>-</v>
      </c>
      <c r="G525" s="36" t="str">
        <f>IFERROR(
ROUNDUP(
IF(AND($U$5=FALSE,$U$4=FALSE),"-",IF(AND($U$5=TRUE,$U$4=TRUE),"-",
IF((AND($U$4=TRUE,$U$5=FALSE,$U$6=FALSE,$U$7=FALSE)),VLOOKUP($E525,'Status Thresholds'!$E:$AR,3,FALSE),IF((AND($U$4=TRUE,$U$5=FALSE,$U$6=TRUE,$U$7=FALSE)),VLOOKUP($E525,'Status Thresholds'!$E:$AR,13,FALSE),IF((AND($U$4=TRUE,$U$5=FALSE,$U$6=TRUE,$U$7=TRUE)),VLOOKUP($E525,'Status Thresholds'!$E:$AR,18,FALSE),IF((AND($U$4=TRUE,$U$5=FALSE,$U$6=FALSE,$U$7=TRUE)),VLOOKUP($E525,'Status Thresholds'!$E:$AR,8,FALSE),
IF((AND($U$4=FALSE,$U$5=TRUE,$U$6=FALSE,$U$7=FALSE)),VLOOKUP($E525,'Status Thresholds'!$E:$AR,23,FALSE),IF((AND($U$4=FALSE,$U$5=TRUE,$U$6=TRUE,$U$7=FALSE)),VLOOKUP($E525,'Status Thresholds'!$E:$AR,33,FALSE),IF((AND($U$4=FALSE,$U$5=TRUE,$U$6=TRUE,$U$7=TRUE)),VLOOKUP($E525,'Status Thresholds'!$E:$AR,38,FALSE),IF((AND($U$4=FALSE,$U$5=TRUE,$U$6=FALSE,$U$7=TRUE)),VLOOKUP($E525,'Status Thresholds'!$E:$AR,28,FALSE)))))))))
))/
IF(OR($X$5=TRUE,$AC$3=TRUE
),($F$5/2), IF(OR($X$2,$X$3,$X$4,$X$6,$X$7,$X$8,$Z$2,$Z$3,$Z$4,$Z$5,$Z$6,$Z$7,$Z$8)=TRUE,$F$5)),0),"-")</f>
        <v>-</v>
      </c>
      <c r="H525" s="36" t="str">
        <f>IFERROR(
ROUNDUP(
IF(AND($U$5=FALSE,$U$4=FALSE),"-",IF(AND($U$5=TRUE,$U$4=TRUE),"-",
IF((AND($U$4=TRUE,$U$5=FALSE,$U$6=FALSE,$U$7=FALSE)),VLOOKUP($E525,'Status Thresholds'!$E:$AR,4,FALSE),IF((AND($U$4=TRUE,$U$5=FALSE,$U$6=TRUE,$U$7=FALSE)),VLOOKUP($E525,'Status Thresholds'!$E:$AR,14,FALSE),IF((AND($U$4=TRUE,$U$5=FALSE,$U$6=TRUE,$U$7=TRUE)),VLOOKUP($E525,'Status Thresholds'!$E:$AR,19,FALSE),IF((AND($U$4=TRUE,$U$5=FALSE,$U$6=FALSE,$U$7=TRUE)),VLOOKUP($E525,'Status Thresholds'!$E:$AR,9,FALSE),
IF((AND($U$4=FALSE,$U$5=TRUE,$U$6=FALSE,$U$7=FALSE)),VLOOKUP($E525,'Status Thresholds'!$E:$AR,24,FALSE),IF((AND($U$4=FALSE,$U$5=TRUE,$U$6=TRUE,$U$7=FALSE)),VLOOKUP($E525,'Status Thresholds'!$E:$AR,34,FALSE),IF((AND($U$4=FALSE,$U$5=TRUE,$U$6=TRUE,$U$7=TRUE)),VLOOKUP($E525,'Status Thresholds'!$E:$AR,39,FALSE),IF((AND($U$4=FALSE,$U$5=TRUE,$U$6=FALSE,$U$7=TRUE)),VLOOKUP($E525,'Status Thresholds'!$E:$AR,29,FALSE)))))))))
))/
IF(OR($X$5=TRUE,$AC$3=TRUE
),($F$5/2), IF(OR($X$2,$X$3,$X$4,$X$6,$X$7,$X$8,$Z$2,$Z$3,$Z$4,$Z$5,$Z$6,$Z$7,$Z$8)=TRUE,$F$5)),0),"-")</f>
        <v>-</v>
      </c>
      <c r="I525" s="36" t="str">
        <f>IFERROR(
ROUNDUP(
IF(AND($U$5=FALSE,$U$4=FALSE),"-",IF(AND($U$5=TRUE,$U$4=TRUE),"-",
IF((AND($U$4=TRUE,$U$5=FALSE,$U$6=FALSE,$U$7=FALSE)),VLOOKUP($E525,'Status Thresholds'!$E:$AR,5,FALSE),IF((AND($U$4=TRUE,$U$5=FALSE,$U$6=TRUE,$U$7=FALSE)),VLOOKUP($E525,'Status Thresholds'!$E:$AR,15,FALSE),IF((AND($U$4=TRUE,$U$5=FALSE,$U$6=TRUE,$U$7=TRUE)),VLOOKUP($E525,'Status Thresholds'!$E:$AR,20,FALSE),IF((AND($U$4=TRUE,$U$5=FALSE,$U$6=FALSE,$U$7=TRUE)),VLOOKUP($E525,'Status Thresholds'!$E:$AR,10,FALSE),
IF((AND($U$4=FALSE,$U$5=TRUE,$U$6=FALSE,$U$7=FALSE)),VLOOKUP($E525,'Status Thresholds'!$E:$AR,25,FALSE),IF((AND($U$4=FALSE,$U$5=TRUE,$U$6=TRUE,$U$7=FALSE)),VLOOKUP($E525,'Status Thresholds'!$E:$AR,35,FALSE),IF((AND($U$4=FALSE,$U$5=TRUE,$U$6=TRUE,$U$7=TRUE)),VLOOKUP($E525,'Status Thresholds'!$E:$AR,40,FALSE),IF((AND($U$4=FALSE,$U$5=TRUE,$U$6=FALSE,$U$7=TRUE)),VLOOKUP($E525,'Status Thresholds'!$E:$AR,30,FALSE)))))))))
))/
IF(OR($X$5=TRUE,$AC$3=TRUE
),($F$5/2), IF(OR($X$2,$X$3,$X$4,$X$6,$X$7,$X$8,$Z$2,$Z$3,$Z$4,$Z$5,$Z$6,$Z$7,$Z$8)=TRUE,$F$5)),0),"-")</f>
        <v>-</v>
      </c>
      <c r="J525" s="46">
        <f>IFERROR(IF(AND($U$5=FALSE,$U$4=FALSE),"-",VLOOKUP($E525,'Status Thresholds'!$E:$AU,41,FALSE)),"-")</f>
        <v>60</v>
      </c>
      <c r="K525" s="46" t="str">
        <f>IFERROR(IF(AND($U$5=FALSE,$U$4=FALSE),"-",VLOOKUP($E525,'Status Thresholds'!$E:$AU,42,FALSE)),"-")</f>
        <v>-</v>
      </c>
      <c r="L525" s="46" t="str">
        <f>IFERROR(IF(AND($U$5=FALSE,$U$4=FALSE),"-",VLOOKUP($E525,'Status Thresholds'!$E:$AU,43,FALSE)),"-")</f>
        <v>-</v>
      </c>
    </row>
    <row r="526" spans="1:12" x14ac:dyDescent="0.25">
      <c r="A526" s="35"/>
      <c r="B526" s="64" t="str">
        <f>VLOOKUP(C526,'Status Thresholds'!B:C,2,FALSE)</f>
        <v>MHGen</v>
      </c>
      <c r="C526" s="64" t="str">
        <f>IF('Status Thresholds'!B521=0, "", 'Status Thresholds'!B521)</f>
        <v>Nargacuga</v>
      </c>
      <c r="D526" s="10" t="s">
        <v>22</v>
      </c>
      <c r="E526" s="36" t="str">
        <f t="shared" si="7"/>
        <v>NargacugaExhaust</v>
      </c>
      <c r="F526" s="36" t="str">
        <f>IFERROR(
ROUNDUP(
IF(AND($U$5=FALSE,$U$4=FALSE),"-",IF(AND($U$5=TRUE,$U$4=TRUE),"-",
IF((AND($U$4=TRUE,$U$5=FALSE,$U$6=FALSE,$U$7=FALSE)),VLOOKUP($E526,'Status Thresholds'!$E:$AR,2,FALSE),IF((AND($U$4=TRUE,$U$5=FALSE,$U$6=TRUE,$U$7=FALSE)),VLOOKUP($E526,'Status Thresholds'!$E:$AR,12,FALSE),IF((AND($U$4=TRUE,$U$5=FALSE,$U$6=TRUE,$U$7=TRUE)),VLOOKUP($E526,'Status Thresholds'!$E:$AR,17,FALSE),IF((AND($U$4=TRUE,$U$5=FALSE,$U$6=FALSE,$U$7=TRUE)),VLOOKUP($E526,'Status Thresholds'!$E:$AR,7,FALSE),
IF((AND($U$4=FALSE,$U$5=TRUE,$U$6=FALSE,$U$7=FALSE)),VLOOKUP($E526,'Status Thresholds'!$E:$AR,22,FALSE),IF((AND($U$4=FALSE,$U$5=TRUE,$U$6=TRUE,$U$7=FALSE)),VLOOKUP($E526,'Status Thresholds'!$E:$AR,32,FALSE),IF((AND($U$4=FALSE,$U$5=TRUE,$U$6=TRUE,$U$7=TRUE)),VLOOKUP($E526,'Status Thresholds'!$E:$AR,37,FALSE),IF((AND($U$4=FALSE,$U$5=TRUE,$U$6=FALSE,$U$7=TRUE)),VLOOKUP($E526,'Status Thresholds'!$E:$AR,27,FALSE)))))))))
))/
IF(OR($X$5=TRUE,$AC$3=TRUE
),($F$6/2), IF(OR($X$2,$X$3,$X$4,$X$6,$X$7,$X$8,$Z$2,$Z$3,$Z$4,$Z$5,$Z$6,$Z$7,$Z$8)=TRUE,$F$6)),0),"-")</f>
        <v>-</v>
      </c>
      <c r="G526" s="36" t="str">
        <f>IFERROR(
ROUNDUP(
IF(AND($U$5=FALSE,$U$4=FALSE),"-",IF(AND($U$5=TRUE,$U$4=TRUE),"-",
IF((AND($U$4=TRUE,$U$5=FALSE,$U$6=FALSE,$U$7=FALSE)),VLOOKUP($E526,'Status Thresholds'!$E:$AR,3,FALSE),IF((AND($U$4=TRUE,$U$5=FALSE,$U$6=TRUE,$U$7=FALSE)),VLOOKUP($E526,'Status Thresholds'!$E:$AR,13,FALSE),IF((AND($U$4=TRUE,$U$5=FALSE,$U$6=TRUE,$U$7=TRUE)),VLOOKUP($E526,'Status Thresholds'!$E:$AR,18,FALSE),IF((AND($U$4=TRUE,$U$5=FALSE,$U$6=FALSE,$U$7=TRUE)),VLOOKUP($E526,'Status Thresholds'!$E:$AR,8,FALSE),
IF((AND($U$4=FALSE,$U$5=TRUE,$U$6=FALSE,$U$7=FALSE)),VLOOKUP($E526,'Status Thresholds'!$E:$AR,23,FALSE),IF((AND($U$4=FALSE,$U$5=TRUE,$U$6=TRUE,$U$7=FALSE)),VLOOKUP($E526,'Status Thresholds'!$E:$AR,33,FALSE),IF((AND($U$4=FALSE,$U$5=TRUE,$U$6=TRUE,$U$7=TRUE)),VLOOKUP($E526,'Status Thresholds'!$E:$AR,38,FALSE),IF((AND($U$4=FALSE,$U$5=TRUE,$U$6=FALSE,$U$7=TRUE)),VLOOKUP($E526,'Status Thresholds'!$E:$AR,28,FALSE)))))))))
))/
IF(OR($X$5=TRUE,$AC$3=TRUE
),($F$6/2), IF(OR($X$2,$X$3,$X$4,$X$6,$X$7,$X$8,$Z$2,$Z$3,$Z$4,$Z$5,$Z$6,$Z$7,$Z$8)=TRUE,$F$6)),0),"-")</f>
        <v>-</v>
      </c>
      <c r="H526" s="36" t="str">
        <f>IFERROR(
ROUNDUP(
IF(AND($U$5=FALSE,$U$4=FALSE),"-",IF(AND($U$5=TRUE,$U$4=TRUE),"-",
IF((AND($U$4=TRUE,$U$5=FALSE,$U$6=FALSE,$U$7=FALSE)),VLOOKUP($E526,'Status Thresholds'!$E:$AR,4,FALSE),IF((AND($U$4=TRUE,$U$5=FALSE,$U$6=TRUE,$U$7=FALSE)),VLOOKUP($E526,'Status Thresholds'!$E:$AR,14,FALSE),IF((AND($U$4=TRUE,$U$5=FALSE,$U$6=TRUE,$U$7=TRUE)),VLOOKUP($E526,'Status Thresholds'!$E:$AR,19,FALSE),IF((AND($U$4=TRUE,$U$5=FALSE,$U$6=FALSE,$U$7=TRUE)),VLOOKUP($E526,'Status Thresholds'!$E:$AR,9,FALSE),
IF((AND($U$4=FALSE,$U$5=TRUE,$U$6=FALSE,$U$7=FALSE)),VLOOKUP($E526,'Status Thresholds'!$E:$AR,24,FALSE),IF((AND($U$4=FALSE,$U$5=TRUE,$U$6=TRUE,$U$7=FALSE)),VLOOKUP($E526,'Status Thresholds'!$E:$AR,34,FALSE),IF((AND($U$4=FALSE,$U$5=TRUE,$U$6=TRUE,$U$7=TRUE)),VLOOKUP($E526,'Status Thresholds'!$E:$AR,39,FALSE),IF((AND($U$4=FALSE,$U$5=TRUE,$U$6=FALSE,$U$7=TRUE)),VLOOKUP($E526,'Status Thresholds'!$E:$AR,29,FALSE)))))))))
))/
IF(OR($X$5=TRUE,$AC$3=TRUE
),($F$6/2), IF(OR($X$2,$X$3,$X$4,$X$6,$X$7,$X$8,$Z$2,$Z$3,$Z$4,$Z$5,$Z$6,$Z$7,$Z$8)=TRUE,$F$6)),0),"-")</f>
        <v>-</v>
      </c>
      <c r="I526" s="36" t="str">
        <f>IFERROR(
ROUNDUP(
IF(AND($U$5=FALSE,$U$4=FALSE),"-",IF(AND($U$5=TRUE,$U$4=TRUE),"-",
IF((AND($U$4=TRUE,$U$5=FALSE,$U$6=FALSE,$U$7=FALSE)),VLOOKUP($E526,'Status Thresholds'!$E:$AR,5,FALSE),IF((AND($U$4=TRUE,$U$5=FALSE,$U$6=TRUE,$U$7=FALSE)),VLOOKUP($E526,'Status Thresholds'!$E:$AR,15,FALSE),IF((AND($U$4=TRUE,$U$5=FALSE,$U$6=TRUE,$U$7=TRUE)),VLOOKUP($E526,'Status Thresholds'!$E:$AR,20,FALSE),IF((AND($U$4=TRUE,$U$5=FALSE,$U$6=FALSE,$U$7=TRUE)),VLOOKUP($E526,'Status Thresholds'!$E:$AR,10,FALSE),
IF((AND($U$4=FALSE,$U$5=TRUE,$U$6=FALSE,$U$7=FALSE)),VLOOKUP($E526,'Status Thresholds'!$E:$AR,25,FALSE),IF((AND($U$4=FALSE,$U$5=TRUE,$U$6=TRUE,$U$7=FALSE)),VLOOKUP($E526,'Status Thresholds'!$E:$AR,35,FALSE),IF((AND($U$4=FALSE,$U$5=TRUE,$U$6=TRUE,$U$7=TRUE)),VLOOKUP($E526,'Status Thresholds'!$E:$AR,40,FALSE),IF((AND($U$4=FALSE,$U$5=TRUE,$U$6=FALSE,$U$7=TRUE)),VLOOKUP($E526,'Status Thresholds'!$E:$AR,30,FALSE)))))))))
))/
IF(OR($X$5=TRUE,$AC$3=TRUE
),($F$6/2), IF(OR($X$2,$X$3,$X$4,$X$6,$X$7,$X$8,$Z$2,$Z$3,$Z$4,$Z$5,$Z$6,$Z$7,$Z$8)=TRUE,$F$6)),0),"-")</f>
        <v>-</v>
      </c>
      <c r="J526" s="46">
        <f>IFERROR(IF(AND($U$5=FALSE,$U$4=FALSE),"-",VLOOKUP($E526,'Status Thresholds'!$E:$AU,41,FALSE)),"-")</f>
        <v>0</v>
      </c>
      <c r="K526" s="46" t="str">
        <f>IFERROR(IF(AND($U$5=FALSE,$U$4=FALSE),"-",VLOOKUP($E526,'Status Thresholds'!$E:$AU,42,FALSE)),"-")</f>
        <v>-</v>
      </c>
      <c r="L526" s="46" t="str">
        <f>IFERROR(IF(AND($U$5=FALSE,$U$4=FALSE),"-",VLOOKUP($E526,'Status Thresholds'!$E:$AU,43,FALSE)),"-")</f>
        <v>-</v>
      </c>
    </row>
    <row r="527" spans="1:12" x14ac:dyDescent="0.25">
      <c r="A527" s="35"/>
      <c r="B527" s="64" t="str">
        <f>VLOOKUP(C527,'Status Thresholds'!B:C,2,FALSE)</f>
        <v>MHGen</v>
      </c>
      <c r="C527" s="64" t="str">
        <f>IF('Status Thresholds'!B522=0, "", 'Status Thresholds'!B522)</f>
        <v>Nargacuga</v>
      </c>
      <c r="D527" s="30" t="s">
        <v>35</v>
      </c>
      <c r="E527" s="36" t="str">
        <f t="shared" si="7"/>
        <v>NargacugaBlast</v>
      </c>
      <c r="F527" s="36" t="str">
        <f>IFERROR(
ROUNDUP(
IF(AND($U$5=FALSE,$U$4=FALSE),"-",IF(AND($U$5=TRUE,$U$4=TRUE),"-",
IF((AND($U$4=TRUE,$U$5=FALSE,$U$6=FALSE,$U$7=FALSE)),VLOOKUP($E527,'Status Thresholds'!$E:$AR,2,FALSE),IF((AND($U$4=TRUE,$U$5=FALSE,$U$6=TRUE,$U$7=FALSE)),VLOOKUP($E527,'Status Thresholds'!$E:$AR,12,FALSE),IF((AND($U$4=TRUE,$U$5=FALSE,$U$6=TRUE,$U$7=TRUE)),VLOOKUP($E527,'Status Thresholds'!$E:$AR,17,FALSE),IF((AND($U$4=TRUE,$U$5=FALSE,$U$6=FALSE,$U$7=TRUE)),VLOOKUP($E527,'Status Thresholds'!$E:$AR,7,FALSE),
IF((AND($U$4=FALSE,$U$5=TRUE,$U$6=FALSE,$U$7=FALSE)),VLOOKUP($E527,'Status Thresholds'!$E:$AR,22,FALSE),IF((AND($U$4=FALSE,$U$5=TRUE,$U$6=TRUE,$U$7=FALSE)),VLOOKUP($E527,'Status Thresholds'!$E:$AR,32,FALSE),IF((AND($U$4=FALSE,$U$5=TRUE,$U$6=TRUE,$U$7=TRUE)),VLOOKUP($E527,'Status Thresholds'!$E:$AR,37,FALSE),IF((AND($U$4=FALSE,$U$5=TRUE,$U$6=FALSE,$U$7=TRUE)),VLOOKUP($E527,'Status Thresholds'!$E:$AR,27,FALSE)))))))))
))/
IF(OR($X$5=TRUE,$AC$3=TRUE
),($F$7/2), IF(OR($X$2,$X$3,$X$4,$X$6,$X$7,$X$8,$Z$2,$Z$3,$Z$4,$Z$5,$Z$6,$Z$7,$Z$8)=TRUE,$F$7)),0),"-")</f>
        <v>-</v>
      </c>
      <c r="G527" s="36" t="str">
        <f>IFERROR(
ROUNDUP(
IF(AND($U$5=FALSE,$U$4=FALSE),"-",IF(AND($U$5=TRUE,$U$4=TRUE),"-",
IF((AND($U$4=TRUE,$U$5=FALSE,$U$6=FALSE,$U$7=FALSE)),VLOOKUP($E527,'Status Thresholds'!$E:$AR,3,FALSE),IF((AND($U$4=TRUE,$U$5=FALSE,$U$6=TRUE,$U$7=FALSE)),VLOOKUP($E527,'Status Thresholds'!$E:$AR,13,FALSE),IF((AND($U$4=TRUE,$U$5=FALSE,$U$6=TRUE,$U$7=TRUE)),VLOOKUP($E527,'Status Thresholds'!$E:$AR,18,FALSE),IF((AND($U$4=TRUE,$U$5=FALSE,$U$6=FALSE,$U$7=TRUE)),VLOOKUP($E527,'Status Thresholds'!$E:$AR,8,FALSE),
IF((AND($U$4=FALSE,$U$5=TRUE,$U$6=FALSE,$U$7=FALSE)),VLOOKUP($E527,'Status Thresholds'!$E:$AR,23,FALSE),IF((AND($U$4=FALSE,$U$5=TRUE,$U$6=TRUE,$U$7=FALSE)),VLOOKUP($E527,'Status Thresholds'!$E:$AR,33,FALSE),IF((AND($U$4=FALSE,$U$5=TRUE,$U$6=TRUE,$U$7=TRUE)),VLOOKUP($E527,'Status Thresholds'!$E:$AR,38,FALSE),IF((AND($U$4=FALSE,$U$5=TRUE,$U$6=FALSE,$U$7=TRUE)),VLOOKUP($E527,'Status Thresholds'!$E:$AR,28,FALSE)))))))))
))/
IF(OR($X$5=TRUE,$AC$3=TRUE
),($F$7/2), IF(OR($X$2,$X$3,$X$4,$X$6,$X$7,$X$8,$Z$2,$Z$3,$Z$4,$Z$5,$Z$6,$Z$7,$Z$8)=TRUE,$F$7)),0),"-")</f>
        <v>-</v>
      </c>
      <c r="H527" s="36" t="str">
        <f>IFERROR(
ROUNDUP(
IF(AND($U$5=FALSE,$U$4=FALSE),"-",IF(AND($U$5=TRUE,$U$4=TRUE),"-",
IF((AND($U$4=TRUE,$U$5=FALSE,$U$6=FALSE,$U$7=FALSE)),VLOOKUP($E527,'Status Thresholds'!$E:$AR,4,FALSE),IF((AND($U$4=TRUE,$U$5=FALSE,$U$6=TRUE,$U$7=FALSE)),VLOOKUP($E527,'Status Thresholds'!$E:$AR,14,FALSE),IF((AND($U$4=TRUE,$U$5=FALSE,$U$6=TRUE,$U$7=TRUE)),VLOOKUP($E527,'Status Thresholds'!$E:$AR,19,FALSE),IF((AND($U$4=TRUE,$U$5=FALSE,$U$6=FALSE,$U$7=TRUE)),VLOOKUP($E527,'Status Thresholds'!$E:$AR,9,FALSE),
IF((AND($U$4=FALSE,$U$5=TRUE,$U$6=FALSE,$U$7=FALSE)),VLOOKUP($E527,'Status Thresholds'!$E:$AR,24,FALSE),IF((AND($U$4=FALSE,$U$5=TRUE,$U$6=TRUE,$U$7=FALSE)),VLOOKUP($E527,'Status Thresholds'!$E:$AR,34,FALSE),IF((AND($U$4=FALSE,$U$5=TRUE,$U$6=TRUE,$U$7=TRUE)),VLOOKUP($E527,'Status Thresholds'!$E:$AR,39,FALSE),IF((AND($U$4=FALSE,$U$5=TRUE,$U$6=FALSE,$U$7=TRUE)),VLOOKUP($E527,'Status Thresholds'!$E:$AR,29,FALSE)))))))))
))/
IF(OR($X$5=TRUE,$AC$3=TRUE
),($F$7/2), IF(OR($X$2,$X$3,$X$4,$X$6,$X$7,$X$8,$Z$2,$Z$3,$Z$4,$Z$5,$Z$6,$Z$7,$Z$8)=TRUE,$F$7)),0),"-")</f>
        <v>-</v>
      </c>
      <c r="I527" s="36" t="str">
        <f>IFERROR(
ROUNDUP(
IF(AND($U$5=FALSE,$U$4=FALSE),"-",IF(AND($U$5=TRUE,$U$4=TRUE),"-",
IF((AND($U$4=TRUE,$U$5=FALSE,$U$6=FALSE,$U$7=FALSE)),VLOOKUP($E527,'Status Thresholds'!$E:$AR,5,FALSE),IF((AND($U$4=TRUE,$U$5=FALSE,$U$6=TRUE,$U$7=FALSE)),VLOOKUP($E527,'Status Thresholds'!$E:$AR,15,FALSE),IF((AND($U$4=TRUE,$U$5=FALSE,$U$6=TRUE,$U$7=TRUE)),VLOOKUP($E527,'Status Thresholds'!$E:$AR,20,FALSE),IF((AND($U$4=TRUE,$U$5=FALSE,$U$6=FALSE,$U$7=TRUE)),VLOOKUP($E527,'Status Thresholds'!$E:$AR,10,FALSE),
IF((AND($U$4=FALSE,$U$5=TRUE,$U$6=FALSE,$U$7=FALSE)),VLOOKUP($E527,'Status Thresholds'!$E:$AR,25,FALSE),IF((AND($U$4=FALSE,$U$5=TRUE,$U$6=TRUE,$U$7=FALSE)),VLOOKUP($E527,'Status Thresholds'!$E:$AR,35,FALSE),IF((AND($U$4=FALSE,$U$5=TRUE,$U$6=TRUE,$U$7=TRUE)),VLOOKUP($E527,'Status Thresholds'!$E:$AR,40,FALSE),IF((AND($U$4=FALSE,$U$5=TRUE,$U$6=FALSE,$U$7=TRUE)),VLOOKUP($E527,'Status Thresholds'!$E:$AR,30,FALSE)))))))))
))/
IF(OR($X$5=TRUE,$AC$3=TRUE
),($F$7/2), IF(OR($X$2,$X$3,$X$4,$X$6,$X$7,$X$8,$Z$2,$Z$3,$Z$4,$Z$5,$Z$6,$Z$7,$Z$8)=TRUE,$F$7)),0),"-")</f>
        <v>-</v>
      </c>
      <c r="J527" s="46">
        <f>IFERROR(IF(AND($U$5=FALSE,$U$4=FALSE),"-",VLOOKUP($E527,'Status Thresholds'!$E:$AU,41,FALSE)),"-")</f>
        <v>0</v>
      </c>
      <c r="K527" s="46" t="str">
        <f>IFERROR(IF(AND($U$5=FALSE,$U$4=FALSE),"-",VLOOKUP($E527,'Status Thresholds'!$E:$AU,42,FALSE)),"-")</f>
        <v>-</v>
      </c>
      <c r="L527" s="46" t="str">
        <f>IFERROR(IF(AND($U$5=FALSE,$U$4=FALSE),"-",VLOOKUP($E527,'Status Thresholds'!$E:$AU,43,FALSE)),"-")</f>
        <v>-</v>
      </c>
    </row>
    <row r="528" spans="1:12" ht="14.45" customHeight="1" x14ac:dyDescent="0.25">
      <c r="A528" s="35"/>
      <c r="B528" s="64" t="str">
        <f>VLOOKUP(C528,'Status Thresholds'!B:C,2,FALSE)</f>
        <v>MHGen</v>
      </c>
      <c r="C528" s="64" t="str">
        <f>IF('Status Thresholds'!B523=0, "", 'Status Thresholds'!B523)</f>
        <v>Nargacuga</v>
      </c>
      <c r="D528" s="34" t="s">
        <v>14</v>
      </c>
      <c r="E528" s="36" t="str">
        <f t="shared" si="7"/>
        <v>NargacugaKO</v>
      </c>
      <c r="F528" s="36" t="s">
        <v>214</v>
      </c>
      <c r="G528" s="36" t="s">
        <v>214</v>
      </c>
      <c r="H528" s="36" t="s">
        <v>214</v>
      </c>
      <c r="I528" s="36" t="s">
        <v>214</v>
      </c>
      <c r="J528" s="46">
        <f>IFERROR(IF(AND($U$5=FALSE,$U$4=FALSE),"-",VLOOKUP($E528,'Status Thresholds'!$E:$AU,41,FALSE)),"-")</f>
        <v>10</v>
      </c>
      <c r="K528" s="46" t="str">
        <f>IFERROR(IF(AND($U$5=FALSE,$U$4=FALSE),"-",VLOOKUP($E528,'Status Thresholds'!$E:$AU,42,FALSE)),"-")</f>
        <v>-</v>
      </c>
      <c r="L528" s="46" t="str">
        <f>IFERROR(IF(AND($U$5=FALSE,$U$4=FALSE),"-",VLOOKUP($E528,'Status Thresholds'!$E:$AU,43,FALSE)),"-")</f>
        <v>-</v>
      </c>
    </row>
    <row r="529" spans="1:12" x14ac:dyDescent="0.25">
      <c r="A529" s="35"/>
      <c r="B529" s="64" t="str">
        <f>VLOOKUP(C529,'Status Thresholds'!B:C,2,FALSE)</f>
        <v>MHGen</v>
      </c>
      <c r="C529" s="64" t="str">
        <f>IF('Status Thresholds'!B524=0, "", 'Status Thresholds'!B524)</f>
        <v>Nargacuga</v>
      </c>
      <c r="D529" s="33" t="s">
        <v>34</v>
      </c>
      <c r="E529" s="36" t="str">
        <f t="shared" si="7"/>
        <v>NargacugaMount</v>
      </c>
      <c r="F529" s="36" t="str">
        <f>IFERROR(
ROUNDUP(
IF(AND($U$5=FALSE,$U$4=FALSE),"-",IF(AND($U$5=TRUE,$U$4=TRUE),"-",
IF((AND($U$4=TRUE,$U$5=FALSE,$U$6=FALSE,$U$7=FALSE)),VLOOKUP($E529,'Status Thresholds'!$E:$AR,2,FALSE),IF((AND($U$4=TRUE,$U$5=FALSE,$U$6=TRUE,$U$7=FALSE)),VLOOKUP($E529,'Status Thresholds'!$E:$AR,12,FALSE),IF((AND($U$4=TRUE,$U$5=FALSE,$U$6=TRUE,$U$7=TRUE)),VLOOKUP($E529,'Status Thresholds'!$E:$AR,17,FALSE),IF((AND($U$4=TRUE,$U$5=FALSE,$U$6=FALSE,$U$7=TRUE)),VLOOKUP($E529,'Status Thresholds'!$E:$AR,7,FALSE),
IF((AND($U$4=FALSE,$U$5=TRUE,$U$6=FALSE,$U$7=FALSE)),VLOOKUP($E529,'Status Thresholds'!$E:$AR,22,FALSE),IF((AND($U$4=FALSE,$U$5=TRUE,$U$6=TRUE,$U$7=FALSE)),VLOOKUP($E529,'Status Thresholds'!$E:$AR,32,FALSE),IF((AND($U$4=FALSE,$U$5=TRUE,$U$6=TRUE,$U$7=TRUE)),VLOOKUP($E529,'Status Thresholds'!$E:$AR,37,FALSE),IF((AND($U$4=FALSE,$U$5=TRUE,$U$6=FALSE,$U$7=TRUE)),VLOOKUP($E529,'Status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529" s="36" t="str">
        <f>IFERROR(
ROUNDUP(
IF(AND($U$5=FALSE,$U$4=FALSE),"-",IF(AND($U$5=TRUE,$U$4=TRUE),"-",
IF((AND($U$4=TRUE,$U$5=FALSE,$U$6=FALSE,$U$7=FALSE)),VLOOKUP($E528,'Status Thresholds'!$E:$AR,3,FALSE),IF((AND($U$4=TRUE,$U$5=FALSE,$U$6=TRUE,$U$7=FALSE)),VLOOKUP($E528,'Status Thresholds'!$E:$AR,13,FALSE),IF((AND($U$4=TRUE,$U$5=FALSE,$U$6=TRUE,$U$7=TRUE)),VLOOKUP($E528,'Status Thresholds'!$E:$AR,18,FALSE),IF((AND($U$4=TRUE,$U$5=FALSE,$U$6=FALSE,$U$7=TRUE)),VLOOKUP($E528,'Status Thresholds'!$E:$AR,8,FALSE),
IF((AND($U$4=FALSE,$U$5=TRUE,$U$6=FALSE,$U$7=FALSE)),VLOOKUP($E528,'Status Thresholds'!$E:$AR,23,FALSE),IF((AND($U$4=FALSE,$U$5=TRUE,$U$6=TRUE,$U$7=FALSE)),VLOOKUP($E528,'Status Thresholds'!$E:$AR,33,FALSE),IF((AND($U$4=FALSE,$U$5=TRUE,$U$6=TRUE,$U$7=TRUE)),VLOOKUP($E528,'Status Thresholds'!$E:$AR,38,FALSE),IF((AND($U$4=FALSE,$U$5=TRUE,$U$6=FALSE,$U$7=TRUE)),VLOOKUP($E528,'Status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529" s="36" t="str">
        <f>IFERROR(
ROUNDUP(
IF(AND($U$5=FALSE,$U$4=FALSE),"-",IF(AND($U$5=TRUE,$U$4=TRUE),"-",
IF((AND($U$4=TRUE,$U$5=FALSE,$U$6=FALSE,$U$7=FALSE)),VLOOKUP($E528,'Status Thresholds'!$E:$AR,4,FALSE),IF((AND($U$4=TRUE,$U$5=FALSE,$U$6=TRUE,$U$7=FALSE)),VLOOKUP($E528,'Status Thresholds'!$E:$AR,14,FALSE),IF((AND($U$4=TRUE,$U$5=FALSE,$U$6=TRUE,$U$7=TRUE)),VLOOKUP($E528,'Status Thresholds'!$E:$AR,19,FALSE),IF((AND($U$4=TRUE,$U$5=FALSE,$U$6=FALSE,$U$7=TRUE)),VLOOKUP($E528,'Status Thresholds'!$E:$AR,9,FALSE),
IF((AND($U$4=FALSE,$U$5=TRUE,$U$6=FALSE,$U$7=FALSE)),VLOOKUP($E528,'Status Thresholds'!$E:$AR,24,FALSE),IF((AND($U$4=FALSE,$U$5=TRUE,$U$6=TRUE,$U$7=FALSE)),VLOOKUP($E528,'Status Thresholds'!$E:$AR,34,FALSE),IF((AND($U$4=FALSE,$U$5=TRUE,$U$6=TRUE,$U$7=TRUE)),VLOOKUP($E528,'Status Thresholds'!$E:$AR,39,FALSE),IF((AND($U$4=FALSE,$U$5=TRUE,$U$6=FALSE,$U$7=TRUE)),VLOOKUP($E528,'Status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529" s="36" t="str">
        <f>IFERROR(
ROUNDUP(
IF(AND($U$5=FALSE,$U$4=FALSE),"-",IF(AND($U$5=TRUE,$U$4=TRUE),"-",
IF((AND($U$4=TRUE,$U$5=FALSE,$U$6=FALSE,$U$7=FALSE)),VLOOKUP($E528,'Status Thresholds'!$E:$AR,5,FALSE),IF((AND($U$4=TRUE,$U$5=FALSE,$U$6=TRUE,$U$7=FALSE)),VLOOKUP($E528,'Status Thresholds'!$E:$AR,15,FALSE),IF((AND($U$4=TRUE,$U$5=FALSE,$U$6=TRUE,$U$7=TRUE)),VLOOKUP($E528,'Status Thresholds'!$E:$AR,20,FALSE),IF((AND($U$4=TRUE,$U$5=FALSE,$U$6=FALSE,$U$7=TRUE)),VLOOKUP($E528,'Status Thresholds'!$E:$AR,10,FALSE),
IF((AND($U$4=FALSE,$U$5=TRUE,$U$6=FALSE,$U$7=FALSE)),VLOOKUP($E528,'Status Thresholds'!$E:$AR,25,FALSE),IF((AND($U$4=FALSE,$U$5=TRUE,$U$6=TRUE,$U$7=FALSE)),VLOOKUP($E528,'Status Thresholds'!$E:$AR,35,FALSE),IF((AND($U$4=FALSE,$U$5=TRUE,$U$6=TRUE,$U$7=TRUE)),VLOOKUP($E528,'Status Thresholds'!$E:$AR,40,FALSE),IF((AND($U$4=FALSE,$U$5=TRUE,$U$6=FALSE,$U$7=TRUE)),VLOOKUP($E528,'Status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529" s="46">
        <f>IFERROR(IF(AND($U$5=FALSE,$U$4=FALSE),"-",VLOOKUP($E529,'Status Thresholds'!$E:$AU,41,FALSE)),"-")</f>
        <v>0</v>
      </c>
      <c r="K529" s="46" t="str">
        <f>IFERROR(IF(AND($U$5=FALSE,$U$4=FALSE),"-",VLOOKUP($E529,'Status Thresholds'!$E:$AU,42,FALSE)),"-")</f>
        <v>-</v>
      </c>
      <c r="L529" s="46" t="str">
        <f>IFERROR(IF(AND($U$5=FALSE,$U$4=FALSE),"-",VLOOKUP($E529,'Status Thresholds'!$E:$AU,43,FALSE)),"-")</f>
        <v>-</v>
      </c>
    </row>
    <row r="530" spans="1:12" ht="15" customHeight="1" x14ac:dyDescent="0.25">
      <c r="A530" s="35"/>
      <c r="B530" s="64" t="str">
        <f>VLOOKUP(C530,'Status Thresholds'!B:C,2,FALSE)</f>
        <v>MHGen</v>
      </c>
      <c r="C530" s="64" t="str">
        <f>IF('Status Thresholds'!B525=0, "", 'Status Thresholds'!B525)</f>
        <v>Nargacuga</v>
      </c>
      <c r="D530" s="77" t="s">
        <v>207</v>
      </c>
      <c r="E530" s="36" t="str">
        <f t="shared" si="7"/>
        <v>NargacugaShock Trap</v>
      </c>
      <c r="F530" s="76" t="s">
        <v>214</v>
      </c>
      <c r="G530" s="46" t="s">
        <v>214</v>
      </c>
      <c r="H530" s="46" t="s">
        <v>214</v>
      </c>
      <c r="I530" s="46" t="s">
        <v>214</v>
      </c>
      <c r="J530" s="46">
        <f>IFERROR(IF(AND($U$5=FALSE,$U$4=FALSE),"-",VLOOKUP($E530,'Status Thresholds'!$E:$AU,43,FALSE)),"-")</f>
        <v>8</v>
      </c>
      <c r="K530" s="46">
        <f>IFERROR(IF(AND($U$5=FALSE,$U$4=FALSE),"-",VLOOKUP($E530,'Status Thresholds'!$E:$AU,41,FALSE)),"-")</f>
        <v>8</v>
      </c>
      <c r="L530" s="46">
        <f>IFERROR(IF(AND($U$5=FALSE,$U$4=FALSE),"-",VLOOKUP($E530,'Status Thresholds'!$E:$AU,42,FALSE)),"-")</f>
        <v>15</v>
      </c>
    </row>
    <row r="531" spans="1:12" x14ac:dyDescent="0.25">
      <c r="A531" s="35"/>
      <c r="B531" s="64" t="str">
        <f>VLOOKUP(C531,'Status Thresholds'!B:C,2,FALSE)</f>
        <v>MHGen</v>
      </c>
      <c r="C531" s="64" t="str">
        <f>IF('Status Thresholds'!B526=0, "", 'Status Thresholds'!B526)</f>
        <v>Nargacuga</v>
      </c>
      <c r="D531" s="77" t="s">
        <v>213</v>
      </c>
      <c r="E531" s="36" t="str">
        <f t="shared" si="7"/>
        <v>NargacugaPitfall Trap</v>
      </c>
      <c r="F531" s="46" t="s">
        <v>214</v>
      </c>
      <c r="G531" s="46" t="s">
        <v>214</v>
      </c>
      <c r="H531" s="46" t="s">
        <v>214</v>
      </c>
      <c r="I531" s="46" t="s">
        <v>214</v>
      </c>
      <c r="J531" s="46">
        <f>IFERROR(IF(AND($U$5=FALSE,$U$4=FALSE),"-",VLOOKUP($E531,'Status Thresholds'!$E:$AU,43,FALSE)),"-")</f>
        <v>20</v>
      </c>
      <c r="K531" s="46">
        <f>IFERROR(IF(AND($U$5=FALSE,$U$4=FALSE),"-",VLOOKUP($E531,'Status Thresholds'!$E:$AU,41,FALSE)),"-")</f>
        <v>20</v>
      </c>
      <c r="L531" s="46">
        <f>IFERROR(IF(AND($U$5=FALSE,$U$4=FALSE),"-",VLOOKUP($E531,'Status Thresholds'!$E:$AU,42,FALSE)),"-")</f>
        <v>25</v>
      </c>
    </row>
    <row r="532" spans="1:12" s="36" customFormat="1" x14ac:dyDescent="0.25">
      <c r="A532" s="64"/>
      <c r="B532" s="64" t="str">
        <f>VLOOKUP(C532,'Status Thresholds'!B:C,2,FALSE)</f>
        <v>MHGen</v>
      </c>
      <c r="C532" s="64" t="str">
        <f>IF('Status Thresholds'!B527=0, "", 'Status Thresholds'!B527)</f>
        <v>Narkos</v>
      </c>
      <c r="D532" s="37" t="s">
        <v>0</v>
      </c>
      <c r="E532" s="36" t="str">
        <f t="shared" si="7"/>
        <v>NarkosPara</v>
      </c>
      <c r="F532" s="36" t="str">
        <f>IFERROR(
ROUNDUP(
IF(AND($U$5=FALSE,$U$4=FALSE),"-",IF(AND($U$5=TRUE,$U$4=TRUE),"-",
IF((AND($U$4=TRUE,$U$5=FALSE,$U$6=FALSE,$U$7=FALSE)),VLOOKUP($E532,'Status Thresholds'!$E:$AR,2,FALSE),IF((AND($U$4=TRUE,$U$5=FALSE,$U$6=TRUE,$U$7=FALSE)),VLOOKUP($E532,'Status Thresholds'!$E:$AR,12,FALSE),IF((AND($U$4=TRUE,$U$5=FALSE,$U$6=TRUE,$U$7=TRUE)),VLOOKUP($E532,'Status Thresholds'!$E:$AR,17,FALSE),IF((AND($U$4=TRUE,$U$5=FALSE,$U$6=FALSE,$U$7=TRUE)),VLOOKUP($E532,'Status Thresholds'!$E:$AR,7,FALSE),
IF((AND($U$4=FALSE,$U$5=TRUE,$U$6=FALSE,$U$7=FALSE)),VLOOKUP($E532,'Status Thresholds'!$E:$AR,22,FALSE),IF((AND($U$4=FALSE,$U$5=TRUE,$U$6=TRUE,$U$7=FALSE)),VLOOKUP($E532,'Status Thresholds'!$E:$AR,32,FALSE),IF((AND($U$4=FALSE,$U$5=TRUE,$U$6=TRUE,$U$7=TRUE)),VLOOKUP($E532,'Status Thresholds'!$E:$AR,37,FALSE),IF((AND($U$4=FALSE,$U$5=TRUE,$U$6=FALSE,$U$7=TRUE)),VLOOKUP($E532,'Status Thresholds'!$E:$AR,27,FALSE)))))))))
))/
IF(OR($X$5=TRUE,$AC$3=TRUE
),($F$3/2), IF(OR($X$2,$X$3,$X$4,$X$6,$X$7,$X$8,$Z$2,$Z$3,$Z$4,$Z$5,$Z$6,$Z$7,$Z$8)=TRUE,$F$3)),0),"-")</f>
        <v>-</v>
      </c>
      <c r="G532" s="36" t="str">
        <f>IFERROR(
ROUNDUP(
IF(AND($U$5=FALSE,$U$4=FALSE),"-",IF(AND($U$5=TRUE,$U$4=TRUE),"-",
IF((AND($U$4=TRUE,$U$5=FALSE,$U$6=FALSE,$U$7=FALSE)),VLOOKUP($E532,'Status Thresholds'!$E:$AR,3,FALSE),IF((AND($U$4=TRUE,$U$5=FALSE,$U$6=TRUE,$U$7=FALSE)),VLOOKUP($E532,'Status Thresholds'!$E:$AR,13,FALSE),IF((AND($U$4=TRUE,$U$5=FALSE,$U$6=TRUE,$U$7=TRUE)),VLOOKUP($E532,'Status Thresholds'!$E:$AR,18,FALSE),IF((AND($U$4=TRUE,$U$5=FALSE,$U$6=FALSE,$U$7=TRUE)),VLOOKUP($E532,'Status Thresholds'!$E:$AR,8,FALSE),
IF((AND($U$4=FALSE,$U$5=TRUE,$U$6=FALSE,$U$7=FALSE)),VLOOKUP($E532,'Status Thresholds'!$E:$AR,23,FALSE),IF((AND($U$4=FALSE,$U$5=TRUE,$U$6=TRUE,$U$7=FALSE)),VLOOKUP($E532,'Status Thresholds'!$E:$AR,33,FALSE),IF((AND($U$4=FALSE,$U$5=TRUE,$U$6=TRUE,$U$7=TRUE)),VLOOKUP($E532,'Status Thresholds'!$E:$AR,38,FALSE),IF((AND($U$4=FALSE,$U$5=TRUE,$U$6=FALSE,$U$7=TRUE)),VLOOKUP($E532,'Status Thresholds'!$E:$AR,28,FALSE)))))))))
))/
IF(OR($X$5=TRUE,$AC$3=TRUE
),($F$3/2), IF(OR($X$2,$X$3,$X$4,$X$6,$X$7,$X$8,$Z$2,$Z$3,$Z$4,$Z$5,$Z$6,$Z$7,$Z$8)=TRUE,$F$3)),0),"-")</f>
        <v>-</v>
      </c>
      <c r="H532" s="36" t="str">
        <f>IFERROR(
ROUNDUP(
IF(AND($U$5=FALSE,$U$4=FALSE),"-",IF(AND($U$5=TRUE,$U$4=TRUE),"-",
IF((AND($U$4=TRUE,$U$5=FALSE,$U$6=FALSE,$U$7=FALSE)),VLOOKUP($E532,'Status Thresholds'!$E:$AR,4,FALSE),IF((AND($U$4=TRUE,$U$5=FALSE,$U$6=TRUE,$U$7=FALSE)),VLOOKUP($E532,'Status Thresholds'!$E:$AR,14,FALSE),IF((AND($U$4=TRUE,$U$5=FALSE,$U$6=TRUE,$U$7=TRUE)),VLOOKUP($E532,'Status Thresholds'!$E:$AR,19,FALSE),IF((AND($U$4=TRUE,$U$5=FALSE,$U$6=FALSE,$U$7=TRUE)),VLOOKUP($E532,'Status Thresholds'!$E:$AR,9,FALSE),
IF((AND($U$4=FALSE,$U$5=TRUE,$U$6=FALSE,$U$7=FALSE)),VLOOKUP($E532,'Status Thresholds'!$E:$AR,24,FALSE),IF((AND($U$4=FALSE,$U$5=TRUE,$U$6=TRUE,$U$7=FALSE)),VLOOKUP($E532,'Status Thresholds'!$E:$AR,34,FALSE),IF((AND($U$4=FALSE,$U$5=TRUE,$U$6=TRUE,$U$7=TRUE)),VLOOKUP($E532,'Status Thresholds'!$E:$AR,39,FALSE),IF((AND($U$4=FALSE,$U$5=TRUE,$U$6=FALSE,$U$7=TRUE)),VLOOKUP($E532,'Status Thresholds'!$E:$AR,29,FALSE)))))))))
))/
IF(OR($X$5=TRUE,$AC$3=TRUE
),($F$3/2), IF(OR($X$2,$X$3,$X$4,$X$6,$X$7,$X$8,$Z$2,$Z$3,$Z$4,$Z$5,$Z$6,$Z$7,$Z$8)=TRUE,$F$3)),0),"-")</f>
        <v>-</v>
      </c>
      <c r="I532" s="36" t="str">
        <f>IFERROR(
ROUNDUP(
IF(AND($U$5=FALSE,$U$4=FALSE),"-",IF(AND($U$5=TRUE,$U$4=TRUE),"-",
IF((AND($U$4=TRUE,$U$5=FALSE,$U$6=FALSE,$U$7=FALSE)),VLOOKUP($E532,'Status Thresholds'!$E:$AR,5,FALSE),IF((AND($U$4=TRUE,$U$5=FALSE,$U$6=TRUE,$U$7=FALSE)),VLOOKUP($E532,'Status Thresholds'!$E:$AR,15,FALSE),IF((AND($U$4=TRUE,$U$5=FALSE,$U$6=TRUE,$U$7=TRUE)),VLOOKUP($E532,'Status Thresholds'!$E:$AR,20,FALSE),IF((AND($U$4=TRUE,$U$5=FALSE,$U$6=FALSE,$U$7=TRUE)),VLOOKUP($E532,'Status Thresholds'!$E:$AR,10,FALSE),
IF((AND($U$4=FALSE,$U$5=TRUE,$U$6=FALSE,$U$7=FALSE)),VLOOKUP($E532,'Status Thresholds'!$E:$AR,25,FALSE),IF((AND($U$4=FALSE,$U$5=TRUE,$U$6=TRUE,$U$7=FALSE)),VLOOKUP($E532,'Status Thresholds'!$E:$AR,35,FALSE),IF((AND($U$4=FALSE,$U$5=TRUE,$U$6=TRUE,$U$7=TRUE)),VLOOKUP($E532,'Status Thresholds'!$E:$AR,40,FALSE),IF((AND($U$4=FALSE,$U$5=TRUE,$U$6=FALSE,$U$7=TRUE)),VLOOKUP($E532,'Status Thresholds'!$E:$AR,30,FALSE)))))))))
))/
IF(OR($X$5=TRUE,$AC$3=TRUE
),($F$3/2), IF(OR($X$2,$X$3,$X$4,$X$6,$X$7,$X$8,$Z$2,$Z$3,$Z$4,$Z$5,$Z$6,$Z$7,$Z$8)=TRUE,$F$3)),0),"-")</f>
        <v>-</v>
      </c>
      <c r="J532" s="36">
        <f>IFERROR(IF(AND($U$5=FALSE,$U$4=FALSE),"-",VLOOKUP($E532,'Status Thresholds'!$E:$AU,41,FALSE)),"-")</f>
        <v>0</v>
      </c>
      <c r="K532" s="36" t="str">
        <f>IFERROR(IF(AND($U$5=FALSE,$U$4=FALSE),"-",VLOOKUP($E532,'Status Thresholds'!$E:$AU,42,FALSE)),"-")</f>
        <v>-</v>
      </c>
      <c r="L532" s="36" t="str">
        <f>IFERROR(IF(AND($U$5=FALSE,$U$4=FALSE),"-",VLOOKUP($E532,'Status Thresholds'!$E:$AU,43,FALSE)),"-")</f>
        <v>-</v>
      </c>
    </row>
    <row r="533" spans="1:12" x14ac:dyDescent="0.25">
      <c r="A533" s="35"/>
      <c r="B533" s="64" t="str">
        <f>VLOOKUP(C533,'Status Thresholds'!B:C,2,FALSE)</f>
        <v>MHGen</v>
      </c>
      <c r="C533" s="64" t="str">
        <f>IF('Status Thresholds'!B528=0, "", 'Status Thresholds'!B528)</f>
        <v>Narkos</v>
      </c>
      <c r="D533" s="31" t="s">
        <v>32</v>
      </c>
      <c r="E533" s="36" t="str">
        <f t="shared" si="7"/>
        <v>NarkosSleep</v>
      </c>
      <c r="F533" s="36" t="str">
        <f>IFERROR(
ROUNDUP(
IF(AND($U$5=FALSE,$U$4=FALSE),"-",IF(AND($U$5=TRUE,$U$4=TRUE),"-",
IF((AND($U$4=TRUE,$U$5=FALSE,$U$6=FALSE,$U$7=FALSE)),VLOOKUP($E533,'Status Thresholds'!$E:$AR,2,FALSE),IF((AND($U$4=TRUE,$U$5=FALSE,$U$6=TRUE,$U$7=FALSE)),VLOOKUP($E533,'Status Thresholds'!$E:$AR,12,FALSE),IF((AND($U$4=TRUE,$U$5=FALSE,$U$6=TRUE,$U$7=TRUE)),VLOOKUP($E533,'Status Thresholds'!$E:$AR,17,FALSE),IF((AND($U$4=TRUE,$U$5=FALSE,$U$6=FALSE,$U$7=TRUE)),VLOOKUP($E533,'Status Thresholds'!$E:$AR,7,FALSE),
IF((AND($U$4=FALSE,$U$5=TRUE,$U$6=FALSE,$U$7=FALSE)),VLOOKUP($E533,'Status Thresholds'!$E:$AR,22,FALSE),IF((AND($U$4=FALSE,$U$5=TRUE,$U$6=TRUE,$U$7=FALSE)),VLOOKUP($E533,'Status Thresholds'!$E:$AR,32,FALSE),IF((AND($U$4=FALSE,$U$5=TRUE,$U$6=TRUE,$U$7=TRUE)),VLOOKUP($E533,'Status Thresholds'!$E:$AR,37,FALSE),IF((AND($U$4=FALSE,$U$5=TRUE,$U$6=FALSE,$U$7=TRUE)),VLOOKUP($E533,'Status Thresholds'!$E:$AR,27,FALSE)))))))))
))/
IF(OR($X$5=TRUE,$AC$3=TRUE
),($F$4/2), IF(OR($X$2,$X$3,$X$4,$X$6,$X$7,$X$8,$Z$2,$Z$3,$Z$4,$Z$5,$Z$6,$Z$7,$Z$8)=TRUE,$F$4)),0),"-")</f>
        <v>-</v>
      </c>
      <c r="G533" s="36" t="str">
        <f>IFERROR(
ROUNDUP(
IF(AND($U$5=FALSE,$U$4=FALSE),"-",IF(AND($U$5=TRUE,$U$4=TRUE),"-",
IF((AND($U$4=TRUE,$U$5=FALSE,$U$6=FALSE,$U$7=FALSE)),VLOOKUP($E533,'Status Thresholds'!$E:$AR,3,FALSE),IF((AND($U$4=TRUE,$U$5=FALSE,$U$6=TRUE,$U$7=FALSE)),VLOOKUP($E533,'Status Thresholds'!$E:$AR,13,FALSE),IF((AND($U$4=TRUE,$U$5=FALSE,$U$6=TRUE,$U$7=TRUE)),VLOOKUP($E533,'Status Thresholds'!$E:$AR,18,FALSE),IF((AND($U$4=TRUE,$U$5=FALSE,$U$6=FALSE,$U$7=TRUE)),VLOOKUP($E533,'Status Thresholds'!$E:$AR,8,FALSE),
IF((AND($U$4=FALSE,$U$5=TRUE,$U$6=FALSE,$U$7=FALSE)),VLOOKUP($E533,'Status Thresholds'!$E:$AR,23,FALSE),IF((AND($U$4=FALSE,$U$5=TRUE,$U$6=TRUE,$U$7=FALSE)),VLOOKUP($E533,'Status Thresholds'!$E:$AR,33,FALSE),IF((AND($U$4=FALSE,$U$5=TRUE,$U$6=TRUE,$U$7=TRUE)),VLOOKUP($E533,'Status Thresholds'!$E:$AR,38,FALSE),IF((AND($U$4=FALSE,$U$5=TRUE,$U$6=FALSE,$U$7=TRUE)),VLOOKUP($E533,'Status Thresholds'!$E:$AR,28,FALSE)))))))))
))/
IF(OR($X$5=TRUE,$AC$3=TRUE
),($F$4/2), IF(OR($X$2,$X$3,$X$4,$X$6,$X$7,$X$8,$Z$2,$Z$3,$Z$4,$Z$5,$Z$6,$Z$7,$Z$8)=TRUE,$F$4)),0),"-")</f>
        <v>-</v>
      </c>
      <c r="H533" s="36" t="str">
        <f>IFERROR(
ROUNDUP(
IF(AND($U$5=FALSE,$U$4=FALSE),"-",IF(AND($U$5=TRUE,$U$4=TRUE),"-",
IF((AND($U$4=TRUE,$U$5=FALSE,$U$6=FALSE,$U$7=FALSE)),VLOOKUP($E533,'Status Thresholds'!$E:$AR,4,FALSE),IF((AND($U$4=TRUE,$U$5=FALSE,$U$6=TRUE,$U$7=FALSE)),VLOOKUP($E533,'Status Thresholds'!$E:$AR,14,FALSE),IF((AND($U$4=TRUE,$U$5=FALSE,$U$6=TRUE,$U$7=TRUE)),VLOOKUP($E533,'Status Thresholds'!$E:$AR,19,FALSE),IF((AND($U$4=TRUE,$U$5=FALSE,$U$6=FALSE,$U$7=TRUE)),VLOOKUP($E533,'Status Thresholds'!$E:$AR,9,FALSE),
IF((AND($U$4=FALSE,$U$5=TRUE,$U$6=FALSE,$U$7=FALSE)),VLOOKUP($E533,'Status Thresholds'!$E:$AR,24,FALSE),IF((AND($U$4=FALSE,$U$5=TRUE,$U$6=TRUE,$U$7=FALSE)),VLOOKUP($E533,'Status Thresholds'!$E:$AR,34,FALSE),IF((AND($U$4=FALSE,$U$5=TRUE,$U$6=TRUE,$U$7=TRUE)),VLOOKUP($E533,'Status Thresholds'!$E:$AR,39,FALSE),IF((AND($U$4=FALSE,$U$5=TRUE,$U$6=FALSE,$U$7=TRUE)),VLOOKUP($E533,'Status Thresholds'!$E:$AR,29,FALSE)))))))))
))/
IF(OR($X$5=TRUE,$AC$3=TRUE
),($F$4/2), IF(OR($X$2,$X$3,$X$4,$X$6,$X$7,$X$8,$Z$2,$Z$3,$Z$4,$Z$5,$Z$6,$Z$7,$Z$8)=TRUE,$F$4)),0),"-")</f>
        <v>-</v>
      </c>
      <c r="I533" s="36" t="str">
        <f>IFERROR(
ROUNDUP(
IF(AND($U$5=FALSE,$U$4=FALSE),"-",IF(AND($U$5=TRUE,$U$4=TRUE),"-",
IF((AND($U$4=TRUE,$U$5=FALSE,$U$6=FALSE,$U$7=FALSE)),VLOOKUP($E533,'Status Thresholds'!$E:$AR,5,FALSE),IF((AND($U$4=TRUE,$U$5=FALSE,$U$6=TRUE,$U$7=FALSE)),VLOOKUP($E533,'Status Thresholds'!$E:$AR,15,FALSE),IF((AND($U$4=TRUE,$U$5=FALSE,$U$6=TRUE,$U$7=TRUE)),VLOOKUP($E533,'Status Thresholds'!$E:$AR,20,FALSE),IF((AND($U$4=TRUE,$U$5=FALSE,$U$6=FALSE,$U$7=TRUE)),VLOOKUP($E533,'Status Thresholds'!$E:$AR,10,FALSE),
IF((AND($U$4=FALSE,$U$5=TRUE,$U$6=FALSE,$U$7=FALSE)),VLOOKUP($E533,'Status Thresholds'!$E:$AR,25,FALSE),IF((AND($U$4=FALSE,$U$5=TRUE,$U$6=TRUE,$U$7=FALSE)),VLOOKUP($E533,'Status Thresholds'!$E:$AR,35,FALSE),IF((AND($U$4=FALSE,$U$5=TRUE,$U$6=TRUE,$U$7=TRUE)),VLOOKUP($E533,'Status Thresholds'!$E:$AR,40,FALSE),IF((AND($U$4=FALSE,$U$5=TRUE,$U$6=FALSE,$U$7=TRUE)),VLOOKUP($E533,'Status Thresholds'!$E:$AR,30,FALSE)))))))))
))/
IF(OR($X$5=TRUE,$AC$3=TRUE
),($F$4/2), IF(OR($X$2,$X$3,$X$4,$X$6,$X$7,$X$8,$Z$2,$Z$3,$Z$4,$Z$5,$Z$6,$Z$7,$Z$8)=TRUE,$F$4)),0),"-")</f>
        <v>-</v>
      </c>
      <c r="J533" s="46">
        <f>IFERROR(IF(AND($U$5=FALSE,$U$4=FALSE),"-",VLOOKUP($E533,'Status Thresholds'!$E:$AU,41,FALSE)),"-")</f>
        <v>0</v>
      </c>
      <c r="K533" s="46" t="str">
        <f>IFERROR(IF(AND($U$5=FALSE,$U$4=FALSE),"-",VLOOKUP($E533,'Status Thresholds'!$E:$AU,42,FALSE)),"-")</f>
        <v>-</v>
      </c>
      <c r="L533" s="46" t="str">
        <f>IFERROR(IF(AND($U$5=FALSE,$U$4=FALSE),"-",VLOOKUP($E533,'Status Thresholds'!$E:$AU,43,FALSE)),"-")</f>
        <v>-</v>
      </c>
    </row>
    <row r="534" spans="1:12" x14ac:dyDescent="0.25">
      <c r="A534" s="35"/>
      <c r="B534" s="64" t="str">
        <f>VLOOKUP(C534,'Status Thresholds'!B:C,2,FALSE)</f>
        <v>MHGen</v>
      </c>
      <c r="C534" s="64" t="str">
        <f>IF('Status Thresholds'!B529=0, "", 'Status Thresholds'!B529)</f>
        <v>Narkos</v>
      </c>
      <c r="D534" s="32" t="s">
        <v>33</v>
      </c>
      <c r="E534" s="36" t="str">
        <f t="shared" si="7"/>
        <v>NarkosPoison</v>
      </c>
      <c r="F534" s="36" t="str">
        <f>IFERROR(
ROUNDUP(
IF(AND($U$5=FALSE,$U$4=FALSE),"-",IF(AND($U$5=TRUE,$U$4=TRUE),"-",
IF((AND($U$4=TRUE,$U$5=FALSE,$U$6=FALSE,$U$7=FALSE)),VLOOKUP($E534,'Status Thresholds'!$E:$AR,2,FALSE),IF((AND($U$4=TRUE,$U$5=FALSE,$U$6=TRUE,$U$7=FALSE)),VLOOKUP($E534,'Status Thresholds'!$E:$AR,12,FALSE),IF((AND($U$4=TRUE,$U$5=FALSE,$U$6=TRUE,$U$7=TRUE)),VLOOKUP($E534,'Status Thresholds'!$E:$AR,17,FALSE),IF((AND($U$4=TRUE,$U$5=FALSE,$U$6=FALSE,$U$7=TRUE)),VLOOKUP($E534,'Status Thresholds'!$E:$AR,7,FALSE),
IF((AND($U$4=FALSE,$U$5=TRUE,$U$6=FALSE,$U$7=FALSE)),VLOOKUP($E534,'Status Thresholds'!$E:$AR,22,FALSE),IF((AND($U$4=FALSE,$U$5=TRUE,$U$6=TRUE,$U$7=FALSE)),VLOOKUP($E534,'Status Thresholds'!$E:$AR,32,FALSE),IF((AND($U$4=FALSE,$U$5=TRUE,$U$6=TRUE,$U$7=TRUE)),VLOOKUP($E534,'Status Thresholds'!$E:$AR,37,FALSE),IF((AND($U$4=FALSE,$U$5=TRUE,$U$6=FALSE,$U$7=TRUE)),VLOOKUP($E534,'Status Thresholds'!$E:$AR,27,FALSE)))))))))
))/
IF(OR($X$5=TRUE,$AC$3=TRUE
),($F$5/2), IF(OR($X$2,$X$3,$X$4,$X$6,$X$7,$X$8,$Z$2,$Z$3,$Z$4,$Z$5,$Z$6,$Z$7,$Z$8)=TRUE,$F$5)),0),"-")</f>
        <v>-</v>
      </c>
      <c r="G534" s="36" t="str">
        <f>IFERROR(
ROUNDUP(
IF(AND($U$5=FALSE,$U$4=FALSE),"-",IF(AND($U$5=TRUE,$U$4=TRUE),"-",
IF((AND($U$4=TRUE,$U$5=FALSE,$U$6=FALSE,$U$7=FALSE)),VLOOKUP($E534,'Status Thresholds'!$E:$AR,3,FALSE),IF((AND($U$4=TRUE,$U$5=FALSE,$U$6=TRUE,$U$7=FALSE)),VLOOKUP($E534,'Status Thresholds'!$E:$AR,13,FALSE),IF((AND($U$4=TRUE,$U$5=FALSE,$U$6=TRUE,$U$7=TRUE)),VLOOKUP($E534,'Status Thresholds'!$E:$AR,18,FALSE),IF((AND($U$4=TRUE,$U$5=FALSE,$U$6=FALSE,$U$7=TRUE)),VLOOKUP($E534,'Status Thresholds'!$E:$AR,8,FALSE),
IF((AND($U$4=FALSE,$U$5=TRUE,$U$6=FALSE,$U$7=FALSE)),VLOOKUP($E534,'Status Thresholds'!$E:$AR,23,FALSE),IF((AND($U$4=FALSE,$U$5=TRUE,$U$6=TRUE,$U$7=FALSE)),VLOOKUP($E534,'Status Thresholds'!$E:$AR,33,FALSE),IF((AND($U$4=FALSE,$U$5=TRUE,$U$6=TRUE,$U$7=TRUE)),VLOOKUP($E534,'Status Thresholds'!$E:$AR,38,FALSE),IF((AND($U$4=FALSE,$U$5=TRUE,$U$6=FALSE,$U$7=TRUE)),VLOOKUP($E534,'Status Thresholds'!$E:$AR,28,FALSE)))))))))
))/
IF(OR($X$5=TRUE,$AC$3=TRUE
),($F$5/2), IF(OR($X$2,$X$3,$X$4,$X$6,$X$7,$X$8,$Z$2,$Z$3,$Z$4,$Z$5,$Z$6,$Z$7,$Z$8)=TRUE,$F$5)),0),"-")</f>
        <v>-</v>
      </c>
      <c r="H534" s="36" t="str">
        <f>IFERROR(
ROUNDUP(
IF(AND($U$5=FALSE,$U$4=FALSE),"-",IF(AND($U$5=TRUE,$U$4=TRUE),"-",
IF((AND($U$4=TRUE,$U$5=FALSE,$U$6=FALSE,$U$7=FALSE)),VLOOKUP($E534,'Status Thresholds'!$E:$AR,4,FALSE),IF((AND($U$4=TRUE,$U$5=FALSE,$U$6=TRUE,$U$7=FALSE)),VLOOKUP($E534,'Status Thresholds'!$E:$AR,14,FALSE),IF((AND($U$4=TRUE,$U$5=FALSE,$U$6=TRUE,$U$7=TRUE)),VLOOKUP($E534,'Status Thresholds'!$E:$AR,19,FALSE),IF((AND($U$4=TRUE,$U$5=FALSE,$U$6=FALSE,$U$7=TRUE)),VLOOKUP($E534,'Status Thresholds'!$E:$AR,9,FALSE),
IF((AND($U$4=FALSE,$U$5=TRUE,$U$6=FALSE,$U$7=FALSE)),VLOOKUP($E534,'Status Thresholds'!$E:$AR,24,FALSE),IF((AND($U$4=FALSE,$U$5=TRUE,$U$6=TRUE,$U$7=FALSE)),VLOOKUP($E534,'Status Thresholds'!$E:$AR,34,FALSE),IF((AND($U$4=FALSE,$U$5=TRUE,$U$6=TRUE,$U$7=TRUE)),VLOOKUP($E534,'Status Thresholds'!$E:$AR,39,FALSE),IF((AND($U$4=FALSE,$U$5=TRUE,$U$6=FALSE,$U$7=TRUE)),VLOOKUP($E534,'Status Thresholds'!$E:$AR,29,FALSE)))))))))
))/
IF(OR($X$5=TRUE,$AC$3=TRUE
),($F$5/2), IF(OR($X$2,$X$3,$X$4,$X$6,$X$7,$X$8,$Z$2,$Z$3,$Z$4,$Z$5,$Z$6,$Z$7,$Z$8)=TRUE,$F$5)),0),"-")</f>
        <v>-</v>
      </c>
      <c r="I534" s="36" t="str">
        <f>IFERROR(
ROUNDUP(
IF(AND($U$5=FALSE,$U$4=FALSE),"-",IF(AND($U$5=TRUE,$U$4=TRUE),"-",
IF((AND($U$4=TRUE,$U$5=FALSE,$U$6=FALSE,$U$7=FALSE)),VLOOKUP($E534,'Status Thresholds'!$E:$AR,5,FALSE),IF((AND($U$4=TRUE,$U$5=FALSE,$U$6=TRUE,$U$7=FALSE)),VLOOKUP($E534,'Status Thresholds'!$E:$AR,15,FALSE),IF((AND($U$4=TRUE,$U$5=FALSE,$U$6=TRUE,$U$7=TRUE)),VLOOKUP($E534,'Status Thresholds'!$E:$AR,20,FALSE),IF((AND($U$4=TRUE,$U$5=FALSE,$U$6=FALSE,$U$7=TRUE)),VLOOKUP($E534,'Status Thresholds'!$E:$AR,10,FALSE),
IF((AND($U$4=FALSE,$U$5=TRUE,$U$6=FALSE,$U$7=FALSE)),VLOOKUP($E534,'Status Thresholds'!$E:$AR,25,FALSE),IF((AND($U$4=FALSE,$U$5=TRUE,$U$6=TRUE,$U$7=FALSE)),VLOOKUP($E534,'Status Thresholds'!$E:$AR,35,FALSE),IF((AND($U$4=FALSE,$U$5=TRUE,$U$6=TRUE,$U$7=TRUE)),VLOOKUP($E534,'Status Thresholds'!$E:$AR,40,FALSE),IF((AND($U$4=FALSE,$U$5=TRUE,$U$6=FALSE,$U$7=TRUE)),VLOOKUP($E534,'Status Thresholds'!$E:$AR,30,FALSE)))))))))
))/
IF(OR($X$5=TRUE,$AC$3=TRUE
),($F$5/2), IF(OR($X$2,$X$3,$X$4,$X$6,$X$7,$X$8,$Z$2,$Z$3,$Z$4,$Z$5,$Z$6,$Z$7,$Z$8)=TRUE,$F$5)),0),"-")</f>
        <v>-</v>
      </c>
      <c r="J534" s="46">
        <f>IFERROR(IF(AND($U$5=FALSE,$U$4=FALSE),"-",VLOOKUP($E534,'Status Thresholds'!$E:$AU,41,FALSE)),"-")</f>
        <v>60</v>
      </c>
      <c r="K534" s="46" t="str">
        <f>IFERROR(IF(AND($U$5=FALSE,$U$4=FALSE),"-",VLOOKUP($E534,'Status Thresholds'!$E:$AU,42,FALSE)),"-")</f>
        <v>-</v>
      </c>
      <c r="L534" s="46" t="str">
        <f>IFERROR(IF(AND($U$5=FALSE,$U$4=FALSE),"-",VLOOKUP($E534,'Status Thresholds'!$E:$AU,43,FALSE)),"-")</f>
        <v>-</v>
      </c>
    </row>
    <row r="535" spans="1:12" x14ac:dyDescent="0.25">
      <c r="A535" s="35"/>
      <c r="B535" s="64" t="str">
        <f>VLOOKUP(C535,'Status Thresholds'!B:C,2,FALSE)</f>
        <v>MHGen</v>
      </c>
      <c r="C535" s="64" t="str">
        <f>IF('Status Thresholds'!B530=0, "", 'Status Thresholds'!B530)</f>
        <v>Narkos</v>
      </c>
      <c r="D535" s="10" t="s">
        <v>22</v>
      </c>
      <c r="E535" s="36" t="str">
        <f t="shared" si="7"/>
        <v>NarkosExhaust</v>
      </c>
      <c r="F535" s="36" t="str">
        <f>IFERROR(
ROUNDUP(
IF(AND($U$5=FALSE,$U$4=FALSE),"-",IF(AND($U$5=TRUE,$U$4=TRUE),"-",
IF((AND($U$4=TRUE,$U$5=FALSE,$U$6=FALSE,$U$7=FALSE)),VLOOKUP($E535,'Status Thresholds'!$E:$AR,2,FALSE),IF((AND($U$4=TRUE,$U$5=FALSE,$U$6=TRUE,$U$7=FALSE)),VLOOKUP($E535,'Status Thresholds'!$E:$AR,12,FALSE),IF((AND($U$4=TRUE,$U$5=FALSE,$U$6=TRUE,$U$7=TRUE)),VLOOKUP($E535,'Status Thresholds'!$E:$AR,17,FALSE),IF((AND($U$4=TRUE,$U$5=FALSE,$U$6=FALSE,$U$7=TRUE)),VLOOKUP($E535,'Status Thresholds'!$E:$AR,7,FALSE),
IF((AND($U$4=FALSE,$U$5=TRUE,$U$6=FALSE,$U$7=FALSE)),VLOOKUP($E535,'Status Thresholds'!$E:$AR,22,FALSE),IF((AND($U$4=FALSE,$U$5=TRUE,$U$6=TRUE,$U$7=FALSE)),VLOOKUP($E535,'Status Thresholds'!$E:$AR,32,FALSE),IF((AND($U$4=FALSE,$U$5=TRUE,$U$6=TRUE,$U$7=TRUE)),VLOOKUP($E535,'Status Thresholds'!$E:$AR,37,FALSE),IF((AND($U$4=FALSE,$U$5=TRUE,$U$6=FALSE,$U$7=TRUE)),VLOOKUP($E535,'Status Thresholds'!$E:$AR,27,FALSE)))))))))
))/
IF(OR($X$5=TRUE,$AC$3=TRUE
),($F$6/2), IF(OR($X$2,$X$3,$X$4,$X$6,$X$7,$X$8,$Z$2,$Z$3,$Z$4,$Z$5,$Z$6,$Z$7,$Z$8)=TRUE,$F$6)),0),"-")</f>
        <v>-</v>
      </c>
      <c r="G535" s="36" t="str">
        <f>IFERROR(
ROUNDUP(
IF(AND($U$5=FALSE,$U$4=FALSE),"-",IF(AND($U$5=TRUE,$U$4=TRUE),"-",
IF((AND($U$4=TRUE,$U$5=FALSE,$U$6=FALSE,$U$7=FALSE)),VLOOKUP($E535,'Status Thresholds'!$E:$AR,3,FALSE),IF((AND($U$4=TRUE,$U$5=FALSE,$U$6=TRUE,$U$7=FALSE)),VLOOKUP($E535,'Status Thresholds'!$E:$AR,13,FALSE),IF((AND($U$4=TRUE,$U$5=FALSE,$U$6=TRUE,$U$7=TRUE)),VLOOKUP($E535,'Status Thresholds'!$E:$AR,18,FALSE),IF((AND($U$4=TRUE,$U$5=FALSE,$U$6=FALSE,$U$7=TRUE)),VLOOKUP($E535,'Status Thresholds'!$E:$AR,8,FALSE),
IF((AND($U$4=FALSE,$U$5=TRUE,$U$6=FALSE,$U$7=FALSE)),VLOOKUP($E535,'Status Thresholds'!$E:$AR,23,FALSE),IF((AND($U$4=FALSE,$U$5=TRUE,$U$6=TRUE,$U$7=FALSE)),VLOOKUP($E535,'Status Thresholds'!$E:$AR,33,FALSE),IF((AND($U$4=FALSE,$U$5=TRUE,$U$6=TRUE,$U$7=TRUE)),VLOOKUP($E535,'Status Thresholds'!$E:$AR,38,FALSE),IF((AND($U$4=FALSE,$U$5=TRUE,$U$6=FALSE,$U$7=TRUE)),VLOOKUP($E535,'Status Thresholds'!$E:$AR,28,FALSE)))))))))
))/
IF(OR($X$5=TRUE,$AC$3=TRUE
),($F$6/2), IF(OR($X$2,$X$3,$X$4,$X$6,$X$7,$X$8,$Z$2,$Z$3,$Z$4,$Z$5,$Z$6,$Z$7,$Z$8)=TRUE,$F$6)),0),"-")</f>
        <v>-</v>
      </c>
      <c r="H535" s="36" t="str">
        <f>IFERROR(
ROUNDUP(
IF(AND($U$5=FALSE,$U$4=FALSE),"-",IF(AND($U$5=TRUE,$U$4=TRUE),"-",
IF((AND($U$4=TRUE,$U$5=FALSE,$U$6=FALSE,$U$7=FALSE)),VLOOKUP($E535,'Status Thresholds'!$E:$AR,4,FALSE),IF((AND($U$4=TRUE,$U$5=FALSE,$U$6=TRUE,$U$7=FALSE)),VLOOKUP($E535,'Status Thresholds'!$E:$AR,14,FALSE),IF((AND($U$4=TRUE,$U$5=FALSE,$U$6=TRUE,$U$7=TRUE)),VLOOKUP($E535,'Status Thresholds'!$E:$AR,19,FALSE),IF((AND($U$4=TRUE,$U$5=FALSE,$U$6=FALSE,$U$7=TRUE)),VLOOKUP($E535,'Status Thresholds'!$E:$AR,9,FALSE),
IF((AND($U$4=FALSE,$U$5=TRUE,$U$6=FALSE,$U$7=FALSE)),VLOOKUP($E535,'Status Thresholds'!$E:$AR,24,FALSE),IF((AND($U$4=FALSE,$U$5=TRUE,$U$6=TRUE,$U$7=FALSE)),VLOOKUP($E535,'Status Thresholds'!$E:$AR,34,FALSE),IF((AND($U$4=FALSE,$U$5=TRUE,$U$6=TRUE,$U$7=TRUE)),VLOOKUP($E535,'Status Thresholds'!$E:$AR,39,FALSE),IF((AND($U$4=FALSE,$U$5=TRUE,$U$6=FALSE,$U$7=TRUE)),VLOOKUP($E535,'Status Thresholds'!$E:$AR,29,FALSE)))))))))
))/
IF(OR($X$5=TRUE,$AC$3=TRUE
),($F$6/2), IF(OR($X$2,$X$3,$X$4,$X$6,$X$7,$X$8,$Z$2,$Z$3,$Z$4,$Z$5,$Z$6,$Z$7,$Z$8)=TRUE,$F$6)),0),"-")</f>
        <v>-</v>
      </c>
      <c r="I535" s="36" t="str">
        <f>IFERROR(
ROUNDUP(
IF(AND($U$5=FALSE,$U$4=FALSE),"-",IF(AND($U$5=TRUE,$U$4=TRUE),"-",
IF((AND($U$4=TRUE,$U$5=FALSE,$U$6=FALSE,$U$7=FALSE)),VLOOKUP($E535,'Status Thresholds'!$E:$AR,5,FALSE),IF((AND($U$4=TRUE,$U$5=FALSE,$U$6=TRUE,$U$7=FALSE)),VLOOKUP($E535,'Status Thresholds'!$E:$AR,15,FALSE),IF((AND($U$4=TRUE,$U$5=FALSE,$U$6=TRUE,$U$7=TRUE)),VLOOKUP($E535,'Status Thresholds'!$E:$AR,20,FALSE),IF((AND($U$4=TRUE,$U$5=FALSE,$U$6=FALSE,$U$7=TRUE)),VLOOKUP($E535,'Status Thresholds'!$E:$AR,10,FALSE),
IF((AND($U$4=FALSE,$U$5=TRUE,$U$6=FALSE,$U$7=FALSE)),VLOOKUP($E535,'Status Thresholds'!$E:$AR,25,FALSE),IF((AND($U$4=FALSE,$U$5=TRUE,$U$6=TRUE,$U$7=FALSE)),VLOOKUP($E535,'Status Thresholds'!$E:$AR,35,FALSE),IF((AND($U$4=FALSE,$U$5=TRUE,$U$6=TRUE,$U$7=TRUE)),VLOOKUP($E535,'Status Thresholds'!$E:$AR,40,FALSE),IF((AND($U$4=FALSE,$U$5=TRUE,$U$6=FALSE,$U$7=TRUE)),VLOOKUP($E535,'Status Thresholds'!$E:$AR,30,FALSE)))))))))
))/
IF(OR($X$5=TRUE,$AC$3=TRUE
),($F$6/2), IF(OR($X$2,$X$3,$X$4,$X$6,$X$7,$X$8,$Z$2,$Z$3,$Z$4,$Z$5,$Z$6,$Z$7,$Z$8)=TRUE,$F$6)),0),"-")</f>
        <v>-</v>
      </c>
      <c r="J535" s="46">
        <f>IFERROR(IF(AND($U$5=FALSE,$U$4=FALSE),"-",VLOOKUP($E535,'Status Thresholds'!$E:$AU,41,FALSE)),"-")</f>
        <v>0</v>
      </c>
      <c r="K535" s="46" t="str">
        <f>IFERROR(IF(AND($U$5=FALSE,$U$4=FALSE),"-",VLOOKUP($E535,'Status Thresholds'!$E:$AU,42,FALSE)),"-")</f>
        <v>-</v>
      </c>
      <c r="L535" s="46" t="str">
        <f>IFERROR(IF(AND($U$5=FALSE,$U$4=FALSE),"-",VLOOKUP($E535,'Status Thresholds'!$E:$AU,43,FALSE)),"-")</f>
        <v>-</v>
      </c>
    </row>
    <row r="536" spans="1:12" x14ac:dyDescent="0.25">
      <c r="A536" s="35"/>
      <c r="B536" s="64" t="str">
        <f>VLOOKUP(C536,'Status Thresholds'!B:C,2,FALSE)</f>
        <v>MHGen</v>
      </c>
      <c r="C536" s="64" t="str">
        <f>IF('Status Thresholds'!B531=0, "", 'Status Thresholds'!B531)</f>
        <v>Narkos</v>
      </c>
      <c r="D536" s="30" t="s">
        <v>35</v>
      </c>
      <c r="E536" s="36" t="str">
        <f t="shared" si="7"/>
        <v>NarkosBlast</v>
      </c>
      <c r="F536" s="36" t="str">
        <f>IFERROR(
ROUNDUP(
IF(AND($U$5=FALSE,$U$4=FALSE),"-",IF(AND($U$5=TRUE,$U$4=TRUE),"-",
IF((AND($U$4=TRUE,$U$5=FALSE,$U$6=FALSE,$U$7=FALSE)),VLOOKUP($E536,'Status Thresholds'!$E:$AR,2,FALSE),IF((AND($U$4=TRUE,$U$5=FALSE,$U$6=TRUE,$U$7=FALSE)),VLOOKUP($E536,'Status Thresholds'!$E:$AR,12,FALSE),IF((AND($U$4=TRUE,$U$5=FALSE,$U$6=TRUE,$U$7=TRUE)),VLOOKUP($E536,'Status Thresholds'!$E:$AR,17,FALSE),IF((AND($U$4=TRUE,$U$5=FALSE,$U$6=FALSE,$U$7=TRUE)),VLOOKUP($E536,'Status Thresholds'!$E:$AR,7,FALSE),
IF((AND($U$4=FALSE,$U$5=TRUE,$U$6=FALSE,$U$7=FALSE)),VLOOKUP($E536,'Status Thresholds'!$E:$AR,22,FALSE),IF((AND($U$4=FALSE,$U$5=TRUE,$U$6=TRUE,$U$7=FALSE)),VLOOKUP($E536,'Status Thresholds'!$E:$AR,32,FALSE),IF((AND($U$4=FALSE,$U$5=TRUE,$U$6=TRUE,$U$7=TRUE)),VLOOKUP($E536,'Status Thresholds'!$E:$AR,37,FALSE),IF((AND($U$4=FALSE,$U$5=TRUE,$U$6=FALSE,$U$7=TRUE)),VLOOKUP($E536,'Status Thresholds'!$E:$AR,27,FALSE)))))))))
))/
IF(OR($X$5=TRUE,$AC$3=TRUE
),($F$7/2), IF(OR($X$2,$X$3,$X$4,$X$6,$X$7,$X$8,$Z$2,$Z$3,$Z$4,$Z$5,$Z$6,$Z$7,$Z$8)=TRUE,$F$7)),0),"-")</f>
        <v>-</v>
      </c>
      <c r="G536" s="36" t="str">
        <f>IFERROR(
ROUNDUP(
IF(AND($U$5=FALSE,$U$4=FALSE),"-",IF(AND($U$5=TRUE,$U$4=TRUE),"-",
IF((AND($U$4=TRUE,$U$5=FALSE,$U$6=FALSE,$U$7=FALSE)),VLOOKUP($E536,'Status Thresholds'!$E:$AR,3,FALSE),IF((AND($U$4=TRUE,$U$5=FALSE,$U$6=TRUE,$U$7=FALSE)),VLOOKUP($E536,'Status Thresholds'!$E:$AR,13,FALSE),IF((AND($U$4=TRUE,$U$5=FALSE,$U$6=TRUE,$U$7=TRUE)),VLOOKUP($E536,'Status Thresholds'!$E:$AR,18,FALSE),IF((AND($U$4=TRUE,$U$5=FALSE,$U$6=FALSE,$U$7=TRUE)),VLOOKUP($E536,'Status Thresholds'!$E:$AR,8,FALSE),
IF((AND($U$4=FALSE,$U$5=TRUE,$U$6=FALSE,$U$7=FALSE)),VLOOKUP($E536,'Status Thresholds'!$E:$AR,23,FALSE),IF((AND($U$4=FALSE,$U$5=TRUE,$U$6=TRUE,$U$7=FALSE)),VLOOKUP($E536,'Status Thresholds'!$E:$AR,33,FALSE),IF((AND($U$4=FALSE,$U$5=TRUE,$U$6=TRUE,$U$7=TRUE)),VLOOKUP($E536,'Status Thresholds'!$E:$AR,38,FALSE),IF((AND($U$4=FALSE,$U$5=TRUE,$U$6=FALSE,$U$7=TRUE)),VLOOKUP($E536,'Status Thresholds'!$E:$AR,28,FALSE)))))))))
))/
IF(OR($X$5=TRUE,$AC$3=TRUE
),($F$7/2), IF(OR($X$2,$X$3,$X$4,$X$6,$X$7,$X$8,$Z$2,$Z$3,$Z$4,$Z$5,$Z$6,$Z$7,$Z$8)=TRUE,$F$7)),0),"-")</f>
        <v>-</v>
      </c>
      <c r="H536" s="36" t="str">
        <f>IFERROR(
ROUNDUP(
IF(AND($U$5=FALSE,$U$4=FALSE),"-",IF(AND($U$5=TRUE,$U$4=TRUE),"-",
IF((AND($U$4=TRUE,$U$5=FALSE,$U$6=FALSE,$U$7=FALSE)),VLOOKUP($E536,'Status Thresholds'!$E:$AR,4,FALSE),IF((AND($U$4=TRUE,$U$5=FALSE,$U$6=TRUE,$U$7=FALSE)),VLOOKUP($E536,'Status Thresholds'!$E:$AR,14,FALSE),IF((AND($U$4=TRUE,$U$5=FALSE,$U$6=TRUE,$U$7=TRUE)),VLOOKUP($E536,'Status Thresholds'!$E:$AR,19,FALSE),IF((AND($U$4=TRUE,$U$5=FALSE,$U$6=FALSE,$U$7=TRUE)),VLOOKUP($E536,'Status Thresholds'!$E:$AR,9,FALSE),
IF((AND($U$4=FALSE,$U$5=TRUE,$U$6=FALSE,$U$7=FALSE)),VLOOKUP($E536,'Status Thresholds'!$E:$AR,24,FALSE),IF((AND($U$4=FALSE,$U$5=TRUE,$U$6=TRUE,$U$7=FALSE)),VLOOKUP($E536,'Status Thresholds'!$E:$AR,34,FALSE),IF((AND($U$4=FALSE,$U$5=TRUE,$U$6=TRUE,$U$7=TRUE)),VLOOKUP($E536,'Status Thresholds'!$E:$AR,39,FALSE),IF((AND($U$4=FALSE,$U$5=TRUE,$U$6=FALSE,$U$7=TRUE)),VLOOKUP($E536,'Status Thresholds'!$E:$AR,29,FALSE)))))))))
))/
IF(OR($X$5=TRUE,$AC$3=TRUE
),($F$7/2), IF(OR($X$2,$X$3,$X$4,$X$6,$X$7,$X$8,$Z$2,$Z$3,$Z$4,$Z$5,$Z$6,$Z$7,$Z$8)=TRUE,$F$7)),0),"-")</f>
        <v>-</v>
      </c>
      <c r="I536" s="36" t="str">
        <f>IFERROR(
ROUNDUP(
IF(AND($U$5=FALSE,$U$4=FALSE),"-",IF(AND($U$5=TRUE,$U$4=TRUE),"-",
IF((AND($U$4=TRUE,$U$5=FALSE,$U$6=FALSE,$U$7=FALSE)),VLOOKUP($E536,'Status Thresholds'!$E:$AR,5,FALSE),IF((AND($U$4=TRUE,$U$5=FALSE,$U$6=TRUE,$U$7=FALSE)),VLOOKUP($E536,'Status Thresholds'!$E:$AR,15,FALSE),IF((AND($U$4=TRUE,$U$5=FALSE,$U$6=TRUE,$U$7=TRUE)),VLOOKUP($E536,'Status Thresholds'!$E:$AR,20,FALSE),IF((AND($U$4=TRUE,$U$5=FALSE,$U$6=FALSE,$U$7=TRUE)),VLOOKUP($E536,'Status Thresholds'!$E:$AR,10,FALSE),
IF((AND($U$4=FALSE,$U$5=TRUE,$U$6=FALSE,$U$7=FALSE)),VLOOKUP($E536,'Status Thresholds'!$E:$AR,25,FALSE),IF((AND($U$4=FALSE,$U$5=TRUE,$U$6=TRUE,$U$7=FALSE)),VLOOKUP($E536,'Status Thresholds'!$E:$AR,35,FALSE),IF((AND($U$4=FALSE,$U$5=TRUE,$U$6=TRUE,$U$7=TRUE)),VLOOKUP($E536,'Status Thresholds'!$E:$AR,40,FALSE),IF((AND($U$4=FALSE,$U$5=TRUE,$U$6=FALSE,$U$7=TRUE)),VLOOKUP($E536,'Status Thresholds'!$E:$AR,30,FALSE)))))))))
))/
IF(OR($X$5=TRUE,$AC$3=TRUE
),($F$7/2), IF(OR($X$2,$X$3,$X$4,$X$6,$X$7,$X$8,$Z$2,$Z$3,$Z$4,$Z$5,$Z$6,$Z$7,$Z$8)=TRUE,$F$7)),0),"-")</f>
        <v>-</v>
      </c>
      <c r="J536" s="46">
        <f>IFERROR(IF(AND($U$5=FALSE,$U$4=FALSE),"-",VLOOKUP($E536,'Status Thresholds'!$E:$AU,41,FALSE)),"-")</f>
        <v>0</v>
      </c>
      <c r="K536" s="46" t="str">
        <f>IFERROR(IF(AND($U$5=FALSE,$U$4=FALSE),"-",VLOOKUP($E536,'Status Thresholds'!$E:$AU,42,FALSE)),"-")</f>
        <v>-</v>
      </c>
      <c r="L536" s="46" t="str">
        <f>IFERROR(IF(AND($U$5=FALSE,$U$4=FALSE),"-",VLOOKUP($E536,'Status Thresholds'!$E:$AU,43,FALSE)),"-")</f>
        <v>-</v>
      </c>
    </row>
    <row r="537" spans="1:12" ht="14.45" customHeight="1" x14ac:dyDescent="0.25">
      <c r="A537" s="35"/>
      <c r="B537" s="64" t="str">
        <f>VLOOKUP(C537,'Status Thresholds'!B:C,2,FALSE)</f>
        <v>MHGen</v>
      </c>
      <c r="C537" s="64" t="str">
        <f>IF('Status Thresholds'!B532=0, "", 'Status Thresholds'!B532)</f>
        <v>Narkos</v>
      </c>
      <c r="D537" s="34" t="s">
        <v>14</v>
      </c>
      <c r="E537" s="36" t="str">
        <f t="shared" si="7"/>
        <v>NarkosKO</v>
      </c>
      <c r="F537" s="36" t="s">
        <v>214</v>
      </c>
      <c r="G537" s="36" t="s">
        <v>214</v>
      </c>
      <c r="H537" s="36" t="s">
        <v>214</v>
      </c>
      <c r="I537" s="36" t="s">
        <v>214</v>
      </c>
      <c r="J537" s="46">
        <f>IFERROR(IF(AND($U$5=FALSE,$U$4=FALSE),"-",VLOOKUP($E537,'Status Thresholds'!$E:$AU,41,FALSE)),"-")</f>
        <v>0</v>
      </c>
      <c r="K537" s="46" t="str">
        <f>IFERROR(IF(AND($U$5=FALSE,$U$4=FALSE),"-",VLOOKUP($E537,'Status Thresholds'!$E:$AU,42,FALSE)),"-")</f>
        <v>-</v>
      </c>
      <c r="L537" s="46" t="str">
        <f>IFERROR(IF(AND($U$5=FALSE,$U$4=FALSE),"-",VLOOKUP($E537,'Status Thresholds'!$E:$AU,43,FALSE)),"-")</f>
        <v>-</v>
      </c>
    </row>
    <row r="538" spans="1:12" x14ac:dyDescent="0.25">
      <c r="A538" s="35"/>
      <c r="B538" s="64" t="str">
        <f>VLOOKUP(C538,'Status Thresholds'!B:C,2,FALSE)</f>
        <v>MHGen</v>
      </c>
      <c r="C538" s="64" t="str">
        <f>IF('Status Thresholds'!B533=0, "", 'Status Thresholds'!B533)</f>
        <v>Narkos</v>
      </c>
      <c r="D538" s="33" t="s">
        <v>34</v>
      </c>
      <c r="E538" s="36" t="str">
        <f t="shared" si="7"/>
        <v>NarkosMount</v>
      </c>
      <c r="F538" s="36" t="str">
        <f>IFERROR(
ROUNDUP(
IF(AND($U$5=FALSE,$U$4=FALSE),"-",IF(AND($U$5=TRUE,$U$4=TRUE),"-",
IF((AND($U$4=TRUE,$U$5=FALSE,$U$6=FALSE,$U$7=FALSE)),VLOOKUP($E538,'Status Thresholds'!$E:$AR,2,FALSE),IF((AND($U$4=TRUE,$U$5=FALSE,$U$6=TRUE,$U$7=FALSE)),VLOOKUP($E538,'Status Thresholds'!$E:$AR,12,FALSE),IF((AND($U$4=TRUE,$U$5=FALSE,$U$6=TRUE,$U$7=TRUE)),VLOOKUP($E538,'Status Thresholds'!$E:$AR,17,FALSE),IF((AND($U$4=TRUE,$U$5=FALSE,$U$6=FALSE,$U$7=TRUE)),VLOOKUP($E538,'Status Thresholds'!$E:$AR,7,FALSE),
IF((AND($U$4=FALSE,$U$5=TRUE,$U$6=FALSE,$U$7=FALSE)),VLOOKUP($E538,'Status Thresholds'!$E:$AR,22,FALSE),IF((AND($U$4=FALSE,$U$5=TRUE,$U$6=TRUE,$U$7=FALSE)),VLOOKUP($E538,'Status Thresholds'!$E:$AR,32,FALSE),IF((AND($U$4=FALSE,$U$5=TRUE,$U$6=TRUE,$U$7=TRUE)),VLOOKUP($E538,'Status Thresholds'!$E:$AR,37,FALSE),IF((AND($U$4=FALSE,$U$5=TRUE,$U$6=FALSE,$U$7=TRUE)),VLOOKUP($E538,'Status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538" s="36" t="str">
        <f>IFERROR(
ROUNDUP(
IF(AND($U$5=FALSE,$U$4=FALSE),"-",IF(AND($U$5=TRUE,$U$4=TRUE),"-",
IF((AND($U$4=TRUE,$U$5=FALSE,$U$6=FALSE,$U$7=FALSE)),VLOOKUP($E537,'Status Thresholds'!$E:$AR,3,FALSE),IF((AND($U$4=TRUE,$U$5=FALSE,$U$6=TRUE,$U$7=FALSE)),VLOOKUP($E537,'Status Thresholds'!$E:$AR,13,FALSE),IF((AND($U$4=TRUE,$U$5=FALSE,$U$6=TRUE,$U$7=TRUE)),VLOOKUP($E537,'Status Thresholds'!$E:$AR,18,FALSE),IF((AND($U$4=TRUE,$U$5=FALSE,$U$6=FALSE,$U$7=TRUE)),VLOOKUP($E537,'Status Thresholds'!$E:$AR,8,FALSE),
IF((AND($U$4=FALSE,$U$5=TRUE,$U$6=FALSE,$U$7=FALSE)),VLOOKUP($E537,'Status Thresholds'!$E:$AR,23,FALSE),IF((AND($U$4=FALSE,$U$5=TRUE,$U$6=TRUE,$U$7=FALSE)),VLOOKUP($E537,'Status Thresholds'!$E:$AR,33,FALSE),IF((AND($U$4=FALSE,$U$5=TRUE,$U$6=TRUE,$U$7=TRUE)),VLOOKUP($E537,'Status Thresholds'!$E:$AR,38,FALSE),IF((AND($U$4=FALSE,$U$5=TRUE,$U$6=FALSE,$U$7=TRUE)),VLOOKUP($E537,'Status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538" s="36" t="str">
        <f>IFERROR(
ROUNDUP(
IF(AND($U$5=FALSE,$U$4=FALSE),"-",IF(AND($U$5=TRUE,$U$4=TRUE),"-",
IF((AND($U$4=TRUE,$U$5=FALSE,$U$6=FALSE,$U$7=FALSE)),VLOOKUP($E537,'Status Thresholds'!$E:$AR,4,FALSE),IF((AND($U$4=TRUE,$U$5=FALSE,$U$6=TRUE,$U$7=FALSE)),VLOOKUP($E537,'Status Thresholds'!$E:$AR,14,FALSE),IF((AND($U$4=TRUE,$U$5=FALSE,$U$6=TRUE,$U$7=TRUE)),VLOOKUP($E537,'Status Thresholds'!$E:$AR,19,FALSE),IF((AND($U$4=TRUE,$U$5=FALSE,$U$6=FALSE,$U$7=TRUE)),VLOOKUP($E537,'Status Thresholds'!$E:$AR,9,FALSE),
IF((AND($U$4=FALSE,$U$5=TRUE,$U$6=FALSE,$U$7=FALSE)),VLOOKUP($E537,'Status Thresholds'!$E:$AR,24,FALSE),IF((AND($U$4=FALSE,$U$5=TRUE,$U$6=TRUE,$U$7=FALSE)),VLOOKUP($E537,'Status Thresholds'!$E:$AR,34,FALSE),IF((AND($U$4=FALSE,$U$5=TRUE,$U$6=TRUE,$U$7=TRUE)),VLOOKUP($E537,'Status Thresholds'!$E:$AR,39,FALSE),IF((AND($U$4=FALSE,$U$5=TRUE,$U$6=FALSE,$U$7=TRUE)),VLOOKUP($E537,'Status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538" s="36" t="str">
        <f>IFERROR(
ROUNDUP(
IF(AND($U$5=FALSE,$U$4=FALSE),"-",IF(AND($U$5=TRUE,$U$4=TRUE),"-",
IF((AND($U$4=TRUE,$U$5=FALSE,$U$6=FALSE,$U$7=FALSE)),VLOOKUP($E537,'Status Thresholds'!$E:$AR,5,FALSE),IF((AND($U$4=TRUE,$U$5=FALSE,$U$6=TRUE,$U$7=FALSE)),VLOOKUP($E537,'Status Thresholds'!$E:$AR,15,FALSE),IF((AND($U$4=TRUE,$U$5=FALSE,$U$6=TRUE,$U$7=TRUE)),VLOOKUP($E537,'Status Thresholds'!$E:$AR,20,FALSE),IF((AND($U$4=TRUE,$U$5=FALSE,$U$6=FALSE,$U$7=TRUE)),VLOOKUP($E537,'Status Thresholds'!$E:$AR,10,FALSE),
IF((AND($U$4=FALSE,$U$5=TRUE,$U$6=FALSE,$U$7=FALSE)),VLOOKUP($E537,'Status Thresholds'!$E:$AR,25,FALSE),IF((AND($U$4=FALSE,$U$5=TRUE,$U$6=TRUE,$U$7=FALSE)),VLOOKUP($E537,'Status Thresholds'!$E:$AR,35,FALSE),IF((AND($U$4=FALSE,$U$5=TRUE,$U$6=TRUE,$U$7=TRUE)),VLOOKUP($E537,'Status Thresholds'!$E:$AR,40,FALSE),IF((AND($U$4=FALSE,$U$5=TRUE,$U$6=FALSE,$U$7=TRUE)),VLOOKUP($E537,'Status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538" s="46">
        <f>IFERROR(IF(AND($U$5=FALSE,$U$4=FALSE),"-",VLOOKUP($E538,'Status Thresholds'!$E:$AU,41,FALSE)),"-")</f>
        <v>0</v>
      </c>
      <c r="K538" s="46" t="str">
        <f>IFERROR(IF(AND($U$5=FALSE,$U$4=FALSE),"-",VLOOKUP($E538,'Status Thresholds'!$E:$AU,42,FALSE)),"-")</f>
        <v>-</v>
      </c>
      <c r="L538" s="46" t="str">
        <f>IFERROR(IF(AND($U$5=FALSE,$U$4=FALSE),"-",VLOOKUP($E538,'Status Thresholds'!$E:$AU,43,FALSE)),"-")</f>
        <v>-</v>
      </c>
    </row>
    <row r="539" spans="1:12" ht="15" customHeight="1" x14ac:dyDescent="0.25">
      <c r="A539" s="35"/>
      <c r="B539" s="64" t="str">
        <f>VLOOKUP(C539,'Status Thresholds'!B:C,2,FALSE)</f>
        <v>MHGen</v>
      </c>
      <c r="C539" s="64" t="str">
        <f>IF('Status Thresholds'!B534=0, "", 'Status Thresholds'!B534)</f>
        <v>Narkos</v>
      </c>
      <c r="D539" s="77" t="s">
        <v>207</v>
      </c>
      <c r="E539" s="36" t="str">
        <f t="shared" si="7"/>
        <v>NarkosShock Trap</v>
      </c>
      <c r="F539" s="76" t="s">
        <v>214</v>
      </c>
      <c r="G539" s="46" t="s">
        <v>214</v>
      </c>
      <c r="H539" s="46" t="s">
        <v>214</v>
      </c>
      <c r="I539" s="46" t="s">
        <v>214</v>
      </c>
      <c r="J539" s="46">
        <f>IFERROR(IF(AND($U$5=FALSE,$U$4=FALSE),"-",VLOOKUP($E539,'Status Thresholds'!$E:$AU,43,FALSE)),"-")</f>
        <v>0</v>
      </c>
      <c r="K539" s="46">
        <f>IFERROR(IF(AND($U$5=FALSE,$U$4=FALSE),"-",VLOOKUP($E539,'Status Thresholds'!$E:$AU,41,FALSE)),"-")</f>
        <v>0</v>
      </c>
      <c r="L539" s="46">
        <f>IFERROR(IF(AND($U$5=FALSE,$U$4=FALSE),"-",VLOOKUP($E539,'Status Thresholds'!$E:$AU,42,FALSE)),"-")</f>
        <v>0</v>
      </c>
    </row>
    <row r="540" spans="1:12" x14ac:dyDescent="0.25">
      <c r="A540" s="35"/>
      <c r="B540" s="64" t="str">
        <f>VLOOKUP(C540,'Status Thresholds'!B:C,2,FALSE)</f>
        <v>MHGen</v>
      </c>
      <c r="C540" s="64" t="str">
        <f>IF('Status Thresholds'!B535=0, "", 'Status Thresholds'!B535)</f>
        <v>Narkos</v>
      </c>
      <c r="D540" s="77" t="s">
        <v>213</v>
      </c>
      <c r="E540" s="36" t="str">
        <f t="shared" ref="E540:E603" si="8">$C540&amp;$D540</f>
        <v>NarkosPitfall Trap</v>
      </c>
      <c r="F540" s="46" t="s">
        <v>214</v>
      </c>
      <c r="G540" s="46" t="s">
        <v>214</v>
      </c>
      <c r="H540" s="46" t="s">
        <v>214</v>
      </c>
      <c r="I540" s="46" t="s">
        <v>214</v>
      </c>
      <c r="J540" s="46">
        <f>IFERROR(IF(AND($U$5=FALSE,$U$4=FALSE),"-",VLOOKUP($E540,'Status Thresholds'!$E:$AU,43,FALSE)),"-")</f>
        <v>0</v>
      </c>
      <c r="K540" s="46">
        <f>IFERROR(IF(AND($U$5=FALSE,$U$4=FALSE),"-",VLOOKUP($E540,'Status Thresholds'!$E:$AU,41,FALSE)),"-")</f>
        <v>0</v>
      </c>
      <c r="L540" s="46">
        <f>IFERROR(IF(AND($U$5=FALSE,$U$4=FALSE),"-",VLOOKUP($E540,'Status Thresholds'!$E:$AU,42,FALSE)),"-")</f>
        <v>0</v>
      </c>
    </row>
    <row r="541" spans="1:12" s="36" customFormat="1" x14ac:dyDescent="0.25">
      <c r="A541" s="64"/>
      <c r="B541" s="64" t="str">
        <f>VLOOKUP(C541,'Status Thresholds'!B:C,2,FALSE)</f>
        <v>MHGU</v>
      </c>
      <c r="C541" s="64" t="str">
        <f>IF('Status Thresholds'!B536=0, "", 'Status Thresholds'!B536)</f>
        <v>Nerscylla</v>
      </c>
      <c r="D541" s="37" t="s">
        <v>0</v>
      </c>
      <c r="E541" s="36" t="str">
        <f t="shared" si="8"/>
        <v>NerscyllaPara</v>
      </c>
      <c r="F541" s="36" t="str">
        <f>IFERROR(
ROUNDUP(
IF(AND($U$5=FALSE,$U$4=FALSE),"-",IF(AND($U$5=TRUE,$U$4=TRUE),"-",
IF((AND($U$4=TRUE,$U$5=FALSE,$U$6=FALSE,$U$7=FALSE)),VLOOKUP($E541,'Status Thresholds'!$E:$AR,2,FALSE),IF((AND($U$4=TRUE,$U$5=FALSE,$U$6=TRUE,$U$7=FALSE)),VLOOKUP($E541,'Status Thresholds'!$E:$AR,12,FALSE),IF((AND($U$4=TRUE,$U$5=FALSE,$U$6=TRUE,$U$7=TRUE)),VLOOKUP($E541,'Status Thresholds'!$E:$AR,17,FALSE),IF((AND($U$4=TRUE,$U$5=FALSE,$U$6=FALSE,$U$7=TRUE)),VLOOKUP($E541,'Status Thresholds'!$E:$AR,7,FALSE),
IF((AND($U$4=FALSE,$U$5=TRUE,$U$6=FALSE,$U$7=FALSE)),VLOOKUP($E541,'Status Thresholds'!$E:$AR,22,FALSE),IF((AND($U$4=FALSE,$U$5=TRUE,$U$6=TRUE,$U$7=FALSE)),VLOOKUP($E541,'Status Thresholds'!$E:$AR,32,FALSE),IF((AND($U$4=FALSE,$U$5=TRUE,$U$6=TRUE,$U$7=TRUE)),VLOOKUP($E541,'Status Thresholds'!$E:$AR,37,FALSE),IF((AND($U$4=FALSE,$U$5=TRUE,$U$6=FALSE,$U$7=TRUE)),VLOOKUP($E541,'Status Thresholds'!$E:$AR,27,FALSE)))))))))
))/
IF(OR($X$5=TRUE,$AC$3=TRUE
),($F$3/2), IF(OR($X$2,$X$3,$X$4,$X$6,$X$7,$X$8,$Z$2,$Z$3,$Z$4,$Z$5,$Z$6,$Z$7,$Z$8)=TRUE,$F$3)),0),"-")</f>
        <v>-</v>
      </c>
      <c r="G541" s="36" t="str">
        <f>IFERROR(
ROUNDUP(
IF(AND($U$5=FALSE,$U$4=FALSE),"-",IF(AND($U$5=TRUE,$U$4=TRUE),"-",
IF((AND($U$4=TRUE,$U$5=FALSE,$U$6=FALSE,$U$7=FALSE)),VLOOKUP($E541,'Status Thresholds'!$E:$AR,3,FALSE),IF((AND($U$4=TRUE,$U$5=FALSE,$U$6=TRUE,$U$7=FALSE)),VLOOKUP($E541,'Status Thresholds'!$E:$AR,13,FALSE),IF((AND($U$4=TRUE,$U$5=FALSE,$U$6=TRUE,$U$7=TRUE)),VLOOKUP($E541,'Status Thresholds'!$E:$AR,18,FALSE),IF((AND($U$4=TRUE,$U$5=FALSE,$U$6=FALSE,$U$7=TRUE)),VLOOKUP($E541,'Status Thresholds'!$E:$AR,8,FALSE),
IF((AND($U$4=FALSE,$U$5=TRUE,$U$6=FALSE,$U$7=FALSE)),VLOOKUP($E541,'Status Thresholds'!$E:$AR,23,FALSE),IF((AND($U$4=FALSE,$U$5=TRUE,$U$6=TRUE,$U$7=FALSE)),VLOOKUP($E541,'Status Thresholds'!$E:$AR,33,FALSE),IF((AND($U$4=FALSE,$U$5=TRUE,$U$6=TRUE,$U$7=TRUE)),VLOOKUP($E541,'Status Thresholds'!$E:$AR,38,FALSE),IF((AND($U$4=FALSE,$U$5=TRUE,$U$6=FALSE,$U$7=TRUE)),VLOOKUP($E541,'Status Thresholds'!$E:$AR,28,FALSE)))))))))
))/
IF(OR($X$5=TRUE,$AC$3=TRUE
),($F$3/2), IF(OR($X$2,$X$3,$X$4,$X$6,$X$7,$X$8,$Z$2,$Z$3,$Z$4,$Z$5,$Z$6,$Z$7,$Z$8)=TRUE,$F$3)),0),"-")</f>
        <v>-</v>
      </c>
      <c r="H541" s="36" t="str">
        <f>IFERROR(
ROUNDUP(
IF(AND($U$5=FALSE,$U$4=FALSE),"-",IF(AND($U$5=TRUE,$U$4=TRUE),"-",
IF((AND($U$4=TRUE,$U$5=FALSE,$U$6=FALSE,$U$7=FALSE)),VLOOKUP($E541,'Status Thresholds'!$E:$AR,4,FALSE),IF((AND($U$4=TRUE,$U$5=FALSE,$U$6=TRUE,$U$7=FALSE)),VLOOKUP($E541,'Status Thresholds'!$E:$AR,14,FALSE),IF((AND($U$4=TRUE,$U$5=FALSE,$U$6=TRUE,$U$7=TRUE)),VLOOKUP($E541,'Status Thresholds'!$E:$AR,19,FALSE),IF((AND($U$4=TRUE,$U$5=FALSE,$U$6=FALSE,$U$7=TRUE)),VLOOKUP($E541,'Status Thresholds'!$E:$AR,9,FALSE),
IF((AND($U$4=FALSE,$U$5=TRUE,$U$6=FALSE,$U$7=FALSE)),VLOOKUP($E541,'Status Thresholds'!$E:$AR,24,FALSE),IF((AND($U$4=FALSE,$U$5=TRUE,$U$6=TRUE,$U$7=FALSE)),VLOOKUP($E541,'Status Thresholds'!$E:$AR,34,FALSE),IF((AND($U$4=FALSE,$U$5=TRUE,$U$6=TRUE,$U$7=TRUE)),VLOOKUP($E541,'Status Thresholds'!$E:$AR,39,FALSE),IF((AND($U$4=FALSE,$U$5=TRUE,$U$6=FALSE,$U$7=TRUE)),VLOOKUP($E541,'Status Thresholds'!$E:$AR,29,FALSE)))))))))
))/
IF(OR($X$5=TRUE,$AC$3=TRUE
),($F$3/2), IF(OR($X$2,$X$3,$X$4,$X$6,$X$7,$X$8,$Z$2,$Z$3,$Z$4,$Z$5,$Z$6,$Z$7,$Z$8)=TRUE,$F$3)),0),"-")</f>
        <v>-</v>
      </c>
      <c r="I541" s="36" t="str">
        <f>IFERROR(
ROUNDUP(
IF(AND($U$5=FALSE,$U$4=FALSE),"-",IF(AND($U$5=TRUE,$U$4=TRUE),"-",
IF((AND($U$4=TRUE,$U$5=FALSE,$U$6=FALSE,$U$7=FALSE)),VLOOKUP($E541,'Status Thresholds'!$E:$AR,5,FALSE),IF((AND($U$4=TRUE,$U$5=FALSE,$U$6=TRUE,$U$7=FALSE)),VLOOKUP($E541,'Status Thresholds'!$E:$AR,15,FALSE),IF((AND($U$4=TRUE,$U$5=FALSE,$U$6=TRUE,$U$7=TRUE)),VLOOKUP($E541,'Status Thresholds'!$E:$AR,20,FALSE),IF((AND($U$4=TRUE,$U$5=FALSE,$U$6=FALSE,$U$7=TRUE)),VLOOKUP($E541,'Status Thresholds'!$E:$AR,10,FALSE),
IF((AND($U$4=FALSE,$U$5=TRUE,$U$6=FALSE,$U$7=FALSE)),VLOOKUP($E541,'Status Thresholds'!$E:$AR,25,FALSE),IF((AND($U$4=FALSE,$U$5=TRUE,$U$6=TRUE,$U$7=FALSE)),VLOOKUP($E541,'Status Thresholds'!$E:$AR,35,FALSE),IF((AND($U$4=FALSE,$U$5=TRUE,$U$6=TRUE,$U$7=TRUE)),VLOOKUP($E541,'Status Thresholds'!$E:$AR,40,FALSE),IF((AND($U$4=FALSE,$U$5=TRUE,$U$6=FALSE,$U$7=TRUE)),VLOOKUP($E541,'Status Thresholds'!$E:$AR,30,FALSE)))))))))
))/
IF(OR($X$5=TRUE,$AC$3=TRUE
),($F$3/2), IF(OR($X$2,$X$3,$X$4,$X$6,$X$7,$X$8,$Z$2,$Z$3,$Z$4,$Z$5,$Z$6,$Z$7,$Z$8)=TRUE,$F$3)),0),"-")</f>
        <v>-</v>
      </c>
      <c r="J541" s="36">
        <f>IFERROR(IF(AND($U$5=FALSE,$U$4=FALSE),"-",VLOOKUP($E541,'Status Thresholds'!$E:$AU,41,FALSE)),"-")</f>
        <v>10</v>
      </c>
      <c r="K541" s="36" t="str">
        <f>IFERROR(IF(AND($U$5=FALSE,$U$4=FALSE),"-",VLOOKUP($E541,'Status Thresholds'!$E:$AU,42,FALSE)),"-")</f>
        <v>-</v>
      </c>
      <c r="L541" s="36" t="str">
        <f>IFERROR(IF(AND($U$5=FALSE,$U$4=FALSE),"-",VLOOKUP($E541,'Status Thresholds'!$E:$AU,43,FALSE)),"-")</f>
        <v>-</v>
      </c>
    </row>
    <row r="542" spans="1:12" x14ac:dyDescent="0.25">
      <c r="A542" s="35"/>
      <c r="B542" s="64" t="str">
        <f>VLOOKUP(C542,'Status Thresholds'!B:C,2,FALSE)</f>
        <v>MHGU</v>
      </c>
      <c r="C542" s="64" t="str">
        <f>IF('Status Thresholds'!B537=0, "", 'Status Thresholds'!B537)</f>
        <v>Nerscylla</v>
      </c>
      <c r="D542" s="31" t="s">
        <v>32</v>
      </c>
      <c r="E542" s="36" t="str">
        <f t="shared" si="8"/>
        <v>NerscyllaSleep</v>
      </c>
      <c r="F542" s="36" t="str">
        <f>IFERROR(
ROUNDUP(
IF(AND($U$5=FALSE,$U$4=FALSE),"-",IF(AND($U$5=TRUE,$U$4=TRUE),"-",
IF((AND($U$4=TRUE,$U$5=FALSE,$U$6=FALSE,$U$7=FALSE)),VLOOKUP($E542,'Status Thresholds'!$E:$AR,2,FALSE),IF((AND($U$4=TRUE,$U$5=FALSE,$U$6=TRUE,$U$7=FALSE)),VLOOKUP($E542,'Status Thresholds'!$E:$AR,12,FALSE),IF((AND($U$4=TRUE,$U$5=FALSE,$U$6=TRUE,$U$7=TRUE)),VLOOKUP($E542,'Status Thresholds'!$E:$AR,17,FALSE),IF((AND($U$4=TRUE,$U$5=FALSE,$U$6=FALSE,$U$7=TRUE)),VLOOKUP($E542,'Status Thresholds'!$E:$AR,7,FALSE),
IF((AND($U$4=FALSE,$U$5=TRUE,$U$6=FALSE,$U$7=FALSE)),VLOOKUP($E542,'Status Thresholds'!$E:$AR,22,FALSE),IF((AND($U$4=FALSE,$U$5=TRUE,$U$6=TRUE,$U$7=FALSE)),VLOOKUP($E542,'Status Thresholds'!$E:$AR,32,FALSE),IF((AND($U$4=FALSE,$U$5=TRUE,$U$6=TRUE,$U$7=TRUE)),VLOOKUP($E542,'Status Thresholds'!$E:$AR,37,FALSE),IF((AND($U$4=FALSE,$U$5=TRUE,$U$6=FALSE,$U$7=TRUE)),VLOOKUP($E542,'Status Thresholds'!$E:$AR,27,FALSE)))))))))
))/
IF(OR($X$5=TRUE,$AC$3=TRUE
),($F$4/2), IF(OR($X$2,$X$3,$X$4,$X$6,$X$7,$X$8,$Z$2,$Z$3,$Z$4,$Z$5,$Z$6,$Z$7,$Z$8)=TRUE,$F$4)),0),"-")</f>
        <v>-</v>
      </c>
      <c r="G542" s="36" t="str">
        <f>IFERROR(
ROUNDUP(
IF(AND($U$5=FALSE,$U$4=FALSE),"-",IF(AND($U$5=TRUE,$U$4=TRUE),"-",
IF((AND($U$4=TRUE,$U$5=FALSE,$U$6=FALSE,$U$7=FALSE)),VLOOKUP($E542,'Status Thresholds'!$E:$AR,3,FALSE),IF((AND($U$4=TRUE,$U$5=FALSE,$U$6=TRUE,$U$7=FALSE)),VLOOKUP($E542,'Status Thresholds'!$E:$AR,13,FALSE),IF((AND($U$4=TRUE,$U$5=FALSE,$U$6=TRUE,$U$7=TRUE)),VLOOKUP($E542,'Status Thresholds'!$E:$AR,18,FALSE),IF((AND($U$4=TRUE,$U$5=FALSE,$U$6=FALSE,$U$7=TRUE)),VLOOKUP($E542,'Status Thresholds'!$E:$AR,8,FALSE),
IF((AND($U$4=FALSE,$U$5=TRUE,$U$6=FALSE,$U$7=FALSE)),VLOOKUP($E542,'Status Thresholds'!$E:$AR,23,FALSE),IF((AND($U$4=FALSE,$U$5=TRUE,$U$6=TRUE,$U$7=FALSE)),VLOOKUP($E542,'Status Thresholds'!$E:$AR,33,FALSE),IF((AND($U$4=FALSE,$U$5=TRUE,$U$6=TRUE,$U$7=TRUE)),VLOOKUP($E542,'Status Thresholds'!$E:$AR,38,FALSE),IF((AND($U$4=FALSE,$U$5=TRUE,$U$6=FALSE,$U$7=TRUE)),VLOOKUP($E542,'Status Thresholds'!$E:$AR,28,FALSE)))))))))
))/
IF(OR($X$5=TRUE,$AC$3=TRUE
),($F$4/2), IF(OR($X$2,$X$3,$X$4,$X$6,$X$7,$X$8,$Z$2,$Z$3,$Z$4,$Z$5,$Z$6,$Z$7,$Z$8)=TRUE,$F$4)),0),"-")</f>
        <v>-</v>
      </c>
      <c r="H542" s="36" t="str">
        <f>IFERROR(
ROUNDUP(
IF(AND($U$5=FALSE,$U$4=FALSE),"-",IF(AND($U$5=TRUE,$U$4=TRUE),"-",
IF((AND($U$4=TRUE,$U$5=FALSE,$U$6=FALSE,$U$7=FALSE)),VLOOKUP($E542,'Status Thresholds'!$E:$AR,4,FALSE),IF((AND($U$4=TRUE,$U$5=FALSE,$U$6=TRUE,$U$7=FALSE)),VLOOKUP($E542,'Status Thresholds'!$E:$AR,14,FALSE),IF((AND($U$4=TRUE,$U$5=FALSE,$U$6=TRUE,$U$7=TRUE)),VLOOKUP($E542,'Status Thresholds'!$E:$AR,19,FALSE),IF((AND($U$4=TRUE,$U$5=FALSE,$U$6=FALSE,$U$7=TRUE)),VLOOKUP($E542,'Status Thresholds'!$E:$AR,9,FALSE),
IF((AND($U$4=FALSE,$U$5=TRUE,$U$6=FALSE,$U$7=FALSE)),VLOOKUP($E542,'Status Thresholds'!$E:$AR,24,FALSE),IF((AND($U$4=FALSE,$U$5=TRUE,$U$6=TRUE,$U$7=FALSE)),VLOOKUP($E542,'Status Thresholds'!$E:$AR,34,FALSE),IF((AND($U$4=FALSE,$U$5=TRUE,$U$6=TRUE,$U$7=TRUE)),VLOOKUP($E542,'Status Thresholds'!$E:$AR,39,FALSE),IF((AND($U$4=FALSE,$U$5=TRUE,$U$6=FALSE,$U$7=TRUE)),VLOOKUP($E542,'Status Thresholds'!$E:$AR,29,FALSE)))))))))
))/
IF(OR($X$5=TRUE,$AC$3=TRUE
),($F$4/2), IF(OR($X$2,$X$3,$X$4,$X$6,$X$7,$X$8,$Z$2,$Z$3,$Z$4,$Z$5,$Z$6,$Z$7,$Z$8)=TRUE,$F$4)),0),"-")</f>
        <v>-</v>
      </c>
      <c r="I542" s="36" t="str">
        <f>IFERROR(
ROUNDUP(
IF(AND($U$5=FALSE,$U$4=FALSE),"-",IF(AND($U$5=TRUE,$U$4=TRUE),"-",
IF((AND($U$4=TRUE,$U$5=FALSE,$U$6=FALSE,$U$7=FALSE)),VLOOKUP($E542,'Status Thresholds'!$E:$AR,5,FALSE),IF((AND($U$4=TRUE,$U$5=FALSE,$U$6=TRUE,$U$7=FALSE)),VLOOKUP($E542,'Status Thresholds'!$E:$AR,15,FALSE),IF((AND($U$4=TRUE,$U$5=FALSE,$U$6=TRUE,$U$7=TRUE)),VLOOKUP($E542,'Status Thresholds'!$E:$AR,20,FALSE),IF((AND($U$4=TRUE,$U$5=FALSE,$U$6=FALSE,$U$7=TRUE)),VLOOKUP($E542,'Status Thresholds'!$E:$AR,10,FALSE),
IF((AND($U$4=FALSE,$U$5=TRUE,$U$6=FALSE,$U$7=FALSE)),VLOOKUP($E542,'Status Thresholds'!$E:$AR,25,FALSE),IF((AND($U$4=FALSE,$U$5=TRUE,$U$6=TRUE,$U$7=FALSE)),VLOOKUP($E542,'Status Thresholds'!$E:$AR,35,FALSE),IF((AND($U$4=FALSE,$U$5=TRUE,$U$6=TRUE,$U$7=TRUE)),VLOOKUP($E542,'Status Thresholds'!$E:$AR,40,FALSE),IF((AND($U$4=FALSE,$U$5=TRUE,$U$6=FALSE,$U$7=TRUE)),VLOOKUP($E542,'Status Thresholds'!$E:$AR,30,FALSE)))))))))
))/
IF(OR($X$5=TRUE,$AC$3=TRUE
),($F$4/2), IF(OR($X$2,$X$3,$X$4,$X$6,$X$7,$X$8,$Z$2,$Z$3,$Z$4,$Z$5,$Z$6,$Z$7,$Z$8)=TRUE,$F$4)),0),"-")</f>
        <v>-</v>
      </c>
      <c r="J542" s="46">
        <f>IFERROR(IF(AND($U$5=FALSE,$U$4=FALSE),"-",VLOOKUP($E542,'Status Thresholds'!$E:$AU,41,FALSE)),"-")</f>
        <v>40</v>
      </c>
      <c r="K542" s="46" t="str">
        <f>IFERROR(IF(AND($U$5=FALSE,$U$4=FALSE),"-",VLOOKUP($E542,'Status Thresholds'!$E:$AU,42,FALSE)),"-")</f>
        <v>-</v>
      </c>
      <c r="L542" s="46" t="str">
        <f>IFERROR(IF(AND($U$5=FALSE,$U$4=FALSE),"-",VLOOKUP($E542,'Status Thresholds'!$E:$AU,43,FALSE)),"-")</f>
        <v>-</v>
      </c>
    </row>
    <row r="543" spans="1:12" x14ac:dyDescent="0.25">
      <c r="A543" s="35"/>
      <c r="B543" s="64" t="str">
        <f>VLOOKUP(C543,'Status Thresholds'!B:C,2,FALSE)</f>
        <v>MHGU</v>
      </c>
      <c r="C543" s="64" t="str">
        <f>IF('Status Thresholds'!B538=0, "", 'Status Thresholds'!B538)</f>
        <v>Nerscylla</v>
      </c>
      <c r="D543" s="32" t="s">
        <v>33</v>
      </c>
      <c r="E543" s="36" t="str">
        <f t="shared" si="8"/>
        <v>NerscyllaPoison</v>
      </c>
      <c r="F543" s="36" t="str">
        <f>IFERROR(
ROUNDUP(
IF(AND($U$5=FALSE,$U$4=FALSE),"-",IF(AND($U$5=TRUE,$U$4=TRUE),"-",
IF((AND($U$4=TRUE,$U$5=FALSE,$U$6=FALSE,$U$7=FALSE)),VLOOKUP($E543,'Status Thresholds'!$E:$AR,2,FALSE),IF((AND($U$4=TRUE,$U$5=FALSE,$U$6=TRUE,$U$7=FALSE)),VLOOKUP($E543,'Status Thresholds'!$E:$AR,12,FALSE),IF((AND($U$4=TRUE,$U$5=FALSE,$U$6=TRUE,$U$7=TRUE)),VLOOKUP($E543,'Status Thresholds'!$E:$AR,17,FALSE),IF((AND($U$4=TRUE,$U$5=FALSE,$U$6=FALSE,$U$7=TRUE)),VLOOKUP($E543,'Status Thresholds'!$E:$AR,7,FALSE),
IF((AND($U$4=FALSE,$U$5=TRUE,$U$6=FALSE,$U$7=FALSE)),VLOOKUP($E543,'Status Thresholds'!$E:$AR,22,FALSE),IF((AND($U$4=FALSE,$U$5=TRUE,$U$6=TRUE,$U$7=FALSE)),VLOOKUP($E543,'Status Thresholds'!$E:$AR,32,FALSE),IF((AND($U$4=FALSE,$U$5=TRUE,$U$6=TRUE,$U$7=TRUE)),VLOOKUP($E543,'Status Thresholds'!$E:$AR,37,FALSE),IF((AND($U$4=FALSE,$U$5=TRUE,$U$6=FALSE,$U$7=TRUE)),VLOOKUP($E543,'Status Thresholds'!$E:$AR,27,FALSE)))))))))
))/
IF(OR($X$5=TRUE,$AC$3=TRUE
),($F$5/2), IF(OR($X$2,$X$3,$X$4,$X$6,$X$7,$X$8,$Z$2,$Z$3,$Z$4,$Z$5,$Z$6,$Z$7,$Z$8)=TRUE,$F$5)),0),"-")</f>
        <v>-</v>
      </c>
      <c r="G543" s="36" t="str">
        <f>IFERROR(
ROUNDUP(
IF(AND($U$5=FALSE,$U$4=FALSE),"-",IF(AND($U$5=TRUE,$U$4=TRUE),"-",
IF((AND($U$4=TRUE,$U$5=FALSE,$U$6=FALSE,$U$7=FALSE)),VLOOKUP($E543,'Status Thresholds'!$E:$AR,3,FALSE),IF((AND($U$4=TRUE,$U$5=FALSE,$U$6=TRUE,$U$7=FALSE)),VLOOKUP($E543,'Status Thresholds'!$E:$AR,13,FALSE),IF((AND($U$4=TRUE,$U$5=FALSE,$U$6=TRUE,$U$7=TRUE)),VLOOKUP($E543,'Status Thresholds'!$E:$AR,18,FALSE),IF((AND($U$4=TRUE,$U$5=FALSE,$U$6=FALSE,$U$7=TRUE)),VLOOKUP($E543,'Status Thresholds'!$E:$AR,8,FALSE),
IF((AND($U$4=FALSE,$U$5=TRUE,$U$6=FALSE,$U$7=FALSE)),VLOOKUP($E543,'Status Thresholds'!$E:$AR,23,FALSE),IF((AND($U$4=FALSE,$U$5=TRUE,$U$6=TRUE,$U$7=FALSE)),VLOOKUP($E543,'Status Thresholds'!$E:$AR,33,FALSE),IF((AND($U$4=FALSE,$U$5=TRUE,$U$6=TRUE,$U$7=TRUE)),VLOOKUP($E543,'Status Thresholds'!$E:$AR,38,FALSE),IF((AND($U$4=FALSE,$U$5=TRUE,$U$6=FALSE,$U$7=TRUE)),VLOOKUP($E543,'Status Thresholds'!$E:$AR,28,FALSE)))))))))
))/
IF(OR($X$5=TRUE,$AC$3=TRUE
),($F$5/2), IF(OR($X$2,$X$3,$X$4,$X$6,$X$7,$X$8,$Z$2,$Z$3,$Z$4,$Z$5,$Z$6,$Z$7,$Z$8)=TRUE,$F$5)),0),"-")</f>
        <v>-</v>
      </c>
      <c r="H543" s="36" t="str">
        <f>IFERROR(
ROUNDUP(
IF(AND($U$5=FALSE,$U$4=FALSE),"-",IF(AND($U$5=TRUE,$U$4=TRUE),"-",
IF((AND($U$4=TRUE,$U$5=FALSE,$U$6=FALSE,$U$7=FALSE)),VLOOKUP($E543,'Status Thresholds'!$E:$AR,4,FALSE),IF((AND($U$4=TRUE,$U$5=FALSE,$U$6=TRUE,$U$7=FALSE)),VLOOKUP($E543,'Status Thresholds'!$E:$AR,14,FALSE),IF((AND($U$4=TRUE,$U$5=FALSE,$U$6=TRUE,$U$7=TRUE)),VLOOKUP($E543,'Status Thresholds'!$E:$AR,19,FALSE),IF((AND($U$4=TRUE,$U$5=FALSE,$U$6=FALSE,$U$7=TRUE)),VLOOKUP($E543,'Status Thresholds'!$E:$AR,9,FALSE),
IF((AND($U$4=FALSE,$U$5=TRUE,$U$6=FALSE,$U$7=FALSE)),VLOOKUP($E543,'Status Thresholds'!$E:$AR,24,FALSE),IF((AND($U$4=FALSE,$U$5=TRUE,$U$6=TRUE,$U$7=FALSE)),VLOOKUP($E543,'Status Thresholds'!$E:$AR,34,FALSE),IF((AND($U$4=FALSE,$U$5=TRUE,$U$6=TRUE,$U$7=TRUE)),VLOOKUP($E543,'Status Thresholds'!$E:$AR,39,FALSE),IF((AND($U$4=FALSE,$U$5=TRUE,$U$6=FALSE,$U$7=TRUE)),VLOOKUP($E543,'Status Thresholds'!$E:$AR,29,FALSE)))))))))
))/
IF(OR($X$5=TRUE,$AC$3=TRUE
),($F$5/2), IF(OR($X$2,$X$3,$X$4,$X$6,$X$7,$X$8,$Z$2,$Z$3,$Z$4,$Z$5,$Z$6,$Z$7,$Z$8)=TRUE,$F$5)),0),"-")</f>
        <v>-</v>
      </c>
      <c r="I543" s="36" t="str">
        <f>IFERROR(
ROUNDUP(
IF(AND($U$5=FALSE,$U$4=FALSE),"-",IF(AND($U$5=TRUE,$U$4=TRUE),"-",
IF((AND($U$4=TRUE,$U$5=FALSE,$U$6=FALSE,$U$7=FALSE)),VLOOKUP($E543,'Status Thresholds'!$E:$AR,5,FALSE),IF((AND($U$4=TRUE,$U$5=FALSE,$U$6=TRUE,$U$7=FALSE)),VLOOKUP($E543,'Status Thresholds'!$E:$AR,15,FALSE),IF((AND($U$4=TRUE,$U$5=FALSE,$U$6=TRUE,$U$7=TRUE)),VLOOKUP($E543,'Status Thresholds'!$E:$AR,20,FALSE),IF((AND($U$4=TRUE,$U$5=FALSE,$U$6=FALSE,$U$7=TRUE)),VLOOKUP($E543,'Status Thresholds'!$E:$AR,10,FALSE),
IF((AND($U$4=FALSE,$U$5=TRUE,$U$6=FALSE,$U$7=FALSE)),VLOOKUP($E543,'Status Thresholds'!$E:$AR,25,FALSE),IF((AND($U$4=FALSE,$U$5=TRUE,$U$6=TRUE,$U$7=FALSE)),VLOOKUP($E543,'Status Thresholds'!$E:$AR,35,FALSE),IF((AND($U$4=FALSE,$U$5=TRUE,$U$6=TRUE,$U$7=TRUE)),VLOOKUP($E543,'Status Thresholds'!$E:$AR,40,FALSE),IF((AND($U$4=FALSE,$U$5=TRUE,$U$6=FALSE,$U$7=TRUE)),VLOOKUP($E543,'Status Thresholds'!$E:$AR,30,FALSE)))))))))
))/
IF(OR($X$5=TRUE,$AC$3=TRUE
),($F$5/2), IF(OR($X$2,$X$3,$X$4,$X$6,$X$7,$X$8,$Z$2,$Z$3,$Z$4,$Z$5,$Z$6,$Z$7,$Z$8)=TRUE,$F$5)),0),"-")</f>
        <v>-</v>
      </c>
      <c r="J543" s="46">
        <f>IFERROR(IF(AND($U$5=FALSE,$U$4=FALSE),"-",VLOOKUP($E543,'Status Thresholds'!$E:$AU,41,FALSE)),"-")</f>
        <v>30</v>
      </c>
      <c r="K543" s="46" t="str">
        <f>IFERROR(IF(AND($U$5=FALSE,$U$4=FALSE),"-",VLOOKUP($E543,'Status Thresholds'!$E:$AU,42,FALSE)),"-")</f>
        <v>-</v>
      </c>
      <c r="L543" s="46" t="str">
        <f>IFERROR(IF(AND($U$5=FALSE,$U$4=FALSE),"-",VLOOKUP($E543,'Status Thresholds'!$E:$AU,43,FALSE)),"-")</f>
        <v>-</v>
      </c>
    </row>
    <row r="544" spans="1:12" x14ac:dyDescent="0.25">
      <c r="A544" s="35"/>
      <c r="B544" s="64" t="str">
        <f>VLOOKUP(C544,'Status Thresholds'!B:C,2,FALSE)</f>
        <v>MHGU</v>
      </c>
      <c r="C544" s="64" t="str">
        <f>IF('Status Thresholds'!B539=0, "", 'Status Thresholds'!B539)</f>
        <v>Nerscylla</v>
      </c>
      <c r="D544" s="10" t="s">
        <v>22</v>
      </c>
      <c r="E544" s="36" t="str">
        <f t="shared" si="8"/>
        <v>NerscyllaExhaust</v>
      </c>
      <c r="F544" s="36" t="str">
        <f>IFERROR(
ROUNDUP(
IF(AND($U$5=FALSE,$U$4=FALSE),"-",IF(AND($U$5=TRUE,$U$4=TRUE),"-",
IF((AND($U$4=TRUE,$U$5=FALSE,$U$6=FALSE,$U$7=FALSE)),VLOOKUP($E544,'Status Thresholds'!$E:$AR,2,FALSE),IF((AND($U$4=TRUE,$U$5=FALSE,$U$6=TRUE,$U$7=FALSE)),VLOOKUP($E544,'Status Thresholds'!$E:$AR,12,FALSE),IF((AND($U$4=TRUE,$U$5=FALSE,$U$6=TRUE,$U$7=TRUE)),VLOOKUP($E544,'Status Thresholds'!$E:$AR,17,FALSE),IF((AND($U$4=TRUE,$U$5=FALSE,$U$6=FALSE,$U$7=TRUE)),VLOOKUP($E544,'Status Thresholds'!$E:$AR,7,FALSE),
IF((AND($U$4=FALSE,$U$5=TRUE,$U$6=FALSE,$U$7=FALSE)),VLOOKUP($E544,'Status Thresholds'!$E:$AR,22,FALSE),IF((AND($U$4=FALSE,$U$5=TRUE,$U$6=TRUE,$U$7=FALSE)),VLOOKUP($E544,'Status Thresholds'!$E:$AR,32,FALSE),IF((AND($U$4=FALSE,$U$5=TRUE,$U$6=TRUE,$U$7=TRUE)),VLOOKUP($E544,'Status Thresholds'!$E:$AR,37,FALSE),IF((AND($U$4=FALSE,$U$5=TRUE,$U$6=FALSE,$U$7=TRUE)),VLOOKUP($E544,'Status Thresholds'!$E:$AR,27,FALSE)))))))))
))/
IF(OR($X$5=TRUE,$AC$3=TRUE
),($F$6/2), IF(OR($X$2,$X$3,$X$4,$X$6,$X$7,$X$8,$Z$2,$Z$3,$Z$4,$Z$5,$Z$6,$Z$7,$Z$8)=TRUE,$F$6)),0),"-")</f>
        <v>-</v>
      </c>
      <c r="G544" s="36" t="str">
        <f>IFERROR(
ROUNDUP(
IF(AND($U$5=FALSE,$U$4=FALSE),"-",IF(AND($U$5=TRUE,$U$4=TRUE),"-",
IF((AND($U$4=TRUE,$U$5=FALSE,$U$6=FALSE,$U$7=FALSE)),VLOOKUP($E544,'Status Thresholds'!$E:$AR,3,FALSE),IF((AND($U$4=TRUE,$U$5=FALSE,$U$6=TRUE,$U$7=FALSE)),VLOOKUP($E544,'Status Thresholds'!$E:$AR,13,FALSE),IF((AND($U$4=TRUE,$U$5=FALSE,$U$6=TRUE,$U$7=TRUE)),VLOOKUP($E544,'Status Thresholds'!$E:$AR,18,FALSE),IF((AND($U$4=TRUE,$U$5=FALSE,$U$6=FALSE,$U$7=TRUE)),VLOOKUP($E544,'Status Thresholds'!$E:$AR,8,FALSE),
IF((AND($U$4=FALSE,$U$5=TRUE,$U$6=FALSE,$U$7=FALSE)),VLOOKUP($E544,'Status Thresholds'!$E:$AR,23,FALSE),IF((AND($U$4=FALSE,$U$5=TRUE,$U$6=TRUE,$U$7=FALSE)),VLOOKUP($E544,'Status Thresholds'!$E:$AR,33,FALSE),IF((AND($U$4=FALSE,$U$5=TRUE,$U$6=TRUE,$U$7=TRUE)),VLOOKUP($E544,'Status Thresholds'!$E:$AR,38,FALSE),IF((AND($U$4=FALSE,$U$5=TRUE,$U$6=FALSE,$U$7=TRUE)),VLOOKUP($E544,'Status Thresholds'!$E:$AR,28,FALSE)))))))))
))/
IF(OR($X$5=TRUE,$AC$3=TRUE
),($F$6/2), IF(OR($X$2,$X$3,$X$4,$X$6,$X$7,$X$8,$Z$2,$Z$3,$Z$4,$Z$5,$Z$6,$Z$7,$Z$8)=TRUE,$F$6)),0),"-")</f>
        <v>-</v>
      </c>
      <c r="H544" s="36" t="str">
        <f>IFERROR(
ROUNDUP(
IF(AND($U$5=FALSE,$U$4=FALSE),"-",IF(AND($U$5=TRUE,$U$4=TRUE),"-",
IF((AND($U$4=TRUE,$U$5=FALSE,$U$6=FALSE,$U$7=FALSE)),VLOOKUP($E544,'Status Thresholds'!$E:$AR,4,FALSE),IF((AND($U$4=TRUE,$U$5=FALSE,$U$6=TRUE,$U$7=FALSE)),VLOOKUP($E544,'Status Thresholds'!$E:$AR,14,FALSE),IF((AND($U$4=TRUE,$U$5=FALSE,$U$6=TRUE,$U$7=TRUE)),VLOOKUP($E544,'Status Thresholds'!$E:$AR,19,FALSE),IF((AND($U$4=TRUE,$U$5=FALSE,$U$6=FALSE,$U$7=TRUE)),VLOOKUP($E544,'Status Thresholds'!$E:$AR,9,FALSE),
IF((AND($U$4=FALSE,$U$5=TRUE,$U$6=FALSE,$U$7=FALSE)),VLOOKUP($E544,'Status Thresholds'!$E:$AR,24,FALSE),IF((AND($U$4=FALSE,$U$5=TRUE,$U$6=TRUE,$U$7=FALSE)),VLOOKUP($E544,'Status Thresholds'!$E:$AR,34,FALSE),IF((AND($U$4=FALSE,$U$5=TRUE,$U$6=TRUE,$U$7=TRUE)),VLOOKUP($E544,'Status Thresholds'!$E:$AR,39,FALSE),IF((AND($U$4=FALSE,$U$5=TRUE,$U$6=FALSE,$U$7=TRUE)),VLOOKUP($E544,'Status Thresholds'!$E:$AR,29,FALSE)))))))))
))/
IF(OR($X$5=TRUE,$AC$3=TRUE
),($F$6/2), IF(OR($X$2,$X$3,$X$4,$X$6,$X$7,$X$8,$Z$2,$Z$3,$Z$4,$Z$5,$Z$6,$Z$7,$Z$8)=TRUE,$F$6)),0),"-")</f>
        <v>-</v>
      </c>
      <c r="I544" s="36" t="str">
        <f>IFERROR(
ROUNDUP(
IF(AND($U$5=FALSE,$U$4=FALSE),"-",IF(AND($U$5=TRUE,$U$4=TRUE),"-",
IF((AND($U$4=TRUE,$U$5=FALSE,$U$6=FALSE,$U$7=FALSE)),VLOOKUP($E544,'Status Thresholds'!$E:$AR,5,FALSE),IF((AND($U$4=TRUE,$U$5=FALSE,$U$6=TRUE,$U$7=FALSE)),VLOOKUP($E544,'Status Thresholds'!$E:$AR,15,FALSE),IF((AND($U$4=TRUE,$U$5=FALSE,$U$6=TRUE,$U$7=TRUE)),VLOOKUP($E544,'Status Thresholds'!$E:$AR,20,FALSE),IF((AND($U$4=TRUE,$U$5=FALSE,$U$6=FALSE,$U$7=TRUE)),VLOOKUP($E544,'Status Thresholds'!$E:$AR,10,FALSE),
IF((AND($U$4=FALSE,$U$5=TRUE,$U$6=FALSE,$U$7=FALSE)),VLOOKUP($E544,'Status Thresholds'!$E:$AR,25,FALSE),IF((AND($U$4=FALSE,$U$5=TRUE,$U$6=TRUE,$U$7=FALSE)),VLOOKUP($E544,'Status Thresholds'!$E:$AR,35,FALSE),IF((AND($U$4=FALSE,$U$5=TRUE,$U$6=TRUE,$U$7=TRUE)),VLOOKUP($E544,'Status Thresholds'!$E:$AR,40,FALSE),IF((AND($U$4=FALSE,$U$5=TRUE,$U$6=FALSE,$U$7=TRUE)),VLOOKUP($E544,'Status Thresholds'!$E:$AR,30,FALSE)))))))))
))/
IF(OR($X$5=TRUE,$AC$3=TRUE
),($F$6/2), IF(OR($X$2,$X$3,$X$4,$X$6,$X$7,$X$8,$Z$2,$Z$3,$Z$4,$Z$5,$Z$6,$Z$7,$Z$8)=TRUE,$F$6)),0),"-")</f>
        <v>-</v>
      </c>
      <c r="J544" s="46">
        <f>IFERROR(IF(AND($U$5=FALSE,$U$4=FALSE),"-",VLOOKUP($E544,'Status Thresholds'!$E:$AU,41,FALSE)),"-")</f>
        <v>10</v>
      </c>
      <c r="K544" s="46" t="str">
        <f>IFERROR(IF(AND($U$5=FALSE,$U$4=FALSE),"-",VLOOKUP($E544,'Status Thresholds'!$E:$AU,42,FALSE)),"-")</f>
        <v>-</v>
      </c>
      <c r="L544" s="46" t="str">
        <f>IFERROR(IF(AND($U$5=FALSE,$U$4=FALSE),"-",VLOOKUP($E544,'Status Thresholds'!$E:$AU,43,FALSE)),"-")</f>
        <v>-</v>
      </c>
    </row>
    <row r="545" spans="1:12" x14ac:dyDescent="0.25">
      <c r="A545" s="35"/>
      <c r="B545" s="64" t="str">
        <f>VLOOKUP(C545,'Status Thresholds'!B:C,2,FALSE)</f>
        <v>MHGU</v>
      </c>
      <c r="C545" s="64" t="str">
        <f>IF('Status Thresholds'!B540=0, "", 'Status Thresholds'!B540)</f>
        <v>Nerscylla</v>
      </c>
      <c r="D545" s="30" t="s">
        <v>35</v>
      </c>
      <c r="E545" s="36" t="str">
        <f t="shared" si="8"/>
        <v>NerscyllaBlast</v>
      </c>
      <c r="F545" s="36" t="str">
        <f>IFERROR(
ROUNDUP(
IF(AND($U$5=FALSE,$U$4=FALSE),"-",IF(AND($U$5=TRUE,$U$4=TRUE),"-",
IF((AND($U$4=TRUE,$U$5=FALSE,$U$6=FALSE,$U$7=FALSE)),VLOOKUP($E545,'Status Thresholds'!$E:$AR,2,FALSE),IF((AND($U$4=TRUE,$U$5=FALSE,$U$6=TRUE,$U$7=FALSE)),VLOOKUP($E545,'Status Thresholds'!$E:$AR,12,FALSE),IF((AND($U$4=TRUE,$U$5=FALSE,$U$6=TRUE,$U$7=TRUE)),VLOOKUP($E545,'Status Thresholds'!$E:$AR,17,FALSE),IF((AND($U$4=TRUE,$U$5=FALSE,$U$6=FALSE,$U$7=TRUE)),VLOOKUP($E545,'Status Thresholds'!$E:$AR,7,FALSE),
IF((AND($U$4=FALSE,$U$5=TRUE,$U$6=FALSE,$U$7=FALSE)),VLOOKUP($E545,'Status Thresholds'!$E:$AR,22,FALSE),IF((AND($U$4=FALSE,$U$5=TRUE,$U$6=TRUE,$U$7=FALSE)),VLOOKUP($E545,'Status Thresholds'!$E:$AR,32,FALSE),IF((AND($U$4=FALSE,$U$5=TRUE,$U$6=TRUE,$U$7=TRUE)),VLOOKUP($E545,'Status Thresholds'!$E:$AR,37,FALSE),IF((AND($U$4=FALSE,$U$5=TRUE,$U$6=FALSE,$U$7=TRUE)),VLOOKUP($E545,'Status Thresholds'!$E:$AR,27,FALSE)))))))))
))/
IF(OR($X$5=TRUE,$AC$3=TRUE
),($F$7/2), IF(OR($X$2,$X$3,$X$4,$X$6,$X$7,$X$8,$Z$2,$Z$3,$Z$4,$Z$5,$Z$6,$Z$7,$Z$8)=TRUE,$F$7)),0),"-")</f>
        <v>-</v>
      </c>
      <c r="G545" s="36" t="str">
        <f>IFERROR(
ROUNDUP(
IF(AND($U$5=FALSE,$U$4=FALSE),"-",IF(AND($U$5=TRUE,$U$4=TRUE),"-",
IF((AND($U$4=TRUE,$U$5=FALSE,$U$6=FALSE,$U$7=FALSE)),VLOOKUP($E545,'Status Thresholds'!$E:$AR,3,FALSE),IF((AND($U$4=TRUE,$U$5=FALSE,$U$6=TRUE,$U$7=FALSE)),VLOOKUP($E545,'Status Thresholds'!$E:$AR,13,FALSE),IF((AND($U$4=TRUE,$U$5=FALSE,$U$6=TRUE,$U$7=TRUE)),VLOOKUP($E545,'Status Thresholds'!$E:$AR,18,FALSE),IF((AND($U$4=TRUE,$U$5=FALSE,$U$6=FALSE,$U$7=TRUE)),VLOOKUP($E545,'Status Thresholds'!$E:$AR,8,FALSE),
IF((AND($U$4=FALSE,$U$5=TRUE,$U$6=FALSE,$U$7=FALSE)),VLOOKUP($E545,'Status Thresholds'!$E:$AR,23,FALSE),IF((AND($U$4=FALSE,$U$5=TRUE,$U$6=TRUE,$U$7=FALSE)),VLOOKUP($E545,'Status Thresholds'!$E:$AR,33,FALSE),IF((AND($U$4=FALSE,$U$5=TRUE,$U$6=TRUE,$U$7=TRUE)),VLOOKUP($E545,'Status Thresholds'!$E:$AR,38,FALSE),IF((AND($U$4=FALSE,$U$5=TRUE,$U$6=FALSE,$U$7=TRUE)),VLOOKUP($E545,'Status Thresholds'!$E:$AR,28,FALSE)))))))))
))/
IF(OR($X$5=TRUE,$AC$3=TRUE
),($F$7/2), IF(OR($X$2,$X$3,$X$4,$X$6,$X$7,$X$8,$Z$2,$Z$3,$Z$4,$Z$5,$Z$6,$Z$7,$Z$8)=TRUE,$F$7)),0),"-")</f>
        <v>-</v>
      </c>
      <c r="H545" s="36" t="str">
        <f>IFERROR(
ROUNDUP(
IF(AND($U$5=FALSE,$U$4=FALSE),"-",IF(AND($U$5=TRUE,$U$4=TRUE),"-",
IF((AND($U$4=TRUE,$U$5=FALSE,$U$6=FALSE,$U$7=FALSE)),VLOOKUP($E545,'Status Thresholds'!$E:$AR,4,FALSE),IF((AND($U$4=TRUE,$U$5=FALSE,$U$6=TRUE,$U$7=FALSE)),VLOOKUP($E545,'Status Thresholds'!$E:$AR,14,FALSE),IF((AND($U$4=TRUE,$U$5=FALSE,$U$6=TRUE,$U$7=TRUE)),VLOOKUP($E545,'Status Thresholds'!$E:$AR,19,FALSE),IF((AND($U$4=TRUE,$U$5=FALSE,$U$6=FALSE,$U$7=TRUE)),VLOOKUP($E545,'Status Thresholds'!$E:$AR,9,FALSE),
IF((AND($U$4=FALSE,$U$5=TRUE,$U$6=FALSE,$U$7=FALSE)),VLOOKUP($E545,'Status Thresholds'!$E:$AR,24,FALSE),IF((AND($U$4=FALSE,$U$5=TRUE,$U$6=TRUE,$U$7=FALSE)),VLOOKUP($E545,'Status Thresholds'!$E:$AR,34,FALSE),IF((AND($U$4=FALSE,$U$5=TRUE,$U$6=TRUE,$U$7=TRUE)),VLOOKUP($E545,'Status Thresholds'!$E:$AR,39,FALSE),IF((AND($U$4=FALSE,$U$5=TRUE,$U$6=FALSE,$U$7=TRUE)),VLOOKUP($E545,'Status Thresholds'!$E:$AR,29,FALSE)))))))))
))/
IF(OR($X$5=TRUE,$AC$3=TRUE
),($F$7/2), IF(OR($X$2,$X$3,$X$4,$X$6,$X$7,$X$8,$Z$2,$Z$3,$Z$4,$Z$5,$Z$6,$Z$7,$Z$8)=TRUE,$F$7)),0),"-")</f>
        <v>-</v>
      </c>
      <c r="I545" s="36" t="str">
        <f>IFERROR(
ROUNDUP(
IF(AND($U$5=FALSE,$U$4=FALSE),"-",IF(AND($U$5=TRUE,$U$4=TRUE),"-",
IF((AND($U$4=TRUE,$U$5=FALSE,$U$6=FALSE,$U$7=FALSE)),VLOOKUP($E545,'Status Thresholds'!$E:$AR,5,FALSE),IF((AND($U$4=TRUE,$U$5=FALSE,$U$6=TRUE,$U$7=FALSE)),VLOOKUP($E545,'Status Thresholds'!$E:$AR,15,FALSE),IF((AND($U$4=TRUE,$U$5=FALSE,$U$6=TRUE,$U$7=TRUE)),VLOOKUP($E545,'Status Thresholds'!$E:$AR,20,FALSE),IF((AND($U$4=TRUE,$U$5=FALSE,$U$6=FALSE,$U$7=TRUE)),VLOOKUP($E545,'Status Thresholds'!$E:$AR,10,FALSE),
IF((AND($U$4=FALSE,$U$5=TRUE,$U$6=FALSE,$U$7=FALSE)),VLOOKUP($E545,'Status Thresholds'!$E:$AR,25,FALSE),IF((AND($U$4=FALSE,$U$5=TRUE,$U$6=TRUE,$U$7=FALSE)),VLOOKUP($E545,'Status Thresholds'!$E:$AR,35,FALSE),IF((AND($U$4=FALSE,$U$5=TRUE,$U$6=TRUE,$U$7=TRUE)),VLOOKUP($E545,'Status Thresholds'!$E:$AR,40,FALSE),IF((AND($U$4=FALSE,$U$5=TRUE,$U$6=FALSE,$U$7=TRUE)),VLOOKUP($E545,'Status Thresholds'!$E:$AR,30,FALSE)))))))))
))/
IF(OR($X$5=TRUE,$AC$3=TRUE
),($F$7/2), IF(OR($X$2,$X$3,$X$4,$X$6,$X$7,$X$8,$Z$2,$Z$3,$Z$4,$Z$5,$Z$6,$Z$7,$Z$8)=TRUE,$F$7)),0),"-")</f>
        <v>-</v>
      </c>
      <c r="J545" s="46">
        <f>IFERROR(IF(AND($U$5=FALSE,$U$4=FALSE),"-",VLOOKUP($E545,'Status Thresholds'!$E:$AU,41,FALSE)),"-")</f>
        <v>0</v>
      </c>
      <c r="K545" s="46" t="str">
        <f>IFERROR(IF(AND($U$5=FALSE,$U$4=FALSE),"-",VLOOKUP($E545,'Status Thresholds'!$E:$AU,42,FALSE)),"-")</f>
        <v>-</v>
      </c>
      <c r="L545" s="46" t="str">
        <f>IFERROR(IF(AND($U$5=FALSE,$U$4=FALSE),"-",VLOOKUP($E545,'Status Thresholds'!$E:$AU,43,FALSE)),"-")</f>
        <v>-</v>
      </c>
    </row>
    <row r="546" spans="1:12" ht="14.45" customHeight="1" x14ac:dyDescent="0.25">
      <c r="A546" s="35"/>
      <c r="B546" s="64" t="str">
        <f>VLOOKUP(C546,'Status Thresholds'!B:C,2,FALSE)</f>
        <v>MHGU</v>
      </c>
      <c r="C546" s="64" t="str">
        <f>IF('Status Thresholds'!B541=0, "", 'Status Thresholds'!B541)</f>
        <v>Nerscylla</v>
      </c>
      <c r="D546" s="34" t="s">
        <v>14</v>
      </c>
      <c r="E546" s="36" t="str">
        <f t="shared" si="8"/>
        <v>NerscyllaKO</v>
      </c>
      <c r="F546" s="36" t="s">
        <v>214</v>
      </c>
      <c r="G546" s="36" t="s">
        <v>214</v>
      </c>
      <c r="H546" s="36" t="s">
        <v>214</v>
      </c>
      <c r="I546" s="36" t="s">
        <v>214</v>
      </c>
      <c r="J546" s="46">
        <f>IFERROR(IF(AND($U$5=FALSE,$U$4=FALSE),"-",VLOOKUP($E546,'Status Thresholds'!$E:$AU,41,FALSE)),"-")</f>
        <v>14</v>
      </c>
      <c r="K546" s="46" t="str">
        <f>IFERROR(IF(AND($U$5=FALSE,$U$4=FALSE),"-",VLOOKUP($E546,'Status Thresholds'!$E:$AU,42,FALSE)),"-")</f>
        <v>-</v>
      </c>
      <c r="L546" s="46" t="str">
        <f>IFERROR(IF(AND($U$5=FALSE,$U$4=FALSE),"-",VLOOKUP($E546,'Status Thresholds'!$E:$AU,43,FALSE)),"-")</f>
        <v>-</v>
      </c>
    </row>
    <row r="547" spans="1:12" x14ac:dyDescent="0.25">
      <c r="A547" s="35"/>
      <c r="B547" s="64" t="str">
        <f>VLOOKUP(C547,'Status Thresholds'!B:C,2,FALSE)</f>
        <v>MHGU</v>
      </c>
      <c r="C547" s="64" t="str">
        <f>IF('Status Thresholds'!B542=0, "", 'Status Thresholds'!B542)</f>
        <v>Nerscylla</v>
      </c>
      <c r="D547" s="33" t="s">
        <v>34</v>
      </c>
      <c r="E547" s="36" t="str">
        <f t="shared" si="8"/>
        <v>NerscyllaMount</v>
      </c>
      <c r="F547" s="36" t="str">
        <f>IFERROR(
ROUNDUP(
IF(AND($U$5=FALSE,$U$4=FALSE),"-",IF(AND($U$5=TRUE,$U$4=TRUE),"-",
IF((AND($U$4=TRUE,$U$5=FALSE,$U$6=FALSE,$U$7=FALSE)),VLOOKUP($E547,'Status Thresholds'!$E:$AR,2,FALSE),IF((AND($U$4=TRUE,$U$5=FALSE,$U$6=TRUE,$U$7=FALSE)),VLOOKUP($E547,'Status Thresholds'!$E:$AR,12,FALSE),IF((AND($U$4=TRUE,$U$5=FALSE,$U$6=TRUE,$U$7=TRUE)),VLOOKUP($E547,'Status Thresholds'!$E:$AR,17,FALSE),IF((AND($U$4=TRUE,$U$5=FALSE,$U$6=FALSE,$U$7=TRUE)),VLOOKUP($E547,'Status Thresholds'!$E:$AR,7,FALSE),
IF((AND($U$4=FALSE,$U$5=TRUE,$U$6=FALSE,$U$7=FALSE)),VLOOKUP($E547,'Status Thresholds'!$E:$AR,22,FALSE),IF((AND($U$4=FALSE,$U$5=TRUE,$U$6=TRUE,$U$7=FALSE)),VLOOKUP($E547,'Status Thresholds'!$E:$AR,32,FALSE),IF((AND($U$4=FALSE,$U$5=TRUE,$U$6=TRUE,$U$7=TRUE)),VLOOKUP($E547,'Status Thresholds'!$E:$AR,37,FALSE),IF((AND($U$4=FALSE,$U$5=TRUE,$U$6=FALSE,$U$7=TRUE)),VLOOKUP($E547,'Status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547" s="36" t="str">
        <f>IFERROR(
ROUNDUP(
IF(AND($U$5=FALSE,$U$4=FALSE),"-",IF(AND($U$5=TRUE,$U$4=TRUE),"-",
IF((AND($U$4=TRUE,$U$5=FALSE,$U$6=FALSE,$U$7=FALSE)),VLOOKUP($E546,'Status Thresholds'!$E:$AR,3,FALSE),IF((AND($U$4=TRUE,$U$5=FALSE,$U$6=TRUE,$U$7=FALSE)),VLOOKUP($E546,'Status Thresholds'!$E:$AR,13,FALSE),IF((AND($U$4=TRUE,$U$5=FALSE,$U$6=TRUE,$U$7=TRUE)),VLOOKUP($E546,'Status Thresholds'!$E:$AR,18,FALSE),IF((AND($U$4=TRUE,$U$5=FALSE,$U$6=FALSE,$U$7=TRUE)),VLOOKUP($E546,'Status Thresholds'!$E:$AR,8,FALSE),
IF((AND($U$4=FALSE,$U$5=TRUE,$U$6=FALSE,$U$7=FALSE)),VLOOKUP($E546,'Status Thresholds'!$E:$AR,23,FALSE),IF((AND($U$4=FALSE,$U$5=TRUE,$U$6=TRUE,$U$7=FALSE)),VLOOKUP($E546,'Status Thresholds'!$E:$AR,33,FALSE),IF((AND($U$4=FALSE,$U$5=TRUE,$U$6=TRUE,$U$7=TRUE)),VLOOKUP($E546,'Status Thresholds'!$E:$AR,38,FALSE),IF((AND($U$4=FALSE,$U$5=TRUE,$U$6=FALSE,$U$7=TRUE)),VLOOKUP($E546,'Status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547" s="36" t="str">
        <f>IFERROR(
ROUNDUP(
IF(AND($U$5=FALSE,$U$4=FALSE),"-",IF(AND($U$5=TRUE,$U$4=TRUE),"-",
IF((AND($U$4=TRUE,$U$5=FALSE,$U$6=FALSE,$U$7=FALSE)),VLOOKUP($E546,'Status Thresholds'!$E:$AR,4,FALSE),IF((AND($U$4=TRUE,$U$5=FALSE,$U$6=TRUE,$U$7=FALSE)),VLOOKUP($E546,'Status Thresholds'!$E:$AR,14,FALSE),IF((AND($U$4=TRUE,$U$5=FALSE,$U$6=TRUE,$U$7=TRUE)),VLOOKUP($E546,'Status Thresholds'!$E:$AR,19,FALSE),IF((AND($U$4=TRUE,$U$5=FALSE,$U$6=FALSE,$U$7=TRUE)),VLOOKUP($E546,'Status Thresholds'!$E:$AR,9,FALSE),
IF((AND($U$4=FALSE,$U$5=TRUE,$U$6=FALSE,$U$7=FALSE)),VLOOKUP($E546,'Status Thresholds'!$E:$AR,24,FALSE),IF((AND($U$4=FALSE,$U$5=TRUE,$U$6=TRUE,$U$7=FALSE)),VLOOKUP($E546,'Status Thresholds'!$E:$AR,34,FALSE),IF((AND($U$4=FALSE,$U$5=TRUE,$U$6=TRUE,$U$7=TRUE)),VLOOKUP($E546,'Status Thresholds'!$E:$AR,39,FALSE),IF((AND($U$4=FALSE,$U$5=TRUE,$U$6=FALSE,$U$7=TRUE)),VLOOKUP($E546,'Status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547" s="36" t="str">
        <f>IFERROR(
ROUNDUP(
IF(AND($U$5=FALSE,$U$4=FALSE),"-",IF(AND($U$5=TRUE,$U$4=TRUE),"-",
IF((AND($U$4=TRUE,$U$5=FALSE,$U$6=FALSE,$U$7=FALSE)),VLOOKUP($E546,'Status Thresholds'!$E:$AR,5,FALSE),IF((AND($U$4=TRUE,$U$5=FALSE,$U$6=TRUE,$U$7=FALSE)),VLOOKUP($E546,'Status Thresholds'!$E:$AR,15,FALSE),IF((AND($U$4=TRUE,$U$5=FALSE,$U$6=TRUE,$U$7=TRUE)),VLOOKUP($E546,'Status Thresholds'!$E:$AR,20,FALSE),IF((AND($U$4=TRUE,$U$5=FALSE,$U$6=FALSE,$U$7=TRUE)),VLOOKUP($E546,'Status Thresholds'!$E:$AR,10,FALSE),
IF((AND($U$4=FALSE,$U$5=TRUE,$U$6=FALSE,$U$7=FALSE)),VLOOKUP($E546,'Status Thresholds'!$E:$AR,25,FALSE),IF((AND($U$4=FALSE,$U$5=TRUE,$U$6=TRUE,$U$7=FALSE)),VLOOKUP($E546,'Status Thresholds'!$E:$AR,35,FALSE),IF((AND($U$4=FALSE,$U$5=TRUE,$U$6=TRUE,$U$7=TRUE)),VLOOKUP($E546,'Status Thresholds'!$E:$AR,40,FALSE),IF((AND($U$4=FALSE,$U$5=TRUE,$U$6=FALSE,$U$7=TRUE)),VLOOKUP($E546,'Status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547" s="46">
        <f>IFERROR(IF(AND($U$5=FALSE,$U$4=FALSE),"-",VLOOKUP($E547,'Status Thresholds'!$E:$AU,41,FALSE)),"-")</f>
        <v>0</v>
      </c>
      <c r="K547" s="46" t="str">
        <f>IFERROR(IF(AND($U$5=FALSE,$U$4=FALSE),"-",VLOOKUP($E547,'Status Thresholds'!$E:$AU,42,FALSE)),"-")</f>
        <v>-</v>
      </c>
      <c r="L547" s="46" t="str">
        <f>IFERROR(IF(AND($U$5=FALSE,$U$4=FALSE),"-",VLOOKUP($E547,'Status Thresholds'!$E:$AU,43,FALSE)),"-")</f>
        <v>-</v>
      </c>
    </row>
    <row r="548" spans="1:12" ht="15" customHeight="1" x14ac:dyDescent="0.25">
      <c r="A548" s="35"/>
      <c r="B548" s="64" t="str">
        <f>VLOOKUP(C548,'Status Thresholds'!B:C,2,FALSE)</f>
        <v>MHGU</v>
      </c>
      <c r="C548" s="64" t="str">
        <f>IF('Status Thresholds'!B543=0, "", 'Status Thresholds'!B543)</f>
        <v>Nerscylla</v>
      </c>
      <c r="D548" s="77" t="s">
        <v>207</v>
      </c>
      <c r="E548" s="36" t="str">
        <f t="shared" si="8"/>
        <v>NerscyllaShock Trap</v>
      </c>
      <c r="F548" s="76" t="s">
        <v>214</v>
      </c>
      <c r="G548" s="46" t="s">
        <v>214</v>
      </c>
      <c r="H548" s="46" t="s">
        <v>214</v>
      </c>
      <c r="I548" s="46" t="s">
        <v>214</v>
      </c>
      <c r="J548" s="46">
        <f>IFERROR(IF(AND($U$5=FALSE,$U$4=FALSE),"-",VLOOKUP($E548,'Status Thresholds'!$E:$AU,43,FALSE)),"-")</f>
        <v>10</v>
      </c>
      <c r="K548" s="46">
        <f>IFERROR(IF(AND($U$5=FALSE,$U$4=FALSE),"-",VLOOKUP($E548,'Status Thresholds'!$E:$AU,41,FALSE)),"-")</f>
        <v>8</v>
      </c>
      <c r="L548" s="46">
        <f>IFERROR(IF(AND($U$5=FALSE,$U$4=FALSE),"-",VLOOKUP($E548,'Status Thresholds'!$E:$AU,42,FALSE)),"-")</f>
        <v>12</v>
      </c>
    </row>
    <row r="549" spans="1:12" x14ac:dyDescent="0.25">
      <c r="A549" s="35"/>
      <c r="B549" s="64" t="str">
        <f>VLOOKUP(C549,'Status Thresholds'!B:C,2,FALSE)</f>
        <v>MHGU</v>
      </c>
      <c r="C549" s="64" t="str">
        <f>IF('Status Thresholds'!B544=0, "", 'Status Thresholds'!B544)</f>
        <v>Nerscylla</v>
      </c>
      <c r="D549" s="77" t="s">
        <v>213</v>
      </c>
      <c r="E549" s="36" t="str">
        <f t="shared" si="8"/>
        <v>NerscyllaPitfall Trap</v>
      </c>
      <c r="F549" s="46" t="s">
        <v>214</v>
      </c>
      <c r="G549" s="46" t="s">
        <v>214</v>
      </c>
      <c r="H549" s="46" t="s">
        <v>214</v>
      </c>
      <c r="I549" s="46" t="s">
        <v>214</v>
      </c>
      <c r="J549" s="46">
        <f>IFERROR(IF(AND($U$5=FALSE,$U$4=FALSE),"-",VLOOKUP($E549,'Status Thresholds'!$E:$AU,43,FALSE)),"-")</f>
        <v>15</v>
      </c>
      <c r="K549" s="46">
        <f>IFERROR(IF(AND($U$5=FALSE,$U$4=FALSE),"-",VLOOKUP($E549,'Status Thresholds'!$E:$AU,41,FALSE)),"-")</f>
        <v>12</v>
      </c>
      <c r="L549" s="46">
        <f>IFERROR(IF(AND($U$5=FALSE,$U$4=FALSE),"-",VLOOKUP($E549,'Status Thresholds'!$E:$AU,42,FALSE)),"-")</f>
        <v>20</v>
      </c>
    </row>
    <row r="550" spans="1:12" s="36" customFormat="1" x14ac:dyDescent="0.25">
      <c r="A550" s="64"/>
      <c r="B550" s="64" t="str">
        <f>VLOOKUP(C550,'Status Thresholds'!B:C,2,FALSE)</f>
        <v>MHGen</v>
      </c>
      <c r="C550" s="64" t="str">
        <f>IF('Status Thresholds'!B545=0, "", 'Status Thresholds'!B545)</f>
        <v>Nibelsnarf</v>
      </c>
      <c r="D550" s="37" t="s">
        <v>0</v>
      </c>
      <c r="E550" s="36" t="str">
        <f t="shared" si="8"/>
        <v>NibelsnarfPara</v>
      </c>
      <c r="F550" s="36" t="str">
        <f>IFERROR(
ROUNDUP(
IF(AND($U$5=FALSE,$U$4=FALSE),"-",IF(AND($U$5=TRUE,$U$4=TRUE),"-",
IF((AND($U$4=TRUE,$U$5=FALSE,$U$6=FALSE,$U$7=FALSE)),VLOOKUP($E550,'Status Thresholds'!$E:$AR,2,FALSE),IF((AND($U$4=TRUE,$U$5=FALSE,$U$6=TRUE,$U$7=FALSE)),VLOOKUP($E550,'Status Thresholds'!$E:$AR,12,FALSE),IF((AND($U$4=TRUE,$U$5=FALSE,$U$6=TRUE,$U$7=TRUE)),VLOOKUP($E550,'Status Thresholds'!$E:$AR,17,FALSE),IF((AND($U$4=TRUE,$U$5=FALSE,$U$6=FALSE,$U$7=TRUE)),VLOOKUP($E550,'Status Thresholds'!$E:$AR,7,FALSE),
IF((AND($U$4=FALSE,$U$5=TRUE,$U$6=FALSE,$U$7=FALSE)),VLOOKUP($E550,'Status Thresholds'!$E:$AR,22,FALSE),IF((AND($U$4=FALSE,$U$5=TRUE,$U$6=TRUE,$U$7=FALSE)),VLOOKUP($E550,'Status Thresholds'!$E:$AR,32,FALSE),IF((AND($U$4=FALSE,$U$5=TRUE,$U$6=TRUE,$U$7=TRUE)),VLOOKUP($E550,'Status Thresholds'!$E:$AR,37,FALSE),IF((AND($U$4=FALSE,$U$5=TRUE,$U$6=FALSE,$U$7=TRUE)),VLOOKUP($E550,'Status Thresholds'!$E:$AR,27,FALSE)))))))))
))/
IF(OR($X$5=TRUE,$AC$3=TRUE
),($F$3/2), IF(OR($X$2,$X$3,$X$4,$X$6,$X$7,$X$8,$Z$2,$Z$3,$Z$4,$Z$5,$Z$6,$Z$7,$Z$8)=TRUE,$F$3)),0),"-")</f>
        <v>-</v>
      </c>
      <c r="G550" s="36" t="str">
        <f>IFERROR(
ROUNDUP(
IF(AND($U$5=FALSE,$U$4=FALSE),"-",IF(AND($U$5=TRUE,$U$4=TRUE),"-",
IF((AND($U$4=TRUE,$U$5=FALSE,$U$6=FALSE,$U$7=FALSE)),VLOOKUP($E550,'Status Thresholds'!$E:$AR,3,FALSE),IF((AND($U$4=TRUE,$U$5=FALSE,$U$6=TRUE,$U$7=FALSE)),VLOOKUP($E550,'Status Thresholds'!$E:$AR,13,FALSE),IF((AND($U$4=TRUE,$U$5=FALSE,$U$6=TRUE,$U$7=TRUE)),VLOOKUP($E550,'Status Thresholds'!$E:$AR,18,FALSE),IF((AND($U$4=TRUE,$U$5=FALSE,$U$6=FALSE,$U$7=TRUE)),VLOOKUP($E550,'Status Thresholds'!$E:$AR,8,FALSE),
IF((AND($U$4=FALSE,$U$5=TRUE,$U$6=FALSE,$U$7=FALSE)),VLOOKUP($E550,'Status Thresholds'!$E:$AR,23,FALSE),IF((AND($U$4=FALSE,$U$5=TRUE,$U$6=TRUE,$U$7=FALSE)),VLOOKUP($E550,'Status Thresholds'!$E:$AR,33,FALSE),IF((AND($U$4=FALSE,$U$5=TRUE,$U$6=TRUE,$U$7=TRUE)),VLOOKUP($E550,'Status Thresholds'!$E:$AR,38,FALSE),IF((AND($U$4=FALSE,$U$5=TRUE,$U$6=FALSE,$U$7=TRUE)),VLOOKUP($E550,'Status Thresholds'!$E:$AR,28,FALSE)))))))))
))/
IF(OR($X$5=TRUE,$AC$3=TRUE
),($F$3/2), IF(OR($X$2,$X$3,$X$4,$X$6,$X$7,$X$8,$Z$2,$Z$3,$Z$4,$Z$5,$Z$6,$Z$7,$Z$8)=TRUE,$F$3)),0),"-")</f>
        <v>-</v>
      </c>
      <c r="H550" s="36" t="str">
        <f>IFERROR(
ROUNDUP(
IF(AND($U$5=FALSE,$U$4=FALSE),"-",IF(AND($U$5=TRUE,$U$4=TRUE),"-",
IF((AND($U$4=TRUE,$U$5=FALSE,$U$6=FALSE,$U$7=FALSE)),VLOOKUP($E550,'Status Thresholds'!$E:$AR,4,FALSE),IF((AND($U$4=TRUE,$U$5=FALSE,$U$6=TRUE,$U$7=FALSE)),VLOOKUP($E550,'Status Thresholds'!$E:$AR,14,FALSE),IF((AND($U$4=TRUE,$U$5=FALSE,$U$6=TRUE,$U$7=TRUE)),VLOOKUP($E550,'Status Thresholds'!$E:$AR,19,FALSE),IF((AND($U$4=TRUE,$U$5=FALSE,$U$6=FALSE,$U$7=TRUE)),VLOOKUP($E550,'Status Thresholds'!$E:$AR,9,FALSE),
IF((AND($U$4=FALSE,$U$5=TRUE,$U$6=FALSE,$U$7=FALSE)),VLOOKUP($E550,'Status Thresholds'!$E:$AR,24,FALSE),IF((AND($U$4=FALSE,$U$5=TRUE,$U$6=TRUE,$U$7=FALSE)),VLOOKUP($E550,'Status Thresholds'!$E:$AR,34,FALSE),IF((AND($U$4=FALSE,$U$5=TRUE,$U$6=TRUE,$U$7=TRUE)),VLOOKUP($E550,'Status Thresholds'!$E:$AR,39,FALSE),IF((AND($U$4=FALSE,$U$5=TRUE,$U$6=FALSE,$U$7=TRUE)),VLOOKUP($E550,'Status Thresholds'!$E:$AR,29,FALSE)))))))))
))/
IF(OR($X$5=TRUE,$AC$3=TRUE
),($F$3/2), IF(OR($X$2,$X$3,$X$4,$X$6,$X$7,$X$8,$Z$2,$Z$3,$Z$4,$Z$5,$Z$6,$Z$7,$Z$8)=TRUE,$F$3)),0),"-")</f>
        <v>-</v>
      </c>
      <c r="I550" s="36" t="str">
        <f>IFERROR(
ROUNDUP(
IF(AND($U$5=FALSE,$U$4=FALSE),"-",IF(AND($U$5=TRUE,$U$4=TRUE),"-",
IF((AND($U$4=TRUE,$U$5=FALSE,$U$6=FALSE,$U$7=FALSE)),VLOOKUP($E550,'Status Thresholds'!$E:$AR,5,FALSE),IF((AND($U$4=TRUE,$U$5=FALSE,$U$6=TRUE,$U$7=FALSE)),VLOOKUP($E550,'Status Thresholds'!$E:$AR,15,FALSE),IF((AND($U$4=TRUE,$U$5=FALSE,$U$6=TRUE,$U$7=TRUE)),VLOOKUP($E550,'Status Thresholds'!$E:$AR,20,FALSE),IF((AND($U$4=TRUE,$U$5=FALSE,$U$6=FALSE,$U$7=TRUE)),VLOOKUP($E550,'Status Thresholds'!$E:$AR,10,FALSE),
IF((AND($U$4=FALSE,$U$5=TRUE,$U$6=FALSE,$U$7=FALSE)),VLOOKUP($E550,'Status Thresholds'!$E:$AR,25,FALSE),IF((AND($U$4=FALSE,$U$5=TRUE,$U$6=TRUE,$U$7=FALSE)),VLOOKUP($E550,'Status Thresholds'!$E:$AR,35,FALSE),IF((AND($U$4=FALSE,$U$5=TRUE,$U$6=TRUE,$U$7=TRUE)),VLOOKUP($E550,'Status Thresholds'!$E:$AR,40,FALSE),IF((AND($U$4=FALSE,$U$5=TRUE,$U$6=FALSE,$U$7=TRUE)),VLOOKUP($E550,'Status Thresholds'!$E:$AR,30,FALSE)))))))))
))/
IF(OR($X$5=TRUE,$AC$3=TRUE
),($F$3/2), IF(OR($X$2,$X$3,$X$4,$X$6,$X$7,$X$8,$Z$2,$Z$3,$Z$4,$Z$5,$Z$6,$Z$7,$Z$8)=TRUE,$F$3)),0),"-")</f>
        <v>-</v>
      </c>
      <c r="J550" s="36">
        <f>IFERROR(IF(AND($U$5=FALSE,$U$4=FALSE),"-",VLOOKUP($E550,'Status Thresholds'!$E:$AU,41,FALSE)),"-")</f>
        <v>10</v>
      </c>
      <c r="K550" s="36" t="str">
        <f>IFERROR(IF(AND($U$5=FALSE,$U$4=FALSE),"-",VLOOKUP($E550,'Status Thresholds'!$E:$AU,42,FALSE)),"-")</f>
        <v>-</v>
      </c>
      <c r="L550" s="36" t="str">
        <f>IFERROR(IF(AND($U$5=FALSE,$U$4=FALSE),"-",VLOOKUP($E550,'Status Thresholds'!$E:$AU,43,FALSE)),"-")</f>
        <v>-</v>
      </c>
    </row>
    <row r="551" spans="1:12" x14ac:dyDescent="0.25">
      <c r="A551" s="35"/>
      <c r="B551" s="64" t="str">
        <f>VLOOKUP(C551,'Status Thresholds'!B:C,2,FALSE)</f>
        <v>MHGen</v>
      </c>
      <c r="C551" s="64" t="str">
        <f>IF('Status Thresholds'!B546=0, "", 'Status Thresholds'!B546)</f>
        <v>Nibelsnarf</v>
      </c>
      <c r="D551" s="31" t="s">
        <v>32</v>
      </c>
      <c r="E551" s="36" t="str">
        <f t="shared" si="8"/>
        <v>NibelsnarfSleep</v>
      </c>
      <c r="F551" s="36" t="str">
        <f>IFERROR(
ROUNDUP(
IF(AND($U$5=FALSE,$U$4=FALSE),"-",IF(AND($U$5=TRUE,$U$4=TRUE),"-",
IF((AND($U$4=TRUE,$U$5=FALSE,$U$6=FALSE,$U$7=FALSE)),VLOOKUP($E551,'Status Thresholds'!$E:$AR,2,FALSE),IF((AND($U$4=TRUE,$U$5=FALSE,$U$6=TRUE,$U$7=FALSE)),VLOOKUP($E551,'Status Thresholds'!$E:$AR,12,FALSE),IF((AND($U$4=TRUE,$U$5=FALSE,$U$6=TRUE,$U$7=TRUE)),VLOOKUP($E551,'Status Thresholds'!$E:$AR,17,FALSE),IF((AND($U$4=TRUE,$U$5=FALSE,$U$6=FALSE,$U$7=TRUE)),VLOOKUP($E551,'Status Thresholds'!$E:$AR,7,FALSE),
IF((AND($U$4=FALSE,$U$5=TRUE,$U$6=FALSE,$U$7=FALSE)),VLOOKUP($E551,'Status Thresholds'!$E:$AR,22,FALSE),IF((AND($U$4=FALSE,$U$5=TRUE,$U$6=TRUE,$U$7=FALSE)),VLOOKUP($E551,'Status Thresholds'!$E:$AR,32,FALSE),IF((AND($U$4=FALSE,$U$5=TRUE,$U$6=TRUE,$U$7=TRUE)),VLOOKUP($E551,'Status Thresholds'!$E:$AR,37,FALSE),IF((AND($U$4=FALSE,$U$5=TRUE,$U$6=FALSE,$U$7=TRUE)),VLOOKUP($E551,'Status Thresholds'!$E:$AR,27,FALSE)))))))))
))/
IF(OR($X$5=TRUE,$AC$3=TRUE
),($F$4/2), IF(OR($X$2,$X$3,$X$4,$X$6,$X$7,$X$8,$Z$2,$Z$3,$Z$4,$Z$5,$Z$6,$Z$7,$Z$8)=TRUE,$F$4)),0),"-")</f>
        <v>-</v>
      </c>
      <c r="G551" s="36" t="str">
        <f>IFERROR(
ROUNDUP(
IF(AND($U$5=FALSE,$U$4=FALSE),"-",IF(AND($U$5=TRUE,$U$4=TRUE),"-",
IF((AND($U$4=TRUE,$U$5=FALSE,$U$6=FALSE,$U$7=FALSE)),VLOOKUP($E551,'Status Thresholds'!$E:$AR,3,FALSE),IF((AND($U$4=TRUE,$U$5=FALSE,$U$6=TRUE,$U$7=FALSE)),VLOOKUP($E551,'Status Thresholds'!$E:$AR,13,FALSE),IF((AND($U$4=TRUE,$U$5=FALSE,$U$6=TRUE,$U$7=TRUE)),VLOOKUP($E551,'Status Thresholds'!$E:$AR,18,FALSE),IF((AND($U$4=TRUE,$U$5=FALSE,$U$6=FALSE,$U$7=TRUE)),VLOOKUP($E551,'Status Thresholds'!$E:$AR,8,FALSE),
IF((AND($U$4=FALSE,$U$5=TRUE,$U$6=FALSE,$U$7=FALSE)),VLOOKUP($E551,'Status Thresholds'!$E:$AR,23,FALSE),IF((AND($U$4=FALSE,$U$5=TRUE,$U$6=TRUE,$U$7=FALSE)),VLOOKUP($E551,'Status Thresholds'!$E:$AR,33,FALSE),IF((AND($U$4=FALSE,$U$5=TRUE,$U$6=TRUE,$U$7=TRUE)),VLOOKUP($E551,'Status Thresholds'!$E:$AR,38,FALSE),IF((AND($U$4=FALSE,$U$5=TRUE,$U$6=FALSE,$U$7=TRUE)),VLOOKUP($E551,'Status Thresholds'!$E:$AR,28,FALSE)))))))))
))/
IF(OR($X$5=TRUE,$AC$3=TRUE
),($F$4/2), IF(OR($X$2,$X$3,$X$4,$X$6,$X$7,$X$8,$Z$2,$Z$3,$Z$4,$Z$5,$Z$6,$Z$7,$Z$8)=TRUE,$F$4)),0),"-")</f>
        <v>-</v>
      </c>
      <c r="H551" s="36" t="str">
        <f>IFERROR(
ROUNDUP(
IF(AND($U$5=FALSE,$U$4=FALSE),"-",IF(AND($U$5=TRUE,$U$4=TRUE),"-",
IF((AND($U$4=TRUE,$U$5=FALSE,$U$6=FALSE,$U$7=FALSE)),VLOOKUP($E551,'Status Thresholds'!$E:$AR,4,FALSE),IF((AND($U$4=TRUE,$U$5=FALSE,$U$6=TRUE,$U$7=FALSE)),VLOOKUP($E551,'Status Thresholds'!$E:$AR,14,FALSE),IF((AND($U$4=TRUE,$U$5=FALSE,$U$6=TRUE,$U$7=TRUE)),VLOOKUP($E551,'Status Thresholds'!$E:$AR,19,FALSE),IF((AND($U$4=TRUE,$U$5=FALSE,$U$6=FALSE,$U$7=TRUE)),VLOOKUP($E551,'Status Thresholds'!$E:$AR,9,FALSE),
IF((AND($U$4=FALSE,$U$5=TRUE,$U$6=FALSE,$U$7=FALSE)),VLOOKUP($E551,'Status Thresholds'!$E:$AR,24,FALSE),IF((AND($U$4=FALSE,$U$5=TRUE,$U$6=TRUE,$U$7=FALSE)),VLOOKUP($E551,'Status Thresholds'!$E:$AR,34,FALSE),IF((AND($U$4=FALSE,$U$5=TRUE,$U$6=TRUE,$U$7=TRUE)),VLOOKUP($E551,'Status Thresholds'!$E:$AR,39,FALSE),IF((AND($U$4=FALSE,$U$5=TRUE,$U$6=FALSE,$U$7=TRUE)),VLOOKUP($E551,'Status Thresholds'!$E:$AR,29,FALSE)))))))))
))/
IF(OR($X$5=TRUE,$AC$3=TRUE
),($F$4/2), IF(OR($X$2,$X$3,$X$4,$X$6,$X$7,$X$8,$Z$2,$Z$3,$Z$4,$Z$5,$Z$6,$Z$7,$Z$8)=TRUE,$F$4)),0),"-")</f>
        <v>-</v>
      </c>
      <c r="I551" s="36" t="str">
        <f>IFERROR(
ROUNDUP(
IF(AND($U$5=FALSE,$U$4=FALSE),"-",IF(AND($U$5=TRUE,$U$4=TRUE),"-",
IF((AND($U$4=TRUE,$U$5=FALSE,$U$6=FALSE,$U$7=FALSE)),VLOOKUP($E551,'Status Thresholds'!$E:$AR,5,FALSE),IF((AND($U$4=TRUE,$U$5=FALSE,$U$6=TRUE,$U$7=FALSE)),VLOOKUP($E551,'Status Thresholds'!$E:$AR,15,FALSE),IF((AND($U$4=TRUE,$U$5=FALSE,$U$6=TRUE,$U$7=TRUE)),VLOOKUP($E551,'Status Thresholds'!$E:$AR,20,FALSE),IF((AND($U$4=TRUE,$U$5=FALSE,$U$6=FALSE,$U$7=TRUE)),VLOOKUP($E551,'Status Thresholds'!$E:$AR,10,FALSE),
IF((AND($U$4=FALSE,$U$5=TRUE,$U$6=FALSE,$U$7=FALSE)),VLOOKUP($E551,'Status Thresholds'!$E:$AR,25,FALSE),IF((AND($U$4=FALSE,$U$5=TRUE,$U$6=TRUE,$U$7=FALSE)),VLOOKUP($E551,'Status Thresholds'!$E:$AR,35,FALSE),IF((AND($U$4=FALSE,$U$5=TRUE,$U$6=TRUE,$U$7=TRUE)),VLOOKUP($E551,'Status Thresholds'!$E:$AR,40,FALSE),IF((AND($U$4=FALSE,$U$5=TRUE,$U$6=FALSE,$U$7=TRUE)),VLOOKUP($E551,'Status Thresholds'!$E:$AR,30,FALSE)))))))))
))/
IF(OR($X$5=TRUE,$AC$3=TRUE
),($F$4/2), IF(OR($X$2,$X$3,$X$4,$X$6,$X$7,$X$8,$Z$2,$Z$3,$Z$4,$Z$5,$Z$6,$Z$7,$Z$8)=TRUE,$F$4)),0),"-")</f>
        <v>-</v>
      </c>
      <c r="J551" s="46">
        <f>IFERROR(IF(AND($U$5=FALSE,$U$4=FALSE),"-",VLOOKUP($E551,'Status Thresholds'!$E:$AU,41,FALSE)),"-")</f>
        <v>30</v>
      </c>
      <c r="K551" s="46" t="str">
        <f>IFERROR(IF(AND($U$5=FALSE,$U$4=FALSE),"-",VLOOKUP($E551,'Status Thresholds'!$E:$AU,42,FALSE)),"-")</f>
        <v>-</v>
      </c>
      <c r="L551" s="46" t="str">
        <f>IFERROR(IF(AND($U$5=FALSE,$U$4=FALSE),"-",VLOOKUP($E551,'Status Thresholds'!$E:$AU,43,FALSE)),"-")</f>
        <v>-</v>
      </c>
    </row>
    <row r="552" spans="1:12" x14ac:dyDescent="0.25">
      <c r="A552" s="35"/>
      <c r="B552" s="64" t="str">
        <f>VLOOKUP(C552,'Status Thresholds'!B:C,2,FALSE)</f>
        <v>MHGen</v>
      </c>
      <c r="C552" s="64" t="str">
        <f>IF('Status Thresholds'!B547=0, "", 'Status Thresholds'!B547)</f>
        <v>Nibelsnarf</v>
      </c>
      <c r="D552" s="32" t="s">
        <v>33</v>
      </c>
      <c r="E552" s="36" t="str">
        <f t="shared" si="8"/>
        <v>NibelsnarfPoison</v>
      </c>
      <c r="F552" s="36" t="str">
        <f>IFERROR(
ROUNDUP(
IF(AND($U$5=FALSE,$U$4=FALSE),"-",IF(AND($U$5=TRUE,$U$4=TRUE),"-",
IF((AND($U$4=TRUE,$U$5=FALSE,$U$6=FALSE,$U$7=FALSE)),VLOOKUP($E552,'Status Thresholds'!$E:$AR,2,FALSE),IF((AND($U$4=TRUE,$U$5=FALSE,$U$6=TRUE,$U$7=FALSE)),VLOOKUP($E552,'Status Thresholds'!$E:$AR,12,FALSE),IF((AND($U$4=TRUE,$U$5=FALSE,$U$6=TRUE,$U$7=TRUE)),VLOOKUP($E552,'Status Thresholds'!$E:$AR,17,FALSE),IF((AND($U$4=TRUE,$U$5=FALSE,$U$6=FALSE,$U$7=TRUE)),VLOOKUP($E552,'Status Thresholds'!$E:$AR,7,FALSE),
IF((AND($U$4=FALSE,$U$5=TRUE,$U$6=FALSE,$U$7=FALSE)),VLOOKUP($E552,'Status Thresholds'!$E:$AR,22,FALSE),IF((AND($U$4=FALSE,$U$5=TRUE,$U$6=TRUE,$U$7=FALSE)),VLOOKUP($E552,'Status Thresholds'!$E:$AR,32,FALSE),IF((AND($U$4=FALSE,$U$5=TRUE,$U$6=TRUE,$U$7=TRUE)),VLOOKUP($E552,'Status Thresholds'!$E:$AR,37,FALSE),IF((AND($U$4=FALSE,$U$5=TRUE,$U$6=FALSE,$U$7=TRUE)),VLOOKUP($E552,'Status Thresholds'!$E:$AR,27,FALSE)))))))))
))/
IF(OR($X$5=TRUE,$AC$3=TRUE
),($F$5/2), IF(OR($X$2,$X$3,$X$4,$X$6,$X$7,$X$8,$Z$2,$Z$3,$Z$4,$Z$5,$Z$6,$Z$7,$Z$8)=TRUE,$F$5)),0),"-")</f>
        <v>-</v>
      </c>
      <c r="G552" s="36" t="str">
        <f>IFERROR(
ROUNDUP(
IF(AND($U$5=FALSE,$U$4=FALSE),"-",IF(AND($U$5=TRUE,$U$4=TRUE),"-",
IF((AND($U$4=TRUE,$U$5=FALSE,$U$6=FALSE,$U$7=FALSE)),VLOOKUP($E552,'Status Thresholds'!$E:$AR,3,FALSE),IF((AND($U$4=TRUE,$U$5=FALSE,$U$6=TRUE,$U$7=FALSE)),VLOOKUP($E552,'Status Thresholds'!$E:$AR,13,FALSE),IF((AND($U$4=TRUE,$U$5=FALSE,$U$6=TRUE,$U$7=TRUE)),VLOOKUP($E552,'Status Thresholds'!$E:$AR,18,FALSE),IF((AND($U$4=TRUE,$U$5=FALSE,$U$6=FALSE,$U$7=TRUE)),VLOOKUP($E552,'Status Thresholds'!$E:$AR,8,FALSE),
IF((AND($U$4=FALSE,$U$5=TRUE,$U$6=FALSE,$U$7=FALSE)),VLOOKUP($E552,'Status Thresholds'!$E:$AR,23,FALSE),IF((AND($U$4=FALSE,$U$5=TRUE,$U$6=TRUE,$U$7=FALSE)),VLOOKUP($E552,'Status Thresholds'!$E:$AR,33,FALSE),IF((AND($U$4=FALSE,$U$5=TRUE,$U$6=TRUE,$U$7=TRUE)),VLOOKUP($E552,'Status Thresholds'!$E:$AR,38,FALSE),IF((AND($U$4=FALSE,$U$5=TRUE,$U$6=FALSE,$U$7=TRUE)),VLOOKUP($E552,'Status Thresholds'!$E:$AR,28,FALSE)))))))))
))/
IF(OR($X$5=TRUE,$AC$3=TRUE
),($F$5/2), IF(OR($X$2,$X$3,$X$4,$X$6,$X$7,$X$8,$Z$2,$Z$3,$Z$4,$Z$5,$Z$6,$Z$7,$Z$8)=TRUE,$F$5)),0),"-")</f>
        <v>-</v>
      </c>
      <c r="H552" s="36" t="str">
        <f>IFERROR(
ROUNDUP(
IF(AND($U$5=FALSE,$U$4=FALSE),"-",IF(AND($U$5=TRUE,$U$4=TRUE),"-",
IF((AND($U$4=TRUE,$U$5=FALSE,$U$6=FALSE,$U$7=FALSE)),VLOOKUP($E552,'Status Thresholds'!$E:$AR,4,FALSE),IF((AND($U$4=TRUE,$U$5=FALSE,$U$6=TRUE,$U$7=FALSE)),VLOOKUP($E552,'Status Thresholds'!$E:$AR,14,FALSE),IF((AND($U$4=TRUE,$U$5=FALSE,$U$6=TRUE,$U$7=TRUE)),VLOOKUP($E552,'Status Thresholds'!$E:$AR,19,FALSE),IF((AND($U$4=TRUE,$U$5=FALSE,$U$6=FALSE,$U$7=TRUE)),VLOOKUP($E552,'Status Thresholds'!$E:$AR,9,FALSE),
IF((AND($U$4=FALSE,$U$5=TRUE,$U$6=FALSE,$U$7=FALSE)),VLOOKUP($E552,'Status Thresholds'!$E:$AR,24,FALSE),IF((AND($U$4=FALSE,$U$5=TRUE,$U$6=TRUE,$U$7=FALSE)),VLOOKUP($E552,'Status Thresholds'!$E:$AR,34,FALSE),IF((AND($U$4=FALSE,$U$5=TRUE,$U$6=TRUE,$U$7=TRUE)),VLOOKUP($E552,'Status Thresholds'!$E:$AR,39,FALSE),IF((AND($U$4=FALSE,$U$5=TRUE,$U$6=FALSE,$U$7=TRUE)),VLOOKUP($E552,'Status Thresholds'!$E:$AR,29,FALSE)))))))))
))/
IF(OR($X$5=TRUE,$AC$3=TRUE
),($F$5/2), IF(OR($X$2,$X$3,$X$4,$X$6,$X$7,$X$8,$Z$2,$Z$3,$Z$4,$Z$5,$Z$6,$Z$7,$Z$8)=TRUE,$F$5)),0),"-")</f>
        <v>-</v>
      </c>
      <c r="I552" s="36" t="str">
        <f>IFERROR(
ROUNDUP(
IF(AND($U$5=FALSE,$U$4=FALSE),"-",IF(AND($U$5=TRUE,$U$4=TRUE),"-",
IF((AND($U$4=TRUE,$U$5=FALSE,$U$6=FALSE,$U$7=FALSE)),VLOOKUP($E552,'Status Thresholds'!$E:$AR,5,FALSE),IF((AND($U$4=TRUE,$U$5=FALSE,$U$6=TRUE,$U$7=FALSE)),VLOOKUP($E552,'Status Thresholds'!$E:$AR,15,FALSE),IF((AND($U$4=TRUE,$U$5=FALSE,$U$6=TRUE,$U$7=TRUE)),VLOOKUP($E552,'Status Thresholds'!$E:$AR,20,FALSE),IF((AND($U$4=TRUE,$U$5=FALSE,$U$6=FALSE,$U$7=TRUE)),VLOOKUP($E552,'Status Thresholds'!$E:$AR,10,FALSE),
IF((AND($U$4=FALSE,$U$5=TRUE,$U$6=FALSE,$U$7=FALSE)),VLOOKUP($E552,'Status Thresholds'!$E:$AR,25,FALSE),IF((AND($U$4=FALSE,$U$5=TRUE,$U$6=TRUE,$U$7=FALSE)),VLOOKUP($E552,'Status Thresholds'!$E:$AR,35,FALSE),IF((AND($U$4=FALSE,$U$5=TRUE,$U$6=TRUE,$U$7=TRUE)),VLOOKUP($E552,'Status Thresholds'!$E:$AR,40,FALSE),IF((AND($U$4=FALSE,$U$5=TRUE,$U$6=FALSE,$U$7=TRUE)),VLOOKUP($E552,'Status Thresholds'!$E:$AR,30,FALSE)))))))))
))/
IF(OR($X$5=TRUE,$AC$3=TRUE
),($F$5/2), IF(OR($X$2,$X$3,$X$4,$X$6,$X$7,$X$8,$Z$2,$Z$3,$Z$4,$Z$5,$Z$6,$Z$7,$Z$8)=TRUE,$F$5)),0),"-")</f>
        <v>-</v>
      </c>
      <c r="J552" s="46">
        <f>IFERROR(IF(AND($U$5=FALSE,$U$4=FALSE),"-",VLOOKUP($E552,'Status Thresholds'!$E:$AU,41,FALSE)),"-")</f>
        <v>30</v>
      </c>
      <c r="K552" s="46" t="str">
        <f>IFERROR(IF(AND($U$5=FALSE,$U$4=FALSE),"-",VLOOKUP($E552,'Status Thresholds'!$E:$AU,42,FALSE)),"-")</f>
        <v>-</v>
      </c>
      <c r="L552" s="46" t="str">
        <f>IFERROR(IF(AND($U$5=FALSE,$U$4=FALSE),"-",VLOOKUP($E552,'Status Thresholds'!$E:$AU,43,FALSE)),"-")</f>
        <v>-</v>
      </c>
    </row>
    <row r="553" spans="1:12" x14ac:dyDescent="0.25">
      <c r="A553" s="35"/>
      <c r="B553" s="64" t="str">
        <f>VLOOKUP(C553,'Status Thresholds'!B:C,2,FALSE)</f>
        <v>MHGen</v>
      </c>
      <c r="C553" s="64" t="str">
        <f>IF('Status Thresholds'!B548=0, "", 'Status Thresholds'!B548)</f>
        <v>Nibelsnarf</v>
      </c>
      <c r="D553" s="10" t="s">
        <v>22</v>
      </c>
      <c r="E553" s="36" t="str">
        <f t="shared" si="8"/>
        <v>NibelsnarfExhaust</v>
      </c>
      <c r="F553" s="36" t="str">
        <f>IFERROR(
ROUNDUP(
IF(AND($U$5=FALSE,$U$4=FALSE),"-",IF(AND($U$5=TRUE,$U$4=TRUE),"-",
IF((AND($U$4=TRUE,$U$5=FALSE,$U$6=FALSE,$U$7=FALSE)),VLOOKUP($E553,'Status Thresholds'!$E:$AR,2,FALSE),IF((AND($U$4=TRUE,$U$5=FALSE,$U$6=TRUE,$U$7=FALSE)),VLOOKUP($E553,'Status Thresholds'!$E:$AR,12,FALSE),IF((AND($U$4=TRUE,$U$5=FALSE,$U$6=TRUE,$U$7=TRUE)),VLOOKUP($E553,'Status Thresholds'!$E:$AR,17,FALSE),IF((AND($U$4=TRUE,$U$5=FALSE,$U$6=FALSE,$U$7=TRUE)),VLOOKUP($E553,'Status Thresholds'!$E:$AR,7,FALSE),
IF((AND($U$4=FALSE,$U$5=TRUE,$U$6=FALSE,$U$7=FALSE)),VLOOKUP($E553,'Status Thresholds'!$E:$AR,22,FALSE),IF((AND($U$4=FALSE,$U$5=TRUE,$U$6=TRUE,$U$7=FALSE)),VLOOKUP($E553,'Status Thresholds'!$E:$AR,32,FALSE),IF((AND($U$4=FALSE,$U$5=TRUE,$U$6=TRUE,$U$7=TRUE)),VLOOKUP($E553,'Status Thresholds'!$E:$AR,37,FALSE),IF((AND($U$4=FALSE,$U$5=TRUE,$U$6=FALSE,$U$7=TRUE)),VLOOKUP($E553,'Status Thresholds'!$E:$AR,27,FALSE)))))))))
))/
IF(OR($X$5=TRUE,$AC$3=TRUE
),($F$6/2), IF(OR($X$2,$X$3,$X$4,$X$6,$X$7,$X$8,$Z$2,$Z$3,$Z$4,$Z$5,$Z$6,$Z$7,$Z$8)=TRUE,$F$6)),0),"-")</f>
        <v>-</v>
      </c>
      <c r="G553" s="36" t="str">
        <f>IFERROR(
ROUNDUP(
IF(AND($U$5=FALSE,$U$4=FALSE),"-",IF(AND($U$5=TRUE,$U$4=TRUE),"-",
IF((AND($U$4=TRUE,$U$5=FALSE,$U$6=FALSE,$U$7=FALSE)),VLOOKUP($E553,'Status Thresholds'!$E:$AR,3,FALSE),IF((AND($U$4=TRUE,$U$5=FALSE,$U$6=TRUE,$U$7=FALSE)),VLOOKUP($E553,'Status Thresholds'!$E:$AR,13,FALSE),IF((AND($U$4=TRUE,$U$5=FALSE,$U$6=TRUE,$U$7=TRUE)),VLOOKUP($E553,'Status Thresholds'!$E:$AR,18,FALSE),IF((AND($U$4=TRUE,$U$5=FALSE,$U$6=FALSE,$U$7=TRUE)),VLOOKUP($E553,'Status Thresholds'!$E:$AR,8,FALSE),
IF((AND($U$4=FALSE,$U$5=TRUE,$U$6=FALSE,$U$7=FALSE)),VLOOKUP($E553,'Status Thresholds'!$E:$AR,23,FALSE),IF((AND($U$4=FALSE,$U$5=TRUE,$U$6=TRUE,$U$7=FALSE)),VLOOKUP($E553,'Status Thresholds'!$E:$AR,33,FALSE),IF((AND($U$4=FALSE,$U$5=TRUE,$U$6=TRUE,$U$7=TRUE)),VLOOKUP($E553,'Status Thresholds'!$E:$AR,38,FALSE),IF((AND($U$4=FALSE,$U$5=TRUE,$U$6=FALSE,$U$7=TRUE)),VLOOKUP($E553,'Status Thresholds'!$E:$AR,28,FALSE)))))))))
))/
IF(OR($X$5=TRUE,$AC$3=TRUE
),($F$6/2), IF(OR($X$2,$X$3,$X$4,$X$6,$X$7,$X$8,$Z$2,$Z$3,$Z$4,$Z$5,$Z$6,$Z$7,$Z$8)=TRUE,$F$6)),0),"-")</f>
        <v>-</v>
      </c>
      <c r="H553" s="36" t="str">
        <f>IFERROR(
ROUNDUP(
IF(AND($U$5=FALSE,$U$4=FALSE),"-",IF(AND($U$5=TRUE,$U$4=TRUE),"-",
IF((AND($U$4=TRUE,$U$5=FALSE,$U$6=FALSE,$U$7=FALSE)),VLOOKUP($E553,'Status Thresholds'!$E:$AR,4,FALSE),IF((AND($U$4=TRUE,$U$5=FALSE,$U$6=TRUE,$U$7=FALSE)),VLOOKUP($E553,'Status Thresholds'!$E:$AR,14,FALSE),IF((AND($U$4=TRUE,$U$5=FALSE,$U$6=TRUE,$U$7=TRUE)),VLOOKUP($E553,'Status Thresholds'!$E:$AR,19,FALSE),IF((AND($U$4=TRUE,$U$5=FALSE,$U$6=FALSE,$U$7=TRUE)),VLOOKUP($E553,'Status Thresholds'!$E:$AR,9,FALSE),
IF((AND($U$4=FALSE,$U$5=TRUE,$U$6=FALSE,$U$7=FALSE)),VLOOKUP($E553,'Status Thresholds'!$E:$AR,24,FALSE),IF((AND($U$4=FALSE,$U$5=TRUE,$U$6=TRUE,$U$7=FALSE)),VLOOKUP($E553,'Status Thresholds'!$E:$AR,34,FALSE),IF((AND($U$4=FALSE,$U$5=TRUE,$U$6=TRUE,$U$7=TRUE)),VLOOKUP($E553,'Status Thresholds'!$E:$AR,39,FALSE),IF((AND($U$4=FALSE,$U$5=TRUE,$U$6=FALSE,$U$7=TRUE)),VLOOKUP($E553,'Status Thresholds'!$E:$AR,29,FALSE)))))))))
))/
IF(OR($X$5=TRUE,$AC$3=TRUE
),($F$6/2), IF(OR($X$2,$X$3,$X$4,$X$6,$X$7,$X$8,$Z$2,$Z$3,$Z$4,$Z$5,$Z$6,$Z$7,$Z$8)=TRUE,$F$6)),0),"-")</f>
        <v>-</v>
      </c>
      <c r="I553" s="36" t="str">
        <f>IFERROR(
ROUNDUP(
IF(AND($U$5=FALSE,$U$4=FALSE),"-",IF(AND($U$5=TRUE,$U$4=TRUE),"-",
IF((AND($U$4=TRUE,$U$5=FALSE,$U$6=FALSE,$U$7=FALSE)),VLOOKUP($E553,'Status Thresholds'!$E:$AR,5,FALSE),IF((AND($U$4=TRUE,$U$5=FALSE,$U$6=TRUE,$U$7=FALSE)),VLOOKUP($E553,'Status Thresholds'!$E:$AR,15,FALSE),IF((AND($U$4=TRUE,$U$5=FALSE,$U$6=TRUE,$U$7=TRUE)),VLOOKUP($E553,'Status Thresholds'!$E:$AR,20,FALSE),IF((AND($U$4=TRUE,$U$5=FALSE,$U$6=FALSE,$U$7=TRUE)),VLOOKUP($E553,'Status Thresholds'!$E:$AR,10,FALSE),
IF((AND($U$4=FALSE,$U$5=TRUE,$U$6=FALSE,$U$7=FALSE)),VLOOKUP($E553,'Status Thresholds'!$E:$AR,25,FALSE),IF((AND($U$4=FALSE,$U$5=TRUE,$U$6=TRUE,$U$7=FALSE)),VLOOKUP($E553,'Status Thresholds'!$E:$AR,35,FALSE),IF((AND($U$4=FALSE,$U$5=TRUE,$U$6=TRUE,$U$7=TRUE)),VLOOKUP($E553,'Status Thresholds'!$E:$AR,40,FALSE),IF((AND($U$4=FALSE,$U$5=TRUE,$U$6=FALSE,$U$7=TRUE)),VLOOKUP($E553,'Status Thresholds'!$E:$AR,30,FALSE)))))))))
))/
IF(OR($X$5=TRUE,$AC$3=TRUE
),($F$6/2), IF(OR($X$2,$X$3,$X$4,$X$6,$X$7,$X$8,$Z$2,$Z$3,$Z$4,$Z$5,$Z$6,$Z$7,$Z$8)=TRUE,$F$6)),0),"-")</f>
        <v>-</v>
      </c>
      <c r="J553" s="46">
        <f>IFERROR(IF(AND($U$5=FALSE,$U$4=FALSE),"-",VLOOKUP($E553,'Status Thresholds'!$E:$AU,41,FALSE)),"-")</f>
        <v>0</v>
      </c>
      <c r="K553" s="46" t="str">
        <f>IFERROR(IF(AND($U$5=FALSE,$U$4=FALSE),"-",VLOOKUP($E553,'Status Thresholds'!$E:$AU,42,FALSE)),"-")</f>
        <v>-</v>
      </c>
      <c r="L553" s="46" t="str">
        <f>IFERROR(IF(AND($U$5=FALSE,$U$4=FALSE),"-",VLOOKUP($E553,'Status Thresholds'!$E:$AU,43,FALSE)),"-")</f>
        <v>-</v>
      </c>
    </row>
    <row r="554" spans="1:12" x14ac:dyDescent="0.25">
      <c r="A554" s="35"/>
      <c r="B554" s="64" t="str">
        <f>VLOOKUP(C554,'Status Thresholds'!B:C,2,FALSE)</f>
        <v>MHGen</v>
      </c>
      <c r="C554" s="64" t="str">
        <f>IF('Status Thresholds'!B549=0, "", 'Status Thresholds'!B549)</f>
        <v>Nibelsnarf</v>
      </c>
      <c r="D554" s="30" t="s">
        <v>35</v>
      </c>
      <c r="E554" s="36" t="str">
        <f t="shared" si="8"/>
        <v>NibelsnarfBlast</v>
      </c>
      <c r="F554" s="36" t="str">
        <f>IFERROR(
ROUNDUP(
IF(AND($U$5=FALSE,$U$4=FALSE),"-",IF(AND($U$5=TRUE,$U$4=TRUE),"-",
IF((AND($U$4=TRUE,$U$5=FALSE,$U$6=FALSE,$U$7=FALSE)),VLOOKUP($E554,'Status Thresholds'!$E:$AR,2,FALSE),IF((AND($U$4=TRUE,$U$5=FALSE,$U$6=TRUE,$U$7=FALSE)),VLOOKUP($E554,'Status Thresholds'!$E:$AR,12,FALSE),IF((AND($U$4=TRUE,$U$5=FALSE,$U$6=TRUE,$U$7=TRUE)),VLOOKUP($E554,'Status Thresholds'!$E:$AR,17,FALSE),IF((AND($U$4=TRUE,$U$5=FALSE,$U$6=FALSE,$U$7=TRUE)),VLOOKUP($E554,'Status Thresholds'!$E:$AR,7,FALSE),
IF((AND($U$4=FALSE,$U$5=TRUE,$U$6=FALSE,$U$7=FALSE)),VLOOKUP($E554,'Status Thresholds'!$E:$AR,22,FALSE),IF((AND($U$4=FALSE,$U$5=TRUE,$U$6=TRUE,$U$7=FALSE)),VLOOKUP($E554,'Status Thresholds'!$E:$AR,32,FALSE),IF((AND($U$4=FALSE,$U$5=TRUE,$U$6=TRUE,$U$7=TRUE)),VLOOKUP($E554,'Status Thresholds'!$E:$AR,37,FALSE),IF((AND($U$4=FALSE,$U$5=TRUE,$U$6=FALSE,$U$7=TRUE)),VLOOKUP($E554,'Status Thresholds'!$E:$AR,27,FALSE)))))))))
))/
IF(OR($X$5=TRUE,$AC$3=TRUE
),($F$7/2), IF(OR($X$2,$X$3,$X$4,$X$6,$X$7,$X$8,$Z$2,$Z$3,$Z$4,$Z$5,$Z$6,$Z$7,$Z$8)=TRUE,$F$7)),0),"-")</f>
        <v>-</v>
      </c>
      <c r="G554" s="36" t="str">
        <f>IFERROR(
ROUNDUP(
IF(AND($U$5=FALSE,$U$4=FALSE),"-",IF(AND($U$5=TRUE,$U$4=TRUE),"-",
IF((AND($U$4=TRUE,$U$5=FALSE,$U$6=FALSE,$U$7=FALSE)),VLOOKUP($E554,'Status Thresholds'!$E:$AR,3,FALSE),IF((AND($U$4=TRUE,$U$5=FALSE,$U$6=TRUE,$U$7=FALSE)),VLOOKUP($E554,'Status Thresholds'!$E:$AR,13,FALSE),IF((AND($U$4=TRUE,$U$5=FALSE,$U$6=TRUE,$U$7=TRUE)),VLOOKUP($E554,'Status Thresholds'!$E:$AR,18,FALSE),IF((AND($U$4=TRUE,$U$5=FALSE,$U$6=FALSE,$U$7=TRUE)),VLOOKUP($E554,'Status Thresholds'!$E:$AR,8,FALSE),
IF((AND($U$4=FALSE,$U$5=TRUE,$U$6=FALSE,$U$7=FALSE)),VLOOKUP($E554,'Status Thresholds'!$E:$AR,23,FALSE),IF((AND($U$4=FALSE,$U$5=TRUE,$U$6=TRUE,$U$7=FALSE)),VLOOKUP($E554,'Status Thresholds'!$E:$AR,33,FALSE),IF((AND($U$4=FALSE,$U$5=TRUE,$U$6=TRUE,$U$7=TRUE)),VLOOKUP($E554,'Status Thresholds'!$E:$AR,38,FALSE),IF((AND($U$4=FALSE,$U$5=TRUE,$U$6=FALSE,$U$7=TRUE)),VLOOKUP($E554,'Status Thresholds'!$E:$AR,28,FALSE)))))))))
))/
IF(OR($X$5=TRUE,$AC$3=TRUE
),($F$7/2), IF(OR($X$2,$X$3,$X$4,$X$6,$X$7,$X$8,$Z$2,$Z$3,$Z$4,$Z$5,$Z$6,$Z$7,$Z$8)=TRUE,$F$7)),0),"-")</f>
        <v>-</v>
      </c>
      <c r="H554" s="36" t="str">
        <f>IFERROR(
ROUNDUP(
IF(AND($U$5=FALSE,$U$4=FALSE),"-",IF(AND($U$5=TRUE,$U$4=TRUE),"-",
IF((AND($U$4=TRUE,$U$5=FALSE,$U$6=FALSE,$U$7=FALSE)),VLOOKUP($E554,'Status Thresholds'!$E:$AR,4,FALSE),IF((AND($U$4=TRUE,$U$5=FALSE,$U$6=TRUE,$U$7=FALSE)),VLOOKUP($E554,'Status Thresholds'!$E:$AR,14,FALSE),IF((AND($U$4=TRUE,$U$5=FALSE,$U$6=TRUE,$U$7=TRUE)),VLOOKUP($E554,'Status Thresholds'!$E:$AR,19,FALSE),IF((AND($U$4=TRUE,$U$5=FALSE,$U$6=FALSE,$U$7=TRUE)),VLOOKUP($E554,'Status Thresholds'!$E:$AR,9,FALSE),
IF((AND($U$4=FALSE,$U$5=TRUE,$U$6=FALSE,$U$7=FALSE)),VLOOKUP($E554,'Status Thresholds'!$E:$AR,24,FALSE),IF((AND($U$4=FALSE,$U$5=TRUE,$U$6=TRUE,$U$7=FALSE)),VLOOKUP($E554,'Status Thresholds'!$E:$AR,34,FALSE),IF((AND($U$4=FALSE,$U$5=TRUE,$U$6=TRUE,$U$7=TRUE)),VLOOKUP($E554,'Status Thresholds'!$E:$AR,39,FALSE),IF((AND($U$4=FALSE,$U$5=TRUE,$U$6=FALSE,$U$7=TRUE)),VLOOKUP($E554,'Status Thresholds'!$E:$AR,29,FALSE)))))))))
))/
IF(OR($X$5=TRUE,$AC$3=TRUE
),($F$7/2), IF(OR($X$2,$X$3,$X$4,$X$6,$X$7,$X$8,$Z$2,$Z$3,$Z$4,$Z$5,$Z$6,$Z$7,$Z$8)=TRUE,$F$7)),0),"-")</f>
        <v>-</v>
      </c>
      <c r="I554" s="36" t="str">
        <f>IFERROR(
ROUNDUP(
IF(AND($U$5=FALSE,$U$4=FALSE),"-",IF(AND($U$5=TRUE,$U$4=TRUE),"-",
IF((AND($U$4=TRUE,$U$5=FALSE,$U$6=FALSE,$U$7=FALSE)),VLOOKUP($E554,'Status Thresholds'!$E:$AR,5,FALSE),IF((AND($U$4=TRUE,$U$5=FALSE,$U$6=TRUE,$U$7=FALSE)),VLOOKUP($E554,'Status Thresholds'!$E:$AR,15,FALSE),IF((AND($U$4=TRUE,$U$5=FALSE,$U$6=TRUE,$U$7=TRUE)),VLOOKUP($E554,'Status Thresholds'!$E:$AR,20,FALSE),IF((AND($U$4=TRUE,$U$5=FALSE,$U$6=FALSE,$U$7=TRUE)),VLOOKUP($E554,'Status Thresholds'!$E:$AR,10,FALSE),
IF((AND($U$4=FALSE,$U$5=TRUE,$U$6=FALSE,$U$7=FALSE)),VLOOKUP($E554,'Status Thresholds'!$E:$AR,25,FALSE),IF((AND($U$4=FALSE,$U$5=TRUE,$U$6=TRUE,$U$7=FALSE)),VLOOKUP($E554,'Status Thresholds'!$E:$AR,35,FALSE),IF((AND($U$4=FALSE,$U$5=TRUE,$U$6=TRUE,$U$7=TRUE)),VLOOKUP($E554,'Status Thresholds'!$E:$AR,40,FALSE),IF((AND($U$4=FALSE,$U$5=TRUE,$U$6=FALSE,$U$7=TRUE)),VLOOKUP($E554,'Status Thresholds'!$E:$AR,30,FALSE)))))))))
))/
IF(OR($X$5=TRUE,$AC$3=TRUE
),($F$7/2), IF(OR($X$2,$X$3,$X$4,$X$6,$X$7,$X$8,$Z$2,$Z$3,$Z$4,$Z$5,$Z$6,$Z$7,$Z$8)=TRUE,$F$7)),0),"-")</f>
        <v>-</v>
      </c>
      <c r="J554" s="46">
        <f>IFERROR(IF(AND($U$5=FALSE,$U$4=FALSE),"-",VLOOKUP($E554,'Status Thresholds'!$E:$AU,41,FALSE)),"-")</f>
        <v>0</v>
      </c>
      <c r="K554" s="46" t="str">
        <f>IFERROR(IF(AND($U$5=FALSE,$U$4=FALSE),"-",VLOOKUP($E554,'Status Thresholds'!$E:$AU,42,FALSE)),"-")</f>
        <v>-</v>
      </c>
      <c r="L554" s="46" t="str">
        <f>IFERROR(IF(AND($U$5=FALSE,$U$4=FALSE),"-",VLOOKUP($E554,'Status Thresholds'!$E:$AU,43,FALSE)),"-")</f>
        <v>-</v>
      </c>
    </row>
    <row r="555" spans="1:12" ht="14.45" customHeight="1" x14ac:dyDescent="0.25">
      <c r="A555" s="35"/>
      <c r="B555" s="64" t="str">
        <f>VLOOKUP(C555,'Status Thresholds'!B:C,2,FALSE)</f>
        <v>MHGen</v>
      </c>
      <c r="C555" s="64" t="str">
        <f>IF('Status Thresholds'!B550=0, "", 'Status Thresholds'!B550)</f>
        <v>Nibelsnarf</v>
      </c>
      <c r="D555" s="34" t="s">
        <v>14</v>
      </c>
      <c r="E555" s="36" t="str">
        <f t="shared" si="8"/>
        <v>NibelsnarfKO</v>
      </c>
      <c r="F555" s="36" t="s">
        <v>214</v>
      </c>
      <c r="G555" s="36" t="s">
        <v>214</v>
      </c>
      <c r="H555" s="36" t="s">
        <v>214</v>
      </c>
      <c r="I555" s="36" t="s">
        <v>214</v>
      </c>
      <c r="J555" s="46">
        <f>IFERROR(IF(AND($U$5=FALSE,$U$4=FALSE),"-",VLOOKUP($E555,'Status Thresholds'!$E:$AU,41,FALSE)),"-")</f>
        <v>10</v>
      </c>
      <c r="K555" s="46" t="str">
        <f>IFERROR(IF(AND($U$5=FALSE,$U$4=FALSE),"-",VLOOKUP($E555,'Status Thresholds'!$E:$AU,42,FALSE)),"-")</f>
        <v>-</v>
      </c>
      <c r="L555" s="46" t="str">
        <f>IFERROR(IF(AND($U$5=FALSE,$U$4=FALSE),"-",VLOOKUP($E555,'Status Thresholds'!$E:$AU,43,FALSE)),"-")</f>
        <v>-</v>
      </c>
    </row>
    <row r="556" spans="1:12" x14ac:dyDescent="0.25">
      <c r="A556" s="35"/>
      <c r="B556" s="64" t="str">
        <f>VLOOKUP(C556,'Status Thresholds'!B:C,2,FALSE)</f>
        <v>MHGen</v>
      </c>
      <c r="C556" s="64" t="str">
        <f>IF('Status Thresholds'!B551=0, "", 'Status Thresholds'!B551)</f>
        <v>Nibelsnarf</v>
      </c>
      <c r="D556" s="33" t="s">
        <v>34</v>
      </c>
      <c r="E556" s="36" t="str">
        <f t="shared" si="8"/>
        <v>NibelsnarfMount</v>
      </c>
      <c r="F556" s="36" t="str">
        <f>IFERROR(
ROUNDUP(
IF(AND($U$5=FALSE,$U$4=FALSE),"-",IF(AND($U$5=TRUE,$U$4=TRUE),"-",
IF((AND($U$4=TRUE,$U$5=FALSE,$U$6=FALSE,$U$7=FALSE)),VLOOKUP($E556,'Status Thresholds'!$E:$AR,2,FALSE),IF((AND($U$4=TRUE,$U$5=FALSE,$U$6=TRUE,$U$7=FALSE)),VLOOKUP($E556,'Status Thresholds'!$E:$AR,12,FALSE),IF((AND($U$4=TRUE,$U$5=FALSE,$U$6=TRUE,$U$7=TRUE)),VLOOKUP($E556,'Status Thresholds'!$E:$AR,17,FALSE),IF((AND($U$4=TRUE,$U$5=FALSE,$U$6=FALSE,$U$7=TRUE)),VLOOKUP($E556,'Status Thresholds'!$E:$AR,7,FALSE),
IF((AND($U$4=FALSE,$U$5=TRUE,$U$6=FALSE,$U$7=FALSE)),VLOOKUP($E556,'Status Thresholds'!$E:$AR,22,FALSE),IF((AND($U$4=FALSE,$U$5=TRUE,$U$6=TRUE,$U$7=FALSE)),VLOOKUP($E556,'Status Thresholds'!$E:$AR,32,FALSE),IF((AND($U$4=FALSE,$U$5=TRUE,$U$6=TRUE,$U$7=TRUE)),VLOOKUP($E556,'Status Thresholds'!$E:$AR,37,FALSE),IF((AND($U$4=FALSE,$U$5=TRUE,$U$6=FALSE,$U$7=TRUE)),VLOOKUP($E556,'Status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556" s="36" t="str">
        <f>IFERROR(
ROUNDUP(
IF(AND($U$5=FALSE,$U$4=FALSE),"-",IF(AND($U$5=TRUE,$U$4=TRUE),"-",
IF((AND($U$4=TRUE,$U$5=FALSE,$U$6=FALSE,$U$7=FALSE)),VLOOKUP($E555,'Status Thresholds'!$E:$AR,3,FALSE),IF((AND($U$4=TRUE,$U$5=FALSE,$U$6=TRUE,$U$7=FALSE)),VLOOKUP($E555,'Status Thresholds'!$E:$AR,13,FALSE),IF((AND($U$4=TRUE,$U$5=FALSE,$U$6=TRUE,$U$7=TRUE)),VLOOKUP($E555,'Status Thresholds'!$E:$AR,18,FALSE),IF((AND($U$4=TRUE,$U$5=FALSE,$U$6=FALSE,$U$7=TRUE)),VLOOKUP($E555,'Status Thresholds'!$E:$AR,8,FALSE),
IF((AND($U$4=FALSE,$U$5=TRUE,$U$6=FALSE,$U$7=FALSE)),VLOOKUP($E555,'Status Thresholds'!$E:$AR,23,FALSE),IF((AND($U$4=FALSE,$U$5=TRUE,$U$6=TRUE,$U$7=FALSE)),VLOOKUP($E555,'Status Thresholds'!$E:$AR,33,FALSE),IF((AND($U$4=FALSE,$U$5=TRUE,$U$6=TRUE,$U$7=TRUE)),VLOOKUP($E555,'Status Thresholds'!$E:$AR,38,FALSE),IF((AND($U$4=FALSE,$U$5=TRUE,$U$6=FALSE,$U$7=TRUE)),VLOOKUP($E555,'Status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556" s="36" t="str">
        <f>IFERROR(
ROUNDUP(
IF(AND($U$5=FALSE,$U$4=FALSE),"-",IF(AND($U$5=TRUE,$U$4=TRUE),"-",
IF((AND($U$4=TRUE,$U$5=FALSE,$U$6=FALSE,$U$7=FALSE)),VLOOKUP($E555,'Status Thresholds'!$E:$AR,4,FALSE),IF((AND($U$4=TRUE,$U$5=FALSE,$U$6=TRUE,$U$7=FALSE)),VLOOKUP($E555,'Status Thresholds'!$E:$AR,14,FALSE),IF((AND($U$4=TRUE,$U$5=FALSE,$U$6=TRUE,$U$7=TRUE)),VLOOKUP($E555,'Status Thresholds'!$E:$AR,19,FALSE),IF((AND($U$4=TRUE,$U$5=FALSE,$U$6=FALSE,$U$7=TRUE)),VLOOKUP($E555,'Status Thresholds'!$E:$AR,9,FALSE),
IF((AND($U$4=FALSE,$U$5=TRUE,$U$6=FALSE,$U$7=FALSE)),VLOOKUP($E555,'Status Thresholds'!$E:$AR,24,FALSE),IF((AND($U$4=FALSE,$U$5=TRUE,$U$6=TRUE,$U$7=FALSE)),VLOOKUP($E555,'Status Thresholds'!$E:$AR,34,FALSE),IF((AND($U$4=FALSE,$U$5=TRUE,$U$6=TRUE,$U$7=TRUE)),VLOOKUP($E555,'Status Thresholds'!$E:$AR,39,FALSE),IF((AND($U$4=FALSE,$U$5=TRUE,$U$6=FALSE,$U$7=TRUE)),VLOOKUP($E555,'Status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556" s="36" t="str">
        <f>IFERROR(
ROUNDUP(
IF(AND($U$5=FALSE,$U$4=FALSE),"-",IF(AND($U$5=TRUE,$U$4=TRUE),"-",
IF((AND($U$4=TRUE,$U$5=FALSE,$U$6=FALSE,$U$7=FALSE)),VLOOKUP($E555,'Status Thresholds'!$E:$AR,5,FALSE),IF((AND($U$4=TRUE,$U$5=FALSE,$U$6=TRUE,$U$7=FALSE)),VLOOKUP($E555,'Status Thresholds'!$E:$AR,15,FALSE),IF((AND($U$4=TRUE,$U$5=FALSE,$U$6=TRUE,$U$7=TRUE)),VLOOKUP($E555,'Status Thresholds'!$E:$AR,20,FALSE),IF((AND($U$4=TRUE,$U$5=FALSE,$U$6=FALSE,$U$7=TRUE)),VLOOKUP($E555,'Status Thresholds'!$E:$AR,10,FALSE),
IF((AND($U$4=FALSE,$U$5=TRUE,$U$6=FALSE,$U$7=FALSE)),VLOOKUP($E555,'Status Thresholds'!$E:$AR,25,FALSE),IF((AND($U$4=FALSE,$U$5=TRUE,$U$6=TRUE,$U$7=FALSE)),VLOOKUP($E555,'Status Thresholds'!$E:$AR,35,FALSE),IF((AND($U$4=FALSE,$U$5=TRUE,$U$6=TRUE,$U$7=TRUE)),VLOOKUP($E555,'Status Thresholds'!$E:$AR,40,FALSE),IF((AND($U$4=FALSE,$U$5=TRUE,$U$6=FALSE,$U$7=TRUE)),VLOOKUP($E555,'Status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556" s="46">
        <f>IFERROR(IF(AND($U$5=FALSE,$U$4=FALSE),"-",VLOOKUP($E556,'Status Thresholds'!$E:$AU,41,FALSE)),"-")</f>
        <v>0</v>
      </c>
      <c r="K556" s="46" t="str">
        <f>IFERROR(IF(AND($U$5=FALSE,$U$4=FALSE),"-",VLOOKUP($E556,'Status Thresholds'!$E:$AU,42,FALSE)),"-")</f>
        <v>-</v>
      </c>
      <c r="L556" s="46" t="str">
        <f>IFERROR(IF(AND($U$5=FALSE,$U$4=FALSE),"-",VLOOKUP($E556,'Status Thresholds'!$E:$AU,43,FALSE)),"-")</f>
        <v>-</v>
      </c>
    </row>
    <row r="557" spans="1:12" ht="15" customHeight="1" x14ac:dyDescent="0.25">
      <c r="A557" s="35"/>
      <c r="B557" s="64" t="str">
        <f>VLOOKUP(C557,'Status Thresholds'!B:C,2,FALSE)</f>
        <v>MHGen</v>
      </c>
      <c r="C557" s="64" t="str">
        <f>IF('Status Thresholds'!B552=0, "", 'Status Thresholds'!B552)</f>
        <v>Nibelsnarf</v>
      </c>
      <c r="D557" s="77" t="s">
        <v>207</v>
      </c>
      <c r="E557" s="36" t="str">
        <f t="shared" si="8"/>
        <v>NibelsnarfShock Trap</v>
      </c>
      <c r="F557" s="76" t="s">
        <v>214</v>
      </c>
      <c r="G557" s="46" t="s">
        <v>214</v>
      </c>
      <c r="H557" s="46" t="s">
        <v>214</v>
      </c>
      <c r="I557" s="46" t="s">
        <v>214</v>
      </c>
      <c r="J557" s="46">
        <f>IFERROR(IF(AND($U$5=FALSE,$U$4=FALSE),"-",VLOOKUP($E557,'Status Thresholds'!$E:$AU,43,FALSE)),"-")</f>
        <v>8</v>
      </c>
      <c r="K557" s="46">
        <f>IFERROR(IF(AND($U$5=FALSE,$U$4=FALSE),"-",VLOOKUP($E557,'Status Thresholds'!$E:$AU,41,FALSE)),"-")</f>
        <v>8</v>
      </c>
      <c r="L557" s="46">
        <f>IFERROR(IF(AND($U$5=FALSE,$U$4=FALSE),"-",VLOOKUP($E557,'Status Thresholds'!$E:$AU,42,FALSE)),"-")</f>
        <v>15</v>
      </c>
    </row>
    <row r="558" spans="1:12" x14ac:dyDescent="0.25">
      <c r="A558" s="35"/>
      <c r="B558" s="64" t="str">
        <f>VLOOKUP(C558,'Status Thresholds'!B:C,2,FALSE)</f>
        <v>MHGen</v>
      </c>
      <c r="C558" s="64" t="str">
        <f>IF('Status Thresholds'!B553=0, "", 'Status Thresholds'!B553)</f>
        <v>Nibelsnarf</v>
      </c>
      <c r="D558" s="77" t="s">
        <v>213</v>
      </c>
      <c r="E558" s="36" t="str">
        <f t="shared" si="8"/>
        <v>NibelsnarfPitfall Trap</v>
      </c>
      <c r="F558" s="46" t="s">
        <v>214</v>
      </c>
      <c r="G558" s="46" t="s">
        <v>214</v>
      </c>
      <c r="H558" s="46" t="s">
        <v>214</v>
      </c>
      <c r="I558" s="46" t="s">
        <v>214</v>
      </c>
      <c r="J558" s="46">
        <f>IFERROR(IF(AND($U$5=FALSE,$U$4=FALSE),"-",VLOOKUP($E558,'Status Thresholds'!$E:$AU,43,FALSE)),"-")</f>
        <v>0</v>
      </c>
      <c r="K558" s="46">
        <f>IFERROR(IF(AND($U$5=FALSE,$U$4=FALSE),"-",VLOOKUP($E558,'Status Thresholds'!$E:$AU,41,FALSE)),"-")</f>
        <v>0</v>
      </c>
      <c r="L558" s="46">
        <f>IFERROR(IF(AND($U$5=FALSE,$U$4=FALSE),"-",VLOOKUP($E558,'Status Thresholds'!$E:$AU,42,FALSE)),"-")</f>
        <v>0</v>
      </c>
    </row>
    <row r="559" spans="1:12" s="36" customFormat="1" hidden="1" x14ac:dyDescent="0.25">
      <c r="A559" s="64"/>
      <c r="B559" s="64" t="str">
        <f>IF('Status Thresholds'!A554=0, "", 'Status Thresholds'!A554)</f>
        <v>Deviant</v>
      </c>
      <c r="C559" s="64" t="str">
        <f>IF('Status Thresholds'!B554=0, "", 'Status Thresholds'!B554)</f>
        <v>Nightcloak Malfestio</v>
      </c>
      <c r="D559" s="37" t="s">
        <v>0</v>
      </c>
      <c r="E559" s="36" t="str">
        <f t="shared" si="8"/>
        <v>Nightcloak MalfestioPara</v>
      </c>
      <c r="F559" s="36" t="str">
        <f>IFERROR(
ROUNDUP(
IF(AND($U$5=FALSE,$U$4=FALSE),"-",IF(AND($U$5=TRUE,$U$4=TRUE),"-",
IF((AND($U$4=TRUE,$U$5=FALSE,$U$6=FALSE,$U$7=FALSE)),VLOOKUP($E559,'Status Thresholds'!$E:$AR,2,FALSE),IF((AND($U$4=TRUE,$U$5=FALSE,$U$6=TRUE,$U$7=FALSE)),VLOOKUP($E559,'Status Thresholds'!$E:$AR,12,FALSE),IF((AND($U$4=TRUE,$U$5=FALSE,$U$6=TRUE,$U$7=TRUE)),VLOOKUP($E559,'Status Thresholds'!$E:$AR,17,FALSE),IF((AND($U$4=TRUE,$U$5=FALSE,$U$6=FALSE,$U$7=TRUE)),VLOOKUP($E559,'Status Thresholds'!$E:$AR,7,FALSE),
IF((AND($U$4=FALSE,$U$5=TRUE,$U$6=FALSE,$U$7=FALSE)),VLOOKUP($E559,'Status Thresholds'!$E:$AR,22,FALSE),IF((AND($U$4=FALSE,$U$5=TRUE,$U$6=TRUE,$U$7=FALSE)),VLOOKUP($E559,'Status Thresholds'!$E:$AR,32,FALSE),IF((AND($U$4=FALSE,$U$5=TRUE,$U$6=TRUE,$U$7=TRUE)),VLOOKUP($E559,'Status Thresholds'!$E:$AR,37,FALSE),IF((AND($U$4=FALSE,$U$5=TRUE,$U$6=FALSE,$U$7=TRUE)),VLOOKUP($E559,'Status Thresholds'!$E:$AR,27,FALSE)))))))))
))/
IF(OR($X$5=TRUE,$AC$3=TRUE
),($F$3/2), IF(OR($X$2,$X$3,$X$4,$X$6,$X$7,$X$8,$Z$2,$Z$3,$Z$4,$Z$5,$Z$6,$Z$7,$Z$8)=TRUE,$F$3)),0),"-")</f>
        <v>-</v>
      </c>
      <c r="G559" s="36" t="str">
        <f>IFERROR(
ROUNDUP(
IF(AND($U$5=FALSE,$U$4=FALSE),"-",IF(AND($U$5=TRUE,$U$4=TRUE),"-",
IF((AND($U$4=TRUE,$U$5=FALSE,$U$6=FALSE,$U$7=FALSE)),VLOOKUP($E559,'Status Thresholds'!$E:$AR,3,FALSE),IF((AND($U$4=TRUE,$U$5=FALSE,$U$6=TRUE,$U$7=FALSE)),VLOOKUP($E559,'Status Thresholds'!$E:$AR,13,FALSE),IF((AND($U$4=TRUE,$U$5=FALSE,$U$6=TRUE,$U$7=TRUE)),VLOOKUP($E559,'Status Thresholds'!$E:$AR,18,FALSE),IF((AND($U$4=TRUE,$U$5=FALSE,$U$6=FALSE,$U$7=TRUE)),VLOOKUP($E559,'Status Thresholds'!$E:$AR,8,FALSE),
IF((AND($U$4=FALSE,$U$5=TRUE,$U$6=FALSE,$U$7=FALSE)),VLOOKUP($E559,'Status Thresholds'!$E:$AR,23,FALSE),IF((AND($U$4=FALSE,$U$5=TRUE,$U$6=TRUE,$U$7=FALSE)),VLOOKUP($E559,'Status Thresholds'!$E:$AR,33,FALSE),IF((AND($U$4=FALSE,$U$5=TRUE,$U$6=TRUE,$U$7=TRUE)),VLOOKUP($E559,'Status Thresholds'!$E:$AR,38,FALSE),IF((AND($U$4=FALSE,$U$5=TRUE,$U$6=FALSE,$U$7=TRUE)),VLOOKUP($E559,'Status Thresholds'!$E:$AR,28,FALSE)))))))))
))/
IF(OR($X$5=TRUE,$AC$3=TRUE
),($F$3/2), IF(OR($X$2,$X$3,$X$4,$X$6,$X$7,$X$8,$Z$2,$Z$3,$Z$4,$Z$5,$Z$6,$Z$7,$Z$8)=TRUE,$F$3)),0),"-")</f>
        <v>-</v>
      </c>
      <c r="H559" s="36" t="str">
        <f>IFERROR(
ROUNDUP(
IF(AND($U$5=FALSE,$U$4=FALSE),"-",IF(AND($U$5=TRUE,$U$4=TRUE),"-",
IF((AND($U$4=TRUE,$U$5=FALSE,$U$6=FALSE,$U$7=FALSE)),VLOOKUP($E559,'Status Thresholds'!$E:$AR,4,FALSE),IF((AND($U$4=TRUE,$U$5=FALSE,$U$6=TRUE,$U$7=FALSE)),VLOOKUP($E559,'Status Thresholds'!$E:$AR,14,FALSE),IF((AND($U$4=TRUE,$U$5=FALSE,$U$6=TRUE,$U$7=TRUE)),VLOOKUP($E559,'Status Thresholds'!$E:$AR,19,FALSE),IF((AND($U$4=TRUE,$U$5=FALSE,$U$6=FALSE,$U$7=TRUE)),VLOOKUP($E559,'Status Thresholds'!$E:$AR,9,FALSE),
IF((AND($U$4=FALSE,$U$5=TRUE,$U$6=FALSE,$U$7=FALSE)),VLOOKUP($E559,'Status Thresholds'!$E:$AR,24,FALSE),IF((AND($U$4=FALSE,$U$5=TRUE,$U$6=TRUE,$U$7=FALSE)),VLOOKUP($E559,'Status Thresholds'!$E:$AR,34,FALSE),IF((AND($U$4=FALSE,$U$5=TRUE,$U$6=TRUE,$U$7=TRUE)),VLOOKUP($E559,'Status Thresholds'!$E:$AR,39,FALSE),IF((AND($U$4=FALSE,$U$5=TRUE,$U$6=FALSE,$U$7=TRUE)),VLOOKUP($E559,'Status Thresholds'!$E:$AR,29,FALSE)))))))))
))/
IF(OR($X$5=TRUE,$AC$3=TRUE
),($F$3/2), IF(OR($X$2,$X$3,$X$4,$X$6,$X$7,$X$8,$Z$2,$Z$3,$Z$4,$Z$5,$Z$6,$Z$7,$Z$8)=TRUE,$F$3)),0),"-")</f>
        <v>-</v>
      </c>
      <c r="I559" s="36" t="str">
        <f>IFERROR(
ROUNDUP(
IF(AND($U$5=FALSE,$U$4=FALSE),"-",IF(AND($U$5=TRUE,$U$4=TRUE),"-",
IF((AND($U$4=TRUE,$U$5=FALSE,$U$6=FALSE,$U$7=FALSE)),VLOOKUP($E559,'Status Thresholds'!$E:$AR,5,FALSE),IF((AND($U$4=TRUE,$U$5=FALSE,$U$6=TRUE,$U$7=FALSE)),VLOOKUP($E559,'Status Thresholds'!$E:$AR,15,FALSE),IF((AND($U$4=TRUE,$U$5=FALSE,$U$6=TRUE,$U$7=TRUE)),VLOOKUP($E559,'Status Thresholds'!$E:$AR,20,FALSE),IF((AND($U$4=TRUE,$U$5=FALSE,$U$6=FALSE,$U$7=TRUE)),VLOOKUP($E559,'Status Thresholds'!$E:$AR,10,FALSE),
IF((AND($U$4=FALSE,$U$5=TRUE,$U$6=FALSE,$U$7=FALSE)),VLOOKUP($E559,'Status Thresholds'!$E:$AR,25,FALSE),IF((AND($U$4=FALSE,$U$5=TRUE,$U$6=TRUE,$U$7=FALSE)),VLOOKUP($E559,'Status Thresholds'!$E:$AR,35,FALSE),IF((AND($U$4=FALSE,$U$5=TRUE,$U$6=TRUE,$U$7=TRUE)),VLOOKUP($E559,'Status Thresholds'!$E:$AR,40,FALSE),IF((AND($U$4=FALSE,$U$5=TRUE,$U$6=FALSE,$U$7=TRUE)),VLOOKUP($E559,'Status Thresholds'!$E:$AR,30,FALSE)))))))))
))/
IF(OR($X$5=TRUE,$AC$3=TRUE
),($F$3/2), IF(OR($X$2,$X$3,$X$4,$X$6,$X$7,$X$8,$Z$2,$Z$3,$Z$4,$Z$5,$Z$6,$Z$7,$Z$8)=TRUE,$F$3)),0),"-")</f>
        <v>-</v>
      </c>
      <c r="J559" s="36">
        <f>IFERROR(IF(AND($U$5=FALSE,$U$4=FALSE),"-",VLOOKUP($E559,'Status Thresholds'!$E:$AU,41,FALSE)),"-")</f>
        <v>10</v>
      </c>
      <c r="K559" s="36" t="str">
        <f>IFERROR(IF(AND($U$5=FALSE,$U$4=FALSE),"-",VLOOKUP($E559,'Status Thresholds'!$E:$AU,42,FALSE)),"-")</f>
        <v>-</v>
      </c>
      <c r="L559" s="36" t="str">
        <f>IFERROR(IF(AND($U$5=FALSE,$U$4=FALSE),"-",VLOOKUP($E559,'Status Thresholds'!$E:$AU,43,FALSE)),"-")</f>
        <v>-</v>
      </c>
    </row>
    <row r="560" spans="1:12" hidden="1" x14ac:dyDescent="0.25">
      <c r="A560" s="35"/>
      <c r="B560" s="64" t="str">
        <f>IF('Status Thresholds'!A555=0, "", 'Status Thresholds'!A555)</f>
        <v>Deviant</v>
      </c>
      <c r="C560" s="64" t="str">
        <f>IF('Status Thresholds'!B555=0, "", 'Status Thresholds'!B555)</f>
        <v>Nightcloak Malfestio</v>
      </c>
      <c r="D560" s="31" t="s">
        <v>32</v>
      </c>
      <c r="E560" s="36" t="str">
        <f t="shared" si="8"/>
        <v>Nightcloak MalfestioSleep</v>
      </c>
      <c r="F560" s="36" t="str">
        <f>IFERROR(
ROUNDUP(
IF(AND($U$5=FALSE,$U$4=FALSE),"-",IF(AND($U$5=TRUE,$U$4=TRUE),"-",
IF((AND($U$4=TRUE,$U$5=FALSE,$U$6=FALSE,$U$7=FALSE)),VLOOKUP($E560,'Status Thresholds'!$E:$AR,2,FALSE),IF((AND($U$4=TRUE,$U$5=FALSE,$U$6=TRUE,$U$7=FALSE)),VLOOKUP($E560,'Status Thresholds'!$E:$AR,12,FALSE),IF((AND($U$4=TRUE,$U$5=FALSE,$U$6=TRUE,$U$7=TRUE)),VLOOKUP($E560,'Status Thresholds'!$E:$AR,17,FALSE),IF((AND($U$4=TRUE,$U$5=FALSE,$U$6=FALSE,$U$7=TRUE)),VLOOKUP($E560,'Status Thresholds'!$E:$AR,7,FALSE),
IF((AND($U$4=FALSE,$U$5=TRUE,$U$6=FALSE,$U$7=FALSE)),VLOOKUP($E560,'Status Thresholds'!$E:$AR,22,FALSE),IF((AND($U$4=FALSE,$U$5=TRUE,$U$6=TRUE,$U$7=FALSE)),VLOOKUP($E560,'Status Thresholds'!$E:$AR,32,FALSE),IF((AND($U$4=FALSE,$U$5=TRUE,$U$6=TRUE,$U$7=TRUE)),VLOOKUP($E560,'Status Thresholds'!$E:$AR,37,FALSE),IF((AND($U$4=FALSE,$U$5=TRUE,$U$6=FALSE,$U$7=TRUE)),VLOOKUP($E560,'Status Thresholds'!$E:$AR,27,FALSE)))))))))
))/
IF(OR($X$5=TRUE,$AC$3=TRUE
),($F$4/2), IF(OR($X$2,$X$3,$X$4,$X$6,$X$7,$X$8,$Z$2,$Z$3,$Z$4,$Z$5,$Z$6,$Z$7,$Z$8)=TRUE,$F$4)),0),"-")</f>
        <v>-</v>
      </c>
      <c r="G560" s="36" t="str">
        <f>IFERROR(
ROUNDUP(
IF(AND($U$5=FALSE,$U$4=FALSE),"-",IF(AND($U$5=TRUE,$U$4=TRUE),"-",
IF((AND($U$4=TRUE,$U$5=FALSE,$U$6=FALSE,$U$7=FALSE)),VLOOKUP($E560,'Status Thresholds'!$E:$AR,3,FALSE),IF((AND($U$4=TRUE,$U$5=FALSE,$U$6=TRUE,$U$7=FALSE)),VLOOKUP($E560,'Status Thresholds'!$E:$AR,13,FALSE),IF((AND($U$4=TRUE,$U$5=FALSE,$U$6=TRUE,$U$7=TRUE)),VLOOKUP($E560,'Status Thresholds'!$E:$AR,18,FALSE),IF((AND($U$4=TRUE,$U$5=FALSE,$U$6=FALSE,$U$7=TRUE)),VLOOKUP($E560,'Status Thresholds'!$E:$AR,8,FALSE),
IF((AND($U$4=FALSE,$U$5=TRUE,$U$6=FALSE,$U$7=FALSE)),VLOOKUP($E560,'Status Thresholds'!$E:$AR,23,FALSE),IF((AND($U$4=FALSE,$U$5=TRUE,$U$6=TRUE,$U$7=FALSE)),VLOOKUP($E560,'Status Thresholds'!$E:$AR,33,FALSE),IF((AND($U$4=FALSE,$U$5=TRUE,$U$6=TRUE,$U$7=TRUE)),VLOOKUP($E560,'Status Thresholds'!$E:$AR,38,FALSE),IF((AND($U$4=FALSE,$U$5=TRUE,$U$6=FALSE,$U$7=TRUE)),VLOOKUP($E560,'Status Thresholds'!$E:$AR,28,FALSE)))))))))
))/
IF(OR($X$5=TRUE,$AC$3=TRUE
),($F$4/2), IF(OR($X$2,$X$3,$X$4,$X$6,$X$7,$X$8,$Z$2,$Z$3,$Z$4,$Z$5,$Z$6,$Z$7,$Z$8)=TRUE,$F$4)),0),"-")</f>
        <v>-</v>
      </c>
      <c r="H560" s="36" t="str">
        <f>IFERROR(
ROUNDUP(
IF(AND($U$5=FALSE,$U$4=FALSE),"-",IF(AND($U$5=TRUE,$U$4=TRUE),"-",
IF((AND($U$4=TRUE,$U$5=FALSE,$U$6=FALSE,$U$7=FALSE)),VLOOKUP($E560,'Status Thresholds'!$E:$AR,4,FALSE),IF((AND($U$4=TRUE,$U$5=FALSE,$U$6=TRUE,$U$7=FALSE)),VLOOKUP($E560,'Status Thresholds'!$E:$AR,14,FALSE),IF((AND($U$4=TRUE,$U$5=FALSE,$U$6=TRUE,$U$7=TRUE)),VLOOKUP($E560,'Status Thresholds'!$E:$AR,19,FALSE),IF((AND($U$4=TRUE,$U$5=FALSE,$U$6=FALSE,$U$7=TRUE)),VLOOKUP($E560,'Status Thresholds'!$E:$AR,9,FALSE),
IF((AND($U$4=FALSE,$U$5=TRUE,$U$6=FALSE,$U$7=FALSE)),VLOOKUP($E560,'Status Thresholds'!$E:$AR,24,FALSE),IF((AND($U$4=FALSE,$U$5=TRUE,$U$6=TRUE,$U$7=FALSE)),VLOOKUP($E560,'Status Thresholds'!$E:$AR,34,FALSE),IF((AND($U$4=FALSE,$U$5=TRUE,$U$6=TRUE,$U$7=TRUE)),VLOOKUP($E560,'Status Thresholds'!$E:$AR,39,FALSE),IF((AND($U$4=FALSE,$U$5=TRUE,$U$6=FALSE,$U$7=TRUE)),VLOOKUP($E560,'Status Thresholds'!$E:$AR,29,FALSE)))))))))
))/
IF(OR($X$5=TRUE,$AC$3=TRUE
),($F$4/2), IF(OR($X$2,$X$3,$X$4,$X$6,$X$7,$X$8,$Z$2,$Z$3,$Z$4,$Z$5,$Z$6,$Z$7,$Z$8)=TRUE,$F$4)),0),"-")</f>
        <v>-</v>
      </c>
      <c r="I560" s="36" t="str">
        <f>IFERROR(
ROUNDUP(
IF(AND($U$5=FALSE,$U$4=FALSE),"-",IF(AND($U$5=TRUE,$U$4=TRUE),"-",
IF((AND($U$4=TRUE,$U$5=FALSE,$U$6=FALSE,$U$7=FALSE)),VLOOKUP($E560,'Status Thresholds'!$E:$AR,5,FALSE),IF((AND($U$4=TRUE,$U$5=FALSE,$U$6=TRUE,$U$7=FALSE)),VLOOKUP($E560,'Status Thresholds'!$E:$AR,15,FALSE),IF((AND($U$4=TRUE,$U$5=FALSE,$U$6=TRUE,$U$7=TRUE)),VLOOKUP($E560,'Status Thresholds'!$E:$AR,20,FALSE),IF((AND($U$4=TRUE,$U$5=FALSE,$U$6=FALSE,$U$7=TRUE)),VLOOKUP($E560,'Status Thresholds'!$E:$AR,10,FALSE),
IF((AND($U$4=FALSE,$U$5=TRUE,$U$6=FALSE,$U$7=FALSE)),VLOOKUP($E560,'Status Thresholds'!$E:$AR,25,FALSE),IF((AND($U$4=FALSE,$U$5=TRUE,$U$6=TRUE,$U$7=FALSE)),VLOOKUP($E560,'Status Thresholds'!$E:$AR,35,FALSE),IF((AND($U$4=FALSE,$U$5=TRUE,$U$6=TRUE,$U$7=TRUE)),VLOOKUP($E560,'Status Thresholds'!$E:$AR,40,FALSE),IF((AND($U$4=FALSE,$U$5=TRUE,$U$6=FALSE,$U$7=TRUE)),VLOOKUP($E560,'Status Thresholds'!$E:$AR,30,FALSE)))))))))
))/
IF(OR($X$5=TRUE,$AC$3=TRUE
),($F$4/2), IF(OR($X$2,$X$3,$X$4,$X$6,$X$7,$X$8,$Z$2,$Z$3,$Z$4,$Z$5,$Z$6,$Z$7,$Z$8)=TRUE,$F$4)),0),"-")</f>
        <v>-</v>
      </c>
      <c r="J560" s="46">
        <f>IFERROR(IF(AND($U$5=FALSE,$U$4=FALSE),"-",VLOOKUP($E560,'Status Thresholds'!$E:$AU,41,FALSE)),"-")</f>
        <v>40</v>
      </c>
      <c r="K560" s="46" t="str">
        <f>IFERROR(IF(AND($U$5=FALSE,$U$4=FALSE),"-",VLOOKUP($E560,'Status Thresholds'!$E:$AU,42,FALSE)),"-")</f>
        <v>-</v>
      </c>
      <c r="L560" s="46" t="str">
        <f>IFERROR(IF(AND($U$5=FALSE,$U$4=FALSE),"-",VLOOKUP($E560,'Status Thresholds'!$E:$AU,43,FALSE)),"-")</f>
        <v>-</v>
      </c>
    </row>
    <row r="561" spans="1:12" hidden="1" x14ac:dyDescent="0.25">
      <c r="A561" s="35"/>
      <c r="B561" s="64" t="str">
        <f>IF('Status Thresholds'!A556=0, "", 'Status Thresholds'!A556)</f>
        <v>Deviant</v>
      </c>
      <c r="C561" s="64" t="str">
        <f>IF('Status Thresholds'!B556=0, "", 'Status Thresholds'!B556)</f>
        <v>Nightcloak Malfestio</v>
      </c>
      <c r="D561" s="32" t="s">
        <v>33</v>
      </c>
      <c r="E561" s="36" t="str">
        <f t="shared" si="8"/>
        <v>Nightcloak MalfestioPoison</v>
      </c>
      <c r="F561" s="36" t="str">
        <f>IFERROR(
ROUNDUP(
IF(AND($U$5=FALSE,$U$4=FALSE),"-",IF(AND($U$5=TRUE,$U$4=TRUE),"-",
IF((AND($U$4=TRUE,$U$5=FALSE,$U$6=FALSE,$U$7=FALSE)),VLOOKUP($E561,'Status Thresholds'!$E:$AR,2,FALSE),IF((AND($U$4=TRUE,$U$5=FALSE,$U$6=TRUE,$U$7=FALSE)),VLOOKUP($E561,'Status Thresholds'!$E:$AR,12,FALSE),IF((AND($U$4=TRUE,$U$5=FALSE,$U$6=TRUE,$U$7=TRUE)),VLOOKUP($E561,'Status Thresholds'!$E:$AR,17,FALSE),IF((AND($U$4=TRUE,$U$5=FALSE,$U$6=FALSE,$U$7=TRUE)),VLOOKUP($E561,'Status Thresholds'!$E:$AR,7,FALSE),
IF((AND($U$4=FALSE,$U$5=TRUE,$U$6=FALSE,$U$7=FALSE)),VLOOKUP($E561,'Status Thresholds'!$E:$AR,22,FALSE),IF((AND($U$4=FALSE,$U$5=TRUE,$U$6=TRUE,$U$7=FALSE)),VLOOKUP($E561,'Status Thresholds'!$E:$AR,32,FALSE),IF((AND($U$4=FALSE,$U$5=TRUE,$U$6=TRUE,$U$7=TRUE)),VLOOKUP($E561,'Status Thresholds'!$E:$AR,37,FALSE),IF((AND($U$4=FALSE,$U$5=TRUE,$U$6=FALSE,$U$7=TRUE)),VLOOKUP($E561,'Status Thresholds'!$E:$AR,27,FALSE)))))))))
))/
IF(OR($X$5=TRUE,$AC$3=TRUE
),($F$5/2), IF(OR($X$2,$X$3,$X$4,$X$6,$X$7,$X$8,$Z$2,$Z$3,$Z$4,$Z$5,$Z$6,$Z$7,$Z$8)=TRUE,$F$5)),0),"-")</f>
        <v>-</v>
      </c>
      <c r="G561" s="36" t="str">
        <f>IFERROR(
ROUNDUP(
IF(AND($U$5=FALSE,$U$4=FALSE),"-",IF(AND($U$5=TRUE,$U$4=TRUE),"-",
IF((AND($U$4=TRUE,$U$5=FALSE,$U$6=FALSE,$U$7=FALSE)),VLOOKUP($E561,'Status Thresholds'!$E:$AR,3,FALSE),IF((AND($U$4=TRUE,$U$5=FALSE,$U$6=TRUE,$U$7=FALSE)),VLOOKUP($E561,'Status Thresholds'!$E:$AR,13,FALSE),IF((AND($U$4=TRUE,$U$5=FALSE,$U$6=TRUE,$U$7=TRUE)),VLOOKUP($E561,'Status Thresholds'!$E:$AR,18,FALSE),IF((AND($U$4=TRUE,$U$5=FALSE,$U$6=FALSE,$U$7=TRUE)),VLOOKUP($E561,'Status Thresholds'!$E:$AR,8,FALSE),
IF((AND($U$4=FALSE,$U$5=TRUE,$U$6=FALSE,$U$7=FALSE)),VLOOKUP($E561,'Status Thresholds'!$E:$AR,23,FALSE),IF((AND($U$4=FALSE,$U$5=TRUE,$U$6=TRUE,$U$7=FALSE)),VLOOKUP($E561,'Status Thresholds'!$E:$AR,33,FALSE),IF((AND($U$4=FALSE,$U$5=TRUE,$U$6=TRUE,$U$7=TRUE)),VLOOKUP($E561,'Status Thresholds'!$E:$AR,38,FALSE),IF((AND($U$4=FALSE,$U$5=TRUE,$U$6=FALSE,$U$7=TRUE)),VLOOKUP($E561,'Status Thresholds'!$E:$AR,28,FALSE)))))))))
))/
IF(OR($X$5=TRUE,$AC$3=TRUE
),($F$5/2), IF(OR($X$2,$X$3,$X$4,$X$6,$X$7,$X$8,$Z$2,$Z$3,$Z$4,$Z$5,$Z$6,$Z$7,$Z$8)=TRUE,$F$5)),0),"-")</f>
        <v>-</v>
      </c>
      <c r="H561" s="36" t="str">
        <f>IFERROR(
ROUNDUP(
IF(AND($U$5=FALSE,$U$4=FALSE),"-",IF(AND($U$5=TRUE,$U$4=TRUE),"-",
IF((AND($U$4=TRUE,$U$5=FALSE,$U$6=FALSE,$U$7=FALSE)),VLOOKUP($E561,'Status Thresholds'!$E:$AR,4,FALSE),IF((AND($U$4=TRUE,$U$5=FALSE,$U$6=TRUE,$U$7=FALSE)),VLOOKUP($E561,'Status Thresholds'!$E:$AR,14,FALSE),IF((AND($U$4=TRUE,$U$5=FALSE,$U$6=TRUE,$U$7=TRUE)),VLOOKUP($E561,'Status Thresholds'!$E:$AR,19,FALSE),IF((AND($U$4=TRUE,$U$5=FALSE,$U$6=FALSE,$U$7=TRUE)),VLOOKUP($E561,'Status Thresholds'!$E:$AR,9,FALSE),
IF((AND($U$4=FALSE,$U$5=TRUE,$U$6=FALSE,$U$7=FALSE)),VLOOKUP($E561,'Status Thresholds'!$E:$AR,24,FALSE),IF((AND($U$4=FALSE,$U$5=TRUE,$U$6=TRUE,$U$7=FALSE)),VLOOKUP($E561,'Status Thresholds'!$E:$AR,34,FALSE),IF((AND($U$4=FALSE,$U$5=TRUE,$U$6=TRUE,$U$7=TRUE)),VLOOKUP($E561,'Status Thresholds'!$E:$AR,39,FALSE),IF((AND($U$4=FALSE,$U$5=TRUE,$U$6=FALSE,$U$7=TRUE)),VLOOKUP($E561,'Status Thresholds'!$E:$AR,29,FALSE)))))))))
))/
IF(OR($X$5=TRUE,$AC$3=TRUE
),($F$5/2), IF(OR($X$2,$X$3,$X$4,$X$6,$X$7,$X$8,$Z$2,$Z$3,$Z$4,$Z$5,$Z$6,$Z$7,$Z$8)=TRUE,$F$5)),0),"-")</f>
        <v>-</v>
      </c>
      <c r="I561" s="36" t="str">
        <f>IFERROR(
ROUNDUP(
IF(AND($U$5=FALSE,$U$4=FALSE),"-",IF(AND($U$5=TRUE,$U$4=TRUE),"-",
IF((AND($U$4=TRUE,$U$5=FALSE,$U$6=FALSE,$U$7=FALSE)),VLOOKUP($E561,'Status Thresholds'!$E:$AR,5,FALSE),IF((AND($U$4=TRUE,$U$5=FALSE,$U$6=TRUE,$U$7=FALSE)),VLOOKUP($E561,'Status Thresholds'!$E:$AR,15,FALSE),IF((AND($U$4=TRUE,$U$5=FALSE,$U$6=TRUE,$U$7=TRUE)),VLOOKUP($E561,'Status Thresholds'!$E:$AR,20,FALSE),IF((AND($U$4=TRUE,$U$5=FALSE,$U$6=FALSE,$U$7=TRUE)),VLOOKUP($E561,'Status Thresholds'!$E:$AR,10,FALSE),
IF((AND($U$4=FALSE,$U$5=TRUE,$U$6=FALSE,$U$7=FALSE)),VLOOKUP($E561,'Status Thresholds'!$E:$AR,25,FALSE),IF((AND($U$4=FALSE,$U$5=TRUE,$U$6=TRUE,$U$7=FALSE)),VLOOKUP($E561,'Status Thresholds'!$E:$AR,35,FALSE),IF((AND($U$4=FALSE,$U$5=TRUE,$U$6=TRUE,$U$7=TRUE)),VLOOKUP($E561,'Status Thresholds'!$E:$AR,40,FALSE),IF((AND($U$4=FALSE,$U$5=TRUE,$U$6=FALSE,$U$7=TRUE)),VLOOKUP($E561,'Status Thresholds'!$E:$AR,30,FALSE)))))))))
))/
IF(OR($X$5=TRUE,$AC$3=TRUE
),($F$5/2), IF(OR($X$2,$X$3,$X$4,$X$6,$X$7,$X$8,$Z$2,$Z$3,$Z$4,$Z$5,$Z$6,$Z$7,$Z$8)=TRUE,$F$5)),0),"-")</f>
        <v>-</v>
      </c>
      <c r="J561" s="46">
        <f>IFERROR(IF(AND($U$5=FALSE,$U$4=FALSE),"-",VLOOKUP($E561,'Status Thresholds'!$E:$AU,41,FALSE)),"-")</f>
        <v>60</v>
      </c>
      <c r="K561" s="46" t="str">
        <f>IFERROR(IF(AND($U$5=FALSE,$U$4=FALSE),"-",VLOOKUP($E561,'Status Thresholds'!$E:$AU,42,FALSE)),"-")</f>
        <v>-</v>
      </c>
      <c r="L561" s="46" t="str">
        <f>IFERROR(IF(AND($U$5=FALSE,$U$4=FALSE),"-",VLOOKUP($E561,'Status Thresholds'!$E:$AU,43,FALSE)),"-")</f>
        <v>-</v>
      </c>
    </row>
    <row r="562" spans="1:12" hidden="1" x14ac:dyDescent="0.25">
      <c r="A562" s="35"/>
      <c r="B562" s="64" t="str">
        <f>IF('Status Thresholds'!A557=0, "", 'Status Thresholds'!A557)</f>
        <v>Deviant</v>
      </c>
      <c r="C562" s="64" t="str">
        <f>IF('Status Thresholds'!B557=0, "", 'Status Thresholds'!B557)</f>
        <v>Nightcloak Malfestio</v>
      </c>
      <c r="D562" s="10" t="s">
        <v>22</v>
      </c>
      <c r="E562" s="36" t="str">
        <f t="shared" si="8"/>
        <v>Nightcloak MalfestioExhaust</v>
      </c>
      <c r="F562" s="36" t="str">
        <f>IFERROR(
ROUNDUP(
IF(AND($U$5=FALSE,$U$4=FALSE),"-",IF(AND($U$5=TRUE,$U$4=TRUE),"-",
IF((AND($U$4=TRUE,$U$5=FALSE,$U$6=FALSE,$U$7=FALSE)),VLOOKUP($E562,'Status Thresholds'!$E:$AR,2,FALSE),IF((AND($U$4=TRUE,$U$5=FALSE,$U$6=TRUE,$U$7=FALSE)),VLOOKUP($E562,'Status Thresholds'!$E:$AR,12,FALSE),IF((AND($U$4=TRUE,$U$5=FALSE,$U$6=TRUE,$U$7=TRUE)),VLOOKUP($E562,'Status Thresholds'!$E:$AR,17,FALSE),IF((AND($U$4=TRUE,$U$5=FALSE,$U$6=FALSE,$U$7=TRUE)),VLOOKUP($E562,'Status Thresholds'!$E:$AR,7,FALSE),
IF((AND($U$4=FALSE,$U$5=TRUE,$U$6=FALSE,$U$7=FALSE)),VLOOKUP($E562,'Status Thresholds'!$E:$AR,22,FALSE),IF((AND($U$4=FALSE,$U$5=TRUE,$U$6=TRUE,$U$7=FALSE)),VLOOKUP($E562,'Status Thresholds'!$E:$AR,32,FALSE),IF((AND($U$4=FALSE,$U$5=TRUE,$U$6=TRUE,$U$7=TRUE)),VLOOKUP($E562,'Status Thresholds'!$E:$AR,37,FALSE),IF((AND($U$4=FALSE,$U$5=TRUE,$U$6=FALSE,$U$7=TRUE)),VLOOKUP($E562,'Status Thresholds'!$E:$AR,27,FALSE)))))))))
))/
IF(OR($X$5=TRUE,$AC$3=TRUE
),($F$6/2), IF(OR($X$2,$X$3,$X$4,$X$6,$X$7,$X$8,$Z$2,$Z$3,$Z$4,$Z$5,$Z$6,$Z$7,$Z$8)=TRUE,$F$6)),0),"-")</f>
        <v>-</v>
      </c>
      <c r="G562" s="36" t="str">
        <f>IFERROR(
ROUNDUP(
IF(AND($U$5=FALSE,$U$4=FALSE),"-",IF(AND($U$5=TRUE,$U$4=TRUE),"-",
IF((AND($U$4=TRUE,$U$5=FALSE,$U$6=FALSE,$U$7=FALSE)),VLOOKUP($E562,'Status Thresholds'!$E:$AR,3,FALSE),IF((AND($U$4=TRUE,$U$5=FALSE,$U$6=TRUE,$U$7=FALSE)),VLOOKUP($E562,'Status Thresholds'!$E:$AR,13,FALSE),IF((AND($U$4=TRUE,$U$5=FALSE,$U$6=TRUE,$U$7=TRUE)),VLOOKUP($E562,'Status Thresholds'!$E:$AR,18,FALSE),IF((AND($U$4=TRUE,$U$5=FALSE,$U$6=FALSE,$U$7=TRUE)),VLOOKUP($E562,'Status Thresholds'!$E:$AR,8,FALSE),
IF((AND($U$4=FALSE,$U$5=TRUE,$U$6=FALSE,$U$7=FALSE)),VLOOKUP($E562,'Status Thresholds'!$E:$AR,23,FALSE),IF((AND($U$4=FALSE,$U$5=TRUE,$U$6=TRUE,$U$7=FALSE)),VLOOKUP($E562,'Status Thresholds'!$E:$AR,33,FALSE),IF((AND($U$4=FALSE,$U$5=TRUE,$U$6=TRUE,$U$7=TRUE)),VLOOKUP($E562,'Status Thresholds'!$E:$AR,38,FALSE),IF((AND($U$4=FALSE,$U$5=TRUE,$U$6=FALSE,$U$7=TRUE)),VLOOKUP($E562,'Status Thresholds'!$E:$AR,28,FALSE)))))))))
))/
IF(OR($X$5=TRUE,$AC$3=TRUE
),($F$6/2), IF(OR($X$2,$X$3,$X$4,$X$6,$X$7,$X$8,$Z$2,$Z$3,$Z$4,$Z$5,$Z$6,$Z$7,$Z$8)=TRUE,$F$6)),0),"-")</f>
        <v>-</v>
      </c>
      <c r="H562" s="36" t="str">
        <f>IFERROR(
ROUNDUP(
IF(AND($U$5=FALSE,$U$4=FALSE),"-",IF(AND($U$5=TRUE,$U$4=TRUE),"-",
IF((AND($U$4=TRUE,$U$5=FALSE,$U$6=FALSE,$U$7=FALSE)),VLOOKUP($E562,'Status Thresholds'!$E:$AR,4,FALSE),IF((AND($U$4=TRUE,$U$5=FALSE,$U$6=TRUE,$U$7=FALSE)),VLOOKUP($E562,'Status Thresholds'!$E:$AR,14,FALSE),IF((AND($U$4=TRUE,$U$5=FALSE,$U$6=TRUE,$U$7=TRUE)),VLOOKUP($E562,'Status Thresholds'!$E:$AR,19,FALSE),IF((AND($U$4=TRUE,$U$5=FALSE,$U$6=FALSE,$U$7=TRUE)),VLOOKUP($E562,'Status Thresholds'!$E:$AR,9,FALSE),
IF((AND($U$4=FALSE,$U$5=TRUE,$U$6=FALSE,$U$7=FALSE)),VLOOKUP($E562,'Status Thresholds'!$E:$AR,24,FALSE),IF((AND($U$4=FALSE,$U$5=TRUE,$U$6=TRUE,$U$7=FALSE)),VLOOKUP($E562,'Status Thresholds'!$E:$AR,34,FALSE),IF((AND($U$4=FALSE,$U$5=TRUE,$U$6=TRUE,$U$7=TRUE)),VLOOKUP($E562,'Status Thresholds'!$E:$AR,39,FALSE),IF((AND($U$4=FALSE,$U$5=TRUE,$U$6=FALSE,$U$7=TRUE)),VLOOKUP($E562,'Status Thresholds'!$E:$AR,29,FALSE)))))))))
))/
IF(OR($X$5=TRUE,$AC$3=TRUE
),($F$6/2), IF(OR($X$2,$X$3,$X$4,$X$6,$X$7,$X$8,$Z$2,$Z$3,$Z$4,$Z$5,$Z$6,$Z$7,$Z$8)=TRUE,$F$6)),0),"-")</f>
        <v>-</v>
      </c>
      <c r="I562" s="36" t="str">
        <f>IFERROR(
ROUNDUP(
IF(AND($U$5=FALSE,$U$4=FALSE),"-",IF(AND($U$5=TRUE,$U$4=TRUE),"-",
IF((AND($U$4=TRUE,$U$5=FALSE,$U$6=FALSE,$U$7=FALSE)),VLOOKUP($E562,'Status Thresholds'!$E:$AR,5,FALSE),IF((AND($U$4=TRUE,$U$5=FALSE,$U$6=TRUE,$U$7=FALSE)),VLOOKUP($E562,'Status Thresholds'!$E:$AR,15,FALSE),IF((AND($U$4=TRUE,$U$5=FALSE,$U$6=TRUE,$U$7=TRUE)),VLOOKUP($E562,'Status Thresholds'!$E:$AR,20,FALSE),IF((AND($U$4=TRUE,$U$5=FALSE,$U$6=FALSE,$U$7=TRUE)),VLOOKUP($E562,'Status Thresholds'!$E:$AR,10,FALSE),
IF((AND($U$4=FALSE,$U$5=TRUE,$U$6=FALSE,$U$7=FALSE)),VLOOKUP($E562,'Status Thresholds'!$E:$AR,25,FALSE),IF((AND($U$4=FALSE,$U$5=TRUE,$U$6=TRUE,$U$7=FALSE)),VLOOKUP($E562,'Status Thresholds'!$E:$AR,35,FALSE),IF((AND($U$4=FALSE,$U$5=TRUE,$U$6=TRUE,$U$7=TRUE)),VLOOKUP($E562,'Status Thresholds'!$E:$AR,40,FALSE),IF((AND($U$4=FALSE,$U$5=TRUE,$U$6=FALSE,$U$7=TRUE)),VLOOKUP($E562,'Status Thresholds'!$E:$AR,30,FALSE)))))))))
))/
IF(OR($X$5=TRUE,$AC$3=TRUE
),($F$6/2), IF(OR($X$2,$X$3,$X$4,$X$6,$X$7,$X$8,$Z$2,$Z$3,$Z$4,$Z$5,$Z$6,$Z$7,$Z$8)=TRUE,$F$6)),0),"-")</f>
        <v>-</v>
      </c>
      <c r="J562" s="46">
        <f>IFERROR(IF(AND($U$5=FALSE,$U$4=FALSE),"-",VLOOKUP($E562,'Status Thresholds'!$E:$AU,41,FALSE)),"-")</f>
        <v>0</v>
      </c>
      <c r="K562" s="46" t="str">
        <f>IFERROR(IF(AND($U$5=FALSE,$U$4=FALSE),"-",VLOOKUP($E562,'Status Thresholds'!$E:$AU,42,FALSE)),"-")</f>
        <v>-</v>
      </c>
      <c r="L562" s="46" t="str">
        <f>IFERROR(IF(AND($U$5=FALSE,$U$4=FALSE),"-",VLOOKUP($E562,'Status Thresholds'!$E:$AU,43,FALSE)),"-")</f>
        <v>-</v>
      </c>
    </row>
    <row r="563" spans="1:12" hidden="1" x14ac:dyDescent="0.25">
      <c r="A563" s="35"/>
      <c r="B563" s="64" t="str">
        <f>IF('Status Thresholds'!A558=0, "", 'Status Thresholds'!A558)</f>
        <v>Deviant</v>
      </c>
      <c r="C563" s="64" t="str">
        <f>IF('Status Thresholds'!B558=0, "", 'Status Thresholds'!B558)</f>
        <v>Nightcloak Malfestio</v>
      </c>
      <c r="D563" s="30" t="s">
        <v>35</v>
      </c>
      <c r="E563" s="36" t="str">
        <f t="shared" si="8"/>
        <v>Nightcloak MalfestioBlast</v>
      </c>
      <c r="F563" s="36" t="str">
        <f>IFERROR(
ROUNDUP(
IF(AND($U$5=FALSE,$U$4=FALSE),"-",IF(AND($U$5=TRUE,$U$4=TRUE),"-",
IF((AND($U$4=TRUE,$U$5=FALSE,$U$6=FALSE,$U$7=FALSE)),VLOOKUP($E563,'Status Thresholds'!$E:$AR,2,FALSE),IF((AND($U$4=TRUE,$U$5=FALSE,$U$6=TRUE,$U$7=FALSE)),VLOOKUP($E563,'Status Thresholds'!$E:$AR,12,FALSE),IF((AND($U$4=TRUE,$U$5=FALSE,$U$6=TRUE,$U$7=TRUE)),VLOOKUP($E563,'Status Thresholds'!$E:$AR,17,FALSE),IF((AND($U$4=TRUE,$U$5=FALSE,$U$6=FALSE,$U$7=TRUE)),VLOOKUP($E563,'Status Thresholds'!$E:$AR,7,FALSE),
IF((AND($U$4=FALSE,$U$5=TRUE,$U$6=FALSE,$U$7=FALSE)),VLOOKUP($E563,'Status Thresholds'!$E:$AR,22,FALSE),IF((AND($U$4=FALSE,$U$5=TRUE,$U$6=TRUE,$U$7=FALSE)),VLOOKUP($E563,'Status Thresholds'!$E:$AR,32,FALSE),IF((AND($U$4=FALSE,$U$5=TRUE,$U$6=TRUE,$U$7=TRUE)),VLOOKUP($E563,'Status Thresholds'!$E:$AR,37,FALSE),IF((AND($U$4=FALSE,$U$5=TRUE,$U$6=FALSE,$U$7=TRUE)),VLOOKUP($E563,'Status Thresholds'!$E:$AR,27,FALSE)))))))))
))/
IF(OR($X$5=TRUE,$AC$3=TRUE
),($F$7/2), IF(OR($X$2,$X$3,$X$4,$X$6,$X$7,$X$8,$Z$2,$Z$3,$Z$4,$Z$5,$Z$6,$Z$7,$Z$8)=TRUE,$F$7)),0),"-")</f>
        <v>-</v>
      </c>
      <c r="G563" s="36" t="str">
        <f>IFERROR(
ROUNDUP(
IF(AND($U$5=FALSE,$U$4=FALSE),"-",IF(AND($U$5=TRUE,$U$4=TRUE),"-",
IF((AND($U$4=TRUE,$U$5=FALSE,$U$6=FALSE,$U$7=FALSE)),VLOOKUP($E563,'Status Thresholds'!$E:$AR,3,FALSE),IF((AND($U$4=TRUE,$U$5=FALSE,$U$6=TRUE,$U$7=FALSE)),VLOOKUP($E563,'Status Thresholds'!$E:$AR,13,FALSE),IF((AND($U$4=TRUE,$U$5=FALSE,$U$6=TRUE,$U$7=TRUE)),VLOOKUP($E563,'Status Thresholds'!$E:$AR,18,FALSE),IF((AND($U$4=TRUE,$U$5=FALSE,$U$6=FALSE,$U$7=TRUE)),VLOOKUP($E563,'Status Thresholds'!$E:$AR,8,FALSE),
IF((AND($U$4=FALSE,$U$5=TRUE,$U$6=FALSE,$U$7=FALSE)),VLOOKUP($E563,'Status Thresholds'!$E:$AR,23,FALSE),IF((AND($U$4=FALSE,$U$5=TRUE,$U$6=TRUE,$U$7=FALSE)),VLOOKUP($E563,'Status Thresholds'!$E:$AR,33,FALSE),IF((AND($U$4=FALSE,$U$5=TRUE,$U$6=TRUE,$U$7=TRUE)),VLOOKUP($E563,'Status Thresholds'!$E:$AR,38,FALSE),IF((AND($U$4=FALSE,$U$5=TRUE,$U$6=FALSE,$U$7=TRUE)),VLOOKUP($E563,'Status Thresholds'!$E:$AR,28,FALSE)))))))))
))/
IF(OR($X$5=TRUE,$AC$3=TRUE
),($F$7/2), IF(OR($X$2,$X$3,$X$4,$X$6,$X$7,$X$8,$Z$2,$Z$3,$Z$4,$Z$5,$Z$6,$Z$7,$Z$8)=TRUE,$F$7)),0),"-")</f>
        <v>-</v>
      </c>
      <c r="H563" s="36" t="str">
        <f>IFERROR(
ROUNDUP(
IF(AND($U$5=FALSE,$U$4=FALSE),"-",IF(AND($U$5=TRUE,$U$4=TRUE),"-",
IF((AND($U$4=TRUE,$U$5=FALSE,$U$6=FALSE,$U$7=FALSE)),VLOOKUP($E563,'Status Thresholds'!$E:$AR,4,FALSE),IF((AND($U$4=TRUE,$U$5=FALSE,$U$6=TRUE,$U$7=FALSE)),VLOOKUP($E563,'Status Thresholds'!$E:$AR,14,FALSE),IF((AND($U$4=TRUE,$U$5=FALSE,$U$6=TRUE,$U$7=TRUE)),VLOOKUP($E563,'Status Thresholds'!$E:$AR,19,FALSE),IF((AND($U$4=TRUE,$U$5=FALSE,$U$6=FALSE,$U$7=TRUE)),VLOOKUP($E563,'Status Thresholds'!$E:$AR,9,FALSE),
IF((AND($U$4=FALSE,$U$5=TRUE,$U$6=FALSE,$U$7=FALSE)),VLOOKUP($E563,'Status Thresholds'!$E:$AR,24,FALSE),IF((AND($U$4=FALSE,$U$5=TRUE,$U$6=TRUE,$U$7=FALSE)),VLOOKUP($E563,'Status Thresholds'!$E:$AR,34,FALSE),IF((AND($U$4=FALSE,$U$5=TRUE,$U$6=TRUE,$U$7=TRUE)),VLOOKUP($E563,'Status Thresholds'!$E:$AR,39,FALSE),IF((AND($U$4=FALSE,$U$5=TRUE,$U$6=FALSE,$U$7=TRUE)),VLOOKUP($E563,'Status Thresholds'!$E:$AR,29,FALSE)))))))))
))/
IF(OR($X$5=TRUE,$AC$3=TRUE
),($F$7/2), IF(OR($X$2,$X$3,$X$4,$X$6,$X$7,$X$8,$Z$2,$Z$3,$Z$4,$Z$5,$Z$6,$Z$7,$Z$8)=TRUE,$F$7)),0),"-")</f>
        <v>-</v>
      </c>
      <c r="I563" s="36" t="str">
        <f>IFERROR(
ROUNDUP(
IF(AND($U$5=FALSE,$U$4=FALSE),"-",IF(AND($U$5=TRUE,$U$4=TRUE),"-",
IF((AND($U$4=TRUE,$U$5=FALSE,$U$6=FALSE,$U$7=FALSE)),VLOOKUP($E563,'Status Thresholds'!$E:$AR,5,FALSE),IF((AND($U$4=TRUE,$U$5=FALSE,$U$6=TRUE,$U$7=FALSE)),VLOOKUP($E563,'Status Thresholds'!$E:$AR,15,FALSE),IF((AND($U$4=TRUE,$U$5=FALSE,$U$6=TRUE,$U$7=TRUE)),VLOOKUP($E563,'Status Thresholds'!$E:$AR,20,FALSE),IF((AND($U$4=TRUE,$U$5=FALSE,$U$6=FALSE,$U$7=TRUE)),VLOOKUP($E563,'Status Thresholds'!$E:$AR,10,FALSE),
IF((AND($U$4=FALSE,$U$5=TRUE,$U$6=FALSE,$U$7=FALSE)),VLOOKUP($E563,'Status Thresholds'!$E:$AR,25,FALSE),IF((AND($U$4=FALSE,$U$5=TRUE,$U$6=TRUE,$U$7=FALSE)),VLOOKUP($E563,'Status Thresholds'!$E:$AR,35,FALSE),IF((AND($U$4=FALSE,$U$5=TRUE,$U$6=TRUE,$U$7=TRUE)),VLOOKUP($E563,'Status Thresholds'!$E:$AR,40,FALSE),IF((AND($U$4=FALSE,$U$5=TRUE,$U$6=FALSE,$U$7=TRUE)),VLOOKUP($E563,'Status Thresholds'!$E:$AR,30,FALSE)))))))))
))/
IF(OR($X$5=TRUE,$AC$3=TRUE
),($F$7/2), IF(OR($X$2,$X$3,$X$4,$X$6,$X$7,$X$8,$Z$2,$Z$3,$Z$4,$Z$5,$Z$6,$Z$7,$Z$8)=TRUE,$F$7)),0),"-")</f>
        <v>-</v>
      </c>
      <c r="J563" s="46">
        <f>IFERROR(IF(AND($U$5=FALSE,$U$4=FALSE),"-",VLOOKUP($E563,'Status Thresholds'!$E:$AU,41,FALSE)),"-")</f>
        <v>0</v>
      </c>
      <c r="K563" s="46" t="str">
        <f>IFERROR(IF(AND($U$5=FALSE,$U$4=FALSE),"-",VLOOKUP($E563,'Status Thresholds'!$E:$AU,42,FALSE)),"-")</f>
        <v>-</v>
      </c>
      <c r="L563" s="46" t="str">
        <f>IFERROR(IF(AND($U$5=FALSE,$U$4=FALSE),"-",VLOOKUP($E563,'Status Thresholds'!$E:$AU,43,FALSE)),"-")</f>
        <v>-</v>
      </c>
    </row>
    <row r="564" spans="1:12" ht="14.45" hidden="1" customHeight="1" x14ac:dyDescent="0.25">
      <c r="A564" s="35"/>
      <c r="B564" s="64" t="str">
        <f>IF('Status Thresholds'!A559=0, "", 'Status Thresholds'!A559)</f>
        <v>Deviant</v>
      </c>
      <c r="C564" s="64" t="str">
        <f>IF('Status Thresholds'!B559=0, "", 'Status Thresholds'!B559)</f>
        <v>Nightcloak Malfestio</v>
      </c>
      <c r="D564" s="34" t="s">
        <v>14</v>
      </c>
      <c r="E564" s="36" t="str">
        <f t="shared" si="8"/>
        <v>Nightcloak MalfestioKO</v>
      </c>
      <c r="F564" s="36" t="s">
        <v>214</v>
      </c>
      <c r="G564" s="36" t="s">
        <v>214</v>
      </c>
      <c r="H564" s="36" t="s">
        <v>214</v>
      </c>
      <c r="I564" s="36" t="s">
        <v>214</v>
      </c>
      <c r="J564" s="46">
        <f>IFERROR(IF(AND($U$5=FALSE,$U$4=FALSE),"-",VLOOKUP($E564,'Status Thresholds'!$E:$AU,41,FALSE)),"-")</f>
        <v>10</v>
      </c>
      <c r="K564" s="46" t="str">
        <f>IFERROR(IF(AND($U$5=FALSE,$U$4=FALSE),"-",VLOOKUP($E564,'Status Thresholds'!$E:$AU,42,FALSE)),"-")</f>
        <v>-</v>
      </c>
      <c r="L564" s="46" t="str">
        <f>IFERROR(IF(AND($U$5=FALSE,$U$4=FALSE),"-",VLOOKUP($E564,'Status Thresholds'!$E:$AU,43,FALSE)),"-")</f>
        <v>-</v>
      </c>
    </row>
    <row r="565" spans="1:12" hidden="1" x14ac:dyDescent="0.25">
      <c r="A565" s="35"/>
      <c r="B565" s="64" t="str">
        <f>IF('Status Thresholds'!A560=0, "", 'Status Thresholds'!A560)</f>
        <v>Deviant</v>
      </c>
      <c r="C565" s="64" t="str">
        <f>IF('Status Thresholds'!B560=0, "", 'Status Thresholds'!B560)</f>
        <v>Nightcloak Malfestio</v>
      </c>
      <c r="D565" s="33" t="s">
        <v>34</v>
      </c>
      <c r="E565" s="36" t="str">
        <f t="shared" si="8"/>
        <v>Nightcloak MalfestioMount</v>
      </c>
      <c r="F565" s="36" t="str">
        <f>IFERROR(
ROUNDUP(
IF(AND($U$5=FALSE,$U$4=FALSE),"-",IF(AND($U$5=TRUE,$U$4=TRUE),"-",
IF((AND($U$4=TRUE,$U$5=FALSE,$U$6=FALSE,$U$7=FALSE)),VLOOKUP($E565,'Status Thresholds'!$E:$AR,2,FALSE),IF((AND($U$4=TRUE,$U$5=FALSE,$U$6=TRUE,$U$7=FALSE)),VLOOKUP($E565,'Status Thresholds'!$E:$AR,12,FALSE),IF((AND($U$4=TRUE,$U$5=FALSE,$U$6=TRUE,$U$7=TRUE)),VLOOKUP($E565,'Status Thresholds'!$E:$AR,17,FALSE),IF((AND($U$4=TRUE,$U$5=FALSE,$U$6=FALSE,$U$7=TRUE)),VLOOKUP($E565,'Status Thresholds'!$E:$AR,7,FALSE),
IF((AND($U$4=FALSE,$U$5=TRUE,$U$6=FALSE,$U$7=FALSE)),VLOOKUP($E565,'Status Thresholds'!$E:$AR,22,FALSE),IF((AND($U$4=FALSE,$U$5=TRUE,$U$6=TRUE,$U$7=FALSE)),VLOOKUP($E565,'Status Thresholds'!$E:$AR,32,FALSE),IF((AND($U$4=FALSE,$U$5=TRUE,$U$6=TRUE,$U$7=TRUE)),VLOOKUP($E565,'Status Thresholds'!$E:$AR,37,FALSE),IF((AND($U$4=FALSE,$U$5=TRUE,$U$6=FALSE,$U$7=TRUE)),VLOOKUP($E565,'Status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565" s="36" t="str">
        <f>IFERROR(
ROUNDUP(
IF(AND($U$5=FALSE,$U$4=FALSE),"-",IF(AND($U$5=TRUE,$U$4=TRUE),"-",
IF((AND($U$4=TRUE,$U$5=FALSE,$U$6=FALSE,$U$7=FALSE)),VLOOKUP($E564,'Status Thresholds'!$E:$AR,3,FALSE),IF((AND($U$4=TRUE,$U$5=FALSE,$U$6=TRUE,$U$7=FALSE)),VLOOKUP($E564,'Status Thresholds'!$E:$AR,13,FALSE),IF((AND($U$4=TRUE,$U$5=FALSE,$U$6=TRUE,$U$7=TRUE)),VLOOKUP($E564,'Status Thresholds'!$E:$AR,18,FALSE),IF((AND($U$4=TRUE,$U$5=FALSE,$U$6=FALSE,$U$7=TRUE)),VLOOKUP($E564,'Status Thresholds'!$E:$AR,8,FALSE),
IF((AND($U$4=FALSE,$U$5=TRUE,$U$6=FALSE,$U$7=FALSE)),VLOOKUP($E564,'Status Thresholds'!$E:$AR,23,FALSE),IF((AND($U$4=FALSE,$U$5=TRUE,$U$6=TRUE,$U$7=FALSE)),VLOOKUP($E564,'Status Thresholds'!$E:$AR,33,FALSE),IF((AND($U$4=FALSE,$U$5=TRUE,$U$6=TRUE,$U$7=TRUE)),VLOOKUP($E564,'Status Thresholds'!$E:$AR,38,FALSE),IF((AND($U$4=FALSE,$U$5=TRUE,$U$6=FALSE,$U$7=TRUE)),VLOOKUP($E564,'Status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565" s="36" t="str">
        <f>IFERROR(
ROUNDUP(
IF(AND($U$5=FALSE,$U$4=FALSE),"-",IF(AND($U$5=TRUE,$U$4=TRUE),"-",
IF((AND($U$4=TRUE,$U$5=FALSE,$U$6=FALSE,$U$7=FALSE)),VLOOKUP($E564,'Status Thresholds'!$E:$AR,4,FALSE),IF((AND($U$4=TRUE,$U$5=FALSE,$U$6=TRUE,$U$7=FALSE)),VLOOKUP($E564,'Status Thresholds'!$E:$AR,14,FALSE),IF((AND($U$4=TRUE,$U$5=FALSE,$U$6=TRUE,$U$7=TRUE)),VLOOKUP($E564,'Status Thresholds'!$E:$AR,19,FALSE),IF((AND($U$4=TRUE,$U$5=FALSE,$U$6=FALSE,$U$7=TRUE)),VLOOKUP($E564,'Status Thresholds'!$E:$AR,9,FALSE),
IF((AND($U$4=FALSE,$U$5=TRUE,$U$6=FALSE,$U$7=FALSE)),VLOOKUP($E564,'Status Thresholds'!$E:$AR,24,FALSE),IF((AND($U$4=FALSE,$U$5=TRUE,$U$6=TRUE,$U$7=FALSE)),VLOOKUP($E564,'Status Thresholds'!$E:$AR,34,FALSE),IF((AND($U$4=FALSE,$U$5=TRUE,$U$6=TRUE,$U$7=TRUE)),VLOOKUP($E564,'Status Thresholds'!$E:$AR,39,FALSE),IF((AND($U$4=FALSE,$U$5=TRUE,$U$6=FALSE,$U$7=TRUE)),VLOOKUP($E564,'Status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565" s="36" t="str">
        <f>IFERROR(
ROUNDUP(
IF(AND($U$5=FALSE,$U$4=FALSE),"-",IF(AND($U$5=TRUE,$U$4=TRUE),"-",
IF((AND($U$4=TRUE,$U$5=FALSE,$U$6=FALSE,$U$7=FALSE)),VLOOKUP($E564,'Status Thresholds'!$E:$AR,5,FALSE),IF((AND($U$4=TRUE,$U$5=FALSE,$U$6=TRUE,$U$7=FALSE)),VLOOKUP($E564,'Status Thresholds'!$E:$AR,15,FALSE),IF((AND($U$4=TRUE,$U$5=FALSE,$U$6=TRUE,$U$7=TRUE)),VLOOKUP($E564,'Status Thresholds'!$E:$AR,20,FALSE),IF((AND($U$4=TRUE,$U$5=FALSE,$U$6=FALSE,$U$7=TRUE)),VLOOKUP($E564,'Status Thresholds'!$E:$AR,10,FALSE),
IF((AND($U$4=FALSE,$U$5=TRUE,$U$6=FALSE,$U$7=FALSE)),VLOOKUP($E564,'Status Thresholds'!$E:$AR,25,FALSE),IF((AND($U$4=FALSE,$U$5=TRUE,$U$6=TRUE,$U$7=FALSE)),VLOOKUP($E564,'Status Thresholds'!$E:$AR,35,FALSE),IF((AND($U$4=FALSE,$U$5=TRUE,$U$6=TRUE,$U$7=TRUE)),VLOOKUP($E564,'Status Thresholds'!$E:$AR,40,FALSE),IF((AND($U$4=FALSE,$U$5=TRUE,$U$6=FALSE,$U$7=TRUE)),VLOOKUP($E564,'Status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565" s="46">
        <f>IFERROR(IF(AND($U$5=FALSE,$U$4=FALSE),"-",VLOOKUP($E565,'Status Thresholds'!$E:$AU,41,FALSE)),"-")</f>
        <v>0</v>
      </c>
      <c r="K565" s="46" t="str">
        <f>IFERROR(IF(AND($U$5=FALSE,$U$4=FALSE),"-",VLOOKUP($E565,'Status Thresholds'!$E:$AU,42,FALSE)),"-")</f>
        <v>-</v>
      </c>
      <c r="L565" s="46" t="str">
        <f>IFERROR(IF(AND($U$5=FALSE,$U$4=FALSE),"-",VLOOKUP($E565,'Status Thresholds'!$E:$AU,43,FALSE)),"-")</f>
        <v>-</v>
      </c>
    </row>
    <row r="566" spans="1:12" ht="15" hidden="1" customHeight="1" x14ac:dyDescent="0.25">
      <c r="A566" s="35"/>
      <c r="B566" s="64" t="str">
        <f>IF('Status Thresholds'!A561=0, "", 'Status Thresholds'!A561)</f>
        <v>Deviant</v>
      </c>
      <c r="C566" s="64" t="str">
        <f>IF('Status Thresholds'!B561=0, "", 'Status Thresholds'!B561)</f>
        <v>Nightcloak Malfestio</v>
      </c>
      <c r="D566" s="77" t="s">
        <v>207</v>
      </c>
      <c r="E566" s="36" t="str">
        <f t="shared" si="8"/>
        <v>Nightcloak MalfestioShock Trap</v>
      </c>
      <c r="F566" s="76" t="s">
        <v>214</v>
      </c>
      <c r="G566" s="46" t="s">
        <v>214</v>
      </c>
      <c r="H566" s="46" t="s">
        <v>214</v>
      </c>
      <c r="I566" s="46" t="s">
        <v>214</v>
      </c>
      <c r="J566" s="46">
        <f>IFERROR(IF(AND($U$5=FALSE,$U$4=FALSE),"-",VLOOKUP($E566,'Status Thresholds'!$E:$AU,43,FALSE)),"-")</f>
        <v>0</v>
      </c>
      <c r="K566" s="46">
        <f>IFERROR(IF(AND($U$5=FALSE,$U$4=FALSE),"-",VLOOKUP($E566,'Status Thresholds'!$E:$AU,41,FALSE)),"-")</f>
        <v>0</v>
      </c>
      <c r="L566" s="46">
        <f>IFERROR(IF(AND($U$5=FALSE,$U$4=FALSE),"-",VLOOKUP($E566,'Status Thresholds'!$E:$AU,42,FALSE)),"-")</f>
        <v>0</v>
      </c>
    </row>
    <row r="567" spans="1:12" hidden="1" x14ac:dyDescent="0.25">
      <c r="A567" s="35"/>
      <c r="B567" s="64" t="str">
        <f>IF('Status Thresholds'!A562=0, "", 'Status Thresholds'!A562)</f>
        <v>Deviant</v>
      </c>
      <c r="C567" s="64" t="str">
        <f>IF('Status Thresholds'!B562=0, "", 'Status Thresholds'!B562)</f>
        <v>Nightcloak Malfestio</v>
      </c>
      <c r="D567" s="77" t="s">
        <v>213</v>
      </c>
      <c r="E567" s="36" t="str">
        <f t="shared" si="8"/>
        <v>Nightcloak MalfestioPitfall Trap</v>
      </c>
      <c r="F567" s="46" t="s">
        <v>214</v>
      </c>
      <c r="G567" s="46" t="s">
        <v>214</v>
      </c>
      <c r="H567" s="46" t="s">
        <v>214</v>
      </c>
      <c r="I567" s="46" t="s">
        <v>214</v>
      </c>
      <c r="J567" s="46">
        <f>IFERROR(IF(AND($U$5=FALSE,$U$4=FALSE),"-",VLOOKUP($E567,'Status Thresholds'!$E:$AU,43,FALSE)),"-")</f>
        <v>0</v>
      </c>
      <c r="K567" s="46">
        <f>IFERROR(IF(AND($U$5=FALSE,$U$4=FALSE),"-",VLOOKUP($E567,'Status Thresholds'!$E:$AU,41,FALSE)),"-")</f>
        <v>0</v>
      </c>
      <c r="L567" s="46">
        <f>IFERROR(IF(AND($U$5=FALSE,$U$4=FALSE),"-",VLOOKUP($E567,'Status Thresholds'!$E:$AU,42,FALSE)),"-")</f>
        <v>0</v>
      </c>
    </row>
    <row r="568" spans="1:12" s="36" customFormat="1" x14ac:dyDescent="0.25">
      <c r="A568" s="64"/>
      <c r="B568" s="64" t="str">
        <f>VLOOKUP(C568,'Status Thresholds'!B:C,2,FALSE)</f>
        <v>MHGen</v>
      </c>
      <c r="C568" s="64" t="str">
        <f>IF('Status Thresholds'!B563=0, "", 'Status Thresholds'!B563)</f>
        <v>Plesioth</v>
      </c>
      <c r="D568" s="37" t="s">
        <v>0</v>
      </c>
      <c r="E568" s="36" t="str">
        <f t="shared" si="8"/>
        <v>PlesiothPara</v>
      </c>
      <c r="F568" s="36" t="str">
        <f>IFERROR(
ROUNDUP(
IF(AND($U$5=FALSE,$U$4=FALSE),"-",IF(AND($U$5=TRUE,$U$4=TRUE),"-",
IF((AND($U$4=TRUE,$U$5=FALSE,$U$6=FALSE,$U$7=FALSE)),VLOOKUP($E568,'Status Thresholds'!$E:$AR,2,FALSE),IF((AND($U$4=TRUE,$U$5=FALSE,$U$6=TRUE,$U$7=FALSE)),VLOOKUP($E568,'Status Thresholds'!$E:$AR,12,FALSE),IF((AND($U$4=TRUE,$U$5=FALSE,$U$6=TRUE,$U$7=TRUE)),VLOOKUP($E568,'Status Thresholds'!$E:$AR,17,FALSE),IF((AND($U$4=TRUE,$U$5=FALSE,$U$6=FALSE,$U$7=TRUE)),VLOOKUP($E568,'Status Thresholds'!$E:$AR,7,FALSE),
IF((AND($U$4=FALSE,$U$5=TRUE,$U$6=FALSE,$U$7=FALSE)),VLOOKUP($E568,'Status Thresholds'!$E:$AR,22,FALSE),IF((AND($U$4=FALSE,$U$5=TRUE,$U$6=TRUE,$U$7=FALSE)),VLOOKUP($E568,'Status Thresholds'!$E:$AR,32,FALSE),IF((AND($U$4=FALSE,$U$5=TRUE,$U$6=TRUE,$U$7=TRUE)),VLOOKUP($E568,'Status Thresholds'!$E:$AR,37,FALSE),IF((AND($U$4=FALSE,$U$5=TRUE,$U$6=FALSE,$U$7=TRUE)),VLOOKUP($E568,'Status Thresholds'!$E:$AR,27,FALSE)))))))))
))/
IF(OR($X$5=TRUE,$AC$3=TRUE
),($F$3/2), IF(OR($X$2,$X$3,$X$4,$X$6,$X$7,$X$8,$Z$2,$Z$3,$Z$4,$Z$5,$Z$6,$Z$7,$Z$8)=TRUE,$F$3)),0),"-")</f>
        <v>-</v>
      </c>
      <c r="G568" s="36" t="str">
        <f>IFERROR(
ROUNDUP(
IF(AND($U$5=FALSE,$U$4=FALSE),"-",IF(AND($U$5=TRUE,$U$4=TRUE),"-",
IF((AND($U$4=TRUE,$U$5=FALSE,$U$6=FALSE,$U$7=FALSE)),VLOOKUP($E568,'Status Thresholds'!$E:$AR,3,FALSE),IF((AND($U$4=TRUE,$U$5=FALSE,$U$6=TRUE,$U$7=FALSE)),VLOOKUP($E568,'Status Thresholds'!$E:$AR,13,FALSE),IF((AND($U$4=TRUE,$U$5=FALSE,$U$6=TRUE,$U$7=TRUE)),VLOOKUP($E568,'Status Thresholds'!$E:$AR,18,FALSE),IF((AND($U$4=TRUE,$U$5=FALSE,$U$6=FALSE,$U$7=TRUE)),VLOOKUP($E568,'Status Thresholds'!$E:$AR,8,FALSE),
IF((AND($U$4=FALSE,$U$5=TRUE,$U$6=FALSE,$U$7=FALSE)),VLOOKUP($E568,'Status Thresholds'!$E:$AR,23,FALSE),IF((AND($U$4=FALSE,$U$5=TRUE,$U$6=TRUE,$U$7=FALSE)),VLOOKUP($E568,'Status Thresholds'!$E:$AR,33,FALSE),IF((AND($U$4=FALSE,$U$5=TRUE,$U$6=TRUE,$U$7=TRUE)),VLOOKUP($E568,'Status Thresholds'!$E:$AR,38,FALSE),IF((AND($U$4=FALSE,$U$5=TRUE,$U$6=FALSE,$U$7=TRUE)),VLOOKUP($E568,'Status Thresholds'!$E:$AR,28,FALSE)))))))))
))/
IF(OR($X$5=TRUE,$AC$3=TRUE
),($F$3/2), IF(OR($X$2,$X$3,$X$4,$X$6,$X$7,$X$8,$Z$2,$Z$3,$Z$4,$Z$5,$Z$6,$Z$7,$Z$8)=TRUE,$F$3)),0),"-")</f>
        <v>-</v>
      </c>
      <c r="H568" s="36" t="str">
        <f>IFERROR(
ROUNDUP(
IF(AND($U$5=FALSE,$U$4=FALSE),"-",IF(AND($U$5=TRUE,$U$4=TRUE),"-",
IF((AND($U$4=TRUE,$U$5=FALSE,$U$6=FALSE,$U$7=FALSE)),VLOOKUP($E568,'Status Thresholds'!$E:$AR,4,FALSE),IF((AND($U$4=TRUE,$U$5=FALSE,$U$6=TRUE,$U$7=FALSE)),VLOOKUP($E568,'Status Thresholds'!$E:$AR,14,FALSE),IF((AND($U$4=TRUE,$U$5=FALSE,$U$6=TRUE,$U$7=TRUE)),VLOOKUP($E568,'Status Thresholds'!$E:$AR,19,FALSE),IF((AND($U$4=TRUE,$U$5=FALSE,$U$6=FALSE,$U$7=TRUE)),VLOOKUP($E568,'Status Thresholds'!$E:$AR,9,FALSE),
IF((AND($U$4=FALSE,$U$5=TRUE,$U$6=FALSE,$U$7=FALSE)),VLOOKUP($E568,'Status Thresholds'!$E:$AR,24,FALSE),IF((AND($U$4=FALSE,$U$5=TRUE,$U$6=TRUE,$U$7=FALSE)),VLOOKUP($E568,'Status Thresholds'!$E:$AR,34,FALSE),IF((AND($U$4=FALSE,$U$5=TRUE,$U$6=TRUE,$U$7=TRUE)),VLOOKUP($E568,'Status Thresholds'!$E:$AR,39,FALSE),IF((AND($U$4=FALSE,$U$5=TRUE,$U$6=FALSE,$U$7=TRUE)),VLOOKUP($E568,'Status Thresholds'!$E:$AR,29,FALSE)))))))))
))/
IF(OR($X$5=TRUE,$AC$3=TRUE
),($F$3/2), IF(OR($X$2,$X$3,$X$4,$X$6,$X$7,$X$8,$Z$2,$Z$3,$Z$4,$Z$5,$Z$6,$Z$7,$Z$8)=TRUE,$F$3)),0),"-")</f>
        <v>-</v>
      </c>
      <c r="I568" s="36" t="str">
        <f>IFERROR(
ROUNDUP(
IF(AND($U$5=FALSE,$U$4=FALSE),"-",IF(AND($U$5=TRUE,$U$4=TRUE),"-",
IF((AND($U$4=TRUE,$U$5=FALSE,$U$6=FALSE,$U$7=FALSE)),VLOOKUP($E568,'Status Thresholds'!$E:$AR,5,FALSE),IF((AND($U$4=TRUE,$U$5=FALSE,$U$6=TRUE,$U$7=FALSE)),VLOOKUP($E568,'Status Thresholds'!$E:$AR,15,FALSE),IF((AND($U$4=TRUE,$U$5=FALSE,$U$6=TRUE,$U$7=TRUE)),VLOOKUP($E568,'Status Thresholds'!$E:$AR,20,FALSE),IF((AND($U$4=TRUE,$U$5=FALSE,$U$6=FALSE,$U$7=TRUE)),VLOOKUP($E568,'Status Thresholds'!$E:$AR,10,FALSE),
IF((AND($U$4=FALSE,$U$5=TRUE,$U$6=FALSE,$U$7=FALSE)),VLOOKUP($E568,'Status Thresholds'!$E:$AR,25,FALSE),IF((AND($U$4=FALSE,$U$5=TRUE,$U$6=TRUE,$U$7=FALSE)),VLOOKUP($E568,'Status Thresholds'!$E:$AR,35,FALSE),IF((AND($U$4=FALSE,$U$5=TRUE,$U$6=TRUE,$U$7=TRUE)),VLOOKUP($E568,'Status Thresholds'!$E:$AR,40,FALSE),IF((AND($U$4=FALSE,$U$5=TRUE,$U$6=FALSE,$U$7=TRUE)),VLOOKUP($E568,'Status Thresholds'!$E:$AR,30,FALSE)))))))))
))/
IF(OR($X$5=TRUE,$AC$3=TRUE
),($F$3/2), IF(OR($X$2,$X$3,$X$4,$X$6,$X$7,$X$8,$Z$2,$Z$3,$Z$4,$Z$5,$Z$6,$Z$7,$Z$8)=TRUE,$F$3)),0),"-")</f>
        <v>-</v>
      </c>
      <c r="J568" s="36">
        <f>IFERROR(IF(AND($U$5=FALSE,$U$4=FALSE),"-",VLOOKUP($E568,'Status Thresholds'!$E:$AU,41,FALSE)),"-")</f>
        <v>10</v>
      </c>
      <c r="K568" s="36" t="str">
        <f>IFERROR(IF(AND($U$5=FALSE,$U$4=FALSE),"-",VLOOKUP($E568,'Status Thresholds'!$E:$AU,42,FALSE)),"-")</f>
        <v>-</v>
      </c>
      <c r="L568" s="36" t="str">
        <f>IFERROR(IF(AND($U$5=FALSE,$U$4=FALSE),"-",VLOOKUP($E568,'Status Thresholds'!$E:$AU,43,FALSE)),"-")</f>
        <v>-</v>
      </c>
    </row>
    <row r="569" spans="1:12" x14ac:dyDescent="0.25">
      <c r="A569" s="35"/>
      <c r="B569" s="64" t="str">
        <f>VLOOKUP(C569,'Status Thresholds'!B:C,2,FALSE)</f>
        <v>MHGen</v>
      </c>
      <c r="C569" s="64" t="str">
        <f>IF('Status Thresholds'!B564=0, "", 'Status Thresholds'!B564)</f>
        <v>Plesioth</v>
      </c>
      <c r="D569" s="31" t="s">
        <v>32</v>
      </c>
      <c r="E569" s="36" t="str">
        <f t="shared" si="8"/>
        <v>PlesiothSleep</v>
      </c>
      <c r="F569" s="36" t="str">
        <f>IFERROR(
ROUNDUP(
IF(AND($U$5=FALSE,$U$4=FALSE),"-",IF(AND($U$5=TRUE,$U$4=TRUE),"-",
IF((AND($U$4=TRUE,$U$5=FALSE,$U$6=FALSE,$U$7=FALSE)),VLOOKUP($E569,'Status Thresholds'!$E:$AR,2,FALSE),IF((AND($U$4=TRUE,$U$5=FALSE,$U$6=TRUE,$U$7=FALSE)),VLOOKUP($E569,'Status Thresholds'!$E:$AR,12,FALSE),IF((AND($U$4=TRUE,$U$5=FALSE,$U$6=TRUE,$U$7=TRUE)),VLOOKUP($E569,'Status Thresholds'!$E:$AR,17,FALSE),IF((AND($U$4=TRUE,$U$5=FALSE,$U$6=FALSE,$U$7=TRUE)),VLOOKUP($E569,'Status Thresholds'!$E:$AR,7,FALSE),
IF((AND($U$4=FALSE,$U$5=TRUE,$U$6=FALSE,$U$7=FALSE)),VLOOKUP($E569,'Status Thresholds'!$E:$AR,22,FALSE),IF((AND($U$4=FALSE,$U$5=TRUE,$U$6=TRUE,$U$7=FALSE)),VLOOKUP($E569,'Status Thresholds'!$E:$AR,32,FALSE),IF((AND($U$4=FALSE,$U$5=TRUE,$U$6=TRUE,$U$7=TRUE)),VLOOKUP($E569,'Status Thresholds'!$E:$AR,37,FALSE),IF((AND($U$4=FALSE,$U$5=TRUE,$U$6=FALSE,$U$7=TRUE)),VLOOKUP($E569,'Status Thresholds'!$E:$AR,27,FALSE)))))))))
))/
IF(OR($X$5=TRUE,$AC$3=TRUE
),($F$4/2), IF(OR($X$2,$X$3,$X$4,$X$6,$X$7,$X$8,$Z$2,$Z$3,$Z$4,$Z$5,$Z$6,$Z$7,$Z$8)=TRUE,$F$4)),0),"-")</f>
        <v>-</v>
      </c>
      <c r="G569" s="36" t="str">
        <f>IFERROR(
ROUNDUP(
IF(AND($U$5=FALSE,$U$4=FALSE),"-",IF(AND($U$5=TRUE,$U$4=TRUE),"-",
IF((AND($U$4=TRUE,$U$5=FALSE,$U$6=FALSE,$U$7=FALSE)),VLOOKUP($E569,'Status Thresholds'!$E:$AR,3,FALSE),IF((AND($U$4=TRUE,$U$5=FALSE,$U$6=TRUE,$U$7=FALSE)),VLOOKUP($E569,'Status Thresholds'!$E:$AR,13,FALSE),IF((AND($U$4=TRUE,$U$5=FALSE,$U$6=TRUE,$U$7=TRUE)),VLOOKUP($E569,'Status Thresholds'!$E:$AR,18,FALSE),IF((AND($U$4=TRUE,$U$5=FALSE,$U$6=FALSE,$U$7=TRUE)),VLOOKUP($E569,'Status Thresholds'!$E:$AR,8,FALSE),
IF((AND($U$4=FALSE,$U$5=TRUE,$U$6=FALSE,$U$7=FALSE)),VLOOKUP($E569,'Status Thresholds'!$E:$AR,23,FALSE),IF((AND($U$4=FALSE,$U$5=TRUE,$U$6=TRUE,$U$7=FALSE)),VLOOKUP($E569,'Status Thresholds'!$E:$AR,33,FALSE),IF((AND($U$4=FALSE,$U$5=TRUE,$U$6=TRUE,$U$7=TRUE)),VLOOKUP($E569,'Status Thresholds'!$E:$AR,38,FALSE),IF((AND($U$4=FALSE,$U$5=TRUE,$U$6=FALSE,$U$7=TRUE)),VLOOKUP($E569,'Status Thresholds'!$E:$AR,28,FALSE)))))))))
))/
IF(OR($X$5=TRUE,$AC$3=TRUE
),($F$4/2), IF(OR($X$2,$X$3,$X$4,$X$6,$X$7,$X$8,$Z$2,$Z$3,$Z$4,$Z$5,$Z$6,$Z$7,$Z$8)=TRUE,$F$4)),0),"-")</f>
        <v>-</v>
      </c>
      <c r="H569" s="36" t="str">
        <f>IFERROR(
ROUNDUP(
IF(AND($U$5=FALSE,$U$4=FALSE),"-",IF(AND($U$5=TRUE,$U$4=TRUE),"-",
IF((AND($U$4=TRUE,$U$5=FALSE,$U$6=FALSE,$U$7=FALSE)),VLOOKUP($E569,'Status Thresholds'!$E:$AR,4,FALSE),IF((AND($U$4=TRUE,$U$5=FALSE,$U$6=TRUE,$U$7=FALSE)),VLOOKUP($E569,'Status Thresholds'!$E:$AR,14,FALSE),IF((AND($U$4=TRUE,$U$5=FALSE,$U$6=TRUE,$U$7=TRUE)),VLOOKUP($E569,'Status Thresholds'!$E:$AR,19,FALSE),IF((AND($U$4=TRUE,$U$5=FALSE,$U$6=FALSE,$U$7=TRUE)),VLOOKUP($E569,'Status Thresholds'!$E:$AR,9,FALSE),
IF((AND($U$4=FALSE,$U$5=TRUE,$U$6=FALSE,$U$7=FALSE)),VLOOKUP($E569,'Status Thresholds'!$E:$AR,24,FALSE),IF((AND($U$4=FALSE,$U$5=TRUE,$U$6=TRUE,$U$7=FALSE)),VLOOKUP($E569,'Status Thresholds'!$E:$AR,34,FALSE),IF((AND($U$4=FALSE,$U$5=TRUE,$U$6=TRUE,$U$7=TRUE)),VLOOKUP($E569,'Status Thresholds'!$E:$AR,39,FALSE),IF((AND($U$4=FALSE,$U$5=TRUE,$U$6=FALSE,$U$7=TRUE)),VLOOKUP($E569,'Status Thresholds'!$E:$AR,29,FALSE)))))))))
))/
IF(OR($X$5=TRUE,$AC$3=TRUE
),($F$4/2), IF(OR($X$2,$X$3,$X$4,$X$6,$X$7,$X$8,$Z$2,$Z$3,$Z$4,$Z$5,$Z$6,$Z$7,$Z$8)=TRUE,$F$4)),0),"-")</f>
        <v>-</v>
      </c>
      <c r="I569" s="36" t="str">
        <f>IFERROR(
ROUNDUP(
IF(AND($U$5=FALSE,$U$4=FALSE),"-",IF(AND($U$5=TRUE,$U$4=TRUE),"-",
IF((AND($U$4=TRUE,$U$5=FALSE,$U$6=FALSE,$U$7=FALSE)),VLOOKUP($E569,'Status Thresholds'!$E:$AR,5,FALSE),IF((AND($U$4=TRUE,$U$5=FALSE,$U$6=TRUE,$U$7=FALSE)),VLOOKUP($E569,'Status Thresholds'!$E:$AR,15,FALSE),IF((AND($U$4=TRUE,$U$5=FALSE,$U$6=TRUE,$U$7=TRUE)),VLOOKUP($E569,'Status Thresholds'!$E:$AR,20,FALSE),IF((AND($U$4=TRUE,$U$5=FALSE,$U$6=FALSE,$U$7=TRUE)),VLOOKUP($E569,'Status Thresholds'!$E:$AR,10,FALSE),
IF((AND($U$4=FALSE,$U$5=TRUE,$U$6=FALSE,$U$7=FALSE)),VLOOKUP($E569,'Status Thresholds'!$E:$AR,25,FALSE),IF((AND($U$4=FALSE,$U$5=TRUE,$U$6=TRUE,$U$7=FALSE)),VLOOKUP($E569,'Status Thresholds'!$E:$AR,35,FALSE),IF((AND($U$4=FALSE,$U$5=TRUE,$U$6=TRUE,$U$7=TRUE)),VLOOKUP($E569,'Status Thresholds'!$E:$AR,40,FALSE),IF((AND($U$4=FALSE,$U$5=TRUE,$U$6=FALSE,$U$7=TRUE)),VLOOKUP($E569,'Status Thresholds'!$E:$AR,30,FALSE)))))))))
))/
IF(OR($X$5=TRUE,$AC$3=TRUE
),($F$4/2), IF(OR($X$2,$X$3,$X$4,$X$6,$X$7,$X$8,$Z$2,$Z$3,$Z$4,$Z$5,$Z$6,$Z$7,$Z$8)=TRUE,$F$4)),0),"-")</f>
        <v>-</v>
      </c>
      <c r="J569" s="46">
        <f>IFERROR(IF(AND($U$5=FALSE,$U$4=FALSE),"-",VLOOKUP($E569,'Status Thresholds'!$E:$AU,41,FALSE)),"-")</f>
        <v>30</v>
      </c>
      <c r="K569" s="46" t="str">
        <f>IFERROR(IF(AND($U$5=FALSE,$U$4=FALSE),"-",VLOOKUP($E569,'Status Thresholds'!$E:$AU,42,FALSE)),"-")</f>
        <v>-</v>
      </c>
      <c r="L569" s="46" t="str">
        <f>IFERROR(IF(AND($U$5=FALSE,$U$4=FALSE),"-",VLOOKUP($E569,'Status Thresholds'!$E:$AU,43,FALSE)),"-")</f>
        <v>-</v>
      </c>
    </row>
    <row r="570" spans="1:12" x14ac:dyDescent="0.25">
      <c r="A570" s="35"/>
      <c r="B570" s="64" t="str">
        <f>VLOOKUP(C570,'Status Thresholds'!B:C,2,FALSE)</f>
        <v>MHGen</v>
      </c>
      <c r="C570" s="64" t="str">
        <f>IF('Status Thresholds'!B565=0, "", 'Status Thresholds'!B565)</f>
        <v>Plesioth</v>
      </c>
      <c r="D570" s="32" t="s">
        <v>33</v>
      </c>
      <c r="E570" s="36" t="str">
        <f t="shared" si="8"/>
        <v>PlesiothPoison</v>
      </c>
      <c r="F570" s="36" t="str">
        <f>IFERROR(
ROUNDUP(
IF(AND($U$5=FALSE,$U$4=FALSE),"-",IF(AND($U$5=TRUE,$U$4=TRUE),"-",
IF((AND($U$4=TRUE,$U$5=FALSE,$U$6=FALSE,$U$7=FALSE)),VLOOKUP($E570,'Status Thresholds'!$E:$AR,2,FALSE),IF((AND($U$4=TRUE,$U$5=FALSE,$U$6=TRUE,$U$7=FALSE)),VLOOKUP($E570,'Status Thresholds'!$E:$AR,12,FALSE),IF((AND($U$4=TRUE,$U$5=FALSE,$U$6=TRUE,$U$7=TRUE)),VLOOKUP($E570,'Status Thresholds'!$E:$AR,17,FALSE),IF((AND($U$4=TRUE,$U$5=FALSE,$U$6=FALSE,$U$7=TRUE)),VLOOKUP($E570,'Status Thresholds'!$E:$AR,7,FALSE),
IF((AND($U$4=FALSE,$U$5=TRUE,$U$6=FALSE,$U$7=FALSE)),VLOOKUP($E570,'Status Thresholds'!$E:$AR,22,FALSE),IF((AND($U$4=FALSE,$U$5=TRUE,$U$6=TRUE,$U$7=FALSE)),VLOOKUP($E570,'Status Thresholds'!$E:$AR,32,FALSE),IF((AND($U$4=FALSE,$U$5=TRUE,$U$6=TRUE,$U$7=TRUE)),VLOOKUP($E570,'Status Thresholds'!$E:$AR,37,FALSE),IF((AND($U$4=FALSE,$U$5=TRUE,$U$6=FALSE,$U$7=TRUE)),VLOOKUP($E570,'Status Thresholds'!$E:$AR,27,FALSE)))))))))
))/
IF(OR($X$5=TRUE,$AC$3=TRUE
),($F$5/2), IF(OR($X$2,$X$3,$X$4,$X$6,$X$7,$X$8,$Z$2,$Z$3,$Z$4,$Z$5,$Z$6,$Z$7,$Z$8)=TRUE,$F$5)),0),"-")</f>
        <v>-</v>
      </c>
      <c r="G570" s="36" t="str">
        <f>IFERROR(
ROUNDUP(
IF(AND($U$5=FALSE,$U$4=FALSE),"-",IF(AND($U$5=TRUE,$U$4=TRUE),"-",
IF((AND($U$4=TRUE,$U$5=FALSE,$U$6=FALSE,$U$7=FALSE)),VLOOKUP($E570,'Status Thresholds'!$E:$AR,3,FALSE),IF((AND($U$4=TRUE,$U$5=FALSE,$U$6=TRUE,$U$7=FALSE)),VLOOKUP($E570,'Status Thresholds'!$E:$AR,13,FALSE),IF((AND($U$4=TRUE,$U$5=FALSE,$U$6=TRUE,$U$7=TRUE)),VLOOKUP($E570,'Status Thresholds'!$E:$AR,18,FALSE),IF((AND($U$4=TRUE,$U$5=FALSE,$U$6=FALSE,$U$7=TRUE)),VLOOKUP($E570,'Status Thresholds'!$E:$AR,8,FALSE),
IF((AND($U$4=FALSE,$U$5=TRUE,$U$6=FALSE,$U$7=FALSE)),VLOOKUP($E570,'Status Thresholds'!$E:$AR,23,FALSE),IF((AND($U$4=FALSE,$U$5=TRUE,$U$6=TRUE,$U$7=FALSE)),VLOOKUP($E570,'Status Thresholds'!$E:$AR,33,FALSE),IF((AND($U$4=FALSE,$U$5=TRUE,$U$6=TRUE,$U$7=TRUE)),VLOOKUP($E570,'Status Thresholds'!$E:$AR,38,FALSE),IF((AND($U$4=FALSE,$U$5=TRUE,$U$6=FALSE,$U$7=TRUE)),VLOOKUP($E570,'Status Thresholds'!$E:$AR,28,FALSE)))))))))
))/
IF(OR($X$5=TRUE,$AC$3=TRUE
),($F$5/2), IF(OR($X$2,$X$3,$X$4,$X$6,$X$7,$X$8,$Z$2,$Z$3,$Z$4,$Z$5,$Z$6,$Z$7,$Z$8)=TRUE,$F$5)),0),"-")</f>
        <v>-</v>
      </c>
      <c r="H570" s="36" t="str">
        <f>IFERROR(
ROUNDUP(
IF(AND($U$5=FALSE,$U$4=FALSE),"-",IF(AND($U$5=TRUE,$U$4=TRUE),"-",
IF((AND($U$4=TRUE,$U$5=FALSE,$U$6=FALSE,$U$7=FALSE)),VLOOKUP($E570,'Status Thresholds'!$E:$AR,4,FALSE),IF((AND($U$4=TRUE,$U$5=FALSE,$U$6=TRUE,$U$7=FALSE)),VLOOKUP($E570,'Status Thresholds'!$E:$AR,14,FALSE),IF((AND($U$4=TRUE,$U$5=FALSE,$U$6=TRUE,$U$7=TRUE)),VLOOKUP($E570,'Status Thresholds'!$E:$AR,19,FALSE),IF((AND($U$4=TRUE,$U$5=FALSE,$U$6=FALSE,$U$7=TRUE)),VLOOKUP($E570,'Status Thresholds'!$E:$AR,9,FALSE),
IF((AND($U$4=FALSE,$U$5=TRUE,$U$6=FALSE,$U$7=FALSE)),VLOOKUP($E570,'Status Thresholds'!$E:$AR,24,FALSE),IF((AND($U$4=FALSE,$U$5=TRUE,$U$6=TRUE,$U$7=FALSE)),VLOOKUP($E570,'Status Thresholds'!$E:$AR,34,FALSE),IF((AND($U$4=FALSE,$U$5=TRUE,$U$6=TRUE,$U$7=TRUE)),VLOOKUP($E570,'Status Thresholds'!$E:$AR,39,FALSE),IF((AND($U$4=FALSE,$U$5=TRUE,$U$6=FALSE,$U$7=TRUE)),VLOOKUP($E570,'Status Thresholds'!$E:$AR,29,FALSE)))))))))
))/
IF(OR($X$5=TRUE,$AC$3=TRUE
),($F$5/2), IF(OR($X$2,$X$3,$X$4,$X$6,$X$7,$X$8,$Z$2,$Z$3,$Z$4,$Z$5,$Z$6,$Z$7,$Z$8)=TRUE,$F$5)),0),"-")</f>
        <v>-</v>
      </c>
      <c r="I570" s="36" t="str">
        <f>IFERROR(
ROUNDUP(
IF(AND($U$5=FALSE,$U$4=FALSE),"-",IF(AND($U$5=TRUE,$U$4=TRUE),"-",
IF((AND($U$4=TRUE,$U$5=FALSE,$U$6=FALSE,$U$7=FALSE)),VLOOKUP($E570,'Status Thresholds'!$E:$AR,5,FALSE),IF((AND($U$4=TRUE,$U$5=FALSE,$U$6=TRUE,$U$7=FALSE)),VLOOKUP($E570,'Status Thresholds'!$E:$AR,15,FALSE),IF((AND($U$4=TRUE,$U$5=FALSE,$U$6=TRUE,$U$7=TRUE)),VLOOKUP($E570,'Status Thresholds'!$E:$AR,20,FALSE),IF((AND($U$4=TRUE,$U$5=FALSE,$U$6=FALSE,$U$7=TRUE)),VLOOKUP($E570,'Status Thresholds'!$E:$AR,10,FALSE),
IF((AND($U$4=FALSE,$U$5=TRUE,$U$6=FALSE,$U$7=FALSE)),VLOOKUP($E570,'Status Thresholds'!$E:$AR,25,FALSE),IF((AND($U$4=FALSE,$U$5=TRUE,$U$6=TRUE,$U$7=FALSE)),VLOOKUP($E570,'Status Thresholds'!$E:$AR,35,FALSE),IF((AND($U$4=FALSE,$U$5=TRUE,$U$6=TRUE,$U$7=TRUE)),VLOOKUP($E570,'Status Thresholds'!$E:$AR,40,FALSE),IF((AND($U$4=FALSE,$U$5=TRUE,$U$6=FALSE,$U$7=TRUE)),VLOOKUP($E570,'Status Thresholds'!$E:$AR,30,FALSE)))))))))
))/
IF(OR($X$5=TRUE,$AC$3=TRUE
),($F$5/2), IF(OR($X$2,$X$3,$X$4,$X$6,$X$7,$X$8,$Z$2,$Z$3,$Z$4,$Z$5,$Z$6,$Z$7,$Z$8)=TRUE,$F$5)),0),"-")</f>
        <v>-</v>
      </c>
      <c r="J570" s="46">
        <f>IFERROR(IF(AND($U$5=FALSE,$U$4=FALSE),"-",VLOOKUP($E570,'Status Thresholds'!$E:$AU,41,FALSE)),"-")</f>
        <v>30</v>
      </c>
      <c r="K570" s="46" t="str">
        <f>IFERROR(IF(AND($U$5=FALSE,$U$4=FALSE),"-",VLOOKUP($E570,'Status Thresholds'!$E:$AU,42,FALSE)),"-")</f>
        <v>-</v>
      </c>
      <c r="L570" s="46" t="str">
        <f>IFERROR(IF(AND($U$5=FALSE,$U$4=FALSE),"-",VLOOKUP($E570,'Status Thresholds'!$E:$AU,43,FALSE)),"-")</f>
        <v>-</v>
      </c>
    </row>
    <row r="571" spans="1:12" x14ac:dyDescent="0.25">
      <c r="A571" s="35"/>
      <c r="B571" s="64" t="str">
        <f>VLOOKUP(C571,'Status Thresholds'!B:C,2,FALSE)</f>
        <v>MHGen</v>
      </c>
      <c r="C571" s="64" t="str">
        <f>IF('Status Thresholds'!B566=0, "", 'Status Thresholds'!B566)</f>
        <v>Plesioth</v>
      </c>
      <c r="D571" s="10" t="s">
        <v>22</v>
      </c>
      <c r="E571" s="36" t="str">
        <f t="shared" si="8"/>
        <v>PlesiothExhaust</v>
      </c>
      <c r="F571" s="36" t="str">
        <f>IFERROR(
ROUNDUP(
IF(AND($U$5=FALSE,$U$4=FALSE),"-",IF(AND($U$5=TRUE,$U$4=TRUE),"-",
IF((AND($U$4=TRUE,$U$5=FALSE,$U$6=FALSE,$U$7=FALSE)),VLOOKUP($E571,'Status Thresholds'!$E:$AR,2,FALSE),IF((AND($U$4=TRUE,$U$5=FALSE,$U$6=TRUE,$U$7=FALSE)),VLOOKUP($E571,'Status Thresholds'!$E:$AR,12,FALSE),IF((AND($U$4=TRUE,$U$5=FALSE,$U$6=TRUE,$U$7=TRUE)),VLOOKUP($E571,'Status Thresholds'!$E:$AR,17,FALSE),IF((AND($U$4=TRUE,$U$5=FALSE,$U$6=FALSE,$U$7=TRUE)),VLOOKUP($E571,'Status Thresholds'!$E:$AR,7,FALSE),
IF((AND($U$4=FALSE,$U$5=TRUE,$U$6=FALSE,$U$7=FALSE)),VLOOKUP($E571,'Status Thresholds'!$E:$AR,22,FALSE),IF((AND($U$4=FALSE,$U$5=TRUE,$U$6=TRUE,$U$7=FALSE)),VLOOKUP($E571,'Status Thresholds'!$E:$AR,32,FALSE),IF((AND($U$4=FALSE,$U$5=TRUE,$U$6=TRUE,$U$7=TRUE)),VLOOKUP($E571,'Status Thresholds'!$E:$AR,37,FALSE),IF((AND($U$4=FALSE,$U$5=TRUE,$U$6=FALSE,$U$7=TRUE)),VLOOKUP($E571,'Status Thresholds'!$E:$AR,27,FALSE)))))))))
))/
IF(OR($X$5=TRUE,$AC$3=TRUE
),($F$6/2), IF(OR($X$2,$X$3,$X$4,$X$6,$X$7,$X$8,$Z$2,$Z$3,$Z$4,$Z$5,$Z$6,$Z$7,$Z$8)=TRUE,$F$6)),0),"-")</f>
        <v>-</v>
      </c>
      <c r="G571" s="36" t="str">
        <f>IFERROR(
ROUNDUP(
IF(AND($U$5=FALSE,$U$4=FALSE),"-",IF(AND($U$5=TRUE,$U$4=TRUE),"-",
IF((AND($U$4=TRUE,$U$5=FALSE,$U$6=FALSE,$U$7=FALSE)),VLOOKUP($E571,'Status Thresholds'!$E:$AR,3,FALSE),IF((AND($U$4=TRUE,$U$5=FALSE,$U$6=TRUE,$U$7=FALSE)),VLOOKUP($E571,'Status Thresholds'!$E:$AR,13,FALSE),IF((AND($U$4=TRUE,$U$5=FALSE,$U$6=TRUE,$U$7=TRUE)),VLOOKUP($E571,'Status Thresholds'!$E:$AR,18,FALSE),IF((AND($U$4=TRUE,$U$5=FALSE,$U$6=FALSE,$U$7=TRUE)),VLOOKUP($E571,'Status Thresholds'!$E:$AR,8,FALSE),
IF((AND($U$4=FALSE,$U$5=TRUE,$U$6=FALSE,$U$7=FALSE)),VLOOKUP($E571,'Status Thresholds'!$E:$AR,23,FALSE),IF((AND($U$4=FALSE,$U$5=TRUE,$U$6=TRUE,$U$7=FALSE)),VLOOKUP($E571,'Status Thresholds'!$E:$AR,33,FALSE),IF((AND($U$4=FALSE,$U$5=TRUE,$U$6=TRUE,$U$7=TRUE)),VLOOKUP($E571,'Status Thresholds'!$E:$AR,38,FALSE),IF((AND($U$4=FALSE,$U$5=TRUE,$U$6=FALSE,$U$7=TRUE)),VLOOKUP($E571,'Status Thresholds'!$E:$AR,28,FALSE)))))))))
))/
IF(OR($X$5=TRUE,$AC$3=TRUE
),($F$6/2), IF(OR($X$2,$X$3,$X$4,$X$6,$X$7,$X$8,$Z$2,$Z$3,$Z$4,$Z$5,$Z$6,$Z$7,$Z$8)=TRUE,$F$6)),0),"-")</f>
        <v>-</v>
      </c>
      <c r="H571" s="36" t="str">
        <f>IFERROR(
ROUNDUP(
IF(AND($U$5=FALSE,$U$4=FALSE),"-",IF(AND($U$5=TRUE,$U$4=TRUE),"-",
IF((AND($U$4=TRUE,$U$5=FALSE,$U$6=FALSE,$U$7=FALSE)),VLOOKUP($E571,'Status Thresholds'!$E:$AR,4,FALSE),IF((AND($U$4=TRUE,$U$5=FALSE,$U$6=TRUE,$U$7=FALSE)),VLOOKUP($E571,'Status Thresholds'!$E:$AR,14,FALSE),IF((AND($U$4=TRUE,$U$5=FALSE,$U$6=TRUE,$U$7=TRUE)),VLOOKUP($E571,'Status Thresholds'!$E:$AR,19,FALSE),IF((AND($U$4=TRUE,$U$5=FALSE,$U$6=FALSE,$U$7=TRUE)),VLOOKUP($E571,'Status Thresholds'!$E:$AR,9,FALSE),
IF((AND($U$4=FALSE,$U$5=TRUE,$U$6=FALSE,$U$7=FALSE)),VLOOKUP($E571,'Status Thresholds'!$E:$AR,24,FALSE),IF((AND($U$4=FALSE,$U$5=TRUE,$U$6=TRUE,$U$7=FALSE)),VLOOKUP($E571,'Status Thresholds'!$E:$AR,34,FALSE),IF((AND($U$4=FALSE,$U$5=TRUE,$U$6=TRUE,$U$7=TRUE)),VLOOKUP($E571,'Status Thresholds'!$E:$AR,39,FALSE),IF((AND($U$4=FALSE,$U$5=TRUE,$U$6=FALSE,$U$7=TRUE)),VLOOKUP($E571,'Status Thresholds'!$E:$AR,29,FALSE)))))))))
))/
IF(OR($X$5=TRUE,$AC$3=TRUE
),($F$6/2), IF(OR($X$2,$X$3,$X$4,$X$6,$X$7,$X$8,$Z$2,$Z$3,$Z$4,$Z$5,$Z$6,$Z$7,$Z$8)=TRUE,$F$6)),0),"-")</f>
        <v>-</v>
      </c>
      <c r="I571" s="36" t="str">
        <f>IFERROR(
ROUNDUP(
IF(AND($U$5=FALSE,$U$4=FALSE),"-",IF(AND($U$5=TRUE,$U$4=TRUE),"-",
IF((AND($U$4=TRUE,$U$5=FALSE,$U$6=FALSE,$U$7=FALSE)),VLOOKUP($E571,'Status Thresholds'!$E:$AR,5,FALSE),IF((AND($U$4=TRUE,$U$5=FALSE,$U$6=TRUE,$U$7=FALSE)),VLOOKUP($E571,'Status Thresholds'!$E:$AR,15,FALSE),IF((AND($U$4=TRUE,$U$5=FALSE,$U$6=TRUE,$U$7=TRUE)),VLOOKUP($E571,'Status Thresholds'!$E:$AR,20,FALSE),IF((AND($U$4=TRUE,$U$5=FALSE,$U$6=FALSE,$U$7=TRUE)),VLOOKUP($E571,'Status Thresholds'!$E:$AR,10,FALSE),
IF((AND($U$4=FALSE,$U$5=TRUE,$U$6=FALSE,$U$7=FALSE)),VLOOKUP($E571,'Status Thresholds'!$E:$AR,25,FALSE),IF((AND($U$4=FALSE,$U$5=TRUE,$U$6=TRUE,$U$7=FALSE)),VLOOKUP($E571,'Status Thresholds'!$E:$AR,35,FALSE),IF((AND($U$4=FALSE,$U$5=TRUE,$U$6=TRUE,$U$7=TRUE)),VLOOKUP($E571,'Status Thresholds'!$E:$AR,40,FALSE),IF((AND($U$4=FALSE,$U$5=TRUE,$U$6=FALSE,$U$7=TRUE)),VLOOKUP($E571,'Status Thresholds'!$E:$AR,30,FALSE)))))))))
))/
IF(OR($X$5=TRUE,$AC$3=TRUE
),($F$6/2), IF(OR($X$2,$X$3,$X$4,$X$6,$X$7,$X$8,$Z$2,$Z$3,$Z$4,$Z$5,$Z$6,$Z$7,$Z$8)=TRUE,$F$6)),0),"-")</f>
        <v>-</v>
      </c>
      <c r="J571" s="46">
        <f>IFERROR(IF(AND($U$5=FALSE,$U$4=FALSE),"-",VLOOKUP($E571,'Status Thresholds'!$E:$AU,41,FALSE)),"-")</f>
        <v>0</v>
      </c>
      <c r="K571" s="46" t="str">
        <f>IFERROR(IF(AND($U$5=FALSE,$U$4=FALSE),"-",VLOOKUP($E571,'Status Thresholds'!$E:$AU,42,FALSE)),"-")</f>
        <v>-</v>
      </c>
      <c r="L571" s="46" t="str">
        <f>IFERROR(IF(AND($U$5=FALSE,$U$4=FALSE),"-",VLOOKUP($E571,'Status Thresholds'!$E:$AU,43,FALSE)),"-")</f>
        <v>-</v>
      </c>
    </row>
    <row r="572" spans="1:12" x14ac:dyDescent="0.25">
      <c r="A572" s="35"/>
      <c r="B572" s="64" t="str">
        <f>VLOOKUP(C572,'Status Thresholds'!B:C,2,FALSE)</f>
        <v>MHGen</v>
      </c>
      <c r="C572" s="64" t="str">
        <f>IF('Status Thresholds'!B567=0, "", 'Status Thresholds'!B567)</f>
        <v>Plesioth</v>
      </c>
      <c r="D572" s="30" t="s">
        <v>35</v>
      </c>
      <c r="E572" s="36" t="str">
        <f t="shared" si="8"/>
        <v>PlesiothBlast</v>
      </c>
      <c r="F572" s="36" t="str">
        <f>IFERROR(
ROUNDUP(
IF(AND($U$5=FALSE,$U$4=FALSE),"-",IF(AND($U$5=TRUE,$U$4=TRUE),"-",
IF((AND($U$4=TRUE,$U$5=FALSE,$U$6=FALSE,$U$7=FALSE)),VLOOKUP($E572,'Status Thresholds'!$E:$AR,2,FALSE),IF((AND($U$4=TRUE,$U$5=FALSE,$U$6=TRUE,$U$7=FALSE)),VLOOKUP($E572,'Status Thresholds'!$E:$AR,12,FALSE),IF((AND($U$4=TRUE,$U$5=FALSE,$U$6=TRUE,$U$7=TRUE)),VLOOKUP($E572,'Status Thresholds'!$E:$AR,17,FALSE),IF((AND($U$4=TRUE,$U$5=FALSE,$U$6=FALSE,$U$7=TRUE)),VLOOKUP($E572,'Status Thresholds'!$E:$AR,7,FALSE),
IF((AND($U$4=FALSE,$U$5=TRUE,$U$6=FALSE,$U$7=FALSE)),VLOOKUP($E572,'Status Thresholds'!$E:$AR,22,FALSE),IF((AND($U$4=FALSE,$U$5=TRUE,$U$6=TRUE,$U$7=FALSE)),VLOOKUP($E572,'Status Thresholds'!$E:$AR,32,FALSE),IF((AND($U$4=FALSE,$U$5=TRUE,$U$6=TRUE,$U$7=TRUE)),VLOOKUP($E572,'Status Thresholds'!$E:$AR,37,FALSE),IF((AND($U$4=FALSE,$U$5=TRUE,$U$6=FALSE,$U$7=TRUE)),VLOOKUP($E572,'Status Thresholds'!$E:$AR,27,FALSE)))))))))
))/
IF(OR($X$5=TRUE,$AC$3=TRUE
),($F$7/2), IF(OR($X$2,$X$3,$X$4,$X$6,$X$7,$X$8,$Z$2,$Z$3,$Z$4,$Z$5,$Z$6,$Z$7,$Z$8)=TRUE,$F$7)),0),"-")</f>
        <v>-</v>
      </c>
      <c r="G572" s="36" t="str">
        <f>IFERROR(
ROUNDUP(
IF(AND($U$5=FALSE,$U$4=FALSE),"-",IF(AND($U$5=TRUE,$U$4=TRUE),"-",
IF((AND($U$4=TRUE,$U$5=FALSE,$U$6=FALSE,$U$7=FALSE)),VLOOKUP($E572,'Status Thresholds'!$E:$AR,3,FALSE),IF((AND($U$4=TRUE,$U$5=FALSE,$U$6=TRUE,$U$7=FALSE)),VLOOKUP($E572,'Status Thresholds'!$E:$AR,13,FALSE),IF((AND($U$4=TRUE,$U$5=FALSE,$U$6=TRUE,$U$7=TRUE)),VLOOKUP($E572,'Status Thresholds'!$E:$AR,18,FALSE),IF((AND($U$4=TRUE,$U$5=FALSE,$U$6=FALSE,$U$7=TRUE)),VLOOKUP($E572,'Status Thresholds'!$E:$AR,8,FALSE),
IF((AND($U$4=FALSE,$U$5=TRUE,$U$6=FALSE,$U$7=FALSE)),VLOOKUP($E572,'Status Thresholds'!$E:$AR,23,FALSE),IF((AND($U$4=FALSE,$U$5=TRUE,$U$6=TRUE,$U$7=FALSE)),VLOOKUP($E572,'Status Thresholds'!$E:$AR,33,FALSE),IF((AND($U$4=FALSE,$U$5=TRUE,$U$6=TRUE,$U$7=TRUE)),VLOOKUP($E572,'Status Thresholds'!$E:$AR,38,FALSE),IF((AND($U$4=FALSE,$U$5=TRUE,$U$6=FALSE,$U$7=TRUE)),VLOOKUP($E572,'Status Thresholds'!$E:$AR,28,FALSE)))))))))
))/
IF(OR($X$5=TRUE,$AC$3=TRUE
),($F$7/2), IF(OR($X$2,$X$3,$X$4,$X$6,$X$7,$X$8,$Z$2,$Z$3,$Z$4,$Z$5,$Z$6,$Z$7,$Z$8)=TRUE,$F$7)),0),"-")</f>
        <v>-</v>
      </c>
      <c r="H572" s="36" t="str">
        <f>IFERROR(
ROUNDUP(
IF(AND($U$5=FALSE,$U$4=FALSE),"-",IF(AND($U$5=TRUE,$U$4=TRUE),"-",
IF((AND($U$4=TRUE,$U$5=FALSE,$U$6=FALSE,$U$7=FALSE)),VLOOKUP($E572,'Status Thresholds'!$E:$AR,4,FALSE),IF((AND($U$4=TRUE,$U$5=FALSE,$U$6=TRUE,$U$7=FALSE)),VLOOKUP($E572,'Status Thresholds'!$E:$AR,14,FALSE),IF((AND($U$4=TRUE,$U$5=FALSE,$U$6=TRUE,$U$7=TRUE)),VLOOKUP($E572,'Status Thresholds'!$E:$AR,19,FALSE),IF((AND($U$4=TRUE,$U$5=FALSE,$U$6=FALSE,$U$7=TRUE)),VLOOKUP($E572,'Status Thresholds'!$E:$AR,9,FALSE),
IF((AND($U$4=FALSE,$U$5=TRUE,$U$6=FALSE,$U$7=FALSE)),VLOOKUP($E572,'Status Thresholds'!$E:$AR,24,FALSE),IF((AND($U$4=FALSE,$U$5=TRUE,$U$6=TRUE,$U$7=FALSE)),VLOOKUP($E572,'Status Thresholds'!$E:$AR,34,FALSE),IF((AND($U$4=FALSE,$U$5=TRUE,$U$6=TRUE,$U$7=TRUE)),VLOOKUP($E572,'Status Thresholds'!$E:$AR,39,FALSE),IF((AND($U$4=FALSE,$U$5=TRUE,$U$6=FALSE,$U$7=TRUE)),VLOOKUP($E572,'Status Thresholds'!$E:$AR,29,FALSE)))))))))
))/
IF(OR($X$5=TRUE,$AC$3=TRUE
),($F$7/2), IF(OR($X$2,$X$3,$X$4,$X$6,$X$7,$X$8,$Z$2,$Z$3,$Z$4,$Z$5,$Z$6,$Z$7,$Z$8)=TRUE,$F$7)),0),"-")</f>
        <v>-</v>
      </c>
      <c r="I572" s="36" t="str">
        <f>IFERROR(
ROUNDUP(
IF(AND($U$5=FALSE,$U$4=FALSE),"-",IF(AND($U$5=TRUE,$U$4=TRUE),"-",
IF((AND($U$4=TRUE,$U$5=FALSE,$U$6=FALSE,$U$7=FALSE)),VLOOKUP($E572,'Status Thresholds'!$E:$AR,5,FALSE),IF((AND($U$4=TRUE,$U$5=FALSE,$U$6=TRUE,$U$7=FALSE)),VLOOKUP($E572,'Status Thresholds'!$E:$AR,15,FALSE),IF((AND($U$4=TRUE,$U$5=FALSE,$U$6=TRUE,$U$7=TRUE)),VLOOKUP($E572,'Status Thresholds'!$E:$AR,20,FALSE),IF((AND($U$4=TRUE,$U$5=FALSE,$U$6=FALSE,$U$7=TRUE)),VLOOKUP($E572,'Status Thresholds'!$E:$AR,10,FALSE),
IF((AND($U$4=FALSE,$U$5=TRUE,$U$6=FALSE,$U$7=FALSE)),VLOOKUP($E572,'Status Thresholds'!$E:$AR,25,FALSE),IF((AND($U$4=FALSE,$U$5=TRUE,$U$6=TRUE,$U$7=FALSE)),VLOOKUP($E572,'Status Thresholds'!$E:$AR,35,FALSE),IF((AND($U$4=FALSE,$U$5=TRUE,$U$6=TRUE,$U$7=TRUE)),VLOOKUP($E572,'Status Thresholds'!$E:$AR,40,FALSE),IF((AND($U$4=FALSE,$U$5=TRUE,$U$6=FALSE,$U$7=TRUE)),VLOOKUP($E572,'Status Thresholds'!$E:$AR,30,FALSE)))))))))
))/
IF(OR($X$5=TRUE,$AC$3=TRUE
),($F$7/2), IF(OR($X$2,$X$3,$X$4,$X$6,$X$7,$X$8,$Z$2,$Z$3,$Z$4,$Z$5,$Z$6,$Z$7,$Z$8)=TRUE,$F$7)),0),"-")</f>
        <v>-</v>
      </c>
      <c r="J572" s="46">
        <f>IFERROR(IF(AND($U$5=FALSE,$U$4=FALSE),"-",VLOOKUP($E572,'Status Thresholds'!$E:$AU,41,FALSE)),"-")</f>
        <v>0</v>
      </c>
      <c r="K572" s="46" t="str">
        <f>IFERROR(IF(AND($U$5=FALSE,$U$4=FALSE),"-",VLOOKUP($E572,'Status Thresholds'!$E:$AU,42,FALSE)),"-")</f>
        <v>-</v>
      </c>
      <c r="L572" s="46" t="str">
        <f>IFERROR(IF(AND($U$5=FALSE,$U$4=FALSE),"-",VLOOKUP($E572,'Status Thresholds'!$E:$AU,43,FALSE)),"-")</f>
        <v>-</v>
      </c>
    </row>
    <row r="573" spans="1:12" ht="14.45" customHeight="1" x14ac:dyDescent="0.25">
      <c r="A573" s="35"/>
      <c r="B573" s="64" t="str">
        <f>VLOOKUP(C573,'Status Thresholds'!B:C,2,FALSE)</f>
        <v>MHGen</v>
      </c>
      <c r="C573" s="64" t="str">
        <f>IF('Status Thresholds'!B568=0, "", 'Status Thresholds'!B568)</f>
        <v>Plesioth</v>
      </c>
      <c r="D573" s="34" t="s">
        <v>14</v>
      </c>
      <c r="E573" s="36" t="str">
        <f t="shared" si="8"/>
        <v>PlesiothKO</v>
      </c>
      <c r="F573" s="36" t="s">
        <v>214</v>
      </c>
      <c r="G573" s="36" t="s">
        <v>214</v>
      </c>
      <c r="H573" s="36" t="s">
        <v>214</v>
      </c>
      <c r="I573" s="36" t="s">
        <v>214</v>
      </c>
      <c r="J573" s="46">
        <f>IFERROR(IF(AND($U$5=FALSE,$U$4=FALSE),"-",VLOOKUP($E573,'Status Thresholds'!$E:$AU,41,FALSE)),"-")</f>
        <v>10</v>
      </c>
      <c r="K573" s="46" t="str">
        <f>IFERROR(IF(AND($U$5=FALSE,$U$4=FALSE),"-",VLOOKUP($E573,'Status Thresholds'!$E:$AU,42,FALSE)),"-")</f>
        <v>-</v>
      </c>
      <c r="L573" s="46" t="str">
        <f>IFERROR(IF(AND($U$5=FALSE,$U$4=FALSE),"-",VLOOKUP($E573,'Status Thresholds'!$E:$AU,43,FALSE)),"-")</f>
        <v>-</v>
      </c>
    </row>
    <row r="574" spans="1:12" x14ac:dyDescent="0.25">
      <c r="A574" s="35"/>
      <c r="B574" s="64" t="str">
        <f>VLOOKUP(C574,'Status Thresholds'!B:C,2,FALSE)</f>
        <v>MHGen</v>
      </c>
      <c r="C574" s="64" t="str">
        <f>IF('Status Thresholds'!B569=0, "", 'Status Thresholds'!B569)</f>
        <v>Plesioth</v>
      </c>
      <c r="D574" s="33" t="s">
        <v>34</v>
      </c>
      <c r="E574" s="36" t="str">
        <f t="shared" si="8"/>
        <v>PlesiothMount</v>
      </c>
      <c r="F574" s="36" t="str">
        <f>IFERROR(
ROUNDUP(
IF(AND($U$5=FALSE,$U$4=FALSE),"-",IF(AND($U$5=TRUE,$U$4=TRUE),"-",
IF((AND($U$4=TRUE,$U$5=FALSE,$U$6=FALSE,$U$7=FALSE)),VLOOKUP($E574,'Status Thresholds'!$E:$AR,2,FALSE),IF((AND($U$4=TRUE,$U$5=FALSE,$U$6=TRUE,$U$7=FALSE)),VLOOKUP($E574,'Status Thresholds'!$E:$AR,12,FALSE),IF((AND($U$4=TRUE,$U$5=FALSE,$U$6=TRUE,$U$7=TRUE)),VLOOKUP($E574,'Status Thresholds'!$E:$AR,17,FALSE),IF((AND($U$4=TRUE,$U$5=FALSE,$U$6=FALSE,$U$7=TRUE)),VLOOKUP($E574,'Status Thresholds'!$E:$AR,7,FALSE),
IF((AND($U$4=FALSE,$U$5=TRUE,$U$6=FALSE,$U$7=FALSE)),VLOOKUP($E574,'Status Thresholds'!$E:$AR,22,FALSE),IF((AND($U$4=FALSE,$U$5=TRUE,$U$6=TRUE,$U$7=FALSE)),VLOOKUP($E574,'Status Thresholds'!$E:$AR,32,FALSE),IF((AND($U$4=FALSE,$U$5=TRUE,$U$6=TRUE,$U$7=TRUE)),VLOOKUP($E574,'Status Thresholds'!$E:$AR,37,FALSE),IF((AND($U$4=FALSE,$U$5=TRUE,$U$6=FALSE,$U$7=TRUE)),VLOOKUP($E574,'Status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574" s="36" t="str">
        <f>IFERROR(
ROUNDUP(
IF(AND($U$5=FALSE,$U$4=FALSE),"-",IF(AND($U$5=TRUE,$U$4=TRUE),"-",
IF((AND($U$4=TRUE,$U$5=FALSE,$U$6=FALSE,$U$7=FALSE)),VLOOKUP($E573,'Status Thresholds'!$E:$AR,3,FALSE),IF((AND($U$4=TRUE,$U$5=FALSE,$U$6=TRUE,$U$7=FALSE)),VLOOKUP($E573,'Status Thresholds'!$E:$AR,13,FALSE),IF((AND($U$4=TRUE,$U$5=FALSE,$U$6=TRUE,$U$7=TRUE)),VLOOKUP($E573,'Status Thresholds'!$E:$AR,18,FALSE),IF((AND($U$4=TRUE,$U$5=FALSE,$U$6=FALSE,$U$7=TRUE)),VLOOKUP($E573,'Status Thresholds'!$E:$AR,8,FALSE),
IF((AND($U$4=FALSE,$U$5=TRUE,$U$6=FALSE,$U$7=FALSE)),VLOOKUP($E573,'Status Thresholds'!$E:$AR,23,FALSE),IF((AND($U$4=FALSE,$U$5=TRUE,$U$6=TRUE,$U$7=FALSE)),VLOOKUP($E573,'Status Thresholds'!$E:$AR,33,FALSE),IF((AND($U$4=FALSE,$U$5=TRUE,$U$6=TRUE,$U$7=TRUE)),VLOOKUP($E573,'Status Thresholds'!$E:$AR,38,FALSE),IF((AND($U$4=FALSE,$U$5=TRUE,$U$6=FALSE,$U$7=TRUE)),VLOOKUP($E573,'Status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574" s="36" t="str">
        <f>IFERROR(
ROUNDUP(
IF(AND($U$5=FALSE,$U$4=FALSE),"-",IF(AND($U$5=TRUE,$U$4=TRUE),"-",
IF((AND($U$4=TRUE,$U$5=FALSE,$U$6=FALSE,$U$7=FALSE)),VLOOKUP($E573,'Status Thresholds'!$E:$AR,4,FALSE),IF((AND($U$4=TRUE,$U$5=FALSE,$U$6=TRUE,$U$7=FALSE)),VLOOKUP($E573,'Status Thresholds'!$E:$AR,14,FALSE),IF((AND($U$4=TRUE,$U$5=FALSE,$U$6=TRUE,$U$7=TRUE)),VLOOKUP($E573,'Status Thresholds'!$E:$AR,19,FALSE),IF((AND($U$4=TRUE,$U$5=FALSE,$U$6=FALSE,$U$7=TRUE)),VLOOKUP($E573,'Status Thresholds'!$E:$AR,9,FALSE),
IF((AND($U$4=FALSE,$U$5=TRUE,$U$6=FALSE,$U$7=FALSE)),VLOOKUP($E573,'Status Thresholds'!$E:$AR,24,FALSE),IF((AND($U$4=FALSE,$U$5=TRUE,$U$6=TRUE,$U$7=FALSE)),VLOOKUP($E573,'Status Thresholds'!$E:$AR,34,FALSE),IF((AND($U$4=FALSE,$U$5=TRUE,$U$6=TRUE,$U$7=TRUE)),VLOOKUP($E573,'Status Thresholds'!$E:$AR,39,FALSE),IF((AND($U$4=FALSE,$U$5=TRUE,$U$6=FALSE,$U$7=TRUE)),VLOOKUP($E573,'Status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574" s="36" t="str">
        <f>IFERROR(
ROUNDUP(
IF(AND($U$5=FALSE,$U$4=FALSE),"-",IF(AND($U$5=TRUE,$U$4=TRUE),"-",
IF((AND($U$4=TRUE,$U$5=FALSE,$U$6=FALSE,$U$7=FALSE)),VLOOKUP($E573,'Status Thresholds'!$E:$AR,5,FALSE),IF((AND($U$4=TRUE,$U$5=FALSE,$U$6=TRUE,$U$7=FALSE)),VLOOKUP($E573,'Status Thresholds'!$E:$AR,15,FALSE),IF((AND($U$4=TRUE,$U$5=FALSE,$U$6=TRUE,$U$7=TRUE)),VLOOKUP($E573,'Status Thresholds'!$E:$AR,20,FALSE),IF((AND($U$4=TRUE,$U$5=FALSE,$U$6=FALSE,$U$7=TRUE)),VLOOKUP($E573,'Status Thresholds'!$E:$AR,10,FALSE),
IF((AND($U$4=FALSE,$U$5=TRUE,$U$6=FALSE,$U$7=FALSE)),VLOOKUP($E573,'Status Thresholds'!$E:$AR,25,FALSE),IF((AND($U$4=FALSE,$U$5=TRUE,$U$6=TRUE,$U$7=FALSE)),VLOOKUP($E573,'Status Thresholds'!$E:$AR,35,FALSE),IF((AND($U$4=FALSE,$U$5=TRUE,$U$6=TRUE,$U$7=TRUE)),VLOOKUP($E573,'Status Thresholds'!$E:$AR,40,FALSE),IF((AND($U$4=FALSE,$U$5=TRUE,$U$6=FALSE,$U$7=TRUE)),VLOOKUP($E573,'Status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574" s="46">
        <f>IFERROR(IF(AND($U$5=FALSE,$U$4=FALSE),"-",VLOOKUP($E574,'Status Thresholds'!$E:$AU,41,FALSE)),"-")</f>
        <v>0</v>
      </c>
      <c r="K574" s="46" t="str">
        <f>IFERROR(IF(AND($U$5=FALSE,$U$4=FALSE),"-",VLOOKUP($E574,'Status Thresholds'!$E:$AU,42,FALSE)),"-")</f>
        <v>-</v>
      </c>
      <c r="L574" s="46" t="str">
        <f>IFERROR(IF(AND($U$5=FALSE,$U$4=FALSE),"-",VLOOKUP($E574,'Status Thresholds'!$E:$AU,43,FALSE)),"-")</f>
        <v>-</v>
      </c>
    </row>
    <row r="575" spans="1:12" ht="15" customHeight="1" x14ac:dyDescent="0.25">
      <c r="A575" s="35"/>
      <c r="B575" s="64" t="str">
        <f>VLOOKUP(C575,'Status Thresholds'!B:C,2,FALSE)</f>
        <v>MHGen</v>
      </c>
      <c r="C575" s="64" t="str">
        <f>IF('Status Thresholds'!B570=0, "", 'Status Thresholds'!B570)</f>
        <v>Plesioth</v>
      </c>
      <c r="D575" s="77" t="s">
        <v>207</v>
      </c>
      <c r="E575" s="36" t="str">
        <f t="shared" si="8"/>
        <v>PlesiothShock Trap</v>
      </c>
      <c r="F575" s="76" t="s">
        <v>214</v>
      </c>
      <c r="G575" s="46" t="s">
        <v>214</v>
      </c>
      <c r="H575" s="46" t="s">
        <v>214</v>
      </c>
      <c r="I575" s="46" t="s">
        <v>214</v>
      </c>
      <c r="J575" s="46">
        <f>IFERROR(IF(AND($U$5=FALSE,$U$4=FALSE),"-",VLOOKUP($E575,'Status Thresholds'!$E:$AU,43,FALSE)),"-")</f>
        <v>7</v>
      </c>
      <c r="K575" s="46">
        <f>IFERROR(IF(AND($U$5=FALSE,$U$4=FALSE),"-",VLOOKUP($E575,'Status Thresholds'!$E:$AU,41,FALSE)),"-")</f>
        <v>5</v>
      </c>
      <c r="L575" s="46">
        <f>IFERROR(IF(AND($U$5=FALSE,$U$4=FALSE),"-",VLOOKUP($E575,'Status Thresholds'!$E:$AU,42,FALSE)),"-")</f>
        <v>12</v>
      </c>
    </row>
    <row r="576" spans="1:12" x14ac:dyDescent="0.25">
      <c r="A576" s="35"/>
      <c r="B576" s="64" t="str">
        <f>VLOOKUP(C576,'Status Thresholds'!B:C,2,FALSE)</f>
        <v>MHGen</v>
      </c>
      <c r="C576" s="64" t="str">
        <f>IF('Status Thresholds'!B571=0, "", 'Status Thresholds'!B571)</f>
        <v>Plesioth</v>
      </c>
      <c r="D576" s="77" t="s">
        <v>213</v>
      </c>
      <c r="E576" s="36" t="str">
        <f t="shared" si="8"/>
        <v>PlesiothPitfall Trap</v>
      </c>
      <c r="F576" s="46" t="s">
        <v>214</v>
      </c>
      <c r="G576" s="46" t="s">
        <v>214</v>
      </c>
      <c r="H576" s="46" t="s">
        <v>214</v>
      </c>
      <c r="I576" s="46" t="s">
        <v>214</v>
      </c>
      <c r="J576" s="46">
        <f>IFERROR(IF(AND($U$5=FALSE,$U$4=FALSE),"-",VLOOKUP($E576,'Status Thresholds'!$E:$AU,43,FALSE)),"-")</f>
        <v>10</v>
      </c>
      <c r="K576" s="46">
        <f>IFERROR(IF(AND($U$5=FALSE,$U$4=FALSE),"-",VLOOKUP($E576,'Status Thresholds'!$E:$AU,41,FALSE)),"-")</f>
        <v>7</v>
      </c>
      <c r="L576" s="46">
        <f>IFERROR(IF(AND($U$5=FALSE,$U$4=FALSE),"-",VLOOKUP($E576,'Status Thresholds'!$E:$AU,42,FALSE)),"-")</f>
        <v>15</v>
      </c>
    </row>
    <row r="577" spans="1:12" s="36" customFormat="1" x14ac:dyDescent="0.25">
      <c r="A577" s="64"/>
      <c r="B577" s="64" t="str">
        <f>VLOOKUP(C577,'Status Thresholds'!B:C,2,FALSE)</f>
        <v>MHGen</v>
      </c>
      <c r="C577" s="64" t="str">
        <f>IF('Status Thresholds'!B572=0, "", 'Status Thresholds'!B572)</f>
        <v>Rajang</v>
      </c>
      <c r="D577" s="37" t="s">
        <v>0</v>
      </c>
      <c r="E577" s="36" t="str">
        <f t="shared" si="8"/>
        <v>RajangPara</v>
      </c>
      <c r="F577" s="36" t="str">
        <f>IFERROR(
ROUNDUP(
IF(AND($U$5=FALSE,$U$4=FALSE),"-",IF(AND($U$5=TRUE,$U$4=TRUE),"-",
IF((AND($U$4=TRUE,$U$5=FALSE,$U$6=FALSE,$U$7=FALSE)),VLOOKUP($E577,'Status Thresholds'!$E:$AR,2,FALSE),IF((AND($U$4=TRUE,$U$5=FALSE,$U$6=TRUE,$U$7=FALSE)),VLOOKUP($E577,'Status Thresholds'!$E:$AR,12,FALSE),IF((AND($U$4=TRUE,$U$5=FALSE,$U$6=TRUE,$U$7=TRUE)),VLOOKUP($E577,'Status Thresholds'!$E:$AR,17,FALSE),IF((AND($U$4=TRUE,$U$5=FALSE,$U$6=FALSE,$U$7=TRUE)),VLOOKUP($E577,'Status Thresholds'!$E:$AR,7,FALSE),
IF((AND($U$4=FALSE,$U$5=TRUE,$U$6=FALSE,$U$7=FALSE)),VLOOKUP($E577,'Status Thresholds'!$E:$AR,22,FALSE),IF((AND($U$4=FALSE,$U$5=TRUE,$U$6=TRUE,$U$7=FALSE)),VLOOKUP($E577,'Status Thresholds'!$E:$AR,32,FALSE),IF((AND($U$4=FALSE,$U$5=TRUE,$U$6=TRUE,$U$7=TRUE)),VLOOKUP($E577,'Status Thresholds'!$E:$AR,37,FALSE),IF((AND($U$4=FALSE,$U$5=TRUE,$U$6=FALSE,$U$7=TRUE)),VLOOKUP($E577,'Status Thresholds'!$E:$AR,27,FALSE)))))))))
))/
IF(OR($X$5=TRUE,$AC$3=TRUE
),($F$3/2), IF(OR($X$2,$X$3,$X$4,$X$6,$X$7,$X$8,$Z$2,$Z$3,$Z$4,$Z$5,$Z$6,$Z$7,$Z$8)=TRUE,$F$3)),0),"-")</f>
        <v>-</v>
      </c>
      <c r="G577" s="36" t="str">
        <f>IFERROR(
ROUNDUP(
IF(AND($U$5=FALSE,$U$4=FALSE),"-",IF(AND($U$5=TRUE,$U$4=TRUE),"-",
IF((AND($U$4=TRUE,$U$5=FALSE,$U$6=FALSE,$U$7=FALSE)),VLOOKUP($E577,'Status Thresholds'!$E:$AR,3,FALSE),IF((AND($U$4=TRUE,$U$5=FALSE,$U$6=TRUE,$U$7=FALSE)),VLOOKUP($E577,'Status Thresholds'!$E:$AR,13,FALSE),IF((AND($U$4=TRUE,$U$5=FALSE,$U$6=TRUE,$U$7=TRUE)),VLOOKUP($E577,'Status Thresholds'!$E:$AR,18,FALSE),IF((AND($U$4=TRUE,$U$5=FALSE,$U$6=FALSE,$U$7=TRUE)),VLOOKUP($E577,'Status Thresholds'!$E:$AR,8,FALSE),
IF((AND($U$4=FALSE,$U$5=TRUE,$U$6=FALSE,$U$7=FALSE)),VLOOKUP($E577,'Status Thresholds'!$E:$AR,23,FALSE),IF((AND($U$4=FALSE,$U$5=TRUE,$U$6=TRUE,$U$7=FALSE)),VLOOKUP($E577,'Status Thresholds'!$E:$AR,33,FALSE),IF((AND($U$4=FALSE,$U$5=TRUE,$U$6=TRUE,$U$7=TRUE)),VLOOKUP($E577,'Status Thresholds'!$E:$AR,38,FALSE),IF((AND($U$4=FALSE,$U$5=TRUE,$U$6=FALSE,$U$7=TRUE)),VLOOKUP($E577,'Status Thresholds'!$E:$AR,28,FALSE)))))))))
))/
IF(OR($X$5=TRUE,$AC$3=TRUE
),($F$3/2), IF(OR($X$2,$X$3,$X$4,$X$6,$X$7,$X$8,$Z$2,$Z$3,$Z$4,$Z$5,$Z$6,$Z$7,$Z$8)=TRUE,$F$3)),0),"-")</f>
        <v>-</v>
      </c>
      <c r="H577" s="36" t="str">
        <f>IFERROR(
ROUNDUP(
IF(AND($U$5=FALSE,$U$4=FALSE),"-",IF(AND($U$5=TRUE,$U$4=TRUE),"-",
IF((AND($U$4=TRUE,$U$5=FALSE,$U$6=FALSE,$U$7=FALSE)),VLOOKUP($E577,'Status Thresholds'!$E:$AR,4,FALSE),IF((AND($U$4=TRUE,$U$5=FALSE,$U$6=TRUE,$U$7=FALSE)),VLOOKUP($E577,'Status Thresholds'!$E:$AR,14,FALSE),IF((AND($U$4=TRUE,$U$5=FALSE,$U$6=TRUE,$U$7=TRUE)),VLOOKUP($E577,'Status Thresholds'!$E:$AR,19,FALSE),IF((AND($U$4=TRUE,$U$5=FALSE,$U$6=FALSE,$U$7=TRUE)),VLOOKUP($E577,'Status Thresholds'!$E:$AR,9,FALSE),
IF((AND($U$4=FALSE,$U$5=TRUE,$U$6=FALSE,$U$7=FALSE)),VLOOKUP($E577,'Status Thresholds'!$E:$AR,24,FALSE),IF((AND($U$4=FALSE,$U$5=TRUE,$U$6=TRUE,$U$7=FALSE)),VLOOKUP($E577,'Status Thresholds'!$E:$AR,34,FALSE),IF((AND($U$4=FALSE,$U$5=TRUE,$U$6=TRUE,$U$7=TRUE)),VLOOKUP($E577,'Status Thresholds'!$E:$AR,39,FALSE),IF((AND($U$4=FALSE,$U$5=TRUE,$U$6=FALSE,$U$7=TRUE)),VLOOKUP($E577,'Status Thresholds'!$E:$AR,29,FALSE)))))))))
))/
IF(OR($X$5=TRUE,$AC$3=TRUE
),($F$3/2), IF(OR($X$2,$X$3,$X$4,$X$6,$X$7,$X$8,$Z$2,$Z$3,$Z$4,$Z$5,$Z$6,$Z$7,$Z$8)=TRUE,$F$3)),0),"-")</f>
        <v>-</v>
      </c>
      <c r="I577" s="36" t="str">
        <f>IFERROR(
ROUNDUP(
IF(AND($U$5=FALSE,$U$4=FALSE),"-",IF(AND($U$5=TRUE,$U$4=TRUE),"-",
IF((AND($U$4=TRUE,$U$5=FALSE,$U$6=FALSE,$U$7=FALSE)),VLOOKUP($E577,'Status Thresholds'!$E:$AR,5,FALSE),IF((AND($U$4=TRUE,$U$5=FALSE,$U$6=TRUE,$U$7=FALSE)),VLOOKUP($E577,'Status Thresholds'!$E:$AR,15,FALSE),IF((AND($U$4=TRUE,$U$5=FALSE,$U$6=TRUE,$U$7=TRUE)),VLOOKUP($E577,'Status Thresholds'!$E:$AR,20,FALSE),IF((AND($U$4=TRUE,$U$5=FALSE,$U$6=FALSE,$U$7=TRUE)),VLOOKUP($E577,'Status Thresholds'!$E:$AR,10,FALSE),
IF((AND($U$4=FALSE,$U$5=TRUE,$U$6=FALSE,$U$7=FALSE)),VLOOKUP($E577,'Status Thresholds'!$E:$AR,25,FALSE),IF((AND($U$4=FALSE,$U$5=TRUE,$U$6=TRUE,$U$7=FALSE)),VLOOKUP($E577,'Status Thresholds'!$E:$AR,35,FALSE),IF((AND($U$4=FALSE,$U$5=TRUE,$U$6=TRUE,$U$7=TRUE)),VLOOKUP($E577,'Status Thresholds'!$E:$AR,40,FALSE),IF((AND($U$4=FALSE,$U$5=TRUE,$U$6=FALSE,$U$7=TRUE)),VLOOKUP($E577,'Status Thresholds'!$E:$AR,30,FALSE)))))))))
))/
IF(OR($X$5=TRUE,$AC$3=TRUE
),($F$3/2), IF(OR($X$2,$X$3,$X$4,$X$6,$X$7,$X$8,$Z$2,$Z$3,$Z$4,$Z$5,$Z$6,$Z$7,$Z$8)=TRUE,$F$3)),0),"-")</f>
        <v>-</v>
      </c>
      <c r="J577" s="36">
        <f>IFERROR(IF(AND($U$5=FALSE,$U$4=FALSE),"-",VLOOKUP($E577,'Status Thresholds'!$E:$AU,41,FALSE)),"-")</f>
        <v>10</v>
      </c>
      <c r="K577" s="36" t="str">
        <f>IFERROR(IF(AND($U$5=FALSE,$U$4=FALSE),"-",VLOOKUP($E577,'Status Thresholds'!$E:$AU,42,FALSE)),"-")</f>
        <v>-</v>
      </c>
      <c r="L577" s="36" t="str">
        <f>IFERROR(IF(AND($U$5=FALSE,$U$4=FALSE),"-",VLOOKUP($E577,'Status Thresholds'!$E:$AU,43,FALSE)),"-")</f>
        <v>-</v>
      </c>
    </row>
    <row r="578" spans="1:12" x14ac:dyDescent="0.25">
      <c r="A578" s="35"/>
      <c r="B578" s="64" t="str">
        <f>VLOOKUP(C578,'Status Thresholds'!B:C,2,FALSE)</f>
        <v>MHGen</v>
      </c>
      <c r="C578" s="64" t="str">
        <f>IF('Status Thresholds'!B573=0, "", 'Status Thresholds'!B573)</f>
        <v>Rajang</v>
      </c>
      <c r="D578" s="31" t="s">
        <v>32</v>
      </c>
      <c r="E578" s="36" t="str">
        <f t="shared" si="8"/>
        <v>RajangSleep</v>
      </c>
      <c r="F578" s="36" t="str">
        <f>IFERROR(
ROUNDUP(
IF(AND($U$5=FALSE,$U$4=FALSE),"-",IF(AND($U$5=TRUE,$U$4=TRUE),"-",
IF((AND($U$4=TRUE,$U$5=FALSE,$U$6=FALSE,$U$7=FALSE)),VLOOKUP($E578,'Status Thresholds'!$E:$AR,2,FALSE),IF((AND($U$4=TRUE,$U$5=FALSE,$U$6=TRUE,$U$7=FALSE)),VLOOKUP($E578,'Status Thresholds'!$E:$AR,12,FALSE),IF((AND($U$4=TRUE,$U$5=FALSE,$U$6=TRUE,$U$7=TRUE)),VLOOKUP($E578,'Status Thresholds'!$E:$AR,17,FALSE),IF((AND($U$4=TRUE,$U$5=FALSE,$U$6=FALSE,$U$7=TRUE)),VLOOKUP($E578,'Status Thresholds'!$E:$AR,7,FALSE),
IF((AND($U$4=FALSE,$U$5=TRUE,$U$6=FALSE,$U$7=FALSE)),VLOOKUP($E578,'Status Thresholds'!$E:$AR,22,FALSE),IF((AND($U$4=FALSE,$U$5=TRUE,$U$6=TRUE,$U$7=FALSE)),VLOOKUP($E578,'Status Thresholds'!$E:$AR,32,FALSE),IF((AND($U$4=FALSE,$U$5=TRUE,$U$6=TRUE,$U$7=TRUE)),VLOOKUP($E578,'Status Thresholds'!$E:$AR,37,FALSE),IF((AND($U$4=FALSE,$U$5=TRUE,$U$6=FALSE,$U$7=TRUE)),VLOOKUP($E578,'Status Thresholds'!$E:$AR,27,FALSE)))))))))
))/
IF(OR($X$5=TRUE,$AC$3=TRUE
),($F$4/2), IF(OR($X$2,$X$3,$X$4,$X$6,$X$7,$X$8,$Z$2,$Z$3,$Z$4,$Z$5,$Z$6,$Z$7,$Z$8)=TRUE,$F$4)),0),"-")</f>
        <v>-</v>
      </c>
      <c r="G578" s="36" t="str">
        <f>IFERROR(
ROUNDUP(
IF(AND($U$5=FALSE,$U$4=FALSE),"-",IF(AND($U$5=TRUE,$U$4=TRUE),"-",
IF((AND($U$4=TRUE,$U$5=FALSE,$U$6=FALSE,$U$7=FALSE)),VLOOKUP($E578,'Status Thresholds'!$E:$AR,3,FALSE),IF((AND($U$4=TRUE,$U$5=FALSE,$U$6=TRUE,$U$7=FALSE)),VLOOKUP($E578,'Status Thresholds'!$E:$AR,13,FALSE),IF((AND($U$4=TRUE,$U$5=FALSE,$U$6=TRUE,$U$7=TRUE)),VLOOKUP($E578,'Status Thresholds'!$E:$AR,18,FALSE),IF((AND($U$4=TRUE,$U$5=FALSE,$U$6=FALSE,$U$7=TRUE)),VLOOKUP($E578,'Status Thresholds'!$E:$AR,8,FALSE),
IF((AND($U$4=FALSE,$U$5=TRUE,$U$6=FALSE,$U$7=FALSE)),VLOOKUP($E578,'Status Thresholds'!$E:$AR,23,FALSE),IF((AND($U$4=FALSE,$U$5=TRUE,$U$6=TRUE,$U$7=FALSE)),VLOOKUP($E578,'Status Thresholds'!$E:$AR,33,FALSE),IF((AND($U$4=FALSE,$U$5=TRUE,$U$6=TRUE,$U$7=TRUE)),VLOOKUP($E578,'Status Thresholds'!$E:$AR,38,FALSE),IF((AND($U$4=FALSE,$U$5=TRUE,$U$6=FALSE,$U$7=TRUE)),VLOOKUP($E578,'Status Thresholds'!$E:$AR,28,FALSE)))))))))
))/
IF(OR($X$5=TRUE,$AC$3=TRUE
),($F$4/2), IF(OR($X$2,$X$3,$X$4,$X$6,$X$7,$X$8,$Z$2,$Z$3,$Z$4,$Z$5,$Z$6,$Z$7,$Z$8)=TRUE,$F$4)),0),"-")</f>
        <v>-</v>
      </c>
      <c r="H578" s="36" t="str">
        <f>IFERROR(
ROUNDUP(
IF(AND($U$5=FALSE,$U$4=FALSE),"-",IF(AND($U$5=TRUE,$U$4=TRUE),"-",
IF((AND($U$4=TRUE,$U$5=FALSE,$U$6=FALSE,$U$7=FALSE)),VLOOKUP($E578,'Status Thresholds'!$E:$AR,4,FALSE),IF((AND($U$4=TRUE,$U$5=FALSE,$U$6=TRUE,$U$7=FALSE)),VLOOKUP($E578,'Status Thresholds'!$E:$AR,14,FALSE),IF((AND($U$4=TRUE,$U$5=FALSE,$U$6=TRUE,$U$7=TRUE)),VLOOKUP($E578,'Status Thresholds'!$E:$AR,19,FALSE),IF((AND($U$4=TRUE,$U$5=FALSE,$U$6=FALSE,$U$7=TRUE)),VLOOKUP($E578,'Status Thresholds'!$E:$AR,9,FALSE),
IF((AND($U$4=FALSE,$U$5=TRUE,$U$6=FALSE,$U$7=FALSE)),VLOOKUP($E578,'Status Thresholds'!$E:$AR,24,FALSE),IF((AND($U$4=FALSE,$U$5=TRUE,$U$6=TRUE,$U$7=FALSE)),VLOOKUP($E578,'Status Thresholds'!$E:$AR,34,FALSE),IF((AND($U$4=FALSE,$U$5=TRUE,$U$6=TRUE,$U$7=TRUE)),VLOOKUP($E578,'Status Thresholds'!$E:$AR,39,FALSE),IF((AND($U$4=FALSE,$U$5=TRUE,$U$6=FALSE,$U$7=TRUE)),VLOOKUP($E578,'Status Thresholds'!$E:$AR,29,FALSE)))))))))
))/
IF(OR($X$5=TRUE,$AC$3=TRUE
),($F$4/2), IF(OR($X$2,$X$3,$X$4,$X$6,$X$7,$X$8,$Z$2,$Z$3,$Z$4,$Z$5,$Z$6,$Z$7,$Z$8)=TRUE,$F$4)),0),"-")</f>
        <v>-</v>
      </c>
      <c r="I578" s="36" t="str">
        <f>IFERROR(
ROUNDUP(
IF(AND($U$5=FALSE,$U$4=FALSE),"-",IF(AND($U$5=TRUE,$U$4=TRUE),"-",
IF((AND($U$4=TRUE,$U$5=FALSE,$U$6=FALSE,$U$7=FALSE)),VLOOKUP($E578,'Status Thresholds'!$E:$AR,5,FALSE),IF((AND($U$4=TRUE,$U$5=FALSE,$U$6=TRUE,$U$7=FALSE)),VLOOKUP($E578,'Status Thresholds'!$E:$AR,15,FALSE),IF((AND($U$4=TRUE,$U$5=FALSE,$U$6=TRUE,$U$7=TRUE)),VLOOKUP($E578,'Status Thresholds'!$E:$AR,20,FALSE),IF((AND($U$4=TRUE,$U$5=FALSE,$U$6=FALSE,$U$7=TRUE)),VLOOKUP($E578,'Status Thresholds'!$E:$AR,10,FALSE),
IF((AND($U$4=FALSE,$U$5=TRUE,$U$6=FALSE,$U$7=FALSE)),VLOOKUP($E578,'Status Thresholds'!$E:$AR,25,FALSE),IF((AND($U$4=FALSE,$U$5=TRUE,$U$6=TRUE,$U$7=FALSE)),VLOOKUP($E578,'Status Thresholds'!$E:$AR,35,FALSE),IF((AND($U$4=FALSE,$U$5=TRUE,$U$6=TRUE,$U$7=TRUE)),VLOOKUP($E578,'Status Thresholds'!$E:$AR,40,FALSE),IF((AND($U$4=FALSE,$U$5=TRUE,$U$6=FALSE,$U$7=TRUE)),VLOOKUP($E578,'Status Thresholds'!$E:$AR,30,FALSE)))))))))
))/
IF(OR($X$5=TRUE,$AC$3=TRUE
),($F$4/2), IF(OR($X$2,$X$3,$X$4,$X$6,$X$7,$X$8,$Z$2,$Z$3,$Z$4,$Z$5,$Z$6,$Z$7,$Z$8)=TRUE,$F$4)),0),"-")</f>
        <v>-</v>
      </c>
      <c r="J578" s="46">
        <f>IFERROR(IF(AND($U$5=FALSE,$U$4=FALSE),"-",VLOOKUP($E578,'Status Thresholds'!$E:$AU,41,FALSE)),"-")</f>
        <v>40</v>
      </c>
      <c r="K578" s="46" t="str">
        <f>IFERROR(IF(AND($U$5=FALSE,$U$4=FALSE),"-",VLOOKUP($E578,'Status Thresholds'!$E:$AU,42,FALSE)),"-")</f>
        <v>-</v>
      </c>
      <c r="L578" s="46" t="str">
        <f>IFERROR(IF(AND($U$5=FALSE,$U$4=FALSE),"-",VLOOKUP($E578,'Status Thresholds'!$E:$AU,43,FALSE)),"-")</f>
        <v>-</v>
      </c>
    </row>
    <row r="579" spans="1:12" x14ac:dyDescent="0.25">
      <c r="A579" s="35"/>
      <c r="B579" s="64" t="str">
        <f>VLOOKUP(C579,'Status Thresholds'!B:C,2,FALSE)</f>
        <v>MHGen</v>
      </c>
      <c r="C579" s="64" t="str">
        <f>IF('Status Thresholds'!B574=0, "", 'Status Thresholds'!B574)</f>
        <v>Rajang</v>
      </c>
      <c r="D579" s="32" t="s">
        <v>33</v>
      </c>
      <c r="E579" s="36" t="str">
        <f t="shared" si="8"/>
        <v>RajangPoison</v>
      </c>
      <c r="F579" s="36" t="str">
        <f>IFERROR(
ROUNDUP(
IF(AND($U$5=FALSE,$U$4=FALSE),"-",IF(AND($U$5=TRUE,$U$4=TRUE),"-",
IF((AND($U$4=TRUE,$U$5=FALSE,$U$6=FALSE,$U$7=FALSE)),VLOOKUP($E579,'Status Thresholds'!$E:$AR,2,FALSE),IF((AND($U$4=TRUE,$U$5=FALSE,$U$6=TRUE,$U$7=FALSE)),VLOOKUP($E579,'Status Thresholds'!$E:$AR,12,FALSE),IF((AND($U$4=TRUE,$U$5=FALSE,$U$6=TRUE,$U$7=TRUE)),VLOOKUP($E579,'Status Thresholds'!$E:$AR,17,FALSE),IF((AND($U$4=TRUE,$U$5=FALSE,$U$6=FALSE,$U$7=TRUE)),VLOOKUP($E579,'Status Thresholds'!$E:$AR,7,FALSE),
IF((AND($U$4=FALSE,$U$5=TRUE,$U$6=FALSE,$U$7=FALSE)),VLOOKUP($E579,'Status Thresholds'!$E:$AR,22,FALSE),IF((AND($U$4=FALSE,$U$5=TRUE,$U$6=TRUE,$U$7=FALSE)),VLOOKUP($E579,'Status Thresholds'!$E:$AR,32,FALSE),IF((AND($U$4=FALSE,$U$5=TRUE,$U$6=TRUE,$U$7=TRUE)),VLOOKUP($E579,'Status Thresholds'!$E:$AR,37,FALSE),IF((AND($U$4=FALSE,$U$5=TRUE,$U$6=FALSE,$U$7=TRUE)),VLOOKUP($E579,'Status Thresholds'!$E:$AR,27,FALSE)))))))))
))/
IF(OR($X$5=TRUE,$AC$3=TRUE
),($F$5/2), IF(OR($X$2,$X$3,$X$4,$X$6,$X$7,$X$8,$Z$2,$Z$3,$Z$4,$Z$5,$Z$6,$Z$7,$Z$8)=TRUE,$F$5)),0),"-")</f>
        <v>-</v>
      </c>
      <c r="G579" s="36" t="str">
        <f>IFERROR(
ROUNDUP(
IF(AND($U$5=FALSE,$U$4=FALSE),"-",IF(AND($U$5=TRUE,$U$4=TRUE),"-",
IF((AND($U$4=TRUE,$U$5=FALSE,$U$6=FALSE,$U$7=FALSE)),VLOOKUP($E579,'Status Thresholds'!$E:$AR,3,FALSE),IF((AND($U$4=TRUE,$U$5=FALSE,$U$6=TRUE,$U$7=FALSE)),VLOOKUP($E579,'Status Thresholds'!$E:$AR,13,FALSE),IF((AND($U$4=TRUE,$U$5=FALSE,$U$6=TRUE,$U$7=TRUE)),VLOOKUP($E579,'Status Thresholds'!$E:$AR,18,FALSE),IF((AND($U$4=TRUE,$U$5=FALSE,$U$6=FALSE,$U$7=TRUE)),VLOOKUP($E579,'Status Thresholds'!$E:$AR,8,FALSE),
IF((AND($U$4=FALSE,$U$5=TRUE,$U$6=FALSE,$U$7=FALSE)),VLOOKUP($E579,'Status Thresholds'!$E:$AR,23,FALSE),IF((AND($U$4=FALSE,$U$5=TRUE,$U$6=TRUE,$U$7=FALSE)),VLOOKUP($E579,'Status Thresholds'!$E:$AR,33,FALSE),IF((AND($U$4=FALSE,$U$5=TRUE,$U$6=TRUE,$U$7=TRUE)),VLOOKUP($E579,'Status Thresholds'!$E:$AR,38,FALSE),IF((AND($U$4=FALSE,$U$5=TRUE,$U$6=FALSE,$U$7=TRUE)),VLOOKUP($E579,'Status Thresholds'!$E:$AR,28,FALSE)))))))))
))/
IF(OR($X$5=TRUE,$AC$3=TRUE
),($F$5/2), IF(OR($X$2,$X$3,$X$4,$X$6,$X$7,$X$8,$Z$2,$Z$3,$Z$4,$Z$5,$Z$6,$Z$7,$Z$8)=TRUE,$F$5)),0),"-")</f>
        <v>-</v>
      </c>
      <c r="H579" s="36" t="str">
        <f>IFERROR(
ROUNDUP(
IF(AND($U$5=FALSE,$U$4=FALSE),"-",IF(AND($U$5=TRUE,$U$4=TRUE),"-",
IF((AND($U$4=TRUE,$U$5=FALSE,$U$6=FALSE,$U$7=FALSE)),VLOOKUP($E579,'Status Thresholds'!$E:$AR,4,FALSE),IF((AND($U$4=TRUE,$U$5=FALSE,$U$6=TRUE,$U$7=FALSE)),VLOOKUP($E579,'Status Thresholds'!$E:$AR,14,FALSE),IF((AND($U$4=TRUE,$U$5=FALSE,$U$6=TRUE,$U$7=TRUE)),VLOOKUP($E579,'Status Thresholds'!$E:$AR,19,FALSE),IF((AND($U$4=TRUE,$U$5=FALSE,$U$6=FALSE,$U$7=TRUE)),VLOOKUP($E579,'Status Thresholds'!$E:$AR,9,FALSE),
IF((AND($U$4=FALSE,$U$5=TRUE,$U$6=FALSE,$U$7=FALSE)),VLOOKUP($E579,'Status Thresholds'!$E:$AR,24,FALSE),IF((AND($U$4=FALSE,$U$5=TRUE,$U$6=TRUE,$U$7=FALSE)),VLOOKUP($E579,'Status Thresholds'!$E:$AR,34,FALSE),IF((AND($U$4=FALSE,$U$5=TRUE,$U$6=TRUE,$U$7=TRUE)),VLOOKUP($E579,'Status Thresholds'!$E:$AR,39,FALSE),IF((AND($U$4=FALSE,$U$5=TRUE,$U$6=FALSE,$U$7=TRUE)),VLOOKUP($E579,'Status Thresholds'!$E:$AR,29,FALSE)))))))))
))/
IF(OR($X$5=TRUE,$AC$3=TRUE
),($F$5/2), IF(OR($X$2,$X$3,$X$4,$X$6,$X$7,$X$8,$Z$2,$Z$3,$Z$4,$Z$5,$Z$6,$Z$7,$Z$8)=TRUE,$F$5)),0),"-")</f>
        <v>-</v>
      </c>
      <c r="I579" s="36" t="str">
        <f>IFERROR(
ROUNDUP(
IF(AND($U$5=FALSE,$U$4=FALSE),"-",IF(AND($U$5=TRUE,$U$4=TRUE),"-",
IF((AND($U$4=TRUE,$U$5=FALSE,$U$6=FALSE,$U$7=FALSE)),VLOOKUP($E579,'Status Thresholds'!$E:$AR,5,FALSE),IF((AND($U$4=TRUE,$U$5=FALSE,$U$6=TRUE,$U$7=FALSE)),VLOOKUP($E579,'Status Thresholds'!$E:$AR,15,FALSE),IF((AND($U$4=TRUE,$U$5=FALSE,$U$6=TRUE,$U$7=TRUE)),VLOOKUP($E579,'Status Thresholds'!$E:$AR,20,FALSE),IF((AND($U$4=TRUE,$U$5=FALSE,$U$6=FALSE,$U$7=TRUE)),VLOOKUP($E579,'Status Thresholds'!$E:$AR,10,FALSE),
IF((AND($U$4=FALSE,$U$5=TRUE,$U$6=FALSE,$U$7=FALSE)),VLOOKUP($E579,'Status Thresholds'!$E:$AR,25,FALSE),IF((AND($U$4=FALSE,$U$5=TRUE,$U$6=TRUE,$U$7=FALSE)),VLOOKUP($E579,'Status Thresholds'!$E:$AR,35,FALSE),IF((AND($U$4=FALSE,$U$5=TRUE,$U$6=TRUE,$U$7=TRUE)),VLOOKUP($E579,'Status Thresholds'!$E:$AR,40,FALSE),IF((AND($U$4=FALSE,$U$5=TRUE,$U$6=FALSE,$U$7=TRUE)),VLOOKUP($E579,'Status Thresholds'!$E:$AR,30,FALSE)))))))))
))/
IF(OR($X$5=TRUE,$AC$3=TRUE
),($F$5/2), IF(OR($X$2,$X$3,$X$4,$X$6,$X$7,$X$8,$Z$2,$Z$3,$Z$4,$Z$5,$Z$6,$Z$7,$Z$8)=TRUE,$F$5)),0),"-")</f>
        <v>-</v>
      </c>
      <c r="J579" s="46">
        <f>IFERROR(IF(AND($U$5=FALSE,$U$4=FALSE),"-",VLOOKUP($E579,'Status Thresholds'!$E:$AU,41,FALSE)),"-")</f>
        <v>60</v>
      </c>
      <c r="K579" s="46" t="str">
        <f>IFERROR(IF(AND($U$5=FALSE,$U$4=FALSE),"-",VLOOKUP($E579,'Status Thresholds'!$E:$AU,42,FALSE)),"-")</f>
        <v>-</v>
      </c>
      <c r="L579" s="46" t="str">
        <f>IFERROR(IF(AND($U$5=FALSE,$U$4=FALSE),"-",VLOOKUP($E579,'Status Thresholds'!$E:$AU,43,FALSE)),"-")</f>
        <v>-</v>
      </c>
    </row>
    <row r="580" spans="1:12" x14ac:dyDescent="0.25">
      <c r="A580" s="35"/>
      <c r="B580" s="64" t="str">
        <f>VLOOKUP(C580,'Status Thresholds'!B:C,2,FALSE)</f>
        <v>MHGen</v>
      </c>
      <c r="C580" s="64" t="str">
        <f>IF('Status Thresholds'!B575=0, "", 'Status Thresholds'!B575)</f>
        <v>Rajang</v>
      </c>
      <c r="D580" s="10" t="s">
        <v>22</v>
      </c>
      <c r="E580" s="36" t="str">
        <f t="shared" si="8"/>
        <v>RajangExhaust</v>
      </c>
      <c r="F580" s="36" t="str">
        <f>IFERROR(
ROUNDUP(
IF(AND($U$5=FALSE,$U$4=FALSE),"-",IF(AND($U$5=TRUE,$U$4=TRUE),"-",
IF((AND($U$4=TRUE,$U$5=FALSE,$U$6=FALSE,$U$7=FALSE)),VLOOKUP($E580,'Status Thresholds'!$E:$AR,2,FALSE),IF((AND($U$4=TRUE,$U$5=FALSE,$U$6=TRUE,$U$7=FALSE)),VLOOKUP($E580,'Status Thresholds'!$E:$AR,12,FALSE),IF((AND($U$4=TRUE,$U$5=FALSE,$U$6=TRUE,$U$7=TRUE)),VLOOKUP($E580,'Status Thresholds'!$E:$AR,17,FALSE),IF((AND($U$4=TRUE,$U$5=FALSE,$U$6=FALSE,$U$7=TRUE)),VLOOKUP($E580,'Status Thresholds'!$E:$AR,7,FALSE),
IF((AND($U$4=FALSE,$U$5=TRUE,$U$6=FALSE,$U$7=FALSE)),VLOOKUP($E580,'Status Thresholds'!$E:$AR,22,FALSE),IF((AND($U$4=FALSE,$U$5=TRUE,$U$6=TRUE,$U$7=FALSE)),VLOOKUP($E580,'Status Thresholds'!$E:$AR,32,FALSE),IF((AND($U$4=FALSE,$U$5=TRUE,$U$6=TRUE,$U$7=TRUE)),VLOOKUP($E580,'Status Thresholds'!$E:$AR,37,FALSE),IF((AND($U$4=FALSE,$U$5=TRUE,$U$6=FALSE,$U$7=TRUE)),VLOOKUP($E580,'Status Thresholds'!$E:$AR,27,FALSE)))))))))
))/
IF(OR($X$5=TRUE,$AC$3=TRUE
),($F$6/2), IF(OR($X$2,$X$3,$X$4,$X$6,$X$7,$X$8,$Z$2,$Z$3,$Z$4,$Z$5,$Z$6,$Z$7,$Z$8)=TRUE,$F$6)),0),"-")</f>
        <v>-</v>
      </c>
      <c r="G580" s="36" t="str">
        <f>IFERROR(
ROUNDUP(
IF(AND($U$5=FALSE,$U$4=FALSE),"-",IF(AND($U$5=TRUE,$U$4=TRUE),"-",
IF((AND($U$4=TRUE,$U$5=FALSE,$U$6=FALSE,$U$7=FALSE)),VLOOKUP($E580,'Status Thresholds'!$E:$AR,3,FALSE),IF((AND($U$4=TRUE,$U$5=FALSE,$U$6=TRUE,$U$7=FALSE)),VLOOKUP($E580,'Status Thresholds'!$E:$AR,13,FALSE),IF((AND($U$4=TRUE,$U$5=FALSE,$U$6=TRUE,$U$7=TRUE)),VLOOKUP($E580,'Status Thresholds'!$E:$AR,18,FALSE),IF((AND($U$4=TRUE,$U$5=FALSE,$U$6=FALSE,$U$7=TRUE)),VLOOKUP($E580,'Status Thresholds'!$E:$AR,8,FALSE),
IF((AND($U$4=FALSE,$U$5=TRUE,$U$6=FALSE,$U$7=FALSE)),VLOOKUP($E580,'Status Thresholds'!$E:$AR,23,FALSE),IF((AND($U$4=FALSE,$U$5=TRUE,$U$6=TRUE,$U$7=FALSE)),VLOOKUP($E580,'Status Thresholds'!$E:$AR,33,FALSE),IF((AND($U$4=FALSE,$U$5=TRUE,$U$6=TRUE,$U$7=TRUE)),VLOOKUP($E580,'Status Thresholds'!$E:$AR,38,FALSE),IF((AND($U$4=FALSE,$U$5=TRUE,$U$6=FALSE,$U$7=TRUE)),VLOOKUP($E580,'Status Thresholds'!$E:$AR,28,FALSE)))))))))
))/
IF(OR($X$5=TRUE,$AC$3=TRUE
),($F$6/2), IF(OR($X$2,$X$3,$X$4,$X$6,$X$7,$X$8,$Z$2,$Z$3,$Z$4,$Z$5,$Z$6,$Z$7,$Z$8)=TRUE,$F$6)),0),"-")</f>
        <v>-</v>
      </c>
      <c r="H580" s="36" t="str">
        <f>IFERROR(
ROUNDUP(
IF(AND($U$5=FALSE,$U$4=FALSE),"-",IF(AND($U$5=TRUE,$U$4=TRUE),"-",
IF((AND($U$4=TRUE,$U$5=FALSE,$U$6=FALSE,$U$7=FALSE)),VLOOKUP($E580,'Status Thresholds'!$E:$AR,4,FALSE),IF((AND($U$4=TRUE,$U$5=FALSE,$U$6=TRUE,$U$7=FALSE)),VLOOKUP($E580,'Status Thresholds'!$E:$AR,14,FALSE),IF((AND($U$4=TRUE,$U$5=FALSE,$U$6=TRUE,$U$7=TRUE)),VLOOKUP($E580,'Status Thresholds'!$E:$AR,19,FALSE),IF((AND($U$4=TRUE,$U$5=FALSE,$U$6=FALSE,$U$7=TRUE)),VLOOKUP($E580,'Status Thresholds'!$E:$AR,9,FALSE),
IF((AND($U$4=FALSE,$U$5=TRUE,$U$6=FALSE,$U$7=FALSE)),VLOOKUP($E580,'Status Thresholds'!$E:$AR,24,FALSE),IF((AND($U$4=FALSE,$U$5=TRUE,$U$6=TRUE,$U$7=FALSE)),VLOOKUP($E580,'Status Thresholds'!$E:$AR,34,FALSE),IF((AND($U$4=FALSE,$U$5=TRUE,$U$6=TRUE,$U$7=TRUE)),VLOOKUP($E580,'Status Thresholds'!$E:$AR,39,FALSE),IF((AND($U$4=FALSE,$U$5=TRUE,$U$6=FALSE,$U$7=TRUE)),VLOOKUP($E580,'Status Thresholds'!$E:$AR,29,FALSE)))))))))
))/
IF(OR($X$5=TRUE,$AC$3=TRUE
),($F$6/2), IF(OR($X$2,$X$3,$X$4,$X$6,$X$7,$X$8,$Z$2,$Z$3,$Z$4,$Z$5,$Z$6,$Z$7,$Z$8)=TRUE,$F$6)),0),"-")</f>
        <v>-</v>
      </c>
      <c r="I580" s="36" t="str">
        <f>IFERROR(
ROUNDUP(
IF(AND($U$5=FALSE,$U$4=FALSE),"-",IF(AND($U$5=TRUE,$U$4=TRUE),"-",
IF((AND($U$4=TRUE,$U$5=FALSE,$U$6=FALSE,$U$7=FALSE)),VLOOKUP($E580,'Status Thresholds'!$E:$AR,5,FALSE),IF((AND($U$4=TRUE,$U$5=FALSE,$U$6=TRUE,$U$7=FALSE)),VLOOKUP($E580,'Status Thresholds'!$E:$AR,15,FALSE),IF((AND($U$4=TRUE,$U$5=FALSE,$U$6=TRUE,$U$7=TRUE)),VLOOKUP($E580,'Status Thresholds'!$E:$AR,20,FALSE),IF((AND($U$4=TRUE,$U$5=FALSE,$U$6=FALSE,$U$7=TRUE)),VLOOKUP($E580,'Status Thresholds'!$E:$AR,10,FALSE),
IF((AND($U$4=FALSE,$U$5=TRUE,$U$6=FALSE,$U$7=FALSE)),VLOOKUP($E580,'Status Thresholds'!$E:$AR,25,FALSE),IF((AND($U$4=FALSE,$U$5=TRUE,$U$6=TRUE,$U$7=FALSE)),VLOOKUP($E580,'Status Thresholds'!$E:$AR,35,FALSE),IF((AND($U$4=FALSE,$U$5=TRUE,$U$6=TRUE,$U$7=TRUE)),VLOOKUP($E580,'Status Thresholds'!$E:$AR,40,FALSE),IF((AND($U$4=FALSE,$U$5=TRUE,$U$6=FALSE,$U$7=TRUE)),VLOOKUP($E580,'Status Thresholds'!$E:$AR,30,FALSE)))))))))
))/
IF(OR($X$5=TRUE,$AC$3=TRUE
),($F$6/2), IF(OR($X$2,$X$3,$X$4,$X$6,$X$7,$X$8,$Z$2,$Z$3,$Z$4,$Z$5,$Z$6,$Z$7,$Z$8)=TRUE,$F$6)),0),"-")</f>
        <v>-</v>
      </c>
      <c r="J580" s="46">
        <f>IFERROR(IF(AND($U$5=FALSE,$U$4=FALSE),"-",VLOOKUP($E580,'Status Thresholds'!$E:$AU,41,FALSE)),"-")</f>
        <v>0</v>
      </c>
      <c r="K580" s="46" t="str">
        <f>IFERROR(IF(AND($U$5=FALSE,$U$4=FALSE),"-",VLOOKUP($E580,'Status Thresholds'!$E:$AU,42,FALSE)),"-")</f>
        <v>-</v>
      </c>
      <c r="L580" s="46" t="str">
        <f>IFERROR(IF(AND($U$5=FALSE,$U$4=FALSE),"-",VLOOKUP($E580,'Status Thresholds'!$E:$AU,43,FALSE)),"-")</f>
        <v>-</v>
      </c>
    </row>
    <row r="581" spans="1:12" x14ac:dyDescent="0.25">
      <c r="A581" s="35"/>
      <c r="B581" s="64" t="str">
        <f>VLOOKUP(C581,'Status Thresholds'!B:C,2,FALSE)</f>
        <v>MHGen</v>
      </c>
      <c r="C581" s="64" t="str">
        <f>IF('Status Thresholds'!B576=0, "", 'Status Thresholds'!B576)</f>
        <v>Rajang</v>
      </c>
      <c r="D581" s="30" t="s">
        <v>35</v>
      </c>
      <c r="E581" s="36" t="str">
        <f t="shared" si="8"/>
        <v>RajangBlast</v>
      </c>
      <c r="F581" s="36" t="str">
        <f>IFERROR(
ROUNDUP(
IF(AND($U$5=FALSE,$U$4=FALSE),"-",IF(AND($U$5=TRUE,$U$4=TRUE),"-",
IF((AND($U$4=TRUE,$U$5=FALSE,$U$6=FALSE,$U$7=FALSE)),VLOOKUP($E581,'Status Thresholds'!$E:$AR,2,FALSE),IF((AND($U$4=TRUE,$U$5=FALSE,$U$6=TRUE,$U$7=FALSE)),VLOOKUP($E581,'Status Thresholds'!$E:$AR,12,FALSE),IF((AND($U$4=TRUE,$U$5=FALSE,$U$6=TRUE,$U$7=TRUE)),VLOOKUP($E581,'Status Thresholds'!$E:$AR,17,FALSE),IF((AND($U$4=TRUE,$U$5=FALSE,$U$6=FALSE,$U$7=TRUE)),VLOOKUP($E581,'Status Thresholds'!$E:$AR,7,FALSE),
IF((AND($U$4=FALSE,$U$5=TRUE,$U$6=FALSE,$U$7=FALSE)),VLOOKUP($E581,'Status Thresholds'!$E:$AR,22,FALSE),IF((AND($U$4=FALSE,$U$5=TRUE,$U$6=TRUE,$U$7=FALSE)),VLOOKUP($E581,'Status Thresholds'!$E:$AR,32,FALSE),IF((AND($U$4=FALSE,$U$5=TRUE,$U$6=TRUE,$U$7=TRUE)),VLOOKUP($E581,'Status Thresholds'!$E:$AR,37,FALSE),IF((AND($U$4=FALSE,$U$5=TRUE,$U$6=FALSE,$U$7=TRUE)),VLOOKUP($E581,'Status Thresholds'!$E:$AR,27,FALSE)))))))))
))/
IF(OR($X$5=TRUE,$AC$3=TRUE
),($F$7/2), IF(OR($X$2,$X$3,$X$4,$X$6,$X$7,$X$8,$Z$2,$Z$3,$Z$4,$Z$5,$Z$6,$Z$7,$Z$8)=TRUE,$F$7)),0),"-")</f>
        <v>-</v>
      </c>
      <c r="G581" s="36" t="str">
        <f>IFERROR(
ROUNDUP(
IF(AND($U$5=FALSE,$U$4=FALSE),"-",IF(AND($U$5=TRUE,$U$4=TRUE),"-",
IF((AND($U$4=TRUE,$U$5=FALSE,$U$6=FALSE,$U$7=FALSE)),VLOOKUP($E581,'Status Thresholds'!$E:$AR,3,FALSE),IF((AND($U$4=TRUE,$U$5=FALSE,$U$6=TRUE,$U$7=FALSE)),VLOOKUP($E581,'Status Thresholds'!$E:$AR,13,FALSE),IF((AND($U$4=TRUE,$U$5=FALSE,$U$6=TRUE,$U$7=TRUE)),VLOOKUP($E581,'Status Thresholds'!$E:$AR,18,FALSE),IF((AND($U$4=TRUE,$U$5=FALSE,$U$6=FALSE,$U$7=TRUE)),VLOOKUP($E581,'Status Thresholds'!$E:$AR,8,FALSE),
IF((AND($U$4=FALSE,$U$5=TRUE,$U$6=FALSE,$U$7=FALSE)),VLOOKUP($E581,'Status Thresholds'!$E:$AR,23,FALSE),IF((AND($U$4=FALSE,$U$5=TRUE,$U$6=TRUE,$U$7=FALSE)),VLOOKUP($E581,'Status Thresholds'!$E:$AR,33,FALSE),IF((AND($U$4=FALSE,$U$5=TRUE,$U$6=TRUE,$U$7=TRUE)),VLOOKUP($E581,'Status Thresholds'!$E:$AR,38,FALSE),IF((AND($U$4=FALSE,$U$5=TRUE,$U$6=FALSE,$U$7=TRUE)),VLOOKUP($E581,'Status Thresholds'!$E:$AR,28,FALSE)))))))))
))/
IF(OR($X$5=TRUE,$AC$3=TRUE
),($F$7/2), IF(OR($X$2,$X$3,$X$4,$X$6,$X$7,$X$8,$Z$2,$Z$3,$Z$4,$Z$5,$Z$6,$Z$7,$Z$8)=TRUE,$F$7)),0),"-")</f>
        <v>-</v>
      </c>
      <c r="H581" s="36" t="str">
        <f>IFERROR(
ROUNDUP(
IF(AND($U$5=FALSE,$U$4=FALSE),"-",IF(AND($U$5=TRUE,$U$4=TRUE),"-",
IF((AND($U$4=TRUE,$U$5=FALSE,$U$6=FALSE,$U$7=FALSE)),VLOOKUP($E581,'Status Thresholds'!$E:$AR,4,FALSE),IF((AND($U$4=TRUE,$U$5=FALSE,$U$6=TRUE,$U$7=FALSE)),VLOOKUP($E581,'Status Thresholds'!$E:$AR,14,FALSE),IF((AND($U$4=TRUE,$U$5=FALSE,$U$6=TRUE,$U$7=TRUE)),VLOOKUP($E581,'Status Thresholds'!$E:$AR,19,FALSE),IF((AND($U$4=TRUE,$U$5=FALSE,$U$6=FALSE,$U$7=TRUE)),VLOOKUP($E581,'Status Thresholds'!$E:$AR,9,FALSE),
IF((AND($U$4=FALSE,$U$5=TRUE,$U$6=FALSE,$U$7=FALSE)),VLOOKUP($E581,'Status Thresholds'!$E:$AR,24,FALSE),IF((AND($U$4=FALSE,$U$5=TRUE,$U$6=TRUE,$U$7=FALSE)),VLOOKUP($E581,'Status Thresholds'!$E:$AR,34,FALSE),IF((AND($U$4=FALSE,$U$5=TRUE,$U$6=TRUE,$U$7=TRUE)),VLOOKUP($E581,'Status Thresholds'!$E:$AR,39,FALSE),IF((AND($U$4=FALSE,$U$5=TRUE,$U$6=FALSE,$U$7=TRUE)),VLOOKUP($E581,'Status Thresholds'!$E:$AR,29,FALSE)))))))))
))/
IF(OR($X$5=TRUE,$AC$3=TRUE
),($F$7/2), IF(OR($X$2,$X$3,$X$4,$X$6,$X$7,$X$8,$Z$2,$Z$3,$Z$4,$Z$5,$Z$6,$Z$7,$Z$8)=TRUE,$F$7)),0),"-")</f>
        <v>-</v>
      </c>
      <c r="I581" s="36" t="str">
        <f>IFERROR(
ROUNDUP(
IF(AND($U$5=FALSE,$U$4=FALSE),"-",IF(AND($U$5=TRUE,$U$4=TRUE),"-",
IF((AND($U$4=TRUE,$U$5=FALSE,$U$6=FALSE,$U$7=FALSE)),VLOOKUP($E581,'Status Thresholds'!$E:$AR,5,FALSE),IF((AND($U$4=TRUE,$U$5=FALSE,$U$6=TRUE,$U$7=FALSE)),VLOOKUP($E581,'Status Thresholds'!$E:$AR,15,FALSE),IF((AND($U$4=TRUE,$U$5=FALSE,$U$6=TRUE,$U$7=TRUE)),VLOOKUP($E581,'Status Thresholds'!$E:$AR,20,FALSE),IF((AND($U$4=TRUE,$U$5=FALSE,$U$6=FALSE,$U$7=TRUE)),VLOOKUP($E581,'Status Thresholds'!$E:$AR,10,FALSE),
IF((AND($U$4=FALSE,$U$5=TRUE,$U$6=FALSE,$U$7=FALSE)),VLOOKUP($E581,'Status Thresholds'!$E:$AR,25,FALSE),IF((AND($U$4=FALSE,$U$5=TRUE,$U$6=TRUE,$U$7=FALSE)),VLOOKUP($E581,'Status Thresholds'!$E:$AR,35,FALSE),IF((AND($U$4=FALSE,$U$5=TRUE,$U$6=TRUE,$U$7=TRUE)),VLOOKUP($E581,'Status Thresholds'!$E:$AR,40,FALSE),IF((AND($U$4=FALSE,$U$5=TRUE,$U$6=FALSE,$U$7=TRUE)),VLOOKUP($E581,'Status Thresholds'!$E:$AR,30,FALSE)))))))))
))/
IF(OR($X$5=TRUE,$AC$3=TRUE
),($F$7/2), IF(OR($X$2,$X$3,$X$4,$X$6,$X$7,$X$8,$Z$2,$Z$3,$Z$4,$Z$5,$Z$6,$Z$7,$Z$8)=TRUE,$F$7)),0),"-")</f>
        <v>-</v>
      </c>
      <c r="J581" s="46">
        <f>IFERROR(IF(AND($U$5=FALSE,$U$4=FALSE),"-",VLOOKUP($E581,'Status Thresholds'!$E:$AU,41,FALSE)),"-")</f>
        <v>0</v>
      </c>
      <c r="K581" s="46" t="str">
        <f>IFERROR(IF(AND($U$5=FALSE,$U$4=FALSE),"-",VLOOKUP($E581,'Status Thresholds'!$E:$AU,42,FALSE)),"-")</f>
        <v>-</v>
      </c>
      <c r="L581" s="46" t="str">
        <f>IFERROR(IF(AND($U$5=FALSE,$U$4=FALSE),"-",VLOOKUP($E581,'Status Thresholds'!$E:$AU,43,FALSE)),"-")</f>
        <v>-</v>
      </c>
    </row>
    <row r="582" spans="1:12" ht="14.45" customHeight="1" x14ac:dyDescent="0.25">
      <c r="A582" s="35"/>
      <c r="B582" s="64" t="str">
        <f>VLOOKUP(C582,'Status Thresholds'!B:C,2,FALSE)</f>
        <v>MHGen</v>
      </c>
      <c r="C582" s="64" t="str">
        <f>IF('Status Thresholds'!B577=0, "", 'Status Thresholds'!B577)</f>
        <v>Rajang</v>
      </c>
      <c r="D582" s="34" t="s">
        <v>14</v>
      </c>
      <c r="E582" s="36" t="str">
        <f t="shared" si="8"/>
        <v>RajangKO</v>
      </c>
      <c r="F582" s="36" t="s">
        <v>214</v>
      </c>
      <c r="G582" s="36" t="s">
        <v>214</v>
      </c>
      <c r="H582" s="36" t="s">
        <v>214</v>
      </c>
      <c r="I582" s="36" t="s">
        <v>214</v>
      </c>
      <c r="J582" s="46">
        <f>IFERROR(IF(AND($U$5=FALSE,$U$4=FALSE),"-",VLOOKUP($E582,'Status Thresholds'!$E:$AU,41,FALSE)),"-")</f>
        <v>10</v>
      </c>
      <c r="K582" s="46" t="str">
        <f>IFERROR(IF(AND($U$5=FALSE,$U$4=FALSE),"-",VLOOKUP($E582,'Status Thresholds'!$E:$AU,42,FALSE)),"-")</f>
        <v>-</v>
      </c>
      <c r="L582" s="46" t="str">
        <f>IFERROR(IF(AND($U$5=FALSE,$U$4=FALSE),"-",VLOOKUP($E582,'Status Thresholds'!$E:$AU,43,FALSE)),"-")</f>
        <v>-</v>
      </c>
    </row>
    <row r="583" spans="1:12" x14ac:dyDescent="0.25">
      <c r="A583" s="35"/>
      <c r="B583" s="64" t="str">
        <f>VLOOKUP(C583,'Status Thresholds'!B:C,2,FALSE)</f>
        <v>MHGen</v>
      </c>
      <c r="C583" s="64" t="str">
        <f>IF('Status Thresholds'!B578=0, "", 'Status Thresholds'!B578)</f>
        <v>Rajang</v>
      </c>
      <c r="D583" s="33" t="s">
        <v>34</v>
      </c>
      <c r="E583" s="36" t="str">
        <f t="shared" si="8"/>
        <v>RajangMount</v>
      </c>
      <c r="F583" s="36" t="str">
        <f>IFERROR(
ROUNDUP(
IF(AND($U$5=FALSE,$U$4=FALSE),"-",IF(AND($U$5=TRUE,$U$4=TRUE),"-",
IF((AND($U$4=TRUE,$U$5=FALSE,$U$6=FALSE,$U$7=FALSE)),VLOOKUP($E583,'Status Thresholds'!$E:$AR,2,FALSE),IF((AND($U$4=TRUE,$U$5=FALSE,$U$6=TRUE,$U$7=FALSE)),VLOOKUP($E583,'Status Thresholds'!$E:$AR,12,FALSE),IF((AND($U$4=TRUE,$U$5=FALSE,$U$6=TRUE,$U$7=TRUE)),VLOOKUP($E583,'Status Thresholds'!$E:$AR,17,FALSE),IF((AND($U$4=TRUE,$U$5=FALSE,$U$6=FALSE,$U$7=TRUE)),VLOOKUP($E583,'Status Thresholds'!$E:$AR,7,FALSE),
IF((AND($U$4=FALSE,$U$5=TRUE,$U$6=FALSE,$U$7=FALSE)),VLOOKUP($E583,'Status Thresholds'!$E:$AR,22,FALSE),IF((AND($U$4=FALSE,$U$5=TRUE,$U$6=TRUE,$U$7=FALSE)),VLOOKUP($E583,'Status Thresholds'!$E:$AR,32,FALSE),IF((AND($U$4=FALSE,$U$5=TRUE,$U$6=TRUE,$U$7=TRUE)),VLOOKUP($E583,'Status Thresholds'!$E:$AR,37,FALSE),IF((AND($U$4=FALSE,$U$5=TRUE,$U$6=FALSE,$U$7=TRUE)),VLOOKUP($E583,'Status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583" s="36" t="str">
        <f>IFERROR(
ROUNDUP(
IF(AND($U$5=FALSE,$U$4=FALSE),"-",IF(AND($U$5=TRUE,$U$4=TRUE),"-",
IF((AND($U$4=TRUE,$U$5=FALSE,$U$6=FALSE,$U$7=FALSE)),VLOOKUP($E582,'Status Thresholds'!$E:$AR,3,FALSE),IF((AND($U$4=TRUE,$U$5=FALSE,$U$6=TRUE,$U$7=FALSE)),VLOOKUP($E582,'Status Thresholds'!$E:$AR,13,FALSE),IF((AND($U$4=TRUE,$U$5=FALSE,$U$6=TRUE,$U$7=TRUE)),VLOOKUP($E582,'Status Thresholds'!$E:$AR,18,FALSE),IF((AND($U$4=TRUE,$U$5=FALSE,$U$6=FALSE,$U$7=TRUE)),VLOOKUP($E582,'Status Thresholds'!$E:$AR,8,FALSE),
IF((AND($U$4=FALSE,$U$5=TRUE,$U$6=FALSE,$U$7=FALSE)),VLOOKUP($E582,'Status Thresholds'!$E:$AR,23,FALSE),IF((AND($U$4=FALSE,$U$5=TRUE,$U$6=TRUE,$U$7=FALSE)),VLOOKUP($E582,'Status Thresholds'!$E:$AR,33,FALSE),IF((AND($U$4=FALSE,$U$5=TRUE,$U$6=TRUE,$U$7=TRUE)),VLOOKUP($E582,'Status Thresholds'!$E:$AR,38,FALSE),IF((AND($U$4=FALSE,$U$5=TRUE,$U$6=FALSE,$U$7=TRUE)),VLOOKUP($E582,'Status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583" s="36" t="str">
        <f>IFERROR(
ROUNDUP(
IF(AND($U$5=FALSE,$U$4=FALSE),"-",IF(AND($U$5=TRUE,$U$4=TRUE),"-",
IF((AND($U$4=TRUE,$U$5=FALSE,$U$6=FALSE,$U$7=FALSE)),VLOOKUP($E582,'Status Thresholds'!$E:$AR,4,FALSE),IF((AND($U$4=TRUE,$U$5=FALSE,$U$6=TRUE,$U$7=FALSE)),VLOOKUP($E582,'Status Thresholds'!$E:$AR,14,FALSE),IF((AND($U$4=TRUE,$U$5=FALSE,$U$6=TRUE,$U$7=TRUE)),VLOOKUP($E582,'Status Thresholds'!$E:$AR,19,FALSE),IF((AND($U$4=TRUE,$U$5=FALSE,$U$6=FALSE,$U$7=TRUE)),VLOOKUP($E582,'Status Thresholds'!$E:$AR,9,FALSE),
IF((AND($U$4=FALSE,$U$5=TRUE,$U$6=FALSE,$U$7=FALSE)),VLOOKUP($E582,'Status Thresholds'!$E:$AR,24,FALSE),IF((AND($U$4=FALSE,$U$5=TRUE,$U$6=TRUE,$U$7=FALSE)),VLOOKUP($E582,'Status Thresholds'!$E:$AR,34,FALSE),IF((AND($U$4=FALSE,$U$5=TRUE,$U$6=TRUE,$U$7=TRUE)),VLOOKUP($E582,'Status Thresholds'!$E:$AR,39,FALSE),IF((AND($U$4=FALSE,$U$5=TRUE,$U$6=FALSE,$U$7=TRUE)),VLOOKUP($E582,'Status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583" s="36" t="str">
        <f>IFERROR(
ROUNDUP(
IF(AND($U$5=FALSE,$U$4=FALSE),"-",IF(AND($U$5=TRUE,$U$4=TRUE),"-",
IF((AND($U$4=TRUE,$U$5=FALSE,$U$6=FALSE,$U$7=FALSE)),VLOOKUP($E582,'Status Thresholds'!$E:$AR,5,FALSE),IF((AND($U$4=TRUE,$U$5=FALSE,$U$6=TRUE,$U$7=FALSE)),VLOOKUP($E582,'Status Thresholds'!$E:$AR,15,FALSE),IF((AND($U$4=TRUE,$U$5=FALSE,$U$6=TRUE,$U$7=TRUE)),VLOOKUP($E582,'Status Thresholds'!$E:$AR,20,FALSE),IF((AND($U$4=TRUE,$U$5=FALSE,$U$6=FALSE,$U$7=TRUE)),VLOOKUP($E582,'Status Thresholds'!$E:$AR,10,FALSE),
IF((AND($U$4=FALSE,$U$5=TRUE,$U$6=FALSE,$U$7=FALSE)),VLOOKUP($E582,'Status Thresholds'!$E:$AR,25,FALSE),IF((AND($U$4=FALSE,$U$5=TRUE,$U$6=TRUE,$U$7=FALSE)),VLOOKUP($E582,'Status Thresholds'!$E:$AR,35,FALSE),IF((AND($U$4=FALSE,$U$5=TRUE,$U$6=TRUE,$U$7=TRUE)),VLOOKUP($E582,'Status Thresholds'!$E:$AR,40,FALSE),IF((AND($U$4=FALSE,$U$5=TRUE,$U$6=FALSE,$U$7=TRUE)),VLOOKUP($E582,'Status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583" s="46">
        <f>IFERROR(IF(AND($U$5=FALSE,$U$4=FALSE),"-",VLOOKUP($E583,'Status Thresholds'!$E:$AU,41,FALSE)),"-")</f>
        <v>0</v>
      </c>
      <c r="K583" s="46" t="str">
        <f>IFERROR(IF(AND($U$5=FALSE,$U$4=FALSE),"-",VLOOKUP($E583,'Status Thresholds'!$E:$AU,42,FALSE)),"-")</f>
        <v>-</v>
      </c>
      <c r="L583" s="46" t="str">
        <f>IFERROR(IF(AND($U$5=FALSE,$U$4=FALSE),"-",VLOOKUP($E583,'Status Thresholds'!$E:$AU,43,FALSE)),"-")</f>
        <v>-</v>
      </c>
    </row>
    <row r="584" spans="1:12" ht="15" customHeight="1" x14ac:dyDescent="0.25">
      <c r="A584" s="35"/>
      <c r="B584" s="64" t="str">
        <f>VLOOKUP(C584,'Status Thresholds'!B:C,2,FALSE)</f>
        <v>MHGen</v>
      </c>
      <c r="C584" s="64" t="str">
        <f>IF('Status Thresholds'!B579=0, "", 'Status Thresholds'!B579)</f>
        <v>Rajang</v>
      </c>
      <c r="D584" s="77" t="s">
        <v>207</v>
      </c>
      <c r="E584" s="36" t="str">
        <f t="shared" si="8"/>
        <v>RajangShock Trap</v>
      </c>
      <c r="F584" s="76" t="s">
        <v>214</v>
      </c>
      <c r="G584" s="46" t="s">
        <v>214</v>
      </c>
      <c r="H584" s="46" t="s">
        <v>214</v>
      </c>
      <c r="I584" s="46" t="s">
        <v>214</v>
      </c>
      <c r="J584" s="46">
        <f>IFERROR(IF(AND($U$5=FALSE,$U$4=FALSE),"-",VLOOKUP($E584,'Status Thresholds'!$E:$AU,43,FALSE)),"-")</f>
        <v>8</v>
      </c>
      <c r="K584" s="46">
        <f>IFERROR(IF(AND($U$5=FALSE,$U$4=FALSE),"-",VLOOKUP($E584,'Status Thresholds'!$E:$AU,41,FALSE)),"-")</f>
        <v>8</v>
      </c>
      <c r="L584" s="46">
        <f>IFERROR(IF(AND($U$5=FALSE,$U$4=FALSE),"-",VLOOKUP($E584,'Status Thresholds'!$E:$AU,42,FALSE)),"-")</f>
        <v>15</v>
      </c>
    </row>
    <row r="585" spans="1:12" x14ac:dyDescent="0.25">
      <c r="A585" s="35"/>
      <c r="B585" s="64" t="str">
        <f>VLOOKUP(C585,'Status Thresholds'!B:C,2,FALSE)</f>
        <v>MHGen</v>
      </c>
      <c r="C585" s="64" t="str">
        <f>IF('Status Thresholds'!B580=0, "", 'Status Thresholds'!B580)</f>
        <v>Rajang</v>
      </c>
      <c r="D585" s="77" t="s">
        <v>213</v>
      </c>
      <c r="E585" s="36" t="str">
        <f t="shared" si="8"/>
        <v>RajangPitfall Trap</v>
      </c>
      <c r="F585" s="46" t="s">
        <v>214</v>
      </c>
      <c r="G585" s="46" t="s">
        <v>214</v>
      </c>
      <c r="H585" s="46" t="s">
        <v>214</v>
      </c>
      <c r="I585" s="46" t="s">
        <v>214</v>
      </c>
      <c r="J585" s="46">
        <f>IFERROR(IF(AND($U$5=FALSE,$U$4=FALSE),"-",VLOOKUP($E585,'Status Thresholds'!$E:$AU,43,FALSE)),"-")</f>
        <v>18</v>
      </c>
      <c r="K585" s="46">
        <f>IFERROR(IF(AND($U$5=FALSE,$U$4=FALSE),"-",VLOOKUP($E585,'Status Thresholds'!$E:$AU,41,FALSE)),"-")</f>
        <v>18</v>
      </c>
      <c r="L585" s="46">
        <f>IFERROR(IF(AND($U$5=FALSE,$U$4=FALSE),"-",VLOOKUP($E585,'Status Thresholds'!$E:$AU,42,FALSE)),"-")</f>
        <v>20</v>
      </c>
    </row>
    <row r="586" spans="1:12" s="36" customFormat="1" x14ac:dyDescent="0.25">
      <c r="A586" s="64"/>
      <c r="B586" s="64" t="str">
        <f>VLOOKUP(C586,'Status Thresholds'!B:C,2,FALSE)</f>
        <v>MHGen</v>
      </c>
      <c r="C586" s="64" t="str">
        <f>IF('Status Thresholds'!B581=0, "", 'Status Thresholds'!B581)</f>
        <v>Rajang (Furious)</v>
      </c>
      <c r="D586" s="37" t="s">
        <v>0</v>
      </c>
      <c r="E586" s="36" t="str">
        <f t="shared" si="8"/>
        <v>Rajang (Furious)Para</v>
      </c>
      <c r="F586" s="36" t="str">
        <f>IFERROR(
ROUNDUP(
IF(AND($U$5=FALSE,$U$4=FALSE),"-",IF(AND($U$5=TRUE,$U$4=TRUE),"-",
IF((AND($U$4=TRUE,$U$5=FALSE,$U$6=FALSE,$U$7=FALSE)),VLOOKUP($E586,'Status Thresholds'!$E:$AR,2,FALSE),IF((AND($U$4=TRUE,$U$5=FALSE,$U$6=TRUE,$U$7=FALSE)),VLOOKUP($E586,'Status Thresholds'!$E:$AR,12,FALSE),IF((AND($U$4=TRUE,$U$5=FALSE,$U$6=TRUE,$U$7=TRUE)),VLOOKUP($E586,'Status Thresholds'!$E:$AR,17,FALSE),IF((AND($U$4=TRUE,$U$5=FALSE,$U$6=FALSE,$U$7=TRUE)),VLOOKUP($E586,'Status Thresholds'!$E:$AR,7,FALSE),
IF((AND($U$4=FALSE,$U$5=TRUE,$U$6=FALSE,$U$7=FALSE)),VLOOKUP($E586,'Status Thresholds'!$E:$AR,22,FALSE),IF((AND($U$4=FALSE,$U$5=TRUE,$U$6=TRUE,$U$7=FALSE)),VLOOKUP($E586,'Status Thresholds'!$E:$AR,32,FALSE),IF((AND($U$4=FALSE,$U$5=TRUE,$U$6=TRUE,$U$7=TRUE)),VLOOKUP($E586,'Status Thresholds'!$E:$AR,37,FALSE),IF((AND($U$4=FALSE,$U$5=TRUE,$U$6=FALSE,$U$7=TRUE)),VLOOKUP($E586,'Status Thresholds'!$E:$AR,27,FALSE)))))))))
))/
IF(OR($X$5=TRUE,$AC$3=TRUE
),($F$3/2), IF(OR($X$2,$X$3,$X$4,$X$6,$X$7,$X$8,$Z$2,$Z$3,$Z$4,$Z$5,$Z$6,$Z$7,$Z$8)=TRUE,$F$3)),0),"-")</f>
        <v>-</v>
      </c>
      <c r="G586" s="36" t="str">
        <f>IFERROR(
ROUNDUP(
IF(AND($U$5=FALSE,$U$4=FALSE),"-",IF(AND($U$5=TRUE,$U$4=TRUE),"-",
IF((AND($U$4=TRUE,$U$5=FALSE,$U$6=FALSE,$U$7=FALSE)),VLOOKUP($E586,'Status Thresholds'!$E:$AR,3,FALSE),IF((AND($U$4=TRUE,$U$5=FALSE,$U$6=TRUE,$U$7=FALSE)),VLOOKUP($E586,'Status Thresholds'!$E:$AR,13,FALSE),IF((AND($U$4=TRUE,$U$5=FALSE,$U$6=TRUE,$U$7=TRUE)),VLOOKUP($E586,'Status Thresholds'!$E:$AR,18,FALSE),IF((AND($U$4=TRUE,$U$5=FALSE,$U$6=FALSE,$U$7=TRUE)),VLOOKUP($E586,'Status Thresholds'!$E:$AR,8,FALSE),
IF((AND($U$4=FALSE,$U$5=TRUE,$U$6=FALSE,$U$7=FALSE)),VLOOKUP($E586,'Status Thresholds'!$E:$AR,23,FALSE),IF((AND($U$4=FALSE,$U$5=TRUE,$U$6=TRUE,$U$7=FALSE)),VLOOKUP($E586,'Status Thresholds'!$E:$AR,33,FALSE),IF((AND($U$4=FALSE,$U$5=TRUE,$U$6=TRUE,$U$7=TRUE)),VLOOKUP($E586,'Status Thresholds'!$E:$AR,38,FALSE),IF((AND($U$4=FALSE,$U$5=TRUE,$U$6=FALSE,$U$7=TRUE)),VLOOKUP($E586,'Status Thresholds'!$E:$AR,28,FALSE)))))))))
))/
IF(OR($X$5=TRUE,$AC$3=TRUE
),($F$3/2), IF(OR($X$2,$X$3,$X$4,$X$6,$X$7,$X$8,$Z$2,$Z$3,$Z$4,$Z$5,$Z$6,$Z$7,$Z$8)=TRUE,$F$3)),0),"-")</f>
        <v>-</v>
      </c>
      <c r="H586" s="36" t="str">
        <f>IFERROR(
ROUNDUP(
IF(AND($U$5=FALSE,$U$4=FALSE),"-",IF(AND($U$5=TRUE,$U$4=TRUE),"-",
IF((AND($U$4=TRUE,$U$5=FALSE,$U$6=FALSE,$U$7=FALSE)),VLOOKUP($E586,'Status Thresholds'!$E:$AR,4,FALSE),IF((AND($U$4=TRUE,$U$5=FALSE,$U$6=TRUE,$U$7=FALSE)),VLOOKUP($E586,'Status Thresholds'!$E:$AR,14,FALSE),IF((AND($U$4=TRUE,$U$5=FALSE,$U$6=TRUE,$U$7=TRUE)),VLOOKUP($E586,'Status Thresholds'!$E:$AR,19,FALSE),IF((AND($U$4=TRUE,$U$5=FALSE,$U$6=FALSE,$U$7=TRUE)),VLOOKUP($E586,'Status Thresholds'!$E:$AR,9,FALSE),
IF((AND($U$4=FALSE,$U$5=TRUE,$U$6=FALSE,$U$7=FALSE)),VLOOKUP($E586,'Status Thresholds'!$E:$AR,24,FALSE),IF((AND($U$4=FALSE,$U$5=TRUE,$U$6=TRUE,$U$7=FALSE)),VLOOKUP($E586,'Status Thresholds'!$E:$AR,34,FALSE),IF((AND($U$4=FALSE,$U$5=TRUE,$U$6=TRUE,$U$7=TRUE)),VLOOKUP($E586,'Status Thresholds'!$E:$AR,39,FALSE),IF((AND($U$4=FALSE,$U$5=TRUE,$U$6=FALSE,$U$7=TRUE)),VLOOKUP($E586,'Status Thresholds'!$E:$AR,29,FALSE)))))))))
))/
IF(OR($X$5=TRUE,$AC$3=TRUE
),($F$3/2), IF(OR($X$2,$X$3,$X$4,$X$6,$X$7,$X$8,$Z$2,$Z$3,$Z$4,$Z$5,$Z$6,$Z$7,$Z$8)=TRUE,$F$3)),0),"-")</f>
        <v>-</v>
      </c>
      <c r="I586" s="36" t="str">
        <f>IFERROR(
ROUNDUP(
IF(AND($U$5=FALSE,$U$4=FALSE),"-",IF(AND($U$5=TRUE,$U$4=TRUE),"-",
IF((AND($U$4=TRUE,$U$5=FALSE,$U$6=FALSE,$U$7=FALSE)),VLOOKUP($E586,'Status Thresholds'!$E:$AR,5,FALSE),IF((AND($U$4=TRUE,$U$5=FALSE,$U$6=TRUE,$U$7=FALSE)),VLOOKUP($E586,'Status Thresholds'!$E:$AR,15,FALSE),IF((AND($U$4=TRUE,$U$5=FALSE,$U$6=TRUE,$U$7=TRUE)),VLOOKUP($E586,'Status Thresholds'!$E:$AR,20,FALSE),IF((AND($U$4=TRUE,$U$5=FALSE,$U$6=FALSE,$U$7=TRUE)),VLOOKUP($E586,'Status Thresholds'!$E:$AR,10,FALSE),
IF((AND($U$4=FALSE,$U$5=TRUE,$U$6=FALSE,$U$7=FALSE)),VLOOKUP($E586,'Status Thresholds'!$E:$AR,25,FALSE),IF((AND($U$4=FALSE,$U$5=TRUE,$U$6=TRUE,$U$7=FALSE)),VLOOKUP($E586,'Status Thresholds'!$E:$AR,35,FALSE),IF((AND($U$4=FALSE,$U$5=TRUE,$U$6=TRUE,$U$7=TRUE)),VLOOKUP($E586,'Status Thresholds'!$E:$AR,40,FALSE),IF((AND($U$4=FALSE,$U$5=TRUE,$U$6=FALSE,$U$7=TRUE)),VLOOKUP($E586,'Status Thresholds'!$E:$AR,30,FALSE)))))))))
))/
IF(OR($X$5=TRUE,$AC$3=TRUE
),($F$3/2), IF(OR($X$2,$X$3,$X$4,$X$6,$X$7,$X$8,$Z$2,$Z$3,$Z$4,$Z$5,$Z$6,$Z$7,$Z$8)=TRUE,$F$3)),0),"-")</f>
        <v>-</v>
      </c>
      <c r="J586" s="36">
        <f>IFERROR(IF(AND($U$5=FALSE,$U$4=FALSE),"-",VLOOKUP($E586,'Status Thresholds'!$E:$AU,41,FALSE)),"-")</f>
        <v>10</v>
      </c>
      <c r="K586" s="36" t="str">
        <f>IFERROR(IF(AND($U$5=FALSE,$U$4=FALSE),"-",VLOOKUP($E586,'Status Thresholds'!$E:$AU,42,FALSE)),"-")</f>
        <v>-</v>
      </c>
      <c r="L586" s="36" t="str">
        <f>IFERROR(IF(AND($U$5=FALSE,$U$4=FALSE),"-",VLOOKUP($E586,'Status Thresholds'!$E:$AU,43,FALSE)),"-")</f>
        <v>-</v>
      </c>
    </row>
    <row r="587" spans="1:12" x14ac:dyDescent="0.25">
      <c r="A587" s="35"/>
      <c r="B587" s="64" t="str">
        <f>VLOOKUP(C587,'Status Thresholds'!B:C,2,FALSE)</f>
        <v>MHGen</v>
      </c>
      <c r="C587" s="64" t="str">
        <f>IF('Status Thresholds'!B582=0, "", 'Status Thresholds'!B582)</f>
        <v>Rajang (Furious)</v>
      </c>
      <c r="D587" s="31" t="s">
        <v>32</v>
      </c>
      <c r="E587" s="36" t="str">
        <f t="shared" si="8"/>
        <v>Rajang (Furious)Sleep</v>
      </c>
      <c r="F587" s="36" t="str">
        <f>IFERROR(
ROUNDUP(
IF(AND($U$5=FALSE,$U$4=FALSE),"-",IF(AND($U$5=TRUE,$U$4=TRUE),"-",
IF((AND($U$4=TRUE,$U$5=FALSE,$U$6=FALSE,$U$7=FALSE)),VLOOKUP($E587,'Status Thresholds'!$E:$AR,2,FALSE),IF((AND($U$4=TRUE,$U$5=FALSE,$U$6=TRUE,$U$7=FALSE)),VLOOKUP($E587,'Status Thresholds'!$E:$AR,12,FALSE),IF((AND($U$4=TRUE,$U$5=FALSE,$U$6=TRUE,$U$7=TRUE)),VLOOKUP($E587,'Status Thresholds'!$E:$AR,17,FALSE),IF((AND($U$4=TRUE,$U$5=FALSE,$U$6=FALSE,$U$7=TRUE)),VLOOKUP($E587,'Status Thresholds'!$E:$AR,7,FALSE),
IF((AND($U$4=FALSE,$U$5=TRUE,$U$6=FALSE,$U$7=FALSE)),VLOOKUP($E587,'Status Thresholds'!$E:$AR,22,FALSE),IF((AND($U$4=FALSE,$U$5=TRUE,$U$6=TRUE,$U$7=FALSE)),VLOOKUP($E587,'Status Thresholds'!$E:$AR,32,FALSE),IF((AND($U$4=FALSE,$U$5=TRUE,$U$6=TRUE,$U$7=TRUE)),VLOOKUP($E587,'Status Thresholds'!$E:$AR,37,FALSE),IF((AND($U$4=FALSE,$U$5=TRUE,$U$6=FALSE,$U$7=TRUE)),VLOOKUP($E587,'Status Thresholds'!$E:$AR,27,FALSE)))))))))
))/
IF(OR($X$5=TRUE,$AC$3=TRUE
),($F$4/2), IF(OR($X$2,$X$3,$X$4,$X$6,$X$7,$X$8,$Z$2,$Z$3,$Z$4,$Z$5,$Z$6,$Z$7,$Z$8)=TRUE,$F$4)),0),"-")</f>
        <v>-</v>
      </c>
      <c r="G587" s="36" t="str">
        <f>IFERROR(
ROUNDUP(
IF(AND($U$5=FALSE,$U$4=FALSE),"-",IF(AND($U$5=TRUE,$U$4=TRUE),"-",
IF((AND($U$4=TRUE,$U$5=FALSE,$U$6=FALSE,$U$7=FALSE)),VLOOKUP($E587,'Status Thresholds'!$E:$AR,3,FALSE),IF((AND($U$4=TRUE,$U$5=FALSE,$U$6=TRUE,$U$7=FALSE)),VLOOKUP($E587,'Status Thresholds'!$E:$AR,13,FALSE),IF((AND($U$4=TRUE,$U$5=FALSE,$U$6=TRUE,$U$7=TRUE)),VLOOKUP($E587,'Status Thresholds'!$E:$AR,18,FALSE),IF((AND($U$4=TRUE,$U$5=FALSE,$U$6=FALSE,$U$7=TRUE)),VLOOKUP($E587,'Status Thresholds'!$E:$AR,8,FALSE),
IF((AND($U$4=FALSE,$U$5=TRUE,$U$6=FALSE,$U$7=FALSE)),VLOOKUP($E587,'Status Thresholds'!$E:$AR,23,FALSE),IF((AND($U$4=FALSE,$U$5=TRUE,$U$6=TRUE,$U$7=FALSE)),VLOOKUP($E587,'Status Thresholds'!$E:$AR,33,FALSE),IF((AND($U$4=FALSE,$U$5=TRUE,$U$6=TRUE,$U$7=TRUE)),VLOOKUP($E587,'Status Thresholds'!$E:$AR,38,FALSE),IF((AND($U$4=FALSE,$U$5=TRUE,$U$6=FALSE,$U$7=TRUE)),VLOOKUP($E587,'Status Thresholds'!$E:$AR,28,FALSE)))))))))
))/
IF(OR($X$5=TRUE,$AC$3=TRUE
),($F$4/2), IF(OR($X$2,$X$3,$X$4,$X$6,$X$7,$X$8,$Z$2,$Z$3,$Z$4,$Z$5,$Z$6,$Z$7,$Z$8)=TRUE,$F$4)),0),"-")</f>
        <v>-</v>
      </c>
      <c r="H587" s="36" t="str">
        <f>IFERROR(
ROUNDUP(
IF(AND($U$5=FALSE,$U$4=FALSE),"-",IF(AND($U$5=TRUE,$U$4=TRUE),"-",
IF((AND($U$4=TRUE,$U$5=FALSE,$U$6=FALSE,$U$7=FALSE)),VLOOKUP($E587,'Status Thresholds'!$E:$AR,4,FALSE),IF((AND($U$4=TRUE,$U$5=FALSE,$U$6=TRUE,$U$7=FALSE)),VLOOKUP($E587,'Status Thresholds'!$E:$AR,14,FALSE),IF((AND($U$4=TRUE,$U$5=FALSE,$U$6=TRUE,$U$7=TRUE)),VLOOKUP($E587,'Status Thresholds'!$E:$AR,19,FALSE),IF((AND($U$4=TRUE,$U$5=FALSE,$U$6=FALSE,$U$7=TRUE)),VLOOKUP($E587,'Status Thresholds'!$E:$AR,9,FALSE),
IF((AND($U$4=FALSE,$U$5=TRUE,$U$6=FALSE,$U$7=FALSE)),VLOOKUP($E587,'Status Thresholds'!$E:$AR,24,FALSE),IF((AND($U$4=FALSE,$U$5=TRUE,$U$6=TRUE,$U$7=FALSE)),VLOOKUP($E587,'Status Thresholds'!$E:$AR,34,FALSE),IF((AND($U$4=FALSE,$U$5=TRUE,$U$6=TRUE,$U$7=TRUE)),VLOOKUP($E587,'Status Thresholds'!$E:$AR,39,FALSE),IF((AND($U$4=FALSE,$U$5=TRUE,$U$6=FALSE,$U$7=TRUE)),VLOOKUP($E587,'Status Thresholds'!$E:$AR,29,FALSE)))))))))
))/
IF(OR($X$5=TRUE,$AC$3=TRUE
),($F$4/2), IF(OR($X$2,$X$3,$X$4,$X$6,$X$7,$X$8,$Z$2,$Z$3,$Z$4,$Z$5,$Z$6,$Z$7,$Z$8)=TRUE,$F$4)),0),"-")</f>
        <v>-</v>
      </c>
      <c r="I587" s="36" t="str">
        <f>IFERROR(
ROUNDUP(
IF(AND($U$5=FALSE,$U$4=FALSE),"-",IF(AND($U$5=TRUE,$U$4=TRUE),"-",
IF((AND($U$4=TRUE,$U$5=FALSE,$U$6=FALSE,$U$7=FALSE)),VLOOKUP($E587,'Status Thresholds'!$E:$AR,5,FALSE),IF((AND($U$4=TRUE,$U$5=FALSE,$U$6=TRUE,$U$7=FALSE)),VLOOKUP($E587,'Status Thresholds'!$E:$AR,15,FALSE),IF((AND($U$4=TRUE,$U$5=FALSE,$U$6=TRUE,$U$7=TRUE)),VLOOKUP($E587,'Status Thresholds'!$E:$AR,20,FALSE),IF((AND($U$4=TRUE,$U$5=FALSE,$U$6=FALSE,$U$7=TRUE)),VLOOKUP($E587,'Status Thresholds'!$E:$AR,10,FALSE),
IF((AND($U$4=FALSE,$U$5=TRUE,$U$6=FALSE,$U$7=FALSE)),VLOOKUP($E587,'Status Thresholds'!$E:$AR,25,FALSE),IF((AND($U$4=FALSE,$U$5=TRUE,$U$6=TRUE,$U$7=FALSE)),VLOOKUP($E587,'Status Thresholds'!$E:$AR,35,FALSE),IF((AND($U$4=FALSE,$U$5=TRUE,$U$6=TRUE,$U$7=TRUE)),VLOOKUP($E587,'Status Thresholds'!$E:$AR,40,FALSE),IF((AND($U$4=FALSE,$U$5=TRUE,$U$6=FALSE,$U$7=TRUE)),VLOOKUP($E587,'Status Thresholds'!$E:$AR,30,FALSE)))))))))
))/
IF(OR($X$5=TRUE,$AC$3=TRUE
),($F$4/2), IF(OR($X$2,$X$3,$X$4,$X$6,$X$7,$X$8,$Z$2,$Z$3,$Z$4,$Z$5,$Z$6,$Z$7,$Z$8)=TRUE,$F$4)),0),"-")</f>
        <v>-</v>
      </c>
      <c r="J587" s="46">
        <f>IFERROR(IF(AND($U$5=FALSE,$U$4=FALSE),"-",VLOOKUP($E587,'Status Thresholds'!$E:$AU,41,FALSE)),"-")</f>
        <v>40</v>
      </c>
      <c r="K587" s="46" t="str">
        <f>IFERROR(IF(AND($U$5=FALSE,$U$4=FALSE),"-",VLOOKUP($E587,'Status Thresholds'!$E:$AU,42,FALSE)),"-")</f>
        <v>-</v>
      </c>
      <c r="L587" s="46" t="str">
        <f>IFERROR(IF(AND($U$5=FALSE,$U$4=FALSE),"-",VLOOKUP($E587,'Status Thresholds'!$E:$AU,43,FALSE)),"-")</f>
        <v>-</v>
      </c>
    </row>
    <row r="588" spans="1:12" x14ac:dyDescent="0.25">
      <c r="A588" s="35"/>
      <c r="B588" s="64" t="str">
        <f>VLOOKUP(C588,'Status Thresholds'!B:C,2,FALSE)</f>
        <v>MHGen</v>
      </c>
      <c r="C588" s="64" t="str">
        <f>IF('Status Thresholds'!B583=0, "", 'Status Thresholds'!B583)</f>
        <v>Rajang (Furious)</v>
      </c>
      <c r="D588" s="32" t="s">
        <v>33</v>
      </c>
      <c r="E588" s="36" t="str">
        <f t="shared" si="8"/>
        <v>Rajang (Furious)Poison</v>
      </c>
      <c r="F588" s="36" t="str">
        <f>IFERROR(
ROUNDUP(
IF(AND($U$5=FALSE,$U$4=FALSE),"-",IF(AND($U$5=TRUE,$U$4=TRUE),"-",
IF((AND($U$4=TRUE,$U$5=FALSE,$U$6=FALSE,$U$7=FALSE)),VLOOKUP($E588,'Status Thresholds'!$E:$AR,2,FALSE),IF((AND($U$4=TRUE,$U$5=FALSE,$U$6=TRUE,$U$7=FALSE)),VLOOKUP($E588,'Status Thresholds'!$E:$AR,12,FALSE),IF((AND($U$4=TRUE,$U$5=FALSE,$U$6=TRUE,$U$7=TRUE)),VLOOKUP($E588,'Status Thresholds'!$E:$AR,17,FALSE),IF((AND($U$4=TRUE,$U$5=FALSE,$U$6=FALSE,$U$7=TRUE)),VLOOKUP($E588,'Status Thresholds'!$E:$AR,7,FALSE),
IF((AND($U$4=FALSE,$U$5=TRUE,$U$6=FALSE,$U$7=FALSE)),VLOOKUP($E588,'Status Thresholds'!$E:$AR,22,FALSE),IF((AND($U$4=FALSE,$U$5=TRUE,$U$6=TRUE,$U$7=FALSE)),VLOOKUP($E588,'Status Thresholds'!$E:$AR,32,FALSE),IF((AND($U$4=FALSE,$U$5=TRUE,$U$6=TRUE,$U$7=TRUE)),VLOOKUP($E588,'Status Thresholds'!$E:$AR,37,FALSE),IF((AND($U$4=FALSE,$U$5=TRUE,$U$6=FALSE,$U$7=TRUE)),VLOOKUP($E588,'Status Thresholds'!$E:$AR,27,FALSE)))))))))
))/
IF(OR($X$5=TRUE,$AC$3=TRUE
),($F$5/2), IF(OR($X$2,$X$3,$X$4,$X$6,$X$7,$X$8,$Z$2,$Z$3,$Z$4,$Z$5,$Z$6,$Z$7,$Z$8)=TRUE,$F$5)),0),"-")</f>
        <v>-</v>
      </c>
      <c r="G588" s="36" t="str">
        <f>IFERROR(
ROUNDUP(
IF(AND($U$5=FALSE,$U$4=FALSE),"-",IF(AND($U$5=TRUE,$U$4=TRUE),"-",
IF((AND($U$4=TRUE,$U$5=FALSE,$U$6=FALSE,$U$7=FALSE)),VLOOKUP($E588,'Status Thresholds'!$E:$AR,3,FALSE),IF((AND($U$4=TRUE,$U$5=FALSE,$U$6=TRUE,$U$7=FALSE)),VLOOKUP($E588,'Status Thresholds'!$E:$AR,13,FALSE),IF((AND($U$4=TRUE,$U$5=FALSE,$U$6=TRUE,$U$7=TRUE)),VLOOKUP($E588,'Status Thresholds'!$E:$AR,18,FALSE),IF((AND($U$4=TRUE,$U$5=FALSE,$U$6=FALSE,$U$7=TRUE)),VLOOKUP($E588,'Status Thresholds'!$E:$AR,8,FALSE),
IF((AND($U$4=FALSE,$U$5=TRUE,$U$6=FALSE,$U$7=FALSE)),VLOOKUP($E588,'Status Thresholds'!$E:$AR,23,FALSE),IF((AND($U$4=FALSE,$U$5=TRUE,$U$6=TRUE,$U$7=FALSE)),VLOOKUP($E588,'Status Thresholds'!$E:$AR,33,FALSE),IF((AND($U$4=FALSE,$U$5=TRUE,$U$6=TRUE,$U$7=TRUE)),VLOOKUP($E588,'Status Thresholds'!$E:$AR,38,FALSE),IF((AND($U$4=FALSE,$U$5=TRUE,$U$6=FALSE,$U$7=TRUE)),VLOOKUP($E588,'Status Thresholds'!$E:$AR,28,FALSE)))))))))
))/
IF(OR($X$5=TRUE,$AC$3=TRUE
),($F$5/2), IF(OR($X$2,$X$3,$X$4,$X$6,$X$7,$X$8,$Z$2,$Z$3,$Z$4,$Z$5,$Z$6,$Z$7,$Z$8)=TRUE,$F$5)),0),"-")</f>
        <v>-</v>
      </c>
      <c r="H588" s="36" t="str">
        <f>IFERROR(
ROUNDUP(
IF(AND($U$5=FALSE,$U$4=FALSE),"-",IF(AND($U$5=TRUE,$U$4=TRUE),"-",
IF((AND($U$4=TRUE,$U$5=FALSE,$U$6=FALSE,$U$7=FALSE)),VLOOKUP($E588,'Status Thresholds'!$E:$AR,4,FALSE),IF((AND($U$4=TRUE,$U$5=FALSE,$U$6=TRUE,$U$7=FALSE)),VLOOKUP($E588,'Status Thresholds'!$E:$AR,14,FALSE),IF((AND($U$4=TRUE,$U$5=FALSE,$U$6=TRUE,$U$7=TRUE)),VLOOKUP($E588,'Status Thresholds'!$E:$AR,19,FALSE),IF((AND($U$4=TRUE,$U$5=FALSE,$U$6=FALSE,$U$7=TRUE)),VLOOKUP($E588,'Status Thresholds'!$E:$AR,9,FALSE),
IF((AND($U$4=FALSE,$U$5=TRUE,$U$6=FALSE,$U$7=FALSE)),VLOOKUP($E588,'Status Thresholds'!$E:$AR,24,FALSE),IF((AND($U$4=FALSE,$U$5=TRUE,$U$6=TRUE,$U$7=FALSE)),VLOOKUP($E588,'Status Thresholds'!$E:$AR,34,FALSE),IF((AND($U$4=FALSE,$U$5=TRUE,$U$6=TRUE,$U$7=TRUE)),VLOOKUP($E588,'Status Thresholds'!$E:$AR,39,FALSE),IF((AND($U$4=FALSE,$U$5=TRUE,$U$6=FALSE,$U$7=TRUE)),VLOOKUP($E588,'Status Thresholds'!$E:$AR,29,FALSE)))))))))
))/
IF(OR($X$5=TRUE,$AC$3=TRUE
),($F$5/2), IF(OR($X$2,$X$3,$X$4,$X$6,$X$7,$X$8,$Z$2,$Z$3,$Z$4,$Z$5,$Z$6,$Z$7,$Z$8)=TRUE,$F$5)),0),"-")</f>
        <v>-</v>
      </c>
      <c r="I588" s="36" t="str">
        <f>IFERROR(
ROUNDUP(
IF(AND($U$5=FALSE,$U$4=FALSE),"-",IF(AND($U$5=TRUE,$U$4=TRUE),"-",
IF((AND($U$4=TRUE,$U$5=FALSE,$U$6=FALSE,$U$7=FALSE)),VLOOKUP($E588,'Status Thresholds'!$E:$AR,5,FALSE),IF((AND($U$4=TRUE,$U$5=FALSE,$U$6=TRUE,$U$7=FALSE)),VLOOKUP($E588,'Status Thresholds'!$E:$AR,15,FALSE),IF((AND($U$4=TRUE,$U$5=FALSE,$U$6=TRUE,$U$7=TRUE)),VLOOKUP($E588,'Status Thresholds'!$E:$AR,20,FALSE),IF((AND($U$4=TRUE,$U$5=FALSE,$U$6=FALSE,$U$7=TRUE)),VLOOKUP($E588,'Status Thresholds'!$E:$AR,10,FALSE),
IF((AND($U$4=FALSE,$U$5=TRUE,$U$6=FALSE,$U$7=FALSE)),VLOOKUP($E588,'Status Thresholds'!$E:$AR,25,FALSE),IF((AND($U$4=FALSE,$U$5=TRUE,$U$6=TRUE,$U$7=FALSE)),VLOOKUP($E588,'Status Thresholds'!$E:$AR,35,FALSE),IF((AND($U$4=FALSE,$U$5=TRUE,$U$6=TRUE,$U$7=TRUE)),VLOOKUP($E588,'Status Thresholds'!$E:$AR,40,FALSE),IF((AND($U$4=FALSE,$U$5=TRUE,$U$6=FALSE,$U$7=TRUE)),VLOOKUP($E588,'Status Thresholds'!$E:$AR,30,FALSE)))))))))
))/
IF(OR($X$5=TRUE,$AC$3=TRUE
),($F$5/2), IF(OR($X$2,$X$3,$X$4,$X$6,$X$7,$X$8,$Z$2,$Z$3,$Z$4,$Z$5,$Z$6,$Z$7,$Z$8)=TRUE,$F$5)),0),"-")</f>
        <v>-</v>
      </c>
      <c r="J588" s="46">
        <f>IFERROR(IF(AND($U$5=FALSE,$U$4=FALSE),"-",VLOOKUP($E588,'Status Thresholds'!$E:$AU,41,FALSE)),"-")</f>
        <v>60</v>
      </c>
      <c r="K588" s="46" t="str">
        <f>IFERROR(IF(AND($U$5=FALSE,$U$4=FALSE),"-",VLOOKUP($E588,'Status Thresholds'!$E:$AU,42,FALSE)),"-")</f>
        <v>-</v>
      </c>
      <c r="L588" s="46" t="str">
        <f>IFERROR(IF(AND($U$5=FALSE,$U$4=FALSE),"-",VLOOKUP($E588,'Status Thresholds'!$E:$AU,43,FALSE)),"-")</f>
        <v>-</v>
      </c>
    </row>
    <row r="589" spans="1:12" x14ac:dyDescent="0.25">
      <c r="A589" s="35"/>
      <c r="B589" s="64" t="str">
        <f>VLOOKUP(C589,'Status Thresholds'!B:C,2,FALSE)</f>
        <v>MHGen</v>
      </c>
      <c r="C589" s="64" t="str">
        <f>IF('Status Thresholds'!B584=0, "", 'Status Thresholds'!B584)</f>
        <v>Rajang (Furious)</v>
      </c>
      <c r="D589" s="10" t="s">
        <v>22</v>
      </c>
      <c r="E589" s="36" t="str">
        <f t="shared" si="8"/>
        <v>Rajang (Furious)Exhaust</v>
      </c>
      <c r="F589" s="36" t="str">
        <f>IFERROR(
ROUNDUP(
IF(AND($U$5=FALSE,$U$4=FALSE),"-",IF(AND($U$5=TRUE,$U$4=TRUE),"-",
IF((AND($U$4=TRUE,$U$5=FALSE,$U$6=FALSE,$U$7=FALSE)),VLOOKUP($E589,'Status Thresholds'!$E:$AR,2,FALSE),IF((AND($U$4=TRUE,$U$5=FALSE,$U$6=TRUE,$U$7=FALSE)),VLOOKUP($E589,'Status Thresholds'!$E:$AR,12,FALSE),IF((AND($U$4=TRUE,$U$5=FALSE,$U$6=TRUE,$U$7=TRUE)),VLOOKUP($E589,'Status Thresholds'!$E:$AR,17,FALSE),IF((AND($U$4=TRUE,$U$5=FALSE,$U$6=FALSE,$U$7=TRUE)),VLOOKUP($E589,'Status Thresholds'!$E:$AR,7,FALSE),
IF((AND($U$4=FALSE,$U$5=TRUE,$U$6=FALSE,$U$7=FALSE)),VLOOKUP($E589,'Status Thresholds'!$E:$AR,22,FALSE),IF((AND($U$4=FALSE,$U$5=TRUE,$U$6=TRUE,$U$7=FALSE)),VLOOKUP($E589,'Status Thresholds'!$E:$AR,32,FALSE),IF((AND($U$4=FALSE,$U$5=TRUE,$U$6=TRUE,$U$7=TRUE)),VLOOKUP($E589,'Status Thresholds'!$E:$AR,37,FALSE),IF((AND($U$4=FALSE,$U$5=TRUE,$U$6=FALSE,$U$7=TRUE)),VLOOKUP($E589,'Status Thresholds'!$E:$AR,27,FALSE)))))))))
))/
IF(OR($X$5=TRUE,$AC$3=TRUE
),($F$6/2), IF(OR($X$2,$X$3,$X$4,$X$6,$X$7,$X$8,$Z$2,$Z$3,$Z$4,$Z$5,$Z$6,$Z$7,$Z$8)=TRUE,$F$6)),0),"-")</f>
        <v>-</v>
      </c>
      <c r="G589" s="36" t="str">
        <f>IFERROR(
ROUNDUP(
IF(AND($U$5=FALSE,$U$4=FALSE),"-",IF(AND($U$5=TRUE,$U$4=TRUE),"-",
IF((AND($U$4=TRUE,$U$5=FALSE,$U$6=FALSE,$U$7=FALSE)),VLOOKUP($E589,'Status Thresholds'!$E:$AR,3,FALSE),IF((AND($U$4=TRUE,$U$5=FALSE,$U$6=TRUE,$U$7=FALSE)),VLOOKUP($E589,'Status Thresholds'!$E:$AR,13,FALSE),IF((AND($U$4=TRUE,$U$5=FALSE,$U$6=TRUE,$U$7=TRUE)),VLOOKUP($E589,'Status Thresholds'!$E:$AR,18,FALSE),IF((AND($U$4=TRUE,$U$5=FALSE,$U$6=FALSE,$U$7=TRUE)),VLOOKUP($E589,'Status Thresholds'!$E:$AR,8,FALSE),
IF((AND($U$4=FALSE,$U$5=TRUE,$U$6=FALSE,$U$7=FALSE)),VLOOKUP($E589,'Status Thresholds'!$E:$AR,23,FALSE),IF((AND($U$4=FALSE,$U$5=TRUE,$U$6=TRUE,$U$7=FALSE)),VLOOKUP($E589,'Status Thresholds'!$E:$AR,33,FALSE),IF((AND($U$4=FALSE,$U$5=TRUE,$U$6=TRUE,$U$7=TRUE)),VLOOKUP($E589,'Status Thresholds'!$E:$AR,38,FALSE),IF((AND($U$4=FALSE,$U$5=TRUE,$U$6=FALSE,$U$7=TRUE)),VLOOKUP($E589,'Status Thresholds'!$E:$AR,28,FALSE)))))))))
))/
IF(OR($X$5=TRUE,$AC$3=TRUE
),($F$6/2), IF(OR($X$2,$X$3,$X$4,$X$6,$X$7,$X$8,$Z$2,$Z$3,$Z$4,$Z$5,$Z$6,$Z$7,$Z$8)=TRUE,$F$6)),0),"-")</f>
        <v>-</v>
      </c>
      <c r="H589" s="36" t="str">
        <f>IFERROR(
ROUNDUP(
IF(AND($U$5=FALSE,$U$4=FALSE),"-",IF(AND($U$5=TRUE,$U$4=TRUE),"-",
IF((AND($U$4=TRUE,$U$5=FALSE,$U$6=FALSE,$U$7=FALSE)),VLOOKUP($E589,'Status Thresholds'!$E:$AR,4,FALSE),IF((AND($U$4=TRUE,$U$5=FALSE,$U$6=TRUE,$U$7=FALSE)),VLOOKUP($E589,'Status Thresholds'!$E:$AR,14,FALSE),IF((AND($U$4=TRUE,$U$5=FALSE,$U$6=TRUE,$U$7=TRUE)),VLOOKUP($E589,'Status Thresholds'!$E:$AR,19,FALSE),IF((AND($U$4=TRUE,$U$5=FALSE,$U$6=FALSE,$U$7=TRUE)),VLOOKUP($E589,'Status Thresholds'!$E:$AR,9,FALSE),
IF((AND($U$4=FALSE,$U$5=TRUE,$U$6=FALSE,$U$7=FALSE)),VLOOKUP($E589,'Status Thresholds'!$E:$AR,24,FALSE),IF((AND($U$4=FALSE,$U$5=TRUE,$U$6=TRUE,$U$7=FALSE)),VLOOKUP($E589,'Status Thresholds'!$E:$AR,34,FALSE),IF((AND($U$4=FALSE,$U$5=TRUE,$U$6=TRUE,$U$7=TRUE)),VLOOKUP($E589,'Status Thresholds'!$E:$AR,39,FALSE),IF((AND($U$4=FALSE,$U$5=TRUE,$U$6=FALSE,$U$7=TRUE)),VLOOKUP($E589,'Status Thresholds'!$E:$AR,29,FALSE)))))))))
))/
IF(OR($X$5=TRUE,$AC$3=TRUE
),($F$6/2), IF(OR($X$2,$X$3,$X$4,$X$6,$X$7,$X$8,$Z$2,$Z$3,$Z$4,$Z$5,$Z$6,$Z$7,$Z$8)=TRUE,$F$6)),0),"-")</f>
        <v>-</v>
      </c>
      <c r="I589" s="36" t="str">
        <f>IFERROR(
ROUNDUP(
IF(AND($U$5=FALSE,$U$4=FALSE),"-",IF(AND($U$5=TRUE,$U$4=TRUE),"-",
IF((AND($U$4=TRUE,$U$5=FALSE,$U$6=FALSE,$U$7=FALSE)),VLOOKUP($E589,'Status Thresholds'!$E:$AR,5,FALSE),IF((AND($U$4=TRUE,$U$5=FALSE,$U$6=TRUE,$U$7=FALSE)),VLOOKUP($E589,'Status Thresholds'!$E:$AR,15,FALSE),IF((AND($U$4=TRUE,$U$5=FALSE,$U$6=TRUE,$U$7=TRUE)),VLOOKUP($E589,'Status Thresholds'!$E:$AR,20,FALSE),IF((AND($U$4=TRUE,$U$5=FALSE,$U$6=FALSE,$U$7=TRUE)),VLOOKUP($E589,'Status Thresholds'!$E:$AR,10,FALSE),
IF((AND($U$4=FALSE,$U$5=TRUE,$U$6=FALSE,$U$7=FALSE)),VLOOKUP($E589,'Status Thresholds'!$E:$AR,25,FALSE),IF((AND($U$4=FALSE,$U$5=TRUE,$U$6=TRUE,$U$7=FALSE)),VLOOKUP($E589,'Status Thresholds'!$E:$AR,35,FALSE),IF((AND($U$4=FALSE,$U$5=TRUE,$U$6=TRUE,$U$7=TRUE)),VLOOKUP($E589,'Status Thresholds'!$E:$AR,40,FALSE),IF((AND($U$4=FALSE,$U$5=TRUE,$U$6=FALSE,$U$7=TRUE)),VLOOKUP($E589,'Status Thresholds'!$E:$AR,30,FALSE)))))))))
))/
IF(OR($X$5=TRUE,$AC$3=TRUE
),($F$6/2), IF(OR($X$2,$X$3,$X$4,$X$6,$X$7,$X$8,$Z$2,$Z$3,$Z$4,$Z$5,$Z$6,$Z$7,$Z$8)=TRUE,$F$6)),0),"-")</f>
        <v>-</v>
      </c>
      <c r="J589" s="46">
        <f>IFERROR(IF(AND($U$5=FALSE,$U$4=FALSE),"-",VLOOKUP($E589,'Status Thresholds'!$E:$AU,41,FALSE)),"-")</f>
        <v>0</v>
      </c>
      <c r="K589" s="46" t="str">
        <f>IFERROR(IF(AND($U$5=FALSE,$U$4=FALSE),"-",VLOOKUP($E589,'Status Thresholds'!$E:$AU,42,FALSE)),"-")</f>
        <v>-</v>
      </c>
      <c r="L589" s="46" t="str">
        <f>IFERROR(IF(AND($U$5=FALSE,$U$4=FALSE),"-",VLOOKUP($E589,'Status Thresholds'!$E:$AU,43,FALSE)),"-")</f>
        <v>-</v>
      </c>
    </row>
    <row r="590" spans="1:12" x14ac:dyDescent="0.25">
      <c r="A590" s="35"/>
      <c r="B590" s="64" t="str">
        <f>VLOOKUP(C590,'Status Thresholds'!B:C,2,FALSE)</f>
        <v>MHGen</v>
      </c>
      <c r="C590" s="64" t="str">
        <f>IF('Status Thresholds'!B585=0, "", 'Status Thresholds'!B585)</f>
        <v>Rajang (Furious)</v>
      </c>
      <c r="D590" s="30" t="s">
        <v>35</v>
      </c>
      <c r="E590" s="36" t="str">
        <f t="shared" si="8"/>
        <v>Rajang (Furious)Blast</v>
      </c>
      <c r="F590" s="36" t="str">
        <f>IFERROR(
ROUNDUP(
IF(AND($U$5=FALSE,$U$4=FALSE),"-",IF(AND($U$5=TRUE,$U$4=TRUE),"-",
IF((AND($U$4=TRUE,$U$5=FALSE,$U$6=FALSE,$U$7=FALSE)),VLOOKUP($E590,'Status Thresholds'!$E:$AR,2,FALSE),IF((AND($U$4=TRUE,$U$5=FALSE,$U$6=TRUE,$U$7=FALSE)),VLOOKUP($E590,'Status Thresholds'!$E:$AR,12,FALSE),IF((AND($U$4=TRUE,$U$5=FALSE,$U$6=TRUE,$U$7=TRUE)),VLOOKUP($E590,'Status Thresholds'!$E:$AR,17,FALSE),IF((AND($U$4=TRUE,$U$5=FALSE,$U$6=FALSE,$U$7=TRUE)),VLOOKUP($E590,'Status Thresholds'!$E:$AR,7,FALSE),
IF((AND($U$4=FALSE,$U$5=TRUE,$U$6=FALSE,$U$7=FALSE)),VLOOKUP($E590,'Status Thresholds'!$E:$AR,22,FALSE),IF((AND($U$4=FALSE,$U$5=TRUE,$U$6=TRUE,$U$7=FALSE)),VLOOKUP($E590,'Status Thresholds'!$E:$AR,32,FALSE),IF((AND($U$4=FALSE,$U$5=TRUE,$U$6=TRUE,$U$7=TRUE)),VLOOKUP($E590,'Status Thresholds'!$E:$AR,37,FALSE),IF((AND($U$4=FALSE,$U$5=TRUE,$U$6=FALSE,$U$7=TRUE)),VLOOKUP($E590,'Status Thresholds'!$E:$AR,27,FALSE)))))))))
))/
IF(OR($X$5=TRUE,$AC$3=TRUE
),($F$7/2), IF(OR($X$2,$X$3,$X$4,$X$6,$X$7,$X$8,$Z$2,$Z$3,$Z$4,$Z$5,$Z$6,$Z$7,$Z$8)=TRUE,$F$7)),0),"-")</f>
        <v>-</v>
      </c>
      <c r="G590" s="36" t="str">
        <f>IFERROR(
ROUNDUP(
IF(AND($U$5=FALSE,$U$4=FALSE),"-",IF(AND($U$5=TRUE,$U$4=TRUE),"-",
IF((AND($U$4=TRUE,$U$5=FALSE,$U$6=FALSE,$U$7=FALSE)),VLOOKUP($E590,'Status Thresholds'!$E:$AR,3,FALSE),IF((AND($U$4=TRUE,$U$5=FALSE,$U$6=TRUE,$U$7=FALSE)),VLOOKUP($E590,'Status Thresholds'!$E:$AR,13,FALSE),IF((AND($U$4=TRUE,$U$5=FALSE,$U$6=TRUE,$U$7=TRUE)),VLOOKUP($E590,'Status Thresholds'!$E:$AR,18,FALSE),IF((AND($U$4=TRUE,$U$5=FALSE,$U$6=FALSE,$U$7=TRUE)),VLOOKUP($E590,'Status Thresholds'!$E:$AR,8,FALSE),
IF((AND($U$4=FALSE,$U$5=TRUE,$U$6=FALSE,$U$7=FALSE)),VLOOKUP($E590,'Status Thresholds'!$E:$AR,23,FALSE),IF((AND($U$4=FALSE,$U$5=TRUE,$U$6=TRUE,$U$7=FALSE)),VLOOKUP($E590,'Status Thresholds'!$E:$AR,33,FALSE),IF((AND($U$4=FALSE,$U$5=TRUE,$U$6=TRUE,$U$7=TRUE)),VLOOKUP($E590,'Status Thresholds'!$E:$AR,38,FALSE),IF((AND($U$4=FALSE,$U$5=TRUE,$U$6=FALSE,$U$7=TRUE)),VLOOKUP($E590,'Status Thresholds'!$E:$AR,28,FALSE)))))))))
))/
IF(OR($X$5=TRUE,$AC$3=TRUE
),($F$7/2), IF(OR($X$2,$X$3,$X$4,$X$6,$X$7,$X$8,$Z$2,$Z$3,$Z$4,$Z$5,$Z$6,$Z$7,$Z$8)=TRUE,$F$7)),0),"-")</f>
        <v>-</v>
      </c>
      <c r="H590" s="36" t="str">
        <f>IFERROR(
ROUNDUP(
IF(AND($U$5=FALSE,$U$4=FALSE),"-",IF(AND($U$5=TRUE,$U$4=TRUE),"-",
IF((AND($U$4=TRUE,$U$5=FALSE,$U$6=FALSE,$U$7=FALSE)),VLOOKUP($E590,'Status Thresholds'!$E:$AR,4,FALSE),IF((AND($U$4=TRUE,$U$5=FALSE,$U$6=TRUE,$U$7=FALSE)),VLOOKUP($E590,'Status Thresholds'!$E:$AR,14,FALSE),IF((AND($U$4=TRUE,$U$5=FALSE,$U$6=TRUE,$U$7=TRUE)),VLOOKUP($E590,'Status Thresholds'!$E:$AR,19,FALSE),IF((AND($U$4=TRUE,$U$5=FALSE,$U$6=FALSE,$U$7=TRUE)),VLOOKUP($E590,'Status Thresholds'!$E:$AR,9,FALSE),
IF((AND($U$4=FALSE,$U$5=TRUE,$U$6=FALSE,$U$7=FALSE)),VLOOKUP($E590,'Status Thresholds'!$E:$AR,24,FALSE),IF((AND($U$4=FALSE,$U$5=TRUE,$U$6=TRUE,$U$7=FALSE)),VLOOKUP($E590,'Status Thresholds'!$E:$AR,34,FALSE),IF((AND($U$4=FALSE,$U$5=TRUE,$U$6=TRUE,$U$7=TRUE)),VLOOKUP($E590,'Status Thresholds'!$E:$AR,39,FALSE),IF((AND($U$4=FALSE,$U$5=TRUE,$U$6=FALSE,$U$7=TRUE)),VLOOKUP($E590,'Status Thresholds'!$E:$AR,29,FALSE)))))))))
))/
IF(OR($X$5=TRUE,$AC$3=TRUE
),($F$7/2), IF(OR($X$2,$X$3,$X$4,$X$6,$X$7,$X$8,$Z$2,$Z$3,$Z$4,$Z$5,$Z$6,$Z$7,$Z$8)=TRUE,$F$7)),0),"-")</f>
        <v>-</v>
      </c>
      <c r="I590" s="36" t="str">
        <f>IFERROR(
ROUNDUP(
IF(AND($U$5=FALSE,$U$4=FALSE),"-",IF(AND($U$5=TRUE,$U$4=TRUE),"-",
IF((AND($U$4=TRUE,$U$5=FALSE,$U$6=FALSE,$U$7=FALSE)),VLOOKUP($E590,'Status Thresholds'!$E:$AR,5,FALSE),IF((AND($U$4=TRUE,$U$5=FALSE,$U$6=TRUE,$U$7=FALSE)),VLOOKUP($E590,'Status Thresholds'!$E:$AR,15,FALSE),IF((AND($U$4=TRUE,$U$5=FALSE,$U$6=TRUE,$U$7=TRUE)),VLOOKUP($E590,'Status Thresholds'!$E:$AR,20,FALSE),IF((AND($U$4=TRUE,$U$5=FALSE,$U$6=FALSE,$U$7=TRUE)),VLOOKUP($E590,'Status Thresholds'!$E:$AR,10,FALSE),
IF((AND($U$4=FALSE,$U$5=TRUE,$U$6=FALSE,$U$7=FALSE)),VLOOKUP($E590,'Status Thresholds'!$E:$AR,25,FALSE),IF((AND($U$4=FALSE,$U$5=TRUE,$U$6=TRUE,$U$7=FALSE)),VLOOKUP($E590,'Status Thresholds'!$E:$AR,35,FALSE),IF((AND($U$4=FALSE,$U$5=TRUE,$U$6=TRUE,$U$7=TRUE)),VLOOKUP($E590,'Status Thresholds'!$E:$AR,40,FALSE),IF((AND($U$4=FALSE,$U$5=TRUE,$U$6=FALSE,$U$7=TRUE)),VLOOKUP($E590,'Status Thresholds'!$E:$AR,30,FALSE)))))))))
))/
IF(OR($X$5=TRUE,$AC$3=TRUE
),($F$7/2), IF(OR($X$2,$X$3,$X$4,$X$6,$X$7,$X$8,$Z$2,$Z$3,$Z$4,$Z$5,$Z$6,$Z$7,$Z$8)=TRUE,$F$7)),0),"-")</f>
        <v>-</v>
      </c>
      <c r="J590" s="46">
        <f>IFERROR(IF(AND($U$5=FALSE,$U$4=FALSE),"-",VLOOKUP($E590,'Status Thresholds'!$E:$AU,41,FALSE)),"-")</f>
        <v>0</v>
      </c>
      <c r="K590" s="46" t="str">
        <f>IFERROR(IF(AND($U$5=FALSE,$U$4=FALSE),"-",VLOOKUP($E590,'Status Thresholds'!$E:$AU,42,FALSE)),"-")</f>
        <v>-</v>
      </c>
      <c r="L590" s="46" t="str">
        <f>IFERROR(IF(AND($U$5=FALSE,$U$4=FALSE),"-",VLOOKUP($E590,'Status Thresholds'!$E:$AU,43,FALSE)),"-")</f>
        <v>-</v>
      </c>
    </row>
    <row r="591" spans="1:12" ht="14.45" customHeight="1" x14ac:dyDescent="0.25">
      <c r="A591" s="35"/>
      <c r="B591" s="64" t="str">
        <f>VLOOKUP(C591,'Status Thresholds'!B:C,2,FALSE)</f>
        <v>MHGen</v>
      </c>
      <c r="C591" s="64" t="str">
        <f>IF('Status Thresholds'!B586=0, "", 'Status Thresholds'!B586)</f>
        <v>Rajang (Furious)</v>
      </c>
      <c r="D591" s="34" t="s">
        <v>14</v>
      </c>
      <c r="E591" s="36" t="str">
        <f t="shared" si="8"/>
        <v>Rajang (Furious)KO</v>
      </c>
      <c r="F591" s="36" t="s">
        <v>214</v>
      </c>
      <c r="G591" s="36" t="s">
        <v>214</v>
      </c>
      <c r="H591" s="36" t="s">
        <v>214</v>
      </c>
      <c r="I591" s="36" t="s">
        <v>214</v>
      </c>
      <c r="J591" s="46">
        <f>IFERROR(IF(AND($U$5=FALSE,$U$4=FALSE),"-",VLOOKUP($E591,'Status Thresholds'!$E:$AU,41,FALSE)),"-")</f>
        <v>10</v>
      </c>
      <c r="K591" s="46" t="str">
        <f>IFERROR(IF(AND($U$5=FALSE,$U$4=FALSE),"-",VLOOKUP($E591,'Status Thresholds'!$E:$AU,42,FALSE)),"-")</f>
        <v>-</v>
      </c>
      <c r="L591" s="46" t="str">
        <f>IFERROR(IF(AND($U$5=FALSE,$U$4=FALSE),"-",VLOOKUP($E591,'Status Thresholds'!$E:$AU,43,FALSE)),"-")</f>
        <v>-</v>
      </c>
    </row>
    <row r="592" spans="1:12" x14ac:dyDescent="0.25">
      <c r="A592" s="35"/>
      <c r="B592" s="64" t="str">
        <f>VLOOKUP(C592,'Status Thresholds'!B:C,2,FALSE)</f>
        <v>MHGen</v>
      </c>
      <c r="C592" s="64" t="str">
        <f>IF('Status Thresholds'!B587=0, "", 'Status Thresholds'!B587)</f>
        <v>Rajang (Furious)</v>
      </c>
      <c r="D592" s="33" t="s">
        <v>34</v>
      </c>
      <c r="E592" s="36" t="str">
        <f t="shared" si="8"/>
        <v>Rajang (Furious)Mount</v>
      </c>
      <c r="F592" s="36" t="str">
        <f>IFERROR(
ROUNDUP(
IF(AND($U$5=FALSE,$U$4=FALSE),"-",IF(AND($U$5=TRUE,$U$4=TRUE),"-",
IF((AND($U$4=TRUE,$U$5=FALSE,$U$6=FALSE,$U$7=FALSE)),VLOOKUP($E592,'Status Thresholds'!$E:$AR,2,FALSE),IF((AND($U$4=TRUE,$U$5=FALSE,$U$6=TRUE,$U$7=FALSE)),VLOOKUP($E592,'Status Thresholds'!$E:$AR,12,FALSE),IF((AND($U$4=TRUE,$U$5=FALSE,$U$6=TRUE,$U$7=TRUE)),VLOOKUP($E592,'Status Thresholds'!$E:$AR,17,FALSE),IF((AND($U$4=TRUE,$U$5=FALSE,$U$6=FALSE,$U$7=TRUE)),VLOOKUP($E592,'Status Thresholds'!$E:$AR,7,FALSE),
IF((AND($U$4=FALSE,$U$5=TRUE,$U$6=FALSE,$U$7=FALSE)),VLOOKUP($E592,'Status Thresholds'!$E:$AR,22,FALSE),IF((AND($U$4=FALSE,$U$5=TRUE,$U$6=TRUE,$U$7=FALSE)),VLOOKUP($E592,'Status Thresholds'!$E:$AR,32,FALSE),IF((AND($U$4=FALSE,$U$5=TRUE,$U$6=TRUE,$U$7=TRUE)),VLOOKUP($E592,'Status Thresholds'!$E:$AR,37,FALSE),IF((AND($U$4=FALSE,$U$5=TRUE,$U$6=FALSE,$U$7=TRUE)),VLOOKUP($E592,'Status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592" s="36" t="str">
        <f>IFERROR(
ROUNDUP(
IF(AND($U$5=FALSE,$U$4=FALSE),"-",IF(AND($U$5=TRUE,$U$4=TRUE),"-",
IF((AND($U$4=TRUE,$U$5=FALSE,$U$6=FALSE,$U$7=FALSE)),VLOOKUP($E591,'Status Thresholds'!$E:$AR,3,FALSE),IF((AND($U$4=TRUE,$U$5=FALSE,$U$6=TRUE,$U$7=FALSE)),VLOOKUP($E591,'Status Thresholds'!$E:$AR,13,FALSE),IF((AND($U$4=TRUE,$U$5=FALSE,$U$6=TRUE,$U$7=TRUE)),VLOOKUP($E591,'Status Thresholds'!$E:$AR,18,FALSE),IF((AND($U$4=TRUE,$U$5=FALSE,$U$6=FALSE,$U$7=TRUE)),VLOOKUP($E591,'Status Thresholds'!$E:$AR,8,FALSE),
IF((AND($U$4=FALSE,$U$5=TRUE,$U$6=FALSE,$U$7=FALSE)),VLOOKUP($E591,'Status Thresholds'!$E:$AR,23,FALSE),IF((AND($U$4=FALSE,$U$5=TRUE,$U$6=TRUE,$U$7=FALSE)),VLOOKUP($E591,'Status Thresholds'!$E:$AR,33,FALSE),IF((AND($U$4=FALSE,$U$5=TRUE,$U$6=TRUE,$U$7=TRUE)),VLOOKUP($E591,'Status Thresholds'!$E:$AR,38,FALSE),IF((AND($U$4=FALSE,$U$5=TRUE,$U$6=FALSE,$U$7=TRUE)),VLOOKUP($E591,'Status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592" s="36" t="str">
        <f>IFERROR(
ROUNDUP(
IF(AND($U$5=FALSE,$U$4=FALSE),"-",IF(AND($U$5=TRUE,$U$4=TRUE),"-",
IF((AND($U$4=TRUE,$U$5=FALSE,$U$6=FALSE,$U$7=FALSE)),VLOOKUP($E591,'Status Thresholds'!$E:$AR,4,FALSE),IF((AND($U$4=TRUE,$U$5=FALSE,$U$6=TRUE,$U$7=FALSE)),VLOOKUP($E591,'Status Thresholds'!$E:$AR,14,FALSE),IF((AND($U$4=TRUE,$U$5=FALSE,$U$6=TRUE,$U$7=TRUE)),VLOOKUP($E591,'Status Thresholds'!$E:$AR,19,FALSE),IF((AND($U$4=TRUE,$U$5=FALSE,$U$6=FALSE,$U$7=TRUE)),VLOOKUP($E591,'Status Thresholds'!$E:$AR,9,FALSE),
IF((AND($U$4=FALSE,$U$5=TRUE,$U$6=FALSE,$U$7=FALSE)),VLOOKUP($E591,'Status Thresholds'!$E:$AR,24,FALSE),IF((AND($U$4=FALSE,$U$5=TRUE,$U$6=TRUE,$U$7=FALSE)),VLOOKUP($E591,'Status Thresholds'!$E:$AR,34,FALSE),IF((AND($U$4=FALSE,$U$5=TRUE,$U$6=TRUE,$U$7=TRUE)),VLOOKUP($E591,'Status Thresholds'!$E:$AR,39,FALSE),IF((AND($U$4=FALSE,$U$5=TRUE,$U$6=FALSE,$U$7=TRUE)),VLOOKUP($E591,'Status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592" s="36" t="str">
        <f>IFERROR(
ROUNDUP(
IF(AND($U$5=FALSE,$U$4=FALSE),"-",IF(AND($U$5=TRUE,$U$4=TRUE),"-",
IF((AND($U$4=TRUE,$U$5=FALSE,$U$6=FALSE,$U$7=FALSE)),VLOOKUP($E591,'Status Thresholds'!$E:$AR,5,FALSE),IF((AND($U$4=TRUE,$U$5=FALSE,$U$6=TRUE,$U$7=FALSE)),VLOOKUP($E591,'Status Thresholds'!$E:$AR,15,FALSE),IF((AND($U$4=TRUE,$U$5=FALSE,$U$6=TRUE,$U$7=TRUE)),VLOOKUP($E591,'Status Thresholds'!$E:$AR,20,FALSE),IF((AND($U$4=TRUE,$U$5=FALSE,$U$6=FALSE,$U$7=TRUE)),VLOOKUP($E591,'Status Thresholds'!$E:$AR,10,FALSE),
IF((AND($U$4=FALSE,$U$5=TRUE,$U$6=FALSE,$U$7=FALSE)),VLOOKUP($E591,'Status Thresholds'!$E:$AR,25,FALSE),IF((AND($U$4=FALSE,$U$5=TRUE,$U$6=TRUE,$U$7=FALSE)),VLOOKUP($E591,'Status Thresholds'!$E:$AR,35,FALSE),IF((AND($U$4=FALSE,$U$5=TRUE,$U$6=TRUE,$U$7=TRUE)),VLOOKUP($E591,'Status Thresholds'!$E:$AR,40,FALSE),IF((AND($U$4=FALSE,$U$5=TRUE,$U$6=FALSE,$U$7=TRUE)),VLOOKUP($E591,'Status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592" s="46">
        <f>IFERROR(IF(AND($U$5=FALSE,$U$4=FALSE),"-",VLOOKUP($E592,'Status Thresholds'!$E:$AU,41,FALSE)),"-")</f>
        <v>0</v>
      </c>
      <c r="K592" s="46" t="str">
        <f>IFERROR(IF(AND($U$5=FALSE,$U$4=FALSE),"-",VLOOKUP($E592,'Status Thresholds'!$E:$AU,42,FALSE)),"-")</f>
        <v>-</v>
      </c>
      <c r="L592" s="46" t="str">
        <f>IFERROR(IF(AND($U$5=FALSE,$U$4=FALSE),"-",VLOOKUP($E592,'Status Thresholds'!$E:$AU,43,FALSE)),"-")</f>
        <v>-</v>
      </c>
    </row>
    <row r="593" spans="1:12" ht="15" customHeight="1" x14ac:dyDescent="0.25">
      <c r="A593" s="35"/>
      <c r="B593" s="64" t="str">
        <f>VLOOKUP(C593,'Status Thresholds'!B:C,2,FALSE)</f>
        <v>MHGen</v>
      </c>
      <c r="C593" s="64" t="str">
        <f>IF('Status Thresholds'!B588=0, "", 'Status Thresholds'!B588)</f>
        <v>Rajang (Furious)</v>
      </c>
      <c r="D593" s="77" t="s">
        <v>207</v>
      </c>
      <c r="E593" s="36" t="str">
        <f t="shared" si="8"/>
        <v>Rajang (Furious)Shock Trap</v>
      </c>
      <c r="F593" s="76" t="s">
        <v>214</v>
      </c>
      <c r="G593" s="46" t="s">
        <v>214</v>
      </c>
      <c r="H593" s="46" t="s">
        <v>214</v>
      </c>
      <c r="I593" s="46" t="s">
        <v>214</v>
      </c>
      <c r="J593" s="46">
        <f>IFERROR(IF(AND($U$5=FALSE,$U$4=FALSE),"-",VLOOKUP($E593,'Status Thresholds'!$E:$AU,43,FALSE)),"-")</f>
        <v>8</v>
      </c>
      <c r="K593" s="46">
        <f>IFERROR(IF(AND($U$5=FALSE,$U$4=FALSE),"-",VLOOKUP($E593,'Status Thresholds'!$E:$AU,41,FALSE)),"-")</f>
        <v>8</v>
      </c>
      <c r="L593" s="46">
        <f>IFERROR(IF(AND($U$5=FALSE,$U$4=FALSE),"-",VLOOKUP($E593,'Status Thresholds'!$E:$AU,42,FALSE)),"-")</f>
        <v>15</v>
      </c>
    </row>
    <row r="594" spans="1:12" x14ac:dyDescent="0.25">
      <c r="A594" s="35"/>
      <c r="B594" s="64" t="str">
        <f>VLOOKUP(C594,'Status Thresholds'!B:C,2,FALSE)</f>
        <v>MHGen</v>
      </c>
      <c r="C594" s="64" t="str">
        <f>IF('Status Thresholds'!B589=0, "", 'Status Thresholds'!B589)</f>
        <v>Rajang (Furious)</v>
      </c>
      <c r="D594" s="77" t="s">
        <v>213</v>
      </c>
      <c r="E594" s="36" t="str">
        <f t="shared" si="8"/>
        <v>Rajang (Furious)Pitfall Trap</v>
      </c>
      <c r="F594" s="46" t="s">
        <v>214</v>
      </c>
      <c r="G594" s="46" t="s">
        <v>214</v>
      </c>
      <c r="H594" s="46" t="s">
        <v>214</v>
      </c>
      <c r="I594" s="46" t="s">
        <v>214</v>
      </c>
      <c r="J594" s="46">
        <f>IFERROR(IF(AND($U$5=FALSE,$U$4=FALSE),"-",VLOOKUP($E594,'Status Thresholds'!$E:$AU,43,FALSE)),"-")</f>
        <v>18</v>
      </c>
      <c r="K594" s="46">
        <f>IFERROR(IF(AND($U$5=FALSE,$U$4=FALSE),"-",VLOOKUP($E594,'Status Thresholds'!$E:$AU,41,FALSE)),"-")</f>
        <v>18</v>
      </c>
      <c r="L594" s="46">
        <f>IFERROR(IF(AND($U$5=FALSE,$U$4=FALSE),"-",VLOOKUP($E594,'Status Thresholds'!$E:$AU,42,FALSE)),"-")</f>
        <v>20</v>
      </c>
    </row>
    <row r="595" spans="1:12" s="36" customFormat="1" x14ac:dyDescent="0.25">
      <c r="A595" s="64"/>
      <c r="B595" s="64" t="str">
        <f>VLOOKUP(C595,'Status Thresholds'!B:C,2,FALSE)</f>
        <v>MHGen</v>
      </c>
      <c r="C595" s="64" t="str">
        <f>IF('Status Thresholds'!B590=0, "", 'Status Thresholds'!B590)</f>
        <v>Rathalos</v>
      </c>
      <c r="D595" s="37" t="s">
        <v>0</v>
      </c>
      <c r="E595" s="36" t="str">
        <f t="shared" si="8"/>
        <v>RathalosPara</v>
      </c>
      <c r="F595" s="36" t="str">
        <f>IFERROR(
ROUNDUP(
IF(AND($U$5=FALSE,$U$4=FALSE),"-",IF(AND($U$5=TRUE,$U$4=TRUE),"-",
IF((AND($U$4=TRUE,$U$5=FALSE,$U$6=FALSE,$U$7=FALSE)),VLOOKUP($E595,'Status Thresholds'!$E:$AR,2,FALSE),IF((AND($U$4=TRUE,$U$5=FALSE,$U$6=TRUE,$U$7=FALSE)),VLOOKUP($E595,'Status Thresholds'!$E:$AR,12,FALSE),IF((AND($U$4=TRUE,$U$5=FALSE,$U$6=TRUE,$U$7=TRUE)),VLOOKUP($E595,'Status Thresholds'!$E:$AR,17,FALSE),IF((AND($U$4=TRUE,$U$5=FALSE,$U$6=FALSE,$U$7=TRUE)),VLOOKUP($E595,'Status Thresholds'!$E:$AR,7,FALSE),
IF((AND($U$4=FALSE,$U$5=TRUE,$U$6=FALSE,$U$7=FALSE)),VLOOKUP($E595,'Status Thresholds'!$E:$AR,22,FALSE),IF((AND($U$4=FALSE,$U$5=TRUE,$U$6=TRUE,$U$7=FALSE)),VLOOKUP($E595,'Status Thresholds'!$E:$AR,32,FALSE),IF((AND($U$4=FALSE,$U$5=TRUE,$U$6=TRUE,$U$7=TRUE)),VLOOKUP($E595,'Status Thresholds'!$E:$AR,37,FALSE),IF((AND($U$4=FALSE,$U$5=TRUE,$U$6=FALSE,$U$7=TRUE)),VLOOKUP($E595,'Status Thresholds'!$E:$AR,27,FALSE)))))))))
))/
IF(OR($X$5=TRUE,$AC$3=TRUE
),($F$3/2), IF(OR($X$2,$X$3,$X$4,$X$6,$X$7,$X$8,$Z$2,$Z$3,$Z$4,$Z$5,$Z$6,$Z$7,$Z$8)=TRUE,$F$3)),0),"-")</f>
        <v>-</v>
      </c>
      <c r="G595" s="36" t="str">
        <f>IFERROR(
ROUNDUP(
IF(AND($U$5=FALSE,$U$4=FALSE),"-",IF(AND($U$5=TRUE,$U$4=TRUE),"-",
IF((AND($U$4=TRUE,$U$5=FALSE,$U$6=FALSE,$U$7=FALSE)),VLOOKUP($E595,'Status Thresholds'!$E:$AR,3,FALSE),IF((AND($U$4=TRUE,$U$5=FALSE,$U$6=TRUE,$U$7=FALSE)),VLOOKUP($E595,'Status Thresholds'!$E:$AR,13,FALSE),IF((AND($U$4=TRUE,$U$5=FALSE,$U$6=TRUE,$U$7=TRUE)),VLOOKUP($E595,'Status Thresholds'!$E:$AR,18,FALSE),IF((AND($U$4=TRUE,$U$5=FALSE,$U$6=FALSE,$U$7=TRUE)),VLOOKUP($E595,'Status Thresholds'!$E:$AR,8,FALSE),
IF((AND($U$4=FALSE,$U$5=TRUE,$U$6=FALSE,$U$7=FALSE)),VLOOKUP($E595,'Status Thresholds'!$E:$AR,23,FALSE),IF((AND($U$4=FALSE,$U$5=TRUE,$U$6=TRUE,$U$7=FALSE)),VLOOKUP($E595,'Status Thresholds'!$E:$AR,33,FALSE),IF((AND($U$4=FALSE,$U$5=TRUE,$U$6=TRUE,$U$7=TRUE)),VLOOKUP($E595,'Status Thresholds'!$E:$AR,38,FALSE),IF((AND($U$4=FALSE,$U$5=TRUE,$U$6=FALSE,$U$7=TRUE)),VLOOKUP($E595,'Status Thresholds'!$E:$AR,28,FALSE)))))))))
))/
IF(OR($X$5=TRUE,$AC$3=TRUE
),($F$3/2), IF(OR($X$2,$X$3,$X$4,$X$6,$X$7,$X$8,$Z$2,$Z$3,$Z$4,$Z$5,$Z$6,$Z$7,$Z$8)=TRUE,$F$3)),0),"-")</f>
        <v>-</v>
      </c>
      <c r="H595" s="36" t="str">
        <f>IFERROR(
ROUNDUP(
IF(AND($U$5=FALSE,$U$4=FALSE),"-",IF(AND($U$5=TRUE,$U$4=TRUE),"-",
IF((AND($U$4=TRUE,$U$5=FALSE,$U$6=FALSE,$U$7=FALSE)),VLOOKUP($E595,'Status Thresholds'!$E:$AR,4,FALSE),IF((AND($U$4=TRUE,$U$5=FALSE,$U$6=TRUE,$U$7=FALSE)),VLOOKUP($E595,'Status Thresholds'!$E:$AR,14,FALSE),IF((AND($U$4=TRUE,$U$5=FALSE,$U$6=TRUE,$U$7=TRUE)),VLOOKUP($E595,'Status Thresholds'!$E:$AR,19,FALSE),IF((AND($U$4=TRUE,$U$5=FALSE,$U$6=FALSE,$U$7=TRUE)),VLOOKUP($E595,'Status Thresholds'!$E:$AR,9,FALSE),
IF((AND($U$4=FALSE,$U$5=TRUE,$U$6=FALSE,$U$7=FALSE)),VLOOKUP($E595,'Status Thresholds'!$E:$AR,24,FALSE),IF((AND($U$4=FALSE,$U$5=TRUE,$U$6=TRUE,$U$7=FALSE)),VLOOKUP($E595,'Status Thresholds'!$E:$AR,34,FALSE),IF((AND($U$4=FALSE,$U$5=TRUE,$U$6=TRUE,$U$7=TRUE)),VLOOKUP($E595,'Status Thresholds'!$E:$AR,39,FALSE),IF((AND($U$4=FALSE,$U$5=TRUE,$U$6=FALSE,$U$7=TRUE)),VLOOKUP($E595,'Status Thresholds'!$E:$AR,29,FALSE)))))))))
))/
IF(OR($X$5=TRUE,$AC$3=TRUE
),($F$3/2), IF(OR($X$2,$X$3,$X$4,$X$6,$X$7,$X$8,$Z$2,$Z$3,$Z$4,$Z$5,$Z$6,$Z$7,$Z$8)=TRUE,$F$3)),0),"-")</f>
        <v>-</v>
      </c>
      <c r="I595" s="36" t="str">
        <f>IFERROR(
ROUNDUP(
IF(AND($U$5=FALSE,$U$4=FALSE),"-",IF(AND($U$5=TRUE,$U$4=TRUE),"-",
IF((AND($U$4=TRUE,$U$5=FALSE,$U$6=FALSE,$U$7=FALSE)),VLOOKUP($E595,'Status Thresholds'!$E:$AR,5,FALSE),IF((AND($U$4=TRUE,$U$5=FALSE,$U$6=TRUE,$U$7=FALSE)),VLOOKUP($E595,'Status Thresholds'!$E:$AR,15,FALSE),IF((AND($U$4=TRUE,$U$5=FALSE,$U$6=TRUE,$U$7=TRUE)),VLOOKUP($E595,'Status Thresholds'!$E:$AR,20,FALSE),IF((AND($U$4=TRUE,$U$5=FALSE,$U$6=FALSE,$U$7=TRUE)),VLOOKUP($E595,'Status Thresholds'!$E:$AR,10,FALSE),
IF((AND($U$4=FALSE,$U$5=TRUE,$U$6=FALSE,$U$7=FALSE)),VLOOKUP($E595,'Status Thresholds'!$E:$AR,25,FALSE),IF((AND($U$4=FALSE,$U$5=TRUE,$U$6=TRUE,$U$7=FALSE)),VLOOKUP($E595,'Status Thresholds'!$E:$AR,35,FALSE),IF((AND($U$4=FALSE,$U$5=TRUE,$U$6=TRUE,$U$7=TRUE)),VLOOKUP($E595,'Status Thresholds'!$E:$AR,40,FALSE),IF((AND($U$4=FALSE,$U$5=TRUE,$U$6=FALSE,$U$7=TRUE)),VLOOKUP($E595,'Status Thresholds'!$E:$AR,30,FALSE)))))))))
))/
IF(OR($X$5=TRUE,$AC$3=TRUE
),($F$3/2), IF(OR($X$2,$X$3,$X$4,$X$6,$X$7,$X$8,$Z$2,$Z$3,$Z$4,$Z$5,$Z$6,$Z$7,$Z$8)=TRUE,$F$3)),0),"-")</f>
        <v>-</v>
      </c>
      <c r="J595" s="36">
        <f>IFERROR(IF(AND($U$5=FALSE,$U$4=FALSE),"-",VLOOKUP($E595,'Status Thresholds'!$E:$AU,41,FALSE)),"-")</f>
        <v>10</v>
      </c>
      <c r="K595" s="36" t="str">
        <f>IFERROR(IF(AND($U$5=FALSE,$U$4=FALSE),"-",VLOOKUP($E595,'Status Thresholds'!$E:$AU,42,FALSE)),"-")</f>
        <v>-</v>
      </c>
      <c r="L595" s="36" t="str">
        <f>IFERROR(IF(AND($U$5=FALSE,$U$4=FALSE),"-",VLOOKUP($E595,'Status Thresholds'!$E:$AU,43,FALSE)),"-")</f>
        <v>-</v>
      </c>
    </row>
    <row r="596" spans="1:12" x14ac:dyDescent="0.25">
      <c r="A596" s="35"/>
      <c r="B596" s="64" t="str">
        <f>VLOOKUP(C596,'Status Thresholds'!B:C,2,FALSE)</f>
        <v>MHGen</v>
      </c>
      <c r="C596" s="64" t="str">
        <f>IF('Status Thresholds'!B591=0, "", 'Status Thresholds'!B591)</f>
        <v>Rathalos</v>
      </c>
      <c r="D596" s="31" t="s">
        <v>32</v>
      </c>
      <c r="E596" s="36" t="str">
        <f t="shared" si="8"/>
        <v>RathalosSleep</v>
      </c>
      <c r="F596" s="36" t="str">
        <f>IFERROR(
ROUNDUP(
IF(AND($U$5=FALSE,$U$4=FALSE),"-",IF(AND($U$5=TRUE,$U$4=TRUE),"-",
IF((AND($U$4=TRUE,$U$5=FALSE,$U$6=FALSE,$U$7=FALSE)),VLOOKUP($E596,'Status Thresholds'!$E:$AR,2,FALSE),IF((AND($U$4=TRUE,$U$5=FALSE,$U$6=TRUE,$U$7=FALSE)),VLOOKUP($E596,'Status Thresholds'!$E:$AR,12,FALSE),IF((AND($U$4=TRUE,$U$5=FALSE,$U$6=TRUE,$U$7=TRUE)),VLOOKUP($E596,'Status Thresholds'!$E:$AR,17,FALSE),IF((AND($U$4=TRUE,$U$5=FALSE,$U$6=FALSE,$U$7=TRUE)),VLOOKUP($E596,'Status Thresholds'!$E:$AR,7,FALSE),
IF((AND($U$4=FALSE,$U$5=TRUE,$U$6=FALSE,$U$7=FALSE)),VLOOKUP($E596,'Status Thresholds'!$E:$AR,22,FALSE),IF((AND($U$4=FALSE,$U$5=TRUE,$U$6=TRUE,$U$7=FALSE)),VLOOKUP($E596,'Status Thresholds'!$E:$AR,32,FALSE),IF((AND($U$4=FALSE,$U$5=TRUE,$U$6=TRUE,$U$7=TRUE)),VLOOKUP($E596,'Status Thresholds'!$E:$AR,37,FALSE),IF((AND($U$4=FALSE,$U$5=TRUE,$U$6=FALSE,$U$7=TRUE)),VLOOKUP($E596,'Status Thresholds'!$E:$AR,27,FALSE)))))))))
))/
IF(OR($X$5=TRUE,$AC$3=TRUE
),($F$4/2), IF(OR($X$2,$X$3,$X$4,$X$6,$X$7,$X$8,$Z$2,$Z$3,$Z$4,$Z$5,$Z$6,$Z$7,$Z$8)=TRUE,$F$4)),0),"-")</f>
        <v>-</v>
      </c>
      <c r="G596" s="36" t="str">
        <f>IFERROR(
ROUNDUP(
IF(AND($U$5=FALSE,$U$4=FALSE),"-",IF(AND($U$5=TRUE,$U$4=TRUE),"-",
IF((AND($U$4=TRUE,$U$5=FALSE,$U$6=FALSE,$U$7=FALSE)),VLOOKUP($E596,'Status Thresholds'!$E:$AR,3,FALSE),IF((AND($U$4=TRUE,$U$5=FALSE,$U$6=TRUE,$U$7=FALSE)),VLOOKUP($E596,'Status Thresholds'!$E:$AR,13,FALSE),IF((AND($U$4=TRUE,$U$5=FALSE,$U$6=TRUE,$U$7=TRUE)),VLOOKUP($E596,'Status Thresholds'!$E:$AR,18,FALSE),IF((AND($U$4=TRUE,$U$5=FALSE,$U$6=FALSE,$U$7=TRUE)),VLOOKUP($E596,'Status Thresholds'!$E:$AR,8,FALSE),
IF((AND($U$4=FALSE,$U$5=TRUE,$U$6=FALSE,$U$7=FALSE)),VLOOKUP($E596,'Status Thresholds'!$E:$AR,23,FALSE),IF((AND($U$4=FALSE,$U$5=TRUE,$U$6=TRUE,$U$7=FALSE)),VLOOKUP($E596,'Status Thresholds'!$E:$AR,33,FALSE),IF((AND($U$4=FALSE,$U$5=TRUE,$U$6=TRUE,$U$7=TRUE)),VLOOKUP($E596,'Status Thresholds'!$E:$AR,38,FALSE),IF((AND($U$4=FALSE,$U$5=TRUE,$U$6=FALSE,$U$7=TRUE)),VLOOKUP($E596,'Status Thresholds'!$E:$AR,28,FALSE)))))))))
))/
IF(OR($X$5=TRUE,$AC$3=TRUE
),($F$4/2), IF(OR($X$2,$X$3,$X$4,$X$6,$X$7,$X$8,$Z$2,$Z$3,$Z$4,$Z$5,$Z$6,$Z$7,$Z$8)=TRUE,$F$4)),0),"-")</f>
        <v>-</v>
      </c>
      <c r="H596" s="36" t="str">
        <f>IFERROR(
ROUNDUP(
IF(AND($U$5=FALSE,$U$4=FALSE),"-",IF(AND($U$5=TRUE,$U$4=TRUE),"-",
IF((AND($U$4=TRUE,$U$5=FALSE,$U$6=FALSE,$U$7=FALSE)),VLOOKUP($E596,'Status Thresholds'!$E:$AR,4,FALSE),IF((AND($U$4=TRUE,$U$5=FALSE,$U$6=TRUE,$U$7=FALSE)),VLOOKUP($E596,'Status Thresholds'!$E:$AR,14,FALSE),IF((AND($U$4=TRUE,$U$5=FALSE,$U$6=TRUE,$U$7=TRUE)),VLOOKUP($E596,'Status Thresholds'!$E:$AR,19,FALSE),IF((AND($U$4=TRUE,$U$5=FALSE,$U$6=FALSE,$U$7=TRUE)),VLOOKUP($E596,'Status Thresholds'!$E:$AR,9,FALSE),
IF((AND($U$4=FALSE,$U$5=TRUE,$U$6=FALSE,$U$7=FALSE)),VLOOKUP($E596,'Status Thresholds'!$E:$AR,24,FALSE),IF((AND($U$4=FALSE,$U$5=TRUE,$U$6=TRUE,$U$7=FALSE)),VLOOKUP($E596,'Status Thresholds'!$E:$AR,34,FALSE),IF((AND($U$4=FALSE,$U$5=TRUE,$U$6=TRUE,$U$7=TRUE)),VLOOKUP($E596,'Status Thresholds'!$E:$AR,39,FALSE),IF((AND($U$4=FALSE,$U$5=TRUE,$U$6=FALSE,$U$7=TRUE)),VLOOKUP($E596,'Status Thresholds'!$E:$AR,29,FALSE)))))))))
))/
IF(OR($X$5=TRUE,$AC$3=TRUE
),($F$4/2), IF(OR($X$2,$X$3,$X$4,$X$6,$X$7,$X$8,$Z$2,$Z$3,$Z$4,$Z$5,$Z$6,$Z$7,$Z$8)=TRUE,$F$4)),0),"-")</f>
        <v>-</v>
      </c>
      <c r="I596" s="36" t="str">
        <f>IFERROR(
ROUNDUP(
IF(AND($U$5=FALSE,$U$4=FALSE),"-",IF(AND($U$5=TRUE,$U$4=TRUE),"-",
IF((AND($U$4=TRUE,$U$5=FALSE,$U$6=FALSE,$U$7=FALSE)),VLOOKUP($E596,'Status Thresholds'!$E:$AR,5,FALSE),IF((AND($U$4=TRUE,$U$5=FALSE,$U$6=TRUE,$U$7=FALSE)),VLOOKUP($E596,'Status Thresholds'!$E:$AR,15,FALSE),IF((AND($U$4=TRUE,$U$5=FALSE,$U$6=TRUE,$U$7=TRUE)),VLOOKUP($E596,'Status Thresholds'!$E:$AR,20,FALSE),IF((AND($U$4=TRUE,$U$5=FALSE,$U$6=FALSE,$U$7=TRUE)),VLOOKUP($E596,'Status Thresholds'!$E:$AR,10,FALSE),
IF((AND($U$4=FALSE,$U$5=TRUE,$U$6=FALSE,$U$7=FALSE)),VLOOKUP($E596,'Status Thresholds'!$E:$AR,25,FALSE),IF((AND($U$4=FALSE,$U$5=TRUE,$U$6=TRUE,$U$7=FALSE)),VLOOKUP($E596,'Status Thresholds'!$E:$AR,35,FALSE),IF((AND($U$4=FALSE,$U$5=TRUE,$U$6=TRUE,$U$7=TRUE)),VLOOKUP($E596,'Status Thresholds'!$E:$AR,40,FALSE),IF((AND($U$4=FALSE,$U$5=TRUE,$U$6=FALSE,$U$7=TRUE)),VLOOKUP($E596,'Status Thresholds'!$E:$AR,30,FALSE)))))))))
))/
IF(OR($X$5=TRUE,$AC$3=TRUE
),($F$4/2), IF(OR($X$2,$X$3,$X$4,$X$6,$X$7,$X$8,$Z$2,$Z$3,$Z$4,$Z$5,$Z$6,$Z$7,$Z$8)=TRUE,$F$4)),0),"-")</f>
        <v>-</v>
      </c>
      <c r="J596" s="46">
        <f>IFERROR(IF(AND($U$5=FALSE,$U$4=FALSE),"-",VLOOKUP($E596,'Status Thresholds'!$E:$AU,41,FALSE)),"-")</f>
        <v>40</v>
      </c>
      <c r="K596" s="46" t="str">
        <f>IFERROR(IF(AND($U$5=FALSE,$U$4=FALSE),"-",VLOOKUP($E596,'Status Thresholds'!$E:$AU,42,FALSE)),"-")</f>
        <v>-</v>
      </c>
      <c r="L596" s="46" t="str">
        <f>IFERROR(IF(AND($U$5=FALSE,$U$4=FALSE),"-",VLOOKUP($E596,'Status Thresholds'!$E:$AU,43,FALSE)),"-")</f>
        <v>-</v>
      </c>
    </row>
    <row r="597" spans="1:12" x14ac:dyDescent="0.25">
      <c r="A597" s="35"/>
      <c r="B597" s="64" t="str">
        <f>VLOOKUP(C597,'Status Thresholds'!B:C,2,FALSE)</f>
        <v>MHGen</v>
      </c>
      <c r="C597" s="64" t="str">
        <f>IF('Status Thresholds'!B592=0, "", 'Status Thresholds'!B592)</f>
        <v>Rathalos</v>
      </c>
      <c r="D597" s="32" t="s">
        <v>33</v>
      </c>
      <c r="E597" s="36" t="str">
        <f t="shared" si="8"/>
        <v>RathalosPoison</v>
      </c>
      <c r="F597" s="36" t="str">
        <f>IFERROR(
ROUNDUP(
IF(AND($U$5=FALSE,$U$4=FALSE),"-",IF(AND($U$5=TRUE,$U$4=TRUE),"-",
IF((AND($U$4=TRUE,$U$5=FALSE,$U$6=FALSE,$U$7=FALSE)),VLOOKUP($E597,'Status Thresholds'!$E:$AR,2,FALSE),IF((AND($U$4=TRUE,$U$5=FALSE,$U$6=TRUE,$U$7=FALSE)),VLOOKUP($E597,'Status Thresholds'!$E:$AR,12,FALSE),IF((AND($U$4=TRUE,$U$5=FALSE,$U$6=TRUE,$U$7=TRUE)),VLOOKUP($E597,'Status Thresholds'!$E:$AR,17,FALSE),IF((AND($U$4=TRUE,$U$5=FALSE,$U$6=FALSE,$U$7=TRUE)),VLOOKUP($E597,'Status Thresholds'!$E:$AR,7,FALSE),
IF((AND($U$4=FALSE,$U$5=TRUE,$U$6=FALSE,$U$7=FALSE)),VLOOKUP($E597,'Status Thresholds'!$E:$AR,22,FALSE),IF((AND($U$4=FALSE,$U$5=TRUE,$U$6=TRUE,$U$7=FALSE)),VLOOKUP($E597,'Status Thresholds'!$E:$AR,32,FALSE),IF((AND($U$4=FALSE,$U$5=TRUE,$U$6=TRUE,$U$7=TRUE)),VLOOKUP($E597,'Status Thresholds'!$E:$AR,37,FALSE),IF((AND($U$4=FALSE,$U$5=TRUE,$U$6=FALSE,$U$7=TRUE)),VLOOKUP($E597,'Status Thresholds'!$E:$AR,27,FALSE)))))))))
))/
IF(OR($X$5=TRUE,$AC$3=TRUE
),($F$5/2), IF(OR($X$2,$X$3,$X$4,$X$6,$X$7,$X$8,$Z$2,$Z$3,$Z$4,$Z$5,$Z$6,$Z$7,$Z$8)=TRUE,$F$5)),0),"-")</f>
        <v>-</v>
      </c>
      <c r="G597" s="36" t="str">
        <f>IFERROR(
ROUNDUP(
IF(AND($U$5=FALSE,$U$4=FALSE),"-",IF(AND($U$5=TRUE,$U$4=TRUE),"-",
IF((AND($U$4=TRUE,$U$5=FALSE,$U$6=FALSE,$U$7=FALSE)),VLOOKUP($E597,'Status Thresholds'!$E:$AR,3,FALSE),IF((AND($U$4=TRUE,$U$5=FALSE,$U$6=TRUE,$U$7=FALSE)),VLOOKUP($E597,'Status Thresholds'!$E:$AR,13,FALSE),IF((AND($U$4=TRUE,$U$5=FALSE,$U$6=TRUE,$U$7=TRUE)),VLOOKUP($E597,'Status Thresholds'!$E:$AR,18,FALSE),IF((AND($U$4=TRUE,$U$5=FALSE,$U$6=FALSE,$U$7=TRUE)),VLOOKUP($E597,'Status Thresholds'!$E:$AR,8,FALSE),
IF((AND($U$4=FALSE,$U$5=TRUE,$U$6=FALSE,$U$7=FALSE)),VLOOKUP($E597,'Status Thresholds'!$E:$AR,23,FALSE),IF((AND($U$4=FALSE,$U$5=TRUE,$U$6=TRUE,$U$7=FALSE)),VLOOKUP($E597,'Status Thresholds'!$E:$AR,33,FALSE),IF((AND($U$4=FALSE,$U$5=TRUE,$U$6=TRUE,$U$7=TRUE)),VLOOKUP($E597,'Status Thresholds'!$E:$AR,38,FALSE),IF((AND($U$4=FALSE,$U$5=TRUE,$U$6=FALSE,$U$7=TRUE)),VLOOKUP($E597,'Status Thresholds'!$E:$AR,28,FALSE)))))))))
))/
IF(OR($X$5=TRUE,$AC$3=TRUE
),($F$5/2), IF(OR($X$2,$X$3,$X$4,$X$6,$X$7,$X$8,$Z$2,$Z$3,$Z$4,$Z$5,$Z$6,$Z$7,$Z$8)=TRUE,$F$5)),0),"-")</f>
        <v>-</v>
      </c>
      <c r="H597" s="36" t="str">
        <f>IFERROR(
ROUNDUP(
IF(AND($U$5=FALSE,$U$4=FALSE),"-",IF(AND($U$5=TRUE,$U$4=TRUE),"-",
IF((AND($U$4=TRUE,$U$5=FALSE,$U$6=FALSE,$U$7=FALSE)),VLOOKUP($E597,'Status Thresholds'!$E:$AR,4,FALSE),IF((AND($U$4=TRUE,$U$5=FALSE,$U$6=TRUE,$U$7=FALSE)),VLOOKUP($E597,'Status Thresholds'!$E:$AR,14,FALSE),IF((AND($U$4=TRUE,$U$5=FALSE,$U$6=TRUE,$U$7=TRUE)),VLOOKUP($E597,'Status Thresholds'!$E:$AR,19,FALSE),IF((AND($U$4=TRUE,$U$5=FALSE,$U$6=FALSE,$U$7=TRUE)),VLOOKUP($E597,'Status Thresholds'!$E:$AR,9,FALSE),
IF((AND($U$4=FALSE,$U$5=TRUE,$U$6=FALSE,$U$7=FALSE)),VLOOKUP($E597,'Status Thresholds'!$E:$AR,24,FALSE),IF((AND($U$4=FALSE,$U$5=TRUE,$U$6=TRUE,$U$7=FALSE)),VLOOKUP($E597,'Status Thresholds'!$E:$AR,34,FALSE),IF((AND($U$4=FALSE,$U$5=TRUE,$U$6=TRUE,$U$7=TRUE)),VLOOKUP($E597,'Status Thresholds'!$E:$AR,39,FALSE),IF((AND($U$4=FALSE,$U$5=TRUE,$U$6=FALSE,$U$7=TRUE)),VLOOKUP($E597,'Status Thresholds'!$E:$AR,29,FALSE)))))))))
))/
IF(OR($X$5=TRUE,$AC$3=TRUE
),($F$5/2), IF(OR($X$2,$X$3,$X$4,$X$6,$X$7,$X$8,$Z$2,$Z$3,$Z$4,$Z$5,$Z$6,$Z$7,$Z$8)=TRUE,$F$5)),0),"-")</f>
        <v>-</v>
      </c>
      <c r="I597" s="36" t="str">
        <f>IFERROR(
ROUNDUP(
IF(AND($U$5=FALSE,$U$4=FALSE),"-",IF(AND($U$5=TRUE,$U$4=TRUE),"-",
IF((AND($U$4=TRUE,$U$5=FALSE,$U$6=FALSE,$U$7=FALSE)),VLOOKUP($E597,'Status Thresholds'!$E:$AR,5,FALSE),IF((AND($U$4=TRUE,$U$5=FALSE,$U$6=TRUE,$U$7=FALSE)),VLOOKUP($E597,'Status Thresholds'!$E:$AR,15,FALSE),IF((AND($U$4=TRUE,$U$5=FALSE,$U$6=TRUE,$U$7=TRUE)),VLOOKUP($E597,'Status Thresholds'!$E:$AR,20,FALSE),IF((AND($U$4=TRUE,$U$5=FALSE,$U$6=FALSE,$U$7=TRUE)),VLOOKUP($E597,'Status Thresholds'!$E:$AR,10,FALSE),
IF((AND($U$4=FALSE,$U$5=TRUE,$U$6=FALSE,$U$7=FALSE)),VLOOKUP($E597,'Status Thresholds'!$E:$AR,25,FALSE),IF((AND($U$4=FALSE,$U$5=TRUE,$U$6=TRUE,$U$7=FALSE)),VLOOKUP($E597,'Status Thresholds'!$E:$AR,35,FALSE),IF((AND($U$4=FALSE,$U$5=TRUE,$U$6=TRUE,$U$7=TRUE)),VLOOKUP($E597,'Status Thresholds'!$E:$AR,40,FALSE),IF((AND($U$4=FALSE,$U$5=TRUE,$U$6=FALSE,$U$7=TRUE)),VLOOKUP($E597,'Status Thresholds'!$E:$AR,30,FALSE)))))))))
))/
IF(OR($X$5=TRUE,$AC$3=TRUE
),($F$5/2), IF(OR($X$2,$X$3,$X$4,$X$6,$X$7,$X$8,$Z$2,$Z$3,$Z$4,$Z$5,$Z$6,$Z$7,$Z$8)=TRUE,$F$5)),0),"-")</f>
        <v>-</v>
      </c>
      <c r="J597" s="46">
        <f>IFERROR(IF(AND($U$5=FALSE,$U$4=FALSE),"-",VLOOKUP($E597,'Status Thresholds'!$E:$AU,41,FALSE)),"-")</f>
        <v>60</v>
      </c>
      <c r="K597" s="46" t="str">
        <f>IFERROR(IF(AND($U$5=FALSE,$U$4=FALSE),"-",VLOOKUP($E597,'Status Thresholds'!$E:$AU,42,FALSE)),"-")</f>
        <v>-</v>
      </c>
      <c r="L597" s="46" t="str">
        <f>IFERROR(IF(AND($U$5=FALSE,$U$4=FALSE),"-",VLOOKUP($E597,'Status Thresholds'!$E:$AU,43,FALSE)),"-")</f>
        <v>-</v>
      </c>
    </row>
    <row r="598" spans="1:12" x14ac:dyDescent="0.25">
      <c r="A598" s="35"/>
      <c r="B598" s="64" t="str">
        <f>VLOOKUP(C598,'Status Thresholds'!B:C,2,FALSE)</f>
        <v>MHGen</v>
      </c>
      <c r="C598" s="64" t="str">
        <f>IF('Status Thresholds'!B593=0, "", 'Status Thresholds'!B593)</f>
        <v>Rathalos</v>
      </c>
      <c r="D598" s="10" t="s">
        <v>22</v>
      </c>
      <c r="E598" s="36" t="str">
        <f t="shared" si="8"/>
        <v>RathalosExhaust</v>
      </c>
      <c r="F598" s="36" t="str">
        <f>IFERROR(
ROUNDUP(
IF(AND($U$5=FALSE,$U$4=FALSE),"-",IF(AND($U$5=TRUE,$U$4=TRUE),"-",
IF((AND($U$4=TRUE,$U$5=FALSE,$U$6=FALSE,$U$7=FALSE)),VLOOKUP($E598,'Status Thresholds'!$E:$AR,2,FALSE),IF((AND($U$4=TRUE,$U$5=FALSE,$U$6=TRUE,$U$7=FALSE)),VLOOKUP($E598,'Status Thresholds'!$E:$AR,12,FALSE),IF((AND($U$4=TRUE,$U$5=FALSE,$U$6=TRUE,$U$7=TRUE)),VLOOKUP($E598,'Status Thresholds'!$E:$AR,17,FALSE),IF((AND($U$4=TRUE,$U$5=FALSE,$U$6=FALSE,$U$7=TRUE)),VLOOKUP($E598,'Status Thresholds'!$E:$AR,7,FALSE),
IF((AND($U$4=FALSE,$U$5=TRUE,$U$6=FALSE,$U$7=FALSE)),VLOOKUP($E598,'Status Thresholds'!$E:$AR,22,FALSE),IF((AND($U$4=FALSE,$U$5=TRUE,$U$6=TRUE,$U$7=FALSE)),VLOOKUP($E598,'Status Thresholds'!$E:$AR,32,FALSE),IF((AND($U$4=FALSE,$U$5=TRUE,$U$6=TRUE,$U$7=TRUE)),VLOOKUP($E598,'Status Thresholds'!$E:$AR,37,FALSE),IF((AND($U$4=FALSE,$U$5=TRUE,$U$6=FALSE,$U$7=TRUE)),VLOOKUP($E598,'Status Thresholds'!$E:$AR,27,FALSE)))))))))
))/
IF(OR($X$5=TRUE,$AC$3=TRUE
),($F$6/2), IF(OR($X$2,$X$3,$X$4,$X$6,$X$7,$X$8,$Z$2,$Z$3,$Z$4,$Z$5,$Z$6,$Z$7,$Z$8)=TRUE,$F$6)),0),"-")</f>
        <v>-</v>
      </c>
      <c r="G598" s="36" t="str">
        <f>IFERROR(
ROUNDUP(
IF(AND($U$5=FALSE,$U$4=FALSE),"-",IF(AND($U$5=TRUE,$U$4=TRUE),"-",
IF((AND($U$4=TRUE,$U$5=FALSE,$U$6=FALSE,$U$7=FALSE)),VLOOKUP($E598,'Status Thresholds'!$E:$AR,3,FALSE),IF((AND($U$4=TRUE,$U$5=FALSE,$U$6=TRUE,$U$7=FALSE)),VLOOKUP($E598,'Status Thresholds'!$E:$AR,13,FALSE),IF((AND($U$4=TRUE,$U$5=FALSE,$U$6=TRUE,$U$7=TRUE)),VLOOKUP($E598,'Status Thresholds'!$E:$AR,18,FALSE),IF((AND($U$4=TRUE,$U$5=FALSE,$U$6=FALSE,$U$7=TRUE)),VLOOKUP($E598,'Status Thresholds'!$E:$AR,8,FALSE),
IF((AND($U$4=FALSE,$U$5=TRUE,$U$6=FALSE,$U$7=FALSE)),VLOOKUP($E598,'Status Thresholds'!$E:$AR,23,FALSE),IF((AND($U$4=FALSE,$U$5=TRUE,$U$6=TRUE,$U$7=FALSE)),VLOOKUP($E598,'Status Thresholds'!$E:$AR,33,FALSE),IF((AND($U$4=FALSE,$U$5=TRUE,$U$6=TRUE,$U$7=TRUE)),VLOOKUP($E598,'Status Thresholds'!$E:$AR,38,FALSE),IF((AND($U$4=FALSE,$U$5=TRUE,$U$6=FALSE,$U$7=TRUE)),VLOOKUP($E598,'Status Thresholds'!$E:$AR,28,FALSE)))))))))
))/
IF(OR($X$5=TRUE,$AC$3=TRUE
),($F$6/2), IF(OR($X$2,$X$3,$X$4,$X$6,$X$7,$X$8,$Z$2,$Z$3,$Z$4,$Z$5,$Z$6,$Z$7,$Z$8)=TRUE,$F$6)),0),"-")</f>
        <v>-</v>
      </c>
      <c r="H598" s="36" t="str">
        <f>IFERROR(
ROUNDUP(
IF(AND($U$5=FALSE,$U$4=FALSE),"-",IF(AND($U$5=TRUE,$U$4=TRUE),"-",
IF((AND($U$4=TRUE,$U$5=FALSE,$U$6=FALSE,$U$7=FALSE)),VLOOKUP($E598,'Status Thresholds'!$E:$AR,4,FALSE),IF((AND($U$4=TRUE,$U$5=FALSE,$U$6=TRUE,$U$7=FALSE)),VLOOKUP($E598,'Status Thresholds'!$E:$AR,14,FALSE),IF((AND($U$4=TRUE,$U$5=FALSE,$U$6=TRUE,$U$7=TRUE)),VLOOKUP($E598,'Status Thresholds'!$E:$AR,19,FALSE),IF((AND($U$4=TRUE,$U$5=FALSE,$U$6=FALSE,$U$7=TRUE)),VLOOKUP($E598,'Status Thresholds'!$E:$AR,9,FALSE),
IF((AND($U$4=FALSE,$U$5=TRUE,$U$6=FALSE,$U$7=FALSE)),VLOOKUP($E598,'Status Thresholds'!$E:$AR,24,FALSE),IF((AND($U$4=FALSE,$U$5=TRUE,$U$6=TRUE,$U$7=FALSE)),VLOOKUP($E598,'Status Thresholds'!$E:$AR,34,FALSE),IF((AND($U$4=FALSE,$U$5=TRUE,$U$6=TRUE,$U$7=TRUE)),VLOOKUP($E598,'Status Thresholds'!$E:$AR,39,FALSE),IF((AND($U$4=FALSE,$U$5=TRUE,$U$6=FALSE,$U$7=TRUE)),VLOOKUP($E598,'Status Thresholds'!$E:$AR,29,FALSE)))))))))
))/
IF(OR($X$5=TRUE,$AC$3=TRUE
),($F$6/2), IF(OR($X$2,$X$3,$X$4,$X$6,$X$7,$X$8,$Z$2,$Z$3,$Z$4,$Z$5,$Z$6,$Z$7,$Z$8)=TRUE,$F$6)),0),"-")</f>
        <v>-</v>
      </c>
      <c r="I598" s="36" t="str">
        <f>IFERROR(
ROUNDUP(
IF(AND($U$5=FALSE,$U$4=FALSE),"-",IF(AND($U$5=TRUE,$U$4=TRUE),"-",
IF((AND($U$4=TRUE,$U$5=FALSE,$U$6=FALSE,$U$7=FALSE)),VLOOKUP($E598,'Status Thresholds'!$E:$AR,5,FALSE),IF((AND($U$4=TRUE,$U$5=FALSE,$U$6=TRUE,$U$7=FALSE)),VLOOKUP($E598,'Status Thresholds'!$E:$AR,15,FALSE),IF((AND($U$4=TRUE,$U$5=FALSE,$U$6=TRUE,$U$7=TRUE)),VLOOKUP($E598,'Status Thresholds'!$E:$AR,20,FALSE),IF((AND($U$4=TRUE,$U$5=FALSE,$U$6=FALSE,$U$7=TRUE)),VLOOKUP($E598,'Status Thresholds'!$E:$AR,10,FALSE),
IF((AND($U$4=FALSE,$U$5=TRUE,$U$6=FALSE,$U$7=FALSE)),VLOOKUP($E598,'Status Thresholds'!$E:$AR,25,FALSE),IF((AND($U$4=FALSE,$U$5=TRUE,$U$6=TRUE,$U$7=FALSE)),VLOOKUP($E598,'Status Thresholds'!$E:$AR,35,FALSE),IF((AND($U$4=FALSE,$U$5=TRUE,$U$6=TRUE,$U$7=TRUE)),VLOOKUP($E598,'Status Thresholds'!$E:$AR,40,FALSE),IF((AND($U$4=FALSE,$U$5=TRUE,$U$6=FALSE,$U$7=TRUE)),VLOOKUP($E598,'Status Thresholds'!$E:$AR,30,FALSE)))))))))
))/
IF(OR($X$5=TRUE,$AC$3=TRUE
),($F$6/2), IF(OR($X$2,$X$3,$X$4,$X$6,$X$7,$X$8,$Z$2,$Z$3,$Z$4,$Z$5,$Z$6,$Z$7,$Z$8)=TRUE,$F$6)),0),"-")</f>
        <v>-</v>
      </c>
      <c r="J598" s="46">
        <f>IFERROR(IF(AND($U$5=FALSE,$U$4=FALSE),"-",VLOOKUP($E598,'Status Thresholds'!$E:$AU,41,FALSE)),"-")</f>
        <v>0</v>
      </c>
      <c r="K598" s="46" t="str">
        <f>IFERROR(IF(AND($U$5=FALSE,$U$4=FALSE),"-",VLOOKUP($E598,'Status Thresholds'!$E:$AU,42,FALSE)),"-")</f>
        <v>-</v>
      </c>
      <c r="L598" s="46" t="str">
        <f>IFERROR(IF(AND($U$5=FALSE,$U$4=FALSE),"-",VLOOKUP($E598,'Status Thresholds'!$E:$AU,43,FALSE)),"-")</f>
        <v>-</v>
      </c>
    </row>
    <row r="599" spans="1:12" x14ac:dyDescent="0.25">
      <c r="A599" s="35"/>
      <c r="B599" s="64" t="str">
        <f>VLOOKUP(C599,'Status Thresholds'!B:C,2,FALSE)</f>
        <v>MHGen</v>
      </c>
      <c r="C599" s="64" t="str">
        <f>IF('Status Thresholds'!B594=0, "", 'Status Thresholds'!B594)</f>
        <v>Rathalos</v>
      </c>
      <c r="D599" s="30" t="s">
        <v>35</v>
      </c>
      <c r="E599" s="36" t="str">
        <f t="shared" si="8"/>
        <v>RathalosBlast</v>
      </c>
      <c r="F599" s="36" t="str">
        <f>IFERROR(
ROUNDUP(
IF(AND($U$5=FALSE,$U$4=FALSE),"-",IF(AND($U$5=TRUE,$U$4=TRUE),"-",
IF((AND($U$4=TRUE,$U$5=FALSE,$U$6=FALSE,$U$7=FALSE)),VLOOKUP($E599,'Status Thresholds'!$E:$AR,2,FALSE),IF((AND($U$4=TRUE,$U$5=FALSE,$U$6=TRUE,$U$7=FALSE)),VLOOKUP($E599,'Status Thresholds'!$E:$AR,12,FALSE),IF((AND($U$4=TRUE,$U$5=FALSE,$U$6=TRUE,$U$7=TRUE)),VLOOKUP($E599,'Status Thresholds'!$E:$AR,17,FALSE),IF((AND($U$4=TRUE,$U$5=FALSE,$U$6=FALSE,$U$7=TRUE)),VLOOKUP($E599,'Status Thresholds'!$E:$AR,7,FALSE),
IF((AND($U$4=FALSE,$U$5=TRUE,$U$6=FALSE,$U$7=FALSE)),VLOOKUP($E599,'Status Thresholds'!$E:$AR,22,FALSE),IF((AND($U$4=FALSE,$U$5=TRUE,$U$6=TRUE,$U$7=FALSE)),VLOOKUP($E599,'Status Thresholds'!$E:$AR,32,FALSE),IF((AND($U$4=FALSE,$U$5=TRUE,$U$6=TRUE,$U$7=TRUE)),VLOOKUP($E599,'Status Thresholds'!$E:$AR,37,FALSE),IF((AND($U$4=FALSE,$U$5=TRUE,$U$6=FALSE,$U$7=TRUE)),VLOOKUP($E599,'Status Thresholds'!$E:$AR,27,FALSE)))))))))
))/
IF(OR($X$5=TRUE,$AC$3=TRUE
),($F$7/2), IF(OR($X$2,$X$3,$X$4,$X$6,$X$7,$X$8,$Z$2,$Z$3,$Z$4,$Z$5,$Z$6,$Z$7,$Z$8)=TRUE,$F$7)),0),"-")</f>
        <v>-</v>
      </c>
      <c r="G599" s="36" t="str">
        <f>IFERROR(
ROUNDUP(
IF(AND($U$5=FALSE,$U$4=FALSE),"-",IF(AND($U$5=TRUE,$U$4=TRUE),"-",
IF((AND($U$4=TRUE,$U$5=FALSE,$U$6=FALSE,$U$7=FALSE)),VLOOKUP($E599,'Status Thresholds'!$E:$AR,3,FALSE),IF((AND($U$4=TRUE,$U$5=FALSE,$U$6=TRUE,$U$7=FALSE)),VLOOKUP($E599,'Status Thresholds'!$E:$AR,13,FALSE),IF((AND($U$4=TRUE,$U$5=FALSE,$U$6=TRUE,$U$7=TRUE)),VLOOKUP($E599,'Status Thresholds'!$E:$AR,18,FALSE),IF((AND($U$4=TRUE,$U$5=FALSE,$U$6=FALSE,$U$7=TRUE)),VLOOKUP($E599,'Status Thresholds'!$E:$AR,8,FALSE),
IF((AND($U$4=FALSE,$U$5=TRUE,$U$6=FALSE,$U$7=FALSE)),VLOOKUP($E599,'Status Thresholds'!$E:$AR,23,FALSE),IF((AND($U$4=FALSE,$U$5=TRUE,$U$6=TRUE,$U$7=FALSE)),VLOOKUP($E599,'Status Thresholds'!$E:$AR,33,FALSE),IF((AND($U$4=FALSE,$U$5=TRUE,$U$6=TRUE,$U$7=TRUE)),VLOOKUP($E599,'Status Thresholds'!$E:$AR,38,FALSE),IF((AND($U$4=FALSE,$U$5=TRUE,$U$6=FALSE,$U$7=TRUE)),VLOOKUP($E599,'Status Thresholds'!$E:$AR,28,FALSE)))))))))
))/
IF(OR($X$5=TRUE,$AC$3=TRUE
),($F$7/2), IF(OR($X$2,$X$3,$X$4,$X$6,$X$7,$X$8,$Z$2,$Z$3,$Z$4,$Z$5,$Z$6,$Z$7,$Z$8)=TRUE,$F$7)),0),"-")</f>
        <v>-</v>
      </c>
      <c r="H599" s="36" t="str">
        <f>IFERROR(
ROUNDUP(
IF(AND($U$5=FALSE,$U$4=FALSE),"-",IF(AND($U$5=TRUE,$U$4=TRUE),"-",
IF((AND($U$4=TRUE,$U$5=FALSE,$U$6=FALSE,$U$7=FALSE)),VLOOKUP($E599,'Status Thresholds'!$E:$AR,4,FALSE),IF((AND($U$4=TRUE,$U$5=FALSE,$U$6=TRUE,$U$7=FALSE)),VLOOKUP($E599,'Status Thresholds'!$E:$AR,14,FALSE),IF((AND($U$4=TRUE,$U$5=FALSE,$U$6=TRUE,$U$7=TRUE)),VLOOKUP($E599,'Status Thresholds'!$E:$AR,19,FALSE),IF((AND($U$4=TRUE,$U$5=FALSE,$U$6=FALSE,$U$7=TRUE)),VLOOKUP($E599,'Status Thresholds'!$E:$AR,9,FALSE),
IF((AND($U$4=FALSE,$U$5=TRUE,$U$6=FALSE,$U$7=FALSE)),VLOOKUP($E599,'Status Thresholds'!$E:$AR,24,FALSE),IF((AND($U$4=FALSE,$U$5=TRUE,$U$6=TRUE,$U$7=FALSE)),VLOOKUP($E599,'Status Thresholds'!$E:$AR,34,FALSE),IF((AND($U$4=FALSE,$U$5=TRUE,$U$6=TRUE,$U$7=TRUE)),VLOOKUP($E599,'Status Thresholds'!$E:$AR,39,FALSE),IF((AND($U$4=FALSE,$U$5=TRUE,$U$6=FALSE,$U$7=TRUE)),VLOOKUP($E599,'Status Thresholds'!$E:$AR,29,FALSE)))))))))
))/
IF(OR($X$5=TRUE,$AC$3=TRUE
),($F$7/2), IF(OR($X$2,$X$3,$X$4,$X$6,$X$7,$X$8,$Z$2,$Z$3,$Z$4,$Z$5,$Z$6,$Z$7,$Z$8)=TRUE,$F$7)),0),"-")</f>
        <v>-</v>
      </c>
      <c r="I599" s="36" t="str">
        <f>IFERROR(
ROUNDUP(
IF(AND($U$5=FALSE,$U$4=FALSE),"-",IF(AND($U$5=TRUE,$U$4=TRUE),"-",
IF((AND($U$4=TRUE,$U$5=FALSE,$U$6=FALSE,$U$7=FALSE)),VLOOKUP($E599,'Status Thresholds'!$E:$AR,5,FALSE),IF((AND($U$4=TRUE,$U$5=FALSE,$U$6=TRUE,$U$7=FALSE)),VLOOKUP($E599,'Status Thresholds'!$E:$AR,15,FALSE),IF((AND($U$4=TRUE,$U$5=FALSE,$U$6=TRUE,$U$7=TRUE)),VLOOKUP($E599,'Status Thresholds'!$E:$AR,20,FALSE),IF((AND($U$4=TRUE,$U$5=FALSE,$U$6=FALSE,$U$7=TRUE)),VLOOKUP($E599,'Status Thresholds'!$E:$AR,10,FALSE),
IF((AND($U$4=FALSE,$U$5=TRUE,$U$6=FALSE,$U$7=FALSE)),VLOOKUP($E599,'Status Thresholds'!$E:$AR,25,FALSE),IF((AND($U$4=FALSE,$U$5=TRUE,$U$6=TRUE,$U$7=FALSE)),VLOOKUP($E599,'Status Thresholds'!$E:$AR,35,FALSE),IF((AND($U$4=FALSE,$U$5=TRUE,$U$6=TRUE,$U$7=TRUE)),VLOOKUP($E599,'Status Thresholds'!$E:$AR,40,FALSE),IF((AND($U$4=FALSE,$U$5=TRUE,$U$6=FALSE,$U$7=TRUE)),VLOOKUP($E599,'Status Thresholds'!$E:$AR,30,FALSE)))))))))
))/
IF(OR($X$5=TRUE,$AC$3=TRUE
),($F$7/2), IF(OR($X$2,$X$3,$X$4,$X$6,$X$7,$X$8,$Z$2,$Z$3,$Z$4,$Z$5,$Z$6,$Z$7,$Z$8)=TRUE,$F$7)),0),"-")</f>
        <v>-</v>
      </c>
      <c r="J599" s="46">
        <f>IFERROR(IF(AND($U$5=FALSE,$U$4=FALSE),"-",VLOOKUP($E599,'Status Thresholds'!$E:$AU,41,FALSE)),"-")</f>
        <v>0</v>
      </c>
      <c r="K599" s="46" t="str">
        <f>IFERROR(IF(AND($U$5=FALSE,$U$4=FALSE),"-",VLOOKUP($E599,'Status Thresholds'!$E:$AU,42,FALSE)),"-")</f>
        <v>-</v>
      </c>
      <c r="L599" s="46" t="str">
        <f>IFERROR(IF(AND($U$5=FALSE,$U$4=FALSE),"-",VLOOKUP($E599,'Status Thresholds'!$E:$AU,43,FALSE)),"-")</f>
        <v>-</v>
      </c>
    </row>
    <row r="600" spans="1:12" ht="14.45" customHeight="1" x14ac:dyDescent="0.25">
      <c r="A600" s="35"/>
      <c r="B600" s="64" t="str">
        <f>VLOOKUP(C600,'Status Thresholds'!B:C,2,FALSE)</f>
        <v>MHGen</v>
      </c>
      <c r="C600" s="64" t="str">
        <f>IF('Status Thresholds'!B595=0, "", 'Status Thresholds'!B595)</f>
        <v>Rathalos</v>
      </c>
      <c r="D600" s="34" t="s">
        <v>14</v>
      </c>
      <c r="E600" s="36" t="str">
        <f t="shared" si="8"/>
        <v>RathalosKO</v>
      </c>
      <c r="F600" s="36" t="s">
        <v>214</v>
      </c>
      <c r="G600" s="36" t="s">
        <v>214</v>
      </c>
      <c r="H600" s="36" t="s">
        <v>214</v>
      </c>
      <c r="I600" s="36" t="s">
        <v>214</v>
      </c>
      <c r="J600" s="46">
        <f>IFERROR(IF(AND($U$5=FALSE,$U$4=FALSE),"-",VLOOKUP($E600,'Status Thresholds'!$E:$AU,41,FALSE)),"-")</f>
        <v>10</v>
      </c>
      <c r="K600" s="46" t="str">
        <f>IFERROR(IF(AND($U$5=FALSE,$U$4=FALSE),"-",VLOOKUP($E600,'Status Thresholds'!$E:$AU,42,FALSE)),"-")</f>
        <v>-</v>
      </c>
      <c r="L600" s="46" t="str">
        <f>IFERROR(IF(AND($U$5=FALSE,$U$4=FALSE),"-",VLOOKUP($E600,'Status Thresholds'!$E:$AU,43,FALSE)),"-")</f>
        <v>-</v>
      </c>
    </row>
    <row r="601" spans="1:12" x14ac:dyDescent="0.25">
      <c r="A601" s="35"/>
      <c r="B601" s="64" t="str">
        <f>VLOOKUP(C601,'Status Thresholds'!B:C,2,FALSE)</f>
        <v>MHGen</v>
      </c>
      <c r="C601" s="64" t="str">
        <f>IF('Status Thresholds'!B596=0, "", 'Status Thresholds'!B596)</f>
        <v>Rathalos</v>
      </c>
      <c r="D601" s="33" t="s">
        <v>34</v>
      </c>
      <c r="E601" s="36" t="str">
        <f t="shared" si="8"/>
        <v>RathalosMount</v>
      </c>
      <c r="F601" s="36" t="str">
        <f>IFERROR(
ROUNDUP(
IF(AND($U$5=FALSE,$U$4=FALSE),"-",IF(AND($U$5=TRUE,$U$4=TRUE),"-",
IF((AND($U$4=TRUE,$U$5=FALSE,$U$6=FALSE,$U$7=FALSE)),VLOOKUP($E601,'Status Thresholds'!$E:$AR,2,FALSE),IF((AND($U$4=TRUE,$U$5=FALSE,$U$6=TRUE,$U$7=FALSE)),VLOOKUP($E601,'Status Thresholds'!$E:$AR,12,FALSE),IF((AND($U$4=TRUE,$U$5=FALSE,$U$6=TRUE,$U$7=TRUE)),VLOOKUP($E601,'Status Thresholds'!$E:$AR,17,FALSE),IF((AND($U$4=TRUE,$U$5=FALSE,$U$6=FALSE,$U$7=TRUE)),VLOOKUP($E601,'Status Thresholds'!$E:$AR,7,FALSE),
IF((AND($U$4=FALSE,$U$5=TRUE,$U$6=FALSE,$U$7=FALSE)),VLOOKUP($E601,'Status Thresholds'!$E:$AR,22,FALSE),IF((AND($U$4=FALSE,$U$5=TRUE,$U$6=TRUE,$U$7=FALSE)),VLOOKUP($E601,'Status Thresholds'!$E:$AR,32,FALSE),IF((AND($U$4=FALSE,$U$5=TRUE,$U$6=TRUE,$U$7=TRUE)),VLOOKUP($E601,'Status Thresholds'!$E:$AR,37,FALSE),IF((AND($U$4=FALSE,$U$5=TRUE,$U$6=FALSE,$U$7=TRUE)),VLOOKUP($E601,'Status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601" s="36" t="str">
        <f>IFERROR(
ROUNDUP(
IF(AND($U$5=FALSE,$U$4=FALSE),"-",IF(AND($U$5=TRUE,$U$4=TRUE),"-",
IF((AND($U$4=TRUE,$U$5=FALSE,$U$6=FALSE,$U$7=FALSE)),VLOOKUP($E600,'Status Thresholds'!$E:$AR,3,FALSE),IF((AND($U$4=TRUE,$U$5=FALSE,$U$6=TRUE,$U$7=FALSE)),VLOOKUP($E600,'Status Thresholds'!$E:$AR,13,FALSE),IF((AND($U$4=TRUE,$U$5=FALSE,$U$6=TRUE,$U$7=TRUE)),VLOOKUP($E600,'Status Thresholds'!$E:$AR,18,FALSE),IF((AND($U$4=TRUE,$U$5=FALSE,$U$6=FALSE,$U$7=TRUE)),VLOOKUP($E600,'Status Thresholds'!$E:$AR,8,FALSE),
IF((AND($U$4=FALSE,$U$5=TRUE,$U$6=FALSE,$U$7=FALSE)),VLOOKUP($E600,'Status Thresholds'!$E:$AR,23,FALSE),IF((AND($U$4=FALSE,$U$5=TRUE,$U$6=TRUE,$U$7=FALSE)),VLOOKUP($E600,'Status Thresholds'!$E:$AR,33,FALSE),IF((AND($U$4=FALSE,$U$5=TRUE,$U$6=TRUE,$U$7=TRUE)),VLOOKUP($E600,'Status Thresholds'!$E:$AR,38,FALSE),IF((AND($U$4=FALSE,$U$5=TRUE,$U$6=FALSE,$U$7=TRUE)),VLOOKUP($E600,'Status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601" s="36" t="str">
        <f>IFERROR(
ROUNDUP(
IF(AND($U$5=FALSE,$U$4=FALSE),"-",IF(AND($U$5=TRUE,$U$4=TRUE),"-",
IF((AND($U$4=TRUE,$U$5=FALSE,$U$6=FALSE,$U$7=FALSE)),VLOOKUP($E600,'Status Thresholds'!$E:$AR,4,FALSE),IF((AND($U$4=TRUE,$U$5=FALSE,$U$6=TRUE,$U$7=FALSE)),VLOOKUP($E600,'Status Thresholds'!$E:$AR,14,FALSE),IF((AND($U$4=TRUE,$U$5=FALSE,$U$6=TRUE,$U$7=TRUE)),VLOOKUP($E600,'Status Thresholds'!$E:$AR,19,FALSE),IF((AND($U$4=TRUE,$U$5=FALSE,$U$6=FALSE,$U$7=TRUE)),VLOOKUP($E600,'Status Thresholds'!$E:$AR,9,FALSE),
IF((AND($U$4=FALSE,$U$5=TRUE,$U$6=FALSE,$U$7=FALSE)),VLOOKUP($E600,'Status Thresholds'!$E:$AR,24,FALSE),IF((AND($U$4=FALSE,$U$5=TRUE,$U$6=TRUE,$U$7=FALSE)),VLOOKUP($E600,'Status Thresholds'!$E:$AR,34,FALSE),IF((AND($U$4=FALSE,$U$5=TRUE,$U$6=TRUE,$U$7=TRUE)),VLOOKUP($E600,'Status Thresholds'!$E:$AR,39,FALSE),IF((AND($U$4=FALSE,$U$5=TRUE,$U$6=FALSE,$U$7=TRUE)),VLOOKUP($E600,'Status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601" s="36" t="str">
        <f>IFERROR(
ROUNDUP(
IF(AND($U$5=FALSE,$U$4=FALSE),"-",IF(AND($U$5=TRUE,$U$4=TRUE),"-",
IF((AND($U$4=TRUE,$U$5=FALSE,$U$6=FALSE,$U$7=FALSE)),VLOOKUP($E600,'Status Thresholds'!$E:$AR,5,FALSE),IF((AND($U$4=TRUE,$U$5=FALSE,$U$6=TRUE,$U$7=FALSE)),VLOOKUP($E600,'Status Thresholds'!$E:$AR,15,FALSE),IF((AND($U$4=TRUE,$U$5=FALSE,$U$6=TRUE,$U$7=TRUE)),VLOOKUP($E600,'Status Thresholds'!$E:$AR,20,FALSE),IF((AND($U$4=TRUE,$U$5=FALSE,$U$6=FALSE,$U$7=TRUE)),VLOOKUP($E600,'Status Thresholds'!$E:$AR,10,FALSE),
IF((AND($U$4=FALSE,$U$5=TRUE,$U$6=FALSE,$U$7=FALSE)),VLOOKUP($E600,'Status Thresholds'!$E:$AR,25,FALSE),IF((AND($U$4=FALSE,$U$5=TRUE,$U$6=TRUE,$U$7=FALSE)),VLOOKUP($E600,'Status Thresholds'!$E:$AR,35,FALSE),IF((AND($U$4=FALSE,$U$5=TRUE,$U$6=TRUE,$U$7=TRUE)),VLOOKUP($E600,'Status Thresholds'!$E:$AR,40,FALSE),IF((AND($U$4=FALSE,$U$5=TRUE,$U$6=FALSE,$U$7=TRUE)),VLOOKUP($E600,'Status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601" s="46">
        <f>IFERROR(IF(AND($U$5=FALSE,$U$4=FALSE),"-",VLOOKUP($E601,'Status Thresholds'!$E:$AU,41,FALSE)),"-")</f>
        <v>0</v>
      </c>
      <c r="K601" s="46" t="str">
        <f>IFERROR(IF(AND($U$5=FALSE,$U$4=FALSE),"-",VLOOKUP($E601,'Status Thresholds'!$E:$AU,42,FALSE)),"-")</f>
        <v>-</v>
      </c>
      <c r="L601" s="46" t="str">
        <f>IFERROR(IF(AND($U$5=FALSE,$U$4=FALSE),"-",VLOOKUP($E601,'Status Thresholds'!$E:$AU,43,FALSE)),"-")</f>
        <v>-</v>
      </c>
    </row>
    <row r="602" spans="1:12" ht="15" customHeight="1" x14ac:dyDescent="0.25">
      <c r="A602" s="35"/>
      <c r="B602" s="64" t="str">
        <f>VLOOKUP(C602,'Status Thresholds'!B:C,2,FALSE)</f>
        <v>MHGen</v>
      </c>
      <c r="C602" s="64" t="str">
        <f>IF('Status Thresholds'!B597=0, "", 'Status Thresholds'!B597)</f>
        <v>Rathalos</v>
      </c>
      <c r="D602" s="77" t="s">
        <v>207</v>
      </c>
      <c r="E602" s="36" t="str">
        <f t="shared" si="8"/>
        <v>RathalosShock Trap</v>
      </c>
      <c r="F602" s="76" t="s">
        <v>214</v>
      </c>
      <c r="G602" s="46" t="s">
        <v>214</v>
      </c>
      <c r="H602" s="46" t="s">
        <v>214</v>
      </c>
      <c r="I602" s="46" t="s">
        <v>214</v>
      </c>
      <c r="J602" s="46">
        <f>IFERROR(IF(AND($U$5=FALSE,$U$4=FALSE),"-",VLOOKUP($E602,'Status Thresholds'!$E:$AU,43,FALSE)),"-")</f>
        <v>8</v>
      </c>
      <c r="K602" s="46">
        <f>IFERROR(IF(AND($U$5=FALSE,$U$4=FALSE),"-",VLOOKUP($E602,'Status Thresholds'!$E:$AU,41,FALSE)),"-")</f>
        <v>8</v>
      </c>
      <c r="L602" s="46">
        <f>IFERROR(IF(AND($U$5=FALSE,$U$4=FALSE),"-",VLOOKUP($E602,'Status Thresholds'!$E:$AU,42,FALSE)),"-")</f>
        <v>15</v>
      </c>
    </row>
    <row r="603" spans="1:12" x14ac:dyDescent="0.25">
      <c r="A603" s="35"/>
      <c r="B603" s="64" t="str">
        <f>VLOOKUP(C603,'Status Thresholds'!B:C,2,FALSE)</f>
        <v>MHGen</v>
      </c>
      <c r="C603" s="64" t="str">
        <f>IF('Status Thresholds'!B598=0, "", 'Status Thresholds'!B598)</f>
        <v>Rathalos</v>
      </c>
      <c r="D603" s="77" t="s">
        <v>213</v>
      </c>
      <c r="E603" s="36" t="str">
        <f t="shared" si="8"/>
        <v>RathalosPitfall Trap</v>
      </c>
      <c r="F603" s="46" t="s">
        <v>214</v>
      </c>
      <c r="G603" s="46" t="s">
        <v>214</v>
      </c>
      <c r="H603" s="46" t="s">
        <v>214</v>
      </c>
      <c r="I603" s="46" t="s">
        <v>214</v>
      </c>
      <c r="J603" s="46">
        <f>IFERROR(IF(AND($U$5=FALSE,$U$4=FALSE),"-",VLOOKUP($E603,'Status Thresholds'!$E:$AU,43,FALSE)),"-")</f>
        <v>12</v>
      </c>
      <c r="K603" s="46">
        <f>IFERROR(IF(AND($U$5=FALSE,$U$4=FALSE),"-",VLOOKUP($E603,'Status Thresholds'!$E:$AU,41,FALSE)),"-")</f>
        <v>12</v>
      </c>
      <c r="L603" s="46">
        <f>IFERROR(IF(AND($U$5=FALSE,$U$4=FALSE),"-",VLOOKUP($E603,'Status Thresholds'!$E:$AU,42,FALSE)),"-")</f>
        <v>25</v>
      </c>
    </row>
    <row r="604" spans="1:12" s="36" customFormat="1" x14ac:dyDescent="0.25">
      <c r="A604" s="64"/>
      <c r="B604" s="64" t="str">
        <f>VLOOKUP(C604,'Status Thresholds'!B:C,2,FALSE)</f>
        <v>MHGen</v>
      </c>
      <c r="C604" s="64" t="str">
        <f>IF('Status Thresholds'!B599=0, "", 'Status Thresholds'!B599)</f>
        <v>Rathalos (Silver)</v>
      </c>
      <c r="D604" s="37" t="s">
        <v>0</v>
      </c>
      <c r="E604" s="36" t="str">
        <f t="shared" ref="E604:E667" si="9">$C604&amp;$D604</f>
        <v>Rathalos (Silver)Para</v>
      </c>
      <c r="F604" s="36" t="str">
        <f>IFERROR(
ROUNDUP(
IF(AND($U$5=FALSE,$U$4=FALSE),"-",IF(AND($U$5=TRUE,$U$4=TRUE),"-",
IF((AND($U$4=TRUE,$U$5=FALSE,$U$6=FALSE,$U$7=FALSE)),VLOOKUP($E604,'Status Thresholds'!$E:$AR,2,FALSE),IF((AND($U$4=TRUE,$U$5=FALSE,$U$6=TRUE,$U$7=FALSE)),VLOOKUP($E604,'Status Thresholds'!$E:$AR,12,FALSE),IF((AND($U$4=TRUE,$U$5=FALSE,$U$6=TRUE,$U$7=TRUE)),VLOOKUP($E604,'Status Thresholds'!$E:$AR,17,FALSE),IF((AND($U$4=TRUE,$U$5=FALSE,$U$6=FALSE,$U$7=TRUE)),VLOOKUP($E604,'Status Thresholds'!$E:$AR,7,FALSE),
IF((AND($U$4=FALSE,$U$5=TRUE,$U$6=FALSE,$U$7=FALSE)),VLOOKUP($E604,'Status Thresholds'!$E:$AR,22,FALSE),IF((AND($U$4=FALSE,$U$5=TRUE,$U$6=TRUE,$U$7=FALSE)),VLOOKUP($E604,'Status Thresholds'!$E:$AR,32,FALSE),IF((AND($U$4=FALSE,$U$5=TRUE,$U$6=TRUE,$U$7=TRUE)),VLOOKUP($E604,'Status Thresholds'!$E:$AR,37,FALSE),IF((AND($U$4=FALSE,$U$5=TRUE,$U$6=FALSE,$U$7=TRUE)),VLOOKUP($E604,'Status Thresholds'!$E:$AR,27,FALSE)))))))))
))/
IF(OR($X$5=TRUE,$AC$3=TRUE
),($F$3/2), IF(OR($X$2,$X$3,$X$4,$X$6,$X$7,$X$8,$Z$2,$Z$3,$Z$4,$Z$5,$Z$6,$Z$7,$Z$8)=TRUE,$F$3)),0),"-")</f>
        <v>-</v>
      </c>
      <c r="G604" s="36" t="str">
        <f>IFERROR(
ROUNDUP(
IF(AND($U$5=FALSE,$U$4=FALSE),"-",IF(AND($U$5=TRUE,$U$4=TRUE),"-",
IF((AND($U$4=TRUE,$U$5=FALSE,$U$6=FALSE,$U$7=FALSE)),VLOOKUP($E604,'Status Thresholds'!$E:$AR,3,FALSE),IF((AND($U$4=TRUE,$U$5=FALSE,$U$6=TRUE,$U$7=FALSE)),VLOOKUP($E604,'Status Thresholds'!$E:$AR,13,FALSE),IF((AND($U$4=TRUE,$U$5=FALSE,$U$6=TRUE,$U$7=TRUE)),VLOOKUP($E604,'Status Thresholds'!$E:$AR,18,FALSE),IF((AND($U$4=TRUE,$U$5=FALSE,$U$6=FALSE,$U$7=TRUE)),VLOOKUP($E604,'Status Thresholds'!$E:$AR,8,FALSE),
IF((AND($U$4=FALSE,$U$5=TRUE,$U$6=FALSE,$U$7=FALSE)),VLOOKUP($E604,'Status Thresholds'!$E:$AR,23,FALSE),IF((AND($U$4=FALSE,$U$5=TRUE,$U$6=TRUE,$U$7=FALSE)),VLOOKUP($E604,'Status Thresholds'!$E:$AR,33,FALSE),IF((AND($U$4=FALSE,$U$5=TRUE,$U$6=TRUE,$U$7=TRUE)),VLOOKUP($E604,'Status Thresholds'!$E:$AR,38,FALSE),IF((AND($U$4=FALSE,$U$5=TRUE,$U$6=FALSE,$U$7=TRUE)),VLOOKUP($E604,'Status Thresholds'!$E:$AR,28,FALSE)))))))))
))/
IF(OR($X$5=TRUE,$AC$3=TRUE
),($F$3/2), IF(OR($X$2,$X$3,$X$4,$X$6,$X$7,$X$8,$Z$2,$Z$3,$Z$4,$Z$5,$Z$6,$Z$7,$Z$8)=TRUE,$F$3)),0),"-")</f>
        <v>-</v>
      </c>
      <c r="H604" s="36" t="str">
        <f>IFERROR(
ROUNDUP(
IF(AND($U$5=FALSE,$U$4=FALSE),"-",IF(AND($U$5=TRUE,$U$4=TRUE),"-",
IF((AND($U$4=TRUE,$U$5=FALSE,$U$6=FALSE,$U$7=FALSE)),VLOOKUP($E604,'Status Thresholds'!$E:$AR,4,FALSE),IF((AND($U$4=TRUE,$U$5=FALSE,$U$6=TRUE,$U$7=FALSE)),VLOOKUP($E604,'Status Thresholds'!$E:$AR,14,FALSE),IF((AND($U$4=TRUE,$U$5=FALSE,$U$6=TRUE,$U$7=TRUE)),VLOOKUP($E604,'Status Thresholds'!$E:$AR,19,FALSE),IF((AND($U$4=TRUE,$U$5=FALSE,$U$6=FALSE,$U$7=TRUE)),VLOOKUP($E604,'Status Thresholds'!$E:$AR,9,FALSE),
IF((AND($U$4=FALSE,$U$5=TRUE,$U$6=FALSE,$U$7=FALSE)),VLOOKUP($E604,'Status Thresholds'!$E:$AR,24,FALSE),IF((AND($U$4=FALSE,$U$5=TRUE,$U$6=TRUE,$U$7=FALSE)),VLOOKUP($E604,'Status Thresholds'!$E:$AR,34,FALSE),IF((AND($U$4=FALSE,$U$5=TRUE,$U$6=TRUE,$U$7=TRUE)),VLOOKUP($E604,'Status Thresholds'!$E:$AR,39,FALSE),IF((AND($U$4=FALSE,$U$5=TRUE,$U$6=FALSE,$U$7=TRUE)),VLOOKUP($E604,'Status Thresholds'!$E:$AR,29,FALSE)))))))))
))/
IF(OR($X$5=TRUE,$AC$3=TRUE
),($F$3/2), IF(OR($X$2,$X$3,$X$4,$X$6,$X$7,$X$8,$Z$2,$Z$3,$Z$4,$Z$5,$Z$6,$Z$7,$Z$8)=TRUE,$F$3)),0),"-")</f>
        <v>-</v>
      </c>
      <c r="I604" s="36" t="str">
        <f>IFERROR(
ROUNDUP(
IF(AND($U$5=FALSE,$U$4=FALSE),"-",IF(AND($U$5=TRUE,$U$4=TRUE),"-",
IF((AND($U$4=TRUE,$U$5=FALSE,$U$6=FALSE,$U$7=FALSE)),VLOOKUP($E604,'Status Thresholds'!$E:$AR,5,FALSE),IF((AND($U$4=TRUE,$U$5=FALSE,$U$6=TRUE,$U$7=FALSE)),VLOOKUP($E604,'Status Thresholds'!$E:$AR,15,FALSE),IF((AND($U$4=TRUE,$U$5=FALSE,$U$6=TRUE,$U$7=TRUE)),VLOOKUP($E604,'Status Thresholds'!$E:$AR,20,FALSE),IF((AND($U$4=TRUE,$U$5=FALSE,$U$6=FALSE,$U$7=TRUE)),VLOOKUP($E604,'Status Thresholds'!$E:$AR,10,FALSE),
IF((AND($U$4=FALSE,$U$5=TRUE,$U$6=FALSE,$U$7=FALSE)),VLOOKUP($E604,'Status Thresholds'!$E:$AR,25,FALSE),IF((AND($U$4=FALSE,$U$5=TRUE,$U$6=TRUE,$U$7=FALSE)),VLOOKUP($E604,'Status Thresholds'!$E:$AR,35,FALSE),IF((AND($U$4=FALSE,$U$5=TRUE,$U$6=TRUE,$U$7=TRUE)),VLOOKUP($E604,'Status Thresholds'!$E:$AR,40,FALSE),IF((AND($U$4=FALSE,$U$5=TRUE,$U$6=FALSE,$U$7=TRUE)),VLOOKUP($E604,'Status Thresholds'!$E:$AR,30,FALSE)))))))))
))/
IF(OR($X$5=TRUE,$AC$3=TRUE
),($F$3/2), IF(OR($X$2,$X$3,$X$4,$X$6,$X$7,$X$8,$Z$2,$Z$3,$Z$4,$Z$5,$Z$6,$Z$7,$Z$8)=TRUE,$F$3)),0),"-")</f>
        <v>-</v>
      </c>
      <c r="J604" s="36">
        <f>IFERROR(IF(AND($U$5=FALSE,$U$4=FALSE),"-",VLOOKUP($E604,'Status Thresholds'!$E:$AU,41,FALSE)),"-")</f>
        <v>10</v>
      </c>
      <c r="K604" s="36" t="str">
        <f>IFERROR(IF(AND($U$5=FALSE,$U$4=FALSE),"-",VLOOKUP($E604,'Status Thresholds'!$E:$AU,42,FALSE)),"-")</f>
        <v>-</v>
      </c>
      <c r="L604" s="36" t="str">
        <f>IFERROR(IF(AND($U$5=FALSE,$U$4=FALSE),"-",VLOOKUP($E604,'Status Thresholds'!$E:$AU,43,FALSE)),"-")</f>
        <v>-</v>
      </c>
    </row>
    <row r="605" spans="1:12" x14ac:dyDescent="0.25">
      <c r="A605" s="35"/>
      <c r="B605" s="64" t="str">
        <f>VLOOKUP(C605,'Status Thresholds'!B:C,2,FALSE)</f>
        <v>MHGen</v>
      </c>
      <c r="C605" s="64" t="str">
        <f>IF('Status Thresholds'!B600=0, "", 'Status Thresholds'!B600)</f>
        <v>Rathalos (Silver)</v>
      </c>
      <c r="D605" s="31" t="s">
        <v>32</v>
      </c>
      <c r="E605" s="36" t="str">
        <f t="shared" si="9"/>
        <v>Rathalos (Silver)Sleep</v>
      </c>
      <c r="F605" s="36" t="str">
        <f>IFERROR(
ROUNDUP(
IF(AND($U$5=FALSE,$U$4=FALSE),"-",IF(AND($U$5=TRUE,$U$4=TRUE),"-",
IF((AND($U$4=TRUE,$U$5=FALSE,$U$6=FALSE,$U$7=FALSE)),VLOOKUP($E605,'Status Thresholds'!$E:$AR,2,FALSE),IF((AND($U$4=TRUE,$U$5=FALSE,$U$6=TRUE,$U$7=FALSE)),VLOOKUP($E605,'Status Thresholds'!$E:$AR,12,FALSE),IF((AND($U$4=TRUE,$U$5=FALSE,$U$6=TRUE,$U$7=TRUE)),VLOOKUP($E605,'Status Thresholds'!$E:$AR,17,FALSE),IF((AND($U$4=TRUE,$U$5=FALSE,$U$6=FALSE,$U$7=TRUE)),VLOOKUP($E605,'Status Thresholds'!$E:$AR,7,FALSE),
IF((AND($U$4=FALSE,$U$5=TRUE,$U$6=FALSE,$U$7=FALSE)),VLOOKUP($E605,'Status Thresholds'!$E:$AR,22,FALSE),IF((AND($U$4=FALSE,$U$5=TRUE,$U$6=TRUE,$U$7=FALSE)),VLOOKUP($E605,'Status Thresholds'!$E:$AR,32,FALSE),IF((AND($U$4=FALSE,$U$5=TRUE,$U$6=TRUE,$U$7=TRUE)),VLOOKUP($E605,'Status Thresholds'!$E:$AR,37,FALSE),IF((AND($U$4=FALSE,$U$5=TRUE,$U$6=FALSE,$U$7=TRUE)),VLOOKUP($E605,'Status Thresholds'!$E:$AR,27,FALSE)))))))))
))/
IF(OR($X$5=TRUE,$AC$3=TRUE
),($F$4/2), IF(OR($X$2,$X$3,$X$4,$X$6,$X$7,$X$8,$Z$2,$Z$3,$Z$4,$Z$5,$Z$6,$Z$7,$Z$8)=TRUE,$F$4)),0),"-")</f>
        <v>-</v>
      </c>
      <c r="G605" s="36" t="str">
        <f>IFERROR(
ROUNDUP(
IF(AND($U$5=FALSE,$U$4=FALSE),"-",IF(AND($U$5=TRUE,$U$4=TRUE),"-",
IF((AND($U$4=TRUE,$U$5=FALSE,$U$6=FALSE,$U$7=FALSE)),VLOOKUP($E605,'Status Thresholds'!$E:$AR,3,FALSE),IF((AND($U$4=TRUE,$U$5=FALSE,$U$6=TRUE,$U$7=FALSE)),VLOOKUP($E605,'Status Thresholds'!$E:$AR,13,FALSE),IF((AND($U$4=TRUE,$U$5=FALSE,$U$6=TRUE,$U$7=TRUE)),VLOOKUP($E605,'Status Thresholds'!$E:$AR,18,FALSE),IF((AND($U$4=TRUE,$U$5=FALSE,$U$6=FALSE,$U$7=TRUE)),VLOOKUP($E605,'Status Thresholds'!$E:$AR,8,FALSE),
IF((AND($U$4=FALSE,$U$5=TRUE,$U$6=FALSE,$U$7=FALSE)),VLOOKUP($E605,'Status Thresholds'!$E:$AR,23,FALSE),IF((AND($U$4=FALSE,$U$5=TRUE,$U$6=TRUE,$U$7=FALSE)),VLOOKUP($E605,'Status Thresholds'!$E:$AR,33,FALSE),IF((AND($U$4=FALSE,$U$5=TRUE,$U$6=TRUE,$U$7=TRUE)),VLOOKUP($E605,'Status Thresholds'!$E:$AR,38,FALSE),IF((AND($U$4=FALSE,$U$5=TRUE,$U$6=FALSE,$U$7=TRUE)),VLOOKUP($E605,'Status Thresholds'!$E:$AR,28,FALSE)))))))))
))/
IF(OR($X$5=TRUE,$AC$3=TRUE
),($F$4/2), IF(OR($X$2,$X$3,$X$4,$X$6,$X$7,$X$8,$Z$2,$Z$3,$Z$4,$Z$5,$Z$6,$Z$7,$Z$8)=TRUE,$F$4)),0),"-")</f>
        <v>-</v>
      </c>
      <c r="H605" s="36" t="str">
        <f>IFERROR(
ROUNDUP(
IF(AND($U$5=FALSE,$U$4=FALSE),"-",IF(AND($U$5=TRUE,$U$4=TRUE),"-",
IF((AND($U$4=TRUE,$U$5=FALSE,$U$6=FALSE,$U$7=FALSE)),VLOOKUP($E605,'Status Thresholds'!$E:$AR,4,FALSE),IF((AND($U$4=TRUE,$U$5=FALSE,$U$6=TRUE,$U$7=FALSE)),VLOOKUP($E605,'Status Thresholds'!$E:$AR,14,FALSE),IF((AND($U$4=TRUE,$U$5=FALSE,$U$6=TRUE,$U$7=TRUE)),VLOOKUP($E605,'Status Thresholds'!$E:$AR,19,FALSE),IF((AND($U$4=TRUE,$U$5=FALSE,$U$6=FALSE,$U$7=TRUE)),VLOOKUP($E605,'Status Thresholds'!$E:$AR,9,FALSE),
IF((AND($U$4=FALSE,$U$5=TRUE,$U$6=FALSE,$U$7=FALSE)),VLOOKUP($E605,'Status Thresholds'!$E:$AR,24,FALSE),IF((AND($U$4=FALSE,$U$5=TRUE,$U$6=TRUE,$U$7=FALSE)),VLOOKUP($E605,'Status Thresholds'!$E:$AR,34,FALSE),IF((AND($U$4=FALSE,$U$5=TRUE,$U$6=TRUE,$U$7=TRUE)),VLOOKUP($E605,'Status Thresholds'!$E:$AR,39,FALSE),IF((AND($U$4=FALSE,$U$5=TRUE,$U$6=FALSE,$U$7=TRUE)),VLOOKUP($E605,'Status Thresholds'!$E:$AR,29,FALSE)))))))))
))/
IF(OR($X$5=TRUE,$AC$3=TRUE
),($F$4/2), IF(OR($X$2,$X$3,$X$4,$X$6,$X$7,$X$8,$Z$2,$Z$3,$Z$4,$Z$5,$Z$6,$Z$7,$Z$8)=TRUE,$F$4)),0),"-")</f>
        <v>-</v>
      </c>
      <c r="I605" s="36" t="str">
        <f>IFERROR(
ROUNDUP(
IF(AND($U$5=FALSE,$U$4=FALSE),"-",IF(AND($U$5=TRUE,$U$4=TRUE),"-",
IF((AND($U$4=TRUE,$U$5=FALSE,$U$6=FALSE,$U$7=FALSE)),VLOOKUP($E605,'Status Thresholds'!$E:$AR,5,FALSE),IF((AND($U$4=TRUE,$U$5=FALSE,$U$6=TRUE,$U$7=FALSE)),VLOOKUP($E605,'Status Thresholds'!$E:$AR,15,FALSE),IF((AND($U$4=TRUE,$U$5=FALSE,$U$6=TRUE,$U$7=TRUE)),VLOOKUP($E605,'Status Thresholds'!$E:$AR,20,FALSE),IF((AND($U$4=TRUE,$U$5=FALSE,$U$6=FALSE,$U$7=TRUE)),VLOOKUP($E605,'Status Thresholds'!$E:$AR,10,FALSE),
IF((AND($U$4=FALSE,$U$5=TRUE,$U$6=FALSE,$U$7=FALSE)),VLOOKUP($E605,'Status Thresholds'!$E:$AR,25,FALSE),IF((AND($U$4=FALSE,$U$5=TRUE,$U$6=TRUE,$U$7=FALSE)),VLOOKUP($E605,'Status Thresholds'!$E:$AR,35,FALSE),IF((AND($U$4=FALSE,$U$5=TRUE,$U$6=TRUE,$U$7=TRUE)),VLOOKUP($E605,'Status Thresholds'!$E:$AR,40,FALSE),IF((AND($U$4=FALSE,$U$5=TRUE,$U$6=FALSE,$U$7=TRUE)),VLOOKUP($E605,'Status Thresholds'!$E:$AR,30,FALSE)))))))))
))/
IF(OR($X$5=TRUE,$AC$3=TRUE
),($F$4/2), IF(OR($X$2,$X$3,$X$4,$X$6,$X$7,$X$8,$Z$2,$Z$3,$Z$4,$Z$5,$Z$6,$Z$7,$Z$8)=TRUE,$F$4)),0),"-")</f>
        <v>-</v>
      </c>
      <c r="J605" s="46">
        <f>IFERROR(IF(AND($U$5=FALSE,$U$4=FALSE),"-",VLOOKUP($E605,'Status Thresholds'!$E:$AU,41,FALSE)),"-")</f>
        <v>40</v>
      </c>
      <c r="K605" s="46" t="str">
        <f>IFERROR(IF(AND($U$5=FALSE,$U$4=FALSE),"-",VLOOKUP($E605,'Status Thresholds'!$E:$AU,42,FALSE)),"-")</f>
        <v>-</v>
      </c>
      <c r="L605" s="46" t="str">
        <f>IFERROR(IF(AND($U$5=FALSE,$U$4=FALSE),"-",VLOOKUP($E605,'Status Thresholds'!$E:$AU,43,FALSE)),"-")</f>
        <v>-</v>
      </c>
    </row>
    <row r="606" spans="1:12" x14ac:dyDescent="0.25">
      <c r="A606" s="35"/>
      <c r="B606" s="64" t="str">
        <f>VLOOKUP(C606,'Status Thresholds'!B:C,2,FALSE)</f>
        <v>MHGen</v>
      </c>
      <c r="C606" s="64" t="str">
        <f>IF('Status Thresholds'!B601=0, "", 'Status Thresholds'!B601)</f>
        <v>Rathalos (Silver)</v>
      </c>
      <c r="D606" s="32" t="s">
        <v>33</v>
      </c>
      <c r="E606" s="36" t="str">
        <f t="shared" si="9"/>
        <v>Rathalos (Silver)Poison</v>
      </c>
      <c r="F606" s="36" t="str">
        <f>IFERROR(
ROUNDUP(
IF(AND($U$5=FALSE,$U$4=FALSE),"-",IF(AND($U$5=TRUE,$U$4=TRUE),"-",
IF((AND($U$4=TRUE,$U$5=FALSE,$U$6=FALSE,$U$7=FALSE)),VLOOKUP($E606,'Status Thresholds'!$E:$AR,2,FALSE),IF((AND($U$4=TRUE,$U$5=FALSE,$U$6=TRUE,$U$7=FALSE)),VLOOKUP($E606,'Status Thresholds'!$E:$AR,12,FALSE),IF((AND($U$4=TRUE,$U$5=FALSE,$U$6=TRUE,$U$7=TRUE)),VLOOKUP($E606,'Status Thresholds'!$E:$AR,17,FALSE),IF((AND($U$4=TRUE,$U$5=FALSE,$U$6=FALSE,$U$7=TRUE)),VLOOKUP($E606,'Status Thresholds'!$E:$AR,7,FALSE),
IF((AND($U$4=FALSE,$U$5=TRUE,$U$6=FALSE,$U$7=FALSE)),VLOOKUP($E606,'Status Thresholds'!$E:$AR,22,FALSE),IF((AND($U$4=FALSE,$U$5=TRUE,$U$6=TRUE,$U$7=FALSE)),VLOOKUP($E606,'Status Thresholds'!$E:$AR,32,FALSE),IF((AND($U$4=FALSE,$U$5=TRUE,$U$6=TRUE,$U$7=TRUE)),VLOOKUP($E606,'Status Thresholds'!$E:$AR,37,FALSE),IF((AND($U$4=FALSE,$U$5=TRUE,$U$6=FALSE,$U$7=TRUE)),VLOOKUP($E606,'Status Thresholds'!$E:$AR,27,FALSE)))))))))
))/
IF(OR($X$5=TRUE,$AC$3=TRUE
),($F$5/2), IF(OR($X$2,$X$3,$X$4,$X$6,$X$7,$X$8,$Z$2,$Z$3,$Z$4,$Z$5,$Z$6,$Z$7,$Z$8)=TRUE,$F$5)),0),"-")</f>
        <v>-</v>
      </c>
      <c r="G606" s="36" t="str">
        <f>IFERROR(
ROUNDUP(
IF(AND($U$5=FALSE,$U$4=FALSE),"-",IF(AND($U$5=TRUE,$U$4=TRUE),"-",
IF((AND($U$4=TRUE,$U$5=FALSE,$U$6=FALSE,$U$7=FALSE)),VLOOKUP($E606,'Status Thresholds'!$E:$AR,3,FALSE),IF((AND($U$4=TRUE,$U$5=FALSE,$U$6=TRUE,$U$7=FALSE)),VLOOKUP($E606,'Status Thresholds'!$E:$AR,13,FALSE),IF((AND($U$4=TRUE,$U$5=FALSE,$U$6=TRUE,$U$7=TRUE)),VLOOKUP($E606,'Status Thresholds'!$E:$AR,18,FALSE),IF((AND($U$4=TRUE,$U$5=FALSE,$U$6=FALSE,$U$7=TRUE)),VLOOKUP($E606,'Status Thresholds'!$E:$AR,8,FALSE),
IF((AND($U$4=FALSE,$U$5=TRUE,$U$6=FALSE,$U$7=FALSE)),VLOOKUP($E606,'Status Thresholds'!$E:$AR,23,FALSE),IF((AND($U$4=FALSE,$U$5=TRUE,$U$6=TRUE,$U$7=FALSE)),VLOOKUP($E606,'Status Thresholds'!$E:$AR,33,FALSE),IF((AND($U$4=FALSE,$U$5=TRUE,$U$6=TRUE,$U$7=TRUE)),VLOOKUP($E606,'Status Thresholds'!$E:$AR,38,FALSE),IF((AND($U$4=FALSE,$U$5=TRUE,$U$6=FALSE,$U$7=TRUE)),VLOOKUP($E606,'Status Thresholds'!$E:$AR,28,FALSE)))))))))
))/
IF(OR($X$5=TRUE,$AC$3=TRUE
),($F$5/2), IF(OR($X$2,$X$3,$X$4,$X$6,$X$7,$X$8,$Z$2,$Z$3,$Z$4,$Z$5,$Z$6,$Z$7,$Z$8)=TRUE,$F$5)),0),"-")</f>
        <v>-</v>
      </c>
      <c r="H606" s="36" t="str">
        <f>IFERROR(
ROUNDUP(
IF(AND($U$5=FALSE,$U$4=FALSE),"-",IF(AND($U$5=TRUE,$U$4=TRUE),"-",
IF((AND($U$4=TRUE,$U$5=FALSE,$U$6=FALSE,$U$7=FALSE)),VLOOKUP($E606,'Status Thresholds'!$E:$AR,4,FALSE),IF((AND($U$4=TRUE,$U$5=FALSE,$U$6=TRUE,$U$7=FALSE)),VLOOKUP($E606,'Status Thresholds'!$E:$AR,14,FALSE),IF((AND($U$4=TRUE,$U$5=FALSE,$U$6=TRUE,$U$7=TRUE)),VLOOKUP($E606,'Status Thresholds'!$E:$AR,19,FALSE),IF((AND($U$4=TRUE,$U$5=FALSE,$U$6=FALSE,$U$7=TRUE)),VLOOKUP($E606,'Status Thresholds'!$E:$AR,9,FALSE),
IF((AND($U$4=FALSE,$U$5=TRUE,$U$6=FALSE,$U$7=FALSE)),VLOOKUP($E606,'Status Thresholds'!$E:$AR,24,FALSE),IF((AND($U$4=FALSE,$U$5=TRUE,$U$6=TRUE,$U$7=FALSE)),VLOOKUP($E606,'Status Thresholds'!$E:$AR,34,FALSE),IF((AND($U$4=FALSE,$U$5=TRUE,$U$6=TRUE,$U$7=TRUE)),VLOOKUP($E606,'Status Thresholds'!$E:$AR,39,FALSE),IF((AND($U$4=FALSE,$U$5=TRUE,$U$6=FALSE,$U$7=TRUE)),VLOOKUP($E606,'Status Thresholds'!$E:$AR,29,FALSE)))))))))
))/
IF(OR($X$5=TRUE,$AC$3=TRUE
),($F$5/2), IF(OR($X$2,$X$3,$X$4,$X$6,$X$7,$X$8,$Z$2,$Z$3,$Z$4,$Z$5,$Z$6,$Z$7,$Z$8)=TRUE,$F$5)),0),"-")</f>
        <v>-</v>
      </c>
      <c r="I606" s="36" t="str">
        <f>IFERROR(
ROUNDUP(
IF(AND($U$5=FALSE,$U$4=FALSE),"-",IF(AND($U$5=TRUE,$U$4=TRUE),"-",
IF((AND($U$4=TRUE,$U$5=FALSE,$U$6=FALSE,$U$7=FALSE)),VLOOKUP($E606,'Status Thresholds'!$E:$AR,5,FALSE),IF((AND($U$4=TRUE,$U$5=FALSE,$U$6=TRUE,$U$7=FALSE)),VLOOKUP($E606,'Status Thresholds'!$E:$AR,15,FALSE),IF((AND($U$4=TRUE,$U$5=FALSE,$U$6=TRUE,$U$7=TRUE)),VLOOKUP($E606,'Status Thresholds'!$E:$AR,20,FALSE),IF((AND($U$4=TRUE,$U$5=FALSE,$U$6=FALSE,$U$7=TRUE)),VLOOKUP($E606,'Status Thresholds'!$E:$AR,10,FALSE),
IF((AND($U$4=FALSE,$U$5=TRUE,$U$6=FALSE,$U$7=FALSE)),VLOOKUP($E606,'Status Thresholds'!$E:$AR,25,FALSE),IF((AND($U$4=FALSE,$U$5=TRUE,$U$6=TRUE,$U$7=FALSE)),VLOOKUP($E606,'Status Thresholds'!$E:$AR,35,FALSE),IF((AND($U$4=FALSE,$U$5=TRUE,$U$6=TRUE,$U$7=TRUE)),VLOOKUP($E606,'Status Thresholds'!$E:$AR,40,FALSE),IF((AND($U$4=FALSE,$U$5=TRUE,$U$6=FALSE,$U$7=TRUE)),VLOOKUP($E606,'Status Thresholds'!$E:$AR,30,FALSE)))))))))
))/
IF(OR($X$5=TRUE,$AC$3=TRUE
),($F$5/2), IF(OR($X$2,$X$3,$X$4,$X$6,$X$7,$X$8,$Z$2,$Z$3,$Z$4,$Z$5,$Z$6,$Z$7,$Z$8)=TRUE,$F$5)),0),"-")</f>
        <v>-</v>
      </c>
      <c r="J606" s="46">
        <f>IFERROR(IF(AND($U$5=FALSE,$U$4=FALSE),"-",VLOOKUP($E606,'Status Thresholds'!$E:$AU,41,FALSE)),"-")</f>
        <v>60</v>
      </c>
      <c r="K606" s="46" t="str">
        <f>IFERROR(IF(AND($U$5=FALSE,$U$4=FALSE),"-",VLOOKUP($E606,'Status Thresholds'!$E:$AU,42,FALSE)),"-")</f>
        <v>-</v>
      </c>
      <c r="L606" s="46" t="str">
        <f>IFERROR(IF(AND($U$5=FALSE,$U$4=FALSE),"-",VLOOKUP($E606,'Status Thresholds'!$E:$AU,43,FALSE)),"-")</f>
        <v>-</v>
      </c>
    </row>
    <row r="607" spans="1:12" x14ac:dyDescent="0.25">
      <c r="A607" s="35"/>
      <c r="B607" s="64" t="str">
        <f>VLOOKUP(C607,'Status Thresholds'!B:C,2,FALSE)</f>
        <v>MHGen</v>
      </c>
      <c r="C607" s="64" t="str">
        <f>IF('Status Thresholds'!B602=0, "", 'Status Thresholds'!B602)</f>
        <v>Rathalos (Silver)</v>
      </c>
      <c r="D607" s="10" t="s">
        <v>22</v>
      </c>
      <c r="E607" s="36" t="str">
        <f t="shared" si="9"/>
        <v>Rathalos (Silver)Exhaust</v>
      </c>
      <c r="F607" s="36" t="str">
        <f>IFERROR(
ROUNDUP(
IF(AND($U$5=FALSE,$U$4=FALSE),"-",IF(AND($U$5=TRUE,$U$4=TRUE),"-",
IF((AND($U$4=TRUE,$U$5=FALSE,$U$6=FALSE,$U$7=FALSE)),VLOOKUP($E607,'Status Thresholds'!$E:$AR,2,FALSE),IF((AND($U$4=TRUE,$U$5=FALSE,$U$6=TRUE,$U$7=FALSE)),VLOOKUP($E607,'Status Thresholds'!$E:$AR,12,FALSE),IF((AND($U$4=TRUE,$U$5=FALSE,$U$6=TRUE,$U$7=TRUE)),VLOOKUP($E607,'Status Thresholds'!$E:$AR,17,FALSE),IF((AND($U$4=TRUE,$U$5=FALSE,$U$6=FALSE,$U$7=TRUE)),VLOOKUP($E607,'Status Thresholds'!$E:$AR,7,FALSE),
IF((AND($U$4=FALSE,$U$5=TRUE,$U$6=FALSE,$U$7=FALSE)),VLOOKUP($E607,'Status Thresholds'!$E:$AR,22,FALSE),IF((AND($U$4=FALSE,$U$5=TRUE,$U$6=TRUE,$U$7=FALSE)),VLOOKUP($E607,'Status Thresholds'!$E:$AR,32,FALSE),IF((AND($U$4=FALSE,$U$5=TRUE,$U$6=TRUE,$U$7=TRUE)),VLOOKUP($E607,'Status Thresholds'!$E:$AR,37,FALSE),IF((AND($U$4=FALSE,$U$5=TRUE,$U$6=FALSE,$U$7=TRUE)),VLOOKUP($E607,'Status Thresholds'!$E:$AR,27,FALSE)))))))))
))/
IF(OR($X$5=TRUE,$AC$3=TRUE
),($F$6/2), IF(OR($X$2,$X$3,$X$4,$X$6,$X$7,$X$8,$Z$2,$Z$3,$Z$4,$Z$5,$Z$6,$Z$7,$Z$8)=TRUE,$F$6)),0),"-")</f>
        <v>-</v>
      </c>
      <c r="G607" s="36" t="str">
        <f>IFERROR(
ROUNDUP(
IF(AND($U$5=FALSE,$U$4=FALSE),"-",IF(AND($U$5=TRUE,$U$4=TRUE),"-",
IF((AND($U$4=TRUE,$U$5=FALSE,$U$6=FALSE,$U$7=FALSE)),VLOOKUP($E607,'Status Thresholds'!$E:$AR,3,FALSE),IF((AND($U$4=TRUE,$U$5=FALSE,$U$6=TRUE,$U$7=FALSE)),VLOOKUP($E607,'Status Thresholds'!$E:$AR,13,FALSE),IF((AND($U$4=TRUE,$U$5=FALSE,$U$6=TRUE,$U$7=TRUE)),VLOOKUP($E607,'Status Thresholds'!$E:$AR,18,FALSE),IF((AND($U$4=TRUE,$U$5=FALSE,$U$6=FALSE,$U$7=TRUE)),VLOOKUP($E607,'Status Thresholds'!$E:$AR,8,FALSE),
IF((AND($U$4=FALSE,$U$5=TRUE,$U$6=FALSE,$U$7=FALSE)),VLOOKUP($E607,'Status Thresholds'!$E:$AR,23,FALSE),IF((AND($U$4=FALSE,$U$5=TRUE,$U$6=TRUE,$U$7=FALSE)),VLOOKUP($E607,'Status Thresholds'!$E:$AR,33,FALSE),IF((AND($U$4=FALSE,$U$5=TRUE,$U$6=TRUE,$U$7=TRUE)),VLOOKUP($E607,'Status Thresholds'!$E:$AR,38,FALSE),IF((AND($U$4=FALSE,$U$5=TRUE,$U$6=FALSE,$U$7=TRUE)),VLOOKUP($E607,'Status Thresholds'!$E:$AR,28,FALSE)))))))))
))/
IF(OR($X$5=TRUE,$AC$3=TRUE
),($F$6/2), IF(OR($X$2,$X$3,$X$4,$X$6,$X$7,$X$8,$Z$2,$Z$3,$Z$4,$Z$5,$Z$6,$Z$7,$Z$8)=TRUE,$F$6)),0),"-")</f>
        <v>-</v>
      </c>
      <c r="H607" s="36" t="str">
        <f>IFERROR(
ROUNDUP(
IF(AND($U$5=FALSE,$U$4=FALSE),"-",IF(AND($U$5=TRUE,$U$4=TRUE),"-",
IF((AND($U$4=TRUE,$U$5=FALSE,$U$6=FALSE,$U$7=FALSE)),VLOOKUP($E607,'Status Thresholds'!$E:$AR,4,FALSE),IF((AND($U$4=TRUE,$U$5=FALSE,$U$6=TRUE,$U$7=FALSE)),VLOOKUP($E607,'Status Thresholds'!$E:$AR,14,FALSE),IF((AND($U$4=TRUE,$U$5=FALSE,$U$6=TRUE,$U$7=TRUE)),VLOOKUP($E607,'Status Thresholds'!$E:$AR,19,FALSE),IF((AND($U$4=TRUE,$U$5=FALSE,$U$6=FALSE,$U$7=TRUE)),VLOOKUP($E607,'Status Thresholds'!$E:$AR,9,FALSE),
IF((AND($U$4=FALSE,$U$5=TRUE,$U$6=FALSE,$U$7=FALSE)),VLOOKUP($E607,'Status Thresholds'!$E:$AR,24,FALSE),IF((AND($U$4=FALSE,$U$5=TRUE,$U$6=TRUE,$U$7=FALSE)),VLOOKUP($E607,'Status Thresholds'!$E:$AR,34,FALSE),IF((AND($U$4=FALSE,$U$5=TRUE,$U$6=TRUE,$U$7=TRUE)),VLOOKUP($E607,'Status Thresholds'!$E:$AR,39,FALSE),IF((AND($U$4=FALSE,$U$5=TRUE,$U$6=FALSE,$U$7=TRUE)),VLOOKUP($E607,'Status Thresholds'!$E:$AR,29,FALSE)))))))))
))/
IF(OR($X$5=TRUE,$AC$3=TRUE
),($F$6/2), IF(OR($X$2,$X$3,$X$4,$X$6,$X$7,$X$8,$Z$2,$Z$3,$Z$4,$Z$5,$Z$6,$Z$7,$Z$8)=TRUE,$F$6)),0),"-")</f>
        <v>-</v>
      </c>
      <c r="I607" s="36" t="str">
        <f>IFERROR(
ROUNDUP(
IF(AND($U$5=FALSE,$U$4=FALSE),"-",IF(AND($U$5=TRUE,$U$4=TRUE),"-",
IF((AND($U$4=TRUE,$U$5=FALSE,$U$6=FALSE,$U$7=FALSE)),VLOOKUP($E607,'Status Thresholds'!$E:$AR,5,FALSE),IF((AND($U$4=TRUE,$U$5=FALSE,$U$6=TRUE,$U$7=FALSE)),VLOOKUP($E607,'Status Thresholds'!$E:$AR,15,FALSE),IF((AND($U$4=TRUE,$U$5=FALSE,$U$6=TRUE,$U$7=TRUE)),VLOOKUP($E607,'Status Thresholds'!$E:$AR,20,FALSE),IF((AND($U$4=TRUE,$U$5=FALSE,$U$6=FALSE,$U$7=TRUE)),VLOOKUP($E607,'Status Thresholds'!$E:$AR,10,FALSE),
IF((AND($U$4=FALSE,$U$5=TRUE,$U$6=FALSE,$U$7=FALSE)),VLOOKUP($E607,'Status Thresholds'!$E:$AR,25,FALSE),IF((AND($U$4=FALSE,$U$5=TRUE,$U$6=TRUE,$U$7=FALSE)),VLOOKUP($E607,'Status Thresholds'!$E:$AR,35,FALSE),IF((AND($U$4=FALSE,$U$5=TRUE,$U$6=TRUE,$U$7=TRUE)),VLOOKUP($E607,'Status Thresholds'!$E:$AR,40,FALSE),IF((AND($U$4=FALSE,$U$5=TRUE,$U$6=FALSE,$U$7=TRUE)),VLOOKUP($E607,'Status Thresholds'!$E:$AR,30,FALSE)))))))))
))/
IF(OR($X$5=TRUE,$AC$3=TRUE
),($F$6/2), IF(OR($X$2,$X$3,$X$4,$X$6,$X$7,$X$8,$Z$2,$Z$3,$Z$4,$Z$5,$Z$6,$Z$7,$Z$8)=TRUE,$F$6)),0),"-")</f>
        <v>-</v>
      </c>
      <c r="J607" s="46">
        <f>IFERROR(IF(AND($U$5=FALSE,$U$4=FALSE),"-",VLOOKUP($E607,'Status Thresholds'!$E:$AU,41,FALSE)),"-")</f>
        <v>0</v>
      </c>
      <c r="K607" s="46" t="str">
        <f>IFERROR(IF(AND($U$5=FALSE,$U$4=FALSE),"-",VLOOKUP($E607,'Status Thresholds'!$E:$AU,42,FALSE)),"-")</f>
        <v>-</v>
      </c>
      <c r="L607" s="46" t="str">
        <f>IFERROR(IF(AND($U$5=FALSE,$U$4=FALSE),"-",VLOOKUP($E607,'Status Thresholds'!$E:$AU,43,FALSE)),"-")</f>
        <v>-</v>
      </c>
    </row>
    <row r="608" spans="1:12" x14ac:dyDescent="0.25">
      <c r="A608" s="35"/>
      <c r="B608" s="64" t="str">
        <f>VLOOKUP(C608,'Status Thresholds'!B:C,2,FALSE)</f>
        <v>MHGen</v>
      </c>
      <c r="C608" s="64" t="str">
        <f>IF('Status Thresholds'!B603=0, "", 'Status Thresholds'!B603)</f>
        <v>Rathalos (Silver)</v>
      </c>
      <c r="D608" s="30" t="s">
        <v>35</v>
      </c>
      <c r="E608" s="36" t="str">
        <f t="shared" si="9"/>
        <v>Rathalos (Silver)Blast</v>
      </c>
      <c r="F608" s="36" t="str">
        <f>IFERROR(
ROUNDUP(
IF(AND($U$5=FALSE,$U$4=FALSE),"-",IF(AND($U$5=TRUE,$U$4=TRUE),"-",
IF((AND($U$4=TRUE,$U$5=FALSE,$U$6=FALSE,$U$7=FALSE)),VLOOKUP($E608,'Status Thresholds'!$E:$AR,2,FALSE),IF((AND($U$4=TRUE,$U$5=FALSE,$U$6=TRUE,$U$7=FALSE)),VLOOKUP($E608,'Status Thresholds'!$E:$AR,12,FALSE),IF((AND($U$4=TRUE,$U$5=FALSE,$U$6=TRUE,$U$7=TRUE)),VLOOKUP($E608,'Status Thresholds'!$E:$AR,17,FALSE),IF((AND($U$4=TRUE,$U$5=FALSE,$U$6=FALSE,$U$7=TRUE)),VLOOKUP($E608,'Status Thresholds'!$E:$AR,7,FALSE),
IF((AND($U$4=FALSE,$U$5=TRUE,$U$6=FALSE,$U$7=FALSE)),VLOOKUP($E608,'Status Thresholds'!$E:$AR,22,FALSE),IF((AND($U$4=FALSE,$U$5=TRUE,$U$6=TRUE,$U$7=FALSE)),VLOOKUP($E608,'Status Thresholds'!$E:$AR,32,FALSE),IF((AND($U$4=FALSE,$U$5=TRUE,$U$6=TRUE,$U$7=TRUE)),VLOOKUP($E608,'Status Thresholds'!$E:$AR,37,FALSE),IF((AND($U$4=FALSE,$U$5=TRUE,$U$6=FALSE,$U$7=TRUE)),VLOOKUP($E608,'Status Thresholds'!$E:$AR,27,FALSE)))))))))
))/
IF(OR($X$5=TRUE,$AC$3=TRUE
),($F$7/2), IF(OR($X$2,$X$3,$X$4,$X$6,$X$7,$X$8,$Z$2,$Z$3,$Z$4,$Z$5,$Z$6,$Z$7,$Z$8)=TRUE,$F$7)),0),"-")</f>
        <v>-</v>
      </c>
      <c r="G608" s="36" t="str">
        <f>IFERROR(
ROUNDUP(
IF(AND($U$5=FALSE,$U$4=FALSE),"-",IF(AND($U$5=TRUE,$U$4=TRUE),"-",
IF((AND($U$4=TRUE,$U$5=FALSE,$U$6=FALSE,$U$7=FALSE)),VLOOKUP($E608,'Status Thresholds'!$E:$AR,3,FALSE),IF((AND($U$4=TRUE,$U$5=FALSE,$U$6=TRUE,$U$7=FALSE)),VLOOKUP($E608,'Status Thresholds'!$E:$AR,13,FALSE),IF((AND($U$4=TRUE,$U$5=FALSE,$U$6=TRUE,$U$7=TRUE)),VLOOKUP($E608,'Status Thresholds'!$E:$AR,18,FALSE),IF((AND($U$4=TRUE,$U$5=FALSE,$U$6=FALSE,$U$7=TRUE)),VLOOKUP($E608,'Status Thresholds'!$E:$AR,8,FALSE),
IF((AND($U$4=FALSE,$U$5=TRUE,$U$6=FALSE,$U$7=FALSE)),VLOOKUP($E608,'Status Thresholds'!$E:$AR,23,FALSE),IF((AND($U$4=FALSE,$U$5=TRUE,$U$6=TRUE,$U$7=FALSE)),VLOOKUP($E608,'Status Thresholds'!$E:$AR,33,FALSE),IF((AND($U$4=FALSE,$U$5=TRUE,$U$6=TRUE,$U$7=TRUE)),VLOOKUP($E608,'Status Thresholds'!$E:$AR,38,FALSE),IF((AND($U$4=FALSE,$U$5=TRUE,$U$6=FALSE,$U$7=TRUE)),VLOOKUP($E608,'Status Thresholds'!$E:$AR,28,FALSE)))))))))
))/
IF(OR($X$5=TRUE,$AC$3=TRUE
),($F$7/2), IF(OR($X$2,$X$3,$X$4,$X$6,$X$7,$X$8,$Z$2,$Z$3,$Z$4,$Z$5,$Z$6,$Z$7,$Z$8)=TRUE,$F$7)),0),"-")</f>
        <v>-</v>
      </c>
      <c r="H608" s="36" t="str">
        <f>IFERROR(
ROUNDUP(
IF(AND($U$5=FALSE,$U$4=FALSE),"-",IF(AND($U$5=TRUE,$U$4=TRUE),"-",
IF((AND($U$4=TRUE,$U$5=FALSE,$U$6=FALSE,$U$7=FALSE)),VLOOKUP($E608,'Status Thresholds'!$E:$AR,4,FALSE),IF((AND($U$4=TRUE,$U$5=FALSE,$U$6=TRUE,$U$7=FALSE)),VLOOKUP($E608,'Status Thresholds'!$E:$AR,14,FALSE),IF((AND($U$4=TRUE,$U$5=FALSE,$U$6=TRUE,$U$7=TRUE)),VLOOKUP($E608,'Status Thresholds'!$E:$AR,19,FALSE),IF((AND($U$4=TRUE,$U$5=FALSE,$U$6=FALSE,$U$7=TRUE)),VLOOKUP($E608,'Status Thresholds'!$E:$AR,9,FALSE),
IF((AND($U$4=FALSE,$U$5=TRUE,$U$6=FALSE,$U$7=FALSE)),VLOOKUP($E608,'Status Thresholds'!$E:$AR,24,FALSE),IF((AND($U$4=FALSE,$U$5=TRUE,$U$6=TRUE,$U$7=FALSE)),VLOOKUP($E608,'Status Thresholds'!$E:$AR,34,FALSE),IF((AND($U$4=FALSE,$U$5=TRUE,$U$6=TRUE,$U$7=TRUE)),VLOOKUP($E608,'Status Thresholds'!$E:$AR,39,FALSE),IF((AND($U$4=FALSE,$U$5=TRUE,$U$6=FALSE,$U$7=TRUE)),VLOOKUP($E608,'Status Thresholds'!$E:$AR,29,FALSE)))))))))
))/
IF(OR($X$5=TRUE,$AC$3=TRUE
),($F$7/2), IF(OR($X$2,$X$3,$X$4,$X$6,$X$7,$X$8,$Z$2,$Z$3,$Z$4,$Z$5,$Z$6,$Z$7,$Z$8)=TRUE,$F$7)),0),"-")</f>
        <v>-</v>
      </c>
      <c r="I608" s="36" t="str">
        <f>IFERROR(
ROUNDUP(
IF(AND($U$5=FALSE,$U$4=FALSE),"-",IF(AND($U$5=TRUE,$U$4=TRUE),"-",
IF((AND($U$4=TRUE,$U$5=FALSE,$U$6=FALSE,$U$7=FALSE)),VLOOKUP($E608,'Status Thresholds'!$E:$AR,5,FALSE),IF((AND($U$4=TRUE,$U$5=FALSE,$U$6=TRUE,$U$7=FALSE)),VLOOKUP($E608,'Status Thresholds'!$E:$AR,15,FALSE),IF((AND($U$4=TRUE,$U$5=FALSE,$U$6=TRUE,$U$7=TRUE)),VLOOKUP($E608,'Status Thresholds'!$E:$AR,20,FALSE),IF((AND($U$4=TRUE,$U$5=FALSE,$U$6=FALSE,$U$7=TRUE)),VLOOKUP($E608,'Status Thresholds'!$E:$AR,10,FALSE),
IF((AND($U$4=FALSE,$U$5=TRUE,$U$6=FALSE,$U$7=FALSE)),VLOOKUP($E608,'Status Thresholds'!$E:$AR,25,FALSE),IF((AND($U$4=FALSE,$U$5=TRUE,$U$6=TRUE,$U$7=FALSE)),VLOOKUP($E608,'Status Thresholds'!$E:$AR,35,FALSE),IF((AND($U$4=FALSE,$U$5=TRUE,$U$6=TRUE,$U$7=TRUE)),VLOOKUP($E608,'Status Thresholds'!$E:$AR,40,FALSE),IF((AND($U$4=FALSE,$U$5=TRUE,$U$6=FALSE,$U$7=TRUE)),VLOOKUP($E608,'Status Thresholds'!$E:$AR,30,FALSE)))))))))
))/
IF(OR($X$5=TRUE,$AC$3=TRUE
),($F$7/2), IF(OR($X$2,$X$3,$X$4,$X$6,$X$7,$X$8,$Z$2,$Z$3,$Z$4,$Z$5,$Z$6,$Z$7,$Z$8)=TRUE,$F$7)),0),"-")</f>
        <v>-</v>
      </c>
      <c r="J608" s="46">
        <f>IFERROR(IF(AND($U$5=FALSE,$U$4=FALSE),"-",VLOOKUP($E608,'Status Thresholds'!$E:$AU,41,FALSE)),"-")</f>
        <v>0</v>
      </c>
      <c r="K608" s="46" t="str">
        <f>IFERROR(IF(AND($U$5=FALSE,$U$4=FALSE),"-",VLOOKUP($E608,'Status Thresholds'!$E:$AU,42,FALSE)),"-")</f>
        <v>-</v>
      </c>
      <c r="L608" s="46" t="str">
        <f>IFERROR(IF(AND($U$5=FALSE,$U$4=FALSE),"-",VLOOKUP($E608,'Status Thresholds'!$E:$AU,43,FALSE)),"-")</f>
        <v>-</v>
      </c>
    </row>
    <row r="609" spans="1:12" ht="14.45" customHeight="1" x14ac:dyDescent="0.25">
      <c r="A609" s="35"/>
      <c r="B609" s="64" t="str">
        <f>VLOOKUP(C609,'Status Thresholds'!B:C,2,FALSE)</f>
        <v>MHGen</v>
      </c>
      <c r="C609" s="64" t="str">
        <f>IF('Status Thresholds'!B604=0, "", 'Status Thresholds'!B604)</f>
        <v>Rathalos (Silver)</v>
      </c>
      <c r="D609" s="34" t="s">
        <v>14</v>
      </c>
      <c r="E609" s="36" t="str">
        <f t="shared" si="9"/>
        <v>Rathalos (Silver)KO</v>
      </c>
      <c r="F609" s="36" t="s">
        <v>214</v>
      </c>
      <c r="G609" s="36" t="s">
        <v>214</v>
      </c>
      <c r="H609" s="36" t="s">
        <v>214</v>
      </c>
      <c r="I609" s="36" t="s">
        <v>214</v>
      </c>
      <c r="J609" s="46">
        <f>IFERROR(IF(AND($U$5=FALSE,$U$4=FALSE),"-",VLOOKUP($E609,'Status Thresholds'!$E:$AU,41,FALSE)),"-")</f>
        <v>10</v>
      </c>
      <c r="K609" s="46" t="str">
        <f>IFERROR(IF(AND($U$5=FALSE,$U$4=FALSE),"-",VLOOKUP($E609,'Status Thresholds'!$E:$AU,42,FALSE)),"-")</f>
        <v>-</v>
      </c>
      <c r="L609" s="46" t="str">
        <f>IFERROR(IF(AND($U$5=FALSE,$U$4=FALSE),"-",VLOOKUP($E609,'Status Thresholds'!$E:$AU,43,FALSE)),"-")</f>
        <v>-</v>
      </c>
    </row>
    <row r="610" spans="1:12" x14ac:dyDescent="0.25">
      <c r="A610" s="35"/>
      <c r="B610" s="64" t="str">
        <f>VLOOKUP(C610,'Status Thresholds'!B:C,2,FALSE)</f>
        <v>MHGen</v>
      </c>
      <c r="C610" s="64" t="str">
        <f>IF('Status Thresholds'!B605=0, "", 'Status Thresholds'!B605)</f>
        <v>Rathalos (Silver)</v>
      </c>
      <c r="D610" s="33" t="s">
        <v>34</v>
      </c>
      <c r="E610" s="36" t="str">
        <f t="shared" si="9"/>
        <v>Rathalos (Silver)Mount</v>
      </c>
      <c r="F610" s="36" t="str">
        <f>IFERROR(
ROUNDUP(
IF(AND($U$5=FALSE,$U$4=FALSE),"-",IF(AND($U$5=TRUE,$U$4=TRUE),"-",
IF((AND($U$4=TRUE,$U$5=FALSE,$U$6=FALSE,$U$7=FALSE)),VLOOKUP($E610,'Status Thresholds'!$E:$AR,2,FALSE),IF((AND($U$4=TRUE,$U$5=FALSE,$U$6=TRUE,$U$7=FALSE)),VLOOKUP($E610,'Status Thresholds'!$E:$AR,12,FALSE),IF((AND($U$4=TRUE,$U$5=FALSE,$U$6=TRUE,$U$7=TRUE)),VLOOKUP($E610,'Status Thresholds'!$E:$AR,17,FALSE),IF((AND($U$4=TRUE,$U$5=FALSE,$U$6=FALSE,$U$7=TRUE)),VLOOKUP($E610,'Status Thresholds'!$E:$AR,7,FALSE),
IF((AND($U$4=FALSE,$U$5=TRUE,$U$6=FALSE,$U$7=FALSE)),VLOOKUP($E610,'Status Thresholds'!$E:$AR,22,FALSE),IF((AND($U$4=FALSE,$U$5=TRUE,$U$6=TRUE,$U$7=FALSE)),VLOOKUP($E610,'Status Thresholds'!$E:$AR,32,FALSE),IF((AND($U$4=FALSE,$U$5=TRUE,$U$6=TRUE,$U$7=TRUE)),VLOOKUP($E610,'Status Thresholds'!$E:$AR,37,FALSE),IF((AND($U$4=FALSE,$U$5=TRUE,$U$6=FALSE,$U$7=TRUE)),VLOOKUP($E610,'Status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610" s="36" t="str">
        <f>IFERROR(
ROUNDUP(
IF(AND($U$5=FALSE,$U$4=FALSE),"-",IF(AND($U$5=TRUE,$U$4=TRUE),"-",
IF((AND($U$4=TRUE,$U$5=FALSE,$U$6=FALSE,$U$7=FALSE)),VLOOKUP($E609,'Status Thresholds'!$E:$AR,3,FALSE),IF((AND($U$4=TRUE,$U$5=FALSE,$U$6=TRUE,$U$7=FALSE)),VLOOKUP($E609,'Status Thresholds'!$E:$AR,13,FALSE),IF((AND($U$4=TRUE,$U$5=FALSE,$U$6=TRUE,$U$7=TRUE)),VLOOKUP($E609,'Status Thresholds'!$E:$AR,18,FALSE),IF((AND($U$4=TRUE,$U$5=FALSE,$U$6=FALSE,$U$7=TRUE)),VLOOKUP($E609,'Status Thresholds'!$E:$AR,8,FALSE),
IF((AND($U$4=FALSE,$U$5=TRUE,$U$6=FALSE,$U$7=FALSE)),VLOOKUP($E609,'Status Thresholds'!$E:$AR,23,FALSE),IF((AND($U$4=FALSE,$U$5=TRUE,$U$6=TRUE,$U$7=FALSE)),VLOOKUP($E609,'Status Thresholds'!$E:$AR,33,FALSE),IF((AND($U$4=FALSE,$U$5=TRUE,$U$6=TRUE,$U$7=TRUE)),VLOOKUP($E609,'Status Thresholds'!$E:$AR,38,FALSE),IF((AND($U$4=FALSE,$U$5=TRUE,$U$6=FALSE,$U$7=TRUE)),VLOOKUP($E609,'Status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610" s="36" t="str">
        <f>IFERROR(
ROUNDUP(
IF(AND($U$5=FALSE,$U$4=FALSE),"-",IF(AND($U$5=TRUE,$U$4=TRUE),"-",
IF((AND($U$4=TRUE,$U$5=FALSE,$U$6=FALSE,$U$7=FALSE)),VLOOKUP($E609,'Status Thresholds'!$E:$AR,4,FALSE),IF((AND($U$4=TRUE,$U$5=FALSE,$U$6=TRUE,$U$7=FALSE)),VLOOKUP($E609,'Status Thresholds'!$E:$AR,14,FALSE),IF((AND($U$4=TRUE,$U$5=FALSE,$U$6=TRUE,$U$7=TRUE)),VLOOKUP($E609,'Status Thresholds'!$E:$AR,19,FALSE),IF((AND($U$4=TRUE,$U$5=FALSE,$U$6=FALSE,$U$7=TRUE)),VLOOKUP($E609,'Status Thresholds'!$E:$AR,9,FALSE),
IF((AND($U$4=FALSE,$U$5=TRUE,$U$6=FALSE,$U$7=FALSE)),VLOOKUP($E609,'Status Thresholds'!$E:$AR,24,FALSE),IF((AND($U$4=FALSE,$U$5=TRUE,$U$6=TRUE,$U$7=FALSE)),VLOOKUP($E609,'Status Thresholds'!$E:$AR,34,FALSE),IF((AND($U$4=FALSE,$U$5=TRUE,$U$6=TRUE,$U$7=TRUE)),VLOOKUP($E609,'Status Thresholds'!$E:$AR,39,FALSE),IF((AND($U$4=FALSE,$U$5=TRUE,$U$6=FALSE,$U$7=TRUE)),VLOOKUP($E609,'Status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610" s="36" t="str">
        <f>IFERROR(
ROUNDUP(
IF(AND($U$5=FALSE,$U$4=FALSE),"-",IF(AND($U$5=TRUE,$U$4=TRUE),"-",
IF((AND($U$4=TRUE,$U$5=FALSE,$U$6=FALSE,$U$7=FALSE)),VLOOKUP($E609,'Status Thresholds'!$E:$AR,5,FALSE),IF((AND($U$4=TRUE,$U$5=FALSE,$U$6=TRUE,$U$7=FALSE)),VLOOKUP($E609,'Status Thresholds'!$E:$AR,15,FALSE),IF((AND($U$4=TRUE,$U$5=FALSE,$U$6=TRUE,$U$7=TRUE)),VLOOKUP($E609,'Status Thresholds'!$E:$AR,20,FALSE),IF((AND($U$4=TRUE,$U$5=FALSE,$U$6=FALSE,$U$7=TRUE)),VLOOKUP($E609,'Status Thresholds'!$E:$AR,10,FALSE),
IF((AND($U$4=FALSE,$U$5=TRUE,$U$6=FALSE,$U$7=FALSE)),VLOOKUP($E609,'Status Thresholds'!$E:$AR,25,FALSE),IF((AND($U$4=FALSE,$U$5=TRUE,$U$6=TRUE,$U$7=FALSE)),VLOOKUP($E609,'Status Thresholds'!$E:$AR,35,FALSE),IF((AND($U$4=FALSE,$U$5=TRUE,$U$6=TRUE,$U$7=TRUE)),VLOOKUP($E609,'Status Thresholds'!$E:$AR,40,FALSE),IF((AND($U$4=FALSE,$U$5=TRUE,$U$6=FALSE,$U$7=TRUE)),VLOOKUP($E609,'Status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610" s="46">
        <f>IFERROR(IF(AND($U$5=FALSE,$U$4=FALSE),"-",VLOOKUP($E610,'Status Thresholds'!$E:$AU,41,FALSE)),"-")</f>
        <v>0</v>
      </c>
      <c r="K610" s="46" t="str">
        <f>IFERROR(IF(AND($U$5=FALSE,$U$4=FALSE),"-",VLOOKUP($E610,'Status Thresholds'!$E:$AU,42,FALSE)),"-")</f>
        <v>-</v>
      </c>
      <c r="L610" s="46" t="str">
        <f>IFERROR(IF(AND($U$5=FALSE,$U$4=FALSE),"-",VLOOKUP($E610,'Status Thresholds'!$E:$AU,43,FALSE)),"-")</f>
        <v>-</v>
      </c>
    </row>
    <row r="611" spans="1:12" ht="15" customHeight="1" x14ac:dyDescent="0.25">
      <c r="A611" s="35"/>
      <c r="B611" s="64" t="str">
        <f>VLOOKUP(C611,'Status Thresholds'!B:C,2,FALSE)</f>
        <v>MHGen</v>
      </c>
      <c r="C611" s="64" t="str">
        <f>IF('Status Thresholds'!B606=0, "", 'Status Thresholds'!B606)</f>
        <v>Rathalos (Silver)</v>
      </c>
      <c r="D611" s="77" t="s">
        <v>207</v>
      </c>
      <c r="E611" s="36" t="str">
        <f t="shared" si="9"/>
        <v>Rathalos (Silver)Shock Trap</v>
      </c>
      <c r="F611" s="76" t="s">
        <v>214</v>
      </c>
      <c r="G611" s="46" t="s">
        <v>214</v>
      </c>
      <c r="H611" s="46" t="s">
        <v>214</v>
      </c>
      <c r="I611" s="46" t="s">
        <v>214</v>
      </c>
      <c r="J611" s="46">
        <f>IFERROR(IF(AND($U$5=FALSE,$U$4=FALSE),"-",VLOOKUP($E611,'Status Thresholds'!$E:$AU,43,FALSE)),"-")</f>
        <v>8</v>
      </c>
      <c r="K611" s="46">
        <f>IFERROR(IF(AND($U$5=FALSE,$U$4=FALSE),"-",VLOOKUP($E611,'Status Thresholds'!$E:$AU,41,FALSE)),"-")</f>
        <v>8</v>
      </c>
      <c r="L611" s="46">
        <f>IFERROR(IF(AND($U$5=FALSE,$U$4=FALSE),"-",VLOOKUP($E611,'Status Thresholds'!$E:$AU,42,FALSE)),"-")</f>
        <v>15</v>
      </c>
    </row>
    <row r="612" spans="1:12" x14ac:dyDescent="0.25">
      <c r="A612" s="35"/>
      <c r="B612" s="64" t="str">
        <f>VLOOKUP(C612,'Status Thresholds'!B:C,2,FALSE)</f>
        <v>MHGen</v>
      </c>
      <c r="C612" s="64" t="str">
        <f>IF('Status Thresholds'!B607=0, "", 'Status Thresholds'!B607)</f>
        <v>Rathalos (Silver)</v>
      </c>
      <c r="D612" s="77" t="s">
        <v>213</v>
      </c>
      <c r="E612" s="36" t="str">
        <f t="shared" si="9"/>
        <v>Rathalos (Silver)Pitfall Trap</v>
      </c>
      <c r="F612" s="46" t="s">
        <v>214</v>
      </c>
      <c r="G612" s="46" t="s">
        <v>214</v>
      </c>
      <c r="H612" s="46" t="s">
        <v>214</v>
      </c>
      <c r="I612" s="46" t="s">
        <v>214</v>
      </c>
      <c r="J612" s="46">
        <f>IFERROR(IF(AND($U$5=FALSE,$U$4=FALSE),"-",VLOOKUP($E612,'Status Thresholds'!$E:$AU,43,FALSE)),"-")</f>
        <v>12</v>
      </c>
      <c r="K612" s="46">
        <f>IFERROR(IF(AND($U$5=FALSE,$U$4=FALSE),"-",VLOOKUP($E612,'Status Thresholds'!$E:$AU,41,FALSE)),"-")</f>
        <v>12</v>
      </c>
      <c r="L612" s="46">
        <f>IFERROR(IF(AND($U$5=FALSE,$U$4=FALSE),"-",VLOOKUP($E612,'Status Thresholds'!$E:$AU,42,FALSE)),"-")</f>
        <v>25</v>
      </c>
    </row>
    <row r="613" spans="1:12" s="36" customFormat="1" x14ac:dyDescent="0.25">
      <c r="A613" s="64"/>
      <c r="B613" s="64" t="str">
        <f>VLOOKUP(C613,'Status Thresholds'!B:C,2,FALSE)</f>
        <v>MHGen</v>
      </c>
      <c r="C613" s="64" t="str">
        <f>IF('Status Thresholds'!B608=0, "", 'Status Thresholds'!B608)</f>
        <v>Rathian</v>
      </c>
      <c r="D613" s="37" t="s">
        <v>0</v>
      </c>
      <c r="E613" s="36" t="str">
        <f t="shared" si="9"/>
        <v>RathianPara</v>
      </c>
      <c r="F613" s="36" t="str">
        <f>IFERROR(
ROUNDUP(
IF(AND($U$5=FALSE,$U$4=FALSE),"-",IF(AND($U$5=TRUE,$U$4=TRUE),"-",
IF((AND($U$4=TRUE,$U$5=FALSE,$U$6=FALSE,$U$7=FALSE)),VLOOKUP($E613,'Status Thresholds'!$E:$AR,2,FALSE),IF((AND($U$4=TRUE,$U$5=FALSE,$U$6=TRUE,$U$7=FALSE)),VLOOKUP($E613,'Status Thresholds'!$E:$AR,12,FALSE),IF((AND($U$4=TRUE,$U$5=FALSE,$U$6=TRUE,$U$7=TRUE)),VLOOKUP($E613,'Status Thresholds'!$E:$AR,17,FALSE),IF((AND($U$4=TRUE,$U$5=FALSE,$U$6=FALSE,$U$7=TRUE)),VLOOKUP($E613,'Status Thresholds'!$E:$AR,7,FALSE),
IF((AND($U$4=FALSE,$U$5=TRUE,$U$6=FALSE,$U$7=FALSE)),VLOOKUP($E613,'Status Thresholds'!$E:$AR,22,FALSE),IF((AND($U$4=FALSE,$U$5=TRUE,$U$6=TRUE,$U$7=FALSE)),VLOOKUP($E613,'Status Thresholds'!$E:$AR,32,FALSE),IF((AND($U$4=FALSE,$U$5=TRUE,$U$6=TRUE,$U$7=TRUE)),VLOOKUP($E613,'Status Thresholds'!$E:$AR,37,FALSE),IF((AND($U$4=FALSE,$U$5=TRUE,$U$6=FALSE,$U$7=TRUE)),VLOOKUP($E613,'Status Thresholds'!$E:$AR,27,FALSE)))))))))
))/
IF(OR($X$5=TRUE,$AC$3=TRUE
),($F$3/2), IF(OR($X$2,$X$3,$X$4,$X$6,$X$7,$X$8,$Z$2,$Z$3,$Z$4,$Z$5,$Z$6,$Z$7,$Z$8)=TRUE,$F$3)),0),"-")</f>
        <v>-</v>
      </c>
      <c r="G613" s="36" t="str">
        <f>IFERROR(
ROUNDUP(
IF(AND($U$5=FALSE,$U$4=FALSE),"-",IF(AND($U$5=TRUE,$U$4=TRUE),"-",
IF((AND($U$4=TRUE,$U$5=FALSE,$U$6=FALSE,$U$7=FALSE)),VLOOKUP($E613,'Status Thresholds'!$E:$AR,3,FALSE),IF((AND($U$4=TRUE,$U$5=FALSE,$U$6=TRUE,$U$7=FALSE)),VLOOKUP($E613,'Status Thresholds'!$E:$AR,13,FALSE),IF((AND($U$4=TRUE,$U$5=FALSE,$U$6=TRUE,$U$7=TRUE)),VLOOKUP($E613,'Status Thresholds'!$E:$AR,18,FALSE),IF((AND($U$4=TRUE,$U$5=FALSE,$U$6=FALSE,$U$7=TRUE)),VLOOKUP($E613,'Status Thresholds'!$E:$AR,8,FALSE),
IF((AND($U$4=FALSE,$U$5=TRUE,$U$6=FALSE,$U$7=FALSE)),VLOOKUP($E613,'Status Thresholds'!$E:$AR,23,FALSE),IF((AND($U$4=FALSE,$U$5=TRUE,$U$6=TRUE,$U$7=FALSE)),VLOOKUP($E613,'Status Thresholds'!$E:$AR,33,FALSE),IF((AND($U$4=FALSE,$U$5=TRUE,$U$6=TRUE,$U$7=TRUE)),VLOOKUP($E613,'Status Thresholds'!$E:$AR,38,FALSE),IF((AND($U$4=FALSE,$U$5=TRUE,$U$6=FALSE,$U$7=TRUE)),VLOOKUP($E613,'Status Thresholds'!$E:$AR,28,FALSE)))))))))
))/
IF(OR($X$5=TRUE,$AC$3=TRUE
),($F$3/2), IF(OR($X$2,$X$3,$X$4,$X$6,$X$7,$X$8,$Z$2,$Z$3,$Z$4,$Z$5,$Z$6,$Z$7,$Z$8)=TRUE,$F$3)),0),"-")</f>
        <v>-</v>
      </c>
      <c r="H613" s="36" t="str">
        <f>IFERROR(
ROUNDUP(
IF(AND($U$5=FALSE,$U$4=FALSE),"-",IF(AND($U$5=TRUE,$U$4=TRUE),"-",
IF((AND($U$4=TRUE,$U$5=FALSE,$U$6=FALSE,$U$7=FALSE)),VLOOKUP($E613,'Status Thresholds'!$E:$AR,4,FALSE),IF((AND($U$4=TRUE,$U$5=FALSE,$U$6=TRUE,$U$7=FALSE)),VLOOKUP($E613,'Status Thresholds'!$E:$AR,14,FALSE),IF((AND($U$4=TRUE,$U$5=FALSE,$U$6=TRUE,$U$7=TRUE)),VLOOKUP($E613,'Status Thresholds'!$E:$AR,19,FALSE),IF((AND($U$4=TRUE,$U$5=FALSE,$U$6=FALSE,$U$7=TRUE)),VLOOKUP($E613,'Status Thresholds'!$E:$AR,9,FALSE),
IF((AND($U$4=FALSE,$U$5=TRUE,$U$6=FALSE,$U$7=FALSE)),VLOOKUP($E613,'Status Thresholds'!$E:$AR,24,FALSE),IF((AND($U$4=FALSE,$U$5=TRUE,$U$6=TRUE,$U$7=FALSE)),VLOOKUP($E613,'Status Thresholds'!$E:$AR,34,FALSE),IF((AND($U$4=FALSE,$U$5=TRUE,$U$6=TRUE,$U$7=TRUE)),VLOOKUP($E613,'Status Thresholds'!$E:$AR,39,FALSE),IF((AND($U$4=FALSE,$U$5=TRUE,$U$6=FALSE,$U$7=TRUE)),VLOOKUP($E613,'Status Thresholds'!$E:$AR,29,FALSE)))))))))
))/
IF(OR($X$5=TRUE,$AC$3=TRUE
),($F$3/2), IF(OR($X$2,$X$3,$X$4,$X$6,$X$7,$X$8,$Z$2,$Z$3,$Z$4,$Z$5,$Z$6,$Z$7,$Z$8)=TRUE,$F$3)),0),"-")</f>
        <v>-</v>
      </c>
      <c r="I613" s="36" t="str">
        <f>IFERROR(
ROUNDUP(
IF(AND($U$5=FALSE,$U$4=FALSE),"-",IF(AND($U$5=TRUE,$U$4=TRUE),"-",
IF((AND($U$4=TRUE,$U$5=FALSE,$U$6=FALSE,$U$7=FALSE)),VLOOKUP($E613,'Status Thresholds'!$E:$AR,5,FALSE),IF((AND($U$4=TRUE,$U$5=FALSE,$U$6=TRUE,$U$7=FALSE)),VLOOKUP($E613,'Status Thresholds'!$E:$AR,15,FALSE),IF((AND($U$4=TRUE,$U$5=FALSE,$U$6=TRUE,$U$7=TRUE)),VLOOKUP($E613,'Status Thresholds'!$E:$AR,20,FALSE),IF((AND($U$4=TRUE,$U$5=FALSE,$U$6=FALSE,$U$7=TRUE)),VLOOKUP($E613,'Status Thresholds'!$E:$AR,10,FALSE),
IF((AND($U$4=FALSE,$U$5=TRUE,$U$6=FALSE,$U$7=FALSE)),VLOOKUP($E613,'Status Thresholds'!$E:$AR,25,FALSE),IF((AND($U$4=FALSE,$U$5=TRUE,$U$6=TRUE,$U$7=FALSE)),VLOOKUP($E613,'Status Thresholds'!$E:$AR,35,FALSE),IF((AND($U$4=FALSE,$U$5=TRUE,$U$6=TRUE,$U$7=TRUE)),VLOOKUP($E613,'Status Thresholds'!$E:$AR,40,FALSE),IF((AND($U$4=FALSE,$U$5=TRUE,$U$6=FALSE,$U$7=TRUE)),VLOOKUP($E613,'Status Thresholds'!$E:$AR,30,FALSE)))))))))
))/
IF(OR($X$5=TRUE,$AC$3=TRUE
),($F$3/2), IF(OR($X$2,$X$3,$X$4,$X$6,$X$7,$X$8,$Z$2,$Z$3,$Z$4,$Z$5,$Z$6,$Z$7,$Z$8)=TRUE,$F$3)),0),"-")</f>
        <v>-</v>
      </c>
      <c r="J613" s="36">
        <f>IFERROR(IF(AND($U$5=FALSE,$U$4=FALSE),"-",VLOOKUP($E613,'Status Thresholds'!$E:$AU,41,FALSE)),"-")</f>
        <v>10</v>
      </c>
      <c r="K613" s="36" t="str">
        <f>IFERROR(IF(AND($U$5=FALSE,$U$4=FALSE),"-",VLOOKUP($E613,'Status Thresholds'!$E:$AU,42,FALSE)),"-")</f>
        <v>-</v>
      </c>
      <c r="L613" s="36" t="str">
        <f>IFERROR(IF(AND($U$5=FALSE,$U$4=FALSE),"-",VLOOKUP($E613,'Status Thresholds'!$E:$AU,43,FALSE)),"-")</f>
        <v>-</v>
      </c>
    </row>
    <row r="614" spans="1:12" x14ac:dyDescent="0.25">
      <c r="A614" s="35"/>
      <c r="B614" s="64" t="str">
        <f>VLOOKUP(C614,'Status Thresholds'!B:C,2,FALSE)</f>
        <v>MHGen</v>
      </c>
      <c r="C614" s="64" t="str">
        <f>IF('Status Thresholds'!B609=0, "", 'Status Thresholds'!B609)</f>
        <v>Rathian</v>
      </c>
      <c r="D614" s="31" t="s">
        <v>32</v>
      </c>
      <c r="E614" s="36" t="str">
        <f t="shared" si="9"/>
        <v>RathianSleep</v>
      </c>
      <c r="F614" s="36" t="str">
        <f>IFERROR(
ROUNDUP(
IF(AND($U$5=FALSE,$U$4=FALSE),"-",IF(AND($U$5=TRUE,$U$4=TRUE),"-",
IF((AND($U$4=TRUE,$U$5=FALSE,$U$6=FALSE,$U$7=FALSE)),VLOOKUP($E614,'Status Thresholds'!$E:$AR,2,FALSE),IF((AND($U$4=TRUE,$U$5=FALSE,$U$6=TRUE,$U$7=FALSE)),VLOOKUP($E614,'Status Thresholds'!$E:$AR,12,FALSE),IF((AND($U$4=TRUE,$U$5=FALSE,$U$6=TRUE,$U$7=TRUE)),VLOOKUP($E614,'Status Thresholds'!$E:$AR,17,FALSE),IF((AND($U$4=TRUE,$U$5=FALSE,$U$6=FALSE,$U$7=TRUE)),VLOOKUP($E614,'Status Thresholds'!$E:$AR,7,FALSE),
IF((AND($U$4=FALSE,$U$5=TRUE,$U$6=FALSE,$U$7=FALSE)),VLOOKUP($E614,'Status Thresholds'!$E:$AR,22,FALSE),IF((AND($U$4=FALSE,$U$5=TRUE,$U$6=TRUE,$U$7=FALSE)),VLOOKUP($E614,'Status Thresholds'!$E:$AR,32,FALSE),IF((AND($U$4=FALSE,$U$5=TRUE,$U$6=TRUE,$U$7=TRUE)),VLOOKUP($E614,'Status Thresholds'!$E:$AR,37,FALSE),IF((AND($U$4=FALSE,$U$5=TRUE,$U$6=FALSE,$U$7=TRUE)),VLOOKUP($E614,'Status Thresholds'!$E:$AR,27,FALSE)))))))))
))/
IF(OR($X$5=TRUE,$AC$3=TRUE
),($F$4/2), IF(OR($X$2,$X$3,$X$4,$X$6,$X$7,$X$8,$Z$2,$Z$3,$Z$4,$Z$5,$Z$6,$Z$7,$Z$8)=TRUE,$F$4)),0),"-")</f>
        <v>-</v>
      </c>
      <c r="G614" s="36" t="str">
        <f>IFERROR(
ROUNDUP(
IF(AND($U$5=FALSE,$U$4=FALSE),"-",IF(AND($U$5=TRUE,$U$4=TRUE),"-",
IF((AND($U$4=TRUE,$U$5=FALSE,$U$6=FALSE,$U$7=FALSE)),VLOOKUP($E614,'Status Thresholds'!$E:$AR,3,FALSE),IF((AND($U$4=TRUE,$U$5=FALSE,$U$6=TRUE,$U$7=FALSE)),VLOOKUP($E614,'Status Thresholds'!$E:$AR,13,FALSE),IF((AND($U$4=TRUE,$U$5=FALSE,$U$6=TRUE,$U$7=TRUE)),VLOOKUP($E614,'Status Thresholds'!$E:$AR,18,FALSE),IF((AND($U$4=TRUE,$U$5=FALSE,$U$6=FALSE,$U$7=TRUE)),VLOOKUP($E614,'Status Thresholds'!$E:$AR,8,FALSE),
IF((AND($U$4=FALSE,$U$5=TRUE,$U$6=FALSE,$U$7=FALSE)),VLOOKUP($E614,'Status Thresholds'!$E:$AR,23,FALSE),IF((AND($U$4=FALSE,$U$5=TRUE,$U$6=TRUE,$U$7=FALSE)),VLOOKUP($E614,'Status Thresholds'!$E:$AR,33,FALSE),IF((AND($U$4=FALSE,$U$5=TRUE,$U$6=TRUE,$U$7=TRUE)),VLOOKUP($E614,'Status Thresholds'!$E:$AR,38,FALSE),IF((AND($U$4=FALSE,$U$5=TRUE,$U$6=FALSE,$U$7=TRUE)),VLOOKUP($E614,'Status Thresholds'!$E:$AR,28,FALSE)))))))))
))/
IF(OR($X$5=TRUE,$AC$3=TRUE
),($F$4/2), IF(OR($X$2,$X$3,$X$4,$X$6,$X$7,$X$8,$Z$2,$Z$3,$Z$4,$Z$5,$Z$6,$Z$7,$Z$8)=TRUE,$F$4)),0),"-")</f>
        <v>-</v>
      </c>
      <c r="H614" s="36" t="str">
        <f>IFERROR(
ROUNDUP(
IF(AND($U$5=FALSE,$U$4=FALSE),"-",IF(AND($U$5=TRUE,$U$4=TRUE),"-",
IF((AND($U$4=TRUE,$U$5=FALSE,$U$6=FALSE,$U$7=FALSE)),VLOOKUP($E614,'Status Thresholds'!$E:$AR,4,FALSE),IF((AND($U$4=TRUE,$U$5=FALSE,$U$6=TRUE,$U$7=FALSE)),VLOOKUP($E614,'Status Thresholds'!$E:$AR,14,FALSE),IF((AND($U$4=TRUE,$U$5=FALSE,$U$6=TRUE,$U$7=TRUE)),VLOOKUP($E614,'Status Thresholds'!$E:$AR,19,FALSE),IF((AND($U$4=TRUE,$U$5=FALSE,$U$6=FALSE,$U$7=TRUE)),VLOOKUP($E614,'Status Thresholds'!$E:$AR,9,FALSE),
IF((AND($U$4=FALSE,$U$5=TRUE,$U$6=FALSE,$U$7=FALSE)),VLOOKUP($E614,'Status Thresholds'!$E:$AR,24,FALSE),IF((AND($U$4=FALSE,$U$5=TRUE,$U$6=TRUE,$U$7=FALSE)),VLOOKUP($E614,'Status Thresholds'!$E:$AR,34,FALSE),IF((AND($U$4=FALSE,$U$5=TRUE,$U$6=TRUE,$U$7=TRUE)),VLOOKUP($E614,'Status Thresholds'!$E:$AR,39,FALSE),IF((AND($U$4=FALSE,$U$5=TRUE,$U$6=FALSE,$U$7=TRUE)),VLOOKUP($E614,'Status Thresholds'!$E:$AR,29,FALSE)))))))))
))/
IF(OR($X$5=TRUE,$AC$3=TRUE
),($F$4/2), IF(OR($X$2,$X$3,$X$4,$X$6,$X$7,$X$8,$Z$2,$Z$3,$Z$4,$Z$5,$Z$6,$Z$7,$Z$8)=TRUE,$F$4)),0),"-")</f>
        <v>-</v>
      </c>
      <c r="I614" s="36" t="str">
        <f>IFERROR(
ROUNDUP(
IF(AND($U$5=FALSE,$U$4=FALSE),"-",IF(AND($U$5=TRUE,$U$4=TRUE),"-",
IF((AND($U$4=TRUE,$U$5=FALSE,$U$6=FALSE,$U$7=FALSE)),VLOOKUP($E614,'Status Thresholds'!$E:$AR,5,FALSE),IF((AND($U$4=TRUE,$U$5=FALSE,$U$6=TRUE,$U$7=FALSE)),VLOOKUP($E614,'Status Thresholds'!$E:$AR,15,FALSE),IF((AND($U$4=TRUE,$U$5=FALSE,$U$6=TRUE,$U$7=TRUE)),VLOOKUP($E614,'Status Thresholds'!$E:$AR,20,FALSE),IF((AND($U$4=TRUE,$U$5=FALSE,$U$6=FALSE,$U$7=TRUE)),VLOOKUP($E614,'Status Thresholds'!$E:$AR,10,FALSE),
IF((AND($U$4=FALSE,$U$5=TRUE,$U$6=FALSE,$U$7=FALSE)),VLOOKUP($E614,'Status Thresholds'!$E:$AR,25,FALSE),IF((AND($U$4=FALSE,$U$5=TRUE,$U$6=TRUE,$U$7=FALSE)),VLOOKUP($E614,'Status Thresholds'!$E:$AR,35,FALSE),IF((AND($U$4=FALSE,$U$5=TRUE,$U$6=TRUE,$U$7=TRUE)),VLOOKUP($E614,'Status Thresholds'!$E:$AR,40,FALSE),IF((AND($U$4=FALSE,$U$5=TRUE,$U$6=FALSE,$U$7=TRUE)),VLOOKUP($E614,'Status Thresholds'!$E:$AR,30,FALSE)))))))))
))/
IF(OR($X$5=TRUE,$AC$3=TRUE
),($F$4/2), IF(OR($X$2,$X$3,$X$4,$X$6,$X$7,$X$8,$Z$2,$Z$3,$Z$4,$Z$5,$Z$6,$Z$7,$Z$8)=TRUE,$F$4)),0),"-")</f>
        <v>-</v>
      </c>
      <c r="J614" s="46">
        <f>IFERROR(IF(AND($U$5=FALSE,$U$4=FALSE),"-",VLOOKUP($E614,'Status Thresholds'!$E:$AU,41,FALSE)),"-")</f>
        <v>40</v>
      </c>
      <c r="K614" s="46" t="str">
        <f>IFERROR(IF(AND($U$5=FALSE,$U$4=FALSE),"-",VLOOKUP($E614,'Status Thresholds'!$E:$AU,42,FALSE)),"-")</f>
        <v>-</v>
      </c>
      <c r="L614" s="46" t="str">
        <f>IFERROR(IF(AND($U$5=FALSE,$U$4=FALSE),"-",VLOOKUP($E614,'Status Thresholds'!$E:$AU,43,FALSE)),"-")</f>
        <v>-</v>
      </c>
    </row>
    <row r="615" spans="1:12" x14ac:dyDescent="0.25">
      <c r="A615" s="35"/>
      <c r="B615" s="64" t="str">
        <f>VLOOKUP(C615,'Status Thresholds'!B:C,2,FALSE)</f>
        <v>MHGen</v>
      </c>
      <c r="C615" s="64" t="str">
        <f>IF('Status Thresholds'!B610=0, "", 'Status Thresholds'!B610)</f>
        <v>Rathian</v>
      </c>
      <c r="D615" s="32" t="s">
        <v>33</v>
      </c>
      <c r="E615" s="36" t="str">
        <f t="shared" si="9"/>
        <v>RathianPoison</v>
      </c>
      <c r="F615" s="36" t="str">
        <f>IFERROR(
ROUNDUP(
IF(AND($U$5=FALSE,$U$4=FALSE),"-",IF(AND($U$5=TRUE,$U$4=TRUE),"-",
IF((AND($U$4=TRUE,$U$5=FALSE,$U$6=FALSE,$U$7=FALSE)),VLOOKUP($E615,'Status Thresholds'!$E:$AR,2,FALSE),IF((AND($U$4=TRUE,$U$5=FALSE,$U$6=TRUE,$U$7=FALSE)),VLOOKUP($E615,'Status Thresholds'!$E:$AR,12,FALSE),IF((AND($U$4=TRUE,$U$5=FALSE,$U$6=TRUE,$U$7=TRUE)),VLOOKUP($E615,'Status Thresholds'!$E:$AR,17,FALSE),IF((AND($U$4=TRUE,$U$5=FALSE,$U$6=FALSE,$U$7=TRUE)),VLOOKUP($E615,'Status Thresholds'!$E:$AR,7,FALSE),
IF((AND($U$4=FALSE,$U$5=TRUE,$U$6=FALSE,$U$7=FALSE)),VLOOKUP($E615,'Status Thresholds'!$E:$AR,22,FALSE),IF((AND($U$4=FALSE,$U$5=TRUE,$U$6=TRUE,$U$7=FALSE)),VLOOKUP($E615,'Status Thresholds'!$E:$AR,32,FALSE),IF((AND($U$4=FALSE,$U$5=TRUE,$U$6=TRUE,$U$7=TRUE)),VLOOKUP($E615,'Status Thresholds'!$E:$AR,37,FALSE),IF((AND($U$4=FALSE,$U$5=TRUE,$U$6=FALSE,$U$7=TRUE)),VLOOKUP($E615,'Status Thresholds'!$E:$AR,27,FALSE)))))))))
))/
IF(OR($X$5=TRUE,$AC$3=TRUE
),($F$5/2), IF(OR($X$2,$X$3,$X$4,$X$6,$X$7,$X$8,$Z$2,$Z$3,$Z$4,$Z$5,$Z$6,$Z$7,$Z$8)=TRUE,$F$5)),0),"-")</f>
        <v>-</v>
      </c>
      <c r="G615" s="36" t="str">
        <f>IFERROR(
ROUNDUP(
IF(AND($U$5=FALSE,$U$4=FALSE),"-",IF(AND($U$5=TRUE,$U$4=TRUE),"-",
IF((AND($U$4=TRUE,$U$5=FALSE,$U$6=FALSE,$U$7=FALSE)),VLOOKUP($E615,'Status Thresholds'!$E:$AR,3,FALSE),IF((AND($U$4=TRUE,$U$5=FALSE,$U$6=TRUE,$U$7=FALSE)),VLOOKUP($E615,'Status Thresholds'!$E:$AR,13,FALSE),IF((AND($U$4=TRUE,$U$5=FALSE,$U$6=TRUE,$U$7=TRUE)),VLOOKUP($E615,'Status Thresholds'!$E:$AR,18,FALSE),IF((AND($U$4=TRUE,$U$5=FALSE,$U$6=FALSE,$U$7=TRUE)),VLOOKUP($E615,'Status Thresholds'!$E:$AR,8,FALSE),
IF((AND($U$4=FALSE,$U$5=TRUE,$U$6=FALSE,$U$7=FALSE)),VLOOKUP($E615,'Status Thresholds'!$E:$AR,23,FALSE),IF((AND($U$4=FALSE,$U$5=TRUE,$U$6=TRUE,$U$7=FALSE)),VLOOKUP($E615,'Status Thresholds'!$E:$AR,33,FALSE),IF((AND($U$4=FALSE,$U$5=TRUE,$U$6=TRUE,$U$7=TRUE)),VLOOKUP($E615,'Status Thresholds'!$E:$AR,38,FALSE),IF((AND($U$4=FALSE,$U$5=TRUE,$U$6=FALSE,$U$7=TRUE)),VLOOKUP($E615,'Status Thresholds'!$E:$AR,28,FALSE)))))))))
))/
IF(OR($X$5=TRUE,$AC$3=TRUE
),($F$5/2), IF(OR($X$2,$X$3,$X$4,$X$6,$X$7,$X$8,$Z$2,$Z$3,$Z$4,$Z$5,$Z$6,$Z$7,$Z$8)=TRUE,$F$5)),0),"-")</f>
        <v>-</v>
      </c>
      <c r="H615" s="36" t="str">
        <f>IFERROR(
ROUNDUP(
IF(AND($U$5=FALSE,$U$4=FALSE),"-",IF(AND($U$5=TRUE,$U$4=TRUE),"-",
IF((AND($U$4=TRUE,$U$5=FALSE,$U$6=FALSE,$U$7=FALSE)),VLOOKUP($E615,'Status Thresholds'!$E:$AR,4,FALSE),IF((AND($U$4=TRUE,$U$5=FALSE,$U$6=TRUE,$U$7=FALSE)),VLOOKUP($E615,'Status Thresholds'!$E:$AR,14,FALSE),IF((AND($U$4=TRUE,$U$5=FALSE,$U$6=TRUE,$U$7=TRUE)),VLOOKUP($E615,'Status Thresholds'!$E:$AR,19,FALSE),IF((AND($U$4=TRUE,$U$5=FALSE,$U$6=FALSE,$U$7=TRUE)),VLOOKUP($E615,'Status Thresholds'!$E:$AR,9,FALSE),
IF((AND($U$4=FALSE,$U$5=TRUE,$U$6=FALSE,$U$7=FALSE)),VLOOKUP($E615,'Status Thresholds'!$E:$AR,24,FALSE),IF((AND($U$4=FALSE,$U$5=TRUE,$U$6=TRUE,$U$7=FALSE)),VLOOKUP($E615,'Status Thresholds'!$E:$AR,34,FALSE),IF((AND($U$4=FALSE,$U$5=TRUE,$U$6=TRUE,$U$7=TRUE)),VLOOKUP($E615,'Status Thresholds'!$E:$AR,39,FALSE),IF((AND($U$4=FALSE,$U$5=TRUE,$U$6=FALSE,$U$7=TRUE)),VLOOKUP($E615,'Status Thresholds'!$E:$AR,29,FALSE)))))))))
))/
IF(OR($X$5=TRUE,$AC$3=TRUE
),($F$5/2), IF(OR($X$2,$X$3,$X$4,$X$6,$X$7,$X$8,$Z$2,$Z$3,$Z$4,$Z$5,$Z$6,$Z$7,$Z$8)=TRUE,$F$5)),0),"-")</f>
        <v>-</v>
      </c>
      <c r="I615" s="36" t="str">
        <f>IFERROR(
ROUNDUP(
IF(AND($U$5=FALSE,$U$4=FALSE),"-",IF(AND($U$5=TRUE,$U$4=TRUE),"-",
IF((AND($U$4=TRUE,$U$5=FALSE,$U$6=FALSE,$U$7=FALSE)),VLOOKUP($E615,'Status Thresholds'!$E:$AR,5,FALSE),IF((AND($U$4=TRUE,$U$5=FALSE,$U$6=TRUE,$U$7=FALSE)),VLOOKUP($E615,'Status Thresholds'!$E:$AR,15,FALSE),IF((AND($U$4=TRUE,$U$5=FALSE,$U$6=TRUE,$U$7=TRUE)),VLOOKUP($E615,'Status Thresholds'!$E:$AR,20,FALSE),IF((AND($U$4=TRUE,$U$5=FALSE,$U$6=FALSE,$U$7=TRUE)),VLOOKUP($E615,'Status Thresholds'!$E:$AR,10,FALSE),
IF((AND($U$4=FALSE,$U$5=TRUE,$U$6=FALSE,$U$7=FALSE)),VLOOKUP($E615,'Status Thresholds'!$E:$AR,25,FALSE),IF((AND($U$4=FALSE,$U$5=TRUE,$U$6=TRUE,$U$7=FALSE)),VLOOKUP($E615,'Status Thresholds'!$E:$AR,35,FALSE),IF((AND($U$4=FALSE,$U$5=TRUE,$U$6=TRUE,$U$7=TRUE)),VLOOKUP($E615,'Status Thresholds'!$E:$AR,40,FALSE),IF((AND($U$4=FALSE,$U$5=TRUE,$U$6=FALSE,$U$7=TRUE)),VLOOKUP($E615,'Status Thresholds'!$E:$AR,30,FALSE)))))))))
))/
IF(OR($X$5=TRUE,$AC$3=TRUE
),($F$5/2), IF(OR($X$2,$X$3,$X$4,$X$6,$X$7,$X$8,$Z$2,$Z$3,$Z$4,$Z$5,$Z$6,$Z$7,$Z$8)=TRUE,$F$5)),0),"-")</f>
        <v>-</v>
      </c>
      <c r="J615" s="46">
        <f>IFERROR(IF(AND($U$5=FALSE,$U$4=FALSE),"-",VLOOKUP($E615,'Status Thresholds'!$E:$AU,41,FALSE)),"-")</f>
        <v>60</v>
      </c>
      <c r="K615" s="46" t="str">
        <f>IFERROR(IF(AND($U$5=FALSE,$U$4=FALSE),"-",VLOOKUP($E615,'Status Thresholds'!$E:$AU,42,FALSE)),"-")</f>
        <v>-</v>
      </c>
      <c r="L615" s="46" t="str">
        <f>IFERROR(IF(AND($U$5=FALSE,$U$4=FALSE),"-",VLOOKUP($E615,'Status Thresholds'!$E:$AU,43,FALSE)),"-")</f>
        <v>-</v>
      </c>
    </row>
    <row r="616" spans="1:12" x14ac:dyDescent="0.25">
      <c r="A616" s="35"/>
      <c r="B616" s="64" t="str">
        <f>VLOOKUP(C616,'Status Thresholds'!B:C,2,FALSE)</f>
        <v>MHGen</v>
      </c>
      <c r="C616" s="64" t="str">
        <f>IF('Status Thresholds'!B611=0, "", 'Status Thresholds'!B611)</f>
        <v>Rathian</v>
      </c>
      <c r="D616" s="10" t="s">
        <v>22</v>
      </c>
      <c r="E616" s="36" t="str">
        <f t="shared" si="9"/>
        <v>RathianExhaust</v>
      </c>
      <c r="F616" s="36" t="str">
        <f>IFERROR(
ROUNDUP(
IF(AND($U$5=FALSE,$U$4=FALSE),"-",IF(AND($U$5=TRUE,$U$4=TRUE),"-",
IF((AND($U$4=TRUE,$U$5=FALSE,$U$6=FALSE,$U$7=FALSE)),VLOOKUP($E616,'Status Thresholds'!$E:$AR,2,FALSE),IF((AND($U$4=TRUE,$U$5=FALSE,$U$6=TRUE,$U$7=FALSE)),VLOOKUP($E616,'Status Thresholds'!$E:$AR,12,FALSE),IF((AND($U$4=TRUE,$U$5=FALSE,$U$6=TRUE,$U$7=TRUE)),VLOOKUP($E616,'Status Thresholds'!$E:$AR,17,FALSE),IF((AND($U$4=TRUE,$U$5=FALSE,$U$6=FALSE,$U$7=TRUE)),VLOOKUP($E616,'Status Thresholds'!$E:$AR,7,FALSE),
IF((AND($U$4=FALSE,$U$5=TRUE,$U$6=FALSE,$U$7=FALSE)),VLOOKUP($E616,'Status Thresholds'!$E:$AR,22,FALSE),IF((AND($U$4=FALSE,$U$5=TRUE,$U$6=TRUE,$U$7=FALSE)),VLOOKUP($E616,'Status Thresholds'!$E:$AR,32,FALSE),IF((AND($U$4=FALSE,$U$5=TRUE,$U$6=TRUE,$U$7=TRUE)),VLOOKUP($E616,'Status Thresholds'!$E:$AR,37,FALSE),IF((AND($U$4=FALSE,$U$5=TRUE,$U$6=FALSE,$U$7=TRUE)),VLOOKUP($E616,'Status Thresholds'!$E:$AR,27,FALSE)))))))))
))/
IF(OR($X$5=TRUE,$AC$3=TRUE
),($F$6/2), IF(OR($X$2,$X$3,$X$4,$X$6,$X$7,$X$8,$Z$2,$Z$3,$Z$4,$Z$5,$Z$6,$Z$7,$Z$8)=TRUE,$F$6)),0),"-")</f>
        <v>-</v>
      </c>
      <c r="G616" s="36" t="str">
        <f>IFERROR(
ROUNDUP(
IF(AND($U$5=FALSE,$U$4=FALSE),"-",IF(AND($U$5=TRUE,$U$4=TRUE),"-",
IF((AND($U$4=TRUE,$U$5=FALSE,$U$6=FALSE,$U$7=FALSE)),VLOOKUP($E616,'Status Thresholds'!$E:$AR,3,FALSE),IF((AND($U$4=TRUE,$U$5=FALSE,$U$6=TRUE,$U$7=FALSE)),VLOOKUP($E616,'Status Thresholds'!$E:$AR,13,FALSE),IF((AND($U$4=TRUE,$U$5=FALSE,$U$6=TRUE,$U$7=TRUE)),VLOOKUP($E616,'Status Thresholds'!$E:$AR,18,FALSE),IF((AND($U$4=TRUE,$U$5=FALSE,$U$6=FALSE,$U$7=TRUE)),VLOOKUP($E616,'Status Thresholds'!$E:$AR,8,FALSE),
IF((AND($U$4=FALSE,$U$5=TRUE,$U$6=FALSE,$U$7=FALSE)),VLOOKUP($E616,'Status Thresholds'!$E:$AR,23,FALSE),IF((AND($U$4=FALSE,$U$5=TRUE,$U$6=TRUE,$U$7=FALSE)),VLOOKUP($E616,'Status Thresholds'!$E:$AR,33,FALSE),IF((AND($U$4=FALSE,$U$5=TRUE,$U$6=TRUE,$U$7=TRUE)),VLOOKUP($E616,'Status Thresholds'!$E:$AR,38,FALSE),IF((AND($U$4=FALSE,$U$5=TRUE,$U$6=FALSE,$U$7=TRUE)),VLOOKUP($E616,'Status Thresholds'!$E:$AR,28,FALSE)))))))))
))/
IF(OR($X$5=TRUE,$AC$3=TRUE
),($F$6/2), IF(OR($X$2,$X$3,$X$4,$X$6,$X$7,$X$8,$Z$2,$Z$3,$Z$4,$Z$5,$Z$6,$Z$7,$Z$8)=TRUE,$F$6)),0),"-")</f>
        <v>-</v>
      </c>
      <c r="H616" s="36" t="str">
        <f>IFERROR(
ROUNDUP(
IF(AND($U$5=FALSE,$U$4=FALSE),"-",IF(AND($U$5=TRUE,$U$4=TRUE),"-",
IF((AND($U$4=TRUE,$U$5=FALSE,$U$6=FALSE,$U$7=FALSE)),VLOOKUP($E616,'Status Thresholds'!$E:$AR,4,FALSE),IF((AND($U$4=TRUE,$U$5=FALSE,$U$6=TRUE,$U$7=FALSE)),VLOOKUP($E616,'Status Thresholds'!$E:$AR,14,FALSE),IF((AND($U$4=TRUE,$U$5=FALSE,$U$6=TRUE,$U$7=TRUE)),VLOOKUP($E616,'Status Thresholds'!$E:$AR,19,FALSE),IF((AND($U$4=TRUE,$U$5=FALSE,$U$6=FALSE,$U$7=TRUE)),VLOOKUP($E616,'Status Thresholds'!$E:$AR,9,FALSE),
IF((AND($U$4=FALSE,$U$5=TRUE,$U$6=FALSE,$U$7=FALSE)),VLOOKUP($E616,'Status Thresholds'!$E:$AR,24,FALSE),IF((AND($U$4=FALSE,$U$5=TRUE,$U$6=TRUE,$U$7=FALSE)),VLOOKUP($E616,'Status Thresholds'!$E:$AR,34,FALSE),IF((AND($U$4=FALSE,$U$5=TRUE,$U$6=TRUE,$U$7=TRUE)),VLOOKUP($E616,'Status Thresholds'!$E:$AR,39,FALSE),IF((AND($U$4=FALSE,$U$5=TRUE,$U$6=FALSE,$U$7=TRUE)),VLOOKUP($E616,'Status Thresholds'!$E:$AR,29,FALSE)))))))))
))/
IF(OR($X$5=TRUE,$AC$3=TRUE
),($F$6/2), IF(OR($X$2,$X$3,$X$4,$X$6,$X$7,$X$8,$Z$2,$Z$3,$Z$4,$Z$5,$Z$6,$Z$7,$Z$8)=TRUE,$F$6)),0),"-")</f>
        <v>-</v>
      </c>
      <c r="I616" s="36" t="str">
        <f>IFERROR(
ROUNDUP(
IF(AND($U$5=FALSE,$U$4=FALSE),"-",IF(AND($U$5=TRUE,$U$4=TRUE),"-",
IF((AND($U$4=TRUE,$U$5=FALSE,$U$6=FALSE,$U$7=FALSE)),VLOOKUP($E616,'Status Thresholds'!$E:$AR,5,FALSE),IF((AND($U$4=TRUE,$U$5=FALSE,$U$6=TRUE,$U$7=FALSE)),VLOOKUP($E616,'Status Thresholds'!$E:$AR,15,FALSE),IF((AND($U$4=TRUE,$U$5=FALSE,$U$6=TRUE,$U$7=TRUE)),VLOOKUP($E616,'Status Thresholds'!$E:$AR,20,FALSE),IF((AND($U$4=TRUE,$U$5=FALSE,$U$6=FALSE,$U$7=TRUE)),VLOOKUP($E616,'Status Thresholds'!$E:$AR,10,FALSE),
IF((AND($U$4=FALSE,$U$5=TRUE,$U$6=FALSE,$U$7=FALSE)),VLOOKUP($E616,'Status Thresholds'!$E:$AR,25,FALSE),IF((AND($U$4=FALSE,$U$5=TRUE,$U$6=TRUE,$U$7=FALSE)),VLOOKUP($E616,'Status Thresholds'!$E:$AR,35,FALSE),IF((AND($U$4=FALSE,$U$5=TRUE,$U$6=TRUE,$U$7=TRUE)),VLOOKUP($E616,'Status Thresholds'!$E:$AR,40,FALSE),IF((AND($U$4=FALSE,$U$5=TRUE,$U$6=FALSE,$U$7=TRUE)),VLOOKUP($E616,'Status Thresholds'!$E:$AR,30,FALSE)))))))))
))/
IF(OR($X$5=TRUE,$AC$3=TRUE
),($F$6/2), IF(OR($X$2,$X$3,$X$4,$X$6,$X$7,$X$8,$Z$2,$Z$3,$Z$4,$Z$5,$Z$6,$Z$7,$Z$8)=TRUE,$F$6)),0),"-")</f>
        <v>-</v>
      </c>
      <c r="J616" s="46">
        <f>IFERROR(IF(AND($U$5=FALSE,$U$4=FALSE),"-",VLOOKUP($E616,'Status Thresholds'!$E:$AU,41,FALSE)),"-")</f>
        <v>0</v>
      </c>
      <c r="K616" s="46" t="str">
        <f>IFERROR(IF(AND($U$5=FALSE,$U$4=FALSE),"-",VLOOKUP($E616,'Status Thresholds'!$E:$AU,42,FALSE)),"-")</f>
        <v>-</v>
      </c>
      <c r="L616" s="46" t="str">
        <f>IFERROR(IF(AND($U$5=FALSE,$U$4=FALSE),"-",VLOOKUP($E616,'Status Thresholds'!$E:$AU,43,FALSE)),"-")</f>
        <v>-</v>
      </c>
    </row>
    <row r="617" spans="1:12" x14ac:dyDescent="0.25">
      <c r="A617" s="35"/>
      <c r="B617" s="64" t="str">
        <f>VLOOKUP(C617,'Status Thresholds'!B:C,2,FALSE)</f>
        <v>MHGen</v>
      </c>
      <c r="C617" s="64" t="str">
        <f>IF('Status Thresholds'!B612=0, "", 'Status Thresholds'!B612)</f>
        <v>Rathian</v>
      </c>
      <c r="D617" s="30" t="s">
        <v>35</v>
      </c>
      <c r="E617" s="36" t="str">
        <f t="shared" si="9"/>
        <v>RathianBlast</v>
      </c>
      <c r="F617" s="36" t="str">
        <f>IFERROR(
ROUNDUP(
IF(AND($U$5=FALSE,$U$4=FALSE),"-",IF(AND($U$5=TRUE,$U$4=TRUE),"-",
IF((AND($U$4=TRUE,$U$5=FALSE,$U$6=FALSE,$U$7=FALSE)),VLOOKUP($E617,'Status Thresholds'!$E:$AR,2,FALSE),IF((AND($U$4=TRUE,$U$5=FALSE,$U$6=TRUE,$U$7=FALSE)),VLOOKUP($E617,'Status Thresholds'!$E:$AR,12,FALSE),IF((AND($U$4=TRUE,$U$5=FALSE,$U$6=TRUE,$U$7=TRUE)),VLOOKUP($E617,'Status Thresholds'!$E:$AR,17,FALSE),IF((AND($U$4=TRUE,$U$5=FALSE,$U$6=FALSE,$U$7=TRUE)),VLOOKUP($E617,'Status Thresholds'!$E:$AR,7,FALSE),
IF((AND($U$4=FALSE,$U$5=TRUE,$U$6=FALSE,$U$7=FALSE)),VLOOKUP($E617,'Status Thresholds'!$E:$AR,22,FALSE),IF((AND($U$4=FALSE,$U$5=TRUE,$U$6=TRUE,$U$7=FALSE)),VLOOKUP($E617,'Status Thresholds'!$E:$AR,32,FALSE),IF((AND($U$4=FALSE,$U$5=TRUE,$U$6=TRUE,$U$7=TRUE)),VLOOKUP($E617,'Status Thresholds'!$E:$AR,37,FALSE),IF((AND($U$4=FALSE,$U$5=TRUE,$U$6=FALSE,$U$7=TRUE)),VLOOKUP($E617,'Status Thresholds'!$E:$AR,27,FALSE)))))))))
))/
IF(OR($X$5=TRUE,$AC$3=TRUE
),($F$7/2), IF(OR($X$2,$X$3,$X$4,$X$6,$X$7,$X$8,$Z$2,$Z$3,$Z$4,$Z$5,$Z$6,$Z$7,$Z$8)=TRUE,$F$7)),0),"-")</f>
        <v>-</v>
      </c>
      <c r="G617" s="36" t="str">
        <f>IFERROR(
ROUNDUP(
IF(AND($U$5=FALSE,$U$4=FALSE),"-",IF(AND($U$5=TRUE,$U$4=TRUE),"-",
IF((AND($U$4=TRUE,$U$5=FALSE,$U$6=FALSE,$U$7=FALSE)),VLOOKUP($E617,'Status Thresholds'!$E:$AR,3,FALSE),IF((AND($U$4=TRUE,$U$5=FALSE,$U$6=TRUE,$U$7=FALSE)),VLOOKUP($E617,'Status Thresholds'!$E:$AR,13,FALSE),IF((AND($U$4=TRUE,$U$5=FALSE,$U$6=TRUE,$U$7=TRUE)),VLOOKUP($E617,'Status Thresholds'!$E:$AR,18,FALSE),IF((AND($U$4=TRUE,$U$5=FALSE,$U$6=FALSE,$U$7=TRUE)),VLOOKUP($E617,'Status Thresholds'!$E:$AR,8,FALSE),
IF((AND($U$4=FALSE,$U$5=TRUE,$U$6=FALSE,$U$7=FALSE)),VLOOKUP($E617,'Status Thresholds'!$E:$AR,23,FALSE),IF((AND($U$4=FALSE,$U$5=TRUE,$U$6=TRUE,$U$7=FALSE)),VLOOKUP($E617,'Status Thresholds'!$E:$AR,33,FALSE),IF((AND($U$4=FALSE,$U$5=TRUE,$U$6=TRUE,$U$7=TRUE)),VLOOKUP($E617,'Status Thresholds'!$E:$AR,38,FALSE),IF((AND($U$4=FALSE,$U$5=TRUE,$U$6=FALSE,$U$7=TRUE)),VLOOKUP($E617,'Status Thresholds'!$E:$AR,28,FALSE)))))))))
))/
IF(OR($X$5=TRUE,$AC$3=TRUE
),($F$7/2), IF(OR($X$2,$X$3,$X$4,$X$6,$X$7,$X$8,$Z$2,$Z$3,$Z$4,$Z$5,$Z$6,$Z$7,$Z$8)=TRUE,$F$7)),0),"-")</f>
        <v>-</v>
      </c>
      <c r="H617" s="36" t="str">
        <f>IFERROR(
ROUNDUP(
IF(AND($U$5=FALSE,$U$4=FALSE),"-",IF(AND($U$5=TRUE,$U$4=TRUE),"-",
IF((AND($U$4=TRUE,$U$5=FALSE,$U$6=FALSE,$U$7=FALSE)),VLOOKUP($E617,'Status Thresholds'!$E:$AR,4,FALSE),IF((AND($U$4=TRUE,$U$5=FALSE,$U$6=TRUE,$U$7=FALSE)),VLOOKUP($E617,'Status Thresholds'!$E:$AR,14,FALSE),IF((AND($U$4=TRUE,$U$5=FALSE,$U$6=TRUE,$U$7=TRUE)),VLOOKUP($E617,'Status Thresholds'!$E:$AR,19,FALSE),IF((AND($U$4=TRUE,$U$5=FALSE,$U$6=FALSE,$U$7=TRUE)),VLOOKUP($E617,'Status Thresholds'!$E:$AR,9,FALSE),
IF((AND($U$4=FALSE,$U$5=TRUE,$U$6=FALSE,$U$7=FALSE)),VLOOKUP($E617,'Status Thresholds'!$E:$AR,24,FALSE),IF((AND($U$4=FALSE,$U$5=TRUE,$U$6=TRUE,$U$7=FALSE)),VLOOKUP($E617,'Status Thresholds'!$E:$AR,34,FALSE),IF((AND($U$4=FALSE,$U$5=TRUE,$U$6=TRUE,$U$7=TRUE)),VLOOKUP($E617,'Status Thresholds'!$E:$AR,39,FALSE),IF((AND($U$4=FALSE,$U$5=TRUE,$U$6=FALSE,$U$7=TRUE)),VLOOKUP($E617,'Status Thresholds'!$E:$AR,29,FALSE)))))))))
))/
IF(OR($X$5=TRUE,$AC$3=TRUE
),($F$7/2), IF(OR($X$2,$X$3,$X$4,$X$6,$X$7,$X$8,$Z$2,$Z$3,$Z$4,$Z$5,$Z$6,$Z$7,$Z$8)=TRUE,$F$7)),0),"-")</f>
        <v>-</v>
      </c>
      <c r="I617" s="36" t="str">
        <f>IFERROR(
ROUNDUP(
IF(AND($U$5=FALSE,$U$4=FALSE),"-",IF(AND($U$5=TRUE,$U$4=TRUE),"-",
IF((AND($U$4=TRUE,$U$5=FALSE,$U$6=FALSE,$U$7=FALSE)),VLOOKUP($E617,'Status Thresholds'!$E:$AR,5,FALSE),IF((AND($U$4=TRUE,$U$5=FALSE,$U$6=TRUE,$U$7=FALSE)),VLOOKUP($E617,'Status Thresholds'!$E:$AR,15,FALSE),IF((AND($U$4=TRUE,$U$5=FALSE,$U$6=TRUE,$U$7=TRUE)),VLOOKUP($E617,'Status Thresholds'!$E:$AR,20,FALSE),IF((AND($U$4=TRUE,$U$5=FALSE,$U$6=FALSE,$U$7=TRUE)),VLOOKUP($E617,'Status Thresholds'!$E:$AR,10,FALSE),
IF((AND($U$4=FALSE,$U$5=TRUE,$U$6=FALSE,$U$7=FALSE)),VLOOKUP($E617,'Status Thresholds'!$E:$AR,25,FALSE),IF((AND($U$4=FALSE,$U$5=TRUE,$U$6=TRUE,$U$7=FALSE)),VLOOKUP($E617,'Status Thresholds'!$E:$AR,35,FALSE),IF((AND($U$4=FALSE,$U$5=TRUE,$U$6=TRUE,$U$7=TRUE)),VLOOKUP($E617,'Status Thresholds'!$E:$AR,40,FALSE),IF((AND($U$4=FALSE,$U$5=TRUE,$U$6=FALSE,$U$7=TRUE)),VLOOKUP($E617,'Status Thresholds'!$E:$AR,30,FALSE)))))))))
))/
IF(OR($X$5=TRUE,$AC$3=TRUE
),($F$7/2), IF(OR($X$2,$X$3,$X$4,$X$6,$X$7,$X$8,$Z$2,$Z$3,$Z$4,$Z$5,$Z$6,$Z$7,$Z$8)=TRUE,$F$7)),0),"-")</f>
        <v>-</v>
      </c>
      <c r="J617" s="46">
        <f>IFERROR(IF(AND($U$5=FALSE,$U$4=FALSE),"-",VLOOKUP($E617,'Status Thresholds'!$E:$AU,41,FALSE)),"-")</f>
        <v>0</v>
      </c>
      <c r="K617" s="46" t="str">
        <f>IFERROR(IF(AND($U$5=FALSE,$U$4=FALSE),"-",VLOOKUP($E617,'Status Thresholds'!$E:$AU,42,FALSE)),"-")</f>
        <v>-</v>
      </c>
      <c r="L617" s="46" t="str">
        <f>IFERROR(IF(AND($U$5=FALSE,$U$4=FALSE),"-",VLOOKUP($E617,'Status Thresholds'!$E:$AU,43,FALSE)),"-")</f>
        <v>-</v>
      </c>
    </row>
    <row r="618" spans="1:12" ht="14.45" customHeight="1" x14ac:dyDescent="0.25">
      <c r="A618" s="35"/>
      <c r="B618" s="64" t="str">
        <f>VLOOKUP(C618,'Status Thresholds'!B:C,2,FALSE)</f>
        <v>MHGen</v>
      </c>
      <c r="C618" s="64" t="str">
        <f>IF('Status Thresholds'!B613=0, "", 'Status Thresholds'!B613)</f>
        <v>Rathian</v>
      </c>
      <c r="D618" s="34" t="s">
        <v>14</v>
      </c>
      <c r="E618" s="36" t="str">
        <f t="shared" si="9"/>
        <v>RathianKO</v>
      </c>
      <c r="F618" s="36" t="s">
        <v>214</v>
      </c>
      <c r="G618" s="36" t="s">
        <v>214</v>
      </c>
      <c r="H618" s="36" t="s">
        <v>214</v>
      </c>
      <c r="I618" s="36" t="s">
        <v>214</v>
      </c>
      <c r="J618" s="46">
        <f>IFERROR(IF(AND($U$5=FALSE,$U$4=FALSE),"-",VLOOKUP($E618,'Status Thresholds'!$E:$AU,41,FALSE)),"-")</f>
        <v>10</v>
      </c>
      <c r="K618" s="46" t="str">
        <f>IFERROR(IF(AND($U$5=FALSE,$U$4=FALSE),"-",VLOOKUP($E618,'Status Thresholds'!$E:$AU,42,FALSE)),"-")</f>
        <v>-</v>
      </c>
      <c r="L618" s="46" t="str">
        <f>IFERROR(IF(AND($U$5=FALSE,$U$4=FALSE),"-",VLOOKUP($E618,'Status Thresholds'!$E:$AU,43,FALSE)),"-")</f>
        <v>-</v>
      </c>
    </row>
    <row r="619" spans="1:12" x14ac:dyDescent="0.25">
      <c r="A619" s="35"/>
      <c r="B619" s="64" t="str">
        <f>VLOOKUP(C619,'Status Thresholds'!B:C,2,FALSE)</f>
        <v>MHGen</v>
      </c>
      <c r="C619" s="64" t="str">
        <f>IF('Status Thresholds'!B614=0, "", 'Status Thresholds'!B614)</f>
        <v>Rathian</v>
      </c>
      <c r="D619" s="33" t="s">
        <v>34</v>
      </c>
      <c r="E619" s="36" t="str">
        <f t="shared" si="9"/>
        <v>RathianMount</v>
      </c>
      <c r="F619" s="36" t="str">
        <f>IFERROR(
ROUNDUP(
IF(AND($U$5=FALSE,$U$4=FALSE),"-",IF(AND($U$5=TRUE,$U$4=TRUE),"-",
IF((AND($U$4=TRUE,$U$5=FALSE,$U$6=FALSE,$U$7=FALSE)),VLOOKUP($E619,'Status Thresholds'!$E:$AR,2,FALSE),IF((AND($U$4=TRUE,$U$5=FALSE,$U$6=TRUE,$U$7=FALSE)),VLOOKUP($E619,'Status Thresholds'!$E:$AR,12,FALSE),IF((AND($U$4=TRUE,$U$5=FALSE,$U$6=TRUE,$U$7=TRUE)),VLOOKUP($E619,'Status Thresholds'!$E:$AR,17,FALSE),IF((AND($U$4=TRUE,$U$5=FALSE,$U$6=FALSE,$U$7=TRUE)),VLOOKUP($E619,'Status Thresholds'!$E:$AR,7,FALSE),
IF((AND($U$4=FALSE,$U$5=TRUE,$U$6=FALSE,$U$7=FALSE)),VLOOKUP($E619,'Status Thresholds'!$E:$AR,22,FALSE),IF((AND($U$4=FALSE,$U$5=TRUE,$U$6=TRUE,$U$7=FALSE)),VLOOKUP($E619,'Status Thresholds'!$E:$AR,32,FALSE),IF((AND($U$4=FALSE,$U$5=TRUE,$U$6=TRUE,$U$7=TRUE)),VLOOKUP($E619,'Status Thresholds'!$E:$AR,37,FALSE),IF((AND($U$4=FALSE,$U$5=TRUE,$U$6=FALSE,$U$7=TRUE)),VLOOKUP($E619,'Status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619" s="36" t="str">
        <f>IFERROR(
ROUNDUP(
IF(AND($U$5=FALSE,$U$4=FALSE),"-",IF(AND($U$5=TRUE,$U$4=TRUE),"-",
IF((AND($U$4=TRUE,$U$5=FALSE,$U$6=FALSE,$U$7=FALSE)),VLOOKUP($E618,'Status Thresholds'!$E:$AR,3,FALSE),IF((AND($U$4=TRUE,$U$5=FALSE,$U$6=TRUE,$U$7=FALSE)),VLOOKUP($E618,'Status Thresholds'!$E:$AR,13,FALSE),IF((AND($U$4=TRUE,$U$5=FALSE,$U$6=TRUE,$U$7=TRUE)),VLOOKUP($E618,'Status Thresholds'!$E:$AR,18,FALSE),IF((AND($U$4=TRUE,$U$5=FALSE,$U$6=FALSE,$U$7=TRUE)),VLOOKUP($E618,'Status Thresholds'!$E:$AR,8,FALSE),
IF((AND($U$4=FALSE,$U$5=TRUE,$U$6=FALSE,$U$7=FALSE)),VLOOKUP($E618,'Status Thresholds'!$E:$AR,23,FALSE),IF((AND($U$4=FALSE,$U$5=TRUE,$U$6=TRUE,$U$7=FALSE)),VLOOKUP($E618,'Status Thresholds'!$E:$AR,33,FALSE),IF((AND($U$4=FALSE,$U$5=TRUE,$U$6=TRUE,$U$7=TRUE)),VLOOKUP($E618,'Status Thresholds'!$E:$AR,38,FALSE),IF((AND($U$4=FALSE,$U$5=TRUE,$U$6=FALSE,$U$7=TRUE)),VLOOKUP($E618,'Status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619" s="36" t="str">
        <f>IFERROR(
ROUNDUP(
IF(AND($U$5=FALSE,$U$4=FALSE),"-",IF(AND($U$5=TRUE,$U$4=TRUE),"-",
IF((AND($U$4=TRUE,$U$5=FALSE,$U$6=FALSE,$U$7=FALSE)),VLOOKUP($E618,'Status Thresholds'!$E:$AR,4,FALSE),IF((AND($U$4=TRUE,$U$5=FALSE,$U$6=TRUE,$U$7=FALSE)),VLOOKUP($E618,'Status Thresholds'!$E:$AR,14,FALSE),IF((AND($U$4=TRUE,$U$5=FALSE,$U$6=TRUE,$U$7=TRUE)),VLOOKUP($E618,'Status Thresholds'!$E:$AR,19,FALSE),IF((AND($U$4=TRUE,$U$5=FALSE,$U$6=FALSE,$U$7=TRUE)),VLOOKUP($E618,'Status Thresholds'!$E:$AR,9,FALSE),
IF((AND($U$4=FALSE,$U$5=TRUE,$U$6=FALSE,$U$7=FALSE)),VLOOKUP($E618,'Status Thresholds'!$E:$AR,24,FALSE),IF((AND($U$4=FALSE,$U$5=TRUE,$U$6=TRUE,$U$7=FALSE)),VLOOKUP($E618,'Status Thresholds'!$E:$AR,34,FALSE),IF((AND($U$4=FALSE,$U$5=TRUE,$U$6=TRUE,$U$7=TRUE)),VLOOKUP($E618,'Status Thresholds'!$E:$AR,39,FALSE),IF((AND($U$4=FALSE,$U$5=TRUE,$U$6=FALSE,$U$7=TRUE)),VLOOKUP($E618,'Status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619" s="36" t="str">
        <f>IFERROR(
ROUNDUP(
IF(AND($U$5=FALSE,$U$4=FALSE),"-",IF(AND($U$5=TRUE,$U$4=TRUE),"-",
IF((AND($U$4=TRUE,$U$5=FALSE,$U$6=FALSE,$U$7=FALSE)),VLOOKUP($E618,'Status Thresholds'!$E:$AR,5,FALSE),IF((AND($U$4=TRUE,$U$5=FALSE,$U$6=TRUE,$U$7=FALSE)),VLOOKUP($E618,'Status Thresholds'!$E:$AR,15,FALSE),IF((AND($U$4=TRUE,$U$5=FALSE,$U$6=TRUE,$U$7=TRUE)),VLOOKUP($E618,'Status Thresholds'!$E:$AR,20,FALSE),IF((AND($U$4=TRUE,$U$5=FALSE,$U$6=FALSE,$U$7=TRUE)),VLOOKUP($E618,'Status Thresholds'!$E:$AR,10,FALSE),
IF((AND($U$4=FALSE,$U$5=TRUE,$U$6=FALSE,$U$7=FALSE)),VLOOKUP($E618,'Status Thresholds'!$E:$AR,25,FALSE),IF((AND($U$4=FALSE,$U$5=TRUE,$U$6=TRUE,$U$7=FALSE)),VLOOKUP($E618,'Status Thresholds'!$E:$AR,35,FALSE),IF((AND($U$4=FALSE,$U$5=TRUE,$U$6=TRUE,$U$7=TRUE)),VLOOKUP($E618,'Status Thresholds'!$E:$AR,40,FALSE),IF((AND($U$4=FALSE,$U$5=TRUE,$U$6=FALSE,$U$7=TRUE)),VLOOKUP($E618,'Status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619" s="46">
        <f>IFERROR(IF(AND($U$5=FALSE,$U$4=FALSE),"-",VLOOKUP($E619,'Status Thresholds'!$E:$AU,41,FALSE)),"-")</f>
        <v>0</v>
      </c>
      <c r="K619" s="46" t="str">
        <f>IFERROR(IF(AND($U$5=FALSE,$U$4=FALSE),"-",VLOOKUP($E619,'Status Thresholds'!$E:$AU,42,FALSE)),"-")</f>
        <v>-</v>
      </c>
      <c r="L619" s="46" t="str">
        <f>IFERROR(IF(AND($U$5=FALSE,$U$4=FALSE),"-",VLOOKUP($E619,'Status Thresholds'!$E:$AU,43,FALSE)),"-")</f>
        <v>-</v>
      </c>
    </row>
    <row r="620" spans="1:12" ht="15" customHeight="1" x14ac:dyDescent="0.25">
      <c r="A620" s="35"/>
      <c r="B620" s="64" t="str">
        <f>VLOOKUP(C620,'Status Thresholds'!B:C,2,FALSE)</f>
        <v>MHGen</v>
      </c>
      <c r="C620" s="64" t="str">
        <f>IF('Status Thresholds'!B615=0, "", 'Status Thresholds'!B615)</f>
        <v>Rathian</v>
      </c>
      <c r="D620" s="77" t="s">
        <v>207</v>
      </c>
      <c r="E620" s="36" t="str">
        <f t="shared" si="9"/>
        <v>RathianShock Trap</v>
      </c>
      <c r="F620" s="76" t="s">
        <v>214</v>
      </c>
      <c r="G620" s="46" t="s">
        <v>214</v>
      </c>
      <c r="H620" s="46" t="s">
        <v>214</v>
      </c>
      <c r="I620" s="46" t="s">
        <v>214</v>
      </c>
      <c r="J620" s="46">
        <f>IFERROR(IF(AND($U$5=FALSE,$U$4=FALSE),"-",VLOOKUP($E620,'Status Thresholds'!$E:$AU,43,FALSE)),"-")</f>
        <v>8</v>
      </c>
      <c r="K620" s="46">
        <f>IFERROR(IF(AND($U$5=FALSE,$U$4=FALSE),"-",VLOOKUP($E620,'Status Thresholds'!$E:$AU,41,FALSE)),"-")</f>
        <v>8</v>
      </c>
      <c r="L620" s="46">
        <f>IFERROR(IF(AND($U$5=FALSE,$U$4=FALSE),"-",VLOOKUP($E620,'Status Thresholds'!$E:$AU,42,FALSE)),"-")</f>
        <v>15</v>
      </c>
    </row>
    <row r="621" spans="1:12" x14ac:dyDescent="0.25">
      <c r="A621" s="35"/>
      <c r="B621" s="64" t="str">
        <f>VLOOKUP(C621,'Status Thresholds'!B:C,2,FALSE)</f>
        <v>MHGen</v>
      </c>
      <c r="C621" s="64" t="str">
        <f>IF('Status Thresholds'!B616=0, "", 'Status Thresholds'!B616)</f>
        <v>Rathian</v>
      </c>
      <c r="D621" s="77" t="s">
        <v>213</v>
      </c>
      <c r="E621" s="36" t="str">
        <f t="shared" si="9"/>
        <v>RathianPitfall Trap</v>
      </c>
      <c r="F621" s="46" t="s">
        <v>214</v>
      </c>
      <c r="G621" s="46" t="s">
        <v>214</v>
      </c>
      <c r="H621" s="46" t="s">
        <v>214</v>
      </c>
      <c r="I621" s="46" t="s">
        <v>214</v>
      </c>
      <c r="J621" s="46">
        <f>IFERROR(IF(AND($U$5=FALSE,$U$4=FALSE),"-",VLOOKUP($E621,'Status Thresholds'!$E:$AU,43,FALSE)),"-")</f>
        <v>12</v>
      </c>
      <c r="K621" s="46">
        <f>IFERROR(IF(AND($U$5=FALSE,$U$4=FALSE),"-",VLOOKUP($E621,'Status Thresholds'!$E:$AU,41,FALSE)),"-")</f>
        <v>12</v>
      </c>
      <c r="L621" s="46">
        <f>IFERROR(IF(AND($U$5=FALSE,$U$4=FALSE),"-",VLOOKUP($E621,'Status Thresholds'!$E:$AU,42,FALSE)),"-")</f>
        <v>25</v>
      </c>
    </row>
    <row r="622" spans="1:12" s="36" customFormat="1" x14ac:dyDescent="0.25">
      <c r="A622" s="64"/>
      <c r="B622" s="64" t="str">
        <f>VLOOKUP(C622,'Status Thresholds'!B:C,2,FALSE)</f>
        <v>MHGen</v>
      </c>
      <c r="C622" s="64" t="str">
        <f>IF('Status Thresholds'!B617=0, "", 'Status Thresholds'!B617)</f>
        <v>Rathian (Gold)</v>
      </c>
      <c r="D622" s="37" t="s">
        <v>0</v>
      </c>
      <c r="E622" s="36" t="str">
        <f t="shared" si="9"/>
        <v>Rathian (Gold)Para</v>
      </c>
      <c r="F622" s="36" t="str">
        <f>IFERROR(
ROUNDUP(
IF(AND($U$5=FALSE,$U$4=FALSE),"-",IF(AND($U$5=TRUE,$U$4=TRUE),"-",
IF((AND($U$4=TRUE,$U$5=FALSE,$U$6=FALSE,$U$7=FALSE)),VLOOKUP($E622,'Status Thresholds'!$E:$AR,2,FALSE),IF((AND($U$4=TRUE,$U$5=FALSE,$U$6=TRUE,$U$7=FALSE)),VLOOKUP($E622,'Status Thresholds'!$E:$AR,12,FALSE),IF((AND($U$4=TRUE,$U$5=FALSE,$U$6=TRUE,$U$7=TRUE)),VLOOKUP($E622,'Status Thresholds'!$E:$AR,17,FALSE),IF((AND($U$4=TRUE,$U$5=FALSE,$U$6=FALSE,$U$7=TRUE)),VLOOKUP($E622,'Status Thresholds'!$E:$AR,7,FALSE),
IF((AND($U$4=FALSE,$U$5=TRUE,$U$6=FALSE,$U$7=FALSE)),VLOOKUP($E622,'Status Thresholds'!$E:$AR,22,FALSE),IF((AND($U$4=FALSE,$U$5=TRUE,$U$6=TRUE,$U$7=FALSE)),VLOOKUP($E622,'Status Thresholds'!$E:$AR,32,FALSE),IF((AND($U$4=FALSE,$U$5=TRUE,$U$6=TRUE,$U$7=TRUE)),VLOOKUP($E622,'Status Thresholds'!$E:$AR,37,FALSE),IF((AND($U$4=FALSE,$U$5=TRUE,$U$6=FALSE,$U$7=TRUE)),VLOOKUP($E622,'Status Thresholds'!$E:$AR,27,FALSE)))))))))
))/
IF(OR($X$5=TRUE,$AC$3=TRUE
),($F$3/2), IF(OR($X$2,$X$3,$X$4,$X$6,$X$7,$X$8,$Z$2,$Z$3,$Z$4,$Z$5,$Z$6,$Z$7,$Z$8)=TRUE,$F$3)),0),"-")</f>
        <v>-</v>
      </c>
      <c r="G622" s="36" t="str">
        <f>IFERROR(
ROUNDUP(
IF(AND($U$5=FALSE,$U$4=FALSE),"-",IF(AND($U$5=TRUE,$U$4=TRUE),"-",
IF((AND($U$4=TRUE,$U$5=FALSE,$U$6=FALSE,$U$7=FALSE)),VLOOKUP($E622,'Status Thresholds'!$E:$AR,3,FALSE),IF((AND($U$4=TRUE,$U$5=FALSE,$U$6=TRUE,$U$7=FALSE)),VLOOKUP($E622,'Status Thresholds'!$E:$AR,13,FALSE),IF((AND($U$4=TRUE,$U$5=FALSE,$U$6=TRUE,$U$7=TRUE)),VLOOKUP($E622,'Status Thresholds'!$E:$AR,18,FALSE),IF((AND($U$4=TRUE,$U$5=FALSE,$U$6=FALSE,$U$7=TRUE)),VLOOKUP($E622,'Status Thresholds'!$E:$AR,8,FALSE),
IF((AND($U$4=FALSE,$U$5=TRUE,$U$6=FALSE,$U$7=FALSE)),VLOOKUP($E622,'Status Thresholds'!$E:$AR,23,FALSE),IF((AND($U$4=FALSE,$U$5=TRUE,$U$6=TRUE,$U$7=FALSE)),VLOOKUP($E622,'Status Thresholds'!$E:$AR,33,FALSE),IF((AND($U$4=FALSE,$U$5=TRUE,$U$6=TRUE,$U$7=TRUE)),VLOOKUP($E622,'Status Thresholds'!$E:$AR,38,FALSE),IF((AND($U$4=FALSE,$U$5=TRUE,$U$6=FALSE,$U$7=TRUE)),VLOOKUP($E622,'Status Thresholds'!$E:$AR,28,FALSE)))))))))
))/
IF(OR($X$5=TRUE,$AC$3=TRUE
),($F$3/2), IF(OR($X$2,$X$3,$X$4,$X$6,$X$7,$X$8,$Z$2,$Z$3,$Z$4,$Z$5,$Z$6,$Z$7,$Z$8)=TRUE,$F$3)),0),"-")</f>
        <v>-</v>
      </c>
      <c r="H622" s="36" t="str">
        <f>IFERROR(
ROUNDUP(
IF(AND($U$5=FALSE,$U$4=FALSE),"-",IF(AND($U$5=TRUE,$U$4=TRUE),"-",
IF((AND($U$4=TRUE,$U$5=FALSE,$U$6=FALSE,$U$7=FALSE)),VLOOKUP($E622,'Status Thresholds'!$E:$AR,4,FALSE),IF((AND($U$4=TRUE,$U$5=FALSE,$U$6=TRUE,$U$7=FALSE)),VLOOKUP($E622,'Status Thresholds'!$E:$AR,14,FALSE),IF((AND($U$4=TRUE,$U$5=FALSE,$U$6=TRUE,$U$7=TRUE)),VLOOKUP($E622,'Status Thresholds'!$E:$AR,19,FALSE),IF((AND($U$4=TRUE,$U$5=FALSE,$U$6=FALSE,$U$7=TRUE)),VLOOKUP($E622,'Status Thresholds'!$E:$AR,9,FALSE),
IF((AND($U$4=FALSE,$U$5=TRUE,$U$6=FALSE,$U$7=FALSE)),VLOOKUP($E622,'Status Thresholds'!$E:$AR,24,FALSE),IF((AND($U$4=FALSE,$U$5=TRUE,$U$6=TRUE,$U$7=FALSE)),VLOOKUP($E622,'Status Thresholds'!$E:$AR,34,FALSE),IF((AND($U$4=FALSE,$U$5=TRUE,$U$6=TRUE,$U$7=TRUE)),VLOOKUP($E622,'Status Thresholds'!$E:$AR,39,FALSE),IF((AND($U$4=FALSE,$U$5=TRUE,$U$6=FALSE,$U$7=TRUE)),VLOOKUP($E622,'Status Thresholds'!$E:$AR,29,FALSE)))))))))
))/
IF(OR($X$5=TRUE,$AC$3=TRUE
),($F$3/2), IF(OR($X$2,$X$3,$X$4,$X$6,$X$7,$X$8,$Z$2,$Z$3,$Z$4,$Z$5,$Z$6,$Z$7,$Z$8)=TRUE,$F$3)),0),"-")</f>
        <v>-</v>
      </c>
      <c r="I622" s="36" t="str">
        <f>IFERROR(
ROUNDUP(
IF(AND($U$5=FALSE,$U$4=FALSE),"-",IF(AND($U$5=TRUE,$U$4=TRUE),"-",
IF((AND($U$4=TRUE,$U$5=FALSE,$U$6=FALSE,$U$7=FALSE)),VLOOKUP($E622,'Status Thresholds'!$E:$AR,5,FALSE),IF((AND($U$4=TRUE,$U$5=FALSE,$U$6=TRUE,$U$7=FALSE)),VLOOKUP($E622,'Status Thresholds'!$E:$AR,15,FALSE),IF((AND($U$4=TRUE,$U$5=FALSE,$U$6=TRUE,$U$7=TRUE)),VLOOKUP($E622,'Status Thresholds'!$E:$AR,20,FALSE),IF((AND($U$4=TRUE,$U$5=FALSE,$U$6=FALSE,$U$7=TRUE)),VLOOKUP($E622,'Status Thresholds'!$E:$AR,10,FALSE),
IF((AND($U$4=FALSE,$U$5=TRUE,$U$6=FALSE,$U$7=FALSE)),VLOOKUP($E622,'Status Thresholds'!$E:$AR,25,FALSE),IF((AND($U$4=FALSE,$U$5=TRUE,$U$6=TRUE,$U$7=FALSE)),VLOOKUP($E622,'Status Thresholds'!$E:$AR,35,FALSE),IF((AND($U$4=FALSE,$U$5=TRUE,$U$6=TRUE,$U$7=TRUE)),VLOOKUP($E622,'Status Thresholds'!$E:$AR,40,FALSE),IF((AND($U$4=FALSE,$U$5=TRUE,$U$6=FALSE,$U$7=TRUE)),VLOOKUP($E622,'Status Thresholds'!$E:$AR,30,FALSE)))))))))
))/
IF(OR($X$5=TRUE,$AC$3=TRUE
),($F$3/2), IF(OR($X$2,$X$3,$X$4,$X$6,$X$7,$X$8,$Z$2,$Z$3,$Z$4,$Z$5,$Z$6,$Z$7,$Z$8)=TRUE,$F$3)),0),"-")</f>
        <v>-</v>
      </c>
      <c r="J622" s="36">
        <f>IFERROR(IF(AND($U$5=FALSE,$U$4=FALSE),"-",VLOOKUP($E622,'Status Thresholds'!$E:$AU,41,FALSE)),"-")</f>
        <v>10</v>
      </c>
      <c r="K622" s="36" t="str">
        <f>IFERROR(IF(AND($U$5=FALSE,$U$4=FALSE),"-",VLOOKUP($E622,'Status Thresholds'!$E:$AU,42,FALSE)),"-")</f>
        <v>-</v>
      </c>
      <c r="L622" s="36" t="str">
        <f>IFERROR(IF(AND($U$5=FALSE,$U$4=FALSE),"-",VLOOKUP($E622,'Status Thresholds'!$E:$AU,43,FALSE)),"-")</f>
        <v>-</v>
      </c>
    </row>
    <row r="623" spans="1:12" x14ac:dyDescent="0.25">
      <c r="A623" s="35"/>
      <c r="B623" s="64" t="str">
        <f>VLOOKUP(C623,'Status Thresholds'!B:C,2,FALSE)</f>
        <v>MHGen</v>
      </c>
      <c r="C623" s="64" t="str">
        <f>IF('Status Thresholds'!B618=0, "", 'Status Thresholds'!B618)</f>
        <v>Rathian (Gold)</v>
      </c>
      <c r="D623" s="31" t="s">
        <v>32</v>
      </c>
      <c r="E623" s="36" t="str">
        <f t="shared" si="9"/>
        <v>Rathian (Gold)Sleep</v>
      </c>
      <c r="F623" s="36" t="str">
        <f>IFERROR(
ROUNDUP(
IF(AND($U$5=FALSE,$U$4=FALSE),"-",IF(AND($U$5=TRUE,$U$4=TRUE),"-",
IF((AND($U$4=TRUE,$U$5=FALSE,$U$6=FALSE,$U$7=FALSE)),VLOOKUP($E623,'Status Thresholds'!$E:$AR,2,FALSE),IF((AND($U$4=TRUE,$U$5=FALSE,$U$6=TRUE,$U$7=FALSE)),VLOOKUP($E623,'Status Thresholds'!$E:$AR,12,FALSE),IF((AND($U$4=TRUE,$U$5=FALSE,$U$6=TRUE,$U$7=TRUE)),VLOOKUP($E623,'Status Thresholds'!$E:$AR,17,FALSE),IF((AND($U$4=TRUE,$U$5=FALSE,$U$6=FALSE,$U$7=TRUE)),VLOOKUP($E623,'Status Thresholds'!$E:$AR,7,FALSE),
IF((AND($U$4=FALSE,$U$5=TRUE,$U$6=FALSE,$U$7=FALSE)),VLOOKUP($E623,'Status Thresholds'!$E:$AR,22,FALSE),IF((AND($U$4=FALSE,$U$5=TRUE,$U$6=TRUE,$U$7=FALSE)),VLOOKUP($E623,'Status Thresholds'!$E:$AR,32,FALSE),IF((AND($U$4=FALSE,$U$5=TRUE,$U$6=TRUE,$U$7=TRUE)),VLOOKUP($E623,'Status Thresholds'!$E:$AR,37,FALSE),IF((AND($U$4=FALSE,$U$5=TRUE,$U$6=FALSE,$U$7=TRUE)),VLOOKUP($E623,'Status Thresholds'!$E:$AR,27,FALSE)))))))))
))/
IF(OR($X$5=TRUE,$AC$3=TRUE
),($F$4/2), IF(OR($X$2,$X$3,$X$4,$X$6,$X$7,$X$8,$Z$2,$Z$3,$Z$4,$Z$5,$Z$6,$Z$7,$Z$8)=TRUE,$F$4)),0),"-")</f>
        <v>-</v>
      </c>
      <c r="G623" s="36" t="str">
        <f>IFERROR(
ROUNDUP(
IF(AND($U$5=FALSE,$U$4=FALSE),"-",IF(AND($U$5=TRUE,$U$4=TRUE),"-",
IF((AND($U$4=TRUE,$U$5=FALSE,$U$6=FALSE,$U$7=FALSE)),VLOOKUP($E623,'Status Thresholds'!$E:$AR,3,FALSE),IF((AND($U$4=TRUE,$U$5=FALSE,$U$6=TRUE,$U$7=FALSE)),VLOOKUP($E623,'Status Thresholds'!$E:$AR,13,FALSE),IF((AND($U$4=TRUE,$U$5=FALSE,$U$6=TRUE,$U$7=TRUE)),VLOOKUP($E623,'Status Thresholds'!$E:$AR,18,FALSE),IF((AND($U$4=TRUE,$U$5=FALSE,$U$6=FALSE,$U$7=TRUE)),VLOOKUP($E623,'Status Thresholds'!$E:$AR,8,FALSE),
IF((AND($U$4=FALSE,$U$5=TRUE,$U$6=FALSE,$U$7=FALSE)),VLOOKUP($E623,'Status Thresholds'!$E:$AR,23,FALSE),IF((AND($U$4=FALSE,$U$5=TRUE,$U$6=TRUE,$U$7=FALSE)),VLOOKUP($E623,'Status Thresholds'!$E:$AR,33,FALSE),IF((AND($U$4=FALSE,$U$5=TRUE,$U$6=TRUE,$U$7=TRUE)),VLOOKUP($E623,'Status Thresholds'!$E:$AR,38,FALSE),IF((AND($U$4=FALSE,$U$5=TRUE,$U$6=FALSE,$U$7=TRUE)),VLOOKUP($E623,'Status Thresholds'!$E:$AR,28,FALSE)))))))))
))/
IF(OR($X$5=TRUE,$AC$3=TRUE
),($F$4/2), IF(OR($X$2,$X$3,$X$4,$X$6,$X$7,$X$8,$Z$2,$Z$3,$Z$4,$Z$5,$Z$6,$Z$7,$Z$8)=TRUE,$F$4)),0),"-")</f>
        <v>-</v>
      </c>
      <c r="H623" s="36" t="str">
        <f>IFERROR(
ROUNDUP(
IF(AND($U$5=FALSE,$U$4=FALSE),"-",IF(AND($U$5=TRUE,$U$4=TRUE),"-",
IF((AND($U$4=TRUE,$U$5=FALSE,$U$6=FALSE,$U$7=FALSE)),VLOOKUP($E623,'Status Thresholds'!$E:$AR,4,FALSE),IF((AND($U$4=TRUE,$U$5=FALSE,$U$6=TRUE,$U$7=FALSE)),VLOOKUP($E623,'Status Thresholds'!$E:$AR,14,FALSE),IF((AND($U$4=TRUE,$U$5=FALSE,$U$6=TRUE,$U$7=TRUE)),VLOOKUP($E623,'Status Thresholds'!$E:$AR,19,FALSE),IF((AND($U$4=TRUE,$U$5=FALSE,$U$6=FALSE,$U$7=TRUE)),VLOOKUP($E623,'Status Thresholds'!$E:$AR,9,FALSE),
IF((AND($U$4=FALSE,$U$5=TRUE,$U$6=FALSE,$U$7=FALSE)),VLOOKUP($E623,'Status Thresholds'!$E:$AR,24,FALSE),IF((AND($U$4=FALSE,$U$5=TRUE,$U$6=TRUE,$U$7=FALSE)),VLOOKUP($E623,'Status Thresholds'!$E:$AR,34,FALSE),IF((AND($U$4=FALSE,$U$5=TRUE,$U$6=TRUE,$U$7=TRUE)),VLOOKUP($E623,'Status Thresholds'!$E:$AR,39,FALSE),IF((AND($U$4=FALSE,$U$5=TRUE,$U$6=FALSE,$U$7=TRUE)),VLOOKUP($E623,'Status Thresholds'!$E:$AR,29,FALSE)))))))))
))/
IF(OR($X$5=TRUE,$AC$3=TRUE
),($F$4/2), IF(OR($X$2,$X$3,$X$4,$X$6,$X$7,$X$8,$Z$2,$Z$3,$Z$4,$Z$5,$Z$6,$Z$7,$Z$8)=TRUE,$F$4)),0),"-")</f>
        <v>-</v>
      </c>
      <c r="I623" s="36" t="str">
        <f>IFERROR(
ROUNDUP(
IF(AND($U$5=FALSE,$U$4=FALSE),"-",IF(AND($U$5=TRUE,$U$4=TRUE),"-",
IF((AND($U$4=TRUE,$U$5=FALSE,$U$6=FALSE,$U$7=FALSE)),VLOOKUP($E623,'Status Thresholds'!$E:$AR,5,FALSE),IF((AND($U$4=TRUE,$U$5=FALSE,$U$6=TRUE,$U$7=FALSE)),VLOOKUP($E623,'Status Thresholds'!$E:$AR,15,FALSE),IF((AND($U$4=TRUE,$U$5=FALSE,$U$6=TRUE,$U$7=TRUE)),VLOOKUP($E623,'Status Thresholds'!$E:$AR,20,FALSE),IF((AND($U$4=TRUE,$U$5=FALSE,$U$6=FALSE,$U$7=TRUE)),VLOOKUP($E623,'Status Thresholds'!$E:$AR,10,FALSE),
IF((AND($U$4=FALSE,$U$5=TRUE,$U$6=FALSE,$U$7=FALSE)),VLOOKUP($E623,'Status Thresholds'!$E:$AR,25,FALSE),IF((AND($U$4=FALSE,$U$5=TRUE,$U$6=TRUE,$U$7=FALSE)),VLOOKUP($E623,'Status Thresholds'!$E:$AR,35,FALSE),IF((AND($U$4=FALSE,$U$5=TRUE,$U$6=TRUE,$U$7=TRUE)),VLOOKUP($E623,'Status Thresholds'!$E:$AR,40,FALSE),IF((AND($U$4=FALSE,$U$5=TRUE,$U$6=FALSE,$U$7=TRUE)),VLOOKUP($E623,'Status Thresholds'!$E:$AR,30,FALSE)))))))))
))/
IF(OR($X$5=TRUE,$AC$3=TRUE
),($F$4/2), IF(OR($X$2,$X$3,$X$4,$X$6,$X$7,$X$8,$Z$2,$Z$3,$Z$4,$Z$5,$Z$6,$Z$7,$Z$8)=TRUE,$F$4)),0),"-")</f>
        <v>-</v>
      </c>
      <c r="J623" s="46">
        <f>IFERROR(IF(AND($U$5=FALSE,$U$4=FALSE),"-",VLOOKUP($E623,'Status Thresholds'!$E:$AU,41,FALSE)),"-")</f>
        <v>40</v>
      </c>
      <c r="K623" s="46" t="str">
        <f>IFERROR(IF(AND($U$5=FALSE,$U$4=FALSE),"-",VLOOKUP($E623,'Status Thresholds'!$E:$AU,42,FALSE)),"-")</f>
        <v>-</v>
      </c>
      <c r="L623" s="46" t="str">
        <f>IFERROR(IF(AND($U$5=FALSE,$U$4=FALSE),"-",VLOOKUP($E623,'Status Thresholds'!$E:$AU,43,FALSE)),"-")</f>
        <v>-</v>
      </c>
    </row>
    <row r="624" spans="1:12" x14ac:dyDescent="0.25">
      <c r="A624" s="35"/>
      <c r="B624" s="64" t="str">
        <f>VLOOKUP(C624,'Status Thresholds'!B:C,2,FALSE)</f>
        <v>MHGen</v>
      </c>
      <c r="C624" s="64" t="str">
        <f>IF('Status Thresholds'!B619=0, "", 'Status Thresholds'!B619)</f>
        <v>Rathian (Gold)</v>
      </c>
      <c r="D624" s="32" t="s">
        <v>33</v>
      </c>
      <c r="E624" s="36" t="str">
        <f t="shared" si="9"/>
        <v>Rathian (Gold)Poison</v>
      </c>
      <c r="F624" s="36" t="str">
        <f>IFERROR(
ROUNDUP(
IF(AND($U$5=FALSE,$U$4=FALSE),"-",IF(AND($U$5=TRUE,$U$4=TRUE),"-",
IF((AND($U$4=TRUE,$U$5=FALSE,$U$6=FALSE,$U$7=FALSE)),VLOOKUP($E624,'Status Thresholds'!$E:$AR,2,FALSE),IF((AND($U$4=TRUE,$U$5=FALSE,$U$6=TRUE,$U$7=FALSE)),VLOOKUP($E624,'Status Thresholds'!$E:$AR,12,FALSE),IF((AND($U$4=TRUE,$U$5=FALSE,$U$6=TRUE,$U$7=TRUE)),VLOOKUP($E624,'Status Thresholds'!$E:$AR,17,FALSE),IF((AND($U$4=TRUE,$U$5=FALSE,$U$6=FALSE,$U$7=TRUE)),VLOOKUP($E624,'Status Thresholds'!$E:$AR,7,FALSE),
IF((AND($U$4=FALSE,$U$5=TRUE,$U$6=FALSE,$U$7=FALSE)),VLOOKUP($E624,'Status Thresholds'!$E:$AR,22,FALSE),IF((AND($U$4=FALSE,$U$5=TRUE,$U$6=TRUE,$U$7=FALSE)),VLOOKUP($E624,'Status Thresholds'!$E:$AR,32,FALSE),IF((AND($U$4=FALSE,$U$5=TRUE,$U$6=TRUE,$U$7=TRUE)),VLOOKUP($E624,'Status Thresholds'!$E:$AR,37,FALSE),IF((AND($U$4=FALSE,$U$5=TRUE,$U$6=FALSE,$U$7=TRUE)),VLOOKUP($E624,'Status Thresholds'!$E:$AR,27,FALSE)))))))))
))/
IF(OR($X$5=TRUE,$AC$3=TRUE
),($F$5/2), IF(OR($X$2,$X$3,$X$4,$X$6,$X$7,$X$8,$Z$2,$Z$3,$Z$4,$Z$5,$Z$6,$Z$7,$Z$8)=TRUE,$F$5)),0),"-")</f>
        <v>-</v>
      </c>
      <c r="G624" s="36" t="str">
        <f>IFERROR(
ROUNDUP(
IF(AND($U$5=FALSE,$U$4=FALSE),"-",IF(AND($U$5=TRUE,$U$4=TRUE),"-",
IF((AND($U$4=TRUE,$U$5=FALSE,$U$6=FALSE,$U$7=FALSE)),VLOOKUP($E624,'Status Thresholds'!$E:$AR,3,FALSE),IF((AND($U$4=TRUE,$U$5=FALSE,$U$6=TRUE,$U$7=FALSE)),VLOOKUP($E624,'Status Thresholds'!$E:$AR,13,FALSE),IF((AND($U$4=TRUE,$U$5=FALSE,$U$6=TRUE,$U$7=TRUE)),VLOOKUP($E624,'Status Thresholds'!$E:$AR,18,FALSE),IF((AND($U$4=TRUE,$U$5=FALSE,$U$6=FALSE,$U$7=TRUE)),VLOOKUP($E624,'Status Thresholds'!$E:$AR,8,FALSE),
IF((AND($U$4=FALSE,$U$5=TRUE,$U$6=FALSE,$U$7=FALSE)),VLOOKUP($E624,'Status Thresholds'!$E:$AR,23,FALSE),IF((AND($U$4=FALSE,$U$5=TRUE,$U$6=TRUE,$U$7=FALSE)),VLOOKUP($E624,'Status Thresholds'!$E:$AR,33,FALSE),IF((AND($U$4=FALSE,$U$5=TRUE,$U$6=TRUE,$U$7=TRUE)),VLOOKUP($E624,'Status Thresholds'!$E:$AR,38,FALSE),IF((AND($U$4=FALSE,$U$5=TRUE,$U$6=FALSE,$U$7=TRUE)),VLOOKUP($E624,'Status Thresholds'!$E:$AR,28,FALSE)))))))))
))/
IF(OR($X$5=TRUE,$AC$3=TRUE
),($F$5/2), IF(OR($X$2,$X$3,$X$4,$X$6,$X$7,$X$8,$Z$2,$Z$3,$Z$4,$Z$5,$Z$6,$Z$7,$Z$8)=TRUE,$F$5)),0),"-")</f>
        <v>-</v>
      </c>
      <c r="H624" s="36" t="str">
        <f>IFERROR(
ROUNDUP(
IF(AND($U$5=FALSE,$U$4=FALSE),"-",IF(AND($U$5=TRUE,$U$4=TRUE),"-",
IF((AND($U$4=TRUE,$U$5=FALSE,$U$6=FALSE,$U$7=FALSE)),VLOOKUP($E624,'Status Thresholds'!$E:$AR,4,FALSE),IF((AND($U$4=TRUE,$U$5=FALSE,$U$6=TRUE,$U$7=FALSE)),VLOOKUP($E624,'Status Thresholds'!$E:$AR,14,FALSE),IF((AND($U$4=TRUE,$U$5=FALSE,$U$6=TRUE,$U$7=TRUE)),VLOOKUP($E624,'Status Thresholds'!$E:$AR,19,FALSE),IF((AND($U$4=TRUE,$U$5=FALSE,$U$6=FALSE,$U$7=TRUE)),VLOOKUP($E624,'Status Thresholds'!$E:$AR,9,FALSE),
IF((AND($U$4=FALSE,$U$5=TRUE,$U$6=FALSE,$U$7=FALSE)),VLOOKUP($E624,'Status Thresholds'!$E:$AR,24,FALSE),IF((AND($U$4=FALSE,$U$5=TRUE,$U$6=TRUE,$U$7=FALSE)),VLOOKUP($E624,'Status Thresholds'!$E:$AR,34,FALSE),IF((AND($U$4=FALSE,$U$5=TRUE,$U$6=TRUE,$U$7=TRUE)),VLOOKUP($E624,'Status Thresholds'!$E:$AR,39,FALSE),IF((AND($U$4=FALSE,$U$5=TRUE,$U$6=FALSE,$U$7=TRUE)),VLOOKUP($E624,'Status Thresholds'!$E:$AR,29,FALSE)))))))))
))/
IF(OR($X$5=TRUE,$AC$3=TRUE
),($F$5/2), IF(OR($X$2,$X$3,$X$4,$X$6,$X$7,$X$8,$Z$2,$Z$3,$Z$4,$Z$5,$Z$6,$Z$7,$Z$8)=TRUE,$F$5)),0),"-")</f>
        <v>-</v>
      </c>
      <c r="I624" s="36" t="str">
        <f>IFERROR(
ROUNDUP(
IF(AND($U$5=FALSE,$U$4=FALSE),"-",IF(AND($U$5=TRUE,$U$4=TRUE),"-",
IF((AND($U$4=TRUE,$U$5=FALSE,$U$6=FALSE,$U$7=FALSE)),VLOOKUP($E624,'Status Thresholds'!$E:$AR,5,FALSE),IF((AND($U$4=TRUE,$U$5=FALSE,$U$6=TRUE,$U$7=FALSE)),VLOOKUP($E624,'Status Thresholds'!$E:$AR,15,FALSE),IF((AND($U$4=TRUE,$U$5=FALSE,$U$6=TRUE,$U$7=TRUE)),VLOOKUP($E624,'Status Thresholds'!$E:$AR,20,FALSE),IF((AND($U$4=TRUE,$U$5=FALSE,$U$6=FALSE,$U$7=TRUE)),VLOOKUP($E624,'Status Thresholds'!$E:$AR,10,FALSE),
IF((AND($U$4=FALSE,$U$5=TRUE,$U$6=FALSE,$U$7=FALSE)),VLOOKUP($E624,'Status Thresholds'!$E:$AR,25,FALSE),IF((AND($U$4=FALSE,$U$5=TRUE,$U$6=TRUE,$U$7=FALSE)),VLOOKUP($E624,'Status Thresholds'!$E:$AR,35,FALSE),IF((AND($U$4=FALSE,$U$5=TRUE,$U$6=TRUE,$U$7=TRUE)),VLOOKUP($E624,'Status Thresholds'!$E:$AR,40,FALSE),IF((AND($U$4=FALSE,$U$5=TRUE,$U$6=FALSE,$U$7=TRUE)),VLOOKUP($E624,'Status Thresholds'!$E:$AR,30,FALSE)))))))))
))/
IF(OR($X$5=TRUE,$AC$3=TRUE
),($F$5/2), IF(OR($X$2,$X$3,$X$4,$X$6,$X$7,$X$8,$Z$2,$Z$3,$Z$4,$Z$5,$Z$6,$Z$7,$Z$8)=TRUE,$F$5)),0),"-")</f>
        <v>-</v>
      </c>
      <c r="J624" s="46">
        <f>IFERROR(IF(AND($U$5=FALSE,$U$4=FALSE),"-",VLOOKUP($E624,'Status Thresholds'!$E:$AU,41,FALSE)),"-")</f>
        <v>60</v>
      </c>
      <c r="K624" s="46" t="str">
        <f>IFERROR(IF(AND($U$5=FALSE,$U$4=FALSE),"-",VLOOKUP($E624,'Status Thresholds'!$E:$AU,42,FALSE)),"-")</f>
        <v>-</v>
      </c>
      <c r="L624" s="46" t="str">
        <f>IFERROR(IF(AND($U$5=FALSE,$U$4=FALSE),"-",VLOOKUP($E624,'Status Thresholds'!$E:$AU,43,FALSE)),"-")</f>
        <v>-</v>
      </c>
    </row>
    <row r="625" spans="1:12" x14ac:dyDescent="0.25">
      <c r="A625" s="35"/>
      <c r="B625" s="64" t="str">
        <f>VLOOKUP(C625,'Status Thresholds'!B:C,2,FALSE)</f>
        <v>MHGen</v>
      </c>
      <c r="C625" s="64" t="str">
        <f>IF('Status Thresholds'!B620=0, "", 'Status Thresholds'!B620)</f>
        <v>Rathian (Gold)</v>
      </c>
      <c r="D625" s="10" t="s">
        <v>22</v>
      </c>
      <c r="E625" s="36" t="str">
        <f t="shared" si="9"/>
        <v>Rathian (Gold)Exhaust</v>
      </c>
      <c r="F625" s="36" t="str">
        <f>IFERROR(
ROUNDUP(
IF(AND($U$5=FALSE,$U$4=FALSE),"-",IF(AND($U$5=TRUE,$U$4=TRUE),"-",
IF((AND($U$4=TRUE,$U$5=FALSE,$U$6=FALSE,$U$7=FALSE)),VLOOKUP($E625,'Status Thresholds'!$E:$AR,2,FALSE),IF((AND($U$4=TRUE,$U$5=FALSE,$U$6=TRUE,$U$7=FALSE)),VLOOKUP($E625,'Status Thresholds'!$E:$AR,12,FALSE),IF((AND($U$4=TRUE,$U$5=FALSE,$U$6=TRUE,$U$7=TRUE)),VLOOKUP($E625,'Status Thresholds'!$E:$AR,17,FALSE),IF((AND($U$4=TRUE,$U$5=FALSE,$U$6=FALSE,$U$7=TRUE)),VLOOKUP($E625,'Status Thresholds'!$E:$AR,7,FALSE),
IF((AND($U$4=FALSE,$U$5=TRUE,$U$6=FALSE,$U$7=FALSE)),VLOOKUP($E625,'Status Thresholds'!$E:$AR,22,FALSE),IF((AND($U$4=FALSE,$U$5=TRUE,$U$6=TRUE,$U$7=FALSE)),VLOOKUP($E625,'Status Thresholds'!$E:$AR,32,FALSE),IF((AND($U$4=FALSE,$U$5=TRUE,$U$6=TRUE,$U$7=TRUE)),VLOOKUP($E625,'Status Thresholds'!$E:$AR,37,FALSE),IF((AND($U$4=FALSE,$U$5=TRUE,$U$6=FALSE,$U$7=TRUE)),VLOOKUP($E625,'Status Thresholds'!$E:$AR,27,FALSE)))))))))
))/
IF(OR($X$5=TRUE,$AC$3=TRUE
),($F$6/2), IF(OR($X$2,$X$3,$X$4,$X$6,$X$7,$X$8,$Z$2,$Z$3,$Z$4,$Z$5,$Z$6,$Z$7,$Z$8)=TRUE,$F$6)),0),"-")</f>
        <v>-</v>
      </c>
      <c r="G625" s="36" t="str">
        <f>IFERROR(
ROUNDUP(
IF(AND($U$5=FALSE,$U$4=FALSE),"-",IF(AND($U$5=TRUE,$U$4=TRUE),"-",
IF((AND($U$4=TRUE,$U$5=FALSE,$U$6=FALSE,$U$7=FALSE)),VLOOKUP($E625,'Status Thresholds'!$E:$AR,3,FALSE),IF((AND($U$4=TRUE,$U$5=FALSE,$U$6=TRUE,$U$7=FALSE)),VLOOKUP($E625,'Status Thresholds'!$E:$AR,13,FALSE),IF((AND($U$4=TRUE,$U$5=FALSE,$U$6=TRUE,$U$7=TRUE)),VLOOKUP($E625,'Status Thresholds'!$E:$AR,18,FALSE),IF((AND($U$4=TRUE,$U$5=FALSE,$U$6=FALSE,$U$7=TRUE)),VLOOKUP($E625,'Status Thresholds'!$E:$AR,8,FALSE),
IF((AND($U$4=FALSE,$U$5=TRUE,$U$6=FALSE,$U$7=FALSE)),VLOOKUP($E625,'Status Thresholds'!$E:$AR,23,FALSE),IF((AND($U$4=FALSE,$U$5=TRUE,$U$6=TRUE,$U$7=FALSE)),VLOOKUP($E625,'Status Thresholds'!$E:$AR,33,FALSE),IF((AND($U$4=FALSE,$U$5=TRUE,$U$6=TRUE,$U$7=TRUE)),VLOOKUP($E625,'Status Thresholds'!$E:$AR,38,FALSE),IF((AND($U$4=FALSE,$U$5=TRUE,$U$6=FALSE,$U$7=TRUE)),VLOOKUP($E625,'Status Thresholds'!$E:$AR,28,FALSE)))))))))
))/
IF(OR($X$5=TRUE,$AC$3=TRUE
),($F$6/2), IF(OR($X$2,$X$3,$X$4,$X$6,$X$7,$X$8,$Z$2,$Z$3,$Z$4,$Z$5,$Z$6,$Z$7,$Z$8)=TRUE,$F$6)),0),"-")</f>
        <v>-</v>
      </c>
      <c r="H625" s="36" t="str">
        <f>IFERROR(
ROUNDUP(
IF(AND($U$5=FALSE,$U$4=FALSE),"-",IF(AND($U$5=TRUE,$U$4=TRUE),"-",
IF((AND($U$4=TRUE,$U$5=FALSE,$U$6=FALSE,$U$7=FALSE)),VLOOKUP($E625,'Status Thresholds'!$E:$AR,4,FALSE),IF((AND($U$4=TRUE,$U$5=FALSE,$U$6=TRUE,$U$7=FALSE)),VLOOKUP($E625,'Status Thresholds'!$E:$AR,14,FALSE),IF((AND($U$4=TRUE,$U$5=FALSE,$U$6=TRUE,$U$7=TRUE)),VLOOKUP($E625,'Status Thresholds'!$E:$AR,19,FALSE),IF((AND($U$4=TRUE,$U$5=FALSE,$U$6=FALSE,$U$7=TRUE)),VLOOKUP($E625,'Status Thresholds'!$E:$AR,9,FALSE),
IF((AND($U$4=FALSE,$U$5=TRUE,$U$6=FALSE,$U$7=FALSE)),VLOOKUP($E625,'Status Thresholds'!$E:$AR,24,FALSE),IF((AND($U$4=FALSE,$U$5=TRUE,$U$6=TRUE,$U$7=FALSE)),VLOOKUP($E625,'Status Thresholds'!$E:$AR,34,FALSE),IF((AND($U$4=FALSE,$U$5=TRUE,$U$6=TRUE,$U$7=TRUE)),VLOOKUP($E625,'Status Thresholds'!$E:$AR,39,FALSE),IF((AND($U$4=FALSE,$U$5=TRUE,$U$6=FALSE,$U$7=TRUE)),VLOOKUP($E625,'Status Thresholds'!$E:$AR,29,FALSE)))))))))
))/
IF(OR($X$5=TRUE,$AC$3=TRUE
),($F$6/2), IF(OR($X$2,$X$3,$X$4,$X$6,$X$7,$X$8,$Z$2,$Z$3,$Z$4,$Z$5,$Z$6,$Z$7,$Z$8)=TRUE,$F$6)),0),"-")</f>
        <v>-</v>
      </c>
      <c r="I625" s="36" t="str">
        <f>IFERROR(
ROUNDUP(
IF(AND($U$5=FALSE,$U$4=FALSE),"-",IF(AND($U$5=TRUE,$U$4=TRUE),"-",
IF((AND($U$4=TRUE,$U$5=FALSE,$U$6=FALSE,$U$7=FALSE)),VLOOKUP($E625,'Status Thresholds'!$E:$AR,5,FALSE),IF((AND($U$4=TRUE,$U$5=FALSE,$U$6=TRUE,$U$7=FALSE)),VLOOKUP($E625,'Status Thresholds'!$E:$AR,15,FALSE),IF((AND($U$4=TRUE,$U$5=FALSE,$U$6=TRUE,$U$7=TRUE)),VLOOKUP($E625,'Status Thresholds'!$E:$AR,20,FALSE),IF((AND($U$4=TRUE,$U$5=FALSE,$U$6=FALSE,$U$7=TRUE)),VLOOKUP($E625,'Status Thresholds'!$E:$AR,10,FALSE),
IF((AND($U$4=FALSE,$U$5=TRUE,$U$6=FALSE,$U$7=FALSE)),VLOOKUP($E625,'Status Thresholds'!$E:$AR,25,FALSE),IF((AND($U$4=FALSE,$U$5=TRUE,$U$6=TRUE,$U$7=FALSE)),VLOOKUP($E625,'Status Thresholds'!$E:$AR,35,FALSE),IF((AND($U$4=FALSE,$U$5=TRUE,$U$6=TRUE,$U$7=TRUE)),VLOOKUP($E625,'Status Thresholds'!$E:$AR,40,FALSE),IF((AND($U$4=FALSE,$U$5=TRUE,$U$6=FALSE,$U$7=TRUE)),VLOOKUP($E625,'Status Thresholds'!$E:$AR,30,FALSE)))))))))
))/
IF(OR($X$5=TRUE,$AC$3=TRUE
),($F$6/2), IF(OR($X$2,$X$3,$X$4,$X$6,$X$7,$X$8,$Z$2,$Z$3,$Z$4,$Z$5,$Z$6,$Z$7,$Z$8)=TRUE,$F$6)),0),"-")</f>
        <v>-</v>
      </c>
      <c r="J625" s="46">
        <f>IFERROR(IF(AND($U$5=FALSE,$U$4=FALSE),"-",VLOOKUP($E625,'Status Thresholds'!$E:$AU,41,FALSE)),"-")</f>
        <v>0</v>
      </c>
      <c r="K625" s="46" t="str">
        <f>IFERROR(IF(AND($U$5=FALSE,$U$4=FALSE),"-",VLOOKUP($E625,'Status Thresholds'!$E:$AU,42,FALSE)),"-")</f>
        <v>-</v>
      </c>
      <c r="L625" s="46" t="str">
        <f>IFERROR(IF(AND($U$5=FALSE,$U$4=FALSE),"-",VLOOKUP($E625,'Status Thresholds'!$E:$AU,43,FALSE)),"-")</f>
        <v>-</v>
      </c>
    </row>
    <row r="626" spans="1:12" x14ac:dyDescent="0.25">
      <c r="A626" s="35"/>
      <c r="B626" s="64" t="str">
        <f>VLOOKUP(C626,'Status Thresholds'!B:C,2,FALSE)</f>
        <v>MHGen</v>
      </c>
      <c r="C626" s="64" t="str">
        <f>IF('Status Thresholds'!B621=0, "", 'Status Thresholds'!B621)</f>
        <v>Rathian (Gold)</v>
      </c>
      <c r="D626" s="30" t="s">
        <v>35</v>
      </c>
      <c r="E626" s="36" t="str">
        <f t="shared" si="9"/>
        <v>Rathian (Gold)Blast</v>
      </c>
      <c r="F626" s="36" t="str">
        <f>IFERROR(
ROUNDUP(
IF(AND($U$5=FALSE,$U$4=FALSE),"-",IF(AND($U$5=TRUE,$U$4=TRUE),"-",
IF((AND($U$4=TRUE,$U$5=FALSE,$U$6=FALSE,$U$7=FALSE)),VLOOKUP($E626,'Status Thresholds'!$E:$AR,2,FALSE),IF((AND($U$4=TRUE,$U$5=FALSE,$U$6=TRUE,$U$7=FALSE)),VLOOKUP($E626,'Status Thresholds'!$E:$AR,12,FALSE),IF((AND($U$4=TRUE,$U$5=FALSE,$U$6=TRUE,$U$7=TRUE)),VLOOKUP($E626,'Status Thresholds'!$E:$AR,17,FALSE),IF((AND($U$4=TRUE,$U$5=FALSE,$U$6=FALSE,$U$7=TRUE)),VLOOKUP($E626,'Status Thresholds'!$E:$AR,7,FALSE),
IF((AND($U$4=FALSE,$U$5=TRUE,$U$6=FALSE,$U$7=FALSE)),VLOOKUP($E626,'Status Thresholds'!$E:$AR,22,FALSE),IF((AND($U$4=FALSE,$U$5=TRUE,$U$6=TRUE,$U$7=FALSE)),VLOOKUP($E626,'Status Thresholds'!$E:$AR,32,FALSE),IF((AND($U$4=FALSE,$U$5=TRUE,$U$6=TRUE,$U$7=TRUE)),VLOOKUP($E626,'Status Thresholds'!$E:$AR,37,FALSE),IF((AND($U$4=FALSE,$U$5=TRUE,$U$6=FALSE,$U$7=TRUE)),VLOOKUP($E626,'Status Thresholds'!$E:$AR,27,FALSE)))))))))
))/
IF(OR($X$5=TRUE,$AC$3=TRUE
),($F$7/2), IF(OR($X$2,$X$3,$X$4,$X$6,$X$7,$X$8,$Z$2,$Z$3,$Z$4,$Z$5,$Z$6,$Z$7,$Z$8)=TRUE,$F$7)),0),"-")</f>
        <v>-</v>
      </c>
      <c r="G626" s="36" t="str">
        <f>IFERROR(
ROUNDUP(
IF(AND($U$5=FALSE,$U$4=FALSE),"-",IF(AND($U$5=TRUE,$U$4=TRUE),"-",
IF((AND($U$4=TRUE,$U$5=FALSE,$U$6=FALSE,$U$7=FALSE)),VLOOKUP($E626,'Status Thresholds'!$E:$AR,3,FALSE),IF((AND($U$4=TRUE,$U$5=FALSE,$U$6=TRUE,$U$7=FALSE)),VLOOKUP($E626,'Status Thresholds'!$E:$AR,13,FALSE),IF((AND($U$4=TRUE,$U$5=FALSE,$U$6=TRUE,$U$7=TRUE)),VLOOKUP($E626,'Status Thresholds'!$E:$AR,18,FALSE),IF((AND($U$4=TRUE,$U$5=FALSE,$U$6=FALSE,$U$7=TRUE)),VLOOKUP($E626,'Status Thresholds'!$E:$AR,8,FALSE),
IF((AND($U$4=FALSE,$U$5=TRUE,$U$6=FALSE,$U$7=FALSE)),VLOOKUP($E626,'Status Thresholds'!$E:$AR,23,FALSE),IF((AND($U$4=FALSE,$U$5=TRUE,$U$6=TRUE,$U$7=FALSE)),VLOOKUP($E626,'Status Thresholds'!$E:$AR,33,FALSE),IF((AND($U$4=FALSE,$U$5=TRUE,$U$6=TRUE,$U$7=TRUE)),VLOOKUP($E626,'Status Thresholds'!$E:$AR,38,FALSE),IF((AND($U$4=FALSE,$U$5=TRUE,$U$6=FALSE,$U$7=TRUE)),VLOOKUP($E626,'Status Thresholds'!$E:$AR,28,FALSE)))))))))
))/
IF(OR($X$5=TRUE,$AC$3=TRUE
),($F$7/2), IF(OR($X$2,$X$3,$X$4,$X$6,$X$7,$X$8,$Z$2,$Z$3,$Z$4,$Z$5,$Z$6,$Z$7,$Z$8)=TRUE,$F$7)),0),"-")</f>
        <v>-</v>
      </c>
      <c r="H626" s="36" t="str">
        <f>IFERROR(
ROUNDUP(
IF(AND($U$5=FALSE,$U$4=FALSE),"-",IF(AND($U$5=TRUE,$U$4=TRUE),"-",
IF((AND($U$4=TRUE,$U$5=FALSE,$U$6=FALSE,$U$7=FALSE)),VLOOKUP($E626,'Status Thresholds'!$E:$AR,4,FALSE),IF((AND($U$4=TRUE,$U$5=FALSE,$U$6=TRUE,$U$7=FALSE)),VLOOKUP($E626,'Status Thresholds'!$E:$AR,14,FALSE),IF((AND($U$4=TRUE,$U$5=FALSE,$U$6=TRUE,$U$7=TRUE)),VLOOKUP($E626,'Status Thresholds'!$E:$AR,19,FALSE),IF((AND($U$4=TRUE,$U$5=FALSE,$U$6=FALSE,$U$7=TRUE)),VLOOKUP($E626,'Status Thresholds'!$E:$AR,9,FALSE),
IF((AND($U$4=FALSE,$U$5=TRUE,$U$6=FALSE,$U$7=FALSE)),VLOOKUP($E626,'Status Thresholds'!$E:$AR,24,FALSE),IF((AND($U$4=FALSE,$U$5=TRUE,$U$6=TRUE,$U$7=FALSE)),VLOOKUP($E626,'Status Thresholds'!$E:$AR,34,FALSE),IF((AND($U$4=FALSE,$U$5=TRUE,$U$6=TRUE,$U$7=TRUE)),VLOOKUP($E626,'Status Thresholds'!$E:$AR,39,FALSE),IF((AND($U$4=FALSE,$U$5=TRUE,$U$6=FALSE,$U$7=TRUE)),VLOOKUP($E626,'Status Thresholds'!$E:$AR,29,FALSE)))))))))
))/
IF(OR($X$5=TRUE,$AC$3=TRUE
),($F$7/2), IF(OR($X$2,$X$3,$X$4,$X$6,$X$7,$X$8,$Z$2,$Z$3,$Z$4,$Z$5,$Z$6,$Z$7,$Z$8)=TRUE,$F$7)),0),"-")</f>
        <v>-</v>
      </c>
      <c r="I626" s="36" t="str">
        <f>IFERROR(
ROUNDUP(
IF(AND($U$5=FALSE,$U$4=FALSE),"-",IF(AND($U$5=TRUE,$U$4=TRUE),"-",
IF((AND($U$4=TRUE,$U$5=FALSE,$U$6=FALSE,$U$7=FALSE)),VLOOKUP($E626,'Status Thresholds'!$E:$AR,5,FALSE),IF((AND($U$4=TRUE,$U$5=FALSE,$U$6=TRUE,$U$7=FALSE)),VLOOKUP($E626,'Status Thresholds'!$E:$AR,15,FALSE),IF((AND($U$4=TRUE,$U$5=FALSE,$U$6=TRUE,$U$7=TRUE)),VLOOKUP($E626,'Status Thresholds'!$E:$AR,20,FALSE),IF((AND($U$4=TRUE,$U$5=FALSE,$U$6=FALSE,$U$7=TRUE)),VLOOKUP($E626,'Status Thresholds'!$E:$AR,10,FALSE),
IF((AND($U$4=FALSE,$U$5=TRUE,$U$6=FALSE,$U$7=FALSE)),VLOOKUP($E626,'Status Thresholds'!$E:$AR,25,FALSE),IF((AND($U$4=FALSE,$U$5=TRUE,$U$6=TRUE,$U$7=FALSE)),VLOOKUP($E626,'Status Thresholds'!$E:$AR,35,FALSE),IF((AND($U$4=FALSE,$U$5=TRUE,$U$6=TRUE,$U$7=TRUE)),VLOOKUP($E626,'Status Thresholds'!$E:$AR,40,FALSE),IF((AND($U$4=FALSE,$U$5=TRUE,$U$6=FALSE,$U$7=TRUE)),VLOOKUP($E626,'Status Thresholds'!$E:$AR,30,FALSE)))))))))
))/
IF(OR($X$5=TRUE,$AC$3=TRUE
),($F$7/2), IF(OR($X$2,$X$3,$X$4,$X$6,$X$7,$X$8,$Z$2,$Z$3,$Z$4,$Z$5,$Z$6,$Z$7,$Z$8)=TRUE,$F$7)),0),"-")</f>
        <v>-</v>
      </c>
      <c r="J626" s="46">
        <f>IFERROR(IF(AND($U$5=FALSE,$U$4=FALSE),"-",VLOOKUP($E626,'Status Thresholds'!$E:$AU,41,FALSE)),"-")</f>
        <v>0</v>
      </c>
      <c r="K626" s="46" t="str">
        <f>IFERROR(IF(AND($U$5=FALSE,$U$4=FALSE),"-",VLOOKUP($E626,'Status Thresholds'!$E:$AU,42,FALSE)),"-")</f>
        <v>-</v>
      </c>
      <c r="L626" s="46" t="str">
        <f>IFERROR(IF(AND($U$5=FALSE,$U$4=FALSE),"-",VLOOKUP($E626,'Status Thresholds'!$E:$AU,43,FALSE)),"-")</f>
        <v>-</v>
      </c>
    </row>
    <row r="627" spans="1:12" ht="14.45" customHeight="1" x14ac:dyDescent="0.25">
      <c r="A627" s="35"/>
      <c r="B627" s="64" t="str">
        <f>VLOOKUP(C627,'Status Thresholds'!B:C,2,FALSE)</f>
        <v>MHGen</v>
      </c>
      <c r="C627" s="64" t="str">
        <f>IF('Status Thresholds'!B622=0, "", 'Status Thresholds'!B622)</f>
        <v>Rathian (Gold)</v>
      </c>
      <c r="D627" s="34" t="s">
        <v>14</v>
      </c>
      <c r="E627" s="36" t="str">
        <f t="shared" si="9"/>
        <v>Rathian (Gold)KO</v>
      </c>
      <c r="F627" s="36" t="s">
        <v>214</v>
      </c>
      <c r="G627" s="36" t="s">
        <v>214</v>
      </c>
      <c r="H627" s="36" t="s">
        <v>214</v>
      </c>
      <c r="I627" s="36" t="s">
        <v>214</v>
      </c>
      <c r="J627" s="46">
        <f>IFERROR(IF(AND($U$5=FALSE,$U$4=FALSE),"-",VLOOKUP($E627,'Status Thresholds'!$E:$AU,41,FALSE)),"-")</f>
        <v>10</v>
      </c>
      <c r="K627" s="46" t="str">
        <f>IFERROR(IF(AND($U$5=FALSE,$U$4=FALSE),"-",VLOOKUP($E627,'Status Thresholds'!$E:$AU,42,FALSE)),"-")</f>
        <v>-</v>
      </c>
      <c r="L627" s="46" t="str">
        <f>IFERROR(IF(AND($U$5=FALSE,$U$4=FALSE),"-",VLOOKUP($E627,'Status Thresholds'!$E:$AU,43,FALSE)),"-")</f>
        <v>-</v>
      </c>
    </row>
    <row r="628" spans="1:12" x14ac:dyDescent="0.25">
      <c r="A628" s="35"/>
      <c r="B628" s="64" t="str">
        <f>VLOOKUP(C628,'Status Thresholds'!B:C,2,FALSE)</f>
        <v>MHGen</v>
      </c>
      <c r="C628" s="64" t="str">
        <f>IF('Status Thresholds'!B623=0, "", 'Status Thresholds'!B623)</f>
        <v>Rathian (Gold)</v>
      </c>
      <c r="D628" s="33" t="s">
        <v>34</v>
      </c>
      <c r="E628" s="36" t="str">
        <f t="shared" si="9"/>
        <v>Rathian (Gold)Mount</v>
      </c>
      <c r="F628" s="36" t="str">
        <f>IFERROR(
ROUNDUP(
IF(AND($U$5=FALSE,$U$4=FALSE),"-",IF(AND($U$5=TRUE,$U$4=TRUE),"-",
IF((AND($U$4=TRUE,$U$5=FALSE,$U$6=FALSE,$U$7=FALSE)),VLOOKUP($E628,'Status Thresholds'!$E:$AR,2,FALSE),IF((AND($U$4=TRUE,$U$5=FALSE,$U$6=TRUE,$U$7=FALSE)),VLOOKUP($E628,'Status Thresholds'!$E:$AR,12,FALSE),IF((AND($U$4=TRUE,$U$5=FALSE,$U$6=TRUE,$U$7=TRUE)),VLOOKUP($E628,'Status Thresholds'!$E:$AR,17,FALSE),IF((AND($U$4=TRUE,$U$5=FALSE,$U$6=FALSE,$U$7=TRUE)),VLOOKUP($E628,'Status Thresholds'!$E:$AR,7,FALSE),
IF((AND($U$4=FALSE,$U$5=TRUE,$U$6=FALSE,$U$7=FALSE)),VLOOKUP($E628,'Status Thresholds'!$E:$AR,22,FALSE),IF((AND($U$4=FALSE,$U$5=TRUE,$U$6=TRUE,$U$7=FALSE)),VLOOKUP($E628,'Status Thresholds'!$E:$AR,32,FALSE),IF((AND($U$4=FALSE,$U$5=TRUE,$U$6=TRUE,$U$7=TRUE)),VLOOKUP($E628,'Status Thresholds'!$E:$AR,37,FALSE),IF((AND($U$4=FALSE,$U$5=TRUE,$U$6=FALSE,$U$7=TRUE)),VLOOKUP($E628,'Status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628" s="36" t="str">
        <f>IFERROR(
ROUNDUP(
IF(AND($U$5=FALSE,$U$4=FALSE),"-",IF(AND($U$5=TRUE,$U$4=TRUE),"-",
IF((AND($U$4=TRUE,$U$5=FALSE,$U$6=FALSE,$U$7=FALSE)),VLOOKUP($E627,'Status Thresholds'!$E:$AR,3,FALSE),IF((AND($U$4=TRUE,$U$5=FALSE,$U$6=TRUE,$U$7=FALSE)),VLOOKUP($E627,'Status Thresholds'!$E:$AR,13,FALSE),IF((AND($U$4=TRUE,$U$5=FALSE,$U$6=TRUE,$U$7=TRUE)),VLOOKUP($E627,'Status Thresholds'!$E:$AR,18,FALSE),IF((AND($U$4=TRUE,$U$5=FALSE,$U$6=FALSE,$U$7=TRUE)),VLOOKUP($E627,'Status Thresholds'!$E:$AR,8,FALSE),
IF((AND($U$4=FALSE,$U$5=TRUE,$U$6=FALSE,$U$7=FALSE)),VLOOKUP($E627,'Status Thresholds'!$E:$AR,23,FALSE),IF((AND($U$4=FALSE,$U$5=TRUE,$U$6=TRUE,$U$7=FALSE)),VLOOKUP($E627,'Status Thresholds'!$E:$AR,33,FALSE),IF((AND($U$4=FALSE,$U$5=TRUE,$U$6=TRUE,$U$7=TRUE)),VLOOKUP($E627,'Status Thresholds'!$E:$AR,38,FALSE),IF((AND($U$4=FALSE,$U$5=TRUE,$U$6=FALSE,$U$7=TRUE)),VLOOKUP($E627,'Status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628" s="36" t="str">
        <f>IFERROR(
ROUNDUP(
IF(AND($U$5=FALSE,$U$4=FALSE),"-",IF(AND($U$5=TRUE,$U$4=TRUE),"-",
IF((AND($U$4=TRUE,$U$5=FALSE,$U$6=FALSE,$U$7=FALSE)),VLOOKUP($E627,'Status Thresholds'!$E:$AR,4,FALSE),IF((AND($U$4=TRUE,$U$5=FALSE,$U$6=TRUE,$U$7=FALSE)),VLOOKUP($E627,'Status Thresholds'!$E:$AR,14,FALSE),IF((AND($U$4=TRUE,$U$5=FALSE,$U$6=TRUE,$U$7=TRUE)),VLOOKUP($E627,'Status Thresholds'!$E:$AR,19,FALSE),IF((AND($U$4=TRUE,$U$5=FALSE,$U$6=FALSE,$U$7=TRUE)),VLOOKUP($E627,'Status Thresholds'!$E:$AR,9,FALSE),
IF((AND($U$4=FALSE,$U$5=TRUE,$U$6=FALSE,$U$7=FALSE)),VLOOKUP($E627,'Status Thresholds'!$E:$AR,24,FALSE),IF((AND($U$4=FALSE,$U$5=TRUE,$U$6=TRUE,$U$7=FALSE)),VLOOKUP($E627,'Status Thresholds'!$E:$AR,34,FALSE),IF((AND($U$4=FALSE,$U$5=TRUE,$U$6=TRUE,$U$7=TRUE)),VLOOKUP($E627,'Status Thresholds'!$E:$AR,39,FALSE),IF((AND($U$4=FALSE,$U$5=TRUE,$U$6=FALSE,$U$7=TRUE)),VLOOKUP($E627,'Status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628" s="36" t="str">
        <f>IFERROR(
ROUNDUP(
IF(AND($U$5=FALSE,$U$4=FALSE),"-",IF(AND($U$5=TRUE,$U$4=TRUE),"-",
IF((AND($U$4=TRUE,$U$5=FALSE,$U$6=FALSE,$U$7=FALSE)),VLOOKUP($E627,'Status Thresholds'!$E:$AR,5,FALSE),IF((AND($U$4=TRUE,$U$5=FALSE,$U$6=TRUE,$U$7=FALSE)),VLOOKUP($E627,'Status Thresholds'!$E:$AR,15,FALSE),IF((AND($U$4=TRUE,$U$5=FALSE,$U$6=TRUE,$U$7=TRUE)),VLOOKUP($E627,'Status Thresholds'!$E:$AR,20,FALSE),IF((AND($U$4=TRUE,$U$5=FALSE,$U$6=FALSE,$U$7=TRUE)),VLOOKUP($E627,'Status Thresholds'!$E:$AR,10,FALSE),
IF((AND($U$4=FALSE,$U$5=TRUE,$U$6=FALSE,$U$7=FALSE)),VLOOKUP($E627,'Status Thresholds'!$E:$AR,25,FALSE),IF((AND($U$4=FALSE,$U$5=TRUE,$U$6=TRUE,$U$7=FALSE)),VLOOKUP($E627,'Status Thresholds'!$E:$AR,35,FALSE),IF((AND($U$4=FALSE,$U$5=TRUE,$U$6=TRUE,$U$7=TRUE)),VLOOKUP($E627,'Status Thresholds'!$E:$AR,40,FALSE),IF((AND($U$4=FALSE,$U$5=TRUE,$U$6=FALSE,$U$7=TRUE)),VLOOKUP($E627,'Status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628" s="46">
        <f>IFERROR(IF(AND($U$5=FALSE,$U$4=FALSE),"-",VLOOKUP($E628,'Status Thresholds'!$E:$AU,41,FALSE)),"-")</f>
        <v>0</v>
      </c>
      <c r="K628" s="46" t="str">
        <f>IFERROR(IF(AND($U$5=FALSE,$U$4=FALSE),"-",VLOOKUP($E628,'Status Thresholds'!$E:$AU,42,FALSE)),"-")</f>
        <v>-</v>
      </c>
      <c r="L628" s="46" t="str">
        <f>IFERROR(IF(AND($U$5=FALSE,$U$4=FALSE),"-",VLOOKUP($E628,'Status Thresholds'!$E:$AU,43,FALSE)),"-")</f>
        <v>-</v>
      </c>
    </row>
    <row r="629" spans="1:12" ht="15" customHeight="1" x14ac:dyDescent="0.25">
      <c r="A629" s="35"/>
      <c r="B629" s="64" t="str">
        <f>VLOOKUP(C629,'Status Thresholds'!B:C,2,FALSE)</f>
        <v>MHGen</v>
      </c>
      <c r="C629" s="64" t="str">
        <f>IF('Status Thresholds'!B624=0, "", 'Status Thresholds'!B624)</f>
        <v>Rathian (Gold)</v>
      </c>
      <c r="D629" s="77" t="s">
        <v>207</v>
      </c>
      <c r="E629" s="36" t="str">
        <f t="shared" si="9"/>
        <v>Rathian (Gold)Shock Trap</v>
      </c>
      <c r="F629" s="76" t="s">
        <v>214</v>
      </c>
      <c r="G629" s="46" t="s">
        <v>214</v>
      </c>
      <c r="H629" s="46" t="s">
        <v>214</v>
      </c>
      <c r="I629" s="46" t="s">
        <v>214</v>
      </c>
      <c r="J629" s="46">
        <f>IFERROR(IF(AND($U$5=FALSE,$U$4=FALSE),"-",VLOOKUP($E629,'Status Thresholds'!$E:$AU,43,FALSE)),"-")</f>
        <v>8</v>
      </c>
      <c r="K629" s="46">
        <f>IFERROR(IF(AND($U$5=FALSE,$U$4=FALSE),"-",VLOOKUP($E629,'Status Thresholds'!$E:$AU,41,FALSE)),"-")</f>
        <v>8</v>
      </c>
      <c r="L629" s="46">
        <f>IFERROR(IF(AND($U$5=FALSE,$U$4=FALSE),"-",VLOOKUP($E629,'Status Thresholds'!$E:$AU,42,FALSE)),"-")</f>
        <v>15</v>
      </c>
    </row>
    <row r="630" spans="1:12" x14ac:dyDescent="0.25">
      <c r="A630" s="35"/>
      <c r="B630" s="64" t="str">
        <f>VLOOKUP(C630,'Status Thresholds'!B:C,2,FALSE)</f>
        <v>MHGen</v>
      </c>
      <c r="C630" s="64" t="str">
        <f>IF('Status Thresholds'!B625=0, "", 'Status Thresholds'!B625)</f>
        <v>Rathian (Gold)</v>
      </c>
      <c r="D630" s="77" t="s">
        <v>213</v>
      </c>
      <c r="E630" s="36" t="str">
        <f t="shared" si="9"/>
        <v>Rathian (Gold)Pitfall Trap</v>
      </c>
      <c r="F630" s="46" t="s">
        <v>214</v>
      </c>
      <c r="G630" s="46" t="s">
        <v>214</v>
      </c>
      <c r="H630" s="46" t="s">
        <v>214</v>
      </c>
      <c r="I630" s="46" t="s">
        <v>214</v>
      </c>
      <c r="J630" s="46">
        <f>IFERROR(IF(AND($U$5=FALSE,$U$4=FALSE),"-",VLOOKUP($E630,'Status Thresholds'!$E:$AU,43,FALSE)),"-")</f>
        <v>12</v>
      </c>
      <c r="K630" s="46">
        <f>IFERROR(IF(AND($U$5=FALSE,$U$4=FALSE),"-",VLOOKUP($E630,'Status Thresholds'!$E:$AU,41,FALSE)),"-")</f>
        <v>12</v>
      </c>
      <c r="L630" s="46">
        <f>IFERROR(IF(AND($U$5=FALSE,$U$4=FALSE),"-",VLOOKUP($E630,'Status Thresholds'!$E:$AU,42,FALSE)),"-")</f>
        <v>25</v>
      </c>
    </row>
    <row r="631" spans="1:12" s="36" customFormat="1" hidden="1" x14ac:dyDescent="0.25">
      <c r="A631" s="64"/>
      <c r="B631" s="64" t="str">
        <f>IF('Status Thresholds'!A626=0, "", 'Status Thresholds'!A626)</f>
        <v>Deviant</v>
      </c>
      <c r="C631" s="64" t="str">
        <f>IF('Status Thresholds'!B626=0, "", 'Status Thresholds'!B626)</f>
        <v>Redhelm Arzuros</v>
      </c>
      <c r="D631" s="37" t="s">
        <v>0</v>
      </c>
      <c r="E631" s="36" t="str">
        <f t="shared" si="9"/>
        <v>Redhelm ArzurosPara</v>
      </c>
      <c r="F631" s="36" t="str">
        <f>IFERROR(
ROUNDUP(
IF(AND($U$5=FALSE,$U$4=FALSE),"-",IF(AND($U$5=TRUE,$U$4=TRUE),"-",
IF((AND($U$4=TRUE,$U$5=FALSE,$U$6=FALSE,$U$7=FALSE)),VLOOKUP($E631,'Status Thresholds'!$E:$AR,2,FALSE),IF((AND($U$4=TRUE,$U$5=FALSE,$U$6=TRUE,$U$7=FALSE)),VLOOKUP($E631,'Status Thresholds'!$E:$AR,12,FALSE),IF((AND($U$4=TRUE,$U$5=FALSE,$U$6=TRUE,$U$7=TRUE)),VLOOKUP($E631,'Status Thresholds'!$E:$AR,17,FALSE),IF((AND($U$4=TRUE,$U$5=FALSE,$U$6=FALSE,$U$7=TRUE)),VLOOKUP($E631,'Status Thresholds'!$E:$AR,7,FALSE),
IF((AND($U$4=FALSE,$U$5=TRUE,$U$6=FALSE,$U$7=FALSE)),VLOOKUP($E631,'Status Thresholds'!$E:$AR,22,FALSE),IF((AND($U$4=FALSE,$U$5=TRUE,$U$6=TRUE,$U$7=FALSE)),VLOOKUP($E631,'Status Thresholds'!$E:$AR,32,FALSE),IF((AND($U$4=FALSE,$U$5=TRUE,$U$6=TRUE,$U$7=TRUE)),VLOOKUP($E631,'Status Thresholds'!$E:$AR,37,FALSE),IF((AND($U$4=FALSE,$U$5=TRUE,$U$6=FALSE,$U$7=TRUE)),VLOOKUP($E631,'Status Thresholds'!$E:$AR,27,FALSE)))))))))
))/
IF(OR($X$5=TRUE,$AC$3=TRUE
),($F$3/2), IF(OR($X$2,$X$3,$X$4,$X$6,$X$7,$X$8,$Z$2,$Z$3,$Z$4,$Z$5,$Z$6,$Z$7,$Z$8)=TRUE,$F$3)),0),"-")</f>
        <v>-</v>
      </c>
      <c r="G631" s="36" t="str">
        <f>IFERROR(
ROUNDUP(
IF(AND($U$5=FALSE,$U$4=FALSE),"-",IF(AND($U$5=TRUE,$U$4=TRUE),"-",
IF((AND($U$4=TRUE,$U$5=FALSE,$U$6=FALSE,$U$7=FALSE)),VLOOKUP($E631,'Status Thresholds'!$E:$AR,3,FALSE),IF((AND($U$4=TRUE,$U$5=FALSE,$U$6=TRUE,$U$7=FALSE)),VLOOKUP($E631,'Status Thresholds'!$E:$AR,13,FALSE),IF((AND($U$4=TRUE,$U$5=FALSE,$U$6=TRUE,$U$7=TRUE)),VLOOKUP($E631,'Status Thresholds'!$E:$AR,18,FALSE),IF((AND($U$4=TRUE,$U$5=FALSE,$U$6=FALSE,$U$7=TRUE)),VLOOKUP($E631,'Status Thresholds'!$E:$AR,8,FALSE),
IF((AND($U$4=FALSE,$U$5=TRUE,$U$6=FALSE,$U$7=FALSE)),VLOOKUP($E631,'Status Thresholds'!$E:$AR,23,FALSE),IF((AND($U$4=FALSE,$U$5=TRUE,$U$6=TRUE,$U$7=FALSE)),VLOOKUP($E631,'Status Thresholds'!$E:$AR,33,FALSE),IF((AND($U$4=FALSE,$U$5=TRUE,$U$6=TRUE,$U$7=TRUE)),VLOOKUP($E631,'Status Thresholds'!$E:$AR,38,FALSE),IF((AND($U$4=FALSE,$U$5=TRUE,$U$6=FALSE,$U$7=TRUE)),VLOOKUP($E631,'Status Thresholds'!$E:$AR,28,FALSE)))))))))
))/
IF(OR($X$5=TRUE,$AC$3=TRUE
),($F$3/2), IF(OR($X$2,$X$3,$X$4,$X$6,$X$7,$X$8,$Z$2,$Z$3,$Z$4,$Z$5,$Z$6,$Z$7,$Z$8)=TRUE,$F$3)),0),"-")</f>
        <v>-</v>
      </c>
      <c r="H631" s="36" t="str">
        <f>IFERROR(
ROUNDUP(
IF(AND($U$5=FALSE,$U$4=FALSE),"-",IF(AND($U$5=TRUE,$U$4=TRUE),"-",
IF((AND($U$4=TRUE,$U$5=FALSE,$U$6=FALSE,$U$7=FALSE)),VLOOKUP($E631,'Status Thresholds'!$E:$AR,4,FALSE),IF((AND($U$4=TRUE,$U$5=FALSE,$U$6=TRUE,$U$7=FALSE)),VLOOKUP($E631,'Status Thresholds'!$E:$AR,14,FALSE),IF((AND($U$4=TRUE,$U$5=FALSE,$U$6=TRUE,$U$7=TRUE)),VLOOKUP($E631,'Status Thresholds'!$E:$AR,19,FALSE),IF((AND($U$4=TRUE,$U$5=FALSE,$U$6=FALSE,$U$7=TRUE)),VLOOKUP($E631,'Status Thresholds'!$E:$AR,9,FALSE),
IF((AND($U$4=FALSE,$U$5=TRUE,$U$6=FALSE,$U$7=FALSE)),VLOOKUP($E631,'Status Thresholds'!$E:$AR,24,FALSE),IF((AND($U$4=FALSE,$U$5=TRUE,$U$6=TRUE,$U$7=FALSE)),VLOOKUP($E631,'Status Thresholds'!$E:$AR,34,FALSE),IF((AND($U$4=FALSE,$U$5=TRUE,$U$6=TRUE,$U$7=TRUE)),VLOOKUP($E631,'Status Thresholds'!$E:$AR,39,FALSE),IF((AND($U$4=FALSE,$U$5=TRUE,$U$6=FALSE,$U$7=TRUE)),VLOOKUP($E631,'Status Thresholds'!$E:$AR,29,FALSE)))))))))
))/
IF(OR($X$5=TRUE,$AC$3=TRUE
),($F$3/2), IF(OR($X$2,$X$3,$X$4,$X$6,$X$7,$X$8,$Z$2,$Z$3,$Z$4,$Z$5,$Z$6,$Z$7,$Z$8)=TRUE,$F$3)),0),"-")</f>
        <v>-</v>
      </c>
      <c r="I631" s="36" t="str">
        <f>IFERROR(
ROUNDUP(
IF(AND($U$5=FALSE,$U$4=FALSE),"-",IF(AND($U$5=TRUE,$U$4=TRUE),"-",
IF((AND($U$4=TRUE,$U$5=FALSE,$U$6=FALSE,$U$7=FALSE)),VLOOKUP($E631,'Status Thresholds'!$E:$AR,5,FALSE),IF((AND($U$4=TRUE,$U$5=FALSE,$U$6=TRUE,$U$7=FALSE)),VLOOKUP($E631,'Status Thresholds'!$E:$AR,15,FALSE),IF((AND($U$4=TRUE,$U$5=FALSE,$U$6=TRUE,$U$7=TRUE)),VLOOKUP($E631,'Status Thresholds'!$E:$AR,20,FALSE),IF((AND($U$4=TRUE,$U$5=FALSE,$U$6=FALSE,$U$7=TRUE)),VLOOKUP($E631,'Status Thresholds'!$E:$AR,10,FALSE),
IF((AND($U$4=FALSE,$U$5=TRUE,$U$6=FALSE,$U$7=FALSE)),VLOOKUP($E631,'Status Thresholds'!$E:$AR,25,FALSE),IF((AND($U$4=FALSE,$U$5=TRUE,$U$6=TRUE,$U$7=FALSE)),VLOOKUP($E631,'Status Thresholds'!$E:$AR,35,FALSE),IF((AND($U$4=FALSE,$U$5=TRUE,$U$6=TRUE,$U$7=TRUE)),VLOOKUP($E631,'Status Thresholds'!$E:$AR,40,FALSE),IF((AND($U$4=FALSE,$U$5=TRUE,$U$6=FALSE,$U$7=TRUE)),VLOOKUP($E631,'Status Thresholds'!$E:$AR,30,FALSE)))))))))
))/
IF(OR($X$5=TRUE,$AC$3=TRUE
),($F$3/2), IF(OR($X$2,$X$3,$X$4,$X$6,$X$7,$X$8,$Z$2,$Z$3,$Z$4,$Z$5,$Z$6,$Z$7,$Z$8)=TRUE,$F$3)),0),"-")</f>
        <v>-</v>
      </c>
      <c r="J631" s="36">
        <f>IFERROR(IF(AND($U$5=FALSE,$U$4=FALSE),"-",VLOOKUP($E631,'Status Thresholds'!$E:$AU,41,FALSE)),"-")</f>
        <v>12</v>
      </c>
      <c r="K631" s="36" t="str">
        <f>IFERROR(IF(AND($U$5=FALSE,$U$4=FALSE),"-",VLOOKUP($E631,'Status Thresholds'!$E:$AU,42,FALSE)),"-")</f>
        <v>-</v>
      </c>
      <c r="L631" s="36" t="str">
        <f>IFERROR(IF(AND($U$5=FALSE,$U$4=FALSE),"-",VLOOKUP($E631,'Status Thresholds'!$E:$AU,43,FALSE)),"-")</f>
        <v>-</v>
      </c>
    </row>
    <row r="632" spans="1:12" hidden="1" x14ac:dyDescent="0.25">
      <c r="A632" s="35"/>
      <c r="B632" s="64" t="str">
        <f>IF('Status Thresholds'!A627=0, "", 'Status Thresholds'!A627)</f>
        <v>Deviant</v>
      </c>
      <c r="C632" s="64" t="str">
        <f>IF('Status Thresholds'!B627=0, "", 'Status Thresholds'!B627)</f>
        <v>Redhelm Arzuros</v>
      </c>
      <c r="D632" s="31" t="s">
        <v>32</v>
      </c>
      <c r="E632" s="36" t="str">
        <f t="shared" si="9"/>
        <v>Redhelm ArzurosSleep</v>
      </c>
      <c r="F632" s="36" t="str">
        <f>IFERROR(
ROUNDUP(
IF(AND($U$5=FALSE,$U$4=FALSE),"-",IF(AND($U$5=TRUE,$U$4=TRUE),"-",
IF((AND($U$4=TRUE,$U$5=FALSE,$U$6=FALSE,$U$7=FALSE)),VLOOKUP($E632,'Status Thresholds'!$E:$AR,2,FALSE),IF((AND($U$4=TRUE,$U$5=FALSE,$U$6=TRUE,$U$7=FALSE)),VLOOKUP($E632,'Status Thresholds'!$E:$AR,12,FALSE),IF((AND($U$4=TRUE,$U$5=FALSE,$U$6=TRUE,$U$7=TRUE)),VLOOKUP($E632,'Status Thresholds'!$E:$AR,17,FALSE),IF((AND($U$4=TRUE,$U$5=FALSE,$U$6=FALSE,$U$7=TRUE)),VLOOKUP($E632,'Status Thresholds'!$E:$AR,7,FALSE),
IF((AND($U$4=FALSE,$U$5=TRUE,$U$6=FALSE,$U$7=FALSE)),VLOOKUP($E632,'Status Thresholds'!$E:$AR,22,FALSE),IF((AND($U$4=FALSE,$U$5=TRUE,$U$6=TRUE,$U$7=FALSE)),VLOOKUP($E632,'Status Thresholds'!$E:$AR,32,FALSE),IF((AND($U$4=FALSE,$U$5=TRUE,$U$6=TRUE,$U$7=TRUE)),VLOOKUP($E632,'Status Thresholds'!$E:$AR,37,FALSE),IF((AND($U$4=FALSE,$U$5=TRUE,$U$6=FALSE,$U$7=TRUE)),VLOOKUP($E632,'Status Thresholds'!$E:$AR,27,FALSE)))))))))
))/
IF(OR($X$5=TRUE,$AC$3=TRUE
),($F$4/2), IF(OR($X$2,$X$3,$X$4,$X$6,$X$7,$X$8,$Z$2,$Z$3,$Z$4,$Z$5,$Z$6,$Z$7,$Z$8)=TRUE,$F$4)),0),"-")</f>
        <v>-</v>
      </c>
      <c r="G632" s="36" t="str">
        <f>IFERROR(
ROUNDUP(
IF(AND($U$5=FALSE,$U$4=FALSE),"-",IF(AND($U$5=TRUE,$U$4=TRUE),"-",
IF((AND($U$4=TRUE,$U$5=FALSE,$U$6=FALSE,$U$7=FALSE)),VLOOKUP($E632,'Status Thresholds'!$E:$AR,3,FALSE),IF((AND($U$4=TRUE,$U$5=FALSE,$U$6=TRUE,$U$7=FALSE)),VLOOKUP($E632,'Status Thresholds'!$E:$AR,13,FALSE),IF((AND($U$4=TRUE,$U$5=FALSE,$U$6=TRUE,$U$7=TRUE)),VLOOKUP($E632,'Status Thresholds'!$E:$AR,18,FALSE),IF((AND($U$4=TRUE,$U$5=FALSE,$U$6=FALSE,$U$7=TRUE)),VLOOKUP($E632,'Status Thresholds'!$E:$AR,8,FALSE),
IF((AND($U$4=FALSE,$U$5=TRUE,$U$6=FALSE,$U$7=FALSE)),VLOOKUP($E632,'Status Thresholds'!$E:$AR,23,FALSE),IF((AND($U$4=FALSE,$U$5=TRUE,$U$6=TRUE,$U$7=FALSE)),VLOOKUP($E632,'Status Thresholds'!$E:$AR,33,FALSE),IF((AND($U$4=FALSE,$U$5=TRUE,$U$6=TRUE,$U$7=TRUE)),VLOOKUP($E632,'Status Thresholds'!$E:$AR,38,FALSE),IF((AND($U$4=FALSE,$U$5=TRUE,$U$6=FALSE,$U$7=TRUE)),VLOOKUP($E632,'Status Thresholds'!$E:$AR,28,FALSE)))))))))
))/
IF(OR($X$5=TRUE,$AC$3=TRUE
),($F$4/2), IF(OR($X$2,$X$3,$X$4,$X$6,$X$7,$X$8,$Z$2,$Z$3,$Z$4,$Z$5,$Z$6,$Z$7,$Z$8)=TRUE,$F$4)),0),"-")</f>
        <v>-</v>
      </c>
      <c r="H632" s="36" t="str">
        <f>IFERROR(
ROUNDUP(
IF(AND($U$5=FALSE,$U$4=FALSE),"-",IF(AND($U$5=TRUE,$U$4=TRUE),"-",
IF((AND($U$4=TRUE,$U$5=FALSE,$U$6=FALSE,$U$7=FALSE)),VLOOKUP($E632,'Status Thresholds'!$E:$AR,4,FALSE),IF((AND($U$4=TRUE,$U$5=FALSE,$U$6=TRUE,$U$7=FALSE)),VLOOKUP($E632,'Status Thresholds'!$E:$AR,14,FALSE),IF((AND($U$4=TRUE,$U$5=FALSE,$U$6=TRUE,$U$7=TRUE)),VLOOKUP($E632,'Status Thresholds'!$E:$AR,19,FALSE),IF((AND($U$4=TRUE,$U$5=FALSE,$U$6=FALSE,$U$7=TRUE)),VLOOKUP($E632,'Status Thresholds'!$E:$AR,9,FALSE),
IF((AND($U$4=FALSE,$U$5=TRUE,$U$6=FALSE,$U$7=FALSE)),VLOOKUP($E632,'Status Thresholds'!$E:$AR,24,FALSE),IF((AND($U$4=FALSE,$U$5=TRUE,$U$6=TRUE,$U$7=FALSE)),VLOOKUP($E632,'Status Thresholds'!$E:$AR,34,FALSE),IF((AND($U$4=FALSE,$U$5=TRUE,$U$6=TRUE,$U$7=TRUE)),VLOOKUP($E632,'Status Thresholds'!$E:$AR,39,FALSE),IF((AND($U$4=FALSE,$U$5=TRUE,$U$6=FALSE,$U$7=TRUE)),VLOOKUP($E632,'Status Thresholds'!$E:$AR,29,FALSE)))))))))
))/
IF(OR($X$5=TRUE,$AC$3=TRUE
),($F$4/2), IF(OR($X$2,$X$3,$X$4,$X$6,$X$7,$X$8,$Z$2,$Z$3,$Z$4,$Z$5,$Z$6,$Z$7,$Z$8)=TRUE,$F$4)),0),"-")</f>
        <v>-</v>
      </c>
      <c r="I632" s="36" t="str">
        <f>IFERROR(
ROUNDUP(
IF(AND($U$5=FALSE,$U$4=FALSE),"-",IF(AND($U$5=TRUE,$U$4=TRUE),"-",
IF((AND($U$4=TRUE,$U$5=FALSE,$U$6=FALSE,$U$7=FALSE)),VLOOKUP($E632,'Status Thresholds'!$E:$AR,5,FALSE),IF((AND($U$4=TRUE,$U$5=FALSE,$U$6=TRUE,$U$7=FALSE)),VLOOKUP($E632,'Status Thresholds'!$E:$AR,15,FALSE),IF((AND($U$4=TRUE,$U$5=FALSE,$U$6=TRUE,$U$7=TRUE)),VLOOKUP($E632,'Status Thresholds'!$E:$AR,20,FALSE),IF((AND($U$4=TRUE,$U$5=FALSE,$U$6=FALSE,$U$7=TRUE)),VLOOKUP($E632,'Status Thresholds'!$E:$AR,10,FALSE),
IF((AND($U$4=FALSE,$U$5=TRUE,$U$6=FALSE,$U$7=FALSE)),VLOOKUP($E632,'Status Thresholds'!$E:$AR,25,FALSE),IF((AND($U$4=FALSE,$U$5=TRUE,$U$6=TRUE,$U$7=FALSE)),VLOOKUP($E632,'Status Thresholds'!$E:$AR,35,FALSE),IF((AND($U$4=FALSE,$U$5=TRUE,$U$6=TRUE,$U$7=TRUE)),VLOOKUP($E632,'Status Thresholds'!$E:$AR,40,FALSE),IF((AND($U$4=FALSE,$U$5=TRUE,$U$6=FALSE,$U$7=TRUE)),VLOOKUP($E632,'Status Thresholds'!$E:$AR,30,FALSE)))))))))
))/
IF(OR($X$5=TRUE,$AC$3=TRUE
),($F$4/2), IF(OR($X$2,$X$3,$X$4,$X$6,$X$7,$X$8,$Z$2,$Z$3,$Z$4,$Z$5,$Z$6,$Z$7,$Z$8)=TRUE,$F$4)),0),"-")</f>
        <v>-</v>
      </c>
      <c r="J632" s="46">
        <f>IFERROR(IF(AND($U$5=FALSE,$U$4=FALSE),"-",VLOOKUP($E632,'Status Thresholds'!$E:$AU,41,FALSE)),"-")</f>
        <v>60</v>
      </c>
      <c r="K632" s="46" t="str">
        <f>IFERROR(IF(AND($U$5=FALSE,$U$4=FALSE),"-",VLOOKUP($E632,'Status Thresholds'!$E:$AU,42,FALSE)),"-")</f>
        <v>-</v>
      </c>
      <c r="L632" s="46" t="str">
        <f>IFERROR(IF(AND($U$5=FALSE,$U$4=FALSE),"-",VLOOKUP($E632,'Status Thresholds'!$E:$AU,43,FALSE)),"-")</f>
        <v>-</v>
      </c>
    </row>
    <row r="633" spans="1:12" hidden="1" x14ac:dyDescent="0.25">
      <c r="A633" s="35"/>
      <c r="B633" s="64" t="str">
        <f>IF('Status Thresholds'!A628=0, "", 'Status Thresholds'!A628)</f>
        <v>Deviant</v>
      </c>
      <c r="C633" s="64" t="str">
        <f>IF('Status Thresholds'!B628=0, "", 'Status Thresholds'!B628)</f>
        <v>Redhelm Arzuros</v>
      </c>
      <c r="D633" s="32" t="s">
        <v>33</v>
      </c>
      <c r="E633" s="36" t="str">
        <f t="shared" si="9"/>
        <v>Redhelm ArzurosPoison</v>
      </c>
      <c r="F633" s="36" t="str">
        <f>IFERROR(
ROUNDUP(
IF(AND($U$5=FALSE,$U$4=FALSE),"-",IF(AND($U$5=TRUE,$U$4=TRUE),"-",
IF((AND($U$4=TRUE,$U$5=FALSE,$U$6=FALSE,$U$7=FALSE)),VLOOKUP($E633,'Status Thresholds'!$E:$AR,2,FALSE),IF((AND($U$4=TRUE,$U$5=FALSE,$U$6=TRUE,$U$7=FALSE)),VLOOKUP($E633,'Status Thresholds'!$E:$AR,12,FALSE),IF((AND($U$4=TRUE,$U$5=FALSE,$U$6=TRUE,$U$7=TRUE)),VLOOKUP($E633,'Status Thresholds'!$E:$AR,17,FALSE),IF((AND($U$4=TRUE,$U$5=FALSE,$U$6=FALSE,$U$7=TRUE)),VLOOKUP($E633,'Status Thresholds'!$E:$AR,7,FALSE),
IF((AND($U$4=FALSE,$U$5=TRUE,$U$6=FALSE,$U$7=FALSE)),VLOOKUP($E633,'Status Thresholds'!$E:$AR,22,FALSE),IF((AND($U$4=FALSE,$U$5=TRUE,$U$6=TRUE,$U$7=FALSE)),VLOOKUP($E633,'Status Thresholds'!$E:$AR,32,FALSE),IF((AND($U$4=FALSE,$U$5=TRUE,$U$6=TRUE,$U$7=TRUE)),VLOOKUP($E633,'Status Thresholds'!$E:$AR,37,FALSE),IF((AND($U$4=FALSE,$U$5=TRUE,$U$6=FALSE,$U$7=TRUE)),VLOOKUP($E633,'Status Thresholds'!$E:$AR,27,FALSE)))))))))
))/
IF(OR($X$5=TRUE,$AC$3=TRUE
),($F$5/2), IF(OR($X$2,$X$3,$X$4,$X$6,$X$7,$X$8,$Z$2,$Z$3,$Z$4,$Z$5,$Z$6,$Z$7,$Z$8)=TRUE,$F$5)),0),"-")</f>
        <v>-</v>
      </c>
      <c r="G633" s="36" t="str">
        <f>IFERROR(
ROUNDUP(
IF(AND($U$5=FALSE,$U$4=FALSE),"-",IF(AND($U$5=TRUE,$U$4=TRUE),"-",
IF((AND($U$4=TRUE,$U$5=FALSE,$U$6=FALSE,$U$7=FALSE)),VLOOKUP($E633,'Status Thresholds'!$E:$AR,3,FALSE),IF((AND($U$4=TRUE,$U$5=FALSE,$U$6=TRUE,$U$7=FALSE)),VLOOKUP($E633,'Status Thresholds'!$E:$AR,13,FALSE),IF((AND($U$4=TRUE,$U$5=FALSE,$U$6=TRUE,$U$7=TRUE)),VLOOKUP($E633,'Status Thresholds'!$E:$AR,18,FALSE),IF((AND($U$4=TRUE,$U$5=FALSE,$U$6=FALSE,$U$7=TRUE)),VLOOKUP($E633,'Status Thresholds'!$E:$AR,8,FALSE),
IF((AND($U$4=FALSE,$U$5=TRUE,$U$6=FALSE,$U$7=FALSE)),VLOOKUP($E633,'Status Thresholds'!$E:$AR,23,FALSE),IF((AND($U$4=FALSE,$U$5=TRUE,$U$6=TRUE,$U$7=FALSE)),VLOOKUP($E633,'Status Thresholds'!$E:$AR,33,FALSE),IF((AND($U$4=FALSE,$U$5=TRUE,$U$6=TRUE,$U$7=TRUE)),VLOOKUP($E633,'Status Thresholds'!$E:$AR,38,FALSE),IF((AND($U$4=FALSE,$U$5=TRUE,$U$6=FALSE,$U$7=TRUE)),VLOOKUP($E633,'Status Thresholds'!$E:$AR,28,FALSE)))))))))
))/
IF(OR($X$5=TRUE,$AC$3=TRUE
),($F$5/2), IF(OR($X$2,$X$3,$X$4,$X$6,$X$7,$X$8,$Z$2,$Z$3,$Z$4,$Z$5,$Z$6,$Z$7,$Z$8)=TRUE,$F$5)),0),"-")</f>
        <v>-</v>
      </c>
      <c r="H633" s="36" t="str">
        <f>IFERROR(
ROUNDUP(
IF(AND($U$5=FALSE,$U$4=FALSE),"-",IF(AND($U$5=TRUE,$U$4=TRUE),"-",
IF((AND($U$4=TRUE,$U$5=FALSE,$U$6=FALSE,$U$7=FALSE)),VLOOKUP($E633,'Status Thresholds'!$E:$AR,4,FALSE),IF((AND($U$4=TRUE,$U$5=FALSE,$U$6=TRUE,$U$7=FALSE)),VLOOKUP($E633,'Status Thresholds'!$E:$AR,14,FALSE),IF((AND($U$4=TRUE,$U$5=FALSE,$U$6=TRUE,$U$7=TRUE)),VLOOKUP($E633,'Status Thresholds'!$E:$AR,19,FALSE),IF((AND($U$4=TRUE,$U$5=FALSE,$U$6=FALSE,$U$7=TRUE)),VLOOKUP($E633,'Status Thresholds'!$E:$AR,9,FALSE),
IF((AND($U$4=FALSE,$U$5=TRUE,$U$6=FALSE,$U$7=FALSE)),VLOOKUP($E633,'Status Thresholds'!$E:$AR,24,FALSE),IF((AND($U$4=FALSE,$U$5=TRUE,$U$6=TRUE,$U$7=FALSE)),VLOOKUP($E633,'Status Thresholds'!$E:$AR,34,FALSE),IF((AND($U$4=FALSE,$U$5=TRUE,$U$6=TRUE,$U$7=TRUE)),VLOOKUP($E633,'Status Thresholds'!$E:$AR,39,FALSE),IF((AND($U$4=FALSE,$U$5=TRUE,$U$6=FALSE,$U$7=TRUE)),VLOOKUP($E633,'Status Thresholds'!$E:$AR,29,FALSE)))))))))
))/
IF(OR($X$5=TRUE,$AC$3=TRUE
),($F$5/2), IF(OR($X$2,$X$3,$X$4,$X$6,$X$7,$X$8,$Z$2,$Z$3,$Z$4,$Z$5,$Z$6,$Z$7,$Z$8)=TRUE,$F$5)),0),"-")</f>
        <v>-</v>
      </c>
      <c r="I633" s="36" t="str">
        <f>IFERROR(
ROUNDUP(
IF(AND($U$5=FALSE,$U$4=FALSE),"-",IF(AND($U$5=TRUE,$U$4=TRUE),"-",
IF((AND($U$4=TRUE,$U$5=FALSE,$U$6=FALSE,$U$7=FALSE)),VLOOKUP($E633,'Status Thresholds'!$E:$AR,5,FALSE),IF((AND($U$4=TRUE,$U$5=FALSE,$U$6=TRUE,$U$7=FALSE)),VLOOKUP($E633,'Status Thresholds'!$E:$AR,15,FALSE),IF((AND($U$4=TRUE,$U$5=FALSE,$U$6=TRUE,$U$7=TRUE)),VLOOKUP($E633,'Status Thresholds'!$E:$AR,20,FALSE),IF((AND($U$4=TRUE,$U$5=FALSE,$U$6=FALSE,$U$7=TRUE)),VLOOKUP($E633,'Status Thresholds'!$E:$AR,10,FALSE),
IF((AND($U$4=FALSE,$U$5=TRUE,$U$6=FALSE,$U$7=FALSE)),VLOOKUP($E633,'Status Thresholds'!$E:$AR,25,FALSE),IF((AND($U$4=FALSE,$U$5=TRUE,$U$6=TRUE,$U$7=FALSE)),VLOOKUP($E633,'Status Thresholds'!$E:$AR,35,FALSE),IF((AND($U$4=FALSE,$U$5=TRUE,$U$6=TRUE,$U$7=TRUE)),VLOOKUP($E633,'Status Thresholds'!$E:$AR,40,FALSE),IF((AND($U$4=FALSE,$U$5=TRUE,$U$6=FALSE,$U$7=TRUE)),VLOOKUP($E633,'Status Thresholds'!$E:$AR,30,FALSE)))))))))
))/
IF(OR($X$5=TRUE,$AC$3=TRUE
),($F$5/2), IF(OR($X$2,$X$3,$X$4,$X$6,$X$7,$X$8,$Z$2,$Z$3,$Z$4,$Z$5,$Z$6,$Z$7,$Z$8)=TRUE,$F$5)),0),"-")</f>
        <v>-</v>
      </c>
      <c r="J633" s="46">
        <f>IFERROR(IF(AND($U$5=FALSE,$U$4=FALSE),"-",VLOOKUP($E633,'Status Thresholds'!$E:$AU,41,FALSE)),"-")</f>
        <v>60</v>
      </c>
      <c r="K633" s="46" t="str">
        <f>IFERROR(IF(AND($U$5=FALSE,$U$4=FALSE),"-",VLOOKUP($E633,'Status Thresholds'!$E:$AU,42,FALSE)),"-")</f>
        <v>-</v>
      </c>
      <c r="L633" s="46" t="str">
        <f>IFERROR(IF(AND($U$5=FALSE,$U$4=FALSE),"-",VLOOKUP($E633,'Status Thresholds'!$E:$AU,43,FALSE)),"-")</f>
        <v>-</v>
      </c>
    </row>
    <row r="634" spans="1:12" hidden="1" x14ac:dyDescent="0.25">
      <c r="A634" s="35"/>
      <c r="B634" s="64" t="str">
        <f>IF('Status Thresholds'!A629=0, "", 'Status Thresholds'!A629)</f>
        <v>Deviant</v>
      </c>
      <c r="C634" s="64" t="str">
        <f>IF('Status Thresholds'!B629=0, "", 'Status Thresholds'!B629)</f>
        <v>Redhelm Arzuros</v>
      </c>
      <c r="D634" s="10" t="s">
        <v>22</v>
      </c>
      <c r="E634" s="36" t="str">
        <f t="shared" si="9"/>
        <v>Redhelm ArzurosExhaust</v>
      </c>
      <c r="F634" s="36" t="str">
        <f>IFERROR(
ROUNDUP(
IF(AND($U$5=FALSE,$U$4=FALSE),"-",IF(AND($U$5=TRUE,$U$4=TRUE),"-",
IF((AND($U$4=TRUE,$U$5=FALSE,$U$6=FALSE,$U$7=FALSE)),VLOOKUP($E634,'Status Thresholds'!$E:$AR,2,FALSE),IF((AND($U$4=TRUE,$U$5=FALSE,$U$6=TRUE,$U$7=FALSE)),VLOOKUP($E634,'Status Thresholds'!$E:$AR,12,FALSE),IF((AND($U$4=TRUE,$U$5=FALSE,$U$6=TRUE,$U$7=TRUE)),VLOOKUP($E634,'Status Thresholds'!$E:$AR,17,FALSE),IF((AND($U$4=TRUE,$U$5=FALSE,$U$6=FALSE,$U$7=TRUE)),VLOOKUP($E634,'Status Thresholds'!$E:$AR,7,FALSE),
IF((AND($U$4=FALSE,$U$5=TRUE,$U$6=FALSE,$U$7=FALSE)),VLOOKUP($E634,'Status Thresholds'!$E:$AR,22,FALSE),IF((AND($U$4=FALSE,$U$5=TRUE,$U$6=TRUE,$U$7=FALSE)),VLOOKUP($E634,'Status Thresholds'!$E:$AR,32,FALSE),IF((AND($U$4=FALSE,$U$5=TRUE,$U$6=TRUE,$U$7=TRUE)),VLOOKUP($E634,'Status Thresholds'!$E:$AR,37,FALSE),IF((AND($U$4=FALSE,$U$5=TRUE,$U$6=FALSE,$U$7=TRUE)),VLOOKUP($E634,'Status Thresholds'!$E:$AR,27,FALSE)))))))))
))/
IF(OR($X$5=TRUE,$AC$3=TRUE
),($F$6/2), IF(OR($X$2,$X$3,$X$4,$X$6,$X$7,$X$8,$Z$2,$Z$3,$Z$4,$Z$5,$Z$6,$Z$7,$Z$8)=TRUE,$F$6)),0),"-")</f>
        <v>-</v>
      </c>
      <c r="G634" s="36" t="str">
        <f>IFERROR(
ROUNDUP(
IF(AND($U$5=FALSE,$U$4=FALSE),"-",IF(AND($U$5=TRUE,$U$4=TRUE),"-",
IF((AND($U$4=TRUE,$U$5=FALSE,$U$6=FALSE,$U$7=FALSE)),VLOOKUP($E634,'Status Thresholds'!$E:$AR,3,FALSE),IF((AND($U$4=TRUE,$U$5=FALSE,$U$6=TRUE,$U$7=FALSE)),VLOOKUP($E634,'Status Thresholds'!$E:$AR,13,FALSE),IF((AND($U$4=TRUE,$U$5=FALSE,$U$6=TRUE,$U$7=TRUE)),VLOOKUP($E634,'Status Thresholds'!$E:$AR,18,FALSE),IF((AND($U$4=TRUE,$U$5=FALSE,$U$6=FALSE,$U$7=TRUE)),VLOOKUP($E634,'Status Thresholds'!$E:$AR,8,FALSE),
IF((AND($U$4=FALSE,$U$5=TRUE,$U$6=FALSE,$U$7=FALSE)),VLOOKUP($E634,'Status Thresholds'!$E:$AR,23,FALSE),IF((AND($U$4=FALSE,$U$5=TRUE,$U$6=TRUE,$U$7=FALSE)),VLOOKUP($E634,'Status Thresholds'!$E:$AR,33,FALSE),IF((AND($U$4=FALSE,$U$5=TRUE,$U$6=TRUE,$U$7=TRUE)),VLOOKUP($E634,'Status Thresholds'!$E:$AR,38,FALSE),IF((AND($U$4=FALSE,$U$5=TRUE,$U$6=FALSE,$U$7=TRUE)),VLOOKUP($E634,'Status Thresholds'!$E:$AR,28,FALSE)))))))))
))/
IF(OR($X$5=TRUE,$AC$3=TRUE
),($F$6/2), IF(OR($X$2,$X$3,$X$4,$X$6,$X$7,$X$8,$Z$2,$Z$3,$Z$4,$Z$5,$Z$6,$Z$7,$Z$8)=TRUE,$F$6)),0),"-")</f>
        <v>-</v>
      </c>
      <c r="H634" s="36" t="str">
        <f>IFERROR(
ROUNDUP(
IF(AND($U$5=FALSE,$U$4=FALSE),"-",IF(AND($U$5=TRUE,$U$4=TRUE),"-",
IF((AND($U$4=TRUE,$U$5=FALSE,$U$6=FALSE,$U$7=FALSE)),VLOOKUP($E634,'Status Thresholds'!$E:$AR,4,FALSE),IF((AND($U$4=TRUE,$U$5=FALSE,$U$6=TRUE,$U$7=FALSE)),VLOOKUP($E634,'Status Thresholds'!$E:$AR,14,FALSE),IF((AND($U$4=TRUE,$U$5=FALSE,$U$6=TRUE,$U$7=TRUE)),VLOOKUP($E634,'Status Thresholds'!$E:$AR,19,FALSE),IF((AND($U$4=TRUE,$U$5=FALSE,$U$6=FALSE,$U$7=TRUE)),VLOOKUP($E634,'Status Thresholds'!$E:$AR,9,FALSE),
IF((AND($U$4=FALSE,$U$5=TRUE,$U$6=FALSE,$U$7=FALSE)),VLOOKUP($E634,'Status Thresholds'!$E:$AR,24,FALSE),IF((AND($U$4=FALSE,$U$5=TRUE,$U$6=TRUE,$U$7=FALSE)),VLOOKUP($E634,'Status Thresholds'!$E:$AR,34,FALSE),IF((AND($U$4=FALSE,$U$5=TRUE,$U$6=TRUE,$U$7=TRUE)),VLOOKUP($E634,'Status Thresholds'!$E:$AR,39,FALSE),IF((AND($U$4=FALSE,$U$5=TRUE,$U$6=FALSE,$U$7=TRUE)),VLOOKUP($E634,'Status Thresholds'!$E:$AR,29,FALSE)))))))))
))/
IF(OR($X$5=TRUE,$AC$3=TRUE
),($F$6/2), IF(OR($X$2,$X$3,$X$4,$X$6,$X$7,$X$8,$Z$2,$Z$3,$Z$4,$Z$5,$Z$6,$Z$7,$Z$8)=TRUE,$F$6)),0),"-")</f>
        <v>-</v>
      </c>
      <c r="I634" s="36" t="str">
        <f>IFERROR(
ROUNDUP(
IF(AND($U$5=FALSE,$U$4=FALSE),"-",IF(AND($U$5=TRUE,$U$4=TRUE),"-",
IF((AND($U$4=TRUE,$U$5=FALSE,$U$6=FALSE,$U$7=FALSE)),VLOOKUP($E634,'Status Thresholds'!$E:$AR,5,FALSE),IF((AND($U$4=TRUE,$U$5=FALSE,$U$6=TRUE,$U$7=FALSE)),VLOOKUP($E634,'Status Thresholds'!$E:$AR,15,FALSE),IF((AND($U$4=TRUE,$U$5=FALSE,$U$6=TRUE,$U$7=TRUE)),VLOOKUP($E634,'Status Thresholds'!$E:$AR,20,FALSE),IF((AND($U$4=TRUE,$U$5=FALSE,$U$6=FALSE,$U$7=TRUE)),VLOOKUP($E634,'Status Thresholds'!$E:$AR,10,FALSE),
IF((AND($U$4=FALSE,$U$5=TRUE,$U$6=FALSE,$U$7=FALSE)),VLOOKUP($E634,'Status Thresholds'!$E:$AR,25,FALSE),IF((AND($U$4=FALSE,$U$5=TRUE,$U$6=TRUE,$U$7=FALSE)),VLOOKUP($E634,'Status Thresholds'!$E:$AR,35,FALSE),IF((AND($U$4=FALSE,$U$5=TRUE,$U$6=TRUE,$U$7=TRUE)),VLOOKUP($E634,'Status Thresholds'!$E:$AR,40,FALSE),IF((AND($U$4=FALSE,$U$5=TRUE,$U$6=FALSE,$U$7=TRUE)),VLOOKUP($E634,'Status Thresholds'!$E:$AR,30,FALSE)))))))))
))/
IF(OR($X$5=TRUE,$AC$3=TRUE
),($F$6/2), IF(OR($X$2,$X$3,$X$4,$X$6,$X$7,$X$8,$Z$2,$Z$3,$Z$4,$Z$5,$Z$6,$Z$7,$Z$8)=TRUE,$F$6)),0),"-")</f>
        <v>-</v>
      </c>
      <c r="J634" s="46">
        <f>IFERROR(IF(AND($U$5=FALSE,$U$4=FALSE),"-",VLOOKUP($E634,'Status Thresholds'!$E:$AU,41,FALSE)),"-")</f>
        <v>0</v>
      </c>
      <c r="K634" s="46" t="str">
        <f>IFERROR(IF(AND($U$5=FALSE,$U$4=FALSE),"-",VLOOKUP($E634,'Status Thresholds'!$E:$AU,42,FALSE)),"-")</f>
        <v>-</v>
      </c>
      <c r="L634" s="46" t="str">
        <f>IFERROR(IF(AND($U$5=FALSE,$U$4=FALSE),"-",VLOOKUP($E634,'Status Thresholds'!$E:$AU,43,FALSE)),"-")</f>
        <v>-</v>
      </c>
    </row>
    <row r="635" spans="1:12" hidden="1" x14ac:dyDescent="0.25">
      <c r="A635" s="35"/>
      <c r="B635" s="64" t="str">
        <f>IF('Status Thresholds'!A630=0, "", 'Status Thresholds'!A630)</f>
        <v>Deviant</v>
      </c>
      <c r="C635" s="64" t="str">
        <f>IF('Status Thresholds'!B630=0, "", 'Status Thresholds'!B630)</f>
        <v>Redhelm Arzuros</v>
      </c>
      <c r="D635" s="30" t="s">
        <v>35</v>
      </c>
      <c r="E635" s="36" t="str">
        <f t="shared" si="9"/>
        <v>Redhelm ArzurosBlast</v>
      </c>
      <c r="F635" s="36" t="str">
        <f>IFERROR(
ROUNDUP(
IF(AND($U$5=FALSE,$U$4=FALSE),"-",IF(AND($U$5=TRUE,$U$4=TRUE),"-",
IF((AND($U$4=TRUE,$U$5=FALSE,$U$6=FALSE,$U$7=FALSE)),VLOOKUP($E635,'Status Thresholds'!$E:$AR,2,FALSE),IF((AND($U$4=TRUE,$U$5=FALSE,$U$6=TRUE,$U$7=FALSE)),VLOOKUP($E635,'Status Thresholds'!$E:$AR,12,FALSE),IF((AND($U$4=TRUE,$U$5=FALSE,$U$6=TRUE,$U$7=TRUE)),VLOOKUP($E635,'Status Thresholds'!$E:$AR,17,FALSE),IF((AND($U$4=TRUE,$U$5=FALSE,$U$6=FALSE,$U$7=TRUE)),VLOOKUP($E635,'Status Thresholds'!$E:$AR,7,FALSE),
IF((AND($U$4=FALSE,$U$5=TRUE,$U$6=FALSE,$U$7=FALSE)),VLOOKUP($E635,'Status Thresholds'!$E:$AR,22,FALSE),IF((AND($U$4=FALSE,$U$5=TRUE,$U$6=TRUE,$U$7=FALSE)),VLOOKUP($E635,'Status Thresholds'!$E:$AR,32,FALSE),IF((AND($U$4=FALSE,$U$5=TRUE,$U$6=TRUE,$U$7=TRUE)),VLOOKUP($E635,'Status Thresholds'!$E:$AR,37,FALSE),IF((AND($U$4=FALSE,$U$5=TRUE,$U$6=FALSE,$U$7=TRUE)),VLOOKUP($E635,'Status Thresholds'!$E:$AR,27,FALSE)))))))))
))/
IF(OR($X$5=TRUE,$AC$3=TRUE
),($F$7/2), IF(OR($X$2,$X$3,$X$4,$X$6,$X$7,$X$8,$Z$2,$Z$3,$Z$4,$Z$5,$Z$6,$Z$7,$Z$8)=TRUE,$F$7)),0),"-")</f>
        <v>-</v>
      </c>
      <c r="G635" s="36" t="str">
        <f>IFERROR(
ROUNDUP(
IF(AND($U$5=FALSE,$U$4=FALSE),"-",IF(AND($U$5=TRUE,$U$4=TRUE),"-",
IF((AND($U$4=TRUE,$U$5=FALSE,$U$6=FALSE,$U$7=FALSE)),VLOOKUP($E635,'Status Thresholds'!$E:$AR,3,FALSE),IF((AND($U$4=TRUE,$U$5=FALSE,$U$6=TRUE,$U$7=FALSE)),VLOOKUP($E635,'Status Thresholds'!$E:$AR,13,FALSE),IF((AND($U$4=TRUE,$U$5=FALSE,$U$6=TRUE,$U$7=TRUE)),VLOOKUP($E635,'Status Thresholds'!$E:$AR,18,FALSE),IF((AND($U$4=TRUE,$U$5=FALSE,$U$6=FALSE,$U$7=TRUE)),VLOOKUP($E635,'Status Thresholds'!$E:$AR,8,FALSE),
IF((AND($U$4=FALSE,$U$5=TRUE,$U$6=FALSE,$U$7=FALSE)),VLOOKUP($E635,'Status Thresholds'!$E:$AR,23,FALSE),IF((AND($U$4=FALSE,$U$5=TRUE,$U$6=TRUE,$U$7=FALSE)),VLOOKUP($E635,'Status Thresholds'!$E:$AR,33,FALSE),IF((AND($U$4=FALSE,$U$5=TRUE,$U$6=TRUE,$U$7=TRUE)),VLOOKUP($E635,'Status Thresholds'!$E:$AR,38,FALSE),IF((AND($U$4=FALSE,$U$5=TRUE,$U$6=FALSE,$U$7=TRUE)),VLOOKUP($E635,'Status Thresholds'!$E:$AR,28,FALSE)))))))))
))/
IF(OR($X$5=TRUE,$AC$3=TRUE
),($F$7/2), IF(OR($X$2,$X$3,$X$4,$X$6,$X$7,$X$8,$Z$2,$Z$3,$Z$4,$Z$5,$Z$6,$Z$7,$Z$8)=TRUE,$F$7)),0),"-")</f>
        <v>-</v>
      </c>
      <c r="H635" s="36" t="str">
        <f>IFERROR(
ROUNDUP(
IF(AND($U$5=FALSE,$U$4=FALSE),"-",IF(AND($U$5=TRUE,$U$4=TRUE),"-",
IF((AND($U$4=TRUE,$U$5=FALSE,$U$6=FALSE,$U$7=FALSE)),VLOOKUP($E635,'Status Thresholds'!$E:$AR,4,FALSE),IF((AND($U$4=TRUE,$U$5=FALSE,$U$6=TRUE,$U$7=FALSE)),VLOOKUP($E635,'Status Thresholds'!$E:$AR,14,FALSE),IF((AND($U$4=TRUE,$U$5=FALSE,$U$6=TRUE,$U$7=TRUE)),VLOOKUP($E635,'Status Thresholds'!$E:$AR,19,FALSE),IF((AND($U$4=TRUE,$U$5=FALSE,$U$6=FALSE,$U$7=TRUE)),VLOOKUP($E635,'Status Thresholds'!$E:$AR,9,FALSE),
IF((AND($U$4=FALSE,$U$5=TRUE,$U$6=FALSE,$U$7=FALSE)),VLOOKUP($E635,'Status Thresholds'!$E:$AR,24,FALSE),IF((AND($U$4=FALSE,$U$5=TRUE,$U$6=TRUE,$U$7=FALSE)),VLOOKUP($E635,'Status Thresholds'!$E:$AR,34,FALSE),IF((AND($U$4=FALSE,$U$5=TRUE,$U$6=TRUE,$U$7=TRUE)),VLOOKUP($E635,'Status Thresholds'!$E:$AR,39,FALSE),IF((AND($U$4=FALSE,$U$5=TRUE,$U$6=FALSE,$U$7=TRUE)),VLOOKUP($E635,'Status Thresholds'!$E:$AR,29,FALSE)))))))))
))/
IF(OR($X$5=TRUE,$AC$3=TRUE
),($F$7/2), IF(OR($X$2,$X$3,$X$4,$X$6,$X$7,$X$8,$Z$2,$Z$3,$Z$4,$Z$5,$Z$6,$Z$7,$Z$8)=TRUE,$F$7)),0),"-")</f>
        <v>-</v>
      </c>
      <c r="I635" s="36" t="str">
        <f>IFERROR(
ROUNDUP(
IF(AND($U$5=FALSE,$U$4=FALSE),"-",IF(AND($U$5=TRUE,$U$4=TRUE),"-",
IF((AND($U$4=TRUE,$U$5=FALSE,$U$6=FALSE,$U$7=FALSE)),VLOOKUP($E635,'Status Thresholds'!$E:$AR,5,FALSE),IF((AND($U$4=TRUE,$U$5=FALSE,$U$6=TRUE,$U$7=FALSE)),VLOOKUP($E635,'Status Thresholds'!$E:$AR,15,FALSE),IF((AND($U$4=TRUE,$U$5=FALSE,$U$6=TRUE,$U$7=TRUE)),VLOOKUP($E635,'Status Thresholds'!$E:$AR,20,FALSE),IF((AND($U$4=TRUE,$U$5=FALSE,$U$6=FALSE,$U$7=TRUE)),VLOOKUP($E635,'Status Thresholds'!$E:$AR,10,FALSE),
IF((AND($U$4=FALSE,$U$5=TRUE,$U$6=FALSE,$U$7=FALSE)),VLOOKUP($E635,'Status Thresholds'!$E:$AR,25,FALSE),IF((AND($U$4=FALSE,$U$5=TRUE,$U$6=TRUE,$U$7=FALSE)),VLOOKUP($E635,'Status Thresholds'!$E:$AR,35,FALSE),IF((AND($U$4=FALSE,$U$5=TRUE,$U$6=TRUE,$U$7=TRUE)),VLOOKUP($E635,'Status Thresholds'!$E:$AR,40,FALSE),IF((AND($U$4=FALSE,$U$5=TRUE,$U$6=FALSE,$U$7=TRUE)),VLOOKUP($E635,'Status Thresholds'!$E:$AR,30,FALSE)))))))))
))/
IF(OR($X$5=TRUE,$AC$3=TRUE
),($F$7/2), IF(OR($X$2,$X$3,$X$4,$X$6,$X$7,$X$8,$Z$2,$Z$3,$Z$4,$Z$5,$Z$6,$Z$7,$Z$8)=TRUE,$F$7)),0),"-")</f>
        <v>-</v>
      </c>
      <c r="J635" s="46">
        <f>IFERROR(IF(AND($U$5=FALSE,$U$4=FALSE),"-",VLOOKUP($E635,'Status Thresholds'!$E:$AU,41,FALSE)),"-")</f>
        <v>0</v>
      </c>
      <c r="K635" s="46" t="str">
        <f>IFERROR(IF(AND($U$5=FALSE,$U$4=FALSE),"-",VLOOKUP($E635,'Status Thresholds'!$E:$AU,42,FALSE)),"-")</f>
        <v>-</v>
      </c>
      <c r="L635" s="46" t="str">
        <f>IFERROR(IF(AND($U$5=FALSE,$U$4=FALSE),"-",VLOOKUP($E635,'Status Thresholds'!$E:$AU,43,FALSE)),"-")</f>
        <v>-</v>
      </c>
    </row>
    <row r="636" spans="1:12" ht="14.45" hidden="1" customHeight="1" x14ac:dyDescent="0.25">
      <c r="A636" s="35"/>
      <c r="B636" s="64" t="str">
        <f>IF('Status Thresholds'!A631=0, "", 'Status Thresholds'!A631)</f>
        <v>Deviant</v>
      </c>
      <c r="C636" s="64" t="str">
        <f>IF('Status Thresholds'!B631=0, "", 'Status Thresholds'!B631)</f>
        <v>Redhelm Arzuros</v>
      </c>
      <c r="D636" s="34" t="s">
        <v>14</v>
      </c>
      <c r="E636" s="36" t="str">
        <f t="shared" si="9"/>
        <v>Redhelm ArzurosKO</v>
      </c>
      <c r="F636" s="36" t="s">
        <v>214</v>
      </c>
      <c r="G636" s="36" t="s">
        <v>214</v>
      </c>
      <c r="H636" s="36" t="s">
        <v>214</v>
      </c>
      <c r="I636" s="36" t="s">
        <v>214</v>
      </c>
      <c r="J636" s="46">
        <f>IFERROR(IF(AND($U$5=FALSE,$U$4=FALSE),"-",VLOOKUP($E636,'Status Thresholds'!$E:$AU,41,FALSE)),"-")</f>
        <v>7</v>
      </c>
      <c r="K636" s="46" t="str">
        <f>IFERROR(IF(AND($U$5=FALSE,$U$4=FALSE),"-",VLOOKUP($E636,'Status Thresholds'!$E:$AU,42,FALSE)),"-")</f>
        <v>-</v>
      </c>
      <c r="L636" s="46" t="str">
        <f>IFERROR(IF(AND($U$5=FALSE,$U$4=FALSE),"-",VLOOKUP($E636,'Status Thresholds'!$E:$AU,43,FALSE)),"-")</f>
        <v>-</v>
      </c>
    </row>
    <row r="637" spans="1:12" hidden="1" x14ac:dyDescent="0.25">
      <c r="A637" s="35"/>
      <c r="B637" s="64" t="str">
        <f>IF('Status Thresholds'!A632=0, "", 'Status Thresholds'!A632)</f>
        <v>Deviant</v>
      </c>
      <c r="C637" s="64" t="str">
        <f>IF('Status Thresholds'!B632=0, "", 'Status Thresholds'!B632)</f>
        <v>Redhelm Arzuros</v>
      </c>
      <c r="D637" s="33" t="s">
        <v>34</v>
      </c>
      <c r="E637" s="36" t="str">
        <f t="shared" si="9"/>
        <v>Redhelm ArzurosMount</v>
      </c>
      <c r="F637" s="36" t="str">
        <f>IFERROR(
ROUNDUP(
IF(AND($U$5=FALSE,$U$4=FALSE),"-",IF(AND($U$5=TRUE,$U$4=TRUE),"-",
IF((AND($U$4=TRUE,$U$5=FALSE,$U$6=FALSE,$U$7=FALSE)),VLOOKUP($E637,'Status Thresholds'!$E:$AR,2,FALSE),IF((AND($U$4=TRUE,$U$5=FALSE,$U$6=TRUE,$U$7=FALSE)),VLOOKUP($E637,'Status Thresholds'!$E:$AR,12,FALSE),IF((AND($U$4=TRUE,$U$5=FALSE,$U$6=TRUE,$U$7=TRUE)),VLOOKUP($E637,'Status Thresholds'!$E:$AR,17,FALSE),IF((AND($U$4=TRUE,$U$5=FALSE,$U$6=FALSE,$U$7=TRUE)),VLOOKUP($E637,'Status Thresholds'!$E:$AR,7,FALSE),
IF((AND($U$4=FALSE,$U$5=TRUE,$U$6=FALSE,$U$7=FALSE)),VLOOKUP($E637,'Status Thresholds'!$E:$AR,22,FALSE),IF((AND($U$4=FALSE,$U$5=TRUE,$U$6=TRUE,$U$7=FALSE)),VLOOKUP($E637,'Status Thresholds'!$E:$AR,32,FALSE),IF((AND($U$4=FALSE,$U$5=TRUE,$U$6=TRUE,$U$7=TRUE)),VLOOKUP($E637,'Status Thresholds'!$E:$AR,37,FALSE),IF((AND($U$4=FALSE,$U$5=TRUE,$U$6=FALSE,$U$7=TRUE)),VLOOKUP($E637,'Status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637" s="36" t="str">
        <f>IFERROR(
ROUNDUP(
IF(AND($U$5=FALSE,$U$4=FALSE),"-",IF(AND($U$5=TRUE,$U$4=TRUE),"-",
IF((AND($U$4=TRUE,$U$5=FALSE,$U$6=FALSE,$U$7=FALSE)),VLOOKUP($E636,'Status Thresholds'!$E:$AR,3,FALSE),IF((AND($U$4=TRUE,$U$5=FALSE,$U$6=TRUE,$U$7=FALSE)),VLOOKUP($E636,'Status Thresholds'!$E:$AR,13,FALSE),IF((AND($U$4=TRUE,$U$5=FALSE,$U$6=TRUE,$U$7=TRUE)),VLOOKUP($E636,'Status Thresholds'!$E:$AR,18,FALSE),IF((AND($U$4=TRUE,$U$5=FALSE,$U$6=FALSE,$U$7=TRUE)),VLOOKUP($E636,'Status Thresholds'!$E:$AR,8,FALSE),
IF((AND($U$4=FALSE,$U$5=TRUE,$U$6=FALSE,$U$7=FALSE)),VLOOKUP($E636,'Status Thresholds'!$E:$AR,23,FALSE),IF((AND($U$4=FALSE,$U$5=TRUE,$U$6=TRUE,$U$7=FALSE)),VLOOKUP($E636,'Status Thresholds'!$E:$AR,33,FALSE),IF((AND($U$4=FALSE,$U$5=TRUE,$U$6=TRUE,$U$7=TRUE)),VLOOKUP($E636,'Status Thresholds'!$E:$AR,38,FALSE),IF((AND($U$4=FALSE,$U$5=TRUE,$U$6=FALSE,$U$7=TRUE)),VLOOKUP($E636,'Status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637" s="36" t="str">
        <f>IFERROR(
ROUNDUP(
IF(AND($U$5=FALSE,$U$4=FALSE),"-",IF(AND($U$5=TRUE,$U$4=TRUE),"-",
IF((AND($U$4=TRUE,$U$5=FALSE,$U$6=FALSE,$U$7=FALSE)),VLOOKUP($E636,'Status Thresholds'!$E:$AR,4,FALSE),IF((AND($U$4=TRUE,$U$5=FALSE,$U$6=TRUE,$U$7=FALSE)),VLOOKUP($E636,'Status Thresholds'!$E:$AR,14,FALSE),IF((AND($U$4=TRUE,$U$5=FALSE,$U$6=TRUE,$U$7=TRUE)),VLOOKUP($E636,'Status Thresholds'!$E:$AR,19,FALSE),IF((AND($U$4=TRUE,$U$5=FALSE,$U$6=FALSE,$U$7=TRUE)),VLOOKUP($E636,'Status Thresholds'!$E:$AR,9,FALSE),
IF((AND($U$4=FALSE,$U$5=TRUE,$U$6=FALSE,$U$7=FALSE)),VLOOKUP($E636,'Status Thresholds'!$E:$AR,24,FALSE),IF((AND($U$4=FALSE,$U$5=TRUE,$U$6=TRUE,$U$7=FALSE)),VLOOKUP($E636,'Status Thresholds'!$E:$AR,34,FALSE),IF((AND($U$4=FALSE,$U$5=TRUE,$U$6=TRUE,$U$7=TRUE)),VLOOKUP($E636,'Status Thresholds'!$E:$AR,39,FALSE),IF((AND($U$4=FALSE,$U$5=TRUE,$U$6=FALSE,$U$7=TRUE)),VLOOKUP($E636,'Status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637" s="36" t="str">
        <f>IFERROR(
ROUNDUP(
IF(AND($U$5=FALSE,$U$4=FALSE),"-",IF(AND($U$5=TRUE,$U$4=TRUE),"-",
IF((AND($U$4=TRUE,$U$5=FALSE,$U$6=FALSE,$U$7=FALSE)),VLOOKUP($E636,'Status Thresholds'!$E:$AR,5,FALSE),IF((AND($U$4=TRUE,$U$5=FALSE,$U$6=TRUE,$U$7=FALSE)),VLOOKUP($E636,'Status Thresholds'!$E:$AR,15,FALSE),IF((AND($U$4=TRUE,$U$5=FALSE,$U$6=TRUE,$U$7=TRUE)),VLOOKUP($E636,'Status Thresholds'!$E:$AR,20,FALSE),IF((AND($U$4=TRUE,$U$5=FALSE,$U$6=FALSE,$U$7=TRUE)),VLOOKUP($E636,'Status Thresholds'!$E:$AR,10,FALSE),
IF((AND($U$4=FALSE,$U$5=TRUE,$U$6=FALSE,$U$7=FALSE)),VLOOKUP($E636,'Status Thresholds'!$E:$AR,25,FALSE),IF((AND($U$4=FALSE,$U$5=TRUE,$U$6=TRUE,$U$7=FALSE)),VLOOKUP($E636,'Status Thresholds'!$E:$AR,35,FALSE),IF((AND($U$4=FALSE,$U$5=TRUE,$U$6=TRUE,$U$7=TRUE)),VLOOKUP($E636,'Status Thresholds'!$E:$AR,40,FALSE),IF((AND($U$4=FALSE,$U$5=TRUE,$U$6=FALSE,$U$7=TRUE)),VLOOKUP($E636,'Status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637" s="46">
        <f>IFERROR(IF(AND($U$5=FALSE,$U$4=FALSE),"-",VLOOKUP($E637,'Status Thresholds'!$E:$AU,41,FALSE)),"-")</f>
        <v>0</v>
      </c>
      <c r="K637" s="46" t="str">
        <f>IFERROR(IF(AND($U$5=FALSE,$U$4=FALSE),"-",VLOOKUP($E637,'Status Thresholds'!$E:$AU,42,FALSE)),"-")</f>
        <v>-</v>
      </c>
      <c r="L637" s="46" t="str">
        <f>IFERROR(IF(AND($U$5=FALSE,$U$4=FALSE),"-",VLOOKUP($E637,'Status Thresholds'!$E:$AU,43,FALSE)),"-")</f>
        <v>-</v>
      </c>
    </row>
    <row r="638" spans="1:12" ht="15" hidden="1" customHeight="1" x14ac:dyDescent="0.25">
      <c r="A638" s="35"/>
      <c r="B638" s="64" t="str">
        <f>IF('Status Thresholds'!A633=0, "", 'Status Thresholds'!A633)</f>
        <v>Deviant</v>
      </c>
      <c r="C638" s="64" t="str">
        <f>IF('Status Thresholds'!B633=0, "", 'Status Thresholds'!B633)</f>
        <v>Redhelm Arzuros</v>
      </c>
      <c r="D638" s="77" t="s">
        <v>207</v>
      </c>
      <c r="E638" s="36" t="str">
        <f t="shared" si="9"/>
        <v>Redhelm ArzurosShock Trap</v>
      </c>
      <c r="F638" s="76" t="s">
        <v>214</v>
      </c>
      <c r="G638" s="46" t="s">
        <v>214</v>
      </c>
      <c r="H638" s="46" t="s">
        <v>214</v>
      </c>
      <c r="I638" s="46" t="s">
        <v>214</v>
      </c>
      <c r="J638" s="46">
        <f>IFERROR(IF(AND($U$5=FALSE,$U$4=FALSE),"-",VLOOKUP($E638,'Status Thresholds'!$E:$AU,43,FALSE)),"-")</f>
        <v>12</v>
      </c>
      <c r="K638" s="46">
        <f>IFERROR(IF(AND($U$5=FALSE,$U$4=FALSE),"-",VLOOKUP($E638,'Status Thresholds'!$E:$AU,41,FALSE)),"-")</f>
        <v>12</v>
      </c>
      <c r="L638" s="46">
        <f>IFERROR(IF(AND($U$5=FALSE,$U$4=FALSE),"-",VLOOKUP($E638,'Status Thresholds'!$E:$AU,42,FALSE)),"-")</f>
        <v>20</v>
      </c>
    </row>
    <row r="639" spans="1:12" hidden="1" x14ac:dyDescent="0.25">
      <c r="A639" s="35"/>
      <c r="B639" s="64" t="str">
        <f>IF('Status Thresholds'!A634=0, "", 'Status Thresholds'!A634)</f>
        <v>Deviant</v>
      </c>
      <c r="C639" s="64" t="str">
        <f>IF('Status Thresholds'!B634=0, "", 'Status Thresholds'!B634)</f>
        <v>Redhelm Arzuros</v>
      </c>
      <c r="D639" s="77" t="s">
        <v>213</v>
      </c>
      <c r="E639" s="36" t="str">
        <f t="shared" si="9"/>
        <v>Redhelm ArzurosPitfall Trap</v>
      </c>
      <c r="F639" s="46" t="s">
        <v>214</v>
      </c>
      <c r="G639" s="46" t="s">
        <v>214</v>
      </c>
      <c r="H639" s="46" t="s">
        <v>214</v>
      </c>
      <c r="I639" s="46" t="s">
        <v>214</v>
      </c>
      <c r="J639" s="46">
        <f>IFERROR(IF(AND($U$5=FALSE,$U$4=FALSE),"-",VLOOKUP($E639,'Status Thresholds'!$E:$AU,43,FALSE)),"-")</f>
        <v>15</v>
      </c>
      <c r="K639" s="46">
        <f>IFERROR(IF(AND($U$5=FALSE,$U$4=FALSE),"-",VLOOKUP($E639,'Status Thresholds'!$E:$AU,41,FALSE)),"-")</f>
        <v>15</v>
      </c>
      <c r="L639" s="46">
        <f>IFERROR(IF(AND($U$5=FALSE,$U$4=FALSE),"-",VLOOKUP($E639,'Status Thresholds'!$E:$AU,42,FALSE)),"-")</f>
        <v>20</v>
      </c>
    </row>
    <row r="640" spans="1:12" s="36" customFormat="1" x14ac:dyDescent="0.25">
      <c r="A640" s="64"/>
      <c r="B640" s="64" t="str">
        <f>VLOOKUP(C640,'Status Thresholds'!B:C,2,FALSE)</f>
        <v>MHGen</v>
      </c>
      <c r="C640" s="64" t="str">
        <f>IF('Status Thresholds'!B635=0, "", 'Status Thresholds'!B635)</f>
        <v>Royal Ludroth</v>
      </c>
      <c r="D640" s="37" t="s">
        <v>0</v>
      </c>
      <c r="E640" s="36" t="str">
        <f t="shared" si="9"/>
        <v>Royal LudrothPara</v>
      </c>
      <c r="J640" s="36">
        <f>IFERROR(IF(AND($U$5=FALSE,$U$4=FALSE),"-",VLOOKUP($E640,'Status Thresholds'!$E:$AU,41,FALSE)),"-")</f>
        <v>10</v>
      </c>
      <c r="K640" s="36" t="str">
        <f>IFERROR(IF(AND($U$5=FALSE,$U$4=FALSE),"-",VLOOKUP($E640,'Status Thresholds'!$E:$AU,42,FALSE)),"-")</f>
        <v>-</v>
      </c>
      <c r="L640" s="36" t="str">
        <f>IFERROR(IF(AND($U$5=FALSE,$U$4=FALSE),"-",VLOOKUP($E640,'Status Thresholds'!$E:$AU,43,FALSE)),"-")</f>
        <v>-</v>
      </c>
    </row>
    <row r="641" spans="1:12" x14ac:dyDescent="0.25">
      <c r="A641" s="35"/>
      <c r="B641" s="64" t="str">
        <f>VLOOKUP(C641,'Status Thresholds'!B:C,2,FALSE)</f>
        <v>MHGen</v>
      </c>
      <c r="C641" s="64" t="str">
        <f>IF('Status Thresholds'!B636=0, "", 'Status Thresholds'!B636)</f>
        <v>Royal Ludroth</v>
      </c>
      <c r="D641" s="31" t="s">
        <v>32</v>
      </c>
      <c r="E641" s="36" t="str">
        <f t="shared" si="9"/>
        <v>Royal LudrothSleep</v>
      </c>
      <c r="F641" s="36"/>
      <c r="G641" s="36"/>
      <c r="H641" s="36"/>
      <c r="I641" s="36"/>
      <c r="J641" s="46">
        <f>IFERROR(IF(AND($U$5=FALSE,$U$4=FALSE),"-",VLOOKUP($E641,'Status Thresholds'!$E:$AU,41,FALSE)),"-")</f>
        <v>30</v>
      </c>
      <c r="K641" s="46" t="str">
        <f>IFERROR(IF(AND($U$5=FALSE,$U$4=FALSE),"-",VLOOKUP($E641,'Status Thresholds'!$E:$AU,42,FALSE)),"-")</f>
        <v>-</v>
      </c>
      <c r="L641" s="46" t="str">
        <f>IFERROR(IF(AND($U$5=FALSE,$U$4=FALSE),"-",VLOOKUP($E641,'Status Thresholds'!$E:$AU,43,FALSE)),"-")</f>
        <v>-</v>
      </c>
    </row>
    <row r="642" spans="1:12" x14ac:dyDescent="0.25">
      <c r="A642" s="35"/>
      <c r="B642" s="64" t="str">
        <f>VLOOKUP(C642,'Status Thresholds'!B:C,2,FALSE)</f>
        <v>MHGen</v>
      </c>
      <c r="C642" s="64" t="str">
        <f>IF('Status Thresholds'!B637=0, "", 'Status Thresholds'!B637)</f>
        <v>Royal Ludroth</v>
      </c>
      <c r="D642" s="32" t="s">
        <v>33</v>
      </c>
      <c r="E642" s="36" t="str">
        <f t="shared" si="9"/>
        <v>Royal LudrothPoison</v>
      </c>
      <c r="F642" s="36"/>
      <c r="G642" s="36"/>
      <c r="H642" s="36"/>
      <c r="I642" s="36"/>
      <c r="J642" s="46">
        <f>IFERROR(IF(AND($U$5=FALSE,$U$4=FALSE),"-",VLOOKUP($E642,'Status Thresholds'!$E:$AU,41,FALSE)),"-")</f>
        <v>30</v>
      </c>
      <c r="K642" s="46" t="str">
        <f>IFERROR(IF(AND($U$5=FALSE,$U$4=FALSE),"-",VLOOKUP($E642,'Status Thresholds'!$E:$AU,42,FALSE)),"-")</f>
        <v>-</v>
      </c>
      <c r="L642" s="46" t="str">
        <f>IFERROR(IF(AND($U$5=FALSE,$U$4=FALSE),"-",VLOOKUP($E642,'Status Thresholds'!$E:$AU,43,FALSE)),"-")</f>
        <v>-</v>
      </c>
    </row>
    <row r="643" spans="1:12" x14ac:dyDescent="0.25">
      <c r="A643" s="35"/>
      <c r="B643" s="64" t="str">
        <f>VLOOKUP(C643,'Status Thresholds'!B:C,2,FALSE)</f>
        <v>MHGen</v>
      </c>
      <c r="C643" s="64" t="str">
        <f>IF('Status Thresholds'!B638=0, "", 'Status Thresholds'!B638)</f>
        <v>Royal Ludroth</v>
      </c>
      <c r="D643" s="10" t="s">
        <v>22</v>
      </c>
      <c r="E643" s="36" t="str">
        <f t="shared" si="9"/>
        <v>Royal LudrothExhaust</v>
      </c>
      <c r="F643" s="36"/>
      <c r="G643" s="36"/>
      <c r="H643" s="36"/>
      <c r="I643" s="36"/>
      <c r="J643" s="46">
        <f>IFERROR(IF(AND($U$5=FALSE,$U$4=FALSE),"-",VLOOKUP($E643,'Status Thresholds'!$E:$AU,41,FALSE)),"-")</f>
        <v>0</v>
      </c>
      <c r="K643" s="46" t="str">
        <f>IFERROR(IF(AND($U$5=FALSE,$U$4=FALSE),"-",VLOOKUP($E643,'Status Thresholds'!$E:$AU,42,FALSE)),"-")</f>
        <v>-</v>
      </c>
      <c r="L643" s="46" t="str">
        <f>IFERROR(IF(AND($U$5=FALSE,$U$4=FALSE),"-",VLOOKUP($E643,'Status Thresholds'!$E:$AU,43,FALSE)),"-")</f>
        <v>-</v>
      </c>
    </row>
    <row r="644" spans="1:12" x14ac:dyDescent="0.25">
      <c r="A644" s="35"/>
      <c r="B644" s="64" t="str">
        <f>VLOOKUP(C644,'Status Thresholds'!B:C,2,FALSE)</f>
        <v>MHGen</v>
      </c>
      <c r="C644" s="64" t="str">
        <f>IF('Status Thresholds'!B639=0, "", 'Status Thresholds'!B639)</f>
        <v>Royal Ludroth</v>
      </c>
      <c r="D644" s="30" t="s">
        <v>35</v>
      </c>
      <c r="E644" s="36" t="str">
        <f t="shared" si="9"/>
        <v>Royal LudrothBlast</v>
      </c>
      <c r="F644" s="36"/>
      <c r="G644" s="36"/>
      <c r="H644" s="36"/>
      <c r="I644" s="36"/>
      <c r="J644" s="46">
        <f>IFERROR(IF(AND($U$5=FALSE,$U$4=FALSE),"-",VLOOKUP($E644,'Status Thresholds'!$E:$AU,41,FALSE)),"-")</f>
        <v>0</v>
      </c>
      <c r="K644" s="46" t="str">
        <f>IFERROR(IF(AND($U$5=FALSE,$U$4=FALSE),"-",VLOOKUP($E644,'Status Thresholds'!$E:$AU,42,FALSE)),"-")</f>
        <v>-</v>
      </c>
      <c r="L644" s="46" t="str">
        <f>IFERROR(IF(AND($U$5=FALSE,$U$4=FALSE),"-",VLOOKUP($E644,'Status Thresholds'!$E:$AU,43,FALSE)),"-")</f>
        <v>-</v>
      </c>
    </row>
    <row r="645" spans="1:12" ht="14.45" customHeight="1" x14ac:dyDescent="0.25">
      <c r="A645" s="35"/>
      <c r="B645" s="64" t="str">
        <f>VLOOKUP(C645,'Status Thresholds'!B:C,2,FALSE)</f>
        <v>MHGen</v>
      </c>
      <c r="C645" s="64" t="str">
        <f>IF('Status Thresholds'!B640=0, "", 'Status Thresholds'!B640)</f>
        <v>Royal Ludroth</v>
      </c>
      <c r="D645" s="34" t="s">
        <v>14</v>
      </c>
      <c r="E645" s="36" t="str">
        <f t="shared" si="9"/>
        <v>Royal LudrothKO</v>
      </c>
      <c r="F645" s="36"/>
      <c r="G645" s="36"/>
      <c r="H645" s="36"/>
      <c r="I645" s="36"/>
      <c r="J645" s="46">
        <f>IFERROR(IF(AND($U$5=FALSE,$U$4=FALSE),"-",VLOOKUP($E645,'Status Thresholds'!$E:$AU,41,FALSE)),"-")</f>
        <v>10</v>
      </c>
      <c r="K645" s="46" t="str">
        <f>IFERROR(IF(AND($U$5=FALSE,$U$4=FALSE),"-",VLOOKUP($E645,'Status Thresholds'!$E:$AU,42,FALSE)),"-")</f>
        <v>-</v>
      </c>
      <c r="L645" s="46" t="str">
        <f>IFERROR(IF(AND($U$5=FALSE,$U$4=FALSE),"-",VLOOKUP($E645,'Status Thresholds'!$E:$AU,43,FALSE)),"-")</f>
        <v>-</v>
      </c>
    </row>
    <row r="646" spans="1:12" x14ac:dyDescent="0.25">
      <c r="A646" s="35"/>
      <c r="B646" s="64" t="str">
        <f>VLOOKUP(C646,'Status Thresholds'!B:C,2,FALSE)</f>
        <v>MHGen</v>
      </c>
      <c r="C646" s="64" t="str">
        <f>IF('Status Thresholds'!B641=0, "", 'Status Thresholds'!B641)</f>
        <v>Royal Ludroth</v>
      </c>
      <c r="D646" s="33" t="s">
        <v>34</v>
      </c>
      <c r="E646" s="36" t="str">
        <f t="shared" si="9"/>
        <v>Royal LudrothMount</v>
      </c>
      <c r="F646" s="36"/>
      <c r="G646" s="36"/>
      <c r="H646" s="36"/>
      <c r="I646" s="36"/>
      <c r="J646" s="46">
        <f>IFERROR(IF(AND($U$5=FALSE,$U$4=FALSE),"-",VLOOKUP($E646,'Status Thresholds'!$E:$AU,41,FALSE)),"-")</f>
        <v>0</v>
      </c>
      <c r="K646" s="46" t="str">
        <f>IFERROR(IF(AND($U$5=FALSE,$U$4=FALSE),"-",VLOOKUP($E646,'Status Thresholds'!$E:$AU,42,FALSE)),"-")</f>
        <v>-</v>
      </c>
      <c r="L646" s="46" t="str">
        <f>IFERROR(IF(AND($U$5=FALSE,$U$4=FALSE),"-",VLOOKUP($E646,'Status Thresholds'!$E:$AU,43,FALSE)),"-")</f>
        <v>-</v>
      </c>
    </row>
    <row r="647" spans="1:12" ht="15" customHeight="1" x14ac:dyDescent="0.25">
      <c r="A647" s="35"/>
      <c r="B647" s="64" t="str">
        <f>VLOOKUP(C647,'Status Thresholds'!B:C,2,FALSE)</f>
        <v>MHGen</v>
      </c>
      <c r="C647" s="64" t="str">
        <f>IF('Status Thresholds'!B642=0, "", 'Status Thresholds'!B642)</f>
        <v>Royal Ludroth</v>
      </c>
      <c r="D647" s="77" t="s">
        <v>207</v>
      </c>
      <c r="E647" s="36" t="str">
        <f t="shared" si="9"/>
        <v>Royal LudrothShock Trap</v>
      </c>
      <c r="F647" s="76"/>
      <c r="G647" s="46"/>
      <c r="H647" s="46"/>
      <c r="I647" s="46"/>
      <c r="J647" s="46">
        <f>IFERROR(IF(AND($U$5=FALSE,$U$4=FALSE),"-",VLOOKUP($E647,'Status Thresholds'!$E:$AU,43,FALSE)),"-")</f>
        <v>8</v>
      </c>
      <c r="K647" s="46">
        <f>IFERROR(IF(AND($U$5=FALSE,$U$4=FALSE),"-",VLOOKUP($E647,'Status Thresholds'!$E:$AU,41,FALSE)),"-")</f>
        <v>5</v>
      </c>
      <c r="L647" s="46">
        <f>IFERROR(IF(AND($U$5=FALSE,$U$4=FALSE),"-",VLOOKUP($E647,'Status Thresholds'!$E:$AU,42,FALSE)),"-")</f>
        <v>15</v>
      </c>
    </row>
    <row r="648" spans="1:12" x14ac:dyDescent="0.25">
      <c r="A648" s="35"/>
      <c r="B648" s="64" t="str">
        <f>VLOOKUP(C648,'Status Thresholds'!B:C,2,FALSE)</f>
        <v>MHGen</v>
      </c>
      <c r="C648" s="64" t="str">
        <f>IF('Status Thresholds'!B643=0, "", 'Status Thresholds'!B643)</f>
        <v>Royal Ludroth</v>
      </c>
      <c r="D648" s="77" t="s">
        <v>213</v>
      </c>
      <c r="E648" s="36" t="str">
        <f t="shared" si="9"/>
        <v>Royal LudrothPitfall Trap</v>
      </c>
      <c r="F648" s="46"/>
      <c r="G648" s="46"/>
      <c r="H648" s="46"/>
      <c r="I648" s="46"/>
      <c r="J648" s="46">
        <f>IFERROR(IF(AND($U$5=FALSE,$U$4=FALSE),"-",VLOOKUP($E648,'Status Thresholds'!$E:$AU,43,FALSE)),"-")</f>
        <v>13</v>
      </c>
      <c r="K648" s="46">
        <f>IFERROR(IF(AND($U$5=FALSE,$U$4=FALSE),"-",VLOOKUP($E648,'Status Thresholds'!$E:$AU,41,FALSE)),"-")</f>
        <v>10</v>
      </c>
      <c r="L648" s="46">
        <f>IFERROR(IF(AND($U$5=FALSE,$U$4=FALSE),"-",VLOOKUP($E648,'Status Thresholds'!$E:$AU,42,FALSE)),"-")</f>
        <v>25</v>
      </c>
    </row>
    <row r="649" spans="1:12" s="36" customFormat="1" hidden="1" x14ac:dyDescent="0.25">
      <c r="A649" s="64"/>
      <c r="B649" s="64" t="str">
        <f>IF('Status Thresholds'!A644=0, "", 'Status Thresholds'!A644)</f>
        <v>Deviant</v>
      </c>
      <c r="C649" s="64" t="str">
        <f>IF('Status Thresholds'!B644=0, "", 'Status Thresholds'!B644)</f>
        <v>Rustrazor Ceanataur</v>
      </c>
      <c r="D649" s="37" t="s">
        <v>0</v>
      </c>
      <c r="E649" s="36" t="str">
        <f t="shared" si="9"/>
        <v>Rustrazor CeanataurPara</v>
      </c>
      <c r="F649" s="36" t="s">
        <v>214</v>
      </c>
      <c r="G649" s="36" t="s">
        <v>214</v>
      </c>
      <c r="H649" s="36" t="s">
        <v>214</v>
      </c>
      <c r="I649" s="36" t="s">
        <v>214</v>
      </c>
      <c r="J649" s="36">
        <f>IFERROR(IF(AND($U$5=FALSE,$U$4=FALSE),"-",VLOOKUP($E649,'Status Thresholds'!$E:$AU,41,FALSE)),"-")</f>
        <v>10</v>
      </c>
      <c r="K649" s="36" t="str">
        <f>IFERROR(IF(AND($U$5=FALSE,$U$4=FALSE),"-",VLOOKUP($E649,'Status Thresholds'!$E:$AU,42,FALSE)),"-")</f>
        <v>-</v>
      </c>
      <c r="L649" s="36" t="str">
        <f>IFERROR(IF(AND($U$5=FALSE,$U$4=FALSE),"-",VLOOKUP($E649,'Status Thresholds'!$E:$AU,43,FALSE)),"-")</f>
        <v>-</v>
      </c>
    </row>
    <row r="650" spans="1:12" hidden="1" x14ac:dyDescent="0.25">
      <c r="A650" s="35"/>
      <c r="B650" s="64" t="str">
        <f>IF('Status Thresholds'!A645=0, "", 'Status Thresholds'!A645)</f>
        <v>Deviant</v>
      </c>
      <c r="C650" s="64" t="str">
        <f>IF('Status Thresholds'!B645=0, "", 'Status Thresholds'!B645)</f>
        <v>Rustrazor Ceanataur</v>
      </c>
      <c r="D650" s="31" t="s">
        <v>32</v>
      </c>
      <c r="E650" s="36" t="str">
        <f t="shared" si="9"/>
        <v>Rustrazor CeanataurSleep</v>
      </c>
      <c r="F650" s="36" t="s">
        <v>214</v>
      </c>
      <c r="G650" s="36" t="s">
        <v>214</v>
      </c>
      <c r="H650" s="36" t="s">
        <v>214</v>
      </c>
      <c r="I650" s="36" t="s">
        <v>214</v>
      </c>
      <c r="J650" s="46">
        <f>IFERROR(IF(AND($U$5=FALSE,$U$4=FALSE),"-",VLOOKUP($E650,'Status Thresholds'!$E:$AU,41,FALSE)),"-")</f>
        <v>30</v>
      </c>
      <c r="K650" s="46" t="str">
        <f>IFERROR(IF(AND($U$5=FALSE,$U$4=FALSE),"-",VLOOKUP($E650,'Status Thresholds'!$E:$AU,42,FALSE)),"-")</f>
        <v>-</v>
      </c>
      <c r="L650" s="46" t="str">
        <f>IFERROR(IF(AND($U$5=FALSE,$U$4=FALSE),"-",VLOOKUP($E650,'Status Thresholds'!$E:$AU,43,FALSE)),"-")</f>
        <v>-</v>
      </c>
    </row>
    <row r="651" spans="1:12" hidden="1" x14ac:dyDescent="0.25">
      <c r="A651" s="35"/>
      <c r="B651" s="64" t="str">
        <f>IF('Status Thresholds'!A646=0, "", 'Status Thresholds'!A646)</f>
        <v>Deviant</v>
      </c>
      <c r="C651" s="64" t="str">
        <f>IF('Status Thresholds'!B646=0, "", 'Status Thresholds'!B646)</f>
        <v>Rustrazor Ceanataur</v>
      </c>
      <c r="D651" s="32" t="s">
        <v>33</v>
      </c>
      <c r="E651" s="36" t="str">
        <f t="shared" si="9"/>
        <v>Rustrazor CeanataurPoison</v>
      </c>
      <c r="F651" s="36" t="s">
        <v>214</v>
      </c>
      <c r="G651" s="36" t="s">
        <v>214</v>
      </c>
      <c r="H651" s="36" t="s">
        <v>214</v>
      </c>
      <c r="I651" s="36" t="s">
        <v>214</v>
      </c>
      <c r="J651" s="46">
        <f>IFERROR(IF(AND($U$5=FALSE,$U$4=FALSE),"-",VLOOKUP($E651,'Status Thresholds'!$E:$AU,41,FALSE)),"-")</f>
        <v>60</v>
      </c>
      <c r="K651" s="46" t="str">
        <f>IFERROR(IF(AND($U$5=FALSE,$U$4=FALSE),"-",VLOOKUP($E651,'Status Thresholds'!$E:$AU,42,FALSE)),"-")</f>
        <v>-</v>
      </c>
      <c r="L651" s="46" t="str">
        <f>IFERROR(IF(AND($U$5=FALSE,$U$4=FALSE),"-",VLOOKUP($E651,'Status Thresholds'!$E:$AU,43,FALSE)),"-")</f>
        <v>-</v>
      </c>
    </row>
    <row r="652" spans="1:12" hidden="1" x14ac:dyDescent="0.25">
      <c r="A652" s="35"/>
      <c r="B652" s="64" t="str">
        <f>IF('Status Thresholds'!A647=0, "", 'Status Thresholds'!A647)</f>
        <v>Deviant</v>
      </c>
      <c r="C652" s="64" t="str">
        <f>IF('Status Thresholds'!B647=0, "", 'Status Thresholds'!B647)</f>
        <v>Rustrazor Ceanataur</v>
      </c>
      <c r="D652" s="10" t="s">
        <v>22</v>
      </c>
      <c r="E652" s="36" t="str">
        <f t="shared" si="9"/>
        <v>Rustrazor CeanataurExhaust</v>
      </c>
      <c r="F652" s="36" t="s">
        <v>214</v>
      </c>
      <c r="G652" s="36" t="s">
        <v>214</v>
      </c>
      <c r="H652" s="36" t="s">
        <v>214</v>
      </c>
      <c r="I652" s="36" t="s">
        <v>214</v>
      </c>
      <c r="J652" s="46">
        <f>IFERROR(IF(AND($U$5=FALSE,$U$4=FALSE),"-",VLOOKUP($E652,'Status Thresholds'!$E:$AU,41,FALSE)),"-")</f>
        <v>0</v>
      </c>
      <c r="K652" s="46" t="str">
        <f>IFERROR(IF(AND($U$5=FALSE,$U$4=FALSE),"-",VLOOKUP($E652,'Status Thresholds'!$E:$AU,42,FALSE)),"-")</f>
        <v>-</v>
      </c>
      <c r="L652" s="46" t="str">
        <f>IFERROR(IF(AND($U$5=FALSE,$U$4=FALSE),"-",VLOOKUP($E652,'Status Thresholds'!$E:$AU,43,FALSE)),"-")</f>
        <v>-</v>
      </c>
    </row>
    <row r="653" spans="1:12" hidden="1" x14ac:dyDescent="0.25">
      <c r="A653" s="35"/>
      <c r="B653" s="64" t="str">
        <f>IF('Status Thresholds'!A648=0, "", 'Status Thresholds'!A648)</f>
        <v>Deviant</v>
      </c>
      <c r="C653" s="64" t="str">
        <f>IF('Status Thresholds'!B648=0, "", 'Status Thresholds'!B648)</f>
        <v>Rustrazor Ceanataur</v>
      </c>
      <c r="D653" s="30" t="s">
        <v>35</v>
      </c>
      <c r="E653" s="36" t="str">
        <f t="shared" si="9"/>
        <v>Rustrazor CeanataurBlast</v>
      </c>
      <c r="F653" s="36" t="s">
        <v>214</v>
      </c>
      <c r="G653" s="36" t="s">
        <v>214</v>
      </c>
      <c r="H653" s="36" t="s">
        <v>214</v>
      </c>
      <c r="I653" s="36" t="s">
        <v>214</v>
      </c>
      <c r="J653" s="46">
        <f>IFERROR(IF(AND($U$5=FALSE,$U$4=FALSE),"-",VLOOKUP($E653,'Status Thresholds'!$E:$AU,41,FALSE)),"-")</f>
        <v>0</v>
      </c>
      <c r="K653" s="46" t="str">
        <f>IFERROR(IF(AND($U$5=FALSE,$U$4=FALSE),"-",VLOOKUP($E653,'Status Thresholds'!$E:$AU,42,FALSE)),"-")</f>
        <v>-</v>
      </c>
      <c r="L653" s="46" t="str">
        <f>IFERROR(IF(AND($U$5=FALSE,$U$4=FALSE),"-",VLOOKUP($E653,'Status Thresholds'!$E:$AU,43,FALSE)),"-")</f>
        <v>-</v>
      </c>
    </row>
    <row r="654" spans="1:12" ht="14.45" hidden="1" customHeight="1" x14ac:dyDescent="0.25">
      <c r="A654" s="35"/>
      <c r="B654" s="64" t="str">
        <f>IF('Status Thresholds'!A649=0, "", 'Status Thresholds'!A649)</f>
        <v>Deviant</v>
      </c>
      <c r="C654" s="64" t="str">
        <f>IF('Status Thresholds'!B649=0, "", 'Status Thresholds'!B649)</f>
        <v>Rustrazor Ceanataur</v>
      </c>
      <c r="D654" s="34" t="s">
        <v>14</v>
      </c>
      <c r="E654" s="36" t="str">
        <f t="shared" si="9"/>
        <v>Rustrazor CeanataurKO</v>
      </c>
      <c r="F654" s="36" t="s">
        <v>214</v>
      </c>
      <c r="G654" s="36" t="s">
        <v>214</v>
      </c>
      <c r="H654" s="36" t="s">
        <v>214</v>
      </c>
      <c r="I654" s="36" t="s">
        <v>214</v>
      </c>
      <c r="J654" s="46">
        <f>IFERROR(IF(AND($U$5=FALSE,$U$4=FALSE),"-",VLOOKUP($E654,'Status Thresholds'!$E:$AU,41,FALSE)),"-")</f>
        <v>10</v>
      </c>
      <c r="K654" s="46" t="str">
        <f>IFERROR(IF(AND($U$5=FALSE,$U$4=FALSE),"-",VLOOKUP($E654,'Status Thresholds'!$E:$AU,42,FALSE)),"-")</f>
        <v>-</v>
      </c>
      <c r="L654" s="46" t="str">
        <f>IFERROR(IF(AND($U$5=FALSE,$U$4=FALSE),"-",VLOOKUP($E654,'Status Thresholds'!$E:$AU,43,FALSE)),"-")</f>
        <v>-</v>
      </c>
    </row>
    <row r="655" spans="1:12" hidden="1" x14ac:dyDescent="0.25">
      <c r="A655" s="35"/>
      <c r="B655" s="64" t="str">
        <f>IF('Status Thresholds'!A650=0, "", 'Status Thresholds'!A650)</f>
        <v>Deviant</v>
      </c>
      <c r="C655" s="64" t="str">
        <f>IF('Status Thresholds'!B650=0, "", 'Status Thresholds'!B650)</f>
        <v>Rustrazor Ceanataur</v>
      </c>
      <c r="D655" s="33" t="s">
        <v>34</v>
      </c>
      <c r="E655" s="36" t="str">
        <f t="shared" si="9"/>
        <v>Rustrazor CeanataurMount</v>
      </c>
      <c r="F655" s="36">
        <v>0</v>
      </c>
      <c r="G655" s="36">
        <v>0</v>
      </c>
      <c r="H655" s="36">
        <v>0</v>
      </c>
      <c r="I655" s="36">
        <v>0</v>
      </c>
      <c r="J655" s="46">
        <f>IFERROR(IF(AND($U$5=FALSE,$U$4=FALSE),"-",VLOOKUP($E655,'Status Thresholds'!$E:$AU,41,FALSE)),"-")</f>
        <v>0</v>
      </c>
      <c r="K655" s="46" t="str">
        <f>IFERROR(IF(AND($U$5=FALSE,$U$4=FALSE),"-",VLOOKUP($E655,'Status Thresholds'!$E:$AU,42,FALSE)),"-")</f>
        <v>-</v>
      </c>
      <c r="L655" s="46" t="str">
        <f>IFERROR(IF(AND($U$5=FALSE,$U$4=FALSE),"-",VLOOKUP($E655,'Status Thresholds'!$E:$AU,43,FALSE)),"-")</f>
        <v>-</v>
      </c>
    </row>
    <row r="656" spans="1:12" ht="15" hidden="1" customHeight="1" x14ac:dyDescent="0.25">
      <c r="A656" s="35"/>
      <c r="B656" s="64" t="str">
        <f>IF('Status Thresholds'!A651=0, "", 'Status Thresholds'!A651)</f>
        <v>Deviant</v>
      </c>
      <c r="C656" s="64" t="str">
        <f>IF('Status Thresholds'!B651=0, "", 'Status Thresholds'!B651)</f>
        <v>Rustrazor Ceanataur</v>
      </c>
      <c r="D656" s="77" t="s">
        <v>207</v>
      </c>
      <c r="E656" s="36" t="str">
        <f t="shared" si="9"/>
        <v>Rustrazor CeanataurShock Trap</v>
      </c>
      <c r="F656" s="76" t="s">
        <v>214</v>
      </c>
      <c r="G656" s="46" t="s">
        <v>214</v>
      </c>
      <c r="H656" s="46" t="s">
        <v>214</v>
      </c>
      <c r="I656" s="46" t="s">
        <v>214</v>
      </c>
      <c r="J656" s="46">
        <f>IFERROR(IF(AND($U$5=FALSE,$U$4=FALSE),"-",VLOOKUP($E656,'Status Thresholds'!$E:$AU,43,FALSE)),"-")</f>
        <v>0</v>
      </c>
      <c r="K656" s="46">
        <f>IFERROR(IF(AND($U$5=FALSE,$U$4=FALSE),"-",VLOOKUP($E656,'Status Thresholds'!$E:$AU,41,FALSE)),"-")</f>
        <v>0</v>
      </c>
      <c r="L656" s="46">
        <f>IFERROR(IF(AND($U$5=FALSE,$U$4=FALSE),"-",VLOOKUP($E656,'Status Thresholds'!$E:$AU,42,FALSE)),"-")</f>
        <v>0</v>
      </c>
    </row>
    <row r="657" spans="1:12" hidden="1" x14ac:dyDescent="0.25">
      <c r="A657" s="35"/>
      <c r="B657" s="64" t="str">
        <f>IF('Status Thresholds'!A652=0, "", 'Status Thresholds'!A652)</f>
        <v>Deviant</v>
      </c>
      <c r="C657" s="64" t="str">
        <f>IF('Status Thresholds'!B652=0, "", 'Status Thresholds'!B652)</f>
        <v>Rustrazor Ceanataur</v>
      </c>
      <c r="D657" s="77" t="s">
        <v>213</v>
      </c>
      <c r="E657" s="36" t="str">
        <f t="shared" si="9"/>
        <v>Rustrazor CeanataurPitfall Trap</v>
      </c>
      <c r="F657" s="46" t="s">
        <v>214</v>
      </c>
      <c r="G657" s="46" t="s">
        <v>214</v>
      </c>
      <c r="H657" s="46" t="s">
        <v>214</v>
      </c>
      <c r="I657" s="46" t="s">
        <v>214</v>
      </c>
      <c r="J657" s="46">
        <f>IFERROR(IF(AND($U$5=FALSE,$U$4=FALSE),"-",VLOOKUP($E657,'Status Thresholds'!$E:$AU,43,FALSE)),"-")</f>
        <v>0</v>
      </c>
      <c r="K657" s="46">
        <f>IFERROR(IF(AND($U$5=FALSE,$U$4=FALSE),"-",VLOOKUP($E657,'Status Thresholds'!$E:$AU,41,FALSE)),"-")</f>
        <v>0</v>
      </c>
      <c r="L657" s="46">
        <f>IFERROR(IF(AND($U$5=FALSE,$U$4=FALSE),"-",VLOOKUP($E657,'Status Thresholds'!$E:$AU,42,FALSE)),"-")</f>
        <v>0</v>
      </c>
    </row>
    <row r="658" spans="1:12" s="36" customFormat="1" x14ac:dyDescent="0.25">
      <c r="A658" s="64"/>
      <c r="B658" s="64" t="str">
        <f>VLOOKUP(C658,'Status Thresholds'!B:C,2,FALSE)</f>
        <v>MHGen</v>
      </c>
      <c r="C658" s="64" t="str">
        <f>IF('Status Thresholds'!B653=0, "", 'Status Thresholds'!B653)</f>
        <v>Seltas</v>
      </c>
      <c r="D658" s="37" t="s">
        <v>0</v>
      </c>
      <c r="E658" s="36" t="str">
        <f t="shared" si="9"/>
        <v>SeltasPara</v>
      </c>
      <c r="F658" s="36" t="str">
        <f>IFERROR(
ROUNDUP(
IF(AND($U$5=FALSE,$U$4=FALSE),"-",IF(AND($U$5=TRUE,$U$4=TRUE),"-",
IF((AND($U$4=TRUE,$U$5=FALSE,$U$6=FALSE,$U$7=FALSE)),VLOOKUP($E658,'Status Thresholds'!$E:$AR,2,FALSE),IF((AND($U$4=TRUE,$U$5=FALSE,$U$6=TRUE,$U$7=FALSE)),VLOOKUP($E658,'Status Thresholds'!$E:$AR,12,FALSE),IF((AND($U$4=TRUE,$U$5=FALSE,$U$6=TRUE,$U$7=TRUE)),VLOOKUP($E658,'Status Thresholds'!$E:$AR,17,FALSE),IF((AND($U$4=TRUE,$U$5=FALSE,$U$6=FALSE,$U$7=TRUE)),VLOOKUP($E658,'Status Thresholds'!$E:$AR,7,FALSE),
IF((AND($U$4=FALSE,$U$5=TRUE,$U$6=FALSE,$U$7=FALSE)),VLOOKUP($E658,'Status Thresholds'!$E:$AR,22,FALSE),IF((AND($U$4=FALSE,$U$5=TRUE,$U$6=TRUE,$U$7=FALSE)),VLOOKUP($E658,'Status Thresholds'!$E:$AR,32,FALSE),IF((AND($U$4=FALSE,$U$5=TRUE,$U$6=TRUE,$U$7=TRUE)),VLOOKUP($E658,'Status Thresholds'!$E:$AR,37,FALSE),IF((AND($U$4=FALSE,$U$5=TRUE,$U$6=FALSE,$U$7=TRUE)),VLOOKUP($E658,'Status Thresholds'!$E:$AR,27,FALSE)))))))))
))/
IF(OR($X$5=TRUE,$AC$3=TRUE
),($F$3/2), IF(OR($X$2,$X$3,$X$4,$X$6,$X$7,$X$8,$Z$2,$Z$3,$Z$4,$Z$5,$Z$6,$Z$7,$Z$8)=TRUE,$F$3)),0),"-")</f>
        <v>-</v>
      </c>
      <c r="G658" s="36" t="str">
        <f>IFERROR(
ROUNDUP(
IF(AND($U$5=FALSE,$U$4=FALSE),"-",IF(AND($U$5=TRUE,$U$4=TRUE),"-",
IF((AND($U$4=TRUE,$U$5=FALSE,$U$6=FALSE,$U$7=FALSE)),VLOOKUP($E658,'Status Thresholds'!$E:$AR,3,FALSE),IF((AND($U$4=TRUE,$U$5=FALSE,$U$6=TRUE,$U$7=FALSE)),VLOOKUP($E658,'Status Thresholds'!$E:$AR,13,FALSE),IF((AND($U$4=TRUE,$U$5=FALSE,$U$6=TRUE,$U$7=TRUE)),VLOOKUP($E658,'Status Thresholds'!$E:$AR,18,FALSE),IF((AND($U$4=TRUE,$U$5=FALSE,$U$6=FALSE,$U$7=TRUE)),VLOOKUP($E658,'Status Thresholds'!$E:$AR,8,FALSE),
IF((AND($U$4=FALSE,$U$5=TRUE,$U$6=FALSE,$U$7=FALSE)),VLOOKUP($E658,'Status Thresholds'!$E:$AR,23,FALSE),IF((AND($U$4=FALSE,$U$5=TRUE,$U$6=TRUE,$U$7=FALSE)),VLOOKUP($E658,'Status Thresholds'!$E:$AR,33,FALSE),IF((AND($U$4=FALSE,$U$5=TRUE,$U$6=TRUE,$U$7=TRUE)),VLOOKUP($E658,'Status Thresholds'!$E:$AR,38,FALSE),IF((AND($U$4=FALSE,$U$5=TRUE,$U$6=FALSE,$U$7=TRUE)),VLOOKUP($E658,'Status Thresholds'!$E:$AR,28,FALSE)))))))))
))/
IF(OR($X$5=TRUE,$AC$3=TRUE
),($F$3/2), IF(OR($X$2,$X$3,$X$4,$X$6,$X$7,$X$8,$Z$2,$Z$3,$Z$4,$Z$5,$Z$6,$Z$7,$Z$8)=TRUE,$F$3)),0),"-")</f>
        <v>-</v>
      </c>
      <c r="H658" s="36" t="str">
        <f>IFERROR(
ROUNDUP(
IF(AND($U$5=FALSE,$U$4=FALSE),"-",IF(AND($U$5=TRUE,$U$4=TRUE),"-",
IF((AND($U$4=TRUE,$U$5=FALSE,$U$6=FALSE,$U$7=FALSE)),VLOOKUP($E658,'Status Thresholds'!$E:$AR,4,FALSE),IF((AND($U$4=TRUE,$U$5=FALSE,$U$6=TRUE,$U$7=FALSE)),VLOOKUP($E658,'Status Thresholds'!$E:$AR,14,FALSE),IF((AND($U$4=TRUE,$U$5=FALSE,$U$6=TRUE,$U$7=TRUE)),VLOOKUP($E658,'Status Thresholds'!$E:$AR,19,FALSE),IF((AND($U$4=TRUE,$U$5=FALSE,$U$6=FALSE,$U$7=TRUE)),VLOOKUP($E658,'Status Thresholds'!$E:$AR,9,FALSE),
IF((AND($U$4=FALSE,$U$5=TRUE,$U$6=FALSE,$U$7=FALSE)),VLOOKUP($E658,'Status Thresholds'!$E:$AR,24,FALSE),IF((AND($U$4=FALSE,$U$5=TRUE,$U$6=TRUE,$U$7=FALSE)),VLOOKUP($E658,'Status Thresholds'!$E:$AR,34,FALSE),IF((AND($U$4=FALSE,$U$5=TRUE,$U$6=TRUE,$U$7=TRUE)),VLOOKUP($E658,'Status Thresholds'!$E:$AR,39,FALSE),IF((AND($U$4=FALSE,$U$5=TRUE,$U$6=FALSE,$U$7=TRUE)),VLOOKUP($E658,'Status Thresholds'!$E:$AR,29,FALSE)))))))))
))/
IF(OR($X$5=TRUE,$AC$3=TRUE
),($F$3/2), IF(OR($X$2,$X$3,$X$4,$X$6,$X$7,$X$8,$Z$2,$Z$3,$Z$4,$Z$5,$Z$6,$Z$7,$Z$8)=TRUE,$F$3)),0),"-")</f>
        <v>-</v>
      </c>
      <c r="I658" s="36" t="str">
        <f>IFERROR(
ROUNDUP(
IF(AND($U$5=FALSE,$U$4=FALSE),"-",IF(AND($U$5=TRUE,$U$4=TRUE),"-",
IF((AND($U$4=TRUE,$U$5=FALSE,$U$6=FALSE,$U$7=FALSE)),VLOOKUP($E658,'Status Thresholds'!$E:$AR,5,FALSE),IF((AND($U$4=TRUE,$U$5=FALSE,$U$6=TRUE,$U$7=FALSE)),VLOOKUP($E658,'Status Thresholds'!$E:$AR,15,FALSE),IF((AND($U$4=TRUE,$U$5=FALSE,$U$6=TRUE,$U$7=TRUE)),VLOOKUP($E658,'Status Thresholds'!$E:$AR,20,FALSE),IF((AND($U$4=TRUE,$U$5=FALSE,$U$6=FALSE,$U$7=TRUE)),VLOOKUP($E658,'Status Thresholds'!$E:$AR,10,FALSE),
IF((AND($U$4=FALSE,$U$5=TRUE,$U$6=FALSE,$U$7=FALSE)),VLOOKUP($E658,'Status Thresholds'!$E:$AR,25,FALSE),IF((AND($U$4=FALSE,$U$5=TRUE,$U$6=TRUE,$U$7=FALSE)),VLOOKUP($E658,'Status Thresholds'!$E:$AR,35,FALSE),IF((AND($U$4=FALSE,$U$5=TRUE,$U$6=TRUE,$U$7=TRUE)),VLOOKUP($E658,'Status Thresholds'!$E:$AR,40,FALSE),IF((AND($U$4=FALSE,$U$5=TRUE,$U$6=FALSE,$U$7=TRUE)),VLOOKUP($E658,'Status Thresholds'!$E:$AR,30,FALSE)))))))))
))/
IF(OR($X$5=TRUE,$AC$3=TRUE
),($F$3/2), IF(OR($X$2,$X$3,$X$4,$X$6,$X$7,$X$8,$Z$2,$Z$3,$Z$4,$Z$5,$Z$6,$Z$7,$Z$8)=TRUE,$F$3)),0),"-")</f>
        <v>-</v>
      </c>
      <c r="J658" s="36">
        <f>IFERROR(IF(AND($U$5=FALSE,$U$4=FALSE),"-",VLOOKUP($E658,'Status Thresholds'!$E:$AU,41,FALSE)),"-")</f>
        <v>10</v>
      </c>
      <c r="K658" s="36" t="str">
        <f>IFERROR(IF(AND($U$5=FALSE,$U$4=FALSE),"-",VLOOKUP($E658,'Status Thresholds'!$E:$AU,42,FALSE)),"-")</f>
        <v>-</v>
      </c>
      <c r="L658" s="36" t="str">
        <f>IFERROR(IF(AND($U$5=FALSE,$U$4=FALSE),"-",VLOOKUP($E658,'Status Thresholds'!$E:$AU,43,FALSE)),"-")</f>
        <v>-</v>
      </c>
    </row>
    <row r="659" spans="1:12" x14ac:dyDescent="0.25">
      <c r="A659" s="35"/>
      <c r="B659" s="64" t="str">
        <f>VLOOKUP(C659,'Status Thresholds'!B:C,2,FALSE)</f>
        <v>MHGen</v>
      </c>
      <c r="C659" s="64" t="str">
        <f>IF('Status Thresholds'!B654=0, "", 'Status Thresholds'!B654)</f>
        <v>Seltas</v>
      </c>
      <c r="D659" s="31" t="s">
        <v>32</v>
      </c>
      <c r="E659" s="36" t="str">
        <f t="shared" si="9"/>
        <v>SeltasSleep</v>
      </c>
      <c r="F659" s="36" t="str">
        <f>IFERROR(
ROUNDUP(
IF(AND($U$5=FALSE,$U$4=FALSE),"-",IF(AND($U$5=TRUE,$U$4=TRUE),"-",
IF((AND($U$4=TRUE,$U$5=FALSE,$U$6=FALSE,$U$7=FALSE)),VLOOKUP($E659,'Status Thresholds'!$E:$AR,2,FALSE),IF((AND($U$4=TRUE,$U$5=FALSE,$U$6=TRUE,$U$7=FALSE)),VLOOKUP($E659,'Status Thresholds'!$E:$AR,12,FALSE),IF((AND($U$4=TRUE,$U$5=FALSE,$U$6=TRUE,$U$7=TRUE)),VLOOKUP($E659,'Status Thresholds'!$E:$AR,17,FALSE),IF((AND($U$4=TRUE,$U$5=FALSE,$U$6=FALSE,$U$7=TRUE)),VLOOKUP($E659,'Status Thresholds'!$E:$AR,7,FALSE),
IF((AND($U$4=FALSE,$U$5=TRUE,$U$6=FALSE,$U$7=FALSE)),VLOOKUP($E659,'Status Thresholds'!$E:$AR,22,FALSE),IF((AND($U$4=FALSE,$U$5=TRUE,$U$6=TRUE,$U$7=FALSE)),VLOOKUP($E659,'Status Thresholds'!$E:$AR,32,FALSE),IF((AND($U$4=FALSE,$U$5=TRUE,$U$6=TRUE,$U$7=TRUE)),VLOOKUP($E659,'Status Thresholds'!$E:$AR,37,FALSE),IF((AND($U$4=FALSE,$U$5=TRUE,$U$6=FALSE,$U$7=TRUE)),VLOOKUP($E659,'Status Thresholds'!$E:$AR,27,FALSE)))))))))
))/
IF(OR($X$5=TRUE,$AC$3=TRUE
),($F$4/2), IF(OR($X$2,$X$3,$X$4,$X$6,$X$7,$X$8,$Z$2,$Z$3,$Z$4,$Z$5,$Z$6,$Z$7,$Z$8)=TRUE,$F$4)),0),"-")</f>
        <v>-</v>
      </c>
      <c r="G659" s="36" t="str">
        <f>IFERROR(
ROUNDUP(
IF(AND($U$5=FALSE,$U$4=FALSE),"-",IF(AND($U$5=TRUE,$U$4=TRUE),"-",
IF((AND($U$4=TRUE,$U$5=FALSE,$U$6=FALSE,$U$7=FALSE)),VLOOKUP($E659,'Status Thresholds'!$E:$AR,3,FALSE),IF((AND($U$4=TRUE,$U$5=FALSE,$U$6=TRUE,$U$7=FALSE)),VLOOKUP($E659,'Status Thresholds'!$E:$AR,13,FALSE),IF((AND($U$4=TRUE,$U$5=FALSE,$U$6=TRUE,$U$7=TRUE)),VLOOKUP($E659,'Status Thresholds'!$E:$AR,18,FALSE),IF((AND($U$4=TRUE,$U$5=FALSE,$U$6=FALSE,$U$7=TRUE)),VLOOKUP($E659,'Status Thresholds'!$E:$AR,8,FALSE),
IF((AND($U$4=FALSE,$U$5=TRUE,$U$6=FALSE,$U$7=FALSE)),VLOOKUP($E659,'Status Thresholds'!$E:$AR,23,FALSE),IF((AND($U$4=FALSE,$U$5=TRUE,$U$6=TRUE,$U$7=FALSE)),VLOOKUP($E659,'Status Thresholds'!$E:$AR,33,FALSE),IF((AND($U$4=FALSE,$U$5=TRUE,$U$6=TRUE,$U$7=TRUE)),VLOOKUP($E659,'Status Thresholds'!$E:$AR,38,FALSE),IF((AND($U$4=FALSE,$U$5=TRUE,$U$6=FALSE,$U$7=TRUE)),VLOOKUP($E659,'Status Thresholds'!$E:$AR,28,FALSE)))))))))
))/
IF(OR($X$5=TRUE,$AC$3=TRUE
),($F$4/2), IF(OR($X$2,$X$3,$X$4,$X$6,$X$7,$X$8,$Z$2,$Z$3,$Z$4,$Z$5,$Z$6,$Z$7,$Z$8)=TRUE,$F$4)),0),"-")</f>
        <v>-</v>
      </c>
      <c r="H659" s="36" t="str">
        <f>IFERROR(
ROUNDUP(
IF(AND($U$5=FALSE,$U$4=FALSE),"-",IF(AND($U$5=TRUE,$U$4=TRUE),"-",
IF((AND($U$4=TRUE,$U$5=FALSE,$U$6=FALSE,$U$7=FALSE)),VLOOKUP($E659,'Status Thresholds'!$E:$AR,4,FALSE),IF((AND($U$4=TRUE,$U$5=FALSE,$U$6=TRUE,$U$7=FALSE)),VLOOKUP($E659,'Status Thresholds'!$E:$AR,14,FALSE),IF((AND($U$4=TRUE,$U$5=FALSE,$U$6=TRUE,$U$7=TRUE)),VLOOKUP($E659,'Status Thresholds'!$E:$AR,19,FALSE),IF((AND($U$4=TRUE,$U$5=FALSE,$U$6=FALSE,$U$7=TRUE)),VLOOKUP($E659,'Status Thresholds'!$E:$AR,9,FALSE),
IF((AND($U$4=FALSE,$U$5=TRUE,$U$6=FALSE,$U$7=FALSE)),VLOOKUP($E659,'Status Thresholds'!$E:$AR,24,FALSE),IF((AND($U$4=FALSE,$U$5=TRUE,$U$6=TRUE,$U$7=FALSE)),VLOOKUP($E659,'Status Thresholds'!$E:$AR,34,FALSE),IF((AND($U$4=FALSE,$U$5=TRUE,$U$6=TRUE,$U$7=TRUE)),VLOOKUP($E659,'Status Thresholds'!$E:$AR,39,FALSE),IF((AND($U$4=FALSE,$U$5=TRUE,$U$6=FALSE,$U$7=TRUE)),VLOOKUP($E659,'Status Thresholds'!$E:$AR,29,FALSE)))))))))
))/
IF(OR($X$5=TRUE,$AC$3=TRUE
),($F$4/2), IF(OR($X$2,$X$3,$X$4,$X$6,$X$7,$X$8,$Z$2,$Z$3,$Z$4,$Z$5,$Z$6,$Z$7,$Z$8)=TRUE,$F$4)),0),"-")</f>
        <v>-</v>
      </c>
      <c r="I659" s="36" t="str">
        <f>IFERROR(
ROUNDUP(
IF(AND($U$5=FALSE,$U$4=FALSE),"-",IF(AND($U$5=TRUE,$U$4=TRUE),"-",
IF((AND($U$4=TRUE,$U$5=FALSE,$U$6=FALSE,$U$7=FALSE)),VLOOKUP($E659,'Status Thresholds'!$E:$AR,5,FALSE),IF((AND($U$4=TRUE,$U$5=FALSE,$U$6=TRUE,$U$7=FALSE)),VLOOKUP($E659,'Status Thresholds'!$E:$AR,15,FALSE),IF((AND($U$4=TRUE,$U$5=FALSE,$U$6=TRUE,$U$7=TRUE)),VLOOKUP($E659,'Status Thresholds'!$E:$AR,20,FALSE),IF((AND($U$4=TRUE,$U$5=FALSE,$U$6=FALSE,$U$7=TRUE)),VLOOKUP($E659,'Status Thresholds'!$E:$AR,10,FALSE),
IF((AND($U$4=FALSE,$U$5=TRUE,$U$6=FALSE,$U$7=FALSE)),VLOOKUP($E659,'Status Thresholds'!$E:$AR,25,FALSE),IF((AND($U$4=FALSE,$U$5=TRUE,$U$6=TRUE,$U$7=FALSE)),VLOOKUP($E659,'Status Thresholds'!$E:$AR,35,FALSE),IF((AND($U$4=FALSE,$U$5=TRUE,$U$6=TRUE,$U$7=TRUE)),VLOOKUP($E659,'Status Thresholds'!$E:$AR,40,FALSE),IF((AND($U$4=FALSE,$U$5=TRUE,$U$6=FALSE,$U$7=TRUE)),VLOOKUP($E659,'Status Thresholds'!$E:$AR,30,FALSE)))))))))
))/
IF(OR($X$5=TRUE,$AC$3=TRUE
),($F$4/2), IF(OR($X$2,$X$3,$X$4,$X$6,$X$7,$X$8,$Z$2,$Z$3,$Z$4,$Z$5,$Z$6,$Z$7,$Z$8)=TRUE,$F$4)),0),"-")</f>
        <v>-</v>
      </c>
      <c r="J659" s="46">
        <f>IFERROR(IF(AND($U$5=FALSE,$U$4=FALSE),"-",VLOOKUP($E659,'Status Thresholds'!$E:$AU,41,FALSE)),"-")</f>
        <v>40</v>
      </c>
      <c r="K659" s="46" t="str">
        <f>IFERROR(IF(AND($U$5=FALSE,$U$4=FALSE),"-",VLOOKUP($E659,'Status Thresholds'!$E:$AU,42,FALSE)),"-")</f>
        <v>-</v>
      </c>
      <c r="L659" s="46" t="str">
        <f>IFERROR(IF(AND($U$5=FALSE,$U$4=FALSE),"-",VLOOKUP($E659,'Status Thresholds'!$E:$AU,43,FALSE)),"-")</f>
        <v>-</v>
      </c>
    </row>
    <row r="660" spans="1:12" x14ac:dyDescent="0.25">
      <c r="A660" s="35"/>
      <c r="B660" s="64" t="str">
        <f>VLOOKUP(C660,'Status Thresholds'!B:C,2,FALSE)</f>
        <v>MHGen</v>
      </c>
      <c r="C660" s="64" t="str">
        <f>IF('Status Thresholds'!B655=0, "", 'Status Thresholds'!B655)</f>
        <v>Seltas</v>
      </c>
      <c r="D660" s="32" t="s">
        <v>33</v>
      </c>
      <c r="E660" s="36" t="str">
        <f t="shared" si="9"/>
        <v>SeltasPoison</v>
      </c>
      <c r="F660" s="36" t="str">
        <f>IFERROR(
ROUNDUP(
IF(AND($U$5=FALSE,$U$4=FALSE),"-",IF(AND($U$5=TRUE,$U$4=TRUE),"-",
IF((AND($U$4=TRUE,$U$5=FALSE,$U$6=FALSE,$U$7=FALSE)),VLOOKUP($E660,'Status Thresholds'!$E:$AR,2,FALSE),IF((AND($U$4=TRUE,$U$5=FALSE,$U$6=TRUE,$U$7=FALSE)),VLOOKUP($E660,'Status Thresholds'!$E:$AR,12,FALSE),IF((AND($U$4=TRUE,$U$5=FALSE,$U$6=TRUE,$U$7=TRUE)),VLOOKUP($E660,'Status Thresholds'!$E:$AR,17,FALSE),IF((AND($U$4=TRUE,$U$5=FALSE,$U$6=FALSE,$U$7=TRUE)),VLOOKUP($E660,'Status Thresholds'!$E:$AR,7,FALSE),
IF((AND($U$4=FALSE,$U$5=TRUE,$U$6=FALSE,$U$7=FALSE)),VLOOKUP($E660,'Status Thresholds'!$E:$AR,22,FALSE),IF((AND($U$4=FALSE,$U$5=TRUE,$U$6=TRUE,$U$7=FALSE)),VLOOKUP($E660,'Status Thresholds'!$E:$AR,32,FALSE),IF((AND($U$4=FALSE,$U$5=TRUE,$U$6=TRUE,$U$7=TRUE)),VLOOKUP($E660,'Status Thresholds'!$E:$AR,37,FALSE),IF((AND($U$4=FALSE,$U$5=TRUE,$U$6=FALSE,$U$7=TRUE)),VLOOKUP($E660,'Status Thresholds'!$E:$AR,27,FALSE)))))))))
))/
IF(OR($X$5=TRUE,$AC$3=TRUE
),($F$5/2), IF(OR($X$2,$X$3,$X$4,$X$6,$X$7,$X$8,$Z$2,$Z$3,$Z$4,$Z$5,$Z$6,$Z$7,$Z$8)=TRUE,$F$5)),0),"-")</f>
        <v>-</v>
      </c>
      <c r="G660" s="36" t="str">
        <f>IFERROR(
ROUNDUP(
IF(AND($U$5=FALSE,$U$4=FALSE),"-",IF(AND($U$5=TRUE,$U$4=TRUE),"-",
IF((AND($U$4=TRUE,$U$5=FALSE,$U$6=FALSE,$U$7=FALSE)),VLOOKUP($E660,'Status Thresholds'!$E:$AR,3,FALSE),IF((AND($U$4=TRUE,$U$5=FALSE,$U$6=TRUE,$U$7=FALSE)),VLOOKUP($E660,'Status Thresholds'!$E:$AR,13,FALSE),IF((AND($U$4=TRUE,$U$5=FALSE,$U$6=TRUE,$U$7=TRUE)),VLOOKUP($E660,'Status Thresholds'!$E:$AR,18,FALSE),IF((AND($U$4=TRUE,$U$5=FALSE,$U$6=FALSE,$U$7=TRUE)),VLOOKUP($E660,'Status Thresholds'!$E:$AR,8,FALSE),
IF((AND($U$4=FALSE,$U$5=TRUE,$U$6=FALSE,$U$7=FALSE)),VLOOKUP($E660,'Status Thresholds'!$E:$AR,23,FALSE),IF((AND($U$4=FALSE,$U$5=TRUE,$U$6=TRUE,$U$7=FALSE)),VLOOKUP($E660,'Status Thresholds'!$E:$AR,33,FALSE),IF((AND($U$4=FALSE,$U$5=TRUE,$U$6=TRUE,$U$7=TRUE)),VLOOKUP($E660,'Status Thresholds'!$E:$AR,38,FALSE),IF((AND($U$4=FALSE,$U$5=TRUE,$U$6=FALSE,$U$7=TRUE)),VLOOKUP($E660,'Status Thresholds'!$E:$AR,28,FALSE)))))))))
))/
IF(OR($X$5=TRUE,$AC$3=TRUE
),($F$5/2), IF(OR($X$2,$X$3,$X$4,$X$6,$X$7,$X$8,$Z$2,$Z$3,$Z$4,$Z$5,$Z$6,$Z$7,$Z$8)=TRUE,$F$5)),0),"-")</f>
        <v>-</v>
      </c>
      <c r="H660" s="36" t="str">
        <f>IFERROR(
ROUNDUP(
IF(AND($U$5=FALSE,$U$4=FALSE),"-",IF(AND($U$5=TRUE,$U$4=TRUE),"-",
IF((AND($U$4=TRUE,$U$5=FALSE,$U$6=FALSE,$U$7=FALSE)),VLOOKUP($E660,'Status Thresholds'!$E:$AR,4,FALSE),IF((AND($U$4=TRUE,$U$5=FALSE,$U$6=TRUE,$U$7=FALSE)),VLOOKUP($E660,'Status Thresholds'!$E:$AR,14,FALSE),IF((AND($U$4=TRUE,$U$5=FALSE,$U$6=TRUE,$U$7=TRUE)),VLOOKUP($E660,'Status Thresholds'!$E:$AR,19,FALSE),IF((AND($U$4=TRUE,$U$5=FALSE,$U$6=FALSE,$U$7=TRUE)),VLOOKUP($E660,'Status Thresholds'!$E:$AR,9,FALSE),
IF((AND($U$4=FALSE,$U$5=TRUE,$U$6=FALSE,$U$7=FALSE)),VLOOKUP($E660,'Status Thresholds'!$E:$AR,24,FALSE),IF((AND($U$4=FALSE,$U$5=TRUE,$U$6=TRUE,$U$7=FALSE)),VLOOKUP($E660,'Status Thresholds'!$E:$AR,34,FALSE),IF((AND($U$4=FALSE,$U$5=TRUE,$U$6=TRUE,$U$7=TRUE)),VLOOKUP($E660,'Status Thresholds'!$E:$AR,39,FALSE),IF((AND($U$4=FALSE,$U$5=TRUE,$U$6=FALSE,$U$7=TRUE)),VLOOKUP($E660,'Status Thresholds'!$E:$AR,29,FALSE)))))))))
))/
IF(OR($X$5=TRUE,$AC$3=TRUE
),($F$5/2), IF(OR($X$2,$X$3,$X$4,$X$6,$X$7,$X$8,$Z$2,$Z$3,$Z$4,$Z$5,$Z$6,$Z$7,$Z$8)=TRUE,$F$5)),0),"-")</f>
        <v>-</v>
      </c>
      <c r="I660" s="36" t="str">
        <f>IFERROR(
ROUNDUP(
IF(AND($U$5=FALSE,$U$4=FALSE),"-",IF(AND($U$5=TRUE,$U$4=TRUE),"-",
IF((AND($U$4=TRUE,$U$5=FALSE,$U$6=FALSE,$U$7=FALSE)),VLOOKUP($E660,'Status Thresholds'!$E:$AR,5,FALSE),IF((AND($U$4=TRUE,$U$5=FALSE,$U$6=TRUE,$U$7=FALSE)),VLOOKUP($E660,'Status Thresholds'!$E:$AR,15,FALSE),IF((AND($U$4=TRUE,$U$5=FALSE,$U$6=TRUE,$U$7=TRUE)),VLOOKUP($E660,'Status Thresholds'!$E:$AR,20,FALSE),IF((AND($U$4=TRUE,$U$5=FALSE,$U$6=FALSE,$U$7=TRUE)),VLOOKUP($E660,'Status Thresholds'!$E:$AR,10,FALSE),
IF((AND($U$4=FALSE,$U$5=TRUE,$U$6=FALSE,$U$7=FALSE)),VLOOKUP($E660,'Status Thresholds'!$E:$AR,25,FALSE),IF((AND($U$4=FALSE,$U$5=TRUE,$U$6=TRUE,$U$7=FALSE)),VLOOKUP($E660,'Status Thresholds'!$E:$AR,35,FALSE),IF((AND($U$4=FALSE,$U$5=TRUE,$U$6=TRUE,$U$7=TRUE)),VLOOKUP($E660,'Status Thresholds'!$E:$AR,40,FALSE),IF((AND($U$4=FALSE,$U$5=TRUE,$U$6=FALSE,$U$7=TRUE)),VLOOKUP($E660,'Status Thresholds'!$E:$AR,30,FALSE)))))))))
))/
IF(OR($X$5=TRUE,$AC$3=TRUE
),($F$5/2), IF(OR($X$2,$X$3,$X$4,$X$6,$X$7,$X$8,$Z$2,$Z$3,$Z$4,$Z$5,$Z$6,$Z$7,$Z$8)=TRUE,$F$5)),0),"-")</f>
        <v>-</v>
      </c>
      <c r="J660" s="46">
        <f>IFERROR(IF(AND($U$5=FALSE,$U$4=FALSE),"-",VLOOKUP($E660,'Status Thresholds'!$E:$AU,41,FALSE)),"-")</f>
        <v>60</v>
      </c>
      <c r="K660" s="46" t="str">
        <f>IFERROR(IF(AND($U$5=FALSE,$U$4=FALSE),"-",VLOOKUP($E660,'Status Thresholds'!$E:$AU,42,FALSE)),"-")</f>
        <v>-</v>
      </c>
      <c r="L660" s="46" t="str">
        <f>IFERROR(IF(AND($U$5=FALSE,$U$4=FALSE),"-",VLOOKUP($E660,'Status Thresholds'!$E:$AU,43,FALSE)),"-")</f>
        <v>-</v>
      </c>
    </row>
    <row r="661" spans="1:12" x14ac:dyDescent="0.25">
      <c r="A661" s="35"/>
      <c r="B661" s="64" t="str">
        <f>VLOOKUP(C661,'Status Thresholds'!B:C,2,FALSE)</f>
        <v>MHGen</v>
      </c>
      <c r="C661" s="64" t="str">
        <f>IF('Status Thresholds'!B656=0, "", 'Status Thresholds'!B656)</f>
        <v>Seltas</v>
      </c>
      <c r="D661" s="10" t="s">
        <v>22</v>
      </c>
      <c r="E661" s="36" t="str">
        <f t="shared" si="9"/>
        <v>SeltasExhaust</v>
      </c>
      <c r="F661" s="36" t="str">
        <f>IFERROR(
ROUNDUP(
IF(AND($U$5=FALSE,$U$4=FALSE),"-",IF(AND($U$5=TRUE,$U$4=TRUE),"-",
IF((AND($U$4=TRUE,$U$5=FALSE,$U$6=FALSE,$U$7=FALSE)),VLOOKUP($E661,'Status Thresholds'!$E:$AR,2,FALSE),IF((AND($U$4=TRUE,$U$5=FALSE,$U$6=TRUE,$U$7=FALSE)),VLOOKUP($E661,'Status Thresholds'!$E:$AR,12,FALSE),IF((AND($U$4=TRUE,$U$5=FALSE,$U$6=TRUE,$U$7=TRUE)),VLOOKUP($E661,'Status Thresholds'!$E:$AR,17,FALSE),IF((AND($U$4=TRUE,$U$5=FALSE,$U$6=FALSE,$U$7=TRUE)),VLOOKUP($E661,'Status Thresholds'!$E:$AR,7,FALSE),
IF((AND($U$4=FALSE,$U$5=TRUE,$U$6=FALSE,$U$7=FALSE)),VLOOKUP($E661,'Status Thresholds'!$E:$AR,22,FALSE),IF((AND($U$4=FALSE,$U$5=TRUE,$U$6=TRUE,$U$7=FALSE)),VLOOKUP($E661,'Status Thresholds'!$E:$AR,32,FALSE),IF((AND($U$4=FALSE,$U$5=TRUE,$U$6=TRUE,$U$7=TRUE)),VLOOKUP($E661,'Status Thresholds'!$E:$AR,37,FALSE),IF((AND($U$4=FALSE,$U$5=TRUE,$U$6=FALSE,$U$7=TRUE)),VLOOKUP($E661,'Status Thresholds'!$E:$AR,27,FALSE)))))))))
))/
IF(OR($X$5=TRUE,$AC$3=TRUE
),($F$6/2), IF(OR($X$2,$X$3,$X$4,$X$6,$X$7,$X$8,$Z$2,$Z$3,$Z$4,$Z$5,$Z$6,$Z$7,$Z$8)=TRUE,$F$6)),0),"-")</f>
        <v>-</v>
      </c>
      <c r="G661" s="36" t="str">
        <f>IFERROR(
ROUNDUP(
IF(AND($U$5=FALSE,$U$4=FALSE),"-",IF(AND($U$5=TRUE,$U$4=TRUE),"-",
IF((AND($U$4=TRUE,$U$5=FALSE,$U$6=FALSE,$U$7=FALSE)),VLOOKUP($E661,'Status Thresholds'!$E:$AR,3,FALSE),IF((AND($U$4=TRUE,$U$5=FALSE,$U$6=TRUE,$U$7=FALSE)),VLOOKUP($E661,'Status Thresholds'!$E:$AR,13,FALSE),IF((AND($U$4=TRUE,$U$5=FALSE,$U$6=TRUE,$U$7=TRUE)),VLOOKUP($E661,'Status Thresholds'!$E:$AR,18,FALSE),IF((AND($U$4=TRUE,$U$5=FALSE,$U$6=FALSE,$U$7=TRUE)),VLOOKUP($E661,'Status Thresholds'!$E:$AR,8,FALSE),
IF((AND($U$4=FALSE,$U$5=TRUE,$U$6=FALSE,$U$7=FALSE)),VLOOKUP($E661,'Status Thresholds'!$E:$AR,23,FALSE),IF((AND($U$4=FALSE,$U$5=TRUE,$U$6=TRUE,$U$7=FALSE)),VLOOKUP($E661,'Status Thresholds'!$E:$AR,33,FALSE),IF((AND($U$4=FALSE,$U$5=TRUE,$U$6=TRUE,$U$7=TRUE)),VLOOKUP($E661,'Status Thresholds'!$E:$AR,38,FALSE),IF((AND($U$4=FALSE,$U$5=TRUE,$U$6=FALSE,$U$7=TRUE)),VLOOKUP($E661,'Status Thresholds'!$E:$AR,28,FALSE)))))))))
))/
IF(OR($X$5=TRUE,$AC$3=TRUE
),($F$6/2), IF(OR($X$2,$X$3,$X$4,$X$6,$X$7,$X$8,$Z$2,$Z$3,$Z$4,$Z$5,$Z$6,$Z$7,$Z$8)=TRUE,$F$6)),0),"-")</f>
        <v>-</v>
      </c>
      <c r="H661" s="36" t="str">
        <f>IFERROR(
ROUNDUP(
IF(AND($U$5=FALSE,$U$4=FALSE),"-",IF(AND($U$5=TRUE,$U$4=TRUE),"-",
IF((AND($U$4=TRUE,$U$5=FALSE,$U$6=FALSE,$U$7=FALSE)),VLOOKUP($E661,'Status Thresholds'!$E:$AR,4,FALSE),IF((AND($U$4=TRUE,$U$5=FALSE,$U$6=TRUE,$U$7=FALSE)),VLOOKUP($E661,'Status Thresholds'!$E:$AR,14,FALSE),IF((AND($U$4=TRUE,$U$5=FALSE,$U$6=TRUE,$U$7=TRUE)),VLOOKUP($E661,'Status Thresholds'!$E:$AR,19,FALSE),IF((AND($U$4=TRUE,$U$5=FALSE,$U$6=FALSE,$U$7=TRUE)),VLOOKUP($E661,'Status Thresholds'!$E:$AR,9,FALSE),
IF((AND($U$4=FALSE,$U$5=TRUE,$U$6=FALSE,$U$7=FALSE)),VLOOKUP($E661,'Status Thresholds'!$E:$AR,24,FALSE),IF((AND($U$4=FALSE,$U$5=TRUE,$U$6=TRUE,$U$7=FALSE)),VLOOKUP($E661,'Status Thresholds'!$E:$AR,34,FALSE),IF((AND($U$4=FALSE,$U$5=TRUE,$U$6=TRUE,$U$7=TRUE)),VLOOKUP($E661,'Status Thresholds'!$E:$AR,39,FALSE),IF((AND($U$4=FALSE,$U$5=TRUE,$U$6=FALSE,$U$7=TRUE)),VLOOKUP($E661,'Status Thresholds'!$E:$AR,29,FALSE)))))))))
))/
IF(OR($X$5=TRUE,$AC$3=TRUE
),($F$6/2), IF(OR($X$2,$X$3,$X$4,$X$6,$X$7,$X$8,$Z$2,$Z$3,$Z$4,$Z$5,$Z$6,$Z$7,$Z$8)=TRUE,$F$6)),0),"-")</f>
        <v>-</v>
      </c>
      <c r="I661" s="36" t="str">
        <f>IFERROR(
ROUNDUP(
IF(AND($U$5=FALSE,$U$4=FALSE),"-",IF(AND($U$5=TRUE,$U$4=TRUE),"-",
IF((AND($U$4=TRUE,$U$5=FALSE,$U$6=FALSE,$U$7=FALSE)),VLOOKUP($E661,'Status Thresholds'!$E:$AR,5,FALSE),IF((AND($U$4=TRUE,$U$5=FALSE,$U$6=TRUE,$U$7=FALSE)),VLOOKUP($E661,'Status Thresholds'!$E:$AR,15,FALSE),IF((AND($U$4=TRUE,$U$5=FALSE,$U$6=TRUE,$U$7=TRUE)),VLOOKUP($E661,'Status Thresholds'!$E:$AR,20,FALSE),IF((AND($U$4=TRUE,$U$5=FALSE,$U$6=FALSE,$U$7=TRUE)),VLOOKUP($E661,'Status Thresholds'!$E:$AR,10,FALSE),
IF((AND($U$4=FALSE,$U$5=TRUE,$U$6=FALSE,$U$7=FALSE)),VLOOKUP($E661,'Status Thresholds'!$E:$AR,25,FALSE),IF((AND($U$4=FALSE,$U$5=TRUE,$U$6=TRUE,$U$7=FALSE)),VLOOKUP($E661,'Status Thresholds'!$E:$AR,35,FALSE),IF((AND($U$4=FALSE,$U$5=TRUE,$U$6=TRUE,$U$7=TRUE)),VLOOKUP($E661,'Status Thresholds'!$E:$AR,40,FALSE),IF((AND($U$4=FALSE,$U$5=TRUE,$U$6=FALSE,$U$7=TRUE)),VLOOKUP($E661,'Status Thresholds'!$E:$AR,30,FALSE)))))))))
))/
IF(OR($X$5=TRUE,$AC$3=TRUE
),($F$6/2), IF(OR($X$2,$X$3,$X$4,$X$6,$X$7,$X$8,$Z$2,$Z$3,$Z$4,$Z$5,$Z$6,$Z$7,$Z$8)=TRUE,$F$6)),0),"-")</f>
        <v>-</v>
      </c>
      <c r="J661" s="46">
        <f>IFERROR(IF(AND($U$5=FALSE,$U$4=FALSE),"-",VLOOKUP($E661,'Status Thresholds'!$E:$AU,41,FALSE)),"-")</f>
        <v>0</v>
      </c>
      <c r="K661" s="46" t="str">
        <f>IFERROR(IF(AND($U$5=FALSE,$U$4=FALSE),"-",VLOOKUP($E661,'Status Thresholds'!$E:$AU,42,FALSE)),"-")</f>
        <v>-</v>
      </c>
      <c r="L661" s="46" t="str">
        <f>IFERROR(IF(AND($U$5=FALSE,$U$4=FALSE),"-",VLOOKUP($E661,'Status Thresholds'!$E:$AU,43,FALSE)),"-")</f>
        <v>-</v>
      </c>
    </row>
    <row r="662" spans="1:12" x14ac:dyDescent="0.25">
      <c r="A662" s="35"/>
      <c r="B662" s="64" t="str">
        <f>VLOOKUP(C662,'Status Thresholds'!B:C,2,FALSE)</f>
        <v>MHGen</v>
      </c>
      <c r="C662" s="64" t="str">
        <f>IF('Status Thresholds'!B657=0, "", 'Status Thresholds'!B657)</f>
        <v>Seltas</v>
      </c>
      <c r="D662" s="30" t="s">
        <v>35</v>
      </c>
      <c r="E662" s="36" t="str">
        <f t="shared" si="9"/>
        <v>SeltasBlast</v>
      </c>
      <c r="F662" s="36" t="str">
        <f>IFERROR(
ROUNDUP(
IF(AND($U$5=FALSE,$U$4=FALSE),"-",IF(AND($U$5=TRUE,$U$4=TRUE),"-",
IF((AND($U$4=TRUE,$U$5=FALSE,$U$6=FALSE,$U$7=FALSE)),VLOOKUP($E662,'Status Thresholds'!$E:$AR,2,FALSE),IF((AND($U$4=TRUE,$U$5=FALSE,$U$6=TRUE,$U$7=FALSE)),VLOOKUP($E662,'Status Thresholds'!$E:$AR,12,FALSE),IF((AND($U$4=TRUE,$U$5=FALSE,$U$6=TRUE,$U$7=TRUE)),VLOOKUP($E662,'Status Thresholds'!$E:$AR,17,FALSE),IF((AND($U$4=TRUE,$U$5=FALSE,$U$6=FALSE,$U$7=TRUE)),VLOOKUP($E662,'Status Thresholds'!$E:$AR,7,FALSE),
IF((AND($U$4=FALSE,$U$5=TRUE,$U$6=FALSE,$U$7=FALSE)),VLOOKUP($E662,'Status Thresholds'!$E:$AR,22,FALSE),IF((AND($U$4=FALSE,$U$5=TRUE,$U$6=TRUE,$U$7=FALSE)),VLOOKUP($E662,'Status Thresholds'!$E:$AR,32,FALSE),IF((AND($U$4=FALSE,$U$5=TRUE,$U$6=TRUE,$U$7=TRUE)),VLOOKUP($E662,'Status Thresholds'!$E:$AR,37,FALSE),IF((AND($U$4=FALSE,$U$5=TRUE,$U$6=FALSE,$U$7=TRUE)),VLOOKUP($E662,'Status Thresholds'!$E:$AR,27,FALSE)))))))))
))/
IF(OR($X$5=TRUE,$AC$3=TRUE
),($F$7/2), IF(OR($X$2,$X$3,$X$4,$X$6,$X$7,$X$8,$Z$2,$Z$3,$Z$4,$Z$5,$Z$6,$Z$7,$Z$8)=TRUE,$F$7)),0),"-")</f>
        <v>-</v>
      </c>
      <c r="G662" s="36" t="str">
        <f>IFERROR(
ROUNDUP(
IF(AND($U$5=FALSE,$U$4=FALSE),"-",IF(AND($U$5=TRUE,$U$4=TRUE),"-",
IF((AND($U$4=TRUE,$U$5=FALSE,$U$6=FALSE,$U$7=FALSE)),VLOOKUP($E662,'Status Thresholds'!$E:$AR,3,FALSE),IF((AND($U$4=TRUE,$U$5=FALSE,$U$6=TRUE,$U$7=FALSE)),VLOOKUP($E662,'Status Thresholds'!$E:$AR,13,FALSE),IF((AND($U$4=TRUE,$U$5=FALSE,$U$6=TRUE,$U$7=TRUE)),VLOOKUP($E662,'Status Thresholds'!$E:$AR,18,FALSE),IF((AND($U$4=TRUE,$U$5=FALSE,$U$6=FALSE,$U$7=TRUE)),VLOOKUP($E662,'Status Thresholds'!$E:$AR,8,FALSE),
IF((AND($U$4=FALSE,$U$5=TRUE,$U$6=FALSE,$U$7=FALSE)),VLOOKUP($E662,'Status Thresholds'!$E:$AR,23,FALSE),IF((AND($U$4=FALSE,$U$5=TRUE,$U$6=TRUE,$U$7=FALSE)),VLOOKUP($E662,'Status Thresholds'!$E:$AR,33,FALSE),IF((AND($U$4=FALSE,$U$5=TRUE,$U$6=TRUE,$U$7=TRUE)),VLOOKUP($E662,'Status Thresholds'!$E:$AR,38,FALSE),IF((AND($U$4=FALSE,$U$5=TRUE,$U$6=FALSE,$U$7=TRUE)),VLOOKUP($E662,'Status Thresholds'!$E:$AR,28,FALSE)))))))))
))/
IF(OR($X$5=TRUE,$AC$3=TRUE
),($F$7/2), IF(OR($X$2,$X$3,$X$4,$X$6,$X$7,$X$8,$Z$2,$Z$3,$Z$4,$Z$5,$Z$6,$Z$7,$Z$8)=TRUE,$F$7)),0),"-")</f>
        <v>-</v>
      </c>
      <c r="H662" s="36" t="str">
        <f>IFERROR(
ROUNDUP(
IF(AND($U$5=FALSE,$U$4=FALSE),"-",IF(AND($U$5=TRUE,$U$4=TRUE),"-",
IF((AND($U$4=TRUE,$U$5=FALSE,$U$6=FALSE,$U$7=FALSE)),VLOOKUP($E662,'Status Thresholds'!$E:$AR,4,FALSE),IF((AND($U$4=TRUE,$U$5=FALSE,$U$6=TRUE,$U$7=FALSE)),VLOOKUP($E662,'Status Thresholds'!$E:$AR,14,FALSE),IF((AND($U$4=TRUE,$U$5=FALSE,$U$6=TRUE,$U$7=TRUE)),VLOOKUP($E662,'Status Thresholds'!$E:$AR,19,FALSE),IF((AND($U$4=TRUE,$U$5=FALSE,$U$6=FALSE,$U$7=TRUE)),VLOOKUP($E662,'Status Thresholds'!$E:$AR,9,FALSE),
IF((AND($U$4=FALSE,$U$5=TRUE,$U$6=FALSE,$U$7=FALSE)),VLOOKUP($E662,'Status Thresholds'!$E:$AR,24,FALSE),IF((AND($U$4=FALSE,$U$5=TRUE,$U$6=TRUE,$U$7=FALSE)),VLOOKUP($E662,'Status Thresholds'!$E:$AR,34,FALSE),IF((AND($U$4=FALSE,$U$5=TRUE,$U$6=TRUE,$U$7=TRUE)),VLOOKUP($E662,'Status Thresholds'!$E:$AR,39,FALSE),IF((AND($U$4=FALSE,$U$5=TRUE,$U$6=FALSE,$U$7=TRUE)),VLOOKUP($E662,'Status Thresholds'!$E:$AR,29,FALSE)))))))))
))/
IF(OR($X$5=TRUE,$AC$3=TRUE
),($F$7/2), IF(OR($X$2,$X$3,$X$4,$X$6,$X$7,$X$8,$Z$2,$Z$3,$Z$4,$Z$5,$Z$6,$Z$7,$Z$8)=TRUE,$F$7)),0),"-")</f>
        <v>-</v>
      </c>
      <c r="I662" s="36" t="str">
        <f>IFERROR(
ROUNDUP(
IF(AND($U$5=FALSE,$U$4=FALSE),"-",IF(AND($U$5=TRUE,$U$4=TRUE),"-",
IF((AND($U$4=TRUE,$U$5=FALSE,$U$6=FALSE,$U$7=FALSE)),VLOOKUP($E662,'Status Thresholds'!$E:$AR,5,FALSE),IF((AND($U$4=TRUE,$U$5=FALSE,$U$6=TRUE,$U$7=FALSE)),VLOOKUP($E662,'Status Thresholds'!$E:$AR,15,FALSE),IF((AND($U$4=TRUE,$U$5=FALSE,$U$6=TRUE,$U$7=TRUE)),VLOOKUP($E662,'Status Thresholds'!$E:$AR,20,FALSE),IF((AND($U$4=TRUE,$U$5=FALSE,$U$6=FALSE,$U$7=TRUE)),VLOOKUP($E662,'Status Thresholds'!$E:$AR,10,FALSE),
IF((AND($U$4=FALSE,$U$5=TRUE,$U$6=FALSE,$U$7=FALSE)),VLOOKUP($E662,'Status Thresholds'!$E:$AR,25,FALSE),IF((AND($U$4=FALSE,$U$5=TRUE,$U$6=TRUE,$U$7=FALSE)),VLOOKUP($E662,'Status Thresholds'!$E:$AR,35,FALSE),IF((AND($U$4=FALSE,$U$5=TRUE,$U$6=TRUE,$U$7=TRUE)),VLOOKUP($E662,'Status Thresholds'!$E:$AR,40,FALSE),IF((AND($U$4=FALSE,$U$5=TRUE,$U$6=FALSE,$U$7=TRUE)),VLOOKUP($E662,'Status Thresholds'!$E:$AR,30,FALSE)))))))))
))/
IF(OR($X$5=TRUE,$AC$3=TRUE
),($F$7/2), IF(OR($X$2,$X$3,$X$4,$X$6,$X$7,$X$8,$Z$2,$Z$3,$Z$4,$Z$5,$Z$6,$Z$7,$Z$8)=TRUE,$F$7)),0),"-")</f>
        <v>-</v>
      </c>
      <c r="J662" s="46">
        <f>IFERROR(IF(AND($U$5=FALSE,$U$4=FALSE),"-",VLOOKUP($E662,'Status Thresholds'!$E:$AU,41,FALSE)),"-")</f>
        <v>0</v>
      </c>
      <c r="K662" s="46" t="str">
        <f>IFERROR(IF(AND($U$5=FALSE,$U$4=FALSE),"-",VLOOKUP($E662,'Status Thresholds'!$E:$AU,42,FALSE)),"-")</f>
        <v>-</v>
      </c>
      <c r="L662" s="46" t="str">
        <f>IFERROR(IF(AND($U$5=FALSE,$U$4=FALSE),"-",VLOOKUP($E662,'Status Thresholds'!$E:$AU,43,FALSE)),"-")</f>
        <v>-</v>
      </c>
    </row>
    <row r="663" spans="1:12" ht="14.45" customHeight="1" x14ac:dyDescent="0.25">
      <c r="A663" s="35"/>
      <c r="B663" s="64" t="str">
        <f>VLOOKUP(C663,'Status Thresholds'!B:C,2,FALSE)</f>
        <v>MHGen</v>
      </c>
      <c r="C663" s="64" t="str">
        <f>IF('Status Thresholds'!B658=0, "", 'Status Thresholds'!B658)</f>
        <v>Seltas</v>
      </c>
      <c r="D663" s="34" t="s">
        <v>14</v>
      </c>
      <c r="E663" s="36" t="str">
        <f t="shared" si="9"/>
        <v>SeltasKO</v>
      </c>
      <c r="F663" s="36" t="s">
        <v>214</v>
      </c>
      <c r="G663" s="36" t="s">
        <v>214</v>
      </c>
      <c r="H663" s="36" t="s">
        <v>214</v>
      </c>
      <c r="I663" s="36" t="s">
        <v>214</v>
      </c>
      <c r="J663" s="46">
        <f>IFERROR(IF(AND($U$5=FALSE,$U$4=FALSE),"-",VLOOKUP($E663,'Status Thresholds'!$E:$AU,41,FALSE)),"-")</f>
        <v>8</v>
      </c>
      <c r="K663" s="46" t="str">
        <f>IFERROR(IF(AND($U$5=FALSE,$U$4=FALSE),"-",VLOOKUP($E663,'Status Thresholds'!$E:$AU,42,FALSE)),"-")</f>
        <v>-</v>
      </c>
      <c r="L663" s="46" t="str">
        <f>IFERROR(IF(AND($U$5=FALSE,$U$4=FALSE),"-",VLOOKUP($E663,'Status Thresholds'!$E:$AU,43,FALSE)),"-")</f>
        <v>-</v>
      </c>
    </row>
    <row r="664" spans="1:12" x14ac:dyDescent="0.25">
      <c r="A664" s="35"/>
      <c r="B664" s="64" t="str">
        <f>VLOOKUP(C664,'Status Thresholds'!B:C,2,FALSE)</f>
        <v>MHGen</v>
      </c>
      <c r="C664" s="64" t="str">
        <f>IF('Status Thresholds'!B659=0, "", 'Status Thresholds'!B659)</f>
        <v>Seltas</v>
      </c>
      <c r="D664" s="33" t="s">
        <v>34</v>
      </c>
      <c r="E664" s="36" t="str">
        <f t="shared" si="9"/>
        <v>SeltasMount</v>
      </c>
      <c r="F664" s="36" t="str">
        <f>IFERROR(
ROUNDUP(
IF(AND($U$5=FALSE,$U$4=FALSE),"-",IF(AND($U$5=TRUE,$U$4=TRUE),"-",
IF((AND($U$4=TRUE,$U$5=FALSE,$U$6=FALSE,$U$7=FALSE)),VLOOKUP($E664,'Status Thresholds'!$E:$AR,2,FALSE),IF((AND($U$4=TRUE,$U$5=FALSE,$U$6=TRUE,$U$7=FALSE)),VLOOKUP($E664,'Status Thresholds'!$E:$AR,12,FALSE),IF((AND($U$4=TRUE,$U$5=FALSE,$U$6=TRUE,$U$7=TRUE)),VLOOKUP($E664,'Status Thresholds'!$E:$AR,17,FALSE),IF((AND($U$4=TRUE,$U$5=FALSE,$U$6=FALSE,$U$7=TRUE)),VLOOKUP($E664,'Status Thresholds'!$E:$AR,7,FALSE),
IF((AND($U$4=FALSE,$U$5=TRUE,$U$6=FALSE,$U$7=FALSE)),VLOOKUP($E664,'Status Thresholds'!$E:$AR,22,FALSE),IF((AND($U$4=FALSE,$U$5=TRUE,$U$6=TRUE,$U$7=FALSE)),VLOOKUP($E664,'Status Thresholds'!$E:$AR,32,FALSE),IF((AND($U$4=FALSE,$U$5=TRUE,$U$6=TRUE,$U$7=TRUE)),VLOOKUP($E664,'Status Thresholds'!$E:$AR,37,FALSE),IF((AND($U$4=FALSE,$U$5=TRUE,$U$6=FALSE,$U$7=TRUE)),VLOOKUP($E664,'Status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664" s="36" t="str">
        <f>IFERROR(
ROUNDUP(
IF(AND($U$5=FALSE,$U$4=FALSE),"-",IF(AND($U$5=TRUE,$U$4=TRUE),"-",
IF((AND($U$4=TRUE,$U$5=FALSE,$U$6=FALSE,$U$7=FALSE)),VLOOKUP($E663,'Status Thresholds'!$E:$AR,3,FALSE),IF((AND($U$4=TRUE,$U$5=FALSE,$U$6=TRUE,$U$7=FALSE)),VLOOKUP($E663,'Status Thresholds'!$E:$AR,13,FALSE),IF((AND($U$4=TRUE,$U$5=FALSE,$U$6=TRUE,$U$7=TRUE)),VLOOKUP($E663,'Status Thresholds'!$E:$AR,18,FALSE),IF((AND($U$4=TRUE,$U$5=FALSE,$U$6=FALSE,$U$7=TRUE)),VLOOKUP($E663,'Status Thresholds'!$E:$AR,8,FALSE),
IF((AND($U$4=FALSE,$U$5=TRUE,$U$6=FALSE,$U$7=FALSE)),VLOOKUP($E663,'Status Thresholds'!$E:$AR,23,FALSE),IF((AND($U$4=FALSE,$U$5=TRUE,$U$6=TRUE,$U$7=FALSE)),VLOOKUP($E663,'Status Thresholds'!$E:$AR,33,FALSE),IF((AND($U$4=FALSE,$U$5=TRUE,$U$6=TRUE,$U$7=TRUE)),VLOOKUP($E663,'Status Thresholds'!$E:$AR,38,FALSE),IF((AND($U$4=FALSE,$U$5=TRUE,$U$6=FALSE,$U$7=TRUE)),VLOOKUP($E663,'Status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664" s="36" t="str">
        <f>IFERROR(
ROUNDUP(
IF(AND($U$5=FALSE,$U$4=FALSE),"-",IF(AND($U$5=TRUE,$U$4=TRUE),"-",
IF((AND($U$4=TRUE,$U$5=FALSE,$U$6=FALSE,$U$7=FALSE)),VLOOKUP($E663,'Status Thresholds'!$E:$AR,4,FALSE),IF((AND($U$4=TRUE,$U$5=FALSE,$U$6=TRUE,$U$7=FALSE)),VLOOKUP($E663,'Status Thresholds'!$E:$AR,14,FALSE),IF((AND($U$4=TRUE,$U$5=FALSE,$U$6=TRUE,$U$7=TRUE)),VLOOKUP($E663,'Status Thresholds'!$E:$AR,19,FALSE),IF((AND($U$4=TRUE,$U$5=FALSE,$U$6=FALSE,$U$7=TRUE)),VLOOKUP($E663,'Status Thresholds'!$E:$AR,9,FALSE),
IF((AND($U$4=FALSE,$U$5=TRUE,$U$6=FALSE,$U$7=FALSE)),VLOOKUP($E663,'Status Thresholds'!$E:$AR,24,FALSE),IF((AND($U$4=FALSE,$U$5=TRUE,$U$6=TRUE,$U$7=FALSE)),VLOOKUP($E663,'Status Thresholds'!$E:$AR,34,FALSE),IF((AND($U$4=FALSE,$U$5=TRUE,$U$6=TRUE,$U$7=TRUE)),VLOOKUP($E663,'Status Thresholds'!$E:$AR,39,FALSE),IF((AND($U$4=FALSE,$U$5=TRUE,$U$6=FALSE,$U$7=TRUE)),VLOOKUP($E663,'Status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664" s="36" t="str">
        <f>IFERROR(
ROUNDUP(
IF(AND($U$5=FALSE,$U$4=FALSE),"-",IF(AND($U$5=TRUE,$U$4=TRUE),"-",
IF((AND($U$4=TRUE,$U$5=FALSE,$U$6=FALSE,$U$7=FALSE)),VLOOKUP($E663,'Status Thresholds'!$E:$AR,5,FALSE),IF((AND($U$4=TRUE,$U$5=FALSE,$U$6=TRUE,$U$7=FALSE)),VLOOKUP($E663,'Status Thresholds'!$E:$AR,15,FALSE),IF((AND($U$4=TRUE,$U$5=FALSE,$U$6=TRUE,$U$7=TRUE)),VLOOKUP($E663,'Status Thresholds'!$E:$AR,20,FALSE),IF((AND($U$4=TRUE,$U$5=FALSE,$U$6=FALSE,$U$7=TRUE)),VLOOKUP($E663,'Status Thresholds'!$E:$AR,10,FALSE),
IF((AND($U$4=FALSE,$U$5=TRUE,$U$6=FALSE,$U$7=FALSE)),VLOOKUP($E663,'Status Thresholds'!$E:$AR,25,FALSE),IF((AND($U$4=FALSE,$U$5=TRUE,$U$6=TRUE,$U$7=FALSE)),VLOOKUP($E663,'Status Thresholds'!$E:$AR,35,FALSE),IF((AND($U$4=FALSE,$U$5=TRUE,$U$6=TRUE,$U$7=TRUE)),VLOOKUP($E663,'Status Thresholds'!$E:$AR,40,FALSE),IF((AND($U$4=FALSE,$U$5=TRUE,$U$6=FALSE,$U$7=TRUE)),VLOOKUP($E663,'Status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664" s="46">
        <f>IFERROR(IF(AND($U$5=FALSE,$U$4=FALSE),"-",VLOOKUP($E664,'Status Thresholds'!$E:$AU,41,FALSE)),"-")</f>
        <v>0</v>
      </c>
      <c r="K664" s="46" t="str">
        <f>IFERROR(IF(AND($U$5=FALSE,$U$4=FALSE),"-",VLOOKUP($E664,'Status Thresholds'!$E:$AU,42,FALSE)),"-")</f>
        <v>-</v>
      </c>
      <c r="L664" s="46" t="str">
        <f>IFERROR(IF(AND($U$5=FALSE,$U$4=FALSE),"-",VLOOKUP($E664,'Status Thresholds'!$E:$AU,43,FALSE)),"-")</f>
        <v>-</v>
      </c>
    </row>
    <row r="665" spans="1:12" ht="15" customHeight="1" x14ac:dyDescent="0.25">
      <c r="A665" s="35"/>
      <c r="B665" s="64" t="str">
        <f>VLOOKUP(C665,'Status Thresholds'!B:C,2,FALSE)</f>
        <v>MHGen</v>
      </c>
      <c r="C665" s="64" t="str">
        <f>IF('Status Thresholds'!B660=0, "", 'Status Thresholds'!B660)</f>
        <v>Seltas</v>
      </c>
      <c r="D665" s="77" t="s">
        <v>207</v>
      </c>
      <c r="E665" s="36" t="str">
        <f t="shared" si="9"/>
        <v>SeltasShock Trap</v>
      </c>
      <c r="F665" s="76" t="s">
        <v>214</v>
      </c>
      <c r="G665" s="46" t="s">
        <v>214</v>
      </c>
      <c r="H665" s="46" t="s">
        <v>214</v>
      </c>
      <c r="I665" s="46" t="s">
        <v>214</v>
      </c>
      <c r="J665" s="46">
        <f>IFERROR(IF(AND($U$5=FALSE,$U$4=FALSE),"-",VLOOKUP($E665,'Status Thresholds'!$E:$AU,43,FALSE)),"-")</f>
        <v>12</v>
      </c>
      <c r="K665" s="46">
        <f>IFERROR(IF(AND($U$5=FALSE,$U$4=FALSE),"-",VLOOKUP($E665,'Status Thresholds'!$E:$AU,41,FALSE)),"-")</f>
        <v>12</v>
      </c>
      <c r="L665" s="46">
        <f>IFERROR(IF(AND($U$5=FALSE,$U$4=FALSE),"-",VLOOKUP($E665,'Status Thresholds'!$E:$AU,42,FALSE)),"-")</f>
        <v>20</v>
      </c>
    </row>
    <row r="666" spans="1:12" x14ac:dyDescent="0.25">
      <c r="A666" s="35"/>
      <c r="B666" s="64" t="str">
        <f>VLOOKUP(C666,'Status Thresholds'!B:C,2,FALSE)</f>
        <v>MHGen</v>
      </c>
      <c r="C666" s="64" t="str">
        <f>IF('Status Thresholds'!B661=0, "", 'Status Thresholds'!B661)</f>
        <v>Seltas</v>
      </c>
      <c r="D666" s="77" t="s">
        <v>213</v>
      </c>
      <c r="E666" s="36" t="str">
        <f t="shared" si="9"/>
        <v>SeltasPitfall Trap</v>
      </c>
      <c r="F666" s="46" t="s">
        <v>214</v>
      </c>
      <c r="G666" s="46" t="s">
        <v>214</v>
      </c>
      <c r="H666" s="46" t="s">
        <v>214</v>
      </c>
      <c r="I666" s="46" t="s">
        <v>214</v>
      </c>
      <c r="J666" s="46">
        <f>IFERROR(IF(AND($U$5=FALSE,$U$4=FALSE),"-",VLOOKUP($E666,'Status Thresholds'!$E:$AU,43,FALSE)),"-")</f>
        <v>15</v>
      </c>
      <c r="K666" s="46">
        <f>IFERROR(IF(AND($U$5=FALSE,$U$4=FALSE),"-",VLOOKUP($E666,'Status Thresholds'!$E:$AU,41,FALSE)),"-")</f>
        <v>15</v>
      </c>
      <c r="L666" s="46">
        <f>IFERROR(IF(AND($U$5=FALSE,$U$4=FALSE),"-",VLOOKUP($E666,'Status Thresholds'!$E:$AU,42,FALSE)),"-")</f>
        <v>25</v>
      </c>
    </row>
    <row r="667" spans="1:12" s="36" customFormat="1" x14ac:dyDescent="0.25">
      <c r="A667" s="64"/>
      <c r="B667" s="64" t="str">
        <f>VLOOKUP(C667,'Status Thresholds'!B:C,2,FALSE)</f>
        <v>MHGen</v>
      </c>
      <c r="C667" s="64" t="str">
        <f>IF('Status Thresholds'!B662=0, "", 'Status Thresholds'!B662)</f>
        <v>Seltas Queen</v>
      </c>
      <c r="D667" s="37" t="s">
        <v>0</v>
      </c>
      <c r="E667" s="36" t="str">
        <f t="shared" si="9"/>
        <v>Seltas QueenPara</v>
      </c>
      <c r="F667" s="36" t="str">
        <f>IFERROR(
ROUNDUP(
IF(AND($U$5=FALSE,$U$4=FALSE),"-",IF(AND($U$5=TRUE,$U$4=TRUE),"-",
IF((AND($U$4=TRUE,$U$5=FALSE,$U$6=FALSE,$U$7=FALSE)),VLOOKUP($E667,'Status Thresholds'!$E:$AR,2,FALSE),IF((AND($U$4=TRUE,$U$5=FALSE,$U$6=TRUE,$U$7=FALSE)),VLOOKUP($E667,'Status Thresholds'!$E:$AR,12,FALSE),IF((AND($U$4=TRUE,$U$5=FALSE,$U$6=TRUE,$U$7=TRUE)),VLOOKUP($E667,'Status Thresholds'!$E:$AR,17,FALSE),IF((AND($U$4=TRUE,$U$5=FALSE,$U$6=FALSE,$U$7=TRUE)),VLOOKUP($E667,'Status Thresholds'!$E:$AR,7,FALSE),
IF((AND($U$4=FALSE,$U$5=TRUE,$U$6=FALSE,$U$7=FALSE)),VLOOKUP($E667,'Status Thresholds'!$E:$AR,22,FALSE),IF((AND($U$4=FALSE,$U$5=TRUE,$U$6=TRUE,$U$7=FALSE)),VLOOKUP($E667,'Status Thresholds'!$E:$AR,32,FALSE),IF((AND($U$4=FALSE,$U$5=TRUE,$U$6=TRUE,$U$7=TRUE)),VLOOKUP($E667,'Status Thresholds'!$E:$AR,37,FALSE),IF((AND($U$4=FALSE,$U$5=TRUE,$U$6=FALSE,$U$7=TRUE)),VLOOKUP($E667,'Status Thresholds'!$E:$AR,27,FALSE)))))))))
))/
IF(OR($X$5=TRUE,$AC$3=TRUE
),($F$3/2), IF(OR($X$2,$X$3,$X$4,$X$6,$X$7,$X$8,$Z$2,$Z$3,$Z$4,$Z$5,$Z$6,$Z$7,$Z$8)=TRUE,$F$3)),0),"-")</f>
        <v>-</v>
      </c>
      <c r="G667" s="36" t="str">
        <f>IFERROR(
ROUNDUP(
IF(AND($U$5=FALSE,$U$4=FALSE),"-",IF(AND($U$5=TRUE,$U$4=TRUE),"-",
IF((AND($U$4=TRUE,$U$5=FALSE,$U$6=FALSE,$U$7=FALSE)),VLOOKUP($E667,'Status Thresholds'!$E:$AR,3,FALSE),IF((AND($U$4=TRUE,$U$5=FALSE,$U$6=TRUE,$U$7=FALSE)),VLOOKUP($E667,'Status Thresholds'!$E:$AR,13,FALSE),IF((AND($U$4=TRUE,$U$5=FALSE,$U$6=TRUE,$U$7=TRUE)),VLOOKUP($E667,'Status Thresholds'!$E:$AR,18,FALSE),IF((AND($U$4=TRUE,$U$5=FALSE,$U$6=FALSE,$U$7=TRUE)),VLOOKUP($E667,'Status Thresholds'!$E:$AR,8,FALSE),
IF((AND($U$4=FALSE,$U$5=TRUE,$U$6=FALSE,$U$7=FALSE)),VLOOKUP($E667,'Status Thresholds'!$E:$AR,23,FALSE),IF((AND($U$4=FALSE,$U$5=TRUE,$U$6=TRUE,$U$7=FALSE)),VLOOKUP($E667,'Status Thresholds'!$E:$AR,33,FALSE),IF((AND($U$4=FALSE,$U$5=TRUE,$U$6=TRUE,$U$7=TRUE)),VLOOKUP($E667,'Status Thresholds'!$E:$AR,38,FALSE),IF((AND($U$4=FALSE,$U$5=TRUE,$U$6=FALSE,$U$7=TRUE)),VLOOKUP($E667,'Status Thresholds'!$E:$AR,28,FALSE)))))))))
))/
IF(OR($X$5=TRUE,$AC$3=TRUE
),($F$3/2), IF(OR($X$2,$X$3,$X$4,$X$6,$X$7,$X$8,$Z$2,$Z$3,$Z$4,$Z$5,$Z$6,$Z$7,$Z$8)=TRUE,$F$3)),0),"-")</f>
        <v>-</v>
      </c>
      <c r="H667" s="36" t="str">
        <f>IFERROR(
ROUNDUP(
IF(AND($U$5=FALSE,$U$4=FALSE),"-",IF(AND($U$5=TRUE,$U$4=TRUE),"-",
IF((AND($U$4=TRUE,$U$5=FALSE,$U$6=FALSE,$U$7=FALSE)),VLOOKUP($E667,'Status Thresholds'!$E:$AR,4,FALSE),IF((AND($U$4=TRUE,$U$5=FALSE,$U$6=TRUE,$U$7=FALSE)),VLOOKUP($E667,'Status Thresholds'!$E:$AR,14,FALSE),IF((AND($U$4=TRUE,$U$5=FALSE,$U$6=TRUE,$U$7=TRUE)),VLOOKUP($E667,'Status Thresholds'!$E:$AR,19,FALSE),IF((AND($U$4=TRUE,$U$5=FALSE,$U$6=FALSE,$U$7=TRUE)),VLOOKUP($E667,'Status Thresholds'!$E:$AR,9,FALSE),
IF((AND($U$4=FALSE,$U$5=TRUE,$U$6=FALSE,$U$7=FALSE)),VLOOKUP($E667,'Status Thresholds'!$E:$AR,24,FALSE),IF((AND($U$4=FALSE,$U$5=TRUE,$U$6=TRUE,$U$7=FALSE)),VLOOKUP($E667,'Status Thresholds'!$E:$AR,34,FALSE),IF((AND($U$4=FALSE,$U$5=TRUE,$U$6=TRUE,$U$7=TRUE)),VLOOKUP($E667,'Status Thresholds'!$E:$AR,39,FALSE),IF((AND($U$4=FALSE,$U$5=TRUE,$U$6=FALSE,$U$7=TRUE)),VLOOKUP($E667,'Status Thresholds'!$E:$AR,29,FALSE)))))))))
))/
IF(OR($X$5=TRUE,$AC$3=TRUE
),($F$3/2), IF(OR($X$2,$X$3,$X$4,$X$6,$X$7,$X$8,$Z$2,$Z$3,$Z$4,$Z$5,$Z$6,$Z$7,$Z$8)=TRUE,$F$3)),0),"-")</f>
        <v>-</v>
      </c>
      <c r="I667" s="36" t="str">
        <f>IFERROR(
ROUNDUP(
IF(AND($U$5=FALSE,$U$4=FALSE),"-",IF(AND($U$5=TRUE,$U$4=TRUE),"-",
IF((AND($U$4=TRUE,$U$5=FALSE,$U$6=FALSE,$U$7=FALSE)),VLOOKUP($E667,'Status Thresholds'!$E:$AR,5,FALSE),IF((AND($U$4=TRUE,$U$5=FALSE,$U$6=TRUE,$U$7=FALSE)),VLOOKUP($E667,'Status Thresholds'!$E:$AR,15,FALSE),IF((AND($U$4=TRUE,$U$5=FALSE,$U$6=TRUE,$U$7=TRUE)),VLOOKUP($E667,'Status Thresholds'!$E:$AR,20,FALSE),IF((AND($U$4=TRUE,$U$5=FALSE,$U$6=FALSE,$U$7=TRUE)),VLOOKUP($E667,'Status Thresholds'!$E:$AR,10,FALSE),
IF((AND($U$4=FALSE,$U$5=TRUE,$U$6=FALSE,$U$7=FALSE)),VLOOKUP($E667,'Status Thresholds'!$E:$AR,25,FALSE),IF((AND($U$4=FALSE,$U$5=TRUE,$U$6=TRUE,$U$7=FALSE)),VLOOKUP($E667,'Status Thresholds'!$E:$AR,35,FALSE),IF((AND($U$4=FALSE,$U$5=TRUE,$U$6=TRUE,$U$7=TRUE)),VLOOKUP($E667,'Status Thresholds'!$E:$AR,40,FALSE),IF((AND($U$4=FALSE,$U$5=TRUE,$U$6=FALSE,$U$7=TRUE)),VLOOKUP($E667,'Status Thresholds'!$E:$AR,30,FALSE)))))))))
))/
IF(OR($X$5=TRUE,$AC$3=TRUE
),($F$3/2), IF(OR($X$2,$X$3,$X$4,$X$6,$X$7,$X$8,$Z$2,$Z$3,$Z$4,$Z$5,$Z$6,$Z$7,$Z$8)=TRUE,$F$3)),0),"-")</f>
        <v>-</v>
      </c>
      <c r="J667" s="36">
        <f>IFERROR(IF(AND($U$5=FALSE,$U$4=FALSE),"-",VLOOKUP($E667,'Status Thresholds'!$E:$AU,41,FALSE)),"-")</f>
        <v>10</v>
      </c>
      <c r="K667" s="36" t="str">
        <f>IFERROR(IF(AND($U$5=FALSE,$U$4=FALSE),"-",VLOOKUP($E667,'Status Thresholds'!$E:$AU,42,FALSE)),"-")</f>
        <v>-</v>
      </c>
      <c r="L667" s="36" t="str">
        <f>IFERROR(IF(AND($U$5=FALSE,$U$4=FALSE),"-",VLOOKUP($E667,'Status Thresholds'!$E:$AU,43,FALSE)),"-")</f>
        <v>-</v>
      </c>
    </row>
    <row r="668" spans="1:12" x14ac:dyDescent="0.25">
      <c r="A668" s="35"/>
      <c r="B668" s="64" t="str">
        <f>VLOOKUP(C668,'Status Thresholds'!B:C,2,FALSE)</f>
        <v>MHGen</v>
      </c>
      <c r="C668" s="64" t="str">
        <f>IF('Status Thresholds'!B663=0, "", 'Status Thresholds'!B663)</f>
        <v>Seltas Queen</v>
      </c>
      <c r="D668" s="31" t="s">
        <v>32</v>
      </c>
      <c r="E668" s="36" t="str">
        <f t="shared" ref="E668:E731" si="10">$C668&amp;$D668</f>
        <v>Seltas QueenSleep</v>
      </c>
      <c r="F668" s="36" t="str">
        <f>IFERROR(
ROUNDUP(
IF(AND($U$5=FALSE,$U$4=FALSE),"-",IF(AND($U$5=TRUE,$U$4=TRUE),"-",
IF((AND($U$4=TRUE,$U$5=FALSE,$U$6=FALSE,$U$7=FALSE)),VLOOKUP($E668,'Status Thresholds'!$E:$AR,2,FALSE),IF((AND($U$4=TRUE,$U$5=FALSE,$U$6=TRUE,$U$7=FALSE)),VLOOKUP($E668,'Status Thresholds'!$E:$AR,12,FALSE),IF((AND($U$4=TRUE,$U$5=FALSE,$U$6=TRUE,$U$7=TRUE)),VLOOKUP($E668,'Status Thresholds'!$E:$AR,17,FALSE),IF((AND($U$4=TRUE,$U$5=FALSE,$U$6=FALSE,$U$7=TRUE)),VLOOKUP($E668,'Status Thresholds'!$E:$AR,7,FALSE),
IF((AND($U$4=FALSE,$U$5=TRUE,$U$6=FALSE,$U$7=FALSE)),VLOOKUP($E668,'Status Thresholds'!$E:$AR,22,FALSE),IF((AND($U$4=FALSE,$U$5=TRUE,$U$6=TRUE,$U$7=FALSE)),VLOOKUP($E668,'Status Thresholds'!$E:$AR,32,FALSE),IF((AND($U$4=FALSE,$U$5=TRUE,$U$6=TRUE,$U$7=TRUE)),VLOOKUP($E668,'Status Thresholds'!$E:$AR,37,FALSE),IF((AND($U$4=FALSE,$U$5=TRUE,$U$6=FALSE,$U$7=TRUE)),VLOOKUP($E668,'Status Thresholds'!$E:$AR,27,FALSE)))))))))
))/
IF(OR($X$5=TRUE,$AC$3=TRUE
),($F$4/2), IF(OR($X$2,$X$3,$X$4,$X$6,$X$7,$X$8,$Z$2,$Z$3,$Z$4,$Z$5,$Z$6,$Z$7,$Z$8)=TRUE,$F$4)),0),"-")</f>
        <v>-</v>
      </c>
      <c r="G668" s="36" t="str">
        <f>IFERROR(
ROUNDUP(
IF(AND($U$5=FALSE,$U$4=FALSE),"-",IF(AND($U$5=TRUE,$U$4=TRUE),"-",
IF((AND($U$4=TRUE,$U$5=FALSE,$U$6=FALSE,$U$7=FALSE)),VLOOKUP($E668,'Status Thresholds'!$E:$AR,3,FALSE),IF((AND($U$4=TRUE,$U$5=FALSE,$U$6=TRUE,$U$7=FALSE)),VLOOKUP($E668,'Status Thresholds'!$E:$AR,13,FALSE),IF((AND($U$4=TRUE,$U$5=FALSE,$U$6=TRUE,$U$7=TRUE)),VLOOKUP($E668,'Status Thresholds'!$E:$AR,18,FALSE),IF((AND($U$4=TRUE,$U$5=FALSE,$U$6=FALSE,$U$7=TRUE)),VLOOKUP($E668,'Status Thresholds'!$E:$AR,8,FALSE),
IF((AND($U$4=FALSE,$U$5=TRUE,$U$6=FALSE,$U$7=FALSE)),VLOOKUP($E668,'Status Thresholds'!$E:$AR,23,FALSE),IF((AND($U$4=FALSE,$U$5=TRUE,$U$6=TRUE,$U$7=FALSE)),VLOOKUP($E668,'Status Thresholds'!$E:$AR,33,FALSE),IF((AND($U$4=FALSE,$U$5=TRUE,$U$6=TRUE,$U$7=TRUE)),VLOOKUP($E668,'Status Thresholds'!$E:$AR,38,FALSE),IF((AND($U$4=FALSE,$U$5=TRUE,$U$6=FALSE,$U$7=TRUE)),VLOOKUP($E668,'Status Thresholds'!$E:$AR,28,FALSE)))))))))
))/
IF(OR($X$5=TRUE,$AC$3=TRUE
),($F$4/2), IF(OR($X$2,$X$3,$X$4,$X$6,$X$7,$X$8,$Z$2,$Z$3,$Z$4,$Z$5,$Z$6,$Z$7,$Z$8)=TRUE,$F$4)),0),"-")</f>
        <v>-</v>
      </c>
      <c r="H668" s="36" t="str">
        <f>IFERROR(
ROUNDUP(
IF(AND($U$5=FALSE,$U$4=FALSE),"-",IF(AND($U$5=TRUE,$U$4=TRUE),"-",
IF((AND($U$4=TRUE,$U$5=FALSE,$U$6=FALSE,$U$7=FALSE)),VLOOKUP($E668,'Status Thresholds'!$E:$AR,4,FALSE),IF((AND($U$4=TRUE,$U$5=FALSE,$U$6=TRUE,$U$7=FALSE)),VLOOKUP($E668,'Status Thresholds'!$E:$AR,14,FALSE),IF((AND($U$4=TRUE,$U$5=FALSE,$U$6=TRUE,$U$7=TRUE)),VLOOKUP($E668,'Status Thresholds'!$E:$AR,19,FALSE),IF((AND($U$4=TRUE,$U$5=FALSE,$U$6=FALSE,$U$7=TRUE)),VLOOKUP($E668,'Status Thresholds'!$E:$AR,9,FALSE),
IF((AND($U$4=FALSE,$U$5=TRUE,$U$6=FALSE,$U$7=FALSE)),VLOOKUP($E668,'Status Thresholds'!$E:$AR,24,FALSE),IF((AND($U$4=FALSE,$U$5=TRUE,$U$6=TRUE,$U$7=FALSE)),VLOOKUP($E668,'Status Thresholds'!$E:$AR,34,FALSE),IF((AND($U$4=FALSE,$U$5=TRUE,$U$6=TRUE,$U$7=TRUE)),VLOOKUP($E668,'Status Thresholds'!$E:$AR,39,FALSE),IF((AND($U$4=FALSE,$U$5=TRUE,$U$6=FALSE,$U$7=TRUE)),VLOOKUP($E668,'Status Thresholds'!$E:$AR,29,FALSE)))))))))
))/
IF(OR($X$5=TRUE,$AC$3=TRUE
),($F$4/2), IF(OR($X$2,$X$3,$X$4,$X$6,$X$7,$X$8,$Z$2,$Z$3,$Z$4,$Z$5,$Z$6,$Z$7,$Z$8)=TRUE,$F$4)),0),"-")</f>
        <v>-</v>
      </c>
      <c r="I668" s="36" t="str">
        <f>IFERROR(
ROUNDUP(
IF(AND($U$5=FALSE,$U$4=FALSE),"-",IF(AND($U$5=TRUE,$U$4=TRUE),"-",
IF((AND($U$4=TRUE,$U$5=FALSE,$U$6=FALSE,$U$7=FALSE)),VLOOKUP($E668,'Status Thresholds'!$E:$AR,5,FALSE),IF((AND($U$4=TRUE,$U$5=FALSE,$U$6=TRUE,$U$7=FALSE)),VLOOKUP($E668,'Status Thresholds'!$E:$AR,15,FALSE),IF((AND($U$4=TRUE,$U$5=FALSE,$U$6=TRUE,$U$7=TRUE)),VLOOKUP($E668,'Status Thresholds'!$E:$AR,20,FALSE),IF((AND($U$4=TRUE,$U$5=FALSE,$U$6=FALSE,$U$7=TRUE)),VLOOKUP($E668,'Status Thresholds'!$E:$AR,10,FALSE),
IF((AND($U$4=FALSE,$U$5=TRUE,$U$6=FALSE,$U$7=FALSE)),VLOOKUP($E668,'Status Thresholds'!$E:$AR,25,FALSE),IF((AND($U$4=FALSE,$U$5=TRUE,$U$6=TRUE,$U$7=FALSE)),VLOOKUP($E668,'Status Thresholds'!$E:$AR,35,FALSE),IF((AND($U$4=FALSE,$U$5=TRUE,$U$6=TRUE,$U$7=TRUE)),VLOOKUP($E668,'Status Thresholds'!$E:$AR,40,FALSE),IF((AND($U$4=FALSE,$U$5=TRUE,$U$6=FALSE,$U$7=TRUE)),VLOOKUP($E668,'Status Thresholds'!$E:$AR,30,FALSE)))))))))
))/
IF(OR($X$5=TRUE,$AC$3=TRUE
),($F$4/2), IF(OR($X$2,$X$3,$X$4,$X$6,$X$7,$X$8,$Z$2,$Z$3,$Z$4,$Z$5,$Z$6,$Z$7,$Z$8)=TRUE,$F$4)),0),"-")</f>
        <v>-</v>
      </c>
      <c r="J668" s="46">
        <f>IFERROR(IF(AND($U$5=FALSE,$U$4=FALSE),"-",VLOOKUP($E668,'Status Thresholds'!$E:$AU,41,FALSE)),"-")</f>
        <v>40</v>
      </c>
      <c r="K668" s="46" t="str">
        <f>IFERROR(IF(AND($U$5=FALSE,$U$4=FALSE),"-",VLOOKUP($E668,'Status Thresholds'!$E:$AU,42,FALSE)),"-")</f>
        <v>-</v>
      </c>
      <c r="L668" s="46" t="str">
        <f>IFERROR(IF(AND($U$5=FALSE,$U$4=FALSE),"-",VLOOKUP($E668,'Status Thresholds'!$E:$AU,43,FALSE)),"-")</f>
        <v>-</v>
      </c>
    </row>
    <row r="669" spans="1:12" x14ac:dyDescent="0.25">
      <c r="A669" s="35"/>
      <c r="B669" s="64" t="str">
        <f>VLOOKUP(C669,'Status Thresholds'!B:C,2,FALSE)</f>
        <v>MHGen</v>
      </c>
      <c r="C669" s="64" t="str">
        <f>IF('Status Thresholds'!B664=0, "", 'Status Thresholds'!B664)</f>
        <v>Seltas Queen</v>
      </c>
      <c r="D669" s="32" t="s">
        <v>33</v>
      </c>
      <c r="E669" s="36" t="str">
        <f t="shared" si="10"/>
        <v>Seltas QueenPoison</v>
      </c>
      <c r="F669" s="36" t="str">
        <f>IFERROR(
ROUNDUP(
IF(AND($U$5=FALSE,$U$4=FALSE),"-",IF(AND($U$5=TRUE,$U$4=TRUE),"-",
IF((AND($U$4=TRUE,$U$5=FALSE,$U$6=FALSE,$U$7=FALSE)),VLOOKUP($E669,'Status Thresholds'!$E:$AR,2,FALSE),IF((AND($U$4=TRUE,$U$5=FALSE,$U$6=TRUE,$U$7=FALSE)),VLOOKUP($E669,'Status Thresholds'!$E:$AR,12,FALSE),IF((AND($U$4=TRUE,$U$5=FALSE,$U$6=TRUE,$U$7=TRUE)),VLOOKUP($E669,'Status Thresholds'!$E:$AR,17,FALSE),IF((AND($U$4=TRUE,$U$5=FALSE,$U$6=FALSE,$U$7=TRUE)),VLOOKUP($E669,'Status Thresholds'!$E:$AR,7,FALSE),
IF((AND($U$4=FALSE,$U$5=TRUE,$U$6=FALSE,$U$7=FALSE)),VLOOKUP($E669,'Status Thresholds'!$E:$AR,22,FALSE),IF((AND($U$4=FALSE,$U$5=TRUE,$U$6=TRUE,$U$7=FALSE)),VLOOKUP($E669,'Status Thresholds'!$E:$AR,32,FALSE),IF((AND($U$4=FALSE,$U$5=TRUE,$U$6=TRUE,$U$7=TRUE)),VLOOKUP($E669,'Status Thresholds'!$E:$AR,37,FALSE),IF((AND($U$4=FALSE,$U$5=TRUE,$U$6=FALSE,$U$7=TRUE)),VLOOKUP($E669,'Status Thresholds'!$E:$AR,27,FALSE)))))))))
))/
IF(OR($X$5=TRUE,$AC$3=TRUE
),($F$5/2), IF(OR($X$2,$X$3,$X$4,$X$6,$X$7,$X$8,$Z$2,$Z$3,$Z$4,$Z$5,$Z$6,$Z$7,$Z$8)=TRUE,$F$5)),0),"-")</f>
        <v>-</v>
      </c>
      <c r="G669" s="36" t="str">
        <f>IFERROR(
ROUNDUP(
IF(AND($U$5=FALSE,$U$4=FALSE),"-",IF(AND($U$5=TRUE,$U$4=TRUE),"-",
IF((AND($U$4=TRUE,$U$5=FALSE,$U$6=FALSE,$U$7=FALSE)),VLOOKUP($E669,'Status Thresholds'!$E:$AR,3,FALSE),IF((AND($U$4=TRUE,$U$5=FALSE,$U$6=TRUE,$U$7=FALSE)),VLOOKUP($E669,'Status Thresholds'!$E:$AR,13,FALSE),IF((AND($U$4=TRUE,$U$5=FALSE,$U$6=TRUE,$U$7=TRUE)),VLOOKUP($E669,'Status Thresholds'!$E:$AR,18,FALSE),IF((AND($U$4=TRUE,$U$5=FALSE,$U$6=FALSE,$U$7=TRUE)),VLOOKUP($E669,'Status Thresholds'!$E:$AR,8,FALSE),
IF((AND($U$4=FALSE,$U$5=TRUE,$U$6=FALSE,$U$7=FALSE)),VLOOKUP($E669,'Status Thresholds'!$E:$AR,23,FALSE),IF((AND($U$4=FALSE,$U$5=TRUE,$U$6=TRUE,$U$7=FALSE)),VLOOKUP($E669,'Status Thresholds'!$E:$AR,33,FALSE),IF((AND($U$4=FALSE,$U$5=TRUE,$U$6=TRUE,$U$7=TRUE)),VLOOKUP($E669,'Status Thresholds'!$E:$AR,38,FALSE),IF((AND($U$4=FALSE,$U$5=TRUE,$U$6=FALSE,$U$7=TRUE)),VLOOKUP($E669,'Status Thresholds'!$E:$AR,28,FALSE)))))))))
))/
IF(OR($X$5=TRUE,$AC$3=TRUE
),($F$5/2), IF(OR($X$2,$X$3,$X$4,$X$6,$X$7,$X$8,$Z$2,$Z$3,$Z$4,$Z$5,$Z$6,$Z$7,$Z$8)=TRUE,$F$5)),0),"-")</f>
        <v>-</v>
      </c>
      <c r="H669" s="36" t="str">
        <f>IFERROR(
ROUNDUP(
IF(AND($U$5=FALSE,$U$4=FALSE),"-",IF(AND($U$5=TRUE,$U$4=TRUE),"-",
IF((AND($U$4=TRUE,$U$5=FALSE,$U$6=FALSE,$U$7=FALSE)),VLOOKUP($E669,'Status Thresholds'!$E:$AR,4,FALSE),IF((AND($U$4=TRUE,$U$5=FALSE,$U$6=TRUE,$U$7=FALSE)),VLOOKUP($E669,'Status Thresholds'!$E:$AR,14,FALSE),IF((AND($U$4=TRUE,$U$5=FALSE,$U$6=TRUE,$U$7=TRUE)),VLOOKUP($E669,'Status Thresholds'!$E:$AR,19,FALSE),IF((AND($U$4=TRUE,$U$5=FALSE,$U$6=FALSE,$U$7=TRUE)),VLOOKUP($E669,'Status Thresholds'!$E:$AR,9,FALSE),
IF((AND($U$4=FALSE,$U$5=TRUE,$U$6=FALSE,$U$7=FALSE)),VLOOKUP($E669,'Status Thresholds'!$E:$AR,24,FALSE),IF((AND($U$4=FALSE,$U$5=TRUE,$U$6=TRUE,$U$7=FALSE)),VLOOKUP($E669,'Status Thresholds'!$E:$AR,34,FALSE),IF((AND($U$4=FALSE,$U$5=TRUE,$U$6=TRUE,$U$7=TRUE)),VLOOKUP($E669,'Status Thresholds'!$E:$AR,39,FALSE),IF((AND($U$4=FALSE,$U$5=TRUE,$U$6=FALSE,$U$7=TRUE)),VLOOKUP($E669,'Status Thresholds'!$E:$AR,29,FALSE)))))))))
))/
IF(OR($X$5=TRUE,$AC$3=TRUE
),($F$5/2), IF(OR($X$2,$X$3,$X$4,$X$6,$X$7,$X$8,$Z$2,$Z$3,$Z$4,$Z$5,$Z$6,$Z$7,$Z$8)=TRUE,$F$5)),0),"-")</f>
        <v>-</v>
      </c>
      <c r="I669" s="36" t="str">
        <f>IFERROR(
ROUNDUP(
IF(AND($U$5=FALSE,$U$4=FALSE),"-",IF(AND($U$5=TRUE,$U$4=TRUE),"-",
IF((AND($U$4=TRUE,$U$5=FALSE,$U$6=FALSE,$U$7=FALSE)),VLOOKUP($E669,'Status Thresholds'!$E:$AR,5,FALSE),IF((AND($U$4=TRUE,$U$5=FALSE,$U$6=TRUE,$U$7=FALSE)),VLOOKUP($E669,'Status Thresholds'!$E:$AR,15,FALSE),IF((AND($U$4=TRUE,$U$5=FALSE,$U$6=TRUE,$U$7=TRUE)),VLOOKUP($E669,'Status Thresholds'!$E:$AR,20,FALSE),IF((AND($U$4=TRUE,$U$5=FALSE,$U$6=FALSE,$U$7=TRUE)),VLOOKUP($E669,'Status Thresholds'!$E:$AR,10,FALSE),
IF((AND($U$4=FALSE,$U$5=TRUE,$U$6=FALSE,$U$7=FALSE)),VLOOKUP($E669,'Status Thresholds'!$E:$AR,25,FALSE),IF((AND($U$4=FALSE,$U$5=TRUE,$U$6=TRUE,$U$7=FALSE)),VLOOKUP($E669,'Status Thresholds'!$E:$AR,35,FALSE),IF((AND($U$4=FALSE,$U$5=TRUE,$U$6=TRUE,$U$7=TRUE)),VLOOKUP($E669,'Status Thresholds'!$E:$AR,40,FALSE),IF((AND($U$4=FALSE,$U$5=TRUE,$U$6=FALSE,$U$7=TRUE)),VLOOKUP($E669,'Status Thresholds'!$E:$AR,30,FALSE)))))))))
))/
IF(OR($X$5=TRUE,$AC$3=TRUE
),($F$5/2), IF(OR($X$2,$X$3,$X$4,$X$6,$X$7,$X$8,$Z$2,$Z$3,$Z$4,$Z$5,$Z$6,$Z$7,$Z$8)=TRUE,$F$5)),0),"-")</f>
        <v>-</v>
      </c>
      <c r="J669" s="46">
        <f>IFERROR(IF(AND($U$5=FALSE,$U$4=FALSE),"-",VLOOKUP($E669,'Status Thresholds'!$E:$AU,41,FALSE)),"-")</f>
        <v>60</v>
      </c>
      <c r="K669" s="46" t="str">
        <f>IFERROR(IF(AND($U$5=FALSE,$U$4=FALSE),"-",VLOOKUP($E669,'Status Thresholds'!$E:$AU,42,FALSE)),"-")</f>
        <v>-</v>
      </c>
      <c r="L669" s="46" t="str">
        <f>IFERROR(IF(AND($U$5=FALSE,$U$4=FALSE),"-",VLOOKUP($E669,'Status Thresholds'!$E:$AU,43,FALSE)),"-")</f>
        <v>-</v>
      </c>
    </row>
    <row r="670" spans="1:12" x14ac:dyDescent="0.25">
      <c r="A670" s="35"/>
      <c r="B670" s="64" t="str">
        <f>VLOOKUP(C670,'Status Thresholds'!B:C,2,FALSE)</f>
        <v>MHGen</v>
      </c>
      <c r="C670" s="64" t="str">
        <f>IF('Status Thresholds'!B665=0, "", 'Status Thresholds'!B665)</f>
        <v>Seltas Queen</v>
      </c>
      <c r="D670" s="10" t="s">
        <v>22</v>
      </c>
      <c r="E670" s="36" t="str">
        <f t="shared" si="10"/>
        <v>Seltas QueenExhaust</v>
      </c>
      <c r="F670" s="36" t="str">
        <f>IFERROR(
ROUNDUP(
IF(AND($U$5=FALSE,$U$4=FALSE),"-",IF(AND($U$5=TRUE,$U$4=TRUE),"-",
IF((AND($U$4=TRUE,$U$5=FALSE,$U$6=FALSE,$U$7=FALSE)),VLOOKUP($E670,'Status Thresholds'!$E:$AR,2,FALSE),IF((AND($U$4=TRUE,$U$5=FALSE,$U$6=TRUE,$U$7=FALSE)),VLOOKUP($E670,'Status Thresholds'!$E:$AR,12,FALSE),IF((AND($U$4=TRUE,$U$5=FALSE,$U$6=TRUE,$U$7=TRUE)),VLOOKUP($E670,'Status Thresholds'!$E:$AR,17,FALSE),IF((AND($U$4=TRUE,$U$5=FALSE,$U$6=FALSE,$U$7=TRUE)),VLOOKUP($E670,'Status Thresholds'!$E:$AR,7,FALSE),
IF((AND($U$4=FALSE,$U$5=TRUE,$U$6=FALSE,$U$7=FALSE)),VLOOKUP($E670,'Status Thresholds'!$E:$AR,22,FALSE),IF((AND($U$4=FALSE,$U$5=TRUE,$U$6=TRUE,$U$7=FALSE)),VLOOKUP($E670,'Status Thresholds'!$E:$AR,32,FALSE),IF((AND($U$4=FALSE,$U$5=TRUE,$U$6=TRUE,$U$7=TRUE)),VLOOKUP($E670,'Status Thresholds'!$E:$AR,37,FALSE),IF((AND($U$4=FALSE,$U$5=TRUE,$U$6=FALSE,$U$7=TRUE)),VLOOKUP($E670,'Status Thresholds'!$E:$AR,27,FALSE)))))))))
))/
IF(OR($X$5=TRUE,$AC$3=TRUE
),($F$6/2), IF(OR($X$2,$X$3,$X$4,$X$6,$X$7,$X$8,$Z$2,$Z$3,$Z$4,$Z$5,$Z$6,$Z$7,$Z$8)=TRUE,$F$6)),0),"-")</f>
        <v>-</v>
      </c>
      <c r="G670" s="36" t="str">
        <f>IFERROR(
ROUNDUP(
IF(AND($U$5=FALSE,$U$4=FALSE),"-",IF(AND($U$5=TRUE,$U$4=TRUE),"-",
IF((AND($U$4=TRUE,$U$5=FALSE,$U$6=FALSE,$U$7=FALSE)),VLOOKUP($E670,'Status Thresholds'!$E:$AR,3,FALSE),IF((AND($U$4=TRUE,$U$5=FALSE,$U$6=TRUE,$U$7=FALSE)),VLOOKUP($E670,'Status Thresholds'!$E:$AR,13,FALSE),IF((AND($U$4=TRUE,$U$5=FALSE,$U$6=TRUE,$U$7=TRUE)),VLOOKUP($E670,'Status Thresholds'!$E:$AR,18,FALSE),IF((AND($U$4=TRUE,$U$5=FALSE,$U$6=FALSE,$U$7=TRUE)),VLOOKUP($E670,'Status Thresholds'!$E:$AR,8,FALSE),
IF((AND($U$4=FALSE,$U$5=TRUE,$U$6=FALSE,$U$7=FALSE)),VLOOKUP($E670,'Status Thresholds'!$E:$AR,23,FALSE),IF((AND($U$4=FALSE,$U$5=TRUE,$U$6=TRUE,$U$7=FALSE)),VLOOKUP($E670,'Status Thresholds'!$E:$AR,33,FALSE),IF((AND($U$4=FALSE,$U$5=TRUE,$U$6=TRUE,$U$7=TRUE)),VLOOKUP($E670,'Status Thresholds'!$E:$AR,38,FALSE),IF((AND($U$4=FALSE,$U$5=TRUE,$U$6=FALSE,$U$7=TRUE)),VLOOKUP($E670,'Status Thresholds'!$E:$AR,28,FALSE)))))))))
))/
IF(OR($X$5=TRUE,$AC$3=TRUE
),($F$6/2), IF(OR($X$2,$X$3,$X$4,$X$6,$X$7,$X$8,$Z$2,$Z$3,$Z$4,$Z$5,$Z$6,$Z$7,$Z$8)=TRUE,$F$6)),0),"-")</f>
        <v>-</v>
      </c>
      <c r="H670" s="36" t="str">
        <f>IFERROR(
ROUNDUP(
IF(AND($U$5=FALSE,$U$4=FALSE),"-",IF(AND($U$5=TRUE,$U$4=TRUE),"-",
IF((AND($U$4=TRUE,$U$5=FALSE,$U$6=FALSE,$U$7=FALSE)),VLOOKUP($E670,'Status Thresholds'!$E:$AR,4,FALSE),IF((AND($U$4=TRUE,$U$5=FALSE,$U$6=TRUE,$U$7=FALSE)),VLOOKUP($E670,'Status Thresholds'!$E:$AR,14,FALSE),IF((AND($U$4=TRUE,$U$5=FALSE,$U$6=TRUE,$U$7=TRUE)),VLOOKUP($E670,'Status Thresholds'!$E:$AR,19,FALSE),IF((AND($U$4=TRUE,$U$5=FALSE,$U$6=FALSE,$U$7=TRUE)),VLOOKUP($E670,'Status Thresholds'!$E:$AR,9,FALSE),
IF((AND($U$4=FALSE,$U$5=TRUE,$U$6=FALSE,$U$7=FALSE)),VLOOKUP($E670,'Status Thresholds'!$E:$AR,24,FALSE),IF((AND($U$4=FALSE,$U$5=TRUE,$U$6=TRUE,$U$7=FALSE)),VLOOKUP($E670,'Status Thresholds'!$E:$AR,34,FALSE),IF((AND($U$4=FALSE,$U$5=TRUE,$U$6=TRUE,$U$7=TRUE)),VLOOKUP($E670,'Status Thresholds'!$E:$AR,39,FALSE),IF((AND($U$4=FALSE,$U$5=TRUE,$U$6=FALSE,$U$7=TRUE)),VLOOKUP($E670,'Status Thresholds'!$E:$AR,29,FALSE)))))))))
))/
IF(OR($X$5=TRUE,$AC$3=TRUE
),($F$6/2), IF(OR($X$2,$X$3,$X$4,$X$6,$X$7,$X$8,$Z$2,$Z$3,$Z$4,$Z$5,$Z$6,$Z$7,$Z$8)=TRUE,$F$6)),0),"-")</f>
        <v>-</v>
      </c>
      <c r="I670" s="36" t="str">
        <f>IFERROR(
ROUNDUP(
IF(AND($U$5=FALSE,$U$4=FALSE),"-",IF(AND($U$5=TRUE,$U$4=TRUE),"-",
IF((AND($U$4=TRUE,$U$5=FALSE,$U$6=FALSE,$U$7=FALSE)),VLOOKUP($E670,'Status Thresholds'!$E:$AR,5,FALSE),IF((AND($U$4=TRUE,$U$5=FALSE,$U$6=TRUE,$U$7=FALSE)),VLOOKUP($E670,'Status Thresholds'!$E:$AR,15,FALSE),IF((AND($U$4=TRUE,$U$5=FALSE,$U$6=TRUE,$U$7=TRUE)),VLOOKUP($E670,'Status Thresholds'!$E:$AR,20,FALSE),IF((AND($U$4=TRUE,$U$5=FALSE,$U$6=FALSE,$U$7=TRUE)),VLOOKUP($E670,'Status Thresholds'!$E:$AR,10,FALSE),
IF((AND($U$4=FALSE,$U$5=TRUE,$U$6=FALSE,$U$7=FALSE)),VLOOKUP($E670,'Status Thresholds'!$E:$AR,25,FALSE),IF((AND($U$4=FALSE,$U$5=TRUE,$U$6=TRUE,$U$7=FALSE)),VLOOKUP($E670,'Status Thresholds'!$E:$AR,35,FALSE),IF((AND($U$4=FALSE,$U$5=TRUE,$U$6=TRUE,$U$7=TRUE)),VLOOKUP($E670,'Status Thresholds'!$E:$AR,40,FALSE),IF((AND($U$4=FALSE,$U$5=TRUE,$U$6=FALSE,$U$7=TRUE)),VLOOKUP($E670,'Status Thresholds'!$E:$AR,30,FALSE)))))))))
))/
IF(OR($X$5=TRUE,$AC$3=TRUE
),($F$6/2), IF(OR($X$2,$X$3,$X$4,$X$6,$X$7,$X$8,$Z$2,$Z$3,$Z$4,$Z$5,$Z$6,$Z$7,$Z$8)=TRUE,$F$6)),0),"-")</f>
        <v>-</v>
      </c>
      <c r="J670" s="46">
        <f>IFERROR(IF(AND($U$5=FALSE,$U$4=FALSE),"-",VLOOKUP($E670,'Status Thresholds'!$E:$AU,41,FALSE)),"-")</f>
        <v>0</v>
      </c>
      <c r="K670" s="46" t="str">
        <f>IFERROR(IF(AND($U$5=FALSE,$U$4=FALSE),"-",VLOOKUP($E670,'Status Thresholds'!$E:$AU,42,FALSE)),"-")</f>
        <v>-</v>
      </c>
      <c r="L670" s="46" t="str">
        <f>IFERROR(IF(AND($U$5=FALSE,$U$4=FALSE),"-",VLOOKUP($E670,'Status Thresholds'!$E:$AU,43,FALSE)),"-")</f>
        <v>-</v>
      </c>
    </row>
    <row r="671" spans="1:12" x14ac:dyDescent="0.25">
      <c r="A671" s="35"/>
      <c r="B671" s="64" t="str">
        <f>VLOOKUP(C671,'Status Thresholds'!B:C,2,FALSE)</f>
        <v>MHGen</v>
      </c>
      <c r="C671" s="64" t="str">
        <f>IF('Status Thresholds'!B666=0, "", 'Status Thresholds'!B666)</f>
        <v>Seltas Queen</v>
      </c>
      <c r="D671" s="30" t="s">
        <v>35</v>
      </c>
      <c r="E671" s="36" t="str">
        <f t="shared" si="10"/>
        <v>Seltas QueenBlast</v>
      </c>
      <c r="F671" s="36" t="str">
        <f>IFERROR(
ROUNDUP(
IF(AND($U$5=FALSE,$U$4=FALSE),"-",IF(AND($U$5=TRUE,$U$4=TRUE),"-",
IF((AND($U$4=TRUE,$U$5=FALSE,$U$6=FALSE,$U$7=FALSE)),VLOOKUP($E671,'Status Thresholds'!$E:$AR,2,FALSE),IF((AND($U$4=TRUE,$U$5=FALSE,$U$6=TRUE,$U$7=FALSE)),VLOOKUP($E671,'Status Thresholds'!$E:$AR,12,FALSE),IF((AND($U$4=TRUE,$U$5=FALSE,$U$6=TRUE,$U$7=TRUE)),VLOOKUP($E671,'Status Thresholds'!$E:$AR,17,FALSE),IF((AND($U$4=TRUE,$U$5=FALSE,$U$6=FALSE,$U$7=TRUE)),VLOOKUP($E671,'Status Thresholds'!$E:$AR,7,FALSE),
IF((AND($U$4=FALSE,$U$5=TRUE,$U$6=FALSE,$U$7=FALSE)),VLOOKUP($E671,'Status Thresholds'!$E:$AR,22,FALSE),IF((AND($U$4=FALSE,$U$5=TRUE,$U$6=TRUE,$U$7=FALSE)),VLOOKUP($E671,'Status Thresholds'!$E:$AR,32,FALSE),IF((AND($U$4=FALSE,$U$5=TRUE,$U$6=TRUE,$U$7=TRUE)),VLOOKUP($E671,'Status Thresholds'!$E:$AR,37,FALSE),IF((AND($U$4=FALSE,$U$5=TRUE,$U$6=FALSE,$U$7=TRUE)),VLOOKUP($E671,'Status Thresholds'!$E:$AR,27,FALSE)))))))))
))/
IF(OR($X$5=TRUE,$AC$3=TRUE
),($F$7/2), IF(OR($X$2,$X$3,$X$4,$X$6,$X$7,$X$8,$Z$2,$Z$3,$Z$4,$Z$5,$Z$6,$Z$7,$Z$8)=TRUE,$F$7)),0),"-")</f>
        <v>-</v>
      </c>
      <c r="G671" s="36" t="str">
        <f>IFERROR(
ROUNDUP(
IF(AND($U$5=FALSE,$U$4=FALSE),"-",IF(AND($U$5=TRUE,$U$4=TRUE),"-",
IF((AND($U$4=TRUE,$U$5=FALSE,$U$6=FALSE,$U$7=FALSE)),VLOOKUP($E671,'Status Thresholds'!$E:$AR,3,FALSE),IF((AND($U$4=TRUE,$U$5=FALSE,$U$6=TRUE,$U$7=FALSE)),VLOOKUP($E671,'Status Thresholds'!$E:$AR,13,FALSE),IF((AND($U$4=TRUE,$U$5=FALSE,$U$6=TRUE,$U$7=TRUE)),VLOOKUP($E671,'Status Thresholds'!$E:$AR,18,FALSE),IF((AND($U$4=TRUE,$U$5=FALSE,$U$6=FALSE,$U$7=TRUE)),VLOOKUP($E671,'Status Thresholds'!$E:$AR,8,FALSE),
IF((AND($U$4=FALSE,$U$5=TRUE,$U$6=FALSE,$U$7=FALSE)),VLOOKUP($E671,'Status Thresholds'!$E:$AR,23,FALSE),IF((AND($U$4=FALSE,$U$5=TRUE,$U$6=TRUE,$U$7=FALSE)),VLOOKUP($E671,'Status Thresholds'!$E:$AR,33,FALSE),IF((AND($U$4=FALSE,$U$5=TRUE,$U$6=TRUE,$U$7=TRUE)),VLOOKUP($E671,'Status Thresholds'!$E:$AR,38,FALSE),IF((AND($U$4=FALSE,$U$5=TRUE,$U$6=FALSE,$U$7=TRUE)),VLOOKUP($E671,'Status Thresholds'!$E:$AR,28,FALSE)))))))))
))/
IF(OR($X$5=TRUE,$AC$3=TRUE
),($F$7/2), IF(OR($X$2,$X$3,$X$4,$X$6,$X$7,$X$8,$Z$2,$Z$3,$Z$4,$Z$5,$Z$6,$Z$7,$Z$8)=TRUE,$F$7)),0),"-")</f>
        <v>-</v>
      </c>
      <c r="H671" s="36" t="str">
        <f>IFERROR(
ROUNDUP(
IF(AND($U$5=FALSE,$U$4=FALSE),"-",IF(AND($U$5=TRUE,$U$4=TRUE),"-",
IF((AND($U$4=TRUE,$U$5=FALSE,$U$6=FALSE,$U$7=FALSE)),VLOOKUP($E671,'Status Thresholds'!$E:$AR,4,FALSE),IF((AND($U$4=TRUE,$U$5=FALSE,$U$6=TRUE,$U$7=FALSE)),VLOOKUP($E671,'Status Thresholds'!$E:$AR,14,FALSE),IF((AND($U$4=TRUE,$U$5=FALSE,$U$6=TRUE,$U$7=TRUE)),VLOOKUP($E671,'Status Thresholds'!$E:$AR,19,FALSE),IF((AND($U$4=TRUE,$U$5=FALSE,$U$6=FALSE,$U$7=TRUE)),VLOOKUP($E671,'Status Thresholds'!$E:$AR,9,FALSE),
IF((AND($U$4=FALSE,$U$5=TRUE,$U$6=FALSE,$U$7=FALSE)),VLOOKUP($E671,'Status Thresholds'!$E:$AR,24,FALSE),IF((AND($U$4=FALSE,$U$5=TRUE,$U$6=TRUE,$U$7=FALSE)),VLOOKUP($E671,'Status Thresholds'!$E:$AR,34,FALSE),IF((AND($U$4=FALSE,$U$5=TRUE,$U$6=TRUE,$U$7=TRUE)),VLOOKUP($E671,'Status Thresholds'!$E:$AR,39,FALSE),IF((AND($U$4=FALSE,$U$5=TRUE,$U$6=FALSE,$U$7=TRUE)),VLOOKUP($E671,'Status Thresholds'!$E:$AR,29,FALSE)))))))))
))/
IF(OR($X$5=TRUE,$AC$3=TRUE
),($F$7/2), IF(OR($X$2,$X$3,$X$4,$X$6,$X$7,$X$8,$Z$2,$Z$3,$Z$4,$Z$5,$Z$6,$Z$7,$Z$8)=TRUE,$F$7)),0),"-")</f>
        <v>-</v>
      </c>
      <c r="I671" s="36" t="str">
        <f>IFERROR(
ROUNDUP(
IF(AND($U$5=FALSE,$U$4=FALSE),"-",IF(AND($U$5=TRUE,$U$4=TRUE),"-",
IF((AND($U$4=TRUE,$U$5=FALSE,$U$6=FALSE,$U$7=FALSE)),VLOOKUP($E671,'Status Thresholds'!$E:$AR,5,FALSE),IF((AND($U$4=TRUE,$U$5=FALSE,$U$6=TRUE,$U$7=FALSE)),VLOOKUP($E671,'Status Thresholds'!$E:$AR,15,FALSE),IF((AND($U$4=TRUE,$U$5=FALSE,$U$6=TRUE,$U$7=TRUE)),VLOOKUP($E671,'Status Thresholds'!$E:$AR,20,FALSE),IF((AND($U$4=TRUE,$U$5=FALSE,$U$6=FALSE,$U$7=TRUE)),VLOOKUP($E671,'Status Thresholds'!$E:$AR,10,FALSE),
IF((AND($U$4=FALSE,$U$5=TRUE,$U$6=FALSE,$U$7=FALSE)),VLOOKUP($E671,'Status Thresholds'!$E:$AR,25,FALSE),IF((AND($U$4=FALSE,$U$5=TRUE,$U$6=TRUE,$U$7=FALSE)),VLOOKUP($E671,'Status Thresholds'!$E:$AR,35,FALSE),IF((AND($U$4=FALSE,$U$5=TRUE,$U$6=TRUE,$U$7=TRUE)),VLOOKUP($E671,'Status Thresholds'!$E:$AR,40,FALSE),IF((AND($U$4=FALSE,$U$5=TRUE,$U$6=FALSE,$U$7=TRUE)),VLOOKUP($E671,'Status Thresholds'!$E:$AR,30,FALSE)))))))))
))/
IF(OR($X$5=TRUE,$AC$3=TRUE
),($F$7/2), IF(OR($X$2,$X$3,$X$4,$X$6,$X$7,$X$8,$Z$2,$Z$3,$Z$4,$Z$5,$Z$6,$Z$7,$Z$8)=TRUE,$F$7)),0),"-")</f>
        <v>-</v>
      </c>
      <c r="J671" s="46">
        <f>IFERROR(IF(AND($U$5=FALSE,$U$4=FALSE),"-",VLOOKUP($E671,'Status Thresholds'!$E:$AU,41,FALSE)),"-")</f>
        <v>0</v>
      </c>
      <c r="K671" s="46" t="str">
        <f>IFERROR(IF(AND($U$5=FALSE,$U$4=FALSE),"-",VLOOKUP($E671,'Status Thresholds'!$E:$AU,42,FALSE)),"-")</f>
        <v>-</v>
      </c>
      <c r="L671" s="46" t="str">
        <f>IFERROR(IF(AND($U$5=FALSE,$U$4=FALSE),"-",VLOOKUP($E671,'Status Thresholds'!$E:$AU,43,FALSE)),"-")</f>
        <v>-</v>
      </c>
    </row>
    <row r="672" spans="1:12" ht="14.45" customHeight="1" x14ac:dyDescent="0.25">
      <c r="A672" s="35"/>
      <c r="B672" s="64" t="str">
        <f>VLOOKUP(C672,'Status Thresholds'!B:C,2,FALSE)</f>
        <v>MHGen</v>
      </c>
      <c r="C672" s="64" t="str">
        <f>IF('Status Thresholds'!B667=0, "", 'Status Thresholds'!B667)</f>
        <v>Seltas Queen</v>
      </c>
      <c r="D672" s="34" t="s">
        <v>14</v>
      </c>
      <c r="E672" s="36" t="str">
        <f t="shared" si="10"/>
        <v>Seltas QueenKO</v>
      </c>
      <c r="F672" s="36" t="s">
        <v>214</v>
      </c>
      <c r="G672" s="36" t="s">
        <v>214</v>
      </c>
      <c r="H672" s="36" t="s">
        <v>214</v>
      </c>
      <c r="I672" s="36" t="s">
        <v>214</v>
      </c>
      <c r="J672" s="46">
        <f>IFERROR(IF(AND($U$5=FALSE,$U$4=FALSE),"-",VLOOKUP($E672,'Status Thresholds'!$E:$AU,41,FALSE)),"-")</f>
        <v>7</v>
      </c>
      <c r="K672" s="46" t="str">
        <f>IFERROR(IF(AND($U$5=FALSE,$U$4=FALSE),"-",VLOOKUP($E672,'Status Thresholds'!$E:$AU,42,FALSE)),"-")</f>
        <v>-</v>
      </c>
      <c r="L672" s="46" t="str">
        <f>IFERROR(IF(AND($U$5=FALSE,$U$4=FALSE),"-",VLOOKUP($E672,'Status Thresholds'!$E:$AU,43,FALSE)),"-")</f>
        <v>-</v>
      </c>
    </row>
    <row r="673" spans="1:12" x14ac:dyDescent="0.25">
      <c r="A673" s="35"/>
      <c r="B673" s="64" t="str">
        <f>VLOOKUP(C673,'Status Thresholds'!B:C,2,FALSE)</f>
        <v>MHGen</v>
      </c>
      <c r="C673" s="64" t="str">
        <f>IF('Status Thresholds'!B668=0, "", 'Status Thresholds'!B668)</f>
        <v>Seltas Queen</v>
      </c>
      <c r="D673" s="33" t="s">
        <v>34</v>
      </c>
      <c r="E673" s="36" t="str">
        <f t="shared" si="10"/>
        <v>Seltas QueenMount</v>
      </c>
      <c r="F673" s="36" t="str">
        <f>IFERROR(
ROUNDUP(
IF(AND($U$5=FALSE,$U$4=FALSE),"-",IF(AND($U$5=TRUE,$U$4=TRUE),"-",
IF((AND($U$4=TRUE,$U$5=FALSE,$U$6=FALSE,$U$7=FALSE)),VLOOKUP($E673,'Status Thresholds'!$E:$AR,2,FALSE),IF((AND($U$4=TRUE,$U$5=FALSE,$U$6=TRUE,$U$7=FALSE)),VLOOKUP($E673,'Status Thresholds'!$E:$AR,12,FALSE),IF((AND($U$4=TRUE,$U$5=FALSE,$U$6=TRUE,$U$7=TRUE)),VLOOKUP($E673,'Status Thresholds'!$E:$AR,17,FALSE),IF((AND($U$4=TRUE,$U$5=FALSE,$U$6=FALSE,$U$7=TRUE)),VLOOKUP($E673,'Status Thresholds'!$E:$AR,7,FALSE),
IF((AND($U$4=FALSE,$U$5=TRUE,$U$6=FALSE,$U$7=FALSE)),VLOOKUP($E673,'Status Thresholds'!$E:$AR,22,FALSE),IF((AND($U$4=FALSE,$U$5=TRUE,$U$6=TRUE,$U$7=FALSE)),VLOOKUP($E673,'Status Thresholds'!$E:$AR,32,FALSE),IF((AND($U$4=FALSE,$U$5=TRUE,$U$6=TRUE,$U$7=TRUE)),VLOOKUP($E673,'Status Thresholds'!$E:$AR,37,FALSE),IF((AND($U$4=FALSE,$U$5=TRUE,$U$6=FALSE,$U$7=TRUE)),VLOOKUP($E673,'Status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673" s="36" t="str">
        <f>IFERROR(
ROUNDUP(
IF(AND($U$5=FALSE,$U$4=FALSE),"-",IF(AND($U$5=TRUE,$U$4=TRUE),"-",
IF((AND($U$4=TRUE,$U$5=FALSE,$U$6=FALSE,$U$7=FALSE)),VLOOKUP($E672,'Status Thresholds'!$E:$AR,3,FALSE),IF((AND($U$4=TRUE,$U$5=FALSE,$U$6=TRUE,$U$7=FALSE)),VLOOKUP($E672,'Status Thresholds'!$E:$AR,13,FALSE),IF((AND($U$4=TRUE,$U$5=FALSE,$U$6=TRUE,$U$7=TRUE)),VLOOKUP($E672,'Status Thresholds'!$E:$AR,18,FALSE),IF((AND($U$4=TRUE,$U$5=FALSE,$U$6=FALSE,$U$7=TRUE)),VLOOKUP($E672,'Status Thresholds'!$E:$AR,8,FALSE),
IF((AND($U$4=FALSE,$U$5=TRUE,$U$6=FALSE,$U$7=FALSE)),VLOOKUP($E672,'Status Thresholds'!$E:$AR,23,FALSE),IF((AND($U$4=FALSE,$U$5=TRUE,$U$6=TRUE,$U$7=FALSE)),VLOOKUP($E672,'Status Thresholds'!$E:$AR,33,FALSE),IF((AND($U$4=FALSE,$U$5=TRUE,$U$6=TRUE,$U$7=TRUE)),VLOOKUP($E672,'Status Thresholds'!$E:$AR,38,FALSE),IF((AND($U$4=FALSE,$U$5=TRUE,$U$6=FALSE,$U$7=TRUE)),VLOOKUP($E672,'Status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673" s="36" t="str">
        <f>IFERROR(
ROUNDUP(
IF(AND($U$5=FALSE,$U$4=FALSE),"-",IF(AND($U$5=TRUE,$U$4=TRUE),"-",
IF((AND($U$4=TRUE,$U$5=FALSE,$U$6=FALSE,$U$7=FALSE)),VLOOKUP($E672,'Status Thresholds'!$E:$AR,4,FALSE),IF((AND($U$4=TRUE,$U$5=FALSE,$U$6=TRUE,$U$7=FALSE)),VLOOKUP($E672,'Status Thresholds'!$E:$AR,14,FALSE),IF((AND($U$4=TRUE,$U$5=FALSE,$U$6=TRUE,$U$7=TRUE)),VLOOKUP($E672,'Status Thresholds'!$E:$AR,19,FALSE),IF((AND($U$4=TRUE,$U$5=FALSE,$U$6=FALSE,$U$7=TRUE)),VLOOKUP($E672,'Status Thresholds'!$E:$AR,9,FALSE),
IF((AND($U$4=FALSE,$U$5=TRUE,$U$6=FALSE,$U$7=FALSE)),VLOOKUP($E672,'Status Thresholds'!$E:$AR,24,FALSE),IF((AND($U$4=FALSE,$U$5=TRUE,$U$6=TRUE,$U$7=FALSE)),VLOOKUP($E672,'Status Thresholds'!$E:$AR,34,FALSE),IF((AND($U$4=FALSE,$U$5=TRUE,$U$6=TRUE,$U$7=TRUE)),VLOOKUP($E672,'Status Thresholds'!$E:$AR,39,FALSE),IF((AND($U$4=FALSE,$U$5=TRUE,$U$6=FALSE,$U$7=TRUE)),VLOOKUP($E672,'Status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673" s="36" t="str">
        <f>IFERROR(
ROUNDUP(
IF(AND($U$5=FALSE,$U$4=FALSE),"-",IF(AND($U$5=TRUE,$U$4=TRUE),"-",
IF((AND($U$4=TRUE,$U$5=FALSE,$U$6=FALSE,$U$7=FALSE)),VLOOKUP($E672,'Status Thresholds'!$E:$AR,5,FALSE),IF((AND($U$4=TRUE,$U$5=FALSE,$U$6=TRUE,$U$7=FALSE)),VLOOKUP($E672,'Status Thresholds'!$E:$AR,15,FALSE),IF((AND($U$4=TRUE,$U$5=FALSE,$U$6=TRUE,$U$7=TRUE)),VLOOKUP($E672,'Status Thresholds'!$E:$AR,20,FALSE),IF((AND($U$4=TRUE,$U$5=FALSE,$U$6=FALSE,$U$7=TRUE)),VLOOKUP($E672,'Status Thresholds'!$E:$AR,10,FALSE),
IF((AND($U$4=FALSE,$U$5=TRUE,$U$6=FALSE,$U$7=FALSE)),VLOOKUP($E672,'Status Thresholds'!$E:$AR,25,FALSE),IF((AND($U$4=FALSE,$U$5=TRUE,$U$6=TRUE,$U$7=FALSE)),VLOOKUP($E672,'Status Thresholds'!$E:$AR,35,FALSE),IF((AND($U$4=FALSE,$U$5=TRUE,$U$6=TRUE,$U$7=TRUE)),VLOOKUP($E672,'Status Thresholds'!$E:$AR,40,FALSE),IF((AND($U$4=FALSE,$U$5=TRUE,$U$6=FALSE,$U$7=TRUE)),VLOOKUP($E672,'Status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673" s="46">
        <f>IFERROR(IF(AND($U$5=FALSE,$U$4=FALSE),"-",VLOOKUP($E673,'Status Thresholds'!$E:$AU,41,FALSE)),"-")</f>
        <v>0</v>
      </c>
      <c r="K673" s="46" t="str">
        <f>IFERROR(IF(AND($U$5=FALSE,$U$4=FALSE),"-",VLOOKUP($E673,'Status Thresholds'!$E:$AU,42,FALSE)),"-")</f>
        <v>-</v>
      </c>
      <c r="L673" s="46" t="str">
        <f>IFERROR(IF(AND($U$5=FALSE,$U$4=FALSE),"-",VLOOKUP($E673,'Status Thresholds'!$E:$AU,43,FALSE)),"-")</f>
        <v>-</v>
      </c>
    </row>
    <row r="674" spans="1:12" ht="15" customHeight="1" x14ac:dyDescent="0.25">
      <c r="A674" s="35"/>
      <c r="B674" s="64" t="str">
        <f>VLOOKUP(C674,'Status Thresholds'!B:C,2,FALSE)</f>
        <v>MHGen</v>
      </c>
      <c r="C674" s="64" t="str">
        <f>IF('Status Thresholds'!B669=0, "", 'Status Thresholds'!B669)</f>
        <v>Seltas Queen</v>
      </c>
      <c r="D674" s="77" t="s">
        <v>207</v>
      </c>
      <c r="E674" s="36" t="str">
        <f t="shared" si="10"/>
        <v>Seltas QueenShock Trap</v>
      </c>
      <c r="F674" s="76" t="s">
        <v>214</v>
      </c>
      <c r="G674" s="46" t="s">
        <v>214</v>
      </c>
      <c r="H674" s="46" t="s">
        <v>214</v>
      </c>
      <c r="I674" s="46" t="s">
        <v>214</v>
      </c>
      <c r="J674" s="46">
        <f>IFERROR(IF(AND($U$5=FALSE,$U$4=FALSE),"-",VLOOKUP($E674,'Status Thresholds'!$E:$AU,43,FALSE)),"-")</f>
        <v>8</v>
      </c>
      <c r="K674" s="46">
        <f>IFERROR(IF(AND($U$5=FALSE,$U$4=FALSE),"-",VLOOKUP($E674,'Status Thresholds'!$E:$AU,41,FALSE)),"-")</f>
        <v>8</v>
      </c>
      <c r="L674" s="46">
        <f>IFERROR(IF(AND($U$5=FALSE,$U$4=FALSE),"-",VLOOKUP($E674,'Status Thresholds'!$E:$AU,42,FALSE)),"-")</f>
        <v>15</v>
      </c>
    </row>
    <row r="675" spans="1:12" x14ac:dyDescent="0.25">
      <c r="A675" s="35"/>
      <c r="B675" s="64" t="str">
        <f>VLOOKUP(C675,'Status Thresholds'!B:C,2,FALSE)</f>
        <v>MHGen</v>
      </c>
      <c r="C675" s="64" t="str">
        <f>IF('Status Thresholds'!B670=0, "", 'Status Thresholds'!B670)</f>
        <v>Seltas Queen</v>
      </c>
      <c r="D675" s="77" t="s">
        <v>213</v>
      </c>
      <c r="E675" s="36" t="str">
        <f t="shared" si="10"/>
        <v>Seltas QueenPitfall Trap</v>
      </c>
      <c r="F675" s="46" t="s">
        <v>214</v>
      </c>
      <c r="G675" s="46" t="s">
        <v>214</v>
      </c>
      <c r="H675" s="46" t="s">
        <v>214</v>
      </c>
      <c r="I675" s="46" t="s">
        <v>214</v>
      </c>
      <c r="J675" s="46">
        <f>IFERROR(IF(AND($U$5=FALSE,$U$4=FALSE),"-",VLOOKUP($E675,'Status Thresholds'!$E:$AU,43,FALSE)),"-")</f>
        <v>15</v>
      </c>
      <c r="K675" s="46">
        <f>IFERROR(IF(AND($U$5=FALSE,$U$4=FALSE),"-",VLOOKUP($E675,'Status Thresholds'!$E:$AU,41,FALSE)),"-")</f>
        <v>15</v>
      </c>
      <c r="L675" s="46">
        <f>IFERROR(IF(AND($U$5=FALSE,$U$4=FALSE),"-",VLOOKUP($E675,'Status Thresholds'!$E:$AU,42,FALSE)),"-")</f>
        <v>30</v>
      </c>
    </row>
    <row r="676" spans="1:12" s="36" customFormat="1" x14ac:dyDescent="0.25">
      <c r="A676" s="64"/>
      <c r="B676" s="64" t="str">
        <f>VLOOKUP(C676,'Status Thresholds'!B:C,2,FALSE)</f>
        <v>MHGen</v>
      </c>
      <c r="C676" s="64" t="str">
        <f>IF('Status Thresholds'!B671=0, "", 'Status Thresholds'!B671)</f>
        <v>Seregios</v>
      </c>
      <c r="D676" s="37" t="s">
        <v>0</v>
      </c>
      <c r="E676" s="36" t="str">
        <f t="shared" si="10"/>
        <v>SeregiosPara</v>
      </c>
      <c r="F676" s="36" t="str">
        <f>IFERROR(
ROUNDUP(
IF(AND($U$5=FALSE,$U$4=FALSE),"-",IF(AND($U$5=TRUE,$U$4=TRUE),"-",
IF((AND($U$4=TRUE,$U$5=FALSE,$U$6=FALSE,$U$7=FALSE)),VLOOKUP($E676,'Status Thresholds'!$E:$AR,2,FALSE),IF((AND($U$4=TRUE,$U$5=FALSE,$U$6=TRUE,$U$7=FALSE)),VLOOKUP($E676,'Status Thresholds'!$E:$AR,12,FALSE),IF((AND($U$4=TRUE,$U$5=FALSE,$U$6=TRUE,$U$7=TRUE)),VLOOKUP($E676,'Status Thresholds'!$E:$AR,17,FALSE),IF((AND($U$4=TRUE,$U$5=FALSE,$U$6=FALSE,$U$7=TRUE)),VLOOKUP($E676,'Status Thresholds'!$E:$AR,7,FALSE),
IF((AND($U$4=FALSE,$U$5=TRUE,$U$6=FALSE,$U$7=FALSE)),VLOOKUP($E676,'Status Thresholds'!$E:$AR,22,FALSE),IF((AND($U$4=FALSE,$U$5=TRUE,$U$6=TRUE,$U$7=FALSE)),VLOOKUP($E676,'Status Thresholds'!$E:$AR,32,FALSE),IF((AND($U$4=FALSE,$U$5=TRUE,$U$6=TRUE,$U$7=TRUE)),VLOOKUP($E676,'Status Thresholds'!$E:$AR,37,FALSE),IF((AND($U$4=FALSE,$U$5=TRUE,$U$6=FALSE,$U$7=TRUE)),VLOOKUP($E676,'Status Thresholds'!$E:$AR,27,FALSE)))))))))
))/
IF(OR($X$5=TRUE,$AC$3=TRUE
),($F$3/2), IF(OR($X$2,$X$3,$X$4,$X$6,$X$7,$X$8,$Z$2,$Z$3,$Z$4,$Z$5,$Z$6,$Z$7,$Z$8)=TRUE,$F$3)),0),"-")</f>
        <v>-</v>
      </c>
      <c r="G676" s="36" t="str">
        <f>IFERROR(
ROUNDUP(
IF(AND($U$5=FALSE,$U$4=FALSE),"-",IF(AND($U$5=TRUE,$U$4=TRUE),"-",
IF((AND($U$4=TRUE,$U$5=FALSE,$U$6=FALSE,$U$7=FALSE)),VLOOKUP($E676,'Status Thresholds'!$E:$AR,3,FALSE),IF((AND($U$4=TRUE,$U$5=FALSE,$U$6=TRUE,$U$7=FALSE)),VLOOKUP($E676,'Status Thresholds'!$E:$AR,13,FALSE),IF((AND($U$4=TRUE,$U$5=FALSE,$U$6=TRUE,$U$7=TRUE)),VLOOKUP($E676,'Status Thresholds'!$E:$AR,18,FALSE),IF((AND($U$4=TRUE,$U$5=FALSE,$U$6=FALSE,$U$7=TRUE)),VLOOKUP($E676,'Status Thresholds'!$E:$AR,8,FALSE),
IF((AND($U$4=FALSE,$U$5=TRUE,$U$6=FALSE,$U$7=FALSE)),VLOOKUP($E676,'Status Thresholds'!$E:$AR,23,FALSE),IF((AND($U$4=FALSE,$U$5=TRUE,$U$6=TRUE,$U$7=FALSE)),VLOOKUP($E676,'Status Thresholds'!$E:$AR,33,FALSE),IF((AND($U$4=FALSE,$U$5=TRUE,$U$6=TRUE,$U$7=TRUE)),VLOOKUP($E676,'Status Thresholds'!$E:$AR,38,FALSE),IF((AND($U$4=FALSE,$U$5=TRUE,$U$6=FALSE,$U$7=TRUE)),VLOOKUP($E676,'Status Thresholds'!$E:$AR,28,FALSE)))))))))
))/
IF(OR($X$5=TRUE,$AC$3=TRUE
),($F$3/2), IF(OR($X$2,$X$3,$X$4,$X$6,$X$7,$X$8,$Z$2,$Z$3,$Z$4,$Z$5,$Z$6,$Z$7,$Z$8)=TRUE,$F$3)),0),"-")</f>
        <v>-</v>
      </c>
      <c r="H676" s="36" t="str">
        <f>IFERROR(
ROUNDUP(
IF(AND($U$5=FALSE,$U$4=FALSE),"-",IF(AND($U$5=TRUE,$U$4=TRUE),"-",
IF((AND($U$4=TRUE,$U$5=FALSE,$U$6=FALSE,$U$7=FALSE)),VLOOKUP($E676,'Status Thresholds'!$E:$AR,4,FALSE),IF((AND($U$4=TRUE,$U$5=FALSE,$U$6=TRUE,$U$7=FALSE)),VLOOKUP($E676,'Status Thresholds'!$E:$AR,14,FALSE),IF((AND($U$4=TRUE,$U$5=FALSE,$U$6=TRUE,$U$7=TRUE)),VLOOKUP($E676,'Status Thresholds'!$E:$AR,19,FALSE),IF((AND($U$4=TRUE,$U$5=FALSE,$U$6=FALSE,$U$7=TRUE)),VLOOKUP($E676,'Status Thresholds'!$E:$AR,9,FALSE),
IF((AND($U$4=FALSE,$U$5=TRUE,$U$6=FALSE,$U$7=FALSE)),VLOOKUP($E676,'Status Thresholds'!$E:$AR,24,FALSE),IF((AND($U$4=FALSE,$U$5=TRUE,$U$6=TRUE,$U$7=FALSE)),VLOOKUP($E676,'Status Thresholds'!$E:$AR,34,FALSE),IF((AND($U$4=FALSE,$U$5=TRUE,$U$6=TRUE,$U$7=TRUE)),VLOOKUP($E676,'Status Thresholds'!$E:$AR,39,FALSE),IF((AND($U$4=FALSE,$U$5=TRUE,$U$6=FALSE,$U$7=TRUE)),VLOOKUP($E676,'Status Thresholds'!$E:$AR,29,FALSE)))))))))
))/
IF(OR($X$5=TRUE,$AC$3=TRUE
),($F$3/2), IF(OR($X$2,$X$3,$X$4,$X$6,$X$7,$X$8,$Z$2,$Z$3,$Z$4,$Z$5,$Z$6,$Z$7,$Z$8)=TRUE,$F$3)),0),"-")</f>
        <v>-</v>
      </c>
      <c r="I676" s="36" t="str">
        <f>IFERROR(
ROUNDUP(
IF(AND($U$5=FALSE,$U$4=FALSE),"-",IF(AND($U$5=TRUE,$U$4=TRUE),"-",
IF((AND($U$4=TRUE,$U$5=FALSE,$U$6=FALSE,$U$7=FALSE)),VLOOKUP($E676,'Status Thresholds'!$E:$AR,5,FALSE),IF((AND($U$4=TRUE,$U$5=FALSE,$U$6=TRUE,$U$7=FALSE)),VLOOKUP($E676,'Status Thresholds'!$E:$AR,15,FALSE),IF((AND($U$4=TRUE,$U$5=FALSE,$U$6=TRUE,$U$7=TRUE)),VLOOKUP($E676,'Status Thresholds'!$E:$AR,20,FALSE),IF((AND($U$4=TRUE,$U$5=FALSE,$U$6=FALSE,$U$7=TRUE)),VLOOKUP($E676,'Status Thresholds'!$E:$AR,10,FALSE),
IF((AND($U$4=FALSE,$U$5=TRUE,$U$6=FALSE,$U$7=FALSE)),VLOOKUP($E676,'Status Thresholds'!$E:$AR,25,FALSE),IF((AND($U$4=FALSE,$U$5=TRUE,$U$6=TRUE,$U$7=FALSE)),VLOOKUP($E676,'Status Thresholds'!$E:$AR,35,FALSE),IF((AND($U$4=FALSE,$U$5=TRUE,$U$6=TRUE,$U$7=TRUE)),VLOOKUP($E676,'Status Thresholds'!$E:$AR,40,FALSE),IF((AND($U$4=FALSE,$U$5=TRUE,$U$6=FALSE,$U$7=TRUE)),VLOOKUP($E676,'Status Thresholds'!$E:$AR,30,FALSE)))))))))
))/
IF(OR($X$5=TRUE,$AC$3=TRUE
),($F$3/2), IF(OR($X$2,$X$3,$X$4,$X$6,$X$7,$X$8,$Z$2,$Z$3,$Z$4,$Z$5,$Z$6,$Z$7,$Z$8)=TRUE,$F$3)),0),"-")</f>
        <v>-</v>
      </c>
      <c r="J676" s="36">
        <f>IFERROR(IF(AND($U$5=FALSE,$U$4=FALSE),"-",VLOOKUP($E676,'Status Thresholds'!$E:$AU,41,FALSE)),"-")</f>
        <v>10</v>
      </c>
      <c r="K676" s="36" t="str">
        <f>IFERROR(IF(AND($U$5=FALSE,$U$4=FALSE),"-",VLOOKUP($E676,'Status Thresholds'!$E:$AU,42,FALSE)),"-")</f>
        <v>-</v>
      </c>
      <c r="L676" s="36" t="str">
        <f>IFERROR(IF(AND($U$5=FALSE,$U$4=FALSE),"-",VLOOKUP($E676,'Status Thresholds'!$E:$AU,43,FALSE)),"-")</f>
        <v>-</v>
      </c>
    </row>
    <row r="677" spans="1:12" x14ac:dyDescent="0.25">
      <c r="A677" s="35"/>
      <c r="B677" s="64" t="str">
        <f>VLOOKUP(C677,'Status Thresholds'!B:C,2,FALSE)</f>
        <v>MHGen</v>
      </c>
      <c r="C677" s="64" t="str">
        <f>IF('Status Thresholds'!B672=0, "", 'Status Thresholds'!B672)</f>
        <v>Seregios</v>
      </c>
      <c r="D677" s="31" t="s">
        <v>32</v>
      </c>
      <c r="E677" s="36" t="str">
        <f t="shared" si="10"/>
        <v>SeregiosSleep</v>
      </c>
      <c r="F677" s="36" t="str">
        <f>IFERROR(
ROUNDUP(
IF(AND($U$5=FALSE,$U$4=FALSE),"-",IF(AND($U$5=TRUE,$U$4=TRUE),"-",
IF((AND($U$4=TRUE,$U$5=FALSE,$U$6=FALSE,$U$7=FALSE)),VLOOKUP($E677,'Status Thresholds'!$E:$AR,2,FALSE),IF((AND($U$4=TRUE,$U$5=FALSE,$U$6=TRUE,$U$7=FALSE)),VLOOKUP($E677,'Status Thresholds'!$E:$AR,12,FALSE),IF((AND($U$4=TRUE,$U$5=FALSE,$U$6=TRUE,$U$7=TRUE)),VLOOKUP($E677,'Status Thresholds'!$E:$AR,17,FALSE),IF((AND($U$4=TRUE,$U$5=FALSE,$U$6=FALSE,$U$7=TRUE)),VLOOKUP($E677,'Status Thresholds'!$E:$AR,7,FALSE),
IF((AND($U$4=FALSE,$U$5=TRUE,$U$6=FALSE,$U$7=FALSE)),VLOOKUP($E677,'Status Thresholds'!$E:$AR,22,FALSE),IF((AND($U$4=FALSE,$U$5=TRUE,$U$6=TRUE,$U$7=FALSE)),VLOOKUP($E677,'Status Thresholds'!$E:$AR,32,FALSE),IF((AND($U$4=FALSE,$U$5=TRUE,$U$6=TRUE,$U$7=TRUE)),VLOOKUP($E677,'Status Thresholds'!$E:$AR,37,FALSE),IF((AND($U$4=FALSE,$U$5=TRUE,$U$6=FALSE,$U$7=TRUE)),VLOOKUP($E677,'Status Thresholds'!$E:$AR,27,FALSE)))))))))
))/
IF(OR($X$5=TRUE,$AC$3=TRUE
),($F$4/2), IF(OR($X$2,$X$3,$X$4,$X$6,$X$7,$X$8,$Z$2,$Z$3,$Z$4,$Z$5,$Z$6,$Z$7,$Z$8)=TRUE,$F$4)),0),"-")</f>
        <v>-</v>
      </c>
      <c r="G677" s="36" t="str">
        <f>IFERROR(
ROUNDUP(
IF(AND($U$5=FALSE,$U$4=FALSE),"-",IF(AND($U$5=TRUE,$U$4=TRUE),"-",
IF((AND($U$4=TRUE,$U$5=FALSE,$U$6=FALSE,$U$7=FALSE)),VLOOKUP($E677,'Status Thresholds'!$E:$AR,3,FALSE),IF((AND($U$4=TRUE,$U$5=FALSE,$U$6=TRUE,$U$7=FALSE)),VLOOKUP($E677,'Status Thresholds'!$E:$AR,13,FALSE),IF((AND($U$4=TRUE,$U$5=FALSE,$U$6=TRUE,$U$7=TRUE)),VLOOKUP($E677,'Status Thresholds'!$E:$AR,18,FALSE),IF((AND($U$4=TRUE,$U$5=FALSE,$U$6=FALSE,$U$7=TRUE)),VLOOKUP($E677,'Status Thresholds'!$E:$AR,8,FALSE),
IF((AND($U$4=FALSE,$U$5=TRUE,$U$6=FALSE,$U$7=FALSE)),VLOOKUP($E677,'Status Thresholds'!$E:$AR,23,FALSE),IF((AND($U$4=FALSE,$U$5=TRUE,$U$6=TRUE,$U$7=FALSE)),VLOOKUP($E677,'Status Thresholds'!$E:$AR,33,FALSE),IF((AND($U$4=FALSE,$U$5=TRUE,$U$6=TRUE,$U$7=TRUE)),VLOOKUP($E677,'Status Thresholds'!$E:$AR,38,FALSE),IF((AND($U$4=FALSE,$U$5=TRUE,$U$6=FALSE,$U$7=TRUE)),VLOOKUP($E677,'Status Thresholds'!$E:$AR,28,FALSE)))))))))
))/
IF(OR($X$5=TRUE,$AC$3=TRUE
),($F$4/2), IF(OR($X$2,$X$3,$X$4,$X$6,$X$7,$X$8,$Z$2,$Z$3,$Z$4,$Z$5,$Z$6,$Z$7,$Z$8)=TRUE,$F$4)),0),"-")</f>
        <v>-</v>
      </c>
      <c r="H677" s="36" t="str">
        <f>IFERROR(
ROUNDUP(
IF(AND($U$5=FALSE,$U$4=FALSE),"-",IF(AND($U$5=TRUE,$U$4=TRUE),"-",
IF((AND($U$4=TRUE,$U$5=FALSE,$U$6=FALSE,$U$7=FALSE)),VLOOKUP($E677,'Status Thresholds'!$E:$AR,4,FALSE),IF((AND($U$4=TRUE,$U$5=FALSE,$U$6=TRUE,$U$7=FALSE)),VLOOKUP($E677,'Status Thresholds'!$E:$AR,14,FALSE),IF((AND($U$4=TRUE,$U$5=FALSE,$U$6=TRUE,$U$7=TRUE)),VLOOKUP($E677,'Status Thresholds'!$E:$AR,19,FALSE),IF((AND($U$4=TRUE,$U$5=FALSE,$U$6=FALSE,$U$7=TRUE)),VLOOKUP($E677,'Status Thresholds'!$E:$AR,9,FALSE),
IF((AND($U$4=FALSE,$U$5=TRUE,$U$6=FALSE,$U$7=FALSE)),VLOOKUP($E677,'Status Thresholds'!$E:$AR,24,FALSE),IF((AND($U$4=FALSE,$U$5=TRUE,$U$6=TRUE,$U$7=FALSE)),VLOOKUP($E677,'Status Thresholds'!$E:$AR,34,FALSE),IF((AND($U$4=FALSE,$U$5=TRUE,$U$6=TRUE,$U$7=TRUE)),VLOOKUP($E677,'Status Thresholds'!$E:$AR,39,FALSE),IF((AND($U$4=FALSE,$U$5=TRUE,$U$6=FALSE,$U$7=TRUE)),VLOOKUP($E677,'Status Thresholds'!$E:$AR,29,FALSE)))))))))
))/
IF(OR($X$5=TRUE,$AC$3=TRUE
),($F$4/2), IF(OR($X$2,$X$3,$X$4,$X$6,$X$7,$X$8,$Z$2,$Z$3,$Z$4,$Z$5,$Z$6,$Z$7,$Z$8)=TRUE,$F$4)),0),"-")</f>
        <v>-</v>
      </c>
      <c r="I677" s="36" t="str">
        <f>IFERROR(
ROUNDUP(
IF(AND($U$5=FALSE,$U$4=FALSE),"-",IF(AND($U$5=TRUE,$U$4=TRUE),"-",
IF((AND($U$4=TRUE,$U$5=FALSE,$U$6=FALSE,$U$7=FALSE)),VLOOKUP($E677,'Status Thresholds'!$E:$AR,5,FALSE),IF((AND($U$4=TRUE,$U$5=FALSE,$U$6=TRUE,$U$7=FALSE)),VLOOKUP($E677,'Status Thresholds'!$E:$AR,15,FALSE),IF((AND($U$4=TRUE,$U$5=FALSE,$U$6=TRUE,$U$7=TRUE)),VLOOKUP($E677,'Status Thresholds'!$E:$AR,20,FALSE),IF((AND($U$4=TRUE,$U$5=FALSE,$U$6=FALSE,$U$7=TRUE)),VLOOKUP($E677,'Status Thresholds'!$E:$AR,10,FALSE),
IF((AND($U$4=FALSE,$U$5=TRUE,$U$6=FALSE,$U$7=FALSE)),VLOOKUP($E677,'Status Thresholds'!$E:$AR,25,FALSE),IF((AND($U$4=FALSE,$U$5=TRUE,$U$6=TRUE,$U$7=FALSE)),VLOOKUP($E677,'Status Thresholds'!$E:$AR,35,FALSE),IF((AND($U$4=FALSE,$U$5=TRUE,$U$6=TRUE,$U$7=TRUE)),VLOOKUP($E677,'Status Thresholds'!$E:$AR,40,FALSE),IF((AND($U$4=FALSE,$U$5=TRUE,$U$6=FALSE,$U$7=TRUE)),VLOOKUP($E677,'Status Thresholds'!$E:$AR,30,FALSE)))))))))
))/
IF(OR($X$5=TRUE,$AC$3=TRUE
),($F$4/2), IF(OR($X$2,$X$3,$X$4,$X$6,$X$7,$X$8,$Z$2,$Z$3,$Z$4,$Z$5,$Z$6,$Z$7,$Z$8)=TRUE,$F$4)),0),"-")</f>
        <v>-</v>
      </c>
      <c r="J677" s="46">
        <f>IFERROR(IF(AND($U$5=FALSE,$U$4=FALSE),"-",VLOOKUP($E677,'Status Thresholds'!$E:$AU,41,FALSE)),"-")</f>
        <v>40</v>
      </c>
      <c r="K677" s="46" t="str">
        <f>IFERROR(IF(AND($U$5=FALSE,$U$4=FALSE),"-",VLOOKUP($E677,'Status Thresholds'!$E:$AU,42,FALSE)),"-")</f>
        <v>-</v>
      </c>
      <c r="L677" s="46" t="str">
        <f>IFERROR(IF(AND($U$5=FALSE,$U$4=FALSE),"-",VLOOKUP($E677,'Status Thresholds'!$E:$AU,43,FALSE)),"-")</f>
        <v>-</v>
      </c>
    </row>
    <row r="678" spans="1:12" x14ac:dyDescent="0.25">
      <c r="A678" s="35"/>
      <c r="B678" s="64" t="str">
        <f>VLOOKUP(C678,'Status Thresholds'!B:C,2,FALSE)</f>
        <v>MHGen</v>
      </c>
      <c r="C678" s="64" t="str">
        <f>IF('Status Thresholds'!B673=0, "", 'Status Thresholds'!B673)</f>
        <v>Seregios</v>
      </c>
      <c r="D678" s="32" t="s">
        <v>33</v>
      </c>
      <c r="E678" s="36" t="str">
        <f t="shared" si="10"/>
        <v>SeregiosPoison</v>
      </c>
      <c r="F678" s="36" t="str">
        <f>IFERROR(
ROUNDUP(
IF(AND($U$5=FALSE,$U$4=FALSE),"-",IF(AND($U$5=TRUE,$U$4=TRUE),"-",
IF((AND($U$4=TRUE,$U$5=FALSE,$U$6=FALSE,$U$7=FALSE)),VLOOKUP($E678,'Status Thresholds'!$E:$AR,2,FALSE),IF((AND($U$4=TRUE,$U$5=FALSE,$U$6=TRUE,$U$7=FALSE)),VLOOKUP($E678,'Status Thresholds'!$E:$AR,12,FALSE),IF((AND($U$4=TRUE,$U$5=FALSE,$U$6=TRUE,$U$7=TRUE)),VLOOKUP($E678,'Status Thresholds'!$E:$AR,17,FALSE),IF((AND($U$4=TRUE,$U$5=FALSE,$U$6=FALSE,$U$7=TRUE)),VLOOKUP($E678,'Status Thresholds'!$E:$AR,7,FALSE),
IF((AND($U$4=FALSE,$U$5=TRUE,$U$6=FALSE,$U$7=FALSE)),VLOOKUP($E678,'Status Thresholds'!$E:$AR,22,FALSE),IF((AND($U$4=FALSE,$U$5=TRUE,$U$6=TRUE,$U$7=FALSE)),VLOOKUP($E678,'Status Thresholds'!$E:$AR,32,FALSE),IF((AND($U$4=FALSE,$U$5=TRUE,$U$6=TRUE,$U$7=TRUE)),VLOOKUP($E678,'Status Thresholds'!$E:$AR,37,FALSE),IF((AND($U$4=FALSE,$U$5=TRUE,$U$6=FALSE,$U$7=TRUE)),VLOOKUP($E678,'Status Thresholds'!$E:$AR,27,FALSE)))))))))
))/
IF(OR($X$5=TRUE,$AC$3=TRUE
),($F$5/2), IF(OR($X$2,$X$3,$X$4,$X$6,$X$7,$X$8,$Z$2,$Z$3,$Z$4,$Z$5,$Z$6,$Z$7,$Z$8)=TRUE,$F$5)),0),"-")</f>
        <v>-</v>
      </c>
      <c r="G678" s="36" t="str">
        <f>IFERROR(
ROUNDUP(
IF(AND($U$5=FALSE,$U$4=FALSE),"-",IF(AND($U$5=TRUE,$U$4=TRUE),"-",
IF((AND($U$4=TRUE,$U$5=FALSE,$U$6=FALSE,$U$7=FALSE)),VLOOKUP($E678,'Status Thresholds'!$E:$AR,3,FALSE),IF((AND($U$4=TRUE,$U$5=FALSE,$U$6=TRUE,$U$7=FALSE)),VLOOKUP($E678,'Status Thresholds'!$E:$AR,13,FALSE),IF((AND($U$4=TRUE,$U$5=FALSE,$U$6=TRUE,$U$7=TRUE)),VLOOKUP($E678,'Status Thresholds'!$E:$AR,18,FALSE),IF((AND($U$4=TRUE,$U$5=FALSE,$U$6=FALSE,$U$7=TRUE)),VLOOKUP($E678,'Status Thresholds'!$E:$AR,8,FALSE),
IF((AND($U$4=FALSE,$U$5=TRUE,$U$6=FALSE,$U$7=FALSE)),VLOOKUP($E678,'Status Thresholds'!$E:$AR,23,FALSE),IF((AND($U$4=FALSE,$U$5=TRUE,$U$6=TRUE,$U$7=FALSE)),VLOOKUP($E678,'Status Thresholds'!$E:$AR,33,FALSE),IF((AND($U$4=FALSE,$U$5=TRUE,$U$6=TRUE,$U$7=TRUE)),VLOOKUP($E678,'Status Thresholds'!$E:$AR,38,FALSE),IF((AND($U$4=FALSE,$U$5=TRUE,$U$6=FALSE,$U$7=TRUE)),VLOOKUP($E678,'Status Thresholds'!$E:$AR,28,FALSE)))))))))
))/
IF(OR($X$5=TRUE,$AC$3=TRUE
),($F$5/2), IF(OR($X$2,$X$3,$X$4,$X$6,$X$7,$X$8,$Z$2,$Z$3,$Z$4,$Z$5,$Z$6,$Z$7,$Z$8)=TRUE,$F$5)),0),"-")</f>
        <v>-</v>
      </c>
      <c r="H678" s="36" t="str">
        <f>IFERROR(
ROUNDUP(
IF(AND($U$5=FALSE,$U$4=FALSE),"-",IF(AND($U$5=TRUE,$U$4=TRUE),"-",
IF((AND($U$4=TRUE,$U$5=FALSE,$U$6=FALSE,$U$7=FALSE)),VLOOKUP($E678,'Status Thresholds'!$E:$AR,4,FALSE),IF((AND($U$4=TRUE,$U$5=FALSE,$U$6=TRUE,$U$7=FALSE)),VLOOKUP($E678,'Status Thresholds'!$E:$AR,14,FALSE),IF((AND($U$4=TRUE,$U$5=FALSE,$U$6=TRUE,$U$7=TRUE)),VLOOKUP($E678,'Status Thresholds'!$E:$AR,19,FALSE),IF((AND($U$4=TRUE,$U$5=FALSE,$U$6=FALSE,$U$7=TRUE)),VLOOKUP($E678,'Status Thresholds'!$E:$AR,9,FALSE),
IF((AND($U$4=FALSE,$U$5=TRUE,$U$6=FALSE,$U$7=FALSE)),VLOOKUP($E678,'Status Thresholds'!$E:$AR,24,FALSE),IF((AND($U$4=FALSE,$U$5=TRUE,$U$6=TRUE,$U$7=FALSE)),VLOOKUP($E678,'Status Thresholds'!$E:$AR,34,FALSE),IF((AND($U$4=FALSE,$U$5=TRUE,$U$6=TRUE,$U$7=TRUE)),VLOOKUP($E678,'Status Thresholds'!$E:$AR,39,FALSE),IF((AND($U$4=FALSE,$U$5=TRUE,$U$6=FALSE,$U$7=TRUE)),VLOOKUP($E678,'Status Thresholds'!$E:$AR,29,FALSE)))))))))
))/
IF(OR($X$5=TRUE,$AC$3=TRUE
),($F$5/2), IF(OR($X$2,$X$3,$X$4,$X$6,$X$7,$X$8,$Z$2,$Z$3,$Z$4,$Z$5,$Z$6,$Z$7,$Z$8)=TRUE,$F$5)),0),"-")</f>
        <v>-</v>
      </c>
      <c r="I678" s="36" t="str">
        <f>IFERROR(
ROUNDUP(
IF(AND($U$5=FALSE,$U$4=FALSE),"-",IF(AND($U$5=TRUE,$U$4=TRUE),"-",
IF((AND($U$4=TRUE,$U$5=FALSE,$U$6=FALSE,$U$7=FALSE)),VLOOKUP($E678,'Status Thresholds'!$E:$AR,5,FALSE),IF((AND($U$4=TRUE,$U$5=FALSE,$U$6=TRUE,$U$7=FALSE)),VLOOKUP($E678,'Status Thresholds'!$E:$AR,15,FALSE),IF((AND($U$4=TRUE,$U$5=FALSE,$U$6=TRUE,$U$7=TRUE)),VLOOKUP($E678,'Status Thresholds'!$E:$AR,20,FALSE),IF((AND($U$4=TRUE,$U$5=FALSE,$U$6=FALSE,$U$7=TRUE)),VLOOKUP($E678,'Status Thresholds'!$E:$AR,10,FALSE),
IF((AND($U$4=FALSE,$U$5=TRUE,$U$6=FALSE,$U$7=FALSE)),VLOOKUP($E678,'Status Thresholds'!$E:$AR,25,FALSE),IF((AND($U$4=FALSE,$U$5=TRUE,$U$6=TRUE,$U$7=FALSE)),VLOOKUP($E678,'Status Thresholds'!$E:$AR,35,FALSE),IF((AND($U$4=FALSE,$U$5=TRUE,$U$6=TRUE,$U$7=TRUE)),VLOOKUP($E678,'Status Thresholds'!$E:$AR,40,FALSE),IF((AND($U$4=FALSE,$U$5=TRUE,$U$6=FALSE,$U$7=TRUE)),VLOOKUP($E678,'Status Thresholds'!$E:$AR,30,FALSE)))))))))
))/
IF(OR($X$5=TRUE,$AC$3=TRUE
),($F$5/2), IF(OR($X$2,$X$3,$X$4,$X$6,$X$7,$X$8,$Z$2,$Z$3,$Z$4,$Z$5,$Z$6,$Z$7,$Z$8)=TRUE,$F$5)),0),"-")</f>
        <v>-</v>
      </c>
      <c r="J678" s="46">
        <f>IFERROR(IF(AND($U$5=FALSE,$U$4=FALSE),"-",VLOOKUP($E678,'Status Thresholds'!$E:$AU,41,FALSE)),"-")</f>
        <v>60</v>
      </c>
      <c r="K678" s="46" t="str">
        <f>IFERROR(IF(AND($U$5=FALSE,$U$4=FALSE),"-",VLOOKUP($E678,'Status Thresholds'!$E:$AU,42,FALSE)),"-")</f>
        <v>-</v>
      </c>
      <c r="L678" s="46" t="str">
        <f>IFERROR(IF(AND($U$5=FALSE,$U$4=FALSE),"-",VLOOKUP($E678,'Status Thresholds'!$E:$AU,43,FALSE)),"-")</f>
        <v>-</v>
      </c>
    </row>
    <row r="679" spans="1:12" x14ac:dyDescent="0.25">
      <c r="A679" s="35"/>
      <c r="B679" s="64" t="str">
        <f>VLOOKUP(C679,'Status Thresholds'!B:C,2,FALSE)</f>
        <v>MHGen</v>
      </c>
      <c r="C679" s="64" t="str">
        <f>IF('Status Thresholds'!B674=0, "", 'Status Thresholds'!B674)</f>
        <v>Seregios</v>
      </c>
      <c r="D679" s="10" t="s">
        <v>22</v>
      </c>
      <c r="E679" s="36" t="str">
        <f t="shared" si="10"/>
        <v>SeregiosExhaust</v>
      </c>
      <c r="F679" s="36" t="str">
        <f>IFERROR(
ROUNDUP(
IF(AND($U$5=FALSE,$U$4=FALSE),"-",IF(AND($U$5=TRUE,$U$4=TRUE),"-",
IF((AND($U$4=TRUE,$U$5=FALSE,$U$6=FALSE,$U$7=FALSE)),VLOOKUP($E679,'Status Thresholds'!$E:$AR,2,FALSE),IF((AND($U$4=TRUE,$U$5=FALSE,$U$6=TRUE,$U$7=FALSE)),VLOOKUP($E679,'Status Thresholds'!$E:$AR,12,FALSE),IF((AND($U$4=TRUE,$U$5=FALSE,$U$6=TRUE,$U$7=TRUE)),VLOOKUP($E679,'Status Thresholds'!$E:$AR,17,FALSE),IF((AND($U$4=TRUE,$U$5=FALSE,$U$6=FALSE,$U$7=TRUE)),VLOOKUP($E679,'Status Thresholds'!$E:$AR,7,FALSE),
IF((AND($U$4=FALSE,$U$5=TRUE,$U$6=FALSE,$U$7=FALSE)),VLOOKUP($E679,'Status Thresholds'!$E:$AR,22,FALSE),IF((AND($U$4=FALSE,$U$5=TRUE,$U$6=TRUE,$U$7=FALSE)),VLOOKUP($E679,'Status Thresholds'!$E:$AR,32,FALSE),IF((AND($U$4=FALSE,$U$5=TRUE,$U$6=TRUE,$U$7=TRUE)),VLOOKUP($E679,'Status Thresholds'!$E:$AR,37,FALSE),IF((AND($U$4=FALSE,$U$5=TRUE,$U$6=FALSE,$U$7=TRUE)),VLOOKUP($E679,'Status Thresholds'!$E:$AR,27,FALSE)))))))))
))/
IF(OR($X$5=TRUE,$AC$3=TRUE
),($F$6/2), IF(OR($X$2,$X$3,$X$4,$X$6,$X$7,$X$8,$Z$2,$Z$3,$Z$4,$Z$5,$Z$6,$Z$7,$Z$8)=TRUE,$F$6)),0),"-")</f>
        <v>-</v>
      </c>
      <c r="G679" s="36" t="str">
        <f>IFERROR(
ROUNDUP(
IF(AND($U$5=FALSE,$U$4=FALSE),"-",IF(AND($U$5=TRUE,$U$4=TRUE),"-",
IF((AND($U$4=TRUE,$U$5=FALSE,$U$6=FALSE,$U$7=FALSE)),VLOOKUP($E679,'Status Thresholds'!$E:$AR,3,FALSE),IF((AND($U$4=TRUE,$U$5=FALSE,$U$6=TRUE,$U$7=FALSE)),VLOOKUP($E679,'Status Thresholds'!$E:$AR,13,FALSE),IF((AND($U$4=TRUE,$U$5=FALSE,$U$6=TRUE,$U$7=TRUE)),VLOOKUP($E679,'Status Thresholds'!$E:$AR,18,FALSE),IF((AND($U$4=TRUE,$U$5=FALSE,$U$6=FALSE,$U$7=TRUE)),VLOOKUP($E679,'Status Thresholds'!$E:$AR,8,FALSE),
IF((AND($U$4=FALSE,$U$5=TRUE,$U$6=FALSE,$U$7=FALSE)),VLOOKUP($E679,'Status Thresholds'!$E:$AR,23,FALSE),IF((AND($U$4=FALSE,$U$5=TRUE,$U$6=TRUE,$U$7=FALSE)),VLOOKUP($E679,'Status Thresholds'!$E:$AR,33,FALSE),IF((AND($U$4=FALSE,$U$5=TRUE,$U$6=TRUE,$U$7=TRUE)),VLOOKUP($E679,'Status Thresholds'!$E:$AR,38,FALSE),IF((AND($U$4=FALSE,$U$5=TRUE,$U$6=FALSE,$U$7=TRUE)),VLOOKUP($E679,'Status Thresholds'!$E:$AR,28,FALSE)))))))))
))/
IF(OR($X$5=TRUE,$AC$3=TRUE
),($F$6/2), IF(OR($X$2,$X$3,$X$4,$X$6,$X$7,$X$8,$Z$2,$Z$3,$Z$4,$Z$5,$Z$6,$Z$7,$Z$8)=TRUE,$F$6)),0),"-")</f>
        <v>-</v>
      </c>
      <c r="H679" s="36" t="str">
        <f>IFERROR(
ROUNDUP(
IF(AND($U$5=FALSE,$U$4=FALSE),"-",IF(AND($U$5=TRUE,$U$4=TRUE),"-",
IF((AND($U$4=TRUE,$U$5=FALSE,$U$6=FALSE,$U$7=FALSE)),VLOOKUP($E679,'Status Thresholds'!$E:$AR,4,FALSE),IF((AND($U$4=TRUE,$U$5=FALSE,$U$6=TRUE,$U$7=FALSE)),VLOOKUP($E679,'Status Thresholds'!$E:$AR,14,FALSE),IF((AND($U$4=TRUE,$U$5=FALSE,$U$6=TRUE,$U$7=TRUE)),VLOOKUP($E679,'Status Thresholds'!$E:$AR,19,FALSE),IF((AND($U$4=TRUE,$U$5=FALSE,$U$6=FALSE,$U$7=TRUE)),VLOOKUP($E679,'Status Thresholds'!$E:$AR,9,FALSE),
IF((AND($U$4=FALSE,$U$5=TRUE,$U$6=FALSE,$U$7=FALSE)),VLOOKUP($E679,'Status Thresholds'!$E:$AR,24,FALSE),IF((AND($U$4=FALSE,$U$5=TRUE,$U$6=TRUE,$U$7=FALSE)),VLOOKUP($E679,'Status Thresholds'!$E:$AR,34,FALSE),IF((AND($U$4=FALSE,$U$5=TRUE,$U$6=TRUE,$U$7=TRUE)),VLOOKUP($E679,'Status Thresholds'!$E:$AR,39,FALSE),IF((AND($U$4=FALSE,$U$5=TRUE,$U$6=FALSE,$U$7=TRUE)),VLOOKUP($E679,'Status Thresholds'!$E:$AR,29,FALSE)))))))))
))/
IF(OR($X$5=TRUE,$AC$3=TRUE
),($F$6/2), IF(OR($X$2,$X$3,$X$4,$X$6,$X$7,$X$8,$Z$2,$Z$3,$Z$4,$Z$5,$Z$6,$Z$7,$Z$8)=TRUE,$F$6)),0),"-")</f>
        <v>-</v>
      </c>
      <c r="I679" s="36" t="str">
        <f>IFERROR(
ROUNDUP(
IF(AND($U$5=FALSE,$U$4=FALSE),"-",IF(AND($U$5=TRUE,$U$4=TRUE),"-",
IF((AND($U$4=TRUE,$U$5=FALSE,$U$6=FALSE,$U$7=FALSE)),VLOOKUP($E679,'Status Thresholds'!$E:$AR,5,FALSE),IF((AND($U$4=TRUE,$U$5=FALSE,$U$6=TRUE,$U$7=FALSE)),VLOOKUP($E679,'Status Thresholds'!$E:$AR,15,FALSE),IF((AND($U$4=TRUE,$U$5=FALSE,$U$6=TRUE,$U$7=TRUE)),VLOOKUP($E679,'Status Thresholds'!$E:$AR,20,FALSE),IF((AND($U$4=TRUE,$U$5=FALSE,$U$6=FALSE,$U$7=TRUE)),VLOOKUP($E679,'Status Thresholds'!$E:$AR,10,FALSE),
IF((AND($U$4=FALSE,$U$5=TRUE,$U$6=FALSE,$U$7=FALSE)),VLOOKUP($E679,'Status Thresholds'!$E:$AR,25,FALSE),IF((AND($U$4=FALSE,$U$5=TRUE,$U$6=TRUE,$U$7=FALSE)),VLOOKUP($E679,'Status Thresholds'!$E:$AR,35,FALSE),IF((AND($U$4=FALSE,$U$5=TRUE,$U$6=TRUE,$U$7=TRUE)),VLOOKUP($E679,'Status Thresholds'!$E:$AR,40,FALSE),IF((AND($U$4=FALSE,$U$5=TRUE,$U$6=FALSE,$U$7=TRUE)),VLOOKUP($E679,'Status Thresholds'!$E:$AR,30,FALSE)))))))))
))/
IF(OR($X$5=TRUE,$AC$3=TRUE
),($F$6/2), IF(OR($X$2,$X$3,$X$4,$X$6,$X$7,$X$8,$Z$2,$Z$3,$Z$4,$Z$5,$Z$6,$Z$7,$Z$8)=TRUE,$F$6)),0),"-")</f>
        <v>-</v>
      </c>
      <c r="J679" s="46">
        <f>IFERROR(IF(AND($U$5=FALSE,$U$4=FALSE),"-",VLOOKUP($E679,'Status Thresholds'!$E:$AU,41,FALSE)),"-")</f>
        <v>0</v>
      </c>
      <c r="K679" s="46" t="str">
        <f>IFERROR(IF(AND($U$5=FALSE,$U$4=FALSE),"-",VLOOKUP($E679,'Status Thresholds'!$E:$AU,42,FALSE)),"-")</f>
        <v>-</v>
      </c>
      <c r="L679" s="46" t="str">
        <f>IFERROR(IF(AND($U$5=FALSE,$U$4=FALSE),"-",VLOOKUP($E679,'Status Thresholds'!$E:$AU,43,FALSE)),"-")</f>
        <v>-</v>
      </c>
    </row>
    <row r="680" spans="1:12" x14ac:dyDescent="0.25">
      <c r="A680" s="35"/>
      <c r="B680" s="64" t="str">
        <f>VLOOKUP(C680,'Status Thresholds'!B:C,2,FALSE)</f>
        <v>MHGen</v>
      </c>
      <c r="C680" s="64" t="str">
        <f>IF('Status Thresholds'!B675=0, "", 'Status Thresholds'!B675)</f>
        <v>Seregios</v>
      </c>
      <c r="D680" s="30" t="s">
        <v>35</v>
      </c>
      <c r="E680" s="36" t="str">
        <f t="shared" si="10"/>
        <v>SeregiosBlast</v>
      </c>
      <c r="F680" s="36" t="str">
        <f>IFERROR(
ROUNDUP(
IF(AND($U$5=FALSE,$U$4=FALSE),"-",IF(AND($U$5=TRUE,$U$4=TRUE),"-",
IF((AND($U$4=TRUE,$U$5=FALSE,$U$6=FALSE,$U$7=FALSE)),VLOOKUP($E680,'Status Thresholds'!$E:$AR,2,FALSE),IF((AND($U$4=TRUE,$U$5=FALSE,$U$6=TRUE,$U$7=FALSE)),VLOOKUP($E680,'Status Thresholds'!$E:$AR,12,FALSE),IF((AND($U$4=TRUE,$U$5=FALSE,$U$6=TRUE,$U$7=TRUE)),VLOOKUP($E680,'Status Thresholds'!$E:$AR,17,FALSE),IF((AND($U$4=TRUE,$U$5=FALSE,$U$6=FALSE,$U$7=TRUE)),VLOOKUP($E680,'Status Thresholds'!$E:$AR,7,FALSE),
IF((AND($U$4=FALSE,$U$5=TRUE,$U$6=FALSE,$U$7=FALSE)),VLOOKUP($E680,'Status Thresholds'!$E:$AR,22,FALSE),IF((AND($U$4=FALSE,$U$5=TRUE,$U$6=TRUE,$U$7=FALSE)),VLOOKUP($E680,'Status Thresholds'!$E:$AR,32,FALSE),IF((AND($U$4=FALSE,$U$5=TRUE,$U$6=TRUE,$U$7=TRUE)),VLOOKUP($E680,'Status Thresholds'!$E:$AR,37,FALSE),IF((AND($U$4=FALSE,$U$5=TRUE,$U$6=FALSE,$U$7=TRUE)),VLOOKUP($E680,'Status Thresholds'!$E:$AR,27,FALSE)))))))))
))/
IF(OR($X$5=TRUE,$AC$3=TRUE
),($F$7/2), IF(OR($X$2,$X$3,$X$4,$X$6,$X$7,$X$8,$Z$2,$Z$3,$Z$4,$Z$5,$Z$6,$Z$7,$Z$8)=TRUE,$F$7)),0),"-")</f>
        <v>-</v>
      </c>
      <c r="G680" s="36" t="str">
        <f>IFERROR(
ROUNDUP(
IF(AND($U$5=FALSE,$U$4=FALSE),"-",IF(AND($U$5=TRUE,$U$4=TRUE),"-",
IF((AND($U$4=TRUE,$U$5=FALSE,$U$6=FALSE,$U$7=FALSE)),VLOOKUP($E680,'Status Thresholds'!$E:$AR,3,FALSE),IF((AND($U$4=TRUE,$U$5=FALSE,$U$6=TRUE,$U$7=FALSE)),VLOOKUP($E680,'Status Thresholds'!$E:$AR,13,FALSE),IF((AND($U$4=TRUE,$U$5=FALSE,$U$6=TRUE,$U$7=TRUE)),VLOOKUP($E680,'Status Thresholds'!$E:$AR,18,FALSE),IF((AND($U$4=TRUE,$U$5=FALSE,$U$6=FALSE,$U$7=TRUE)),VLOOKUP($E680,'Status Thresholds'!$E:$AR,8,FALSE),
IF((AND($U$4=FALSE,$U$5=TRUE,$U$6=FALSE,$U$7=FALSE)),VLOOKUP($E680,'Status Thresholds'!$E:$AR,23,FALSE),IF((AND($U$4=FALSE,$U$5=TRUE,$U$6=TRUE,$U$7=FALSE)),VLOOKUP($E680,'Status Thresholds'!$E:$AR,33,FALSE),IF((AND($U$4=FALSE,$U$5=TRUE,$U$6=TRUE,$U$7=TRUE)),VLOOKUP($E680,'Status Thresholds'!$E:$AR,38,FALSE),IF((AND($U$4=FALSE,$U$5=TRUE,$U$6=FALSE,$U$7=TRUE)),VLOOKUP($E680,'Status Thresholds'!$E:$AR,28,FALSE)))))))))
))/
IF(OR($X$5=TRUE,$AC$3=TRUE
),($F$7/2), IF(OR($X$2,$X$3,$X$4,$X$6,$X$7,$X$8,$Z$2,$Z$3,$Z$4,$Z$5,$Z$6,$Z$7,$Z$8)=TRUE,$F$7)),0),"-")</f>
        <v>-</v>
      </c>
      <c r="H680" s="36" t="str">
        <f>IFERROR(
ROUNDUP(
IF(AND($U$5=FALSE,$U$4=FALSE),"-",IF(AND($U$5=TRUE,$U$4=TRUE),"-",
IF((AND($U$4=TRUE,$U$5=FALSE,$U$6=FALSE,$U$7=FALSE)),VLOOKUP($E680,'Status Thresholds'!$E:$AR,4,FALSE),IF((AND($U$4=TRUE,$U$5=FALSE,$U$6=TRUE,$U$7=FALSE)),VLOOKUP($E680,'Status Thresholds'!$E:$AR,14,FALSE),IF((AND($U$4=TRUE,$U$5=FALSE,$U$6=TRUE,$U$7=TRUE)),VLOOKUP($E680,'Status Thresholds'!$E:$AR,19,FALSE),IF((AND($U$4=TRUE,$U$5=FALSE,$U$6=FALSE,$U$7=TRUE)),VLOOKUP($E680,'Status Thresholds'!$E:$AR,9,FALSE),
IF((AND($U$4=FALSE,$U$5=TRUE,$U$6=FALSE,$U$7=FALSE)),VLOOKUP($E680,'Status Thresholds'!$E:$AR,24,FALSE),IF((AND($U$4=FALSE,$U$5=TRUE,$U$6=TRUE,$U$7=FALSE)),VLOOKUP($E680,'Status Thresholds'!$E:$AR,34,FALSE),IF((AND($U$4=FALSE,$U$5=TRUE,$U$6=TRUE,$U$7=TRUE)),VLOOKUP($E680,'Status Thresholds'!$E:$AR,39,FALSE),IF((AND($U$4=FALSE,$U$5=TRUE,$U$6=FALSE,$U$7=TRUE)),VLOOKUP($E680,'Status Thresholds'!$E:$AR,29,FALSE)))))))))
))/
IF(OR($X$5=TRUE,$AC$3=TRUE
),($F$7/2), IF(OR($X$2,$X$3,$X$4,$X$6,$X$7,$X$8,$Z$2,$Z$3,$Z$4,$Z$5,$Z$6,$Z$7,$Z$8)=TRUE,$F$7)),0),"-")</f>
        <v>-</v>
      </c>
      <c r="I680" s="36" t="str">
        <f>IFERROR(
ROUNDUP(
IF(AND($U$5=FALSE,$U$4=FALSE),"-",IF(AND($U$5=TRUE,$U$4=TRUE),"-",
IF((AND($U$4=TRUE,$U$5=FALSE,$U$6=FALSE,$U$7=FALSE)),VLOOKUP($E680,'Status Thresholds'!$E:$AR,5,FALSE),IF((AND($U$4=TRUE,$U$5=FALSE,$U$6=TRUE,$U$7=FALSE)),VLOOKUP($E680,'Status Thresholds'!$E:$AR,15,FALSE),IF((AND($U$4=TRUE,$U$5=FALSE,$U$6=TRUE,$U$7=TRUE)),VLOOKUP($E680,'Status Thresholds'!$E:$AR,20,FALSE),IF((AND($U$4=TRUE,$U$5=FALSE,$U$6=FALSE,$U$7=TRUE)),VLOOKUP($E680,'Status Thresholds'!$E:$AR,10,FALSE),
IF((AND($U$4=FALSE,$U$5=TRUE,$U$6=FALSE,$U$7=FALSE)),VLOOKUP($E680,'Status Thresholds'!$E:$AR,25,FALSE),IF((AND($U$4=FALSE,$U$5=TRUE,$U$6=TRUE,$U$7=FALSE)),VLOOKUP($E680,'Status Thresholds'!$E:$AR,35,FALSE),IF((AND($U$4=FALSE,$U$5=TRUE,$U$6=TRUE,$U$7=TRUE)),VLOOKUP($E680,'Status Thresholds'!$E:$AR,40,FALSE),IF((AND($U$4=FALSE,$U$5=TRUE,$U$6=FALSE,$U$7=TRUE)),VLOOKUP($E680,'Status Thresholds'!$E:$AR,30,FALSE)))))))))
))/
IF(OR($X$5=TRUE,$AC$3=TRUE
),($F$7/2), IF(OR($X$2,$X$3,$X$4,$X$6,$X$7,$X$8,$Z$2,$Z$3,$Z$4,$Z$5,$Z$6,$Z$7,$Z$8)=TRUE,$F$7)),0),"-")</f>
        <v>-</v>
      </c>
      <c r="J680" s="46">
        <f>IFERROR(IF(AND($U$5=FALSE,$U$4=FALSE),"-",VLOOKUP($E680,'Status Thresholds'!$E:$AU,41,FALSE)),"-")</f>
        <v>0</v>
      </c>
      <c r="K680" s="46" t="str">
        <f>IFERROR(IF(AND($U$5=FALSE,$U$4=FALSE),"-",VLOOKUP($E680,'Status Thresholds'!$E:$AU,42,FALSE)),"-")</f>
        <v>-</v>
      </c>
      <c r="L680" s="46" t="str">
        <f>IFERROR(IF(AND($U$5=FALSE,$U$4=FALSE),"-",VLOOKUP($E680,'Status Thresholds'!$E:$AU,43,FALSE)),"-")</f>
        <v>-</v>
      </c>
    </row>
    <row r="681" spans="1:12" ht="14.45" customHeight="1" x14ac:dyDescent="0.25">
      <c r="A681" s="35"/>
      <c r="B681" s="64" t="str">
        <f>VLOOKUP(C681,'Status Thresholds'!B:C,2,FALSE)</f>
        <v>MHGen</v>
      </c>
      <c r="C681" s="64" t="str">
        <f>IF('Status Thresholds'!B676=0, "", 'Status Thresholds'!B676)</f>
        <v>Seregios</v>
      </c>
      <c r="D681" s="34" t="s">
        <v>14</v>
      </c>
      <c r="E681" s="36" t="str">
        <f t="shared" si="10"/>
        <v>SeregiosKO</v>
      </c>
      <c r="F681" s="36" t="s">
        <v>214</v>
      </c>
      <c r="G681" s="36" t="s">
        <v>214</v>
      </c>
      <c r="H681" s="36" t="s">
        <v>214</v>
      </c>
      <c r="I681" s="36" t="s">
        <v>214</v>
      </c>
      <c r="J681" s="46">
        <f>IFERROR(IF(AND($U$5=FALSE,$U$4=FALSE),"-",VLOOKUP($E681,'Status Thresholds'!$E:$AU,41,FALSE)),"-")</f>
        <v>10</v>
      </c>
      <c r="K681" s="46" t="str">
        <f>IFERROR(IF(AND($U$5=FALSE,$U$4=FALSE),"-",VLOOKUP($E681,'Status Thresholds'!$E:$AU,42,FALSE)),"-")</f>
        <v>-</v>
      </c>
      <c r="L681" s="46" t="str">
        <f>IFERROR(IF(AND($U$5=FALSE,$U$4=FALSE),"-",VLOOKUP($E681,'Status Thresholds'!$E:$AU,43,FALSE)),"-")</f>
        <v>-</v>
      </c>
    </row>
    <row r="682" spans="1:12" x14ac:dyDescent="0.25">
      <c r="A682" s="35"/>
      <c r="B682" s="64" t="str">
        <f>VLOOKUP(C682,'Status Thresholds'!B:C,2,FALSE)</f>
        <v>MHGen</v>
      </c>
      <c r="C682" s="64" t="str">
        <f>IF('Status Thresholds'!B677=0, "", 'Status Thresholds'!B677)</f>
        <v>Seregios</v>
      </c>
      <c r="D682" s="33" t="s">
        <v>34</v>
      </c>
      <c r="E682" s="36" t="str">
        <f t="shared" si="10"/>
        <v>SeregiosMount</v>
      </c>
      <c r="F682" s="36" t="str">
        <f>IFERROR(
ROUNDUP(
IF(AND($U$5=FALSE,$U$4=FALSE),"-",IF(AND($U$5=TRUE,$U$4=TRUE),"-",
IF((AND($U$4=TRUE,$U$5=FALSE,$U$6=FALSE,$U$7=FALSE)),VLOOKUP($E682,'Status Thresholds'!$E:$AR,2,FALSE),IF((AND($U$4=TRUE,$U$5=FALSE,$U$6=TRUE,$U$7=FALSE)),VLOOKUP($E682,'Status Thresholds'!$E:$AR,12,FALSE),IF((AND($U$4=TRUE,$U$5=FALSE,$U$6=TRUE,$U$7=TRUE)),VLOOKUP($E682,'Status Thresholds'!$E:$AR,17,FALSE),IF((AND($U$4=TRUE,$U$5=FALSE,$U$6=FALSE,$U$7=TRUE)),VLOOKUP($E682,'Status Thresholds'!$E:$AR,7,FALSE),
IF((AND($U$4=FALSE,$U$5=TRUE,$U$6=FALSE,$U$7=FALSE)),VLOOKUP($E682,'Status Thresholds'!$E:$AR,22,FALSE),IF((AND($U$4=FALSE,$U$5=TRUE,$U$6=TRUE,$U$7=FALSE)),VLOOKUP($E682,'Status Thresholds'!$E:$AR,32,FALSE),IF((AND($U$4=FALSE,$U$5=TRUE,$U$6=TRUE,$U$7=TRUE)),VLOOKUP($E682,'Status Thresholds'!$E:$AR,37,FALSE),IF((AND($U$4=FALSE,$U$5=TRUE,$U$6=FALSE,$U$7=TRUE)),VLOOKUP($E682,'Status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682" s="36" t="str">
        <f>IFERROR(
ROUNDUP(
IF(AND($U$5=FALSE,$U$4=FALSE),"-",IF(AND($U$5=TRUE,$U$4=TRUE),"-",
IF((AND($U$4=TRUE,$U$5=FALSE,$U$6=FALSE,$U$7=FALSE)),VLOOKUP($E681,'Status Thresholds'!$E:$AR,3,FALSE),IF((AND($U$4=TRUE,$U$5=FALSE,$U$6=TRUE,$U$7=FALSE)),VLOOKUP($E681,'Status Thresholds'!$E:$AR,13,FALSE),IF((AND($U$4=TRUE,$U$5=FALSE,$U$6=TRUE,$U$7=TRUE)),VLOOKUP($E681,'Status Thresholds'!$E:$AR,18,FALSE),IF((AND($U$4=TRUE,$U$5=FALSE,$U$6=FALSE,$U$7=TRUE)),VLOOKUP($E681,'Status Thresholds'!$E:$AR,8,FALSE),
IF((AND($U$4=FALSE,$U$5=TRUE,$U$6=FALSE,$U$7=FALSE)),VLOOKUP($E681,'Status Thresholds'!$E:$AR,23,FALSE),IF((AND($U$4=FALSE,$U$5=TRUE,$U$6=TRUE,$U$7=FALSE)),VLOOKUP($E681,'Status Thresholds'!$E:$AR,33,FALSE),IF((AND($U$4=FALSE,$U$5=TRUE,$U$6=TRUE,$U$7=TRUE)),VLOOKUP($E681,'Status Thresholds'!$E:$AR,38,FALSE),IF((AND($U$4=FALSE,$U$5=TRUE,$U$6=FALSE,$U$7=TRUE)),VLOOKUP($E681,'Status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682" s="36" t="str">
        <f>IFERROR(
ROUNDUP(
IF(AND($U$5=FALSE,$U$4=FALSE),"-",IF(AND($U$5=TRUE,$U$4=TRUE),"-",
IF((AND($U$4=TRUE,$U$5=FALSE,$U$6=FALSE,$U$7=FALSE)),VLOOKUP($E681,'Status Thresholds'!$E:$AR,4,FALSE),IF((AND($U$4=TRUE,$U$5=FALSE,$U$6=TRUE,$U$7=FALSE)),VLOOKUP($E681,'Status Thresholds'!$E:$AR,14,FALSE),IF((AND($U$4=TRUE,$U$5=FALSE,$U$6=TRUE,$U$7=TRUE)),VLOOKUP($E681,'Status Thresholds'!$E:$AR,19,FALSE),IF((AND($U$4=TRUE,$U$5=FALSE,$U$6=FALSE,$U$7=TRUE)),VLOOKUP($E681,'Status Thresholds'!$E:$AR,9,FALSE),
IF((AND($U$4=FALSE,$U$5=TRUE,$U$6=FALSE,$U$7=FALSE)),VLOOKUP($E681,'Status Thresholds'!$E:$AR,24,FALSE),IF((AND($U$4=FALSE,$U$5=TRUE,$U$6=TRUE,$U$7=FALSE)),VLOOKUP($E681,'Status Thresholds'!$E:$AR,34,FALSE),IF((AND($U$4=FALSE,$U$5=TRUE,$U$6=TRUE,$U$7=TRUE)),VLOOKUP($E681,'Status Thresholds'!$E:$AR,39,FALSE),IF((AND($U$4=FALSE,$U$5=TRUE,$U$6=FALSE,$U$7=TRUE)),VLOOKUP($E681,'Status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682" s="36" t="str">
        <f>IFERROR(
ROUNDUP(
IF(AND($U$5=FALSE,$U$4=FALSE),"-",IF(AND($U$5=TRUE,$U$4=TRUE),"-",
IF((AND($U$4=TRUE,$U$5=FALSE,$U$6=FALSE,$U$7=FALSE)),VLOOKUP($E681,'Status Thresholds'!$E:$AR,5,FALSE),IF((AND($U$4=TRUE,$U$5=FALSE,$U$6=TRUE,$U$7=FALSE)),VLOOKUP($E681,'Status Thresholds'!$E:$AR,15,FALSE),IF((AND($U$4=TRUE,$U$5=FALSE,$U$6=TRUE,$U$7=TRUE)),VLOOKUP($E681,'Status Thresholds'!$E:$AR,20,FALSE),IF((AND($U$4=TRUE,$U$5=FALSE,$U$6=FALSE,$U$7=TRUE)),VLOOKUP($E681,'Status Thresholds'!$E:$AR,10,FALSE),
IF((AND($U$4=FALSE,$U$5=TRUE,$U$6=FALSE,$U$7=FALSE)),VLOOKUP($E681,'Status Thresholds'!$E:$AR,25,FALSE),IF((AND($U$4=FALSE,$U$5=TRUE,$U$6=TRUE,$U$7=FALSE)),VLOOKUP($E681,'Status Thresholds'!$E:$AR,35,FALSE),IF((AND($U$4=FALSE,$U$5=TRUE,$U$6=TRUE,$U$7=TRUE)),VLOOKUP($E681,'Status Thresholds'!$E:$AR,40,FALSE),IF((AND($U$4=FALSE,$U$5=TRUE,$U$6=FALSE,$U$7=TRUE)),VLOOKUP($E681,'Status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682" s="46">
        <f>IFERROR(IF(AND($U$5=FALSE,$U$4=FALSE),"-",VLOOKUP($E682,'Status Thresholds'!$E:$AU,41,FALSE)),"-")</f>
        <v>0</v>
      </c>
      <c r="K682" s="46" t="str">
        <f>IFERROR(IF(AND($U$5=FALSE,$U$4=FALSE),"-",VLOOKUP($E682,'Status Thresholds'!$E:$AU,42,FALSE)),"-")</f>
        <v>-</v>
      </c>
      <c r="L682" s="46" t="str">
        <f>IFERROR(IF(AND($U$5=FALSE,$U$4=FALSE),"-",VLOOKUP($E682,'Status Thresholds'!$E:$AU,43,FALSE)),"-")</f>
        <v>-</v>
      </c>
    </row>
    <row r="683" spans="1:12" ht="15" customHeight="1" x14ac:dyDescent="0.25">
      <c r="A683" s="35"/>
      <c r="B683" s="64" t="str">
        <f>VLOOKUP(C683,'Status Thresholds'!B:C,2,FALSE)</f>
        <v>MHGen</v>
      </c>
      <c r="C683" s="64" t="str">
        <f>IF('Status Thresholds'!B678=0, "", 'Status Thresholds'!B678)</f>
        <v>Seregios</v>
      </c>
      <c r="D683" s="77" t="s">
        <v>207</v>
      </c>
      <c r="E683" s="36" t="str">
        <f t="shared" si="10"/>
        <v>SeregiosShock Trap</v>
      </c>
      <c r="F683" s="76" t="s">
        <v>214</v>
      </c>
      <c r="G683" s="46" t="s">
        <v>214</v>
      </c>
      <c r="H683" s="46" t="s">
        <v>214</v>
      </c>
      <c r="I683" s="46" t="s">
        <v>214</v>
      </c>
      <c r="J683" s="46">
        <f>IFERROR(IF(AND($U$5=FALSE,$U$4=FALSE),"-",VLOOKUP($E683,'Status Thresholds'!$E:$AU,43,FALSE)),"-")</f>
        <v>0</v>
      </c>
      <c r="K683" s="46">
        <f>IFERROR(IF(AND($U$5=FALSE,$U$4=FALSE),"-",VLOOKUP($E683,'Status Thresholds'!$E:$AU,41,FALSE)),"-")</f>
        <v>8</v>
      </c>
      <c r="L683" s="46">
        <f>IFERROR(IF(AND($U$5=FALSE,$U$4=FALSE),"-",VLOOKUP($E683,'Status Thresholds'!$E:$AU,42,FALSE)),"-")</f>
        <v>15</v>
      </c>
    </row>
    <row r="684" spans="1:12" x14ac:dyDescent="0.25">
      <c r="A684" s="35"/>
      <c r="B684" s="64" t="str">
        <f>VLOOKUP(C684,'Status Thresholds'!B:C,2,FALSE)</f>
        <v>MHGen</v>
      </c>
      <c r="C684" s="64" t="str">
        <f>IF('Status Thresholds'!B679=0, "", 'Status Thresholds'!B679)</f>
        <v>Seregios</v>
      </c>
      <c r="D684" s="77" t="s">
        <v>213</v>
      </c>
      <c r="E684" s="36" t="str">
        <f t="shared" si="10"/>
        <v>SeregiosPitfall Trap</v>
      </c>
      <c r="F684" s="46" t="s">
        <v>214</v>
      </c>
      <c r="G684" s="46" t="s">
        <v>214</v>
      </c>
      <c r="H684" s="46" t="s">
        <v>214</v>
      </c>
      <c r="I684" s="46" t="s">
        <v>214</v>
      </c>
      <c r="J684" s="46">
        <f>IFERROR(IF(AND($U$5=FALSE,$U$4=FALSE),"-",VLOOKUP($E684,'Status Thresholds'!$E:$AU,43,FALSE)),"-")</f>
        <v>12</v>
      </c>
      <c r="K684" s="46">
        <f>IFERROR(IF(AND($U$5=FALSE,$U$4=FALSE),"-",VLOOKUP($E684,'Status Thresholds'!$E:$AU,41,FALSE)),"-")</f>
        <v>12</v>
      </c>
      <c r="L684" s="46">
        <f>IFERROR(IF(AND($U$5=FALSE,$U$4=FALSE),"-",VLOOKUP($E684,'Status Thresholds'!$E:$AU,42,FALSE)),"-")</f>
        <v>25</v>
      </c>
    </row>
    <row r="685" spans="1:12" s="36" customFormat="1" x14ac:dyDescent="0.25">
      <c r="A685" s="64"/>
      <c r="B685" s="64" t="str">
        <f>VLOOKUP(C685,'Status Thresholds'!B:C,2,FALSE)</f>
        <v>MHGen</v>
      </c>
      <c r="C685" s="64" t="str">
        <f>IF('Status Thresholds'!B680=0, "", 'Status Thresholds'!B680)</f>
        <v>Shogun Ceanataur</v>
      </c>
      <c r="D685" s="37" t="s">
        <v>0</v>
      </c>
      <c r="E685" s="36" t="str">
        <f t="shared" si="10"/>
        <v>Shogun CeanataurPara</v>
      </c>
      <c r="F685" s="36" t="str">
        <f>IFERROR(
ROUNDUP(
IF(AND($U$5=FALSE,$U$4=FALSE),"-",IF(AND($U$5=TRUE,$U$4=TRUE),"-",
IF((AND($U$4=TRUE,$U$5=FALSE,$U$6=FALSE,$U$7=FALSE)),VLOOKUP($E685,'Status Thresholds'!$E:$AR,2,FALSE),IF((AND($U$4=TRUE,$U$5=FALSE,$U$6=TRUE,$U$7=FALSE)),VLOOKUP($E685,'Status Thresholds'!$E:$AR,12,FALSE),IF((AND($U$4=TRUE,$U$5=FALSE,$U$6=TRUE,$U$7=TRUE)),VLOOKUP($E685,'Status Thresholds'!$E:$AR,17,FALSE),IF((AND($U$4=TRUE,$U$5=FALSE,$U$6=FALSE,$U$7=TRUE)),VLOOKUP($E685,'Status Thresholds'!$E:$AR,7,FALSE),
IF((AND($U$4=FALSE,$U$5=TRUE,$U$6=FALSE,$U$7=FALSE)),VLOOKUP($E685,'Status Thresholds'!$E:$AR,22,FALSE),IF((AND($U$4=FALSE,$U$5=TRUE,$U$6=TRUE,$U$7=FALSE)),VLOOKUP($E685,'Status Thresholds'!$E:$AR,32,FALSE),IF((AND($U$4=FALSE,$U$5=TRUE,$U$6=TRUE,$U$7=TRUE)),VLOOKUP($E685,'Status Thresholds'!$E:$AR,37,FALSE),IF((AND($U$4=FALSE,$U$5=TRUE,$U$6=FALSE,$U$7=TRUE)),VLOOKUP($E685,'Status Thresholds'!$E:$AR,27,FALSE)))))))))
))/
IF(OR($X$5=TRUE,$AC$3=TRUE
),($F$3/2), IF(OR($X$2,$X$3,$X$4,$X$6,$X$7,$X$8,$Z$2,$Z$3,$Z$4,$Z$5,$Z$6,$Z$7,$Z$8)=TRUE,$F$3)),0),"-")</f>
        <v>-</v>
      </c>
      <c r="G685" s="36" t="str">
        <f>IFERROR(
ROUNDUP(
IF(AND($U$5=FALSE,$U$4=FALSE),"-",IF(AND($U$5=TRUE,$U$4=TRUE),"-",
IF((AND($U$4=TRUE,$U$5=FALSE,$U$6=FALSE,$U$7=FALSE)),VLOOKUP($E685,'Status Thresholds'!$E:$AR,3,FALSE),IF((AND($U$4=TRUE,$U$5=FALSE,$U$6=TRUE,$U$7=FALSE)),VLOOKUP($E685,'Status Thresholds'!$E:$AR,13,FALSE),IF((AND($U$4=TRUE,$U$5=FALSE,$U$6=TRUE,$U$7=TRUE)),VLOOKUP($E685,'Status Thresholds'!$E:$AR,18,FALSE),IF((AND($U$4=TRUE,$U$5=FALSE,$U$6=FALSE,$U$7=TRUE)),VLOOKUP($E685,'Status Thresholds'!$E:$AR,8,FALSE),
IF((AND($U$4=FALSE,$U$5=TRUE,$U$6=FALSE,$U$7=FALSE)),VLOOKUP($E685,'Status Thresholds'!$E:$AR,23,FALSE),IF((AND($U$4=FALSE,$U$5=TRUE,$U$6=TRUE,$U$7=FALSE)),VLOOKUP($E685,'Status Thresholds'!$E:$AR,33,FALSE),IF((AND($U$4=FALSE,$U$5=TRUE,$U$6=TRUE,$U$7=TRUE)),VLOOKUP($E685,'Status Thresholds'!$E:$AR,38,FALSE),IF((AND($U$4=FALSE,$U$5=TRUE,$U$6=FALSE,$U$7=TRUE)),VLOOKUP($E685,'Status Thresholds'!$E:$AR,28,FALSE)))))))))
))/
IF(OR($X$5=TRUE,$AC$3=TRUE
),($F$3/2), IF(OR($X$2,$X$3,$X$4,$X$6,$X$7,$X$8,$Z$2,$Z$3,$Z$4,$Z$5,$Z$6,$Z$7,$Z$8)=TRUE,$F$3)),0),"-")</f>
        <v>-</v>
      </c>
      <c r="H685" s="36" t="str">
        <f>IFERROR(
ROUNDUP(
IF(AND($U$5=FALSE,$U$4=FALSE),"-",IF(AND($U$5=TRUE,$U$4=TRUE),"-",
IF((AND($U$4=TRUE,$U$5=FALSE,$U$6=FALSE,$U$7=FALSE)),VLOOKUP($E685,'Status Thresholds'!$E:$AR,4,FALSE),IF((AND($U$4=TRUE,$U$5=FALSE,$U$6=TRUE,$U$7=FALSE)),VLOOKUP($E685,'Status Thresholds'!$E:$AR,14,FALSE),IF((AND($U$4=TRUE,$U$5=FALSE,$U$6=TRUE,$U$7=TRUE)),VLOOKUP($E685,'Status Thresholds'!$E:$AR,19,FALSE),IF((AND($U$4=TRUE,$U$5=FALSE,$U$6=FALSE,$U$7=TRUE)),VLOOKUP($E685,'Status Thresholds'!$E:$AR,9,FALSE),
IF((AND($U$4=FALSE,$U$5=TRUE,$U$6=FALSE,$U$7=FALSE)),VLOOKUP($E685,'Status Thresholds'!$E:$AR,24,FALSE),IF((AND($U$4=FALSE,$U$5=TRUE,$U$6=TRUE,$U$7=FALSE)),VLOOKUP($E685,'Status Thresholds'!$E:$AR,34,FALSE),IF((AND($U$4=FALSE,$U$5=TRUE,$U$6=TRUE,$U$7=TRUE)),VLOOKUP($E685,'Status Thresholds'!$E:$AR,39,FALSE),IF((AND($U$4=FALSE,$U$5=TRUE,$U$6=FALSE,$U$7=TRUE)),VLOOKUP($E685,'Status Thresholds'!$E:$AR,29,FALSE)))))))))
))/
IF(OR($X$5=TRUE,$AC$3=TRUE
),($F$3/2), IF(OR($X$2,$X$3,$X$4,$X$6,$X$7,$X$8,$Z$2,$Z$3,$Z$4,$Z$5,$Z$6,$Z$7,$Z$8)=TRUE,$F$3)),0),"-")</f>
        <v>-</v>
      </c>
      <c r="I685" s="36" t="str">
        <f>IFERROR(
ROUNDUP(
IF(AND($U$5=FALSE,$U$4=FALSE),"-",IF(AND($U$5=TRUE,$U$4=TRUE),"-",
IF((AND($U$4=TRUE,$U$5=FALSE,$U$6=FALSE,$U$7=FALSE)),VLOOKUP($E685,'Status Thresholds'!$E:$AR,5,FALSE),IF((AND($U$4=TRUE,$U$5=FALSE,$U$6=TRUE,$U$7=FALSE)),VLOOKUP($E685,'Status Thresholds'!$E:$AR,15,FALSE),IF((AND($U$4=TRUE,$U$5=FALSE,$U$6=TRUE,$U$7=TRUE)),VLOOKUP($E685,'Status Thresholds'!$E:$AR,20,FALSE),IF((AND($U$4=TRUE,$U$5=FALSE,$U$6=FALSE,$U$7=TRUE)),VLOOKUP($E685,'Status Thresholds'!$E:$AR,10,FALSE),
IF((AND($U$4=FALSE,$U$5=TRUE,$U$6=FALSE,$U$7=FALSE)),VLOOKUP($E685,'Status Thresholds'!$E:$AR,25,FALSE),IF((AND($U$4=FALSE,$U$5=TRUE,$U$6=TRUE,$U$7=FALSE)),VLOOKUP($E685,'Status Thresholds'!$E:$AR,35,FALSE),IF((AND($U$4=FALSE,$U$5=TRUE,$U$6=TRUE,$U$7=TRUE)),VLOOKUP($E685,'Status Thresholds'!$E:$AR,40,FALSE),IF((AND($U$4=FALSE,$U$5=TRUE,$U$6=FALSE,$U$7=TRUE)),VLOOKUP($E685,'Status Thresholds'!$E:$AR,30,FALSE)))))))))
))/
IF(OR($X$5=TRUE,$AC$3=TRUE
),($F$3/2), IF(OR($X$2,$X$3,$X$4,$X$6,$X$7,$X$8,$Z$2,$Z$3,$Z$4,$Z$5,$Z$6,$Z$7,$Z$8)=TRUE,$F$3)),0),"-")</f>
        <v>-</v>
      </c>
      <c r="J685" s="36">
        <f>IFERROR(IF(AND($U$5=FALSE,$U$4=FALSE),"-",VLOOKUP($E685,'Status Thresholds'!$E:$AU,41,FALSE)),"-")</f>
        <v>10</v>
      </c>
      <c r="K685" s="36" t="str">
        <f>IFERROR(IF(AND($U$5=FALSE,$U$4=FALSE),"-",VLOOKUP($E685,'Status Thresholds'!$E:$AU,42,FALSE)),"-")</f>
        <v>-</v>
      </c>
      <c r="L685" s="36" t="str">
        <f>IFERROR(IF(AND($U$5=FALSE,$U$4=FALSE),"-",VLOOKUP($E685,'Status Thresholds'!$E:$AU,43,FALSE)),"-")</f>
        <v>-</v>
      </c>
    </row>
    <row r="686" spans="1:12" x14ac:dyDescent="0.25">
      <c r="A686" s="35"/>
      <c r="B686" s="64" t="str">
        <f>VLOOKUP(C686,'Status Thresholds'!B:C,2,FALSE)</f>
        <v>MHGen</v>
      </c>
      <c r="C686" s="64" t="str">
        <f>IF('Status Thresholds'!B681=0, "", 'Status Thresholds'!B681)</f>
        <v>Shogun Ceanataur</v>
      </c>
      <c r="D686" s="31" t="s">
        <v>32</v>
      </c>
      <c r="E686" s="36" t="str">
        <f t="shared" si="10"/>
        <v>Shogun CeanataurSleep</v>
      </c>
      <c r="F686" s="36" t="str">
        <f>IFERROR(
ROUNDUP(
IF(AND($U$5=FALSE,$U$4=FALSE),"-",IF(AND($U$5=TRUE,$U$4=TRUE),"-",
IF((AND($U$4=TRUE,$U$5=FALSE,$U$6=FALSE,$U$7=FALSE)),VLOOKUP($E686,'Status Thresholds'!$E:$AR,2,FALSE),IF((AND($U$4=TRUE,$U$5=FALSE,$U$6=TRUE,$U$7=FALSE)),VLOOKUP($E686,'Status Thresholds'!$E:$AR,12,FALSE),IF((AND($U$4=TRUE,$U$5=FALSE,$U$6=TRUE,$U$7=TRUE)),VLOOKUP($E686,'Status Thresholds'!$E:$AR,17,FALSE),IF((AND($U$4=TRUE,$U$5=FALSE,$U$6=FALSE,$U$7=TRUE)),VLOOKUP($E686,'Status Thresholds'!$E:$AR,7,FALSE),
IF((AND($U$4=FALSE,$U$5=TRUE,$U$6=FALSE,$U$7=FALSE)),VLOOKUP($E686,'Status Thresholds'!$E:$AR,22,FALSE),IF((AND($U$4=FALSE,$U$5=TRUE,$U$6=TRUE,$U$7=FALSE)),VLOOKUP($E686,'Status Thresholds'!$E:$AR,32,FALSE),IF((AND($U$4=FALSE,$U$5=TRUE,$U$6=TRUE,$U$7=TRUE)),VLOOKUP($E686,'Status Thresholds'!$E:$AR,37,FALSE),IF((AND($U$4=FALSE,$U$5=TRUE,$U$6=FALSE,$U$7=TRUE)),VLOOKUP($E686,'Status Thresholds'!$E:$AR,27,FALSE)))))))))
))/
IF(OR($X$5=TRUE,$AC$3=TRUE
),($F$4/2), IF(OR($X$2,$X$3,$X$4,$X$6,$X$7,$X$8,$Z$2,$Z$3,$Z$4,$Z$5,$Z$6,$Z$7,$Z$8)=TRUE,$F$4)),0),"-")</f>
        <v>-</v>
      </c>
      <c r="G686" s="36" t="str">
        <f>IFERROR(
ROUNDUP(
IF(AND($U$5=FALSE,$U$4=FALSE),"-",IF(AND($U$5=TRUE,$U$4=TRUE),"-",
IF((AND($U$4=TRUE,$U$5=FALSE,$U$6=FALSE,$U$7=FALSE)),VLOOKUP($E686,'Status Thresholds'!$E:$AR,3,FALSE),IF((AND($U$4=TRUE,$U$5=FALSE,$U$6=TRUE,$U$7=FALSE)),VLOOKUP($E686,'Status Thresholds'!$E:$AR,13,FALSE),IF((AND($U$4=TRUE,$U$5=FALSE,$U$6=TRUE,$U$7=TRUE)),VLOOKUP($E686,'Status Thresholds'!$E:$AR,18,FALSE),IF((AND($U$4=TRUE,$U$5=FALSE,$U$6=FALSE,$U$7=TRUE)),VLOOKUP($E686,'Status Thresholds'!$E:$AR,8,FALSE),
IF((AND($U$4=FALSE,$U$5=TRUE,$U$6=FALSE,$U$7=FALSE)),VLOOKUP($E686,'Status Thresholds'!$E:$AR,23,FALSE),IF((AND($U$4=FALSE,$U$5=TRUE,$U$6=TRUE,$U$7=FALSE)),VLOOKUP($E686,'Status Thresholds'!$E:$AR,33,FALSE),IF((AND($U$4=FALSE,$U$5=TRUE,$U$6=TRUE,$U$7=TRUE)),VLOOKUP($E686,'Status Thresholds'!$E:$AR,38,FALSE),IF((AND($U$4=FALSE,$U$5=TRUE,$U$6=FALSE,$U$7=TRUE)),VLOOKUP($E686,'Status Thresholds'!$E:$AR,28,FALSE)))))))))
))/
IF(OR($X$5=TRUE,$AC$3=TRUE
),($F$4/2), IF(OR($X$2,$X$3,$X$4,$X$6,$X$7,$X$8,$Z$2,$Z$3,$Z$4,$Z$5,$Z$6,$Z$7,$Z$8)=TRUE,$F$4)),0),"-")</f>
        <v>-</v>
      </c>
      <c r="H686" s="36" t="str">
        <f>IFERROR(
ROUNDUP(
IF(AND($U$5=FALSE,$U$4=FALSE),"-",IF(AND($U$5=TRUE,$U$4=TRUE),"-",
IF((AND($U$4=TRUE,$U$5=FALSE,$U$6=FALSE,$U$7=FALSE)),VLOOKUP($E686,'Status Thresholds'!$E:$AR,4,FALSE),IF((AND($U$4=TRUE,$U$5=FALSE,$U$6=TRUE,$U$7=FALSE)),VLOOKUP($E686,'Status Thresholds'!$E:$AR,14,FALSE),IF((AND($U$4=TRUE,$U$5=FALSE,$U$6=TRUE,$U$7=TRUE)),VLOOKUP($E686,'Status Thresholds'!$E:$AR,19,FALSE),IF((AND($U$4=TRUE,$U$5=FALSE,$U$6=FALSE,$U$7=TRUE)),VLOOKUP($E686,'Status Thresholds'!$E:$AR,9,FALSE),
IF((AND($U$4=FALSE,$U$5=TRUE,$U$6=FALSE,$U$7=FALSE)),VLOOKUP($E686,'Status Thresholds'!$E:$AR,24,FALSE),IF((AND($U$4=FALSE,$U$5=TRUE,$U$6=TRUE,$U$7=FALSE)),VLOOKUP($E686,'Status Thresholds'!$E:$AR,34,FALSE),IF((AND($U$4=FALSE,$U$5=TRUE,$U$6=TRUE,$U$7=TRUE)),VLOOKUP($E686,'Status Thresholds'!$E:$AR,39,FALSE),IF((AND($U$4=FALSE,$U$5=TRUE,$U$6=FALSE,$U$7=TRUE)),VLOOKUP($E686,'Status Thresholds'!$E:$AR,29,FALSE)))))))))
))/
IF(OR($X$5=TRUE,$AC$3=TRUE
),($F$4/2), IF(OR($X$2,$X$3,$X$4,$X$6,$X$7,$X$8,$Z$2,$Z$3,$Z$4,$Z$5,$Z$6,$Z$7,$Z$8)=TRUE,$F$4)),0),"-")</f>
        <v>-</v>
      </c>
      <c r="I686" s="36" t="str">
        <f>IFERROR(
ROUNDUP(
IF(AND($U$5=FALSE,$U$4=FALSE),"-",IF(AND($U$5=TRUE,$U$4=TRUE),"-",
IF((AND($U$4=TRUE,$U$5=FALSE,$U$6=FALSE,$U$7=FALSE)),VLOOKUP($E686,'Status Thresholds'!$E:$AR,5,FALSE),IF((AND($U$4=TRUE,$U$5=FALSE,$U$6=TRUE,$U$7=FALSE)),VLOOKUP($E686,'Status Thresholds'!$E:$AR,15,FALSE),IF((AND($U$4=TRUE,$U$5=FALSE,$U$6=TRUE,$U$7=TRUE)),VLOOKUP($E686,'Status Thresholds'!$E:$AR,20,FALSE),IF((AND($U$4=TRUE,$U$5=FALSE,$U$6=FALSE,$U$7=TRUE)),VLOOKUP($E686,'Status Thresholds'!$E:$AR,10,FALSE),
IF((AND($U$4=FALSE,$U$5=TRUE,$U$6=FALSE,$U$7=FALSE)),VLOOKUP($E686,'Status Thresholds'!$E:$AR,25,FALSE),IF((AND($U$4=FALSE,$U$5=TRUE,$U$6=TRUE,$U$7=FALSE)),VLOOKUP($E686,'Status Thresholds'!$E:$AR,35,FALSE),IF((AND($U$4=FALSE,$U$5=TRUE,$U$6=TRUE,$U$7=TRUE)),VLOOKUP($E686,'Status Thresholds'!$E:$AR,40,FALSE),IF((AND($U$4=FALSE,$U$5=TRUE,$U$6=FALSE,$U$7=TRUE)),VLOOKUP($E686,'Status Thresholds'!$E:$AR,30,FALSE)))))))))
))/
IF(OR($X$5=TRUE,$AC$3=TRUE
),($F$4/2), IF(OR($X$2,$X$3,$X$4,$X$6,$X$7,$X$8,$Z$2,$Z$3,$Z$4,$Z$5,$Z$6,$Z$7,$Z$8)=TRUE,$F$4)),0),"-")</f>
        <v>-</v>
      </c>
      <c r="J686" s="46">
        <f>IFERROR(IF(AND($U$5=FALSE,$U$4=FALSE),"-",VLOOKUP($E686,'Status Thresholds'!$E:$AU,41,FALSE)),"-")</f>
        <v>30</v>
      </c>
      <c r="K686" s="46" t="str">
        <f>IFERROR(IF(AND($U$5=FALSE,$U$4=FALSE),"-",VLOOKUP($E686,'Status Thresholds'!$E:$AU,42,FALSE)),"-")</f>
        <v>-</v>
      </c>
      <c r="L686" s="46" t="str">
        <f>IFERROR(IF(AND($U$5=FALSE,$U$4=FALSE),"-",VLOOKUP($E686,'Status Thresholds'!$E:$AU,43,FALSE)),"-")</f>
        <v>-</v>
      </c>
    </row>
    <row r="687" spans="1:12" x14ac:dyDescent="0.25">
      <c r="A687" s="35"/>
      <c r="B687" s="64" t="str">
        <f>VLOOKUP(C687,'Status Thresholds'!B:C,2,FALSE)</f>
        <v>MHGen</v>
      </c>
      <c r="C687" s="64" t="str">
        <f>IF('Status Thresholds'!B682=0, "", 'Status Thresholds'!B682)</f>
        <v>Shogun Ceanataur</v>
      </c>
      <c r="D687" s="32" t="s">
        <v>33</v>
      </c>
      <c r="E687" s="36" t="str">
        <f t="shared" si="10"/>
        <v>Shogun CeanataurPoison</v>
      </c>
      <c r="F687" s="36" t="str">
        <f>IFERROR(
ROUNDUP(
IF(AND($U$5=FALSE,$U$4=FALSE),"-",IF(AND($U$5=TRUE,$U$4=TRUE),"-",
IF((AND($U$4=TRUE,$U$5=FALSE,$U$6=FALSE,$U$7=FALSE)),VLOOKUP($E687,'Status Thresholds'!$E:$AR,2,FALSE),IF((AND($U$4=TRUE,$U$5=FALSE,$U$6=TRUE,$U$7=FALSE)),VLOOKUP($E687,'Status Thresholds'!$E:$AR,12,FALSE),IF((AND($U$4=TRUE,$U$5=FALSE,$U$6=TRUE,$U$7=TRUE)),VLOOKUP($E687,'Status Thresholds'!$E:$AR,17,FALSE),IF((AND($U$4=TRUE,$U$5=FALSE,$U$6=FALSE,$U$7=TRUE)),VLOOKUP($E687,'Status Thresholds'!$E:$AR,7,FALSE),
IF((AND($U$4=FALSE,$U$5=TRUE,$U$6=FALSE,$U$7=FALSE)),VLOOKUP($E687,'Status Thresholds'!$E:$AR,22,FALSE),IF((AND($U$4=FALSE,$U$5=TRUE,$U$6=TRUE,$U$7=FALSE)),VLOOKUP($E687,'Status Thresholds'!$E:$AR,32,FALSE),IF((AND($U$4=FALSE,$U$5=TRUE,$U$6=TRUE,$U$7=TRUE)),VLOOKUP($E687,'Status Thresholds'!$E:$AR,37,FALSE),IF((AND($U$4=FALSE,$U$5=TRUE,$U$6=FALSE,$U$7=TRUE)),VLOOKUP($E687,'Status Thresholds'!$E:$AR,27,FALSE)))))))))
))/
IF(OR($X$5=TRUE,$AC$3=TRUE
),($F$5/2), IF(OR($X$2,$X$3,$X$4,$X$6,$X$7,$X$8,$Z$2,$Z$3,$Z$4,$Z$5,$Z$6,$Z$7,$Z$8)=TRUE,$F$5)),0),"-")</f>
        <v>-</v>
      </c>
      <c r="G687" s="36" t="str">
        <f>IFERROR(
ROUNDUP(
IF(AND($U$5=FALSE,$U$4=FALSE),"-",IF(AND($U$5=TRUE,$U$4=TRUE),"-",
IF((AND($U$4=TRUE,$U$5=FALSE,$U$6=FALSE,$U$7=FALSE)),VLOOKUP($E687,'Status Thresholds'!$E:$AR,3,FALSE),IF((AND($U$4=TRUE,$U$5=FALSE,$U$6=TRUE,$U$7=FALSE)),VLOOKUP($E687,'Status Thresholds'!$E:$AR,13,FALSE),IF((AND($U$4=TRUE,$U$5=FALSE,$U$6=TRUE,$U$7=TRUE)),VLOOKUP($E687,'Status Thresholds'!$E:$AR,18,FALSE),IF((AND($U$4=TRUE,$U$5=FALSE,$U$6=FALSE,$U$7=TRUE)),VLOOKUP($E687,'Status Thresholds'!$E:$AR,8,FALSE),
IF((AND($U$4=FALSE,$U$5=TRUE,$U$6=FALSE,$U$7=FALSE)),VLOOKUP($E687,'Status Thresholds'!$E:$AR,23,FALSE),IF((AND($U$4=FALSE,$U$5=TRUE,$U$6=TRUE,$U$7=FALSE)),VLOOKUP($E687,'Status Thresholds'!$E:$AR,33,FALSE),IF((AND($U$4=FALSE,$U$5=TRUE,$U$6=TRUE,$U$7=TRUE)),VLOOKUP($E687,'Status Thresholds'!$E:$AR,38,FALSE),IF((AND($U$4=FALSE,$U$5=TRUE,$U$6=FALSE,$U$7=TRUE)),VLOOKUP($E687,'Status Thresholds'!$E:$AR,28,FALSE)))))))))
))/
IF(OR($X$5=TRUE,$AC$3=TRUE
),($F$5/2), IF(OR($X$2,$X$3,$X$4,$X$6,$X$7,$X$8,$Z$2,$Z$3,$Z$4,$Z$5,$Z$6,$Z$7,$Z$8)=TRUE,$F$5)),0),"-")</f>
        <v>-</v>
      </c>
      <c r="H687" s="36" t="str">
        <f>IFERROR(
ROUNDUP(
IF(AND($U$5=FALSE,$U$4=FALSE),"-",IF(AND($U$5=TRUE,$U$4=TRUE),"-",
IF((AND($U$4=TRUE,$U$5=FALSE,$U$6=FALSE,$U$7=FALSE)),VLOOKUP($E687,'Status Thresholds'!$E:$AR,4,FALSE),IF((AND($U$4=TRUE,$U$5=FALSE,$U$6=TRUE,$U$7=FALSE)),VLOOKUP($E687,'Status Thresholds'!$E:$AR,14,FALSE),IF((AND($U$4=TRUE,$U$5=FALSE,$U$6=TRUE,$U$7=TRUE)),VLOOKUP($E687,'Status Thresholds'!$E:$AR,19,FALSE),IF((AND($U$4=TRUE,$U$5=FALSE,$U$6=FALSE,$U$7=TRUE)),VLOOKUP($E687,'Status Thresholds'!$E:$AR,9,FALSE),
IF((AND($U$4=FALSE,$U$5=TRUE,$U$6=FALSE,$U$7=FALSE)),VLOOKUP($E687,'Status Thresholds'!$E:$AR,24,FALSE),IF((AND($U$4=FALSE,$U$5=TRUE,$U$6=TRUE,$U$7=FALSE)),VLOOKUP($E687,'Status Thresholds'!$E:$AR,34,FALSE),IF((AND($U$4=FALSE,$U$5=TRUE,$U$6=TRUE,$U$7=TRUE)),VLOOKUP($E687,'Status Thresholds'!$E:$AR,39,FALSE),IF((AND($U$4=FALSE,$U$5=TRUE,$U$6=FALSE,$U$7=TRUE)),VLOOKUP($E687,'Status Thresholds'!$E:$AR,29,FALSE)))))))))
))/
IF(OR($X$5=TRUE,$AC$3=TRUE
),($F$5/2), IF(OR($X$2,$X$3,$X$4,$X$6,$X$7,$X$8,$Z$2,$Z$3,$Z$4,$Z$5,$Z$6,$Z$7,$Z$8)=TRUE,$F$5)),0),"-")</f>
        <v>-</v>
      </c>
      <c r="I687" s="36" t="str">
        <f>IFERROR(
ROUNDUP(
IF(AND($U$5=FALSE,$U$4=FALSE),"-",IF(AND($U$5=TRUE,$U$4=TRUE),"-",
IF((AND($U$4=TRUE,$U$5=FALSE,$U$6=FALSE,$U$7=FALSE)),VLOOKUP($E687,'Status Thresholds'!$E:$AR,5,FALSE),IF((AND($U$4=TRUE,$U$5=FALSE,$U$6=TRUE,$U$7=FALSE)),VLOOKUP($E687,'Status Thresholds'!$E:$AR,15,FALSE),IF((AND($U$4=TRUE,$U$5=FALSE,$U$6=TRUE,$U$7=TRUE)),VLOOKUP($E687,'Status Thresholds'!$E:$AR,20,FALSE),IF((AND($U$4=TRUE,$U$5=FALSE,$U$6=FALSE,$U$7=TRUE)),VLOOKUP($E687,'Status Thresholds'!$E:$AR,10,FALSE),
IF((AND($U$4=FALSE,$U$5=TRUE,$U$6=FALSE,$U$7=FALSE)),VLOOKUP($E687,'Status Thresholds'!$E:$AR,25,FALSE),IF((AND($U$4=FALSE,$U$5=TRUE,$U$6=TRUE,$U$7=FALSE)),VLOOKUP($E687,'Status Thresholds'!$E:$AR,35,FALSE),IF((AND($U$4=FALSE,$U$5=TRUE,$U$6=TRUE,$U$7=TRUE)),VLOOKUP($E687,'Status Thresholds'!$E:$AR,40,FALSE),IF((AND($U$4=FALSE,$U$5=TRUE,$U$6=FALSE,$U$7=TRUE)),VLOOKUP($E687,'Status Thresholds'!$E:$AR,30,FALSE)))))))))
))/
IF(OR($X$5=TRUE,$AC$3=TRUE
),($F$5/2), IF(OR($X$2,$X$3,$X$4,$X$6,$X$7,$X$8,$Z$2,$Z$3,$Z$4,$Z$5,$Z$6,$Z$7,$Z$8)=TRUE,$F$5)),0),"-")</f>
        <v>-</v>
      </c>
      <c r="J687" s="46">
        <f>IFERROR(IF(AND($U$5=FALSE,$U$4=FALSE),"-",VLOOKUP($E687,'Status Thresholds'!$E:$AU,41,FALSE)),"-")</f>
        <v>60</v>
      </c>
      <c r="K687" s="46" t="str">
        <f>IFERROR(IF(AND($U$5=FALSE,$U$4=FALSE),"-",VLOOKUP($E687,'Status Thresholds'!$E:$AU,42,FALSE)),"-")</f>
        <v>-</v>
      </c>
      <c r="L687" s="46" t="str">
        <f>IFERROR(IF(AND($U$5=FALSE,$U$4=FALSE),"-",VLOOKUP($E687,'Status Thresholds'!$E:$AU,43,FALSE)),"-")</f>
        <v>-</v>
      </c>
    </row>
    <row r="688" spans="1:12" x14ac:dyDescent="0.25">
      <c r="A688" s="35"/>
      <c r="B688" s="64" t="str">
        <f>VLOOKUP(C688,'Status Thresholds'!B:C,2,FALSE)</f>
        <v>MHGen</v>
      </c>
      <c r="C688" s="64" t="str">
        <f>IF('Status Thresholds'!B683=0, "", 'Status Thresholds'!B683)</f>
        <v>Shogun Ceanataur</v>
      </c>
      <c r="D688" s="10" t="s">
        <v>22</v>
      </c>
      <c r="E688" s="36" t="str">
        <f t="shared" si="10"/>
        <v>Shogun CeanataurExhaust</v>
      </c>
      <c r="F688" s="36" t="str">
        <f>IFERROR(
ROUNDUP(
IF(AND($U$5=FALSE,$U$4=FALSE),"-",IF(AND($U$5=TRUE,$U$4=TRUE),"-",
IF((AND($U$4=TRUE,$U$5=FALSE,$U$6=FALSE,$U$7=FALSE)),VLOOKUP($E688,'Status Thresholds'!$E:$AR,2,FALSE),IF((AND($U$4=TRUE,$U$5=FALSE,$U$6=TRUE,$U$7=FALSE)),VLOOKUP($E688,'Status Thresholds'!$E:$AR,12,FALSE),IF((AND($U$4=TRUE,$U$5=FALSE,$U$6=TRUE,$U$7=TRUE)),VLOOKUP($E688,'Status Thresholds'!$E:$AR,17,FALSE),IF((AND($U$4=TRUE,$U$5=FALSE,$U$6=FALSE,$U$7=TRUE)),VLOOKUP($E688,'Status Thresholds'!$E:$AR,7,FALSE),
IF((AND($U$4=FALSE,$U$5=TRUE,$U$6=FALSE,$U$7=FALSE)),VLOOKUP($E688,'Status Thresholds'!$E:$AR,22,FALSE),IF((AND($U$4=FALSE,$U$5=TRUE,$U$6=TRUE,$U$7=FALSE)),VLOOKUP($E688,'Status Thresholds'!$E:$AR,32,FALSE),IF((AND($U$4=FALSE,$U$5=TRUE,$U$6=TRUE,$U$7=TRUE)),VLOOKUP($E688,'Status Thresholds'!$E:$AR,37,FALSE),IF((AND($U$4=FALSE,$U$5=TRUE,$U$6=FALSE,$U$7=TRUE)),VLOOKUP($E688,'Status Thresholds'!$E:$AR,27,FALSE)))))))))
))/
IF(OR($X$5=TRUE,$AC$3=TRUE
),($F$6/2), IF(OR($X$2,$X$3,$X$4,$X$6,$X$7,$X$8,$Z$2,$Z$3,$Z$4,$Z$5,$Z$6,$Z$7,$Z$8)=TRUE,$F$6)),0),"-")</f>
        <v>-</v>
      </c>
      <c r="G688" s="36" t="str">
        <f>IFERROR(
ROUNDUP(
IF(AND($U$5=FALSE,$U$4=FALSE),"-",IF(AND($U$5=TRUE,$U$4=TRUE),"-",
IF((AND($U$4=TRUE,$U$5=FALSE,$U$6=FALSE,$U$7=FALSE)),VLOOKUP($E688,'Status Thresholds'!$E:$AR,3,FALSE),IF((AND($U$4=TRUE,$U$5=FALSE,$U$6=TRUE,$U$7=FALSE)),VLOOKUP($E688,'Status Thresholds'!$E:$AR,13,FALSE),IF((AND($U$4=TRUE,$U$5=FALSE,$U$6=TRUE,$U$7=TRUE)),VLOOKUP($E688,'Status Thresholds'!$E:$AR,18,FALSE),IF((AND($U$4=TRUE,$U$5=FALSE,$U$6=FALSE,$U$7=TRUE)),VLOOKUP($E688,'Status Thresholds'!$E:$AR,8,FALSE),
IF((AND($U$4=FALSE,$U$5=TRUE,$U$6=FALSE,$U$7=FALSE)),VLOOKUP($E688,'Status Thresholds'!$E:$AR,23,FALSE),IF((AND($U$4=FALSE,$U$5=TRUE,$U$6=TRUE,$U$7=FALSE)),VLOOKUP($E688,'Status Thresholds'!$E:$AR,33,FALSE),IF((AND($U$4=FALSE,$U$5=TRUE,$U$6=TRUE,$U$7=TRUE)),VLOOKUP($E688,'Status Thresholds'!$E:$AR,38,FALSE),IF((AND($U$4=FALSE,$U$5=TRUE,$U$6=FALSE,$U$7=TRUE)),VLOOKUP($E688,'Status Thresholds'!$E:$AR,28,FALSE)))))))))
))/
IF(OR($X$5=TRUE,$AC$3=TRUE
),($F$6/2), IF(OR($X$2,$X$3,$X$4,$X$6,$X$7,$X$8,$Z$2,$Z$3,$Z$4,$Z$5,$Z$6,$Z$7,$Z$8)=TRUE,$F$6)),0),"-")</f>
        <v>-</v>
      </c>
      <c r="H688" s="36" t="str">
        <f>IFERROR(
ROUNDUP(
IF(AND($U$5=FALSE,$U$4=FALSE),"-",IF(AND($U$5=TRUE,$U$4=TRUE),"-",
IF((AND($U$4=TRUE,$U$5=FALSE,$U$6=FALSE,$U$7=FALSE)),VLOOKUP($E688,'Status Thresholds'!$E:$AR,4,FALSE),IF((AND($U$4=TRUE,$U$5=FALSE,$U$6=TRUE,$U$7=FALSE)),VLOOKUP($E688,'Status Thresholds'!$E:$AR,14,FALSE),IF((AND($U$4=TRUE,$U$5=FALSE,$U$6=TRUE,$U$7=TRUE)),VLOOKUP($E688,'Status Thresholds'!$E:$AR,19,FALSE),IF((AND($U$4=TRUE,$U$5=FALSE,$U$6=FALSE,$U$7=TRUE)),VLOOKUP($E688,'Status Thresholds'!$E:$AR,9,FALSE),
IF((AND($U$4=FALSE,$U$5=TRUE,$U$6=FALSE,$U$7=FALSE)),VLOOKUP($E688,'Status Thresholds'!$E:$AR,24,FALSE),IF((AND($U$4=FALSE,$U$5=TRUE,$U$6=TRUE,$U$7=FALSE)),VLOOKUP($E688,'Status Thresholds'!$E:$AR,34,FALSE),IF((AND($U$4=FALSE,$U$5=TRUE,$U$6=TRUE,$U$7=TRUE)),VLOOKUP($E688,'Status Thresholds'!$E:$AR,39,FALSE),IF((AND($U$4=FALSE,$U$5=TRUE,$U$6=FALSE,$U$7=TRUE)),VLOOKUP($E688,'Status Thresholds'!$E:$AR,29,FALSE)))))))))
))/
IF(OR($X$5=TRUE,$AC$3=TRUE
),($F$6/2), IF(OR($X$2,$X$3,$X$4,$X$6,$X$7,$X$8,$Z$2,$Z$3,$Z$4,$Z$5,$Z$6,$Z$7,$Z$8)=TRUE,$F$6)),0),"-")</f>
        <v>-</v>
      </c>
      <c r="I688" s="36" t="str">
        <f>IFERROR(
ROUNDUP(
IF(AND($U$5=FALSE,$U$4=FALSE),"-",IF(AND($U$5=TRUE,$U$4=TRUE),"-",
IF((AND($U$4=TRUE,$U$5=FALSE,$U$6=FALSE,$U$7=FALSE)),VLOOKUP($E688,'Status Thresholds'!$E:$AR,5,FALSE),IF((AND($U$4=TRUE,$U$5=FALSE,$U$6=TRUE,$U$7=FALSE)),VLOOKUP($E688,'Status Thresholds'!$E:$AR,15,FALSE),IF((AND($U$4=TRUE,$U$5=FALSE,$U$6=TRUE,$U$7=TRUE)),VLOOKUP($E688,'Status Thresholds'!$E:$AR,20,FALSE),IF((AND($U$4=TRUE,$U$5=FALSE,$U$6=FALSE,$U$7=TRUE)),VLOOKUP($E688,'Status Thresholds'!$E:$AR,10,FALSE),
IF((AND($U$4=FALSE,$U$5=TRUE,$U$6=FALSE,$U$7=FALSE)),VLOOKUP($E688,'Status Thresholds'!$E:$AR,25,FALSE),IF((AND($U$4=FALSE,$U$5=TRUE,$U$6=TRUE,$U$7=FALSE)),VLOOKUP($E688,'Status Thresholds'!$E:$AR,35,FALSE),IF((AND($U$4=FALSE,$U$5=TRUE,$U$6=TRUE,$U$7=TRUE)),VLOOKUP($E688,'Status Thresholds'!$E:$AR,40,FALSE),IF((AND($U$4=FALSE,$U$5=TRUE,$U$6=FALSE,$U$7=TRUE)),VLOOKUP($E688,'Status Thresholds'!$E:$AR,30,FALSE)))))))))
))/
IF(OR($X$5=TRUE,$AC$3=TRUE
),($F$6/2), IF(OR($X$2,$X$3,$X$4,$X$6,$X$7,$X$8,$Z$2,$Z$3,$Z$4,$Z$5,$Z$6,$Z$7,$Z$8)=TRUE,$F$6)),0),"-")</f>
        <v>-</v>
      </c>
      <c r="J688" s="46">
        <f>IFERROR(IF(AND($U$5=FALSE,$U$4=FALSE),"-",VLOOKUP($E688,'Status Thresholds'!$E:$AU,41,FALSE)),"-")</f>
        <v>0</v>
      </c>
      <c r="K688" s="46" t="str">
        <f>IFERROR(IF(AND($U$5=FALSE,$U$4=FALSE),"-",VLOOKUP($E688,'Status Thresholds'!$E:$AU,42,FALSE)),"-")</f>
        <v>-</v>
      </c>
      <c r="L688" s="46" t="str">
        <f>IFERROR(IF(AND($U$5=FALSE,$U$4=FALSE),"-",VLOOKUP($E688,'Status Thresholds'!$E:$AU,43,FALSE)),"-")</f>
        <v>-</v>
      </c>
    </row>
    <row r="689" spans="1:12" x14ac:dyDescent="0.25">
      <c r="A689" s="35"/>
      <c r="B689" s="64" t="str">
        <f>VLOOKUP(C689,'Status Thresholds'!B:C,2,FALSE)</f>
        <v>MHGen</v>
      </c>
      <c r="C689" s="64" t="str">
        <f>IF('Status Thresholds'!B684=0, "", 'Status Thresholds'!B684)</f>
        <v>Shogun Ceanataur</v>
      </c>
      <c r="D689" s="30" t="s">
        <v>35</v>
      </c>
      <c r="E689" s="36" t="str">
        <f t="shared" si="10"/>
        <v>Shogun CeanataurBlast</v>
      </c>
      <c r="F689" s="36" t="str">
        <f>IFERROR(
ROUNDUP(
IF(AND($U$5=FALSE,$U$4=FALSE),"-",IF(AND($U$5=TRUE,$U$4=TRUE),"-",
IF((AND($U$4=TRUE,$U$5=FALSE,$U$6=FALSE,$U$7=FALSE)),VLOOKUP($E689,'Status Thresholds'!$E:$AR,2,FALSE),IF((AND($U$4=TRUE,$U$5=FALSE,$U$6=TRUE,$U$7=FALSE)),VLOOKUP($E689,'Status Thresholds'!$E:$AR,12,FALSE),IF((AND($U$4=TRUE,$U$5=FALSE,$U$6=TRUE,$U$7=TRUE)),VLOOKUP($E689,'Status Thresholds'!$E:$AR,17,FALSE),IF((AND($U$4=TRUE,$U$5=FALSE,$U$6=FALSE,$U$7=TRUE)),VLOOKUP($E689,'Status Thresholds'!$E:$AR,7,FALSE),
IF((AND($U$4=FALSE,$U$5=TRUE,$U$6=FALSE,$U$7=FALSE)),VLOOKUP($E689,'Status Thresholds'!$E:$AR,22,FALSE),IF((AND($U$4=FALSE,$U$5=TRUE,$U$6=TRUE,$U$7=FALSE)),VLOOKUP($E689,'Status Thresholds'!$E:$AR,32,FALSE),IF((AND($U$4=FALSE,$U$5=TRUE,$U$6=TRUE,$U$7=TRUE)),VLOOKUP($E689,'Status Thresholds'!$E:$AR,37,FALSE),IF((AND($U$4=FALSE,$U$5=TRUE,$U$6=FALSE,$U$7=TRUE)),VLOOKUP($E689,'Status Thresholds'!$E:$AR,27,FALSE)))))))))
))/
IF(OR($X$5=TRUE,$AC$3=TRUE
),($F$7/2), IF(OR($X$2,$X$3,$X$4,$X$6,$X$7,$X$8,$Z$2,$Z$3,$Z$4,$Z$5,$Z$6,$Z$7,$Z$8)=TRUE,$F$7)),0),"-")</f>
        <v>-</v>
      </c>
      <c r="G689" s="36" t="str">
        <f>IFERROR(
ROUNDUP(
IF(AND($U$5=FALSE,$U$4=FALSE),"-",IF(AND($U$5=TRUE,$U$4=TRUE),"-",
IF((AND($U$4=TRUE,$U$5=FALSE,$U$6=FALSE,$U$7=FALSE)),VLOOKUP($E689,'Status Thresholds'!$E:$AR,3,FALSE),IF((AND($U$4=TRUE,$U$5=FALSE,$U$6=TRUE,$U$7=FALSE)),VLOOKUP($E689,'Status Thresholds'!$E:$AR,13,FALSE),IF((AND($U$4=TRUE,$U$5=FALSE,$U$6=TRUE,$U$7=TRUE)),VLOOKUP($E689,'Status Thresholds'!$E:$AR,18,FALSE),IF((AND($U$4=TRUE,$U$5=FALSE,$U$6=FALSE,$U$7=TRUE)),VLOOKUP($E689,'Status Thresholds'!$E:$AR,8,FALSE),
IF((AND($U$4=FALSE,$U$5=TRUE,$U$6=FALSE,$U$7=FALSE)),VLOOKUP($E689,'Status Thresholds'!$E:$AR,23,FALSE),IF((AND($U$4=FALSE,$U$5=TRUE,$U$6=TRUE,$U$7=FALSE)),VLOOKUP($E689,'Status Thresholds'!$E:$AR,33,FALSE),IF((AND($U$4=FALSE,$U$5=TRUE,$U$6=TRUE,$U$7=TRUE)),VLOOKUP($E689,'Status Thresholds'!$E:$AR,38,FALSE),IF((AND($U$4=FALSE,$U$5=TRUE,$U$6=FALSE,$U$7=TRUE)),VLOOKUP($E689,'Status Thresholds'!$E:$AR,28,FALSE)))))))))
))/
IF(OR($X$5=TRUE,$AC$3=TRUE
),($F$7/2), IF(OR($X$2,$X$3,$X$4,$X$6,$X$7,$X$8,$Z$2,$Z$3,$Z$4,$Z$5,$Z$6,$Z$7,$Z$8)=TRUE,$F$7)),0),"-")</f>
        <v>-</v>
      </c>
      <c r="H689" s="36" t="str">
        <f>IFERROR(
ROUNDUP(
IF(AND($U$5=FALSE,$U$4=FALSE),"-",IF(AND($U$5=TRUE,$U$4=TRUE),"-",
IF((AND($U$4=TRUE,$U$5=FALSE,$U$6=FALSE,$U$7=FALSE)),VLOOKUP($E689,'Status Thresholds'!$E:$AR,4,FALSE),IF((AND($U$4=TRUE,$U$5=FALSE,$U$6=TRUE,$U$7=FALSE)),VLOOKUP($E689,'Status Thresholds'!$E:$AR,14,FALSE),IF((AND($U$4=TRUE,$U$5=FALSE,$U$6=TRUE,$U$7=TRUE)),VLOOKUP($E689,'Status Thresholds'!$E:$AR,19,FALSE),IF((AND($U$4=TRUE,$U$5=FALSE,$U$6=FALSE,$U$7=TRUE)),VLOOKUP($E689,'Status Thresholds'!$E:$AR,9,FALSE),
IF((AND($U$4=FALSE,$U$5=TRUE,$U$6=FALSE,$U$7=FALSE)),VLOOKUP($E689,'Status Thresholds'!$E:$AR,24,FALSE),IF((AND($U$4=FALSE,$U$5=TRUE,$U$6=TRUE,$U$7=FALSE)),VLOOKUP($E689,'Status Thresholds'!$E:$AR,34,FALSE),IF((AND($U$4=FALSE,$U$5=TRUE,$U$6=TRUE,$U$7=TRUE)),VLOOKUP($E689,'Status Thresholds'!$E:$AR,39,FALSE),IF((AND($U$4=FALSE,$U$5=TRUE,$U$6=FALSE,$U$7=TRUE)),VLOOKUP($E689,'Status Thresholds'!$E:$AR,29,FALSE)))))))))
))/
IF(OR($X$5=TRUE,$AC$3=TRUE
),($F$7/2), IF(OR($X$2,$X$3,$X$4,$X$6,$X$7,$X$8,$Z$2,$Z$3,$Z$4,$Z$5,$Z$6,$Z$7,$Z$8)=TRUE,$F$7)),0),"-")</f>
        <v>-</v>
      </c>
      <c r="I689" s="36" t="str">
        <f>IFERROR(
ROUNDUP(
IF(AND($U$5=FALSE,$U$4=FALSE),"-",IF(AND($U$5=TRUE,$U$4=TRUE),"-",
IF((AND($U$4=TRUE,$U$5=FALSE,$U$6=FALSE,$U$7=FALSE)),VLOOKUP($E689,'Status Thresholds'!$E:$AR,5,FALSE),IF((AND($U$4=TRUE,$U$5=FALSE,$U$6=TRUE,$U$7=FALSE)),VLOOKUP($E689,'Status Thresholds'!$E:$AR,15,FALSE),IF((AND($U$4=TRUE,$U$5=FALSE,$U$6=TRUE,$U$7=TRUE)),VLOOKUP($E689,'Status Thresholds'!$E:$AR,20,FALSE),IF((AND($U$4=TRUE,$U$5=FALSE,$U$6=FALSE,$U$7=TRUE)),VLOOKUP($E689,'Status Thresholds'!$E:$AR,10,FALSE),
IF((AND($U$4=FALSE,$U$5=TRUE,$U$6=FALSE,$U$7=FALSE)),VLOOKUP($E689,'Status Thresholds'!$E:$AR,25,FALSE),IF((AND($U$4=FALSE,$U$5=TRUE,$U$6=TRUE,$U$7=FALSE)),VLOOKUP($E689,'Status Thresholds'!$E:$AR,35,FALSE),IF((AND($U$4=FALSE,$U$5=TRUE,$U$6=TRUE,$U$7=TRUE)),VLOOKUP($E689,'Status Thresholds'!$E:$AR,40,FALSE),IF((AND($U$4=FALSE,$U$5=TRUE,$U$6=FALSE,$U$7=TRUE)),VLOOKUP($E689,'Status Thresholds'!$E:$AR,30,FALSE)))))))))
))/
IF(OR($X$5=TRUE,$AC$3=TRUE
),($F$7/2), IF(OR($X$2,$X$3,$X$4,$X$6,$X$7,$X$8,$Z$2,$Z$3,$Z$4,$Z$5,$Z$6,$Z$7,$Z$8)=TRUE,$F$7)),0),"-")</f>
        <v>-</v>
      </c>
      <c r="J689" s="46">
        <f>IFERROR(IF(AND($U$5=FALSE,$U$4=FALSE),"-",VLOOKUP($E689,'Status Thresholds'!$E:$AU,41,FALSE)),"-")</f>
        <v>0</v>
      </c>
      <c r="K689" s="46" t="str">
        <f>IFERROR(IF(AND($U$5=FALSE,$U$4=FALSE),"-",VLOOKUP($E689,'Status Thresholds'!$E:$AU,42,FALSE)),"-")</f>
        <v>-</v>
      </c>
      <c r="L689" s="46" t="str">
        <f>IFERROR(IF(AND($U$5=FALSE,$U$4=FALSE),"-",VLOOKUP($E689,'Status Thresholds'!$E:$AU,43,FALSE)),"-")</f>
        <v>-</v>
      </c>
    </row>
    <row r="690" spans="1:12" ht="14.45" customHeight="1" x14ac:dyDescent="0.25">
      <c r="A690" s="35"/>
      <c r="B690" s="64" t="str">
        <f>VLOOKUP(C690,'Status Thresholds'!B:C,2,FALSE)</f>
        <v>MHGen</v>
      </c>
      <c r="C690" s="64" t="str">
        <f>IF('Status Thresholds'!B685=0, "", 'Status Thresholds'!B685)</f>
        <v>Shogun Ceanataur</v>
      </c>
      <c r="D690" s="34" t="s">
        <v>14</v>
      </c>
      <c r="E690" s="36" t="str">
        <f t="shared" si="10"/>
        <v>Shogun CeanataurKO</v>
      </c>
      <c r="F690" s="36" t="s">
        <v>214</v>
      </c>
      <c r="G690" s="36" t="s">
        <v>214</v>
      </c>
      <c r="H690" s="36" t="s">
        <v>214</v>
      </c>
      <c r="I690" s="36" t="s">
        <v>214</v>
      </c>
      <c r="J690" s="46">
        <f>IFERROR(IF(AND($U$5=FALSE,$U$4=FALSE),"-",VLOOKUP($E690,'Status Thresholds'!$E:$AU,41,FALSE)),"-")</f>
        <v>10</v>
      </c>
      <c r="K690" s="46" t="str">
        <f>IFERROR(IF(AND($U$5=FALSE,$U$4=FALSE),"-",VLOOKUP($E690,'Status Thresholds'!$E:$AU,42,FALSE)),"-")</f>
        <v>-</v>
      </c>
      <c r="L690" s="46" t="str">
        <f>IFERROR(IF(AND($U$5=FALSE,$U$4=FALSE),"-",VLOOKUP($E690,'Status Thresholds'!$E:$AU,43,FALSE)),"-")</f>
        <v>-</v>
      </c>
    </row>
    <row r="691" spans="1:12" x14ac:dyDescent="0.25">
      <c r="A691" s="35"/>
      <c r="B691" s="64" t="str">
        <f>VLOOKUP(C691,'Status Thresholds'!B:C,2,FALSE)</f>
        <v>MHGen</v>
      </c>
      <c r="C691" s="64" t="str">
        <f>IF('Status Thresholds'!B686=0, "", 'Status Thresholds'!B686)</f>
        <v>Shogun Ceanataur</v>
      </c>
      <c r="D691" s="33" t="s">
        <v>34</v>
      </c>
      <c r="E691" s="36" t="str">
        <f t="shared" si="10"/>
        <v>Shogun CeanataurMount</v>
      </c>
      <c r="F691" s="36" t="str">
        <f>IFERROR(
ROUNDUP(
IF(AND($U$5=FALSE,$U$4=FALSE),"-",IF(AND($U$5=TRUE,$U$4=TRUE),"-",
IF((AND($U$4=TRUE,$U$5=FALSE,$U$6=FALSE,$U$7=FALSE)),VLOOKUP($E691,'Status Thresholds'!$E:$AR,2,FALSE),IF((AND($U$4=TRUE,$U$5=FALSE,$U$6=TRUE,$U$7=FALSE)),VLOOKUP($E691,'Status Thresholds'!$E:$AR,12,FALSE),IF((AND($U$4=TRUE,$U$5=FALSE,$U$6=TRUE,$U$7=TRUE)),VLOOKUP($E691,'Status Thresholds'!$E:$AR,17,FALSE),IF((AND($U$4=TRUE,$U$5=FALSE,$U$6=FALSE,$U$7=TRUE)),VLOOKUP($E691,'Status Thresholds'!$E:$AR,7,FALSE),
IF((AND($U$4=FALSE,$U$5=TRUE,$U$6=FALSE,$U$7=FALSE)),VLOOKUP($E691,'Status Thresholds'!$E:$AR,22,FALSE),IF((AND($U$4=FALSE,$U$5=TRUE,$U$6=TRUE,$U$7=FALSE)),VLOOKUP($E691,'Status Thresholds'!$E:$AR,32,FALSE),IF((AND($U$4=FALSE,$U$5=TRUE,$U$6=TRUE,$U$7=TRUE)),VLOOKUP($E691,'Status Thresholds'!$E:$AR,37,FALSE),IF((AND($U$4=FALSE,$U$5=TRUE,$U$6=FALSE,$U$7=TRUE)),VLOOKUP($E691,'Status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691" s="36" t="str">
        <f>IFERROR(
ROUNDUP(
IF(AND($U$5=FALSE,$U$4=FALSE),"-",IF(AND($U$5=TRUE,$U$4=TRUE),"-",
IF((AND($U$4=TRUE,$U$5=FALSE,$U$6=FALSE,$U$7=FALSE)),VLOOKUP($E690,'Status Thresholds'!$E:$AR,3,FALSE),IF((AND($U$4=TRUE,$U$5=FALSE,$U$6=TRUE,$U$7=FALSE)),VLOOKUP($E690,'Status Thresholds'!$E:$AR,13,FALSE),IF((AND($U$4=TRUE,$U$5=FALSE,$U$6=TRUE,$U$7=TRUE)),VLOOKUP($E690,'Status Thresholds'!$E:$AR,18,FALSE),IF((AND($U$4=TRUE,$U$5=FALSE,$U$6=FALSE,$U$7=TRUE)),VLOOKUP($E690,'Status Thresholds'!$E:$AR,8,FALSE),
IF((AND($U$4=FALSE,$U$5=TRUE,$U$6=FALSE,$U$7=FALSE)),VLOOKUP($E690,'Status Thresholds'!$E:$AR,23,FALSE),IF((AND($U$4=FALSE,$U$5=TRUE,$U$6=TRUE,$U$7=FALSE)),VLOOKUP($E690,'Status Thresholds'!$E:$AR,33,FALSE),IF((AND($U$4=FALSE,$U$5=TRUE,$U$6=TRUE,$U$7=TRUE)),VLOOKUP($E690,'Status Thresholds'!$E:$AR,38,FALSE),IF((AND($U$4=FALSE,$U$5=TRUE,$U$6=FALSE,$U$7=TRUE)),VLOOKUP($E690,'Status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691" s="36" t="str">
        <f>IFERROR(
ROUNDUP(
IF(AND($U$5=FALSE,$U$4=FALSE),"-",IF(AND($U$5=TRUE,$U$4=TRUE),"-",
IF((AND($U$4=TRUE,$U$5=FALSE,$U$6=FALSE,$U$7=FALSE)),VLOOKUP($E690,'Status Thresholds'!$E:$AR,4,FALSE),IF((AND($U$4=TRUE,$U$5=FALSE,$U$6=TRUE,$U$7=FALSE)),VLOOKUP($E690,'Status Thresholds'!$E:$AR,14,FALSE),IF((AND($U$4=TRUE,$U$5=FALSE,$U$6=TRUE,$U$7=TRUE)),VLOOKUP($E690,'Status Thresholds'!$E:$AR,19,FALSE),IF((AND($U$4=TRUE,$U$5=FALSE,$U$6=FALSE,$U$7=TRUE)),VLOOKUP($E690,'Status Thresholds'!$E:$AR,9,FALSE),
IF((AND($U$4=FALSE,$U$5=TRUE,$U$6=FALSE,$U$7=FALSE)),VLOOKUP($E690,'Status Thresholds'!$E:$AR,24,FALSE),IF((AND($U$4=FALSE,$U$5=TRUE,$U$6=TRUE,$U$7=FALSE)),VLOOKUP($E690,'Status Thresholds'!$E:$AR,34,FALSE),IF((AND($U$4=FALSE,$U$5=TRUE,$U$6=TRUE,$U$7=TRUE)),VLOOKUP($E690,'Status Thresholds'!$E:$AR,39,FALSE),IF((AND($U$4=FALSE,$U$5=TRUE,$U$6=FALSE,$U$7=TRUE)),VLOOKUP($E690,'Status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691" s="36" t="str">
        <f>IFERROR(
ROUNDUP(
IF(AND($U$5=FALSE,$U$4=FALSE),"-",IF(AND($U$5=TRUE,$U$4=TRUE),"-",
IF((AND($U$4=TRUE,$U$5=FALSE,$U$6=FALSE,$U$7=FALSE)),VLOOKUP($E690,'Status Thresholds'!$E:$AR,5,FALSE),IF((AND($U$4=TRUE,$U$5=FALSE,$U$6=TRUE,$U$7=FALSE)),VLOOKUP($E690,'Status Thresholds'!$E:$AR,15,FALSE),IF((AND($U$4=TRUE,$U$5=FALSE,$U$6=TRUE,$U$7=TRUE)),VLOOKUP($E690,'Status Thresholds'!$E:$AR,20,FALSE),IF((AND($U$4=TRUE,$U$5=FALSE,$U$6=FALSE,$U$7=TRUE)),VLOOKUP($E690,'Status Thresholds'!$E:$AR,10,FALSE),
IF((AND($U$4=FALSE,$U$5=TRUE,$U$6=FALSE,$U$7=FALSE)),VLOOKUP($E690,'Status Thresholds'!$E:$AR,25,FALSE),IF((AND($U$4=FALSE,$U$5=TRUE,$U$6=TRUE,$U$7=FALSE)),VLOOKUP($E690,'Status Thresholds'!$E:$AR,35,FALSE),IF((AND($U$4=FALSE,$U$5=TRUE,$U$6=TRUE,$U$7=TRUE)),VLOOKUP($E690,'Status Thresholds'!$E:$AR,40,FALSE),IF((AND($U$4=FALSE,$U$5=TRUE,$U$6=FALSE,$U$7=TRUE)),VLOOKUP($E690,'Status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691" s="46">
        <f>IFERROR(IF(AND($U$5=FALSE,$U$4=FALSE),"-",VLOOKUP($E691,'Status Thresholds'!$E:$AU,41,FALSE)),"-")</f>
        <v>0</v>
      </c>
      <c r="K691" s="46" t="str">
        <f>IFERROR(IF(AND($U$5=FALSE,$U$4=FALSE),"-",VLOOKUP($E691,'Status Thresholds'!$E:$AU,42,FALSE)),"-")</f>
        <v>-</v>
      </c>
      <c r="L691" s="46" t="str">
        <f>IFERROR(IF(AND($U$5=FALSE,$U$4=FALSE),"-",VLOOKUP($E691,'Status Thresholds'!$E:$AU,43,FALSE)),"-")</f>
        <v>-</v>
      </c>
    </row>
    <row r="692" spans="1:12" ht="15" customHeight="1" x14ac:dyDescent="0.25">
      <c r="A692" s="35"/>
      <c r="B692" s="64" t="str">
        <f>VLOOKUP(C692,'Status Thresholds'!B:C,2,FALSE)</f>
        <v>MHGen</v>
      </c>
      <c r="C692" s="64" t="str">
        <f>IF('Status Thresholds'!B687=0, "", 'Status Thresholds'!B687)</f>
        <v>Shogun Ceanataur</v>
      </c>
      <c r="D692" s="77" t="s">
        <v>207</v>
      </c>
      <c r="E692" s="36" t="str">
        <f t="shared" si="10"/>
        <v>Shogun CeanataurShock Trap</v>
      </c>
      <c r="F692" s="76" t="s">
        <v>214</v>
      </c>
      <c r="G692" s="46" t="s">
        <v>214</v>
      </c>
      <c r="H692" s="46" t="s">
        <v>214</v>
      </c>
      <c r="I692" s="46" t="s">
        <v>214</v>
      </c>
      <c r="J692" s="46">
        <f>IFERROR(IF(AND($U$5=FALSE,$U$4=FALSE),"-",VLOOKUP($E692,'Status Thresholds'!$E:$AU,43,FALSE)),"-")</f>
        <v>12</v>
      </c>
      <c r="K692" s="46">
        <f>IFERROR(IF(AND($U$5=FALSE,$U$4=FALSE),"-",VLOOKUP($E692,'Status Thresholds'!$E:$AU,41,FALSE)),"-")</f>
        <v>10</v>
      </c>
      <c r="L692" s="46">
        <f>IFERROR(IF(AND($U$5=FALSE,$U$4=FALSE),"-",VLOOKUP($E692,'Status Thresholds'!$E:$AU,42,FALSE)),"-")</f>
        <v>15</v>
      </c>
    </row>
    <row r="693" spans="1:12" x14ac:dyDescent="0.25">
      <c r="A693" s="35"/>
      <c r="B693" s="64" t="str">
        <f>VLOOKUP(C693,'Status Thresholds'!B:C,2,FALSE)</f>
        <v>MHGen</v>
      </c>
      <c r="C693" s="64" t="str">
        <f>IF('Status Thresholds'!B688=0, "", 'Status Thresholds'!B688)</f>
        <v>Shogun Ceanataur</v>
      </c>
      <c r="D693" s="77" t="s">
        <v>213</v>
      </c>
      <c r="E693" s="36" t="str">
        <f t="shared" si="10"/>
        <v>Shogun CeanataurPitfall Trap</v>
      </c>
      <c r="F693" s="46" t="s">
        <v>214</v>
      </c>
      <c r="G693" s="46" t="s">
        <v>214</v>
      </c>
      <c r="H693" s="46" t="s">
        <v>214</v>
      </c>
      <c r="I693" s="46" t="s">
        <v>214</v>
      </c>
      <c r="J693" s="46">
        <f>IFERROR(IF(AND($U$5=FALSE,$U$4=FALSE),"-",VLOOKUP($E693,'Status Thresholds'!$E:$AU,43,FALSE)),"-")</f>
        <v>12</v>
      </c>
      <c r="K693" s="46">
        <f>IFERROR(IF(AND($U$5=FALSE,$U$4=FALSE),"-",VLOOKUP($E693,'Status Thresholds'!$E:$AU,41,FALSE)),"-")</f>
        <v>12</v>
      </c>
      <c r="L693" s="46">
        <f>IFERROR(IF(AND($U$5=FALSE,$U$4=FALSE),"-",VLOOKUP($E693,'Status Thresholds'!$E:$AU,42,FALSE)),"-")</f>
        <v>25</v>
      </c>
    </row>
    <row r="694" spans="1:12" s="36" customFormat="1" hidden="1" x14ac:dyDescent="0.25">
      <c r="A694" s="64"/>
      <c r="B694" s="64" t="str">
        <f>IF('Status Thresholds'!A689=0, "", 'Status Thresholds'!A689)</f>
        <v>Deviant</v>
      </c>
      <c r="C694" s="64" t="str">
        <f>IF('Status Thresholds'!B689=0, "", 'Status Thresholds'!B689)</f>
        <v>Silverwind Nargacuga</v>
      </c>
      <c r="D694" s="37" t="s">
        <v>0</v>
      </c>
      <c r="E694" s="36" t="str">
        <f t="shared" si="10"/>
        <v>Silverwind NargacugaPara</v>
      </c>
      <c r="F694" s="36" t="str">
        <f>IFERROR(
ROUNDUP(
IF(AND($U$5=FALSE,$U$4=FALSE),"-",IF(AND($U$5=TRUE,$U$4=TRUE),"-",
IF((AND($U$4=TRUE,$U$5=FALSE,$U$6=FALSE,$U$7=FALSE)),VLOOKUP($E694,'Status Thresholds'!$E:$AR,2,FALSE),IF((AND($U$4=TRUE,$U$5=FALSE,$U$6=TRUE,$U$7=FALSE)),VLOOKUP($E694,'Status Thresholds'!$E:$AR,12,FALSE),IF((AND($U$4=TRUE,$U$5=FALSE,$U$6=TRUE,$U$7=TRUE)),VLOOKUP($E694,'Status Thresholds'!$E:$AR,17,FALSE),IF((AND($U$4=TRUE,$U$5=FALSE,$U$6=FALSE,$U$7=TRUE)),VLOOKUP($E694,'Status Thresholds'!$E:$AR,7,FALSE),
IF((AND($U$4=FALSE,$U$5=TRUE,$U$6=FALSE,$U$7=FALSE)),VLOOKUP($E694,'Status Thresholds'!$E:$AR,22,FALSE),IF((AND($U$4=FALSE,$U$5=TRUE,$U$6=TRUE,$U$7=FALSE)),VLOOKUP($E694,'Status Thresholds'!$E:$AR,32,FALSE),IF((AND($U$4=FALSE,$U$5=TRUE,$U$6=TRUE,$U$7=TRUE)),VLOOKUP($E694,'Status Thresholds'!$E:$AR,37,FALSE),IF((AND($U$4=FALSE,$U$5=TRUE,$U$6=FALSE,$U$7=TRUE)),VLOOKUP($E694,'Status Thresholds'!$E:$AR,27,FALSE)))))))))
))/
IF(OR($X$5=TRUE,$AC$3=TRUE
),($F$3/2), IF(OR($X$2,$X$3,$X$4,$X$6,$X$7,$X$8,$Z$2,$Z$3,$Z$4,$Z$5,$Z$6,$Z$7,$Z$8)=TRUE,$F$3)),0),"-")</f>
        <v>-</v>
      </c>
      <c r="G694" s="36" t="str">
        <f>IFERROR(
ROUNDUP(
IF(AND($U$5=FALSE,$U$4=FALSE),"-",IF(AND($U$5=TRUE,$U$4=TRUE),"-",
IF((AND($U$4=TRUE,$U$5=FALSE,$U$6=FALSE,$U$7=FALSE)),VLOOKUP($E694,'Status Thresholds'!$E:$AR,3,FALSE),IF((AND($U$4=TRUE,$U$5=FALSE,$U$6=TRUE,$U$7=FALSE)),VLOOKUP($E694,'Status Thresholds'!$E:$AR,13,FALSE),IF((AND($U$4=TRUE,$U$5=FALSE,$U$6=TRUE,$U$7=TRUE)),VLOOKUP($E694,'Status Thresholds'!$E:$AR,18,FALSE),IF((AND($U$4=TRUE,$U$5=FALSE,$U$6=FALSE,$U$7=TRUE)),VLOOKUP($E694,'Status Thresholds'!$E:$AR,8,FALSE),
IF((AND($U$4=FALSE,$U$5=TRUE,$U$6=FALSE,$U$7=FALSE)),VLOOKUP($E694,'Status Thresholds'!$E:$AR,23,FALSE),IF((AND($U$4=FALSE,$U$5=TRUE,$U$6=TRUE,$U$7=FALSE)),VLOOKUP($E694,'Status Thresholds'!$E:$AR,33,FALSE),IF((AND($U$4=FALSE,$U$5=TRUE,$U$6=TRUE,$U$7=TRUE)),VLOOKUP($E694,'Status Thresholds'!$E:$AR,38,FALSE),IF((AND($U$4=FALSE,$U$5=TRUE,$U$6=FALSE,$U$7=TRUE)),VLOOKUP($E694,'Status Thresholds'!$E:$AR,28,FALSE)))))))))
))/
IF(OR($X$5=TRUE,$AC$3=TRUE
),($F$3/2), IF(OR($X$2,$X$3,$X$4,$X$6,$X$7,$X$8,$Z$2,$Z$3,$Z$4,$Z$5,$Z$6,$Z$7,$Z$8)=TRUE,$F$3)),0),"-")</f>
        <v>-</v>
      </c>
      <c r="H694" s="36" t="str">
        <f>IFERROR(
ROUNDUP(
IF(AND($U$5=FALSE,$U$4=FALSE),"-",IF(AND($U$5=TRUE,$U$4=TRUE),"-",
IF((AND($U$4=TRUE,$U$5=FALSE,$U$6=FALSE,$U$7=FALSE)),VLOOKUP($E694,'Status Thresholds'!$E:$AR,4,FALSE),IF((AND($U$4=TRUE,$U$5=FALSE,$U$6=TRUE,$U$7=FALSE)),VLOOKUP($E694,'Status Thresholds'!$E:$AR,14,FALSE),IF((AND($U$4=TRUE,$U$5=FALSE,$U$6=TRUE,$U$7=TRUE)),VLOOKUP($E694,'Status Thresholds'!$E:$AR,19,FALSE),IF((AND($U$4=TRUE,$U$5=FALSE,$U$6=FALSE,$U$7=TRUE)),VLOOKUP($E694,'Status Thresholds'!$E:$AR,9,FALSE),
IF((AND($U$4=FALSE,$U$5=TRUE,$U$6=FALSE,$U$7=FALSE)),VLOOKUP($E694,'Status Thresholds'!$E:$AR,24,FALSE),IF((AND($U$4=FALSE,$U$5=TRUE,$U$6=TRUE,$U$7=FALSE)),VLOOKUP($E694,'Status Thresholds'!$E:$AR,34,FALSE),IF((AND($U$4=FALSE,$U$5=TRUE,$U$6=TRUE,$U$7=TRUE)),VLOOKUP($E694,'Status Thresholds'!$E:$AR,39,FALSE),IF((AND($U$4=FALSE,$U$5=TRUE,$U$6=FALSE,$U$7=TRUE)),VLOOKUP($E694,'Status Thresholds'!$E:$AR,29,FALSE)))))))))
))/
IF(OR($X$5=TRUE,$AC$3=TRUE
),($F$3/2), IF(OR($X$2,$X$3,$X$4,$X$6,$X$7,$X$8,$Z$2,$Z$3,$Z$4,$Z$5,$Z$6,$Z$7,$Z$8)=TRUE,$F$3)),0),"-")</f>
        <v>-</v>
      </c>
      <c r="I694" s="36" t="str">
        <f>IFERROR(
ROUNDUP(
IF(AND($U$5=FALSE,$U$4=FALSE),"-",IF(AND($U$5=TRUE,$U$4=TRUE),"-",
IF((AND($U$4=TRUE,$U$5=FALSE,$U$6=FALSE,$U$7=FALSE)),VLOOKUP($E694,'Status Thresholds'!$E:$AR,5,FALSE),IF((AND($U$4=TRUE,$U$5=FALSE,$U$6=TRUE,$U$7=FALSE)),VLOOKUP($E694,'Status Thresholds'!$E:$AR,15,FALSE),IF((AND($U$4=TRUE,$U$5=FALSE,$U$6=TRUE,$U$7=TRUE)),VLOOKUP($E694,'Status Thresholds'!$E:$AR,20,FALSE),IF((AND($U$4=TRUE,$U$5=FALSE,$U$6=FALSE,$U$7=TRUE)),VLOOKUP($E694,'Status Thresholds'!$E:$AR,10,FALSE),
IF((AND($U$4=FALSE,$U$5=TRUE,$U$6=FALSE,$U$7=FALSE)),VLOOKUP($E694,'Status Thresholds'!$E:$AR,25,FALSE),IF((AND($U$4=FALSE,$U$5=TRUE,$U$6=TRUE,$U$7=FALSE)),VLOOKUP($E694,'Status Thresholds'!$E:$AR,35,FALSE),IF((AND($U$4=FALSE,$U$5=TRUE,$U$6=TRUE,$U$7=TRUE)),VLOOKUP($E694,'Status Thresholds'!$E:$AR,40,FALSE),IF((AND($U$4=FALSE,$U$5=TRUE,$U$6=FALSE,$U$7=TRUE)),VLOOKUP($E694,'Status Thresholds'!$E:$AR,30,FALSE)))))))))
))/
IF(OR($X$5=TRUE,$AC$3=TRUE
),($F$3/2), IF(OR($X$2,$X$3,$X$4,$X$6,$X$7,$X$8,$Z$2,$Z$3,$Z$4,$Z$5,$Z$6,$Z$7,$Z$8)=TRUE,$F$3)),0),"-")</f>
        <v>-</v>
      </c>
      <c r="J694" s="36">
        <f>IFERROR(IF(AND($U$5=FALSE,$U$4=FALSE),"-",VLOOKUP($E694,'Status Thresholds'!$E:$AU,41,FALSE)),"-")</f>
        <v>10</v>
      </c>
      <c r="K694" s="36" t="str">
        <f>IFERROR(IF(AND($U$5=FALSE,$U$4=FALSE),"-",VLOOKUP($E694,'Status Thresholds'!$E:$AU,42,FALSE)),"-")</f>
        <v>-</v>
      </c>
      <c r="L694" s="36" t="str">
        <f>IFERROR(IF(AND($U$5=FALSE,$U$4=FALSE),"-",VLOOKUP($E694,'Status Thresholds'!$E:$AU,43,FALSE)),"-")</f>
        <v>-</v>
      </c>
    </row>
    <row r="695" spans="1:12" hidden="1" x14ac:dyDescent="0.25">
      <c r="A695" s="35"/>
      <c r="B695" s="64" t="str">
        <f>IF('Status Thresholds'!A690=0, "", 'Status Thresholds'!A690)</f>
        <v>Deviant</v>
      </c>
      <c r="C695" s="64" t="str">
        <f>IF('Status Thresholds'!B690=0, "", 'Status Thresholds'!B690)</f>
        <v>Silverwind Nargacuga</v>
      </c>
      <c r="D695" s="31" t="s">
        <v>32</v>
      </c>
      <c r="E695" s="36" t="str">
        <f t="shared" si="10"/>
        <v>Silverwind NargacugaSleep</v>
      </c>
      <c r="F695" s="36" t="str">
        <f>IFERROR(
ROUNDUP(
IF(AND($U$5=FALSE,$U$4=FALSE),"-",IF(AND($U$5=TRUE,$U$4=TRUE),"-",
IF((AND($U$4=TRUE,$U$5=FALSE,$U$6=FALSE,$U$7=FALSE)),VLOOKUP($E695,'Status Thresholds'!$E:$AR,2,FALSE),IF((AND($U$4=TRUE,$U$5=FALSE,$U$6=TRUE,$U$7=FALSE)),VLOOKUP($E695,'Status Thresholds'!$E:$AR,12,FALSE),IF((AND($U$4=TRUE,$U$5=FALSE,$U$6=TRUE,$U$7=TRUE)),VLOOKUP($E695,'Status Thresholds'!$E:$AR,17,FALSE),IF((AND($U$4=TRUE,$U$5=FALSE,$U$6=FALSE,$U$7=TRUE)),VLOOKUP($E695,'Status Thresholds'!$E:$AR,7,FALSE),
IF((AND($U$4=FALSE,$U$5=TRUE,$U$6=FALSE,$U$7=FALSE)),VLOOKUP($E695,'Status Thresholds'!$E:$AR,22,FALSE),IF((AND($U$4=FALSE,$U$5=TRUE,$U$6=TRUE,$U$7=FALSE)),VLOOKUP($E695,'Status Thresholds'!$E:$AR,32,FALSE),IF((AND($U$4=FALSE,$U$5=TRUE,$U$6=TRUE,$U$7=TRUE)),VLOOKUP($E695,'Status Thresholds'!$E:$AR,37,FALSE),IF((AND($U$4=FALSE,$U$5=TRUE,$U$6=FALSE,$U$7=TRUE)),VLOOKUP($E695,'Status Thresholds'!$E:$AR,27,FALSE)))))))))
))/
IF(OR($X$5=TRUE,$AC$3=TRUE
),($F$4/2), IF(OR($X$2,$X$3,$X$4,$X$6,$X$7,$X$8,$Z$2,$Z$3,$Z$4,$Z$5,$Z$6,$Z$7,$Z$8)=TRUE,$F$4)),0),"-")</f>
        <v>-</v>
      </c>
      <c r="G695" s="36" t="str">
        <f>IFERROR(
ROUNDUP(
IF(AND($U$5=FALSE,$U$4=FALSE),"-",IF(AND($U$5=TRUE,$U$4=TRUE),"-",
IF((AND($U$4=TRUE,$U$5=FALSE,$U$6=FALSE,$U$7=FALSE)),VLOOKUP($E695,'Status Thresholds'!$E:$AR,3,FALSE),IF((AND($U$4=TRUE,$U$5=FALSE,$U$6=TRUE,$U$7=FALSE)),VLOOKUP($E695,'Status Thresholds'!$E:$AR,13,FALSE),IF((AND($U$4=TRUE,$U$5=FALSE,$U$6=TRUE,$U$7=TRUE)),VLOOKUP($E695,'Status Thresholds'!$E:$AR,18,FALSE),IF((AND($U$4=TRUE,$U$5=FALSE,$U$6=FALSE,$U$7=TRUE)),VLOOKUP($E695,'Status Thresholds'!$E:$AR,8,FALSE),
IF((AND($U$4=FALSE,$U$5=TRUE,$U$6=FALSE,$U$7=FALSE)),VLOOKUP($E695,'Status Thresholds'!$E:$AR,23,FALSE),IF((AND($U$4=FALSE,$U$5=TRUE,$U$6=TRUE,$U$7=FALSE)),VLOOKUP($E695,'Status Thresholds'!$E:$AR,33,FALSE),IF((AND($U$4=FALSE,$U$5=TRUE,$U$6=TRUE,$U$7=TRUE)),VLOOKUP($E695,'Status Thresholds'!$E:$AR,38,FALSE),IF((AND($U$4=FALSE,$U$5=TRUE,$U$6=FALSE,$U$7=TRUE)),VLOOKUP($E695,'Status Thresholds'!$E:$AR,28,FALSE)))))))))
))/
IF(OR($X$5=TRUE,$AC$3=TRUE
),($F$4/2), IF(OR($X$2,$X$3,$X$4,$X$6,$X$7,$X$8,$Z$2,$Z$3,$Z$4,$Z$5,$Z$6,$Z$7,$Z$8)=TRUE,$F$4)),0),"-")</f>
        <v>-</v>
      </c>
      <c r="H695" s="36" t="str">
        <f>IFERROR(
ROUNDUP(
IF(AND($U$5=FALSE,$U$4=FALSE),"-",IF(AND($U$5=TRUE,$U$4=TRUE),"-",
IF((AND($U$4=TRUE,$U$5=FALSE,$U$6=FALSE,$U$7=FALSE)),VLOOKUP($E695,'Status Thresholds'!$E:$AR,4,FALSE),IF((AND($U$4=TRUE,$U$5=FALSE,$U$6=TRUE,$U$7=FALSE)),VLOOKUP($E695,'Status Thresholds'!$E:$AR,14,FALSE),IF((AND($U$4=TRUE,$U$5=FALSE,$U$6=TRUE,$U$7=TRUE)),VLOOKUP($E695,'Status Thresholds'!$E:$AR,19,FALSE),IF((AND($U$4=TRUE,$U$5=FALSE,$U$6=FALSE,$U$7=TRUE)),VLOOKUP($E695,'Status Thresholds'!$E:$AR,9,FALSE),
IF((AND($U$4=FALSE,$U$5=TRUE,$U$6=FALSE,$U$7=FALSE)),VLOOKUP($E695,'Status Thresholds'!$E:$AR,24,FALSE),IF((AND($U$4=FALSE,$U$5=TRUE,$U$6=TRUE,$U$7=FALSE)),VLOOKUP($E695,'Status Thresholds'!$E:$AR,34,FALSE),IF((AND($U$4=FALSE,$U$5=TRUE,$U$6=TRUE,$U$7=TRUE)),VLOOKUP($E695,'Status Thresholds'!$E:$AR,39,FALSE),IF((AND($U$4=FALSE,$U$5=TRUE,$U$6=FALSE,$U$7=TRUE)),VLOOKUP($E695,'Status Thresholds'!$E:$AR,29,FALSE)))))))))
))/
IF(OR($X$5=TRUE,$AC$3=TRUE
),($F$4/2), IF(OR($X$2,$X$3,$X$4,$X$6,$X$7,$X$8,$Z$2,$Z$3,$Z$4,$Z$5,$Z$6,$Z$7,$Z$8)=TRUE,$F$4)),0),"-")</f>
        <v>-</v>
      </c>
      <c r="I695" s="36" t="str">
        <f>IFERROR(
ROUNDUP(
IF(AND($U$5=FALSE,$U$4=FALSE),"-",IF(AND($U$5=TRUE,$U$4=TRUE),"-",
IF((AND($U$4=TRUE,$U$5=FALSE,$U$6=FALSE,$U$7=FALSE)),VLOOKUP($E695,'Status Thresholds'!$E:$AR,5,FALSE),IF((AND($U$4=TRUE,$U$5=FALSE,$U$6=TRUE,$U$7=FALSE)),VLOOKUP($E695,'Status Thresholds'!$E:$AR,15,FALSE),IF((AND($U$4=TRUE,$U$5=FALSE,$U$6=TRUE,$U$7=TRUE)),VLOOKUP($E695,'Status Thresholds'!$E:$AR,20,FALSE),IF((AND($U$4=TRUE,$U$5=FALSE,$U$6=FALSE,$U$7=TRUE)),VLOOKUP($E695,'Status Thresholds'!$E:$AR,10,FALSE),
IF((AND($U$4=FALSE,$U$5=TRUE,$U$6=FALSE,$U$7=FALSE)),VLOOKUP($E695,'Status Thresholds'!$E:$AR,25,FALSE),IF((AND($U$4=FALSE,$U$5=TRUE,$U$6=TRUE,$U$7=FALSE)),VLOOKUP($E695,'Status Thresholds'!$E:$AR,35,FALSE),IF((AND($U$4=FALSE,$U$5=TRUE,$U$6=TRUE,$U$7=TRUE)),VLOOKUP($E695,'Status Thresholds'!$E:$AR,40,FALSE),IF((AND($U$4=FALSE,$U$5=TRUE,$U$6=FALSE,$U$7=TRUE)),VLOOKUP($E695,'Status Thresholds'!$E:$AR,30,FALSE)))))))))
))/
IF(OR($X$5=TRUE,$AC$3=TRUE
),($F$4/2), IF(OR($X$2,$X$3,$X$4,$X$6,$X$7,$X$8,$Z$2,$Z$3,$Z$4,$Z$5,$Z$6,$Z$7,$Z$8)=TRUE,$F$4)),0),"-")</f>
        <v>-</v>
      </c>
      <c r="J695" s="46">
        <f>IFERROR(IF(AND($U$5=FALSE,$U$4=FALSE),"-",VLOOKUP($E695,'Status Thresholds'!$E:$AU,41,FALSE)),"-")</f>
        <v>20</v>
      </c>
      <c r="K695" s="46" t="str">
        <f>IFERROR(IF(AND($U$5=FALSE,$U$4=FALSE),"-",VLOOKUP($E695,'Status Thresholds'!$E:$AU,42,FALSE)),"-")</f>
        <v>-</v>
      </c>
      <c r="L695" s="46" t="str">
        <f>IFERROR(IF(AND($U$5=FALSE,$U$4=FALSE),"-",VLOOKUP($E695,'Status Thresholds'!$E:$AU,43,FALSE)),"-")</f>
        <v>-</v>
      </c>
    </row>
    <row r="696" spans="1:12" hidden="1" x14ac:dyDescent="0.25">
      <c r="A696" s="35"/>
      <c r="B696" s="64" t="str">
        <f>IF('Status Thresholds'!A691=0, "", 'Status Thresholds'!A691)</f>
        <v>Deviant</v>
      </c>
      <c r="C696" s="64" t="str">
        <f>IF('Status Thresholds'!B691=0, "", 'Status Thresholds'!B691)</f>
        <v>Silverwind Nargacuga</v>
      </c>
      <c r="D696" s="32" t="s">
        <v>33</v>
      </c>
      <c r="E696" s="36" t="str">
        <f t="shared" si="10"/>
        <v>Silverwind NargacugaPoison</v>
      </c>
      <c r="F696" s="36" t="str">
        <f>IFERROR(
ROUNDUP(
IF(AND($U$5=FALSE,$U$4=FALSE),"-",IF(AND($U$5=TRUE,$U$4=TRUE),"-",
IF((AND($U$4=TRUE,$U$5=FALSE,$U$6=FALSE,$U$7=FALSE)),VLOOKUP($E696,'Status Thresholds'!$E:$AR,2,FALSE),IF((AND($U$4=TRUE,$U$5=FALSE,$U$6=TRUE,$U$7=FALSE)),VLOOKUP($E696,'Status Thresholds'!$E:$AR,12,FALSE),IF((AND($U$4=TRUE,$U$5=FALSE,$U$6=TRUE,$U$7=TRUE)),VLOOKUP($E696,'Status Thresholds'!$E:$AR,17,FALSE),IF((AND($U$4=TRUE,$U$5=FALSE,$U$6=FALSE,$U$7=TRUE)),VLOOKUP($E696,'Status Thresholds'!$E:$AR,7,FALSE),
IF((AND($U$4=FALSE,$U$5=TRUE,$U$6=FALSE,$U$7=FALSE)),VLOOKUP($E696,'Status Thresholds'!$E:$AR,22,FALSE),IF((AND($U$4=FALSE,$U$5=TRUE,$U$6=TRUE,$U$7=FALSE)),VLOOKUP($E696,'Status Thresholds'!$E:$AR,32,FALSE),IF((AND($U$4=FALSE,$U$5=TRUE,$U$6=TRUE,$U$7=TRUE)),VLOOKUP($E696,'Status Thresholds'!$E:$AR,37,FALSE),IF((AND($U$4=FALSE,$U$5=TRUE,$U$6=FALSE,$U$7=TRUE)),VLOOKUP($E696,'Status Thresholds'!$E:$AR,27,FALSE)))))))))
))/
IF(OR($X$5=TRUE,$AC$3=TRUE
),($F$5/2), IF(OR($X$2,$X$3,$X$4,$X$6,$X$7,$X$8,$Z$2,$Z$3,$Z$4,$Z$5,$Z$6,$Z$7,$Z$8)=TRUE,$F$5)),0),"-")</f>
        <v>-</v>
      </c>
      <c r="G696" s="36" t="str">
        <f>IFERROR(
ROUNDUP(
IF(AND($U$5=FALSE,$U$4=FALSE),"-",IF(AND($U$5=TRUE,$U$4=TRUE),"-",
IF((AND($U$4=TRUE,$U$5=FALSE,$U$6=FALSE,$U$7=FALSE)),VLOOKUP($E696,'Status Thresholds'!$E:$AR,3,FALSE),IF((AND($U$4=TRUE,$U$5=FALSE,$U$6=TRUE,$U$7=FALSE)),VLOOKUP($E696,'Status Thresholds'!$E:$AR,13,FALSE),IF((AND($U$4=TRUE,$U$5=FALSE,$U$6=TRUE,$U$7=TRUE)),VLOOKUP($E696,'Status Thresholds'!$E:$AR,18,FALSE),IF((AND($U$4=TRUE,$U$5=FALSE,$U$6=FALSE,$U$7=TRUE)),VLOOKUP($E696,'Status Thresholds'!$E:$AR,8,FALSE),
IF((AND($U$4=FALSE,$U$5=TRUE,$U$6=FALSE,$U$7=FALSE)),VLOOKUP($E696,'Status Thresholds'!$E:$AR,23,FALSE),IF((AND($U$4=FALSE,$U$5=TRUE,$U$6=TRUE,$U$7=FALSE)),VLOOKUP($E696,'Status Thresholds'!$E:$AR,33,FALSE),IF((AND($U$4=FALSE,$U$5=TRUE,$U$6=TRUE,$U$7=TRUE)),VLOOKUP($E696,'Status Thresholds'!$E:$AR,38,FALSE),IF((AND($U$4=FALSE,$U$5=TRUE,$U$6=FALSE,$U$7=TRUE)),VLOOKUP($E696,'Status Thresholds'!$E:$AR,28,FALSE)))))))))
))/
IF(OR($X$5=TRUE,$AC$3=TRUE
),($F$5/2), IF(OR($X$2,$X$3,$X$4,$X$6,$X$7,$X$8,$Z$2,$Z$3,$Z$4,$Z$5,$Z$6,$Z$7,$Z$8)=TRUE,$F$5)),0),"-")</f>
        <v>-</v>
      </c>
      <c r="H696" s="36" t="str">
        <f>IFERROR(
ROUNDUP(
IF(AND($U$5=FALSE,$U$4=FALSE),"-",IF(AND($U$5=TRUE,$U$4=TRUE),"-",
IF((AND($U$4=TRUE,$U$5=FALSE,$U$6=FALSE,$U$7=FALSE)),VLOOKUP($E696,'Status Thresholds'!$E:$AR,4,FALSE),IF((AND($U$4=TRUE,$U$5=FALSE,$U$6=TRUE,$U$7=FALSE)),VLOOKUP($E696,'Status Thresholds'!$E:$AR,14,FALSE),IF((AND($U$4=TRUE,$U$5=FALSE,$U$6=TRUE,$U$7=TRUE)),VLOOKUP($E696,'Status Thresholds'!$E:$AR,19,FALSE),IF((AND($U$4=TRUE,$U$5=FALSE,$U$6=FALSE,$U$7=TRUE)),VLOOKUP($E696,'Status Thresholds'!$E:$AR,9,FALSE),
IF((AND($U$4=FALSE,$U$5=TRUE,$U$6=FALSE,$U$7=FALSE)),VLOOKUP($E696,'Status Thresholds'!$E:$AR,24,FALSE),IF((AND($U$4=FALSE,$U$5=TRUE,$U$6=TRUE,$U$7=FALSE)),VLOOKUP($E696,'Status Thresholds'!$E:$AR,34,FALSE),IF((AND($U$4=FALSE,$U$5=TRUE,$U$6=TRUE,$U$7=TRUE)),VLOOKUP($E696,'Status Thresholds'!$E:$AR,39,FALSE),IF((AND($U$4=FALSE,$U$5=TRUE,$U$6=FALSE,$U$7=TRUE)),VLOOKUP($E696,'Status Thresholds'!$E:$AR,29,FALSE)))))))))
))/
IF(OR($X$5=TRUE,$AC$3=TRUE
),($F$5/2), IF(OR($X$2,$X$3,$X$4,$X$6,$X$7,$X$8,$Z$2,$Z$3,$Z$4,$Z$5,$Z$6,$Z$7,$Z$8)=TRUE,$F$5)),0),"-")</f>
        <v>-</v>
      </c>
      <c r="I696" s="36" t="str">
        <f>IFERROR(
ROUNDUP(
IF(AND($U$5=FALSE,$U$4=FALSE),"-",IF(AND($U$5=TRUE,$U$4=TRUE),"-",
IF((AND($U$4=TRUE,$U$5=FALSE,$U$6=FALSE,$U$7=FALSE)),VLOOKUP($E696,'Status Thresholds'!$E:$AR,5,FALSE),IF((AND($U$4=TRUE,$U$5=FALSE,$U$6=TRUE,$U$7=FALSE)),VLOOKUP($E696,'Status Thresholds'!$E:$AR,15,FALSE),IF((AND($U$4=TRUE,$U$5=FALSE,$U$6=TRUE,$U$7=TRUE)),VLOOKUP($E696,'Status Thresholds'!$E:$AR,20,FALSE),IF((AND($U$4=TRUE,$U$5=FALSE,$U$6=FALSE,$U$7=TRUE)),VLOOKUP($E696,'Status Thresholds'!$E:$AR,10,FALSE),
IF((AND($U$4=FALSE,$U$5=TRUE,$U$6=FALSE,$U$7=FALSE)),VLOOKUP($E696,'Status Thresholds'!$E:$AR,25,FALSE),IF((AND($U$4=FALSE,$U$5=TRUE,$U$6=TRUE,$U$7=FALSE)),VLOOKUP($E696,'Status Thresholds'!$E:$AR,35,FALSE),IF((AND($U$4=FALSE,$U$5=TRUE,$U$6=TRUE,$U$7=TRUE)),VLOOKUP($E696,'Status Thresholds'!$E:$AR,40,FALSE),IF((AND($U$4=FALSE,$U$5=TRUE,$U$6=FALSE,$U$7=TRUE)),VLOOKUP($E696,'Status Thresholds'!$E:$AR,30,FALSE)))))))))
))/
IF(OR($X$5=TRUE,$AC$3=TRUE
),($F$5/2), IF(OR($X$2,$X$3,$X$4,$X$6,$X$7,$X$8,$Z$2,$Z$3,$Z$4,$Z$5,$Z$6,$Z$7,$Z$8)=TRUE,$F$5)),0),"-")</f>
        <v>-</v>
      </c>
      <c r="J696" s="46">
        <f>IFERROR(IF(AND($U$5=FALSE,$U$4=FALSE),"-",VLOOKUP($E696,'Status Thresholds'!$E:$AU,41,FALSE)),"-")</f>
        <v>60</v>
      </c>
      <c r="K696" s="46" t="str">
        <f>IFERROR(IF(AND($U$5=FALSE,$U$4=FALSE),"-",VLOOKUP($E696,'Status Thresholds'!$E:$AU,42,FALSE)),"-")</f>
        <v>-</v>
      </c>
      <c r="L696" s="46" t="str">
        <f>IFERROR(IF(AND($U$5=FALSE,$U$4=FALSE),"-",VLOOKUP($E696,'Status Thresholds'!$E:$AU,43,FALSE)),"-")</f>
        <v>-</v>
      </c>
    </row>
    <row r="697" spans="1:12" hidden="1" x14ac:dyDescent="0.25">
      <c r="A697" s="35"/>
      <c r="B697" s="64" t="str">
        <f>IF('Status Thresholds'!A692=0, "", 'Status Thresholds'!A692)</f>
        <v>Deviant</v>
      </c>
      <c r="C697" s="64" t="str">
        <f>IF('Status Thresholds'!B692=0, "", 'Status Thresholds'!B692)</f>
        <v>Silverwind Nargacuga</v>
      </c>
      <c r="D697" s="10" t="s">
        <v>22</v>
      </c>
      <c r="E697" s="36" t="str">
        <f t="shared" si="10"/>
        <v>Silverwind NargacugaExhaust</v>
      </c>
      <c r="F697" s="36" t="str">
        <f>IFERROR(
ROUNDUP(
IF(AND($U$5=FALSE,$U$4=FALSE),"-",IF(AND($U$5=TRUE,$U$4=TRUE),"-",
IF((AND($U$4=TRUE,$U$5=FALSE,$U$6=FALSE,$U$7=FALSE)),VLOOKUP($E697,'Status Thresholds'!$E:$AR,2,FALSE),IF((AND($U$4=TRUE,$U$5=FALSE,$U$6=TRUE,$U$7=FALSE)),VLOOKUP($E697,'Status Thresholds'!$E:$AR,12,FALSE),IF((AND($U$4=TRUE,$U$5=FALSE,$U$6=TRUE,$U$7=TRUE)),VLOOKUP($E697,'Status Thresholds'!$E:$AR,17,FALSE),IF((AND($U$4=TRUE,$U$5=FALSE,$U$6=FALSE,$U$7=TRUE)),VLOOKUP($E697,'Status Thresholds'!$E:$AR,7,FALSE),
IF((AND($U$4=FALSE,$U$5=TRUE,$U$6=FALSE,$U$7=FALSE)),VLOOKUP($E697,'Status Thresholds'!$E:$AR,22,FALSE),IF((AND($U$4=FALSE,$U$5=TRUE,$U$6=TRUE,$U$7=FALSE)),VLOOKUP($E697,'Status Thresholds'!$E:$AR,32,FALSE),IF((AND($U$4=FALSE,$U$5=TRUE,$U$6=TRUE,$U$7=TRUE)),VLOOKUP($E697,'Status Thresholds'!$E:$AR,37,FALSE),IF((AND($U$4=FALSE,$U$5=TRUE,$U$6=FALSE,$U$7=TRUE)),VLOOKUP($E697,'Status Thresholds'!$E:$AR,27,FALSE)))))))))
))/
IF(OR($X$5=TRUE,$AC$3=TRUE
),($F$6/2), IF(OR($X$2,$X$3,$X$4,$X$6,$X$7,$X$8,$Z$2,$Z$3,$Z$4,$Z$5,$Z$6,$Z$7,$Z$8)=TRUE,$F$6)),0),"-")</f>
        <v>-</v>
      </c>
      <c r="G697" s="36" t="str">
        <f>IFERROR(
ROUNDUP(
IF(AND($U$5=FALSE,$U$4=FALSE),"-",IF(AND($U$5=TRUE,$U$4=TRUE),"-",
IF((AND($U$4=TRUE,$U$5=FALSE,$U$6=FALSE,$U$7=FALSE)),VLOOKUP($E697,'Status Thresholds'!$E:$AR,3,FALSE),IF((AND($U$4=TRUE,$U$5=FALSE,$U$6=TRUE,$U$7=FALSE)),VLOOKUP($E697,'Status Thresholds'!$E:$AR,13,FALSE),IF((AND($U$4=TRUE,$U$5=FALSE,$U$6=TRUE,$U$7=TRUE)),VLOOKUP($E697,'Status Thresholds'!$E:$AR,18,FALSE),IF((AND($U$4=TRUE,$U$5=FALSE,$U$6=FALSE,$U$7=TRUE)),VLOOKUP($E697,'Status Thresholds'!$E:$AR,8,FALSE),
IF((AND($U$4=FALSE,$U$5=TRUE,$U$6=FALSE,$U$7=FALSE)),VLOOKUP($E697,'Status Thresholds'!$E:$AR,23,FALSE),IF((AND($U$4=FALSE,$U$5=TRUE,$U$6=TRUE,$U$7=FALSE)),VLOOKUP($E697,'Status Thresholds'!$E:$AR,33,FALSE),IF((AND($U$4=FALSE,$U$5=TRUE,$U$6=TRUE,$U$7=TRUE)),VLOOKUP($E697,'Status Thresholds'!$E:$AR,38,FALSE),IF((AND($U$4=FALSE,$U$5=TRUE,$U$6=FALSE,$U$7=TRUE)),VLOOKUP($E697,'Status Thresholds'!$E:$AR,28,FALSE)))))))))
))/
IF(OR($X$5=TRUE,$AC$3=TRUE
),($F$6/2), IF(OR($X$2,$X$3,$X$4,$X$6,$X$7,$X$8,$Z$2,$Z$3,$Z$4,$Z$5,$Z$6,$Z$7,$Z$8)=TRUE,$F$6)),0),"-")</f>
        <v>-</v>
      </c>
      <c r="H697" s="36" t="str">
        <f>IFERROR(
ROUNDUP(
IF(AND($U$5=FALSE,$U$4=FALSE),"-",IF(AND($U$5=TRUE,$U$4=TRUE),"-",
IF((AND($U$4=TRUE,$U$5=FALSE,$U$6=FALSE,$U$7=FALSE)),VLOOKUP($E697,'Status Thresholds'!$E:$AR,4,FALSE),IF((AND($U$4=TRUE,$U$5=FALSE,$U$6=TRUE,$U$7=FALSE)),VLOOKUP($E697,'Status Thresholds'!$E:$AR,14,FALSE),IF((AND($U$4=TRUE,$U$5=FALSE,$U$6=TRUE,$U$7=TRUE)),VLOOKUP($E697,'Status Thresholds'!$E:$AR,19,FALSE),IF((AND($U$4=TRUE,$U$5=FALSE,$U$6=FALSE,$U$7=TRUE)),VLOOKUP($E697,'Status Thresholds'!$E:$AR,9,FALSE),
IF((AND($U$4=FALSE,$U$5=TRUE,$U$6=FALSE,$U$7=FALSE)),VLOOKUP($E697,'Status Thresholds'!$E:$AR,24,FALSE),IF((AND($U$4=FALSE,$U$5=TRUE,$U$6=TRUE,$U$7=FALSE)),VLOOKUP($E697,'Status Thresholds'!$E:$AR,34,FALSE),IF((AND($U$4=FALSE,$U$5=TRUE,$U$6=TRUE,$U$7=TRUE)),VLOOKUP($E697,'Status Thresholds'!$E:$AR,39,FALSE),IF((AND($U$4=FALSE,$U$5=TRUE,$U$6=FALSE,$U$7=TRUE)),VLOOKUP($E697,'Status Thresholds'!$E:$AR,29,FALSE)))))))))
))/
IF(OR($X$5=TRUE,$AC$3=TRUE
),($F$6/2), IF(OR($X$2,$X$3,$X$4,$X$6,$X$7,$X$8,$Z$2,$Z$3,$Z$4,$Z$5,$Z$6,$Z$7,$Z$8)=TRUE,$F$6)),0),"-")</f>
        <v>-</v>
      </c>
      <c r="I697" s="36" t="str">
        <f>IFERROR(
ROUNDUP(
IF(AND($U$5=FALSE,$U$4=FALSE),"-",IF(AND($U$5=TRUE,$U$4=TRUE),"-",
IF((AND($U$4=TRUE,$U$5=FALSE,$U$6=FALSE,$U$7=FALSE)),VLOOKUP($E697,'Status Thresholds'!$E:$AR,5,FALSE),IF((AND($U$4=TRUE,$U$5=FALSE,$U$6=TRUE,$U$7=FALSE)),VLOOKUP($E697,'Status Thresholds'!$E:$AR,15,FALSE),IF((AND($U$4=TRUE,$U$5=FALSE,$U$6=TRUE,$U$7=TRUE)),VLOOKUP($E697,'Status Thresholds'!$E:$AR,20,FALSE),IF((AND($U$4=TRUE,$U$5=FALSE,$U$6=FALSE,$U$7=TRUE)),VLOOKUP($E697,'Status Thresholds'!$E:$AR,10,FALSE),
IF((AND($U$4=FALSE,$U$5=TRUE,$U$6=FALSE,$U$7=FALSE)),VLOOKUP($E697,'Status Thresholds'!$E:$AR,25,FALSE),IF((AND($U$4=FALSE,$U$5=TRUE,$U$6=TRUE,$U$7=FALSE)),VLOOKUP($E697,'Status Thresholds'!$E:$AR,35,FALSE),IF((AND($U$4=FALSE,$U$5=TRUE,$U$6=TRUE,$U$7=TRUE)),VLOOKUP($E697,'Status Thresholds'!$E:$AR,40,FALSE),IF((AND($U$4=FALSE,$U$5=TRUE,$U$6=FALSE,$U$7=TRUE)),VLOOKUP($E697,'Status Thresholds'!$E:$AR,30,FALSE)))))))))
))/
IF(OR($X$5=TRUE,$AC$3=TRUE
),($F$6/2), IF(OR($X$2,$X$3,$X$4,$X$6,$X$7,$X$8,$Z$2,$Z$3,$Z$4,$Z$5,$Z$6,$Z$7,$Z$8)=TRUE,$F$6)),0),"-")</f>
        <v>-</v>
      </c>
      <c r="J697" s="46">
        <f>IFERROR(IF(AND($U$5=FALSE,$U$4=FALSE),"-",VLOOKUP($E697,'Status Thresholds'!$E:$AU,41,FALSE)),"-")</f>
        <v>0</v>
      </c>
      <c r="K697" s="46" t="str">
        <f>IFERROR(IF(AND($U$5=FALSE,$U$4=FALSE),"-",VLOOKUP($E697,'Status Thresholds'!$E:$AU,42,FALSE)),"-")</f>
        <v>-</v>
      </c>
      <c r="L697" s="46" t="str">
        <f>IFERROR(IF(AND($U$5=FALSE,$U$4=FALSE),"-",VLOOKUP($E697,'Status Thresholds'!$E:$AU,43,FALSE)),"-")</f>
        <v>-</v>
      </c>
    </row>
    <row r="698" spans="1:12" hidden="1" x14ac:dyDescent="0.25">
      <c r="A698" s="35"/>
      <c r="B698" s="64" t="str">
        <f>IF('Status Thresholds'!A693=0, "", 'Status Thresholds'!A693)</f>
        <v>Deviant</v>
      </c>
      <c r="C698" s="64" t="str">
        <f>IF('Status Thresholds'!B693=0, "", 'Status Thresholds'!B693)</f>
        <v>Silverwind Nargacuga</v>
      </c>
      <c r="D698" s="30" t="s">
        <v>35</v>
      </c>
      <c r="E698" s="36" t="str">
        <f t="shared" si="10"/>
        <v>Silverwind NargacugaBlast</v>
      </c>
      <c r="F698" s="36" t="str">
        <f>IFERROR(
ROUNDUP(
IF(AND($U$5=FALSE,$U$4=FALSE),"-",IF(AND($U$5=TRUE,$U$4=TRUE),"-",
IF((AND($U$4=TRUE,$U$5=FALSE,$U$6=FALSE,$U$7=FALSE)),VLOOKUP($E698,'Status Thresholds'!$E:$AR,2,FALSE),IF((AND($U$4=TRUE,$U$5=FALSE,$U$6=TRUE,$U$7=FALSE)),VLOOKUP($E698,'Status Thresholds'!$E:$AR,12,FALSE),IF((AND($U$4=TRUE,$U$5=FALSE,$U$6=TRUE,$U$7=TRUE)),VLOOKUP($E698,'Status Thresholds'!$E:$AR,17,FALSE),IF((AND($U$4=TRUE,$U$5=FALSE,$U$6=FALSE,$U$7=TRUE)),VLOOKUP($E698,'Status Thresholds'!$E:$AR,7,FALSE),
IF((AND($U$4=FALSE,$U$5=TRUE,$U$6=FALSE,$U$7=FALSE)),VLOOKUP($E698,'Status Thresholds'!$E:$AR,22,FALSE),IF((AND($U$4=FALSE,$U$5=TRUE,$U$6=TRUE,$U$7=FALSE)),VLOOKUP($E698,'Status Thresholds'!$E:$AR,32,FALSE),IF((AND($U$4=FALSE,$U$5=TRUE,$U$6=TRUE,$U$7=TRUE)),VLOOKUP($E698,'Status Thresholds'!$E:$AR,37,FALSE),IF((AND($U$4=FALSE,$U$5=TRUE,$U$6=FALSE,$U$7=TRUE)),VLOOKUP($E698,'Status Thresholds'!$E:$AR,27,FALSE)))))))))
))/
IF(OR($X$5=TRUE,$AC$3=TRUE
),($F$7/2), IF(OR($X$2,$X$3,$X$4,$X$6,$X$7,$X$8,$Z$2,$Z$3,$Z$4,$Z$5,$Z$6,$Z$7,$Z$8)=TRUE,$F$7)),0),"-")</f>
        <v>-</v>
      </c>
      <c r="G698" s="36" t="str">
        <f>IFERROR(
ROUNDUP(
IF(AND($U$5=FALSE,$U$4=FALSE),"-",IF(AND($U$5=TRUE,$U$4=TRUE),"-",
IF((AND($U$4=TRUE,$U$5=FALSE,$U$6=FALSE,$U$7=FALSE)),VLOOKUP($E698,'Status Thresholds'!$E:$AR,3,FALSE),IF((AND($U$4=TRUE,$U$5=FALSE,$U$6=TRUE,$U$7=FALSE)),VLOOKUP($E698,'Status Thresholds'!$E:$AR,13,FALSE),IF((AND($U$4=TRUE,$U$5=FALSE,$U$6=TRUE,$U$7=TRUE)),VLOOKUP($E698,'Status Thresholds'!$E:$AR,18,FALSE),IF((AND($U$4=TRUE,$U$5=FALSE,$U$6=FALSE,$U$7=TRUE)),VLOOKUP($E698,'Status Thresholds'!$E:$AR,8,FALSE),
IF((AND($U$4=FALSE,$U$5=TRUE,$U$6=FALSE,$U$7=FALSE)),VLOOKUP($E698,'Status Thresholds'!$E:$AR,23,FALSE),IF((AND($U$4=FALSE,$U$5=TRUE,$U$6=TRUE,$U$7=FALSE)),VLOOKUP($E698,'Status Thresholds'!$E:$AR,33,FALSE),IF((AND($U$4=FALSE,$U$5=TRUE,$U$6=TRUE,$U$7=TRUE)),VLOOKUP($E698,'Status Thresholds'!$E:$AR,38,FALSE),IF((AND($U$4=FALSE,$U$5=TRUE,$U$6=FALSE,$U$7=TRUE)),VLOOKUP($E698,'Status Thresholds'!$E:$AR,28,FALSE)))))))))
))/
IF(OR($X$5=TRUE,$AC$3=TRUE
),($F$7/2), IF(OR($X$2,$X$3,$X$4,$X$6,$X$7,$X$8,$Z$2,$Z$3,$Z$4,$Z$5,$Z$6,$Z$7,$Z$8)=TRUE,$F$7)),0),"-")</f>
        <v>-</v>
      </c>
      <c r="H698" s="36" t="str">
        <f>IFERROR(
ROUNDUP(
IF(AND($U$5=FALSE,$U$4=FALSE),"-",IF(AND($U$5=TRUE,$U$4=TRUE),"-",
IF((AND($U$4=TRUE,$U$5=FALSE,$U$6=FALSE,$U$7=FALSE)),VLOOKUP($E698,'Status Thresholds'!$E:$AR,4,FALSE),IF((AND($U$4=TRUE,$U$5=FALSE,$U$6=TRUE,$U$7=FALSE)),VLOOKUP($E698,'Status Thresholds'!$E:$AR,14,FALSE),IF((AND($U$4=TRUE,$U$5=FALSE,$U$6=TRUE,$U$7=TRUE)),VLOOKUP($E698,'Status Thresholds'!$E:$AR,19,FALSE),IF((AND($U$4=TRUE,$U$5=FALSE,$U$6=FALSE,$U$7=TRUE)),VLOOKUP($E698,'Status Thresholds'!$E:$AR,9,FALSE),
IF((AND($U$4=FALSE,$U$5=TRUE,$U$6=FALSE,$U$7=FALSE)),VLOOKUP($E698,'Status Thresholds'!$E:$AR,24,FALSE),IF((AND($U$4=FALSE,$U$5=TRUE,$U$6=TRUE,$U$7=FALSE)),VLOOKUP($E698,'Status Thresholds'!$E:$AR,34,FALSE),IF((AND($U$4=FALSE,$U$5=TRUE,$U$6=TRUE,$U$7=TRUE)),VLOOKUP($E698,'Status Thresholds'!$E:$AR,39,FALSE),IF((AND($U$4=FALSE,$U$5=TRUE,$U$6=FALSE,$U$7=TRUE)),VLOOKUP($E698,'Status Thresholds'!$E:$AR,29,FALSE)))))))))
))/
IF(OR($X$5=TRUE,$AC$3=TRUE
),($F$7/2), IF(OR($X$2,$X$3,$X$4,$X$6,$X$7,$X$8,$Z$2,$Z$3,$Z$4,$Z$5,$Z$6,$Z$7,$Z$8)=TRUE,$F$7)),0),"-")</f>
        <v>-</v>
      </c>
      <c r="I698" s="36" t="str">
        <f>IFERROR(
ROUNDUP(
IF(AND($U$5=FALSE,$U$4=FALSE),"-",IF(AND($U$5=TRUE,$U$4=TRUE),"-",
IF((AND($U$4=TRUE,$U$5=FALSE,$U$6=FALSE,$U$7=FALSE)),VLOOKUP($E698,'Status Thresholds'!$E:$AR,5,FALSE),IF((AND($U$4=TRUE,$U$5=FALSE,$U$6=TRUE,$U$7=FALSE)),VLOOKUP($E698,'Status Thresholds'!$E:$AR,15,FALSE),IF((AND($U$4=TRUE,$U$5=FALSE,$U$6=TRUE,$U$7=TRUE)),VLOOKUP($E698,'Status Thresholds'!$E:$AR,20,FALSE),IF((AND($U$4=TRUE,$U$5=FALSE,$U$6=FALSE,$U$7=TRUE)),VLOOKUP($E698,'Status Thresholds'!$E:$AR,10,FALSE),
IF((AND($U$4=FALSE,$U$5=TRUE,$U$6=FALSE,$U$7=FALSE)),VLOOKUP($E698,'Status Thresholds'!$E:$AR,25,FALSE),IF((AND($U$4=FALSE,$U$5=TRUE,$U$6=TRUE,$U$7=FALSE)),VLOOKUP($E698,'Status Thresholds'!$E:$AR,35,FALSE),IF((AND($U$4=FALSE,$U$5=TRUE,$U$6=TRUE,$U$7=TRUE)),VLOOKUP($E698,'Status Thresholds'!$E:$AR,40,FALSE),IF((AND($U$4=FALSE,$U$5=TRUE,$U$6=FALSE,$U$7=TRUE)),VLOOKUP($E698,'Status Thresholds'!$E:$AR,30,FALSE)))))))))
))/
IF(OR($X$5=TRUE,$AC$3=TRUE
),($F$7/2), IF(OR($X$2,$X$3,$X$4,$X$6,$X$7,$X$8,$Z$2,$Z$3,$Z$4,$Z$5,$Z$6,$Z$7,$Z$8)=TRUE,$F$7)),0),"-")</f>
        <v>-</v>
      </c>
      <c r="J698" s="46">
        <f>IFERROR(IF(AND($U$5=FALSE,$U$4=FALSE),"-",VLOOKUP($E698,'Status Thresholds'!$E:$AU,41,FALSE)),"-")</f>
        <v>0</v>
      </c>
      <c r="K698" s="46" t="str">
        <f>IFERROR(IF(AND($U$5=FALSE,$U$4=FALSE),"-",VLOOKUP($E698,'Status Thresholds'!$E:$AU,42,FALSE)),"-")</f>
        <v>-</v>
      </c>
      <c r="L698" s="46" t="str">
        <f>IFERROR(IF(AND($U$5=FALSE,$U$4=FALSE),"-",VLOOKUP($E698,'Status Thresholds'!$E:$AU,43,FALSE)),"-")</f>
        <v>-</v>
      </c>
    </row>
    <row r="699" spans="1:12" ht="14.45" hidden="1" customHeight="1" x14ac:dyDescent="0.25">
      <c r="A699" s="35"/>
      <c r="B699" s="64" t="str">
        <f>IF('Status Thresholds'!A694=0, "", 'Status Thresholds'!A694)</f>
        <v>Deviant</v>
      </c>
      <c r="C699" s="64" t="str">
        <f>IF('Status Thresholds'!B694=0, "", 'Status Thresholds'!B694)</f>
        <v>Silverwind Nargacuga</v>
      </c>
      <c r="D699" s="34" t="s">
        <v>14</v>
      </c>
      <c r="E699" s="36" t="str">
        <f t="shared" si="10"/>
        <v>Silverwind NargacugaKO</v>
      </c>
      <c r="F699" s="36" t="s">
        <v>214</v>
      </c>
      <c r="G699" s="36" t="s">
        <v>214</v>
      </c>
      <c r="H699" s="36" t="s">
        <v>214</v>
      </c>
      <c r="I699" s="36" t="s">
        <v>214</v>
      </c>
      <c r="J699" s="46">
        <f>IFERROR(IF(AND($U$5=FALSE,$U$4=FALSE),"-",VLOOKUP($E699,'Status Thresholds'!$E:$AU,41,FALSE)),"-")</f>
        <v>10</v>
      </c>
      <c r="K699" s="46" t="str">
        <f>IFERROR(IF(AND($U$5=FALSE,$U$4=FALSE),"-",VLOOKUP($E699,'Status Thresholds'!$E:$AU,42,FALSE)),"-")</f>
        <v>-</v>
      </c>
      <c r="L699" s="46" t="str">
        <f>IFERROR(IF(AND($U$5=FALSE,$U$4=FALSE),"-",VLOOKUP($E699,'Status Thresholds'!$E:$AU,43,FALSE)),"-")</f>
        <v>-</v>
      </c>
    </row>
    <row r="700" spans="1:12" hidden="1" x14ac:dyDescent="0.25">
      <c r="A700" s="35"/>
      <c r="B700" s="64" t="str">
        <f>IF('Status Thresholds'!A695=0, "", 'Status Thresholds'!A695)</f>
        <v>Deviant</v>
      </c>
      <c r="C700" s="64" t="str">
        <f>IF('Status Thresholds'!B695=0, "", 'Status Thresholds'!B695)</f>
        <v>Silverwind Nargacuga</v>
      </c>
      <c r="D700" s="33" t="s">
        <v>34</v>
      </c>
      <c r="E700" s="36" t="str">
        <f t="shared" si="10"/>
        <v>Silverwind NargacugaMount</v>
      </c>
      <c r="F700" s="36" t="str">
        <f>IFERROR(
ROUNDUP(
IF(AND($U$5=FALSE,$U$4=FALSE),"-",IF(AND($U$5=TRUE,$U$4=TRUE),"-",
IF((AND($U$4=TRUE,$U$5=FALSE,$U$6=FALSE,$U$7=FALSE)),VLOOKUP($E700,'Status Thresholds'!$E:$AR,2,FALSE),IF((AND($U$4=TRUE,$U$5=FALSE,$U$6=TRUE,$U$7=FALSE)),VLOOKUP($E700,'Status Thresholds'!$E:$AR,12,FALSE),IF((AND($U$4=TRUE,$U$5=FALSE,$U$6=TRUE,$U$7=TRUE)),VLOOKUP($E700,'Status Thresholds'!$E:$AR,17,FALSE),IF((AND($U$4=TRUE,$U$5=FALSE,$U$6=FALSE,$U$7=TRUE)),VLOOKUP($E700,'Status Thresholds'!$E:$AR,7,FALSE),
IF((AND($U$4=FALSE,$U$5=TRUE,$U$6=FALSE,$U$7=FALSE)),VLOOKUP($E700,'Status Thresholds'!$E:$AR,22,FALSE),IF((AND($U$4=FALSE,$U$5=TRUE,$U$6=TRUE,$U$7=FALSE)),VLOOKUP($E700,'Status Thresholds'!$E:$AR,32,FALSE),IF((AND($U$4=FALSE,$U$5=TRUE,$U$6=TRUE,$U$7=TRUE)),VLOOKUP($E700,'Status Thresholds'!$E:$AR,37,FALSE),IF((AND($U$4=FALSE,$U$5=TRUE,$U$6=FALSE,$U$7=TRUE)),VLOOKUP($E700,'Status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700" s="36" t="str">
        <f>IFERROR(
ROUNDUP(
IF(AND($U$5=FALSE,$U$4=FALSE),"-",IF(AND($U$5=TRUE,$U$4=TRUE),"-",
IF((AND($U$4=TRUE,$U$5=FALSE,$U$6=FALSE,$U$7=FALSE)),VLOOKUP($E699,'Status Thresholds'!$E:$AR,3,FALSE),IF((AND($U$4=TRUE,$U$5=FALSE,$U$6=TRUE,$U$7=FALSE)),VLOOKUP($E699,'Status Thresholds'!$E:$AR,13,FALSE),IF((AND($U$4=TRUE,$U$5=FALSE,$U$6=TRUE,$U$7=TRUE)),VLOOKUP($E699,'Status Thresholds'!$E:$AR,18,FALSE),IF((AND($U$4=TRUE,$U$5=FALSE,$U$6=FALSE,$U$7=TRUE)),VLOOKUP($E699,'Status Thresholds'!$E:$AR,8,FALSE),
IF((AND($U$4=FALSE,$U$5=TRUE,$U$6=FALSE,$U$7=FALSE)),VLOOKUP($E699,'Status Thresholds'!$E:$AR,23,FALSE),IF((AND($U$4=FALSE,$U$5=TRUE,$U$6=TRUE,$U$7=FALSE)),VLOOKUP($E699,'Status Thresholds'!$E:$AR,33,FALSE),IF((AND($U$4=FALSE,$U$5=TRUE,$U$6=TRUE,$U$7=TRUE)),VLOOKUP($E699,'Status Thresholds'!$E:$AR,38,FALSE),IF((AND($U$4=FALSE,$U$5=TRUE,$U$6=FALSE,$U$7=TRUE)),VLOOKUP($E699,'Status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700" s="36" t="str">
        <f>IFERROR(
ROUNDUP(
IF(AND($U$5=FALSE,$U$4=FALSE),"-",IF(AND($U$5=TRUE,$U$4=TRUE),"-",
IF((AND($U$4=TRUE,$U$5=FALSE,$U$6=FALSE,$U$7=FALSE)),VLOOKUP($E699,'Status Thresholds'!$E:$AR,4,FALSE),IF((AND($U$4=TRUE,$U$5=FALSE,$U$6=TRUE,$U$7=FALSE)),VLOOKUP($E699,'Status Thresholds'!$E:$AR,14,FALSE),IF((AND($U$4=TRUE,$U$5=FALSE,$U$6=TRUE,$U$7=TRUE)),VLOOKUP($E699,'Status Thresholds'!$E:$AR,19,FALSE),IF((AND($U$4=TRUE,$U$5=FALSE,$U$6=FALSE,$U$7=TRUE)),VLOOKUP($E699,'Status Thresholds'!$E:$AR,9,FALSE),
IF((AND($U$4=FALSE,$U$5=TRUE,$U$6=FALSE,$U$7=FALSE)),VLOOKUP($E699,'Status Thresholds'!$E:$AR,24,FALSE),IF((AND($U$4=FALSE,$U$5=TRUE,$U$6=TRUE,$U$7=FALSE)),VLOOKUP($E699,'Status Thresholds'!$E:$AR,34,FALSE),IF((AND($U$4=FALSE,$U$5=TRUE,$U$6=TRUE,$U$7=TRUE)),VLOOKUP($E699,'Status Thresholds'!$E:$AR,39,FALSE),IF((AND($U$4=FALSE,$U$5=TRUE,$U$6=FALSE,$U$7=TRUE)),VLOOKUP($E699,'Status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700" s="36" t="str">
        <f>IFERROR(
ROUNDUP(
IF(AND($U$5=FALSE,$U$4=FALSE),"-",IF(AND($U$5=TRUE,$U$4=TRUE),"-",
IF((AND($U$4=TRUE,$U$5=FALSE,$U$6=FALSE,$U$7=FALSE)),VLOOKUP($E699,'Status Thresholds'!$E:$AR,5,FALSE),IF((AND($U$4=TRUE,$U$5=FALSE,$U$6=TRUE,$U$7=FALSE)),VLOOKUP($E699,'Status Thresholds'!$E:$AR,15,FALSE),IF((AND($U$4=TRUE,$U$5=FALSE,$U$6=TRUE,$U$7=TRUE)),VLOOKUP($E699,'Status Thresholds'!$E:$AR,20,FALSE),IF((AND($U$4=TRUE,$U$5=FALSE,$U$6=FALSE,$U$7=TRUE)),VLOOKUP($E699,'Status Thresholds'!$E:$AR,10,FALSE),
IF((AND($U$4=FALSE,$U$5=TRUE,$U$6=FALSE,$U$7=FALSE)),VLOOKUP($E699,'Status Thresholds'!$E:$AR,25,FALSE),IF((AND($U$4=FALSE,$U$5=TRUE,$U$6=TRUE,$U$7=FALSE)),VLOOKUP($E699,'Status Thresholds'!$E:$AR,35,FALSE),IF((AND($U$4=FALSE,$U$5=TRUE,$U$6=TRUE,$U$7=TRUE)),VLOOKUP($E699,'Status Thresholds'!$E:$AR,40,FALSE),IF((AND($U$4=FALSE,$U$5=TRUE,$U$6=FALSE,$U$7=TRUE)),VLOOKUP($E699,'Status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700" s="46">
        <f>IFERROR(IF(AND($U$5=FALSE,$U$4=FALSE),"-",VLOOKUP($E700,'Status Thresholds'!$E:$AU,41,FALSE)),"-")</f>
        <v>0</v>
      </c>
      <c r="K700" s="46" t="str">
        <f>IFERROR(IF(AND($U$5=FALSE,$U$4=FALSE),"-",VLOOKUP($E700,'Status Thresholds'!$E:$AU,42,FALSE)),"-")</f>
        <v>-</v>
      </c>
      <c r="L700" s="46" t="str">
        <f>IFERROR(IF(AND($U$5=FALSE,$U$4=FALSE),"-",VLOOKUP($E700,'Status Thresholds'!$E:$AU,43,FALSE)),"-")</f>
        <v>-</v>
      </c>
    </row>
    <row r="701" spans="1:12" ht="15" hidden="1" customHeight="1" x14ac:dyDescent="0.25">
      <c r="A701" s="35"/>
      <c r="B701" s="64" t="str">
        <f>IF('Status Thresholds'!A696=0, "", 'Status Thresholds'!A696)</f>
        <v>Deviant</v>
      </c>
      <c r="C701" s="64" t="str">
        <f>IF('Status Thresholds'!B696=0, "", 'Status Thresholds'!B696)</f>
        <v>Silverwind Nargacuga</v>
      </c>
      <c r="D701" s="77" t="s">
        <v>207</v>
      </c>
      <c r="E701" s="36" t="str">
        <f t="shared" si="10"/>
        <v>Silverwind NargacugaShock Trap</v>
      </c>
      <c r="F701" s="76" t="s">
        <v>214</v>
      </c>
      <c r="G701" s="46" t="s">
        <v>214</v>
      </c>
      <c r="H701" s="46" t="s">
        <v>214</v>
      </c>
      <c r="I701" s="46" t="s">
        <v>214</v>
      </c>
      <c r="J701" s="46">
        <f>IFERROR(IF(AND($U$5=FALSE,$U$4=FALSE),"-",VLOOKUP($E701,'Status Thresholds'!$E:$AU,43,FALSE)),"-")</f>
        <v>8</v>
      </c>
      <c r="K701" s="46">
        <f>IFERROR(IF(AND($U$5=FALSE,$U$4=FALSE),"-",VLOOKUP($E701,'Status Thresholds'!$E:$AU,41,FALSE)),"-")</f>
        <v>8</v>
      </c>
      <c r="L701" s="46">
        <f>IFERROR(IF(AND($U$5=FALSE,$U$4=FALSE),"-",VLOOKUP($E701,'Status Thresholds'!$E:$AU,42,FALSE)),"-")</f>
        <v>15</v>
      </c>
    </row>
    <row r="702" spans="1:12" hidden="1" x14ac:dyDescent="0.25">
      <c r="A702" s="35"/>
      <c r="B702" s="64" t="str">
        <f>IF('Status Thresholds'!A697=0, "", 'Status Thresholds'!A697)</f>
        <v>Deviant</v>
      </c>
      <c r="C702" s="64" t="str">
        <f>IF('Status Thresholds'!B697=0, "", 'Status Thresholds'!B697)</f>
        <v>Silverwind Nargacuga</v>
      </c>
      <c r="D702" s="77" t="s">
        <v>213</v>
      </c>
      <c r="E702" s="36" t="str">
        <f t="shared" si="10"/>
        <v>Silverwind NargacugaPitfall Trap</v>
      </c>
      <c r="F702" s="46" t="s">
        <v>214</v>
      </c>
      <c r="G702" s="46" t="s">
        <v>214</v>
      </c>
      <c r="H702" s="46" t="s">
        <v>214</v>
      </c>
      <c r="I702" s="46" t="s">
        <v>214</v>
      </c>
      <c r="J702" s="46">
        <f>IFERROR(IF(AND($U$5=FALSE,$U$4=FALSE),"-",VLOOKUP($E702,'Status Thresholds'!$E:$AU,43,FALSE)),"-")</f>
        <v>20</v>
      </c>
      <c r="K702" s="46">
        <f>IFERROR(IF(AND($U$5=FALSE,$U$4=FALSE),"-",VLOOKUP($E702,'Status Thresholds'!$E:$AU,41,FALSE)),"-")</f>
        <v>20</v>
      </c>
      <c r="L702" s="46">
        <f>IFERROR(IF(AND($U$5=FALSE,$U$4=FALSE),"-",VLOOKUP($E702,'Status Thresholds'!$E:$AU,42,FALSE)),"-")</f>
        <v>25</v>
      </c>
    </row>
    <row r="703" spans="1:12" s="36" customFormat="1" hidden="1" x14ac:dyDescent="0.25">
      <c r="A703" s="64"/>
      <c r="B703" s="64" t="str">
        <f>IF('Status Thresholds'!A698=0, "", 'Status Thresholds'!A698)</f>
        <v>Deviant</v>
      </c>
      <c r="C703" s="64" t="str">
        <f>IF('Status Thresholds'!B698=0, "", 'Status Thresholds'!B698)</f>
        <v>Snowbaron Lagombi</v>
      </c>
      <c r="D703" s="37" t="s">
        <v>0</v>
      </c>
      <c r="E703" s="36" t="str">
        <f t="shared" si="10"/>
        <v>Snowbaron LagombiPara</v>
      </c>
      <c r="F703" s="36" t="s">
        <v>214</v>
      </c>
      <c r="G703" s="36" t="s">
        <v>214</v>
      </c>
      <c r="H703" s="36" t="s">
        <v>214</v>
      </c>
      <c r="I703" s="36" t="s">
        <v>214</v>
      </c>
      <c r="J703" s="36">
        <f>IFERROR(IF(AND($U$5=FALSE,$U$4=FALSE),"-",VLOOKUP($E703,'Status Thresholds'!$E:$AU,41,FALSE)),"-")</f>
        <v>10</v>
      </c>
      <c r="K703" s="36" t="str">
        <f>IFERROR(IF(AND($U$5=FALSE,$U$4=FALSE),"-",VLOOKUP($E703,'Status Thresholds'!$E:$AU,42,FALSE)),"-")</f>
        <v>-</v>
      </c>
      <c r="L703" s="36" t="str">
        <f>IFERROR(IF(AND($U$5=FALSE,$U$4=FALSE),"-",VLOOKUP($E703,'Status Thresholds'!$E:$AU,43,FALSE)),"-")</f>
        <v>-</v>
      </c>
    </row>
    <row r="704" spans="1:12" hidden="1" x14ac:dyDescent="0.25">
      <c r="A704" s="35"/>
      <c r="B704" s="64" t="str">
        <f>IF('Status Thresholds'!A699=0, "", 'Status Thresholds'!A699)</f>
        <v>Deviant</v>
      </c>
      <c r="C704" s="64" t="str">
        <f>IF('Status Thresholds'!B699=0, "", 'Status Thresholds'!B699)</f>
        <v>Snowbaron Lagombi</v>
      </c>
      <c r="D704" s="31" t="s">
        <v>32</v>
      </c>
      <c r="E704" s="36" t="str">
        <f t="shared" si="10"/>
        <v>Snowbaron LagombiSleep</v>
      </c>
      <c r="F704" s="36" t="s">
        <v>214</v>
      </c>
      <c r="G704" s="36" t="s">
        <v>214</v>
      </c>
      <c r="H704" s="36" t="s">
        <v>214</v>
      </c>
      <c r="I704" s="36" t="s">
        <v>214</v>
      </c>
      <c r="J704" s="46">
        <f>IFERROR(IF(AND($U$5=FALSE,$U$4=FALSE),"-",VLOOKUP($E704,'Status Thresholds'!$E:$AU,41,FALSE)),"-")</f>
        <v>60</v>
      </c>
      <c r="K704" s="46" t="str">
        <f>IFERROR(IF(AND($U$5=FALSE,$U$4=FALSE),"-",VLOOKUP($E704,'Status Thresholds'!$E:$AU,42,FALSE)),"-")</f>
        <v>-</v>
      </c>
      <c r="L704" s="46" t="str">
        <f>IFERROR(IF(AND($U$5=FALSE,$U$4=FALSE),"-",VLOOKUP($E704,'Status Thresholds'!$E:$AU,43,FALSE)),"-")</f>
        <v>-</v>
      </c>
    </row>
    <row r="705" spans="1:12" hidden="1" x14ac:dyDescent="0.25">
      <c r="A705" s="35"/>
      <c r="B705" s="64" t="str">
        <f>IF('Status Thresholds'!A700=0, "", 'Status Thresholds'!A700)</f>
        <v>Deviant</v>
      </c>
      <c r="C705" s="64" t="str">
        <f>IF('Status Thresholds'!B700=0, "", 'Status Thresholds'!B700)</f>
        <v>Snowbaron Lagombi</v>
      </c>
      <c r="D705" s="32" t="s">
        <v>33</v>
      </c>
      <c r="E705" s="36" t="str">
        <f t="shared" si="10"/>
        <v>Snowbaron LagombiPoison</v>
      </c>
      <c r="F705" s="36" t="s">
        <v>214</v>
      </c>
      <c r="G705" s="36" t="s">
        <v>214</v>
      </c>
      <c r="H705" s="36" t="s">
        <v>214</v>
      </c>
      <c r="I705" s="36" t="s">
        <v>214</v>
      </c>
      <c r="J705" s="46">
        <f>IFERROR(IF(AND($U$5=FALSE,$U$4=FALSE),"-",VLOOKUP($E705,'Status Thresholds'!$E:$AU,41,FALSE)),"-")</f>
        <v>60</v>
      </c>
      <c r="K705" s="46" t="str">
        <f>IFERROR(IF(AND($U$5=FALSE,$U$4=FALSE),"-",VLOOKUP($E705,'Status Thresholds'!$E:$AU,42,FALSE)),"-")</f>
        <v>-</v>
      </c>
      <c r="L705" s="46" t="str">
        <f>IFERROR(IF(AND($U$5=FALSE,$U$4=FALSE),"-",VLOOKUP($E705,'Status Thresholds'!$E:$AU,43,FALSE)),"-")</f>
        <v>-</v>
      </c>
    </row>
    <row r="706" spans="1:12" hidden="1" x14ac:dyDescent="0.25">
      <c r="A706" s="35"/>
      <c r="B706" s="64" t="str">
        <f>IF('Status Thresholds'!A701=0, "", 'Status Thresholds'!A701)</f>
        <v>Deviant</v>
      </c>
      <c r="C706" s="64" t="str">
        <f>IF('Status Thresholds'!B701=0, "", 'Status Thresholds'!B701)</f>
        <v>Snowbaron Lagombi</v>
      </c>
      <c r="D706" s="10" t="s">
        <v>22</v>
      </c>
      <c r="E706" s="36" t="str">
        <f t="shared" si="10"/>
        <v>Snowbaron LagombiExhaust</v>
      </c>
      <c r="F706" s="36" t="s">
        <v>214</v>
      </c>
      <c r="G706" s="36" t="s">
        <v>214</v>
      </c>
      <c r="H706" s="36" t="s">
        <v>214</v>
      </c>
      <c r="I706" s="36" t="s">
        <v>214</v>
      </c>
      <c r="J706" s="46">
        <f>IFERROR(IF(AND($U$5=FALSE,$U$4=FALSE),"-",VLOOKUP($E706,'Status Thresholds'!$E:$AU,41,FALSE)),"-")</f>
        <v>0</v>
      </c>
      <c r="K706" s="46" t="str">
        <f>IFERROR(IF(AND($U$5=FALSE,$U$4=FALSE),"-",VLOOKUP($E706,'Status Thresholds'!$E:$AU,42,FALSE)),"-")</f>
        <v>-</v>
      </c>
      <c r="L706" s="46" t="str">
        <f>IFERROR(IF(AND($U$5=FALSE,$U$4=FALSE),"-",VLOOKUP($E706,'Status Thresholds'!$E:$AU,43,FALSE)),"-")</f>
        <v>-</v>
      </c>
    </row>
    <row r="707" spans="1:12" hidden="1" x14ac:dyDescent="0.25">
      <c r="A707" s="35"/>
      <c r="B707" s="64" t="str">
        <f>IF('Status Thresholds'!A702=0, "", 'Status Thresholds'!A702)</f>
        <v>Deviant</v>
      </c>
      <c r="C707" s="64" t="str">
        <f>IF('Status Thresholds'!B702=0, "", 'Status Thresholds'!B702)</f>
        <v>Snowbaron Lagombi</v>
      </c>
      <c r="D707" s="30" t="s">
        <v>35</v>
      </c>
      <c r="E707" s="36" t="str">
        <f t="shared" si="10"/>
        <v>Snowbaron LagombiBlast</v>
      </c>
      <c r="F707" s="36" t="s">
        <v>214</v>
      </c>
      <c r="G707" s="36" t="s">
        <v>214</v>
      </c>
      <c r="H707" s="36" t="s">
        <v>214</v>
      </c>
      <c r="I707" s="36" t="s">
        <v>214</v>
      </c>
      <c r="J707" s="46">
        <f>IFERROR(IF(AND($U$5=FALSE,$U$4=FALSE),"-",VLOOKUP($E707,'Status Thresholds'!$E:$AU,41,FALSE)),"-")</f>
        <v>0</v>
      </c>
      <c r="K707" s="46" t="str">
        <f>IFERROR(IF(AND($U$5=FALSE,$U$4=FALSE),"-",VLOOKUP($E707,'Status Thresholds'!$E:$AU,42,FALSE)),"-")</f>
        <v>-</v>
      </c>
      <c r="L707" s="46" t="str">
        <f>IFERROR(IF(AND($U$5=FALSE,$U$4=FALSE),"-",VLOOKUP($E707,'Status Thresholds'!$E:$AU,43,FALSE)),"-")</f>
        <v>-</v>
      </c>
    </row>
    <row r="708" spans="1:12" ht="14.45" hidden="1" customHeight="1" x14ac:dyDescent="0.25">
      <c r="A708" s="35"/>
      <c r="B708" s="64" t="str">
        <f>IF('Status Thresholds'!A703=0, "", 'Status Thresholds'!A703)</f>
        <v>Deviant</v>
      </c>
      <c r="C708" s="64" t="str">
        <f>IF('Status Thresholds'!B703=0, "", 'Status Thresholds'!B703)</f>
        <v>Snowbaron Lagombi</v>
      </c>
      <c r="D708" s="34" t="s">
        <v>14</v>
      </c>
      <c r="E708" s="36" t="str">
        <f t="shared" si="10"/>
        <v>Snowbaron LagombiKO</v>
      </c>
      <c r="F708" s="36" t="s">
        <v>214</v>
      </c>
      <c r="G708" s="36" t="s">
        <v>214</v>
      </c>
      <c r="H708" s="36" t="s">
        <v>214</v>
      </c>
      <c r="I708" s="36" t="s">
        <v>214</v>
      </c>
      <c r="J708" s="46">
        <f>IFERROR(IF(AND($U$5=FALSE,$U$4=FALSE),"-",VLOOKUP($E708,'Status Thresholds'!$E:$AU,41,FALSE)),"-")</f>
        <v>10</v>
      </c>
      <c r="K708" s="46" t="str">
        <f>IFERROR(IF(AND($U$5=FALSE,$U$4=FALSE),"-",VLOOKUP($E708,'Status Thresholds'!$E:$AU,42,FALSE)),"-")</f>
        <v>-</v>
      </c>
      <c r="L708" s="46" t="str">
        <f>IFERROR(IF(AND($U$5=FALSE,$U$4=FALSE),"-",VLOOKUP($E708,'Status Thresholds'!$E:$AU,43,FALSE)),"-")</f>
        <v>-</v>
      </c>
    </row>
    <row r="709" spans="1:12" hidden="1" x14ac:dyDescent="0.25">
      <c r="A709" s="35"/>
      <c r="B709" s="64" t="str">
        <f>IF('Status Thresholds'!A704=0, "", 'Status Thresholds'!A704)</f>
        <v>Deviant</v>
      </c>
      <c r="C709" s="64" t="str">
        <f>IF('Status Thresholds'!B704=0, "", 'Status Thresholds'!B704)</f>
        <v>Snowbaron Lagombi</v>
      </c>
      <c r="D709" s="33" t="s">
        <v>34</v>
      </c>
      <c r="E709" s="36" t="str">
        <f t="shared" si="10"/>
        <v>Snowbaron LagombiMount</v>
      </c>
      <c r="F709" s="36">
        <v>5</v>
      </c>
      <c r="G709" s="36">
        <v>13</v>
      </c>
      <c r="H709" s="36">
        <v>18</v>
      </c>
      <c r="I709" s="36">
        <v>23</v>
      </c>
      <c r="J709" s="46">
        <f>IFERROR(IF(AND($U$5=FALSE,$U$4=FALSE),"-",VLOOKUP($E709,'Status Thresholds'!$E:$AU,41,FALSE)),"-")</f>
        <v>0</v>
      </c>
      <c r="K709" s="46" t="str">
        <f>IFERROR(IF(AND($U$5=FALSE,$U$4=FALSE),"-",VLOOKUP($E709,'Status Thresholds'!$E:$AU,42,FALSE)),"-")</f>
        <v>-</v>
      </c>
      <c r="L709" s="46" t="str">
        <f>IFERROR(IF(AND($U$5=FALSE,$U$4=FALSE),"-",VLOOKUP($E709,'Status Thresholds'!$E:$AU,43,FALSE)),"-")</f>
        <v>-</v>
      </c>
    </row>
    <row r="710" spans="1:12" ht="15" hidden="1" customHeight="1" x14ac:dyDescent="0.25">
      <c r="A710" s="35"/>
      <c r="B710" s="64" t="str">
        <f>IF('Status Thresholds'!A705=0, "", 'Status Thresholds'!A705)</f>
        <v>Deviant</v>
      </c>
      <c r="C710" s="64" t="str">
        <f>IF('Status Thresholds'!B705=0, "", 'Status Thresholds'!B705)</f>
        <v>Snowbaron Lagombi</v>
      </c>
      <c r="D710" s="77" t="s">
        <v>207</v>
      </c>
      <c r="E710" s="36" t="str">
        <f t="shared" si="10"/>
        <v>Snowbaron LagombiShock Trap</v>
      </c>
      <c r="F710" s="76" t="s">
        <v>214</v>
      </c>
      <c r="G710" s="46" t="s">
        <v>214</v>
      </c>
      <c r="H710" s="46" t="s">
        <v>214</v>
      </c>
      <c r="I710" s="46" t="s">
        <v>214</v>
      </c>
      <c r="J710" s="46">
        <f>IFERROR(IF(AND($U$5=FALSE,$U$4=FALSE),"-",VLOOKUP($E710,'Status Thresholds'!$E:$AU,43,FALSE)),"-")</f>
        <v>15</v>
      </c>
      <c r="K710" s="46">
        <f>IFERROR(IF(AND($U$5=FALSE,$U$4=FALSE),"-",VLOOKUP($E710,'Status Thresholds'!$E:$AU,41,FALSE)),"-")</f>
        <v>15</v>
      </c>
      <c r="L710" s="46">
        <f>IFERROR(IF(AND($U$5=FALSE,$U$4=FALSE),"-",VLOOKUP($E710,'Status Thresholds'!$E:$AU,42,FALSE)),"-")</f>
        <v>20</v>
      </c>
    </row>
    <row r="711" spans="1:12" hidden="1" x14ac:dyDescent="0.25">
      <c r="A711" s="35"/>
      <c r="B711" s="64" t="str">
        <f>IF('Status Thresholds'!A706=0, "", 'Status Thresholds'!A706)</f>
        <v>Deviant</v>
      </c>
      <c r="C711" s="64" t="str">
        <f>IF('Status Thresholds'!B706=0, "", 'Status Thresholds'!B706)</f>
        <v>Snowbaron Lagombi</v>
      </c>
      <c r="D711" s="77" t="s">
        <v>213</v>
      </c>
      <c r="E711" s="36" t="str">
        <f t="shared" si="10"/>
        <v>Snowbaron LagombiPitfall Trap</v>
      </c>
      <c r="F711" s="46" t="s">
        <v>214</v>
      </c>
      <c r="G711" s="46" t="s">
        <v>214</v>
      </c>
      <c r="H711" s="46" t="s">
        <v>214</v>
      </c>
      <c r="I711" s="46" t="s">
        <v>214</v>
      </c>
      <c r="J711" s="46">
        <f>IFERROR(IF(AND($U$5=FALSE,$U$4=FALSE),"-",VLOOKUP($E711,'Status Thresholds'!$E:$AU,43,FALSE)),"-")</f>
        <v>20</v>
      </c>
      <c r="K711" s="46">
        <f>IFERROR(IF(AND($U$5=FALSE,$U$4=FALSE),"-",VLOOKUP($E711,'Status Thresholds'!$E:$AU,41,FALSE)),"-")</f>
        <v>20</v>
      </c>
      <c r="L711" s="46">
        <f>IFERROR(IF(AND($U$5=FALSE,$U$4=FALSE),"-",VLOOKUP($E711,'Status Thresholds'!$E:$AU,42,FALSE)),"-")</f>
        <v>25</v>
      </c>
    </row>
    <row r="712" spans="1:12" s="36" customFormat="1" hidden="1" x14ac:dyDescent="0.25">
      <c r="A712" s="64"/>
      <c r="B712" s="64" t="str">
        <f>IF('Status Thresholds'!A707=0, "", 'Status Thresholds'!A707)</f>
        <v>Deviant</v>
      </c>
      <c r="C712" s="64" t="str">
        <f>IF('Status Thresholds'!B707=0, "", 'Status Thresholds'!B707)</f>
        <v>Soulseer Mizutsune</v>
      </c>
      <c r="D712" s="37" t="s">
        <v>0</v>
      </c>
      <c r="E712" s="36" t="str">
        <f t="shared" si="10"/>
        <v>Soulseer MizutsunePara</v>
      </c>
      <c r="F712" s="36" t="s">
        <v>214</v>
      </c>
      <c r="G712" s="36" t="s">
        <v>214</v>
      </c>
      <c r="H712" s="36" t="s">
        <v>214</v>
      </c>
      <c r="I712" s="36" t="s">
        <v>214</v>
      </c>
      <c r="J712" s="36">
        <f>IFERROR(IF(AND($U$5=FALSE,$U$4=FALSE),"-",VLOOKUP($E712,'Status Thresholds'!$E:$AU,41,FALSE)),"-")</f>
        <v>10</v>
      </c>
      <c r="K712" s="36" t="str">
        <f>IFERROR(IF(AND($U$5=FALSE,$U$4=FALSE),"-",VLOOKUP($E712,'Status Thresholds'!$E:$AU,42,FALSE)),"-")</f>
        <v>-</v>
      </c>
      <c r="L712" s="36" t="str">
        <f>IFERROR(IF(AND($U$5=FALSE,$U$4=FALSE),"-",VLOOKUP($E712,'Status Thresholds'!$E:$AU,43,FALSE)),"-")</f>
        <v>-</v>
      </c>
    </row>
    <row r="713" spans="1:12" hidden="1" x14ac:dyDescent="0.25">
      <c r="A713" s="35"/>
      <c r="B713" s="64" t="str">
        <f>IF('Status Thresholds'!A708=0, "", 'Status Thresholds'!A708)</f>
        <v>Deviant</v>
      </c>
      <c r="C713" s="64" t="str">
        <f>IF('Status Thresholds'!B708=0, "", 'Status Thresholds'!B708)</f>
        <v>Soulseer Mizutsune</v>
      </c>
      <c r="D713" s="31" t="s">
        <v>32</v>
      </c>
      <c r="E713" s="36" t="str">
        <f t="shared" si="10"/>
        <v>Soulseer MizutsuneSleep</v>
      </c>
      <c r="F713" s="36" t="s">
        <v>214</v>
      </c>
      <c r="G713" s="36" t="s">
        <v>214</v>
      </c>
      <c r="H713" s="36" t="s">
        <v>214</v>
      </c>
      <c r="I713" s="36" t="s">
        <v>214</v>
      </c>
      <c r="J713" s="46">
        <f>IFERROR(IF(AND($U$5=FALSE,$U$4=FALSE),"-",VLOOKUP($E713,'Status Thresholds'!$E:$AU,41,FALSE)),"-")</f>
        <v>40</v>
      </c>
      <c r="K713" s="46" t="str">
        <f>IFERROR(IF(AND($U$5=FALSE,$U$4=FALSE),"-",VLOOKUP($E713,'Status Thresholds'!$E:$AU,42,FALSE)),"-")</f>
        <v>-</v>
      </c>
      <c r="L713" s="46" t="str">
        <f>IFERROR(IF(AND($U$5=FALSE,$U$4=FALSE),"-",VLOOKUP($E713,'Status Thresholds'!$E:$AU,43,FALSE)),"-")</f>
        <v>-</v>
      </c>
    </row>
    <row r="714" spans="1:12" hidden="1" x14ac:dyDescent="0.25">
      <c r="A714" s="35"/>
      <c r="B714" s="64" t="str">
        <f>IF('Status Thresholds'!A709=0, "", 'Status Thresholds'!A709)</f>
        <v>Deviant</v>
      </c>
      <c r="C714" s="64" t="str">
        <f>IF('Status Thresholds'!B709=0, "", 'Status Thresholds'!B709)</f>
        <v>Soulseer Mizutsune</v>
      </c>
      <c r="D714" s="32" t="s">
        <v>33</v>
      </c>
      <c r="E714" s="36" t="str">
        <f t="shared" si="10"/>
        <v>Soulseer MizutsunePoison</v>
      </c>
      <c r="F714" s="36" t="s">
        <v>214</v>
      </c>
      <c r="G714" s="36" t="s">
        <v>214</v>
      </c>
      <c r="H714" s="36" t="s">
        <v>214</v>
      </c>
      <c r="I714" s="36" t="s">
        <v>214</v>
      </c>
      <c r="J714" s="46">
        <f>IFERROR(IF(AND($U$5=FALSE,$U$4=FALSE),"-",VLOOKUP($E714,'Status Thresholds'!$E:$AU,41,FALSE)),"-")</f>
        <v>60</v>
      </c>
      <c r="K714" s="46" t="str">
        <f>IFERROR(IF(AND($U$5=FALSE,$U$4=FALSE),"-",VLOOKUP($E714,'Status Thresholds'!$E:$AU,42,FALSE)),"-")</f>
        <v>-</v>
      </c>
      <c r="L714" s="46" t="str">
        <f>IFERROR(IF(AND($U$5=FALSE,$U$4=FALSE),"-",VLOOKUP($E714,'Status Thresholds'!$E:$AU,43,FALSE)),"-")</f>
        <v>-</v>
      </c>
    </row>
    <row r="715" spans="1:12" hidden="1" x14ac:dyDescent="0.25">
      <c r="A715" s="35"/>
      <c r="B715" s="64" t="str">
        <f>IF('Status Thresholds'!A710=0, "", 'Status Thresholds'!A710)</f>
        <v>Deviant</v>
      </c>
      <c r="C715" s="64" t="str">
        <f>IF('Status Thresholds'!B710=0, "", 'Status Thresholds'!B710)</f>
        <v>Soulseer Mizutsune</v>
      </c>
      <c r="D715" s="10" t="s">
        <v>22</v>
      </c>
      <c r="E715" s="36" t="str">
        <f t="shared" si="10"/>
        <v>Soulseer MizutsuneExhaust</v>
      </c>
      <c r="F715" s="36" t="s">
        <v>214</v>
      </c>
      <c r="G715" s="36" t="s">
        <v>214</v>
      </c>
      <c r="H715" s="36" t="s">
        <v>214</v>
      </c>
      <c r="I715" s="36" t="s">
        <v>214</v>
      </c>
      <c r="J715" s="46">
        <f>IFERROR(IF(AND($U$5=FALSE,$U$4=FALSE),"-",VLOOKUP($E715,'Status Thresholds'!$E:$AU,41,FALSE)),"-")</f>
        <v>0</v>
      </c>
      <c r="K715" s="46" t="str">
        <f>IFERROR(IF(AND($U$5=FALSE,$U$4=FALSE),"-",VLOOKUP($E715,'Status Thresholds'!$E:$AU,42,FALSE)),"-")</f>
        <v>-</v>
      </c>
      <c r="L715" s="46" t="str">
        <f>IFERROR(IF(AND($U$5=FALSE,$U$4=FALSE),"-",VLOOKUP($E715,'Status Thresholds'!$E:$AU,43,FALSE)),"-")</f>
        <v>-</v>
      </c>
    </row>
    <row r="716" spans="1:12" hidden="1" x14ac:dyDescent="0.25">
      <c r="A716" s="35"/>
      <c r="B716" s="64" t="str">
        <f>IF('Status Thresholds'!A711=0, "", 'Status Thresholds'!A711)</f>
        <v>Deviant</v>
      </c>
      <c r="C716" s="64" t="str">
        <f>IF('Status Thresholds'!B711=0, "", 'Status Thresholds'!B711)</f>
        <v>Soulseer Mizutsune</v>
      </c>
      <c r="D716" s="30" t="s">
        <v>35</v>
      </c>
      <c r="E716" s="36" t="str">
        <f t="shared" si="10"/>
        <v>Soulseer MizutsuneBlast</v>
      </c>
      <c r="F716" s="36" t="s">
        <v>214</v>
      </c>
      <c r="G716" s="36" t="s">
        <v>214</v>
      </c>
      <c r="H716" s="36" t="s">
        <v>214</v>
      </c>
      <c r="I716" s="36" t="s">
        <v>214</v>
      </c>
      <c r="J716" s="46">
        <f>IFERROR(IF(AND($U$5=FALSE,$U$4=FALSE),"-",VLOOKUP($E716,'Status Thresholds'!$E:$AU,41,FALSE)),"-")</f>
        <v>0</v>
      </c>
      <c r="K716" s="46" t="str">
        <f>IFERROR(IF(AND($U$5=FALSE,$U$4=FALSE),"-",VLOOKUP($E716,'Status Thresholds'!$E:$AU,42,FALSE)),"-")</f>
        <v>-</v>
      </c>
      <c r="L716" s="46" t="str">
        <f>IFERROR(IF(AND($U$5=FALSE,$U$4=FALSE),"-",VLOOKUP($E716,'Status Thresholds'!$E:$AU,43,FALSE)),"-")</f>
        <v>-</v>
      </c>
    </row>
    <row r="717" spans="1:12" ht="14.45" hidden="1" customHeight="1" x14ac:dyDescent="0.25">
      <c r="A717" s="35"/>
      <c r="B717" s="64" t="str">
        <f>IF('Status Thresholds'!A712=0, "", 'Status Thresholds'!A712)</f>
        <v>Deviant</v>
      </c>
      <c r="C717" s="64" t="str">
        <f>IF('Status Thresholds'!B712=0, "", 'Status Thresholds'!B712)</f>
        <v>Soulseer Mizutsune</v>
      </c>
      <c r="D717" s="34" t="s">
        <v>14</v>
      </c>
      <c r="E717" s="36" t="str">
        <f t="shared" si="10"/>
        <v>Soulseer MizutsuneKO</v>
      </c>
      <c r="F717" s="36" t="s">
        <v>214</v>
      </c>
      <c r="G717" s="36" t="s">
        <v>214</v>
      </c>
      <c r="H717" s="36" t="s">
        <v>214</v>
      </c>
      <c r="I717" s="36" t="s">
        <v>214</v>
      </c>
      <c r="J717" s="46">
        <f>IFERROR(IF(AND($U$5=FALSE,$U$4=FALSE),"-",VLOOKUP($E717,'Status Thresholds'!$E:$AU,41,FALSE)),"-")</f>
        <v>10</v>
      </c>
      <c r="K717" s="46" t="str">
        <f>IFERROR(IF(AND($U$5=FALSE,$U$4=FALSE),"-",VLOOKUP($E717,'Status Thresholds'!$E:$AU,42,FALSE)),"-")</f>
        <v>-</v>
      </c>
      <c r="L717" s="46" t="str">
        <f>IFERROR(IF(AND($U$5=FALSE,$U$4=FALSE),"-",VLOOKUP($E717,'Status Thresholds'!$E:$AU,43,FALSE)),"-")</f>
        <v>-</v>
      </c>
    </row>
    <row r="718" spans="1:12" hidden="1" x14ac:dyDescent="0.25">
      <c r="A718" s="35"/>
      <c r="B718" s="64" t="str">
        <f>IF('Status Thresholds'!A713=0, "", 'Status Thresholds'!A713)</f>
        <v>Deviant</v>
      </c>
      <c r="C718" s="64" t="str">
        <f>IF('Status Thresholds'!B713=0, "", 'Status Thresholds'!B713)</f>
        <v>Soulseer Mizutsune</v>
      </c>
      <c r="D718" s="33" t="s">
        <v>34</v>
      </c>
      <c r="E718" s="36" t="str">
        <f t="shared" si="10"/>
        <v>Soulseer MizutsuneMount</v>
      </c>
      <c r="F718" s="36">
        <v>5</v>
      </c>
      <c r="G718" s="36">
        <v>15</v>
      </c>
      <c r="H718" s="36">
        <v>23</v>
      </c>
      <c r="I718" s="36">
        <v>30</v>
      </c>
      <c r="J718" s="46">
        <f>IFERROR(IF(AND($U$5=FALSE,$U$4=FALSE),"-",VLOOKUP($E718,'Status Thresholds'!$E:$AU,41,FALSE)),"-")</f>
        <v>0</v>
      </c>
      <c r="K718" s="46" t="str">
        <f>IFERROR(IF(AND($U$5=FALSE,$U$4=FALSE),"-",VLOOKUP($E718,'Status Thresholds'!$E:$AU,42,FALSE)),"-")</f>
        <v>-</v>
      </c>
      <c r="L718" s="46" t="str">
        <f>IFERROR(IF(AND($U$5=FALSE,$U$4=FALSE),"-",VLOOKUP($E718,'Status Thresholds'!$E:$AU,43,FALSE)),"-")</f>
        <v>-</v>
      </c>
    </row>
    <row r="719" spans="1:12" ht="15" hidden="1" customHeight="1" x14ac:dyDescent="0.25">
      <c r="A719" s="35"/>
      <c r="B719" s="64" t="str">
        <f>IF('Status Thresholds'!A714=0, "", 'Status Thresholds'!A714)</f>
        <v>Deviant</v>
      </c>
      <c r="C719" s="64" t="str">
        <f>IF('Status Thresholds'!B714=0, "", 'Status Thresholds'!B714)</f>
        <v>Soulseer Mizutsune</v>
      </c>
      <c r="D719" s="77" t="s">
        <v>207</v>
      </c>
      <c r="E719" s="36" t="str">
        <f t="shared" si="10"/>
        <v>Soulseer MizutsuneShock Trap</v>
      </c>
      <c r="F719" s="76" t="s">
        <v>214</v>
      </c>
      <c r="G719" s="46" t="s">
        <v>214</v>
      </c>
      <c r="H719" s="46" t="s">
        <v>214</v>
      </c>
      <c r="I719" s="46" t="s">
        <v>214</v>
      </c>
      <c r="J719" s="46">
        <f>IFERROR(IF(AND($U$5=FALSE,$U$4=FALSE),"-",VLOOKUP($E719,'Status Thresholds'!$E:$AU,43,FALSE)),"-")</f>
        <v>0</v>
      </c>
      <c r="K719" s="46">
        <f>IFERROR(IF(AND($U$5=FALSE,$U$4=FALSE),"-",VLOOKUP($E719,'Status Thresholds'!$E:$AU,41,FALSE)),"-")</f>
        <v>0</v>
      </c>
      <c r="L719" s="46">
        <f>IFERROR(IF(AND($U$5=FALSE,$U$4=FALSE),"-",VLOOKUP($E719,'Status Thresholds'!$E:$AU,42,FALSE)),"-")</f>
        <v>0</v>
      </c>
    </row>
    <row r="720" spans="1:12" hidden="1" x14ac:dyDescent="0.25">
      <c r="A720" s="35"/>
      <c r="B720" s="64" t="str">
        <f>IF('Status Thresholds'!A715=0, "", 'Status Thresholds'!A715)</f>
        <v>Deviant</v>
      </c>
      <c r="C720" s="64" t="str">
        <f>IF('Status Thresholds'!B715=0, "", 'Status Thresholds'!B715)</f>
        <v>Soulseer Mizutsune</v>
      </c>
      <c r="D720" s="77" t="s">
        <v>213</v>
      </c>
      <c r="E720" s="36" t="str">
        <f t="shared" si="10"/>
        <v>Soulseer MizutsunePitfall Trap</v>
      </c>
      <c r="F720" s="46" t="s">
        <v>214</v>
      </c>
      <c r="G720" s="46" t="s">
        <v>214</v>
      </c>
      <c r="H720" s="46" t="s">
        <v>214</v>
      </c>
      <c r="I720" s="46" t="s">
        <v>214</v>
      </c>
      <c r="J720" s="46">
        <f>IFERROR(IF(AND($U$5=FALSE,$U$4=FALSE),"-",VLOOKUP($E720,'Status Thresholds'!$E:$AU,43,FALSE)),"-")</f>
        <v>0</v>
      </c>
      <c r="K720" s="46">
        <f>IFERROR(IF(AND($U$5=FALSE,$U$4=FALSE),"-",VLOOKUP($E720,'Status Thresholds'!$E:$AU,41,FALSE)),"-")</f>
        <v>0</v>
      </c>
      <c r="L720" s="46">
        <f>IFERROR(IF(AND($U$5=FALSE,$U$4=FALSE),"-",VLOOKUP($E720,'Status Thresholds'!$E:$AU,42,FALSE)),"-")</f>
        <v>0</v>
      </c>
    </row>
    <row r="721" spans="1:12" s="36" customFormat="1" hidden="1" x14ac:dyDescent="0.25">
      <c r="A721" s="64"/>
      <c r="B721" s="64" t="str">
        <f>IF('Status Thresholds'!A716=0, "", 'Status Thresholds'!A716)</f>
        <v>Deviant</v>
      </c>
      <c r="C721" s="64" t="str">
        <f>IF('Status Thresholds'!B716=0, "", 'Status Thresholds'!B716)</f>
        <v>Stonefist Hermitaur</v>
      </c>
      <c r="D721" s="37" t="s">
        <v>0</v>
      </c>
      <c r="E721" s="36" t="str">
        <f t="shared" si="10"/>
        <v>Stonefist HermitaurPara</v>
      </c>
      <c r="F721" s="36" t="s">
        <v>214</v>
      </c>
      <c r="G721" s="36" t="s">
        <v>214</v>
      </c>
      <c r="H721" s="36" t="s">
        <v>214</v>
      </c>
      <c r="I721" s="36" t="s">
        <v>214</v>
      </c>
      <c r="J721" s="36">
        <f>IFERROR(IF(AND($U$5=FALSE,$U$4=FALSE),"-",VLOOKUP($E721,'Status Thresholds'!$E:$AU,41,FALSE)),"-")</f>
        <v>10</v>
      </c>
      <c r="K721" s="36" t="str">
        <f>IFERROR(IF(AND($U$5=FALSE,$U$4=FALSE),"-",VLOOKUP($E721,'Status Thresholds'!$E:$AU,42,FALSE)),"-")</f>
        <v>-</v>
      </c>
      <c r="L721" s="36" t="str">
        <f>IFERROR(IF(AND($U$5=FALSE,$U$4=FALSE),"-",VLOOKUP($E721,'Status Thresholds'!$E:$AU,43,FALSE)),"-")</f>
        <v>-</v>
      </c>
    </row>
    <row r="722" spans="1:12" hidden="1" x14ac:dyDescent="0.25">
      <c r="A722" s="35"/>
      <c r="B722" s="64" t="str">
        <f>IF('Status Thresholds'!A717=0, "", 'Status Thresholds'!A717)</f>
        <v>Deviant</v>
      </c>
      <c r="C722" s="64" t="str">
        <f>IF('Status Thresholds'!B717=0, "", 'Status Thresholds'!B717)</f>
        <v>Stonefist Hermitaur</v>
      </c>
      <c r="D722" s="31" t="s">
        <v>32</v>
      </c>
      <c r="E722" s="36" t="str">
        <f t="shared" si="10"/>
        <v>Stonefist HermitaurSleep</v>
      </c>
      <c r="F722" s="36" t="s">
        <v>214</v>
      </c>
      <c r="G722" s="36" t="s">
        <v>214</v>
      </c>
      <c r="H722" s="36" t="s">
        <v>214</v>
      </c>
      <c r="I722" s="36" t="s">
        <v>214</v>
      </c>
      <c r="J722" s="46">
        <f>IFERROR(IF(AND($U$5=FALSE,$U$4=FALSE),"-",VLOOKUP($E722,'Status Thresholds'!$E:$AU,41,FALSE)),"-")</f>
        <v>30</v>
      </c>
      <c r="K722" s="46" t="str">
        <f>IFERROR(IF(AND($U$5=FALSE,$U$4=FALSE),"-",VLOOKUP($E722,'Status Thresholds'!$E:$AU,42,FALSE)),"-")</f>
        <v>-</v>
      </c>
      <c r="L722" s="46" t="str">
        <f>IFERROR(IF(AND($U$5=FALSE,$U$4=FALSE),"-",VLOOKUP($E722,'Status Thresholds'!$E:$AU,43,FALSE)),"-")</f>
        <v>-</v>
      </c>
    </row>
    <row r="723" spans="1:12" hidden="1" x14ac:dyDescent="0.25">
      <c r="A723" s="35"/>
      <c r="B723" s="64" t="str">
        <f>IF('Status Thresholds'!A718=0, "", 'Status Thresholds'!A718)</f>
        <v>Deviant</v>
      </c>
      <c r="C723" s="64" t="str">
        <f>IF('Status Thresholds'!B718=0, "", 'Status Thresholds'!B718)</f>
        <v>Stonefist Hermitaur</v>
      </c>
      <c r="D723" s="32" t="s">
        <v>33</v>
      </c>
      <c r="E723" s="36" t="str">
        <f t="shared" si="10"/>
        <v>Stonefist HermitaurPoison</v>
      </c>
      <c r="F723" s="36" t="s">
        <v>214</v>
      </c>
      <c r="G723" s="36" t="s">
        <v>214</v>
      </c>
      <c r="H723" s="36" t="s">
        <v>214</v>
      </c>
      <c r="I723" s="36" t="s">
        <v>214</v>
      </c>
      <c r="J723" s="46">
        <f>IFERROR(IF(AND($U$5=FALSE,$U$4=FALSE),"-",VLOOKUP($E723,'Status Thresholds'!$E:$AU,41,FALSE)),"-")</f>
        <v>60</v>
      </c>
      <c r="K723" s="46" t="str">
        <f>IFERROR(IF(AND($U$5=FALSE,$U$4=FALSE),"-",VLOOKUP($E723,'Status Thresholds'!$E:$AU,42,FALSE)),"-")</f>
        <v>-</v>
      </c>
      <c r="L723" s="46" t="str">
        <f>IFERROR(IF(AND($U$5=FALSE,$U$4=FALSE),"-",VLOOKUP($E723,'Status Thresholds'!$E:$AU,43,FALSE)),"-")</f>
        <v>-</v>
      </c>
    </row>
    <row r="724" spans="1:12" hidden="1" x14ac:dyDescent="0.25">
      <c r="A724" s="35"/>
      <c r="B724" s="64" t="str">
        <f>IF('Status Thresholds'!A719=0, "", 'Status Thresholds'!A719)</f>
        <v>Deviant</v>
      </c>
      <c r="C724" s="64" t="str">
        <f>IF('Status Thresholds'!B719=0, "", 'Status Thresholds'!B719)</f>
        <v>Stonefist Hermitaur</v>
      </c>
      <c r="D724" s="10" t="s">
        <v>22</v>
      </c>
      <c r="E724" s="36" t="str">
        <f t="shared" si="10"/>
        <v>Stonefist HermitaurExhaust</v>
      </c>
      <c r="F724" s="36" t="s">
        <v>214</v>
      </c>
      <c r="G724" s="36" t="s">
        <v>214</v>
      </c>
      <c r="H724" s="36" t="s">
        <v>214</v>
      </c>
      <c r="I724" s="36" t="s">
        <v>214</v>
      </c>
      <c r="J724" s="46">
        <f>IFERROR(IF(AND($U$5=FALSE,$U$4=FALSE),"-",VLOOKUP($E724,'Status Thresholds'!$E:$AU,41,FALSE)),"-")</f>
        <v>0</v>
      </c>
      <c r="K724" s="46" t="str">
        <f>IFERROR(IF(AND($U$5=FALSE,$U$4=FALSE),"-",VLOOKUP($E724,'Status Thresholds'!$E:$AU,42,FALSE)),"-")</f>
        <v>-</v>
      </c>
      <c r="L724" s="46" t="str">
        <f>IFERROR(IF(AND($U$5=FALSE,$U$4=FALSE),"-",VLOOKUP($E724,'Status Thresholds'!$E:$AU,43,FALSE)),"-")</f>
        <v>-</v>
      </c>
    </row>
    <row r="725" spans="1:12" hidden="1" x14ac:dyDescent="0.25">
      <c r="A725" s="35"/>
      <c r="B725" s="64" t="str">
        <f>IF('Status Thresholds'!A720=0, "", 'Status Thresholds'!A720)</f>
        <v>Deviant</v>
      </c>
      <c r="C725" s="64" t="str">
        <f>IF('Status Thresholds'!B720=0, "", 'Status Thresholds'!B720)</f>
        <v>Stonefist Hermitaur</v>
      </c>
      <c r="D725" s="30" t="s">
        <v>35</v>
      </c>
      <c r="E725" s="36" t="str">
        <f t="shared" si="10"/>
        <v>Stonefist HermitaurBlast</v>
      </c>
      <c r="F725" s="36" t="s">
        <v>214</v>
      </c>
      <c r="G725" s="36" t="s">
        <v>214</v>
      </c>
      <c r="H725" s="36" t="s">
        <v>214</v>
      </c>
      <c r="I725" s="36" t="s">
        <v>214</v>
      </c>
      <c r="J725" s="46">
        <f>IFERROR(IF(AND($U$5=FALSE,$U$4=FALSE),"-",VLOOKUP($E725,'Status Thresholds'!$E:$AU,41,FALSE)),"-")</f>
        <v>0</v>
      </c>
      <c r="K725" s="46" t="str">
        <f>IFERROR(IF(AND($U$5=FALSE,$U$4=FALSE),"-",VLOOKUP($E725,'Status Thresholds'!$E:$AU,42,FALSE)),"-")</f>
        <v>-</v>
      </c>
      <c r="L725" s="46" t="str">
        <f>IFERROR(IF(AND($U$5=FALSE,$U$4=FALSE),"-",VLOOKUP($E725,'Status Thresholds'!$E:$AU,43,FALSE)),"-")</f>
        <v>-</v>
      </c>
    </row>
    <row r="726" spans="1:12" ht="14.45" hidden="1" customHeight="1" x14ac:dyDescent="0.25">
      <c r="A726" s="35"/>
      <c r="B726" s="64" t="str">
        <f>IF('Status Thresholds'!A721=0, "", 'Status Thresholds'!A721)</f>
        <v>Deviant</v>
      </c>
      <c r="C726" s="64" t="str">
        <f>IF('Status Thresholds'!B721=0, "", 'Status Thresholds'!B721)</f>
        <v>Stonefist Hermitaur</v>
      </c>
      <c r="D726" s="34" t="s">
        <v>14</v>
      </c>
      <c r="E726" s="36" t="str">
        <f t="shared" si="10"/>
        <v>Stonefist HermitaurKO</v>
      </c>
      <c r="F726" s="36" t="s">
        <v>214</v>
      </c>
      <c r="G726" s="36" t="s">
        <v>214</v>
      </c>
      <c r="H726" s="36" t="s">
        <v>214</v>
      </c>
      <c r="I726" s="36" t="s">
        <v>214</v>
      </c>
      <c r="J726" s="46">
        <f>IFERROR(IF(AND($U$5=FALSE,$U$4=FALSE),"-",VLOOKUP($E726,'Status Thresholds'!$E:$AU,41,FALSE)),"-")</f>
        <v>10</v>
      </c>
      <c r="K726" s="46" t="str">
        <f>IFERROR(IF(AND($U$5=FALSE,$U$4=FALSE),"-",VLOOKUP($E726,'Status Thresholds'!$E:$AU,42,FALSE)),"-")</f>
        <v>-</v>
      </c>
      <c r="L726" s="46" t="str">
        <f>IFERROR(IF(AND($U$5=FALSE,$U$4=FALSE),"-",VLOOKUP($E726,'Status Thresholds'!$E:$AU,43,FALSE)),"-")</f>
        <v>-</v>
      </c>
    </row>
    <row r="727" spans="1:12" hidden="1" x14ac:dyDescent="0.25">
      <c r="A727" s="35"/>
      <c r="B727" s="64" t="str">
        <f>IF('Status Thresholds'!A722=0, "", 'Status Thresholds'!A722)</f>
        <v>Deviant</v>
      </c>
      <c r="C727" s="64" t="str">
        <f>IF('Status Thresholds'!B722=0, "", 'Status Thresholds'!B722)</f>
        <v>Stonefist Hermitaur</v>
      </c>
      <c r="D727" s="33" t="s">
        <v>34</v>
      </c>
      <c r="E727" s="36" t="str">
        <f t="shared" si="10"/>
        <v>Stonefist HermitaurMount</v>
      </c>
      <c r="F727" s="36">
        <v>4</v>
      </c>
      <c r="G727" s="36">
        <v>0</v>
      </c>
      <c r="H727" s="36">
        <v>0</v>
      </c>
      <c r="I727" s="36">
        <v>0</v>
      </c>
      <c r="J727" s="46">
        <f>IFERROR(IF(AND($U$5=FALSE,$U$4=FALSE),"-",VLOOKUP($E727,'Status Thresholds'!$E:$AU,41,FALSE)),"-")</f>
        <v>0</v>
      </c>
      <c r="K727" s="46" t="str">
        <f>IFERROR(IF(AND($U$5=FALSE,$U$4=FALSE),"-",VLOOKUP($E727,'Status Thresholds'!$E:$AU,42,FALSE)),"-")</f>
        <v>-</v>
      </c>
      <c r="L727" s="46" t="str">
        <f>IFERROR(IF(AND($U$5=FALSE,$U$4=FALSE),"-",VLOOKUP($E727,'Status Thresholds'!$E:$AU,43,FALSE)),"-")</f>
        <v>-</v>
      </c>
    </row>
    <row r="728" spans="1:12" ht="15" hidden="1" customHeight="1" x14ac:dyDescent="0.25">
      <c r="A728" s="35"/>
      <c r="B728" s="64" t="str">
        <f>IF('Status Thresholds'!A723=0, "", 'Status Thresholds'!A723)</f>
        <v>Deviant</v>
      </c>
      <c r="C728" s="64" t="str">
        <f>IF('Status Thresholds'!B723=0, "", 'Status Thresholds'!B723)</f>
        <v>Stonefist Hermitaur</v>
      </c>
      <c r="D728" s="77" t="s">
        <v>207</v>
      </c>
      <c r="E728" s="36" t="str">
        <f t="shared" si="10"/>
        <v>Stonefist HermitaurShock Trap</v>
      </c>
      <c r="F728" s="76" t="s">
        <v>214</v>
      </c>
      <c r="G728" s="46" t="s">
        <v>214</v>
      </c>
      <c r="H728" s="46" t="s">
        <v>214</v>
      </c>
      <c r="I728" s="46" t="s">
        <v>214</v>
      </c>
      <c r="J728" s="46">
        <f>IFERROR(IF(AND($U$5=FALSE,$U$4=FALSE),"-",VLOOKUP($E728,'Status Thresholds'!$E:$AU,43,FALSE)),"-")</f>
        <v>12</v>
      </c>
      <c r="K728" s="46">
        <f>IFERROR(IF(AND($U$5=FALSE,$U$4=FALSE),"-",VLOOKUP($E728,'Status Thresholds'!$E:$AU,41,FALSE)),"-")</f>
        <v>10</v>
      </c>
      <c r="L728" s="46">
        <f>IFERROR(IF(AND($U$5=FALSE,$U$4=FALSE),"-",VLOOKUP($E728,'Status Thresholds'!$E:$AU,42,FALSE)),"-")</f>
        <v>15</v>
      </c>
    </row>
    <row r="729" spans="1:12" hidden="1" x14ac:dyDescent="0.25">
      <c r="A729" s="35"/>
      <c r="B729" s="64" t="str">
        <f>IF('Status Thresholds'!A724=0, "", 'Status Thresholds'!A724)</f>
        <v>Deviant</v>
      </c>
      <c r="C729" s="64" t="str">
        <f>IF('Status Thresholds'!B724=0, "", 'Status Thresholds'!B724)</f>
        <v>Stonefist Hermitaur</v>
      </c>
      <c r="D729" s="77" t="s">
        <v>213</v>
      </c>
      <c r="E729" s="36" t="str">
        <f t="shared" si="10"/>
        <v>Stonefist HermitaurPitfall Trap</v>
      </c>
      <c r="F729" s="46" t="s">
        <v>214</v>
      </c>
      <c r="G729" s="46" t="s">
        <v>214</v>
      </c>
      <c r="H729" s="46" t="s">
        <v>214</v>
      </c>
      <c r="I729" s="46" t="s">
        <v>214</v>
      </c>
      <c r="J729" s="46">
        <f>IFERROR(IF(AND($U$5=FALSE,$U$4=FALSE),"-",VLOOKUP($E729,'Status Thresholds'!$E:$AU,43,FALSE)),"-")</f>
        <v>12</v>
      </c>
      <c r="K729" s="46">
        <f>IFERROR(IF(AND($U$5=FALSE,$U$4=FALSE),"-",VLOOKUP($E729,'Status Thresholds'!$E:$AU,41,FALSE)),"-")</f>
        <v>2</v>
      </c>
      <c r="L729" s="46">
        <f>IFERROR(IF(AND($U$5=FALSE,$U$4=FALSE),"-",VLOOKUP($E729,'Status Thresholds'!$E:$AU,42,FALSE)),"-")</f>
        <v>25</v>
      </c>
    </row>
    <row r="730" spans="1:12" s="36" customFormat="1" x14ac:dyDescent="0.25">
      <c r="A730" s="64"/>
      <c r="B730" s="64" t="str">
        <f>VLOOKUP(C730,'Status Thresholds'!B:C,2,FALSE)</f>
        <v>MHGen</v>
      </c>
      <c r="C730" s="64" t="str">
        <f>IF('Status Thresholds'!B725=0, "", 'Status Thresholds'!B725)</f>
        <v>Teostra</v>
      </c>
      <c r="D730" s="37" t="s">
        <v>0</v>
      </c>
      <c r="E730" s="36" t="str">
        <f t="shared" si="10"/>
        <v>TeostraPara</v>
      </c>
      <c r="F730" s="36" t="str">
        <f>IFERROR(
ROUNDUP(
IF(AND($U$5=FALSE,$U$4=FALSE),"-",IF(AND($U$5=TRUE,$U$4=TRUE),"-",
IF((AND($U$4=TRUE,$U$5=FALSE,$U$6=FALSE,$U$7=FALSE)),VLOOKUP($E730,'Status Thresholds'!$E:$AR,2,FALSE),IF((AND($U$4=TRUE,$U$5=FALSE,$U$6=TRUE,$U$7=FALSE)),VLOOKUP($E730,'Status Thresholds'!$E:$AR,12,FALSE),IF((AND($U$4=TRUE,$U$5=FALSE,$U$6=TRUE,$U$7=TRUE)),VLOOKUP($E730,'Status Thresholds'!$E:$AR,17,FALSE),IF((AND($U$4=TRUE,$U$5=FALSE,$U$6=FALSE,$U$7=TRUE)),VLOOKUP($E730,'Status Thresholds'!$E:$AR,7,FALSE),
IF((AND($U$4=FALSE,$U$5=TRUE,$U$6=FALSE,$U$7=FALSE)),VLOOKUP($E730,'Status Thresholds'!$E:$AR,22,FALSE),IF((AND($U$4=FALSE,$U$5=TRUE,$U$6=TRUE,$U$7=FALSE)),VLOOKUP($E730,'Status Thresholds'!$E:$AR,32,FALSE),IF((AND($U$4=FALSE,$U$5=TRUE,$U$6=TRUE,$U$7=TRUE)),VLOOKUP($E730,'Status Thresholds'!$E:$AR,37,FALSE),IF((AND($U$4=FALSE,$U$5=TRUE,$U$6=FALSE,$U$7=TRUE)),VLOOKUP($E730,'Status Thresholds'!$E:$AR,27,FALSE)))))))))
))/
IF(OR($X$5=TRUE,$AC$3=TRUE
),($F$3/2), IF(OR($X$2,$X$3,$X$4,$X$6,$X$7,$X$8,$Z$2,$Z$3,$Z$4,$Z$5,$Z$6,$Z$7,$Z$8)=TRUE,$F$3)),0),"-")</f>
        <v>-</v>
      </c>
      <c r="G730" s="36" t="str">
        <f>IFERROR(
ROUNDUP(
IF(AND($U$5=FALSE,$U$4=FALSE),"-",IF(AND($U$5=TRUE,$U$4=TRUE),"-",
IF((AND($U$4=TRUE,$U$5=FALSE,$U$6=FALSE,$U$7=FALSE)),VLOOKUP($E730,'Status Thresholds'!$E:$AR,3,FALSE),IF((AND($U$4=TRUE,$U$5=FALSE,$U$6=TRUE,$U$7=FALSE)),VLOOKUP($E730,'Status Thresholds'!$E:$AR,13,FALSE),IF((AND($U$4=TRUE,$U$5=FALSE,$U$6=TRUE,$U$7=TRUE)),VLOOKUP($E730,'Status Thresholds'!$E:$AR,18,FALSE),IF((AND($U$4=TRUE,$U$5=FALSE,$U$6=FALSE,$U$7=TRUE)),VLOOKUP($E730,'Status Thresholds'!$E:$AR,8,FALSE),
IF((AND($U$4=FALSE,$U$5=TRUE,$U$6=FALSE,$U$7=FALSE)),VLOOKUP($E730,'Status Thresholds'!$E:$AR,23,FALSE),IF((AND($U$4=FALSE,$U$5=TRUE,$U$6=TRUE,$U$7=FALSE)),VLOOKUP($E730,'Status Thresholds'!$E:$AR,33,FALSE),IF((AND($U$4=FALSE,$U$5=TRUE,$U$6=TRUE,$U$7=TRUE)),VLOOKUP($E730,'Status Thresholds'!$E:$AR,38,FALSE),IF((AND($U$4=FALSE,$U$5=TRUE,$U$6=FALSE,$U$7=TRUE)),VLOOKUP($E730,'Status Thresholds'!$E:$AR,28,FALSE)))))))))
))/
IF(OR($X$5=TRUE,$AC$3=TRUE
),($F$3/2), IF(OR($X$2,$X$3,$X$4,$X$6,$X$7,$X$8,$Z$2,$Z$3,$Z$4,$Z$5,$Z$6,$Z$7,$Z$8)=TRUE,$F$3)),0),"-")</f>
        <v>-</v>
      </c>
      <c r="H730" s="36" t="str">
        <f>IFERROR(
ROUNDUP(
IF(AND($U$5=FALSE,$U$4=FALSE),"-",IF(AND($U$5=TRUE,$U$4=TRUE),"-",
IF((AND($U$4=TRUE,$U$5=FALSE,$U$6=FALSE,$U$7=FALSE)),VLOOKUP($E730,'Status Thresholds'!$E:$AR,4,FALSE),IF((AND($U$4=TRUE,$U$5=FALSE,$U$6=TRUE,$U$7=FALSE)),VLOOKUP($E730,'Status Thresholds'!$E:$AR,14,FALSE),IF((AND($U$4=TRUE,$U$5=FALSE,$U$6=TRUE,$U$7=TRUE)),VLOOKUP($E730,'Status Thresholds'!$E:$AR,19,FALSE),IF((AND($U$4=TRUE,$U$5=FALSE,$U$6=FALSE,$U$7=TRUE)),VLOOKUP($E730,'Status Thresholds'!$E:$AR,9,FALSE),
IF((AND($U$4=FALSE,$U$5=TRUE,$U$6=FALSE,$U$7=FALSE)),VLOOKUP($E730,'Status Thresholds'!$E:$AR,24,FALSE),IF((AND($U$4=FALSE,$U$5=TRUE,$U$6=TRUE,$U$7=FALSE)),VLOOKUP($E730,'Status Thresholds'!$E:$AR,34,FALSE),IF((AND($U$4=FALSE,$U$5=TRUE,$U$6=TRUE,$U$7=TRUE)),VLOOKUP($E730,'Status Thresholds'!$E:$AR,39,FALSE),IF((AND($U$4=FALSE,$U$5=TRUE,$U$6=FALSE,$U$7=TRUE)),VLOOKUP($E730,'Status Thresholds'!$E:$AR,29,FALSE)))))))))
))/
IF(OR($X$5=TRUE,$AC$3=TRUE
),($F$3/2), IF(OR($X$2,$X$3,$X$4,$X$6,$X$7,$X$8,$Z$2,$Z$3,$Z$4,$Z$5,$Z$6,$Z$7,$Z$8)=TRUE,$F$3)),0),"-")</f>
        <v>-</v>
      </c>
      <c r="I730" s="36" t="str">
        <f>IFERROR(
ROUNDUP(
IF(AND($U$5=FALSE,$U$4=FALSE),"-",IF(AND($U$5=TRUE,$U$4=TRUE),"-",
IF((AND($U$4=TRUE,$U$5=FALSE,$U$6=FALSE,$U$7=FALSE)),VLOOKUP($E730,'Status Thresholds'!$E:$AR,5,FALSE),IF((AND($U$4=TRUE,$U$5=FALSE,$U$6=TRUE,$U$7=FALSE)),VLOOKUP($E730,'Status Thresholds'!$E:$AR,15,FALSE),IF((AND($U$4=TRUE,$U$5=FALSE,$U$6=TRUE,$U$7=TRUE)),VLOOKUP($E730,'Status Thresholds'!$E:$AR,20,FALSE),IF((AND($U$4=TRUE,$U$5=FALSE,$U$6=FALSE,$U$7=TRUE)),VLOOKUP($E730,'Status Thresholds'!$E:$AR,10,FALSE),
IF((AND($U$4=FALSE,$U$5=TRUE,$U$6=FALSE,$U$7=FALSE)),VLOOKUP($E730,'Status Thresholds'!$E:$AR,25,FALSE),IF((AND($U$4=FALSE,$U$5=TRUE,$U$6=TRUE,$U$7=FALSE)),VLOOKUP($E730,'Status Thresholds'!$E:$AR,35,FALSE),IF((AND($U$4=FALSE,$U$5=TRUE,$U$6=TRUE,$U$7=TRUE)),VLOOKUP($E730,'Status Thresholds'!$E:$AR,40,FALSE),IF((AND($U$4=FALSE,$U$5=TRUE,$U$6=FALSE,$U$7=TRUE)),VLOOKUP($E730,'Status Thresholds'!$E:$AR,30,FALSE)))))))))
))/
IF(OR($X$5=TRUE,$AC$3=TRUE
),($F$3/2), IF(OR($X$2,$X$3,$X$4,$X$6,$X$7,$X$8,$Z$2,$Z$3,$Z$4,$Z$5,$Z$6,$Z$7,$Z$8)=TRUE,$F$3)),0),"-")</f>
        <v>-</v>
      </c>
      <c r="J730" s="36">
        <f>IFERROR(IF(AND($U$5=FALSE,$U$4=FALSE),"-",VLOOKUP($E730,'Status Thresholds'!$E:$AU,41,FALSE)),"-")</f>
        <v>10</v>
      </c>
      <c r="K730" s="36" t="str">
        <f>IFERROR(IF(AND($U$5=FALSE,$U$4=FALSE),"-",VLOOKUP($E730,'Status Thresholds'!$E:$AU,42,FALSE)),"-")</f>
        <v>-</v>
      </c>
      <c r="L730" s="36" t="str">
        <f>IFERROR(IF(AND($U$5=FALSE,$U$4=FALSE),"-",VLOOKUP($E730,'Status Thresholds'!$E:$AU,43,FALSE)),"-")</f>
        <v>-</v>
      </c>
    </row>
    <row r="731" spans="1:12" x14ac:dyDescent="0.25">
      <c r="A731" s="35"/>
      <c r="B731" s="64" t="str">
        <f>VLOOKUP(C731,'Status Thresholds'!B:C,2,FALSE)</f>
        <v>MHGen</v>
      </c>
      <c r="C731" s="64" t="str">
        <f>IF('Status Thresholds'!B726=0, "", 'Status Thresholds'!B726)</f>
        <v>Teostra</v>
      </c>
      <c r="D731" s="31" t="s">
        <v>32</v>
      </c>
      <c r="E731" s="36" t="str">
        <f t="shared" si="10"/>
        <v>TeostraSleep</v>
      </c>
      <c r="F731" s="36" t="str">
        <f>IFERROR(
ROUNDUP(
IF(AND($U$5=FALSE,$U$4=FALSE),"-",IF(AND($U$5=TRUE,$U$4=TRUE),"-",
IF((AND($U$4=TRUE,$U$5=FALSE,$U$6=FALSE,$U$7=FALSE)),VLOOKUP($E731,'Status Thresholds'!$E:$AR,2,FALSE),IF((AND($U$4=TRUE,$U$5=FALSE,$U$6=TRUE,$U$7=FALSE)),VLOOKUP($E731,'Status Thresholds'!$E:$AR,12,FALSE),IF((AND($U$4=TRUE,$U$5=FALSE,$U$6=TRUE,$U$7=TRUE)),VLOOKUP($E731,'Status Thresholds'!$E:$AR,17,FALSE),IF((AND($U$4=TRUE,$U$5=FALSE,$U$6=FALSE,$U$7=TRUE)),VLOOKUP($E731,'Status Thresholds'!$E:$AR,7,FALSE),
IF((AND($U$4=FALSE,$U$5=TRUE,$U$6=FALSE,$U$7=FALSE)),VLOOKUP($E731,'Status Thresholds'!$E:$AR,22,FALSE),IF((AND($U$4=FALSE,$U$5=TRUE,$U$6=TRUE,$U$7=FALSE)),VLOOKUP($E731,'Status Thresholds'!$E:$AR,32,FALSE),IF((AND($U$4=FALSE,$U$5=TRUE,$U$6=TRUE,$U$7=TRUE)),VLOOKUP($E731,'Status Thresholds'!$E:$AR,37,FALSE),IF((AND($U$4=FALSE,$U$5=TRUE,$U$6=FALSE,$U$7=TRUE)),VLOOKUP($E731,'Status Thresholds'!$E:$AR,27,FALSE)))))))))
))/
IF(OR($X$5=TRUE,$AC$3=TRUE
),($F$4/2), IF(OR($X$2,$X$3,$X$4,$X$6,$X$7,$X$8,$Z$2,$Z$3,$Z$4,$Z$5,$Z$6,$Z$7,$Z$8)=TRUE,$F$4)),0),"-")</f>
        <v>-</v>
      </c>
      <c r="G731" s="36" t="str">
        <f>IFERROR(
ROUNDUP(
IF(AND($U$5=FALSE,$U$4=FALSE),"-",IF(AND($U$5=TRUE,$U$4=TRUE),"-",
IF((AND($U$4=TRUE,$U$5=FALSE,$U$6=FALSE,$U$7=FALSE)),VLOOKUP($E731,'Status Thresholds'!$E:$AR,3,FALSE),IF((AND($U$4=TRUE,$U$5=FALSE,$U$6=TRUE,$U$7=FALSE)),VLOOKUP($E731,'Status Thresholds'!$E:$AR,13,FALSE),IF((AND($U$4=TRUE,$U$5=FALSE,$U$6=TRUE,$U$7=TRUE)),VLOOKUP($E731,'Status Thresholds'!$E:$AR,18,FALSE),IF((AND($U$4=TRUE,$U$5=FALSE,$U$6=FALSE,$U$7=TRUE)),VLOOKUP($E731,'Status Thresholds'!$E:$AR,8,FALSE),
IF((AND($U$4=FALSE,$U$5=TRUE,$U$6=FALSE,$U$7=FALSE)),VLOOKUP($E731,'Status Thresholds'!$E:$AR,23,FALSE),IF((AND($U$4=FALSE,$U$5=TRUE,$U$6=TRUE,$U$7=FALSE)),VLOOKUP($E731,'Status Thresholds'!$E:$AR,33,FALSE),IF((AND($U$4=FALSE,$U$5=TRUE,$U$6=TRUE,$U$7=TRUE)),VLOOKUP($E731,'Status Thresholds'!$E:$AR,38,FALSE),IF((AND($U$4=FALSE,$U$5=TRUE,$U$6=FALSE,$U$7=TRUE)),VLOOKUP($E731,'Status Thresholds'!$E:$AR,28,FALSE)))))))))
))/
IF(OR($X$5=TRUE,$AC$3=TRUE
),($F$4/2), IF(OR($X$2,$X$3,$X$4,$X$6,$X$7,$X$8,$Z$2,$Z$3,$Z$4,$Z$5,$Z$6,$Z$7,$Z$8)=TRUE,$F$4)),0),"-")</f>
        <v>-</v>
      </c>
      <c r="H731" s="36" t="str">
        <f>IFERROR(
ROUNDUP(
IF(AND($U$5=FALSE,$U$4=FALSE),"-",IF(AND($U$5=TRUE,$U$4=TRUE),"-",
IF((AND($U$4=TRUE,$U$5=FALSE,$U$6=FALSE,$U$7=FALSE)),VLOOKUP($E731,'Status Thresholds'!$E:$AR,4,FALSE),IF((AND($U$4=TRUE,$U$5=FALSE,$U$6=TRUE,$U$7=FALSE)),VLOOKUP($E731,'Status Thresholds'!$E:$AR,14,FALSE),IF((AND($U$4=TRUE,$U$5=FALSE,$U$6=TRUE,$U$7=TRUE)),VLOOKUP($E731,'Status Thresholds'!$E:$AR,19,FALSE),IF((AND($U$4=TRUE,$U$5=FALSE,$U$6=FALSE,$U$7=TRUE)),VLOOKUP($E731,'Status Thresholds'!$E:$AR,9,FALSE),
IF((AND($U$4=FALSE,$U$5=TRUE,$U$6=FALSE,$U$7=FALSE)),VLOOKUP($E731,'Status Thresholds'!$E:$AR,24,FALSE),IF((AND($U$4=FALSE,$U$5=TRUE,$U$6=TRUE,$U$7=FALSE)),VLOOKUP($E731,'Status Thresholds'!$E:$AR,34,FALSE),IF((AND($U$4=FALSE,$U$5=TRUE,$U$6=TRUE,$U$7=TRUE)),VLOOKUP($E731,'Status Thresholds'!$E:$AR,39,FALSE),IF((AND($U$4=FALSE,$U$5=TRUE,$U$6=FALSE,$U$7=TRUE)),VLOOKUP($E731,'Status Thresholds'!$E:$AR,29,FALSE)))))))))
))/
IF(OR($X$5=TRUE,$AC$3=TRUE
),($F$4/2), IF(OR($X$2,$X$3,$X$4,$X$6,$X$7,$X$8,$Z$2,$Z$3,$Z$4,$Z$5,$Z$6,$Z$7,$Z$8)=TRUE,$F$4)),0),"-")</f>
        <v>-</v>
      </c>
      <c r="I731" s="36" t="str">
        <f>IFERROR(
ROUNDUP(
IF(AND($U$5=FALSE,$U$4=FALSE),"-",IF(AND($U$5=TRUE,$U$4=TRUE),"-",
IF((AND($U$4=TRUE,$U$5=FALSE,$U$6=FALSE,$U$7=FALSE)),VLOOKUP($E731,'Status Thresholds'!$E:$AR,5,FALSE),IF((AND($U$4=TRUE,$U$5=FALSE,$U$6=TRUE,$U$7=FALSE)),VLOOKUP($E731,'Status Thresholds'!$E:$AR,15,FALSE),IF((AND($U$4=TRUE,$U$5=FALSE,$U$6=TRUE,$U$7=TRUE)),VLOOKUP($E731,'Status Thresholds'!$E:$AR,20,FALSE),IF((AND($U$4=TRUE,$U$5=FALSE,$U$6=FALSE,$U$7=TRUE)),VLOOKUP($E731,'Status Thresholds'!$E:$AR,10,FALSE),
IF((AND($U$4=FALSE,$U$5=TRUE,$U$6=FALSE,$U$7=FALSE)),VLOOKUP($E731,'Status Thresholds'!$E:$AR,25,FALSE),IF((AND($U$4=FALSE,$U$5=TRUE,$U$6=TRUE,$U$7=FALSE)),VLOOKUP($E731,'Status Thresholds'!$E:$AR,35,FALSE),IF((AND($U$4=FALSE,$U$5=TRUE,$U$6=TRUE,$U$7=TRUE)),VLOOKUP($E731,'Status Thresholds'!$E:$AR,40,FALSE),IF((AND($U$4=FALSE,$U$5=TRUE,$U$6=FALSE,$U$7=TRUE)),VLOOKUP($E731,'Status Thresholds'!$E:$AR,30,FALSE)))))))))
))/
IF(OR($X$5=TRUE,$AC$3=TRUE
),($F$4/2), IF(OR($X$2,$X$3,$X$4,$X$6,$X$7,$X$8,$Z$2,$Z$3,$Z$4,$Z$5,$Z$6,$Z$7,$Z$8)=TRUE,$F$4)),0),"-")</f>
        <v>-</v>
      </c>
      <c r="J731" s="46">
        <f>IFERROR(IF(AND($U$5=FALSE,$U$4=FALSE),"-",VLOOKUP($E731,'Status Thresholds'!$E:$AU,41,FALSE)),"-")</f>
        <v>40</v>
      </c>
      <c r="K731" s="46" t="str">
        <f>IFERROR(IF(AND($U$5=FALSE,$U$4=FALSE),"-",VLOOKUP($E731,'Status Thresholds'!$E:$AU,42,FALSE)),"-")</f>
        <v>-</v>
      </c>
      <c r="L731" s="46" t="str">
        <f>IFERROR(IF(AND($U$5=FALSE,$U$4=FALSE),"-",VLOOKUP($E731,'Status Thresholds'!$E:$AU,43,FALSE)),"-")</f>
        <v>-</v>
      </c>
    </row>
    <row r="732" spans="1:12" x14ac:dyDescent="0.25">
      <c r="A732" s="35"/>
      <c r="B732" s="64" t="str">
        <f>VLOOKUP(C732,'Status Thresholds'!B:C,2,FALSE)</f>
        <v>MHGen</v>
      </c>
      <c r="C732" s="64" t="str">
        <f>IF('Status Thresholds'!B727=0, "", 'Status Thresholds'!B727)</f>
        <v>Teostra</v>
      </c>
      <c r="D732" s="32" t="s">
        <v>33</v>
      </c>
      <c r="E732" s="36" t="str">
        <f t="shared" ref="E732:E795" si="11">$C732&amp;$D732</f>
        <v>TeostraPoison</v>
      </c>
      <c r="F732" s="36" t="str">
        <f>IFERROR(
ROUNDUP(
IF(AND($U$5=FALSE,$U$4=FALSE),"-",IF(AND($U$5=TRUE,$U$4=TRUE),"-",
IF((AND($U$4=TRUE,$U$5=FALSE,$U$6=FALSE,$U$7=FALSE)),VLOOKUP($E732,'Status Thresholds'!$E:$AR,2,FALSE),IF((AND($U$4=TRUE,$U$5=FALSE,$U$6=TRUE,$U$7=FALSE)),VLOOKUP($E732,'Status Thresholds'!$E:$AR,12,FALSE),IF((AND($U$4=TRUE,$U$5=FALSE,$U$6=TRUE,$U$7=TRUE)),VLOOKUP($E732,'Status Thresholds'!$E:$AR,17,FALSE),IF((AND($U$4=TRUE,$U$5=FALSE,$U$6=FALSE,$U$7=TRUE)),VLOOKUP($E732,'Status Thresholds'!$E:$AR,7,FALSE),
IF((AND($U$4=FALSE,$U$5=TRUE,$U$6=FALSE,$U$7=FALSE)),VLOOKUP($E732,'Status Thresholds'!$E:$AR,22,FALSE),IF((AND($U$4=FALSE,$U$5=TRUE,$U$6=TRUE,$U$7=FALSE)),VLOOKUP($E732,'Status Thresholds'!$E:$AR,32,FALSE),IF((AND($U$4=FALSE,$U$5=TRUE,$U$6=TRUE,$U$7=TRUE)),VLOOKUP($E732,'Status Thresholds'!$E:$AR,37,FALSE),IF((AND($U$4=FALSE,$U$5=TRUE,$U$6=FALSE,$U$7=TRUE)),VLOOKUP($E732,'Status Thresholds'!$E:$AR,27,FALSE)))))))))
))/
IF(OR($X$5=TRUE,$AC$3=TRUE
),($F$5/2), IF(OR($X$2,$X$3,$X$4,$X$6,$X$7,$X$8,$Z$2,$Z$3,$Z$4,$Z$5,$Z$6,$Z$7,$Z$8)=TRUE,$F$5)),0),"-")</f>
        <v>-</v>
      </c>
      <c r="G732" s="36" t="str">
        <f>IFERROR(
ROUNDUP(
IF(AND($U$5=FALSE,$U$4=FALSE),"-",IF(AND($U$5=TRUE,$U$4=TRUE),"-",
IF((AND($U$4=TRUE,$U$5=FALSE,$U$6=FALSE,$U$7=FALSE)),VLOOKUP($E732,'Status Thresholds'!$E:$AR,3,FALSE),IF((AND($U$4=TRUE,$U$5=FALSE,$U$6=TRUE,$U$7=FALSE)),VLOOKUP($E732,'Status Thresholds'!$E:$AR,13,FALSE),IF((AND($U$4=TRUE,$U$5=FALSE,$U$6=TRUE,$U$7=TRUE)),VLOOKUP($E732,'Status Thresholds'!$E:$AR,18,FALSE),IF((AND($U$4=TRUE,$U$5=FALSE,$U$6=FALSE,$U$7=TRUE)),VLOOKUP($E732,'Status Thresholds'!$E:$AR,8,FALSE),
IF((AND($U$4=FALSE,$U$5=TRUE,$U$6=FALSE,$U$7=FALSE)),VLOOKUP($E732,'Status Thresholds'!$E:$AR,23,FALSE),IF((AND($U$4=FALSE,$U$5=TRUE,$U$6=TRUE,$U$7=FALSE)),VLOOKUP($E732,'Status Thresholds'!$E:$AR,33,FALSE),IF((AND($U$4=FALSE,$U$5=TRUE,$U$6=TRUE,$U$7=TRUE)),VLOOKUP($E732,'Status Thresholds'!$E:$AR,38,FALSE),IF((AND($U$4=FALSE,$U$5=TRUE,$U$6=FALSE,$U$7=TRUE)),VLOOKUP($E732,'Status Thresholds'!$E:$AR,28,FALSE)))))))))
))/
IF(OR($X$5=TRUE,$AC$3=TRUE
),($F$5/2), IF(OR($X$2,$X$3,$X$4,$X$6,$X$7,$X$8,$Z$2,$Z$3,$Z$4,$Z$5,$Z$6,$Z$7,$Z$8)=TRUE,$F$5)),0),"-")</f>
        <v>-</v>
      </c>
      <c r="H732" s="36" t="str">
        <f>IFERROR(
ROUNDUP(
IF(AND($U$5=FALSE,$U$4=FALSE),"-",IF(AND($U$5=TRUE,$U$4=TRUE),"-",
IF((AND($U$4=TRUE,$U$5=FALSE,$U$6=FALSE,$U$7=FALSE)),VLOOKUP($E732,'Status Thresholds'!$E:$AR,4,FALSE),IF((AND($U$4=TRUE,$U$5=FALSE,$U$6=TRUE,$U$7=FALSE)),VLOOKUP($E732,'Status Thresholds'!$E:$AR,14,FALSE),IF((AND($U$4=TRUE,$U$5=FALSE,$U$6=TRUE,$U$7=TRUE)),VLOOKUP($E732,'Status Thresholds'!$E:$AR,19,FALSE),IF((AND($U$4=TRUE,$U$5=FALSE,$U$6=FALSE,$U$7=TRUE)),VLOOKUP($E732,'Status Thresholds'!$E:$AR,9,FALSE),
IF((AND($U$4=FALSE,$U$5=TRUE,$U$6=FALSE,$U$7=FALSE)),VLOOKUP($E732,'Status Thresholds'!$E:$AR,24,FALSE),IF((AND($U$4=FALSE,$U$5=TRUE,$U$6=TRUE,$U$7=FALSE)),VLOOKUP($E732,'Status Thresholds'!$E:$AR,34,FALSE),IF((AND($U$4=FALSE,$U$5=TRUE,$U$6=TRUE,$U$7=TRUE)),VLOOKUP($E732,'Status Thresholds'!$E:$AR,39,FALSE),IF((AND($U$4=FALSE,$U$5=TRUE,$U$6=FALSE,$U$7=TRUE)),VLOOKUP($E732,'Status Thresholds'!$E:$AR,29,FALSE)))))))))
))/
IF(OR($X$5=TRUE,$AC$3=TRUE
),($F$5/2), IF(OR($X$2,$X$3,$X$4,$X$6,$X$7,$X$8,$Z$2,$Z$3,$Z$4,$Z$5,$Z$6,$Z$7,$Z$8)=TRUE,$F$5)),0),"-")</f>
        <v>-</v>
      </c>
      <c r="I732" s="36" t="str">
        <f>IFERROR(
ROUNDUP(
IF(AND($U$5=FALSE,$U$4=FALSE),"-",IF(AND($U$5=TRUE,$U$4=TRUE),"-",
IF((AND($U$4=TRUE,$U$5=FALSE,$U$6=FALSE,$U$7=FALSE)),VLOOKUP($E732,'Status Thresholds'!$E:$AR,5,FALSE),IF((AND($U$4=TRUE,$U$5=FALSE,$U$6=TRUE,$U$7=FALSE)),VLOOKUP($E732,'Status Thresholds'!$E:$AR,15,FALSE),IF((AND($U$4=TRUE,$U$5=FALSE,$U$6=TRUE,$U$7=TRUE)),VLOOKUP($E732,'Status Thresholds'!$E:$AR,20,FALSE),IF((AND($U$4=TRUE,$U$5=FALSE,$U$6=FALSE,$U$7=TRUE)),VLOOKUP($E732,'Status Thresholds'!$E:$AR,10,FALSE),
IF((AND($U$4=FALSE,$U$5=TRUE,$U$6=FALSE,$U$7=FALSE)),VLOOKUP($E732,'Status Thresholds'!$E:$AR,25,FALSE),IF((AND($U$4=FALSE,$U$5=TRUE,$U$6=TRUE,$U$7=FALSE)),VLOOKUP($E732,'Status Thresholds'!$E:$AR,35,FALSE),IF((AND($U$4=FALSE,$U$5=TRUE,$U$6=TRUE,$U$7=TRUE)),VLOOKUP($E732,'Status Thresholds'!$E:$AR,40,FALSE),IF((AND($U$4=FALSE,$U$5=TRUE,$U$6=FALSE,$U$7=TRUE)),VLOOKUP($E732,'Status Thresholds'!$E:$AR,30,FALSE)))))))))
))/
IF(OR($X$5=TRUE,$AC$3=TRUE
),($F$5/2), IF(OR($X$2,$X$3,$X$4,$X$6,$X$7,$X$8,$Z$2,$Z$3,$Z$4,$Z$5,$Z$6,$Z$7,$Z$8)=TRUE,$F$5)),0),"-")</f>
        <v>-</v>
      </c>
      <c r="J732" s="46">
        <f>IFERROR(IF(AND($U$5=FALSE,$U$4=FALSE),"-",VLOOKUP($E732,'Status Thresholds'!$E:$AU,41,FALSE)),"-")</f>
        <v>40</v>
      </c>
      <c r="K732" s="46" t="str">
        <f>IFERROR(IF(AND($U$5=FALSE,$U$4=FALSE),"-",VLOOKUP($E732,'Status Thresholds'!$E:$AU,42,FALSE)),"-")</f>
        <v>-</v>
      </c>
      <c r="L732" s="46" t="str">
        <f>IFERROR(IF(AND($U$5=FALSE,$U$4=FALSE),"-",VLOOKUP($E732,'Status Thresholds'!$E:$AU,43,FALSE)),"-")</f>
        <v>-</v>
      </c>
    </row>
    <row r="733" spans="1:12" x14ac:dyDescent="0.25">
      <c r="A733" s="35"/>
      <c r="B733" s="64" t="str">
        <f>VLOOKUP(C733,'Status Thresholds'!B:C,2,FALSE)</f>
        <v>MHGen</v>
      </c>
      <c r="C733" s="64" t="str">
        <f>IF('Status Thresholds'!B728=0, "", 'Status Thresholds'!B728)</f>
        <v>Teostra</v>
      </c>
      <c r="D733" s="10" t="s">
        <v>22</v>
      </c>
      <c r="E733" s="36" t="str">
        <f t="shared" si="11"/>
        <v>TeostraExhaust</v>
      </c>
      <c r="F733" s="36" t="str">
        <f>IFERROR(
ROUNDUP(
IF(AND($U$5=FALSE,$U$4=FALSE),"-",IF(AND($U$5=TRUE,$U$4=TRUE),"-",
IF((AND($U$4=TRUE,$U$5=FALSE,$U$6=FALSE,$U$7=FALSE)),VLOOKUP($E733,'Status Thresholds'!$E:$AR,2,FALSE),IF((AND($U$4=TRUE,$U$5=FALSE,$U$6=TRUE,$U$7=FALSE)),VLOOKUP($E733,'Status Thresholds'!$E:$AR,12,FALSE),IF((AND($U$4=TRUE,$U$5=FALSE,$U$6=TRUE,$U$7=TRUE)),VLOOKUP($E733,'Status Thresholds'!$E:$AR,17,FALSE),IF((AND($U$4=TRUE,$U$5=FALSE,$U$6=FALSE,$U$7=TRUE)),VLOOKUP($E733,'Status Thresholds'!$E:$AR,7,FALSE),
IF((AND($U$4=FALSE,$U$5=TRUE,$U$6=FALSE,$U$7=FALSE)),VLOOKUP($E733,'Status Thresholds'!$E:$AR,22,FALSE),IF((AND($U$4=FALSE,$U$5=TRUE,$U$6=TRUE,$U$7=FALSE)),VLOOKUP($E733,'Status Thresholds'!$E:$AR,32,FALSE),IF((AND($U$4=FALSE,$U$5=TRUE,$U$6=TRUE,$U$7=TRUE)),VLOOKUP($E733,'Status Thresholds'!$E:$AR,37,FALSE),IF((AND($U$4=FALSE,$U$5=TRUE,$U$6=FALSE,$U$7=TRUE)),VLOOKUP($E733,'Status Thresholds'!$E:$AR,27,FALSE)))))))))
))/
IF(OR($X$5=TRUE,$AC$3=TRUE
),($F$6/2), IF(OR($X$2,$X$3,$X$4,$X$6,$X$7,$X$8,$Z$2,$Z$3,$Z$4,$Z$5,$Z$6,$Z$7,$Z$8)=TRUE,$F$6)),0),"-")</f>
        <v>-</v>
      </c>
      <c r="G733" s="36" t="str">
        <f>IFERROR(
ROUNDUP(
IF(AND($U$5=FALSE,$U$4=FALSE),"-",IF(AND($U$5=TRUE,$U$4=TRUE),"-",
IF((AND($U$4=TRUE,$U$5=FALSE,$U$6=FALSE,$U$7=FALSE)),VLOOKUP($E733,'Status Thresholds'!$E:$AR,3,FALSE),IF((AND($U$4=TRUE,$U$5=FALSE,$U$6=TRUE,$U$7=FALSE)),VLOOKUP($E733,'Status Thresholds'!$E:$AR,13,FALSE),IF((AND($U$4=TRUE,$U$5=FALSE,$U$6=TRUE,$U$7=TRUE)),VLOOKUP($E733,'Status Thresholds'!$E:$AR,18,FALSE),IF((AND($U$4=TRUE,$U$5=FALSE,$U$6=FALSE,$U$7=TRUE)),VLOOKUP($E733,'Status Thresholds'!$E:$AR,8,FALSE),
IF((AND($U$4=FALSE,$U$5=TRUE,$U$6=FALSE,$U$7=FALSE)),VLOOKUP($E733,'Status Thresholds'!$E:$AR,23,FALSE),IF((AND($U$4=FALSE,$U$5=TRUE,$U$6=TRUE,$U$7=FALSE)),VLOOKUP($E733,'Status Thresholds'!$E:$AR,33,FALSE),IF((AND($U$4=FALSE,$U$5=TRUE,$U$6=TRUE,$U$7=TRUE)),VLOOKUP($E733,'Status Thresholds'!$E:$AR,38,FALSE),IF((AND($U$4=FALSE,$U$5=TRUE,$U$6=FALSE,$U$7=TRUE)),VLOOKUP($E733,'Status Thresholds'!$E:$AR,28,FALSE)))))))))
))/
IF(OR($X$5=TRUE,$AC$3=TRUE
),($F$6/2), IF(OR($X$2,$X$3,$X$4,$X$6,$X$7,$X$8,$Z$2,$Z$3,$Z$4,$Z$5,$Z$6,$Z$7,$Z$8)=TRUE,$F$6)),0),"-")</f>
        <v>-</v>
      </c>
      <c r="H733" s="36" t="str">
        <f>IFERROR(
ROUNDUP(
IF(AND($U$5=FALSE,$U$4=FALSE),"-",IF(AND($U$5=TRUE,$U$4=TRUE),"-",
IF((AND($U$4=TRUE,$U$5=FALSE,$U$6=FALSE,$U$7=FALSE)),VLOOKUP($E733,'Status Thresholds'!$E:$AR,4,FALSE),IF((AND($U$4=TRUE,$U$5=FALSE,$U$6=TRUE,$U$7=FALSE)),VLOOKUP($E733,'Status Thresholds'!$E:$AR,14,FALSE),IF((AND($U$4=TRUE,$U$5=FALSE,$U$6=TRUE,$U$7=TRUE)),VLOOKUP($E733,'Status Thresholds'!$E:$AR,19,FALSE),IF((AND($U$4=TRUE,$U$5=FALSE,$U$6=FALSE,$U$7=TRUE)),VLOOKUP($E733,'Status Thresholds'!$E:$AR,9,FALSE),
IF((AND($U$4=FALSE,$U$5=TRUE,$U$6=FALSE,$U$7=FALSE)),VLOOKUP($E733,'Status Thresholds'!$E:$AR,24,FALSE),IF((AND($U$4=FALSE,$U$5=TRUE,$U$6=TRUE,$U$7=FALSE)),VLOOKUP($E733,'Status Thresholds'!$E:$AR,34,FALSE),IF((AND($U$4=FALSE,$U$5=TRUE,$U$6=TRUE,$U$7=TRUE)),VLOOKUP($E733,'Status Thresholds'!$E:$AR,39,FALSE),IF((AND($U$4=FALSE,$U$5=TRUE,$U$6=FALSE,$U$7=TRUE)),VLOOKUP($E733,'Status Thresholds'!$E:$AR,29,FALSE)))))))))
))/
IF(OR($X$5=TRUE,$AC$3=TRUE
),($F$6/2), IF(OR($X$2,$X$3,$X$4,$X$6,$X$7,$X$8,$Z$2,$Z$3,$Z$4,$Z$5,$Z$6,$Z$7,$Z$8)=TRUE,$F$6)),0),"-")</f>
        <v>-</v>
      </c>
      <c r="I733" s="36" t="str">
        <f>IFERROR(
ROUNDUP(
IF(AND($U$5=FALSE,$U$4=FALSE),"-",IF(AND($U$5=TRUE,$U$4=TRUE),"-",
IF((AND($U$4=TRUE,$U$5=FALSE,$U$6=FALSE,$U$7=FALSE)),VLOOKUP($E733,'Status Thresholds'!$E:$AR,5,FALSE),IF((AND($U$4=TRUE,$U$5=FALSE,$U$6=TRUE,$U$7=FALSE)),VLOOKUP($E733,'Status Thresholds'!$E:$AR,15,FALSE),IF((AND($U$4=TRUE,$U$5=FALSE,$U$6=TRUE,$U$7=TRUE)),VLOOKUP($E733,'Status Thresholds'!$E:$AR,20,FALSE),IF((AND($U$4=TRUE,$U$5=FALSE,$U$6=FALSE,$U$7=TRUE)),VLOOKUP($E733,'Status Thresholds'!$E:$AR,10,FALSE),
IF((AND($U$4=FALSE,$U$5=TRUE,$U$6=FALSE,$U$7=FALSE)),VLOOKUP($E733,'Status Thresholds'!$E:$AR,25,FALSE),IF((AND($U$4=FALSE,$U$5=TRUE,$U$6=TRUE,$U$7=FALSE)),VLOOKUP($E733,'Status Thresholds'!$E:$AR,35,FALSE),IF((AND($U$4=FALSE,$U$5=TRUE,$U$6=TRUE,$U$7=TRUE)),VLOOKUP($E733,'Status Thresholds'!$E:$AR,40,FALSE),IF((AND($U$4=FALSE,$U$5=TRUE,$U$6=FALSE,$U$7=TRUE)),VLOOKUP($E733,'Status Thresholds'!$E:$AR,30,FALSE)))))))))
))/
IF(OR($X$5=TRUE,$AC$3=TRUE
),($F$6/2), IF(OR($X$2,$X$3,$X$4,$X$6,$X$7,$X$8,$Z$2,$Z$3,$Z$4,$Z$5,$Z$6,$Z$7,$Z$8)=TRUE,$F$6)),0),"-")</f>
        <v>-</v>
      </c>
      <c r="J733" s="46">
        <f>IFERROR(IF(AND($U$5=FALSE,$U$4=FALSE),"-",VLOOKUP($E733,'Status Thresholds'!$E:$AU,41,FALSE)),"-")</f>
        <v>0</v>
      </c>
      <c r="K733" s="46" t="str">
        <f>IFERROR(IF(AND($U$5=FALSE,$U$4=FALSE),"-",VLOOKUP($E733,'Status Thresholds'!$E:$AU,42,FALSE)),"-")</f>
        <v>-</v>
      </c>
      <c r="L733" s="46" t="str">
        <f>IFERROR(IF(AND($U$5=FALSE,$U$4=FALSE),"-",VLOOKUP($E733,'Status Thresholds'!$E:$AU,43,FALSE)),"-")</f>
        <v>-</v>
      </c>
    </row>
    <row r="734" spans="1:12" x14ac:dyDescent="0.25">
      <c r="A734" s="35"/>
      <c r="B734" s="64" t="str">
        <f>VLOOKUP(C734,'Status Thresholds'!B:C,2,FALSE)</f>
        <v>MHGen</v>
      </c>
      <c r="C734" s="64" t="str">
        <f>IF('Status Thresholds'!B729=0, "", 'Status Thresholds'!B729)</f>
        <v>Teostra</v>
      </c>
      <c r="D734" s="30" t="s">
        <v>35</v>
      </c>
      <c r="E734" s="36" t="str">
        <f t="shared" si="11"/>
        <v>TeostraBlast</v>
      </c>
      <c r="F734" s="36" t="str">
        <f>IFERROR(
ROUNDUP(
IF(AND($U$5=FALSE,$U$4=FALSE),"-",IF(AND($U$5=TRUE,$U$4=TRUE),"-",
IF((AND($U$4=TRUE,$U$5=FALSE,$U$6=FALSE,$U$7=FALSE)),VLOOKUP($E734,'Status Thresholds'!$E:$AR,2,FALSE),IF((AND($U$4=TRUE,$U$5=FALSE,$U$6=TRUE,$U$7=FALSE)),VLOOKUP($E734,'Status Thresholds'!$E:$AR,12,FALSE),IF((AND($U$4=TRUE,$U$5=FALSE,$U$6=TRUE,$U$7=TRUE)),VLOOKUP($E734,'Status Thresholds'!$E:$AR,17,FALSE),IF((AND($U$4=TRUE,$U$5=FALSE,$U$6=FALSE,$U$7=TRUE)),VLOOKUP($E734,'Status Thresholds'!$E:$AR,7,FALSE),
IF((AND($U$4=FALSE,$U$5=TRUE,$U$6=FALSE,$U$7=FALSE)),VLOOKUP($E734,'Status Thresholds'!$E:$AR,22,FALSE),IF((AND($U$4=FALSE,$U$5=TRUE,$U$6=TRUE,$U$7=FALSE)),VLOOKUP($E734,'Status Thresholds'!$E:$AR,32,FALSE),IF((AND($U$4=FALSE,$U$5=TRUE,$U$6=TRUE,$U$7=TRUE)),VLOOKUP($E734,'Status Thresholds'!$E:$AR,37,FALSE),IF((AND($U$4=FALSE,$U$5=TRUE,$U$6=FALSE,$U$7=TRUE)),VLOOKUP($E734,'Status Thresholds'!$E:$AR,27,FALSE)))))))))
))/
IF(OR($X$5=TRUE,$AC$3=TRUE
),($F$7/2), IF(OR($X$2,$X$3,$X$4,$X$6,$X$7,$X$8,$Z$2,$Z$3,$Z$4,$Z$5,$Z$6,$Z$7,$Z$8)=TRUE,$F$7)),0),"-")</f>
        <v>-</v>
      </c>
      <c r="G734" s="36" t="str">
        <f>IFERROR(
ROUNDUP(
IF(AND($U$5=FALSE,$U$4=FALSE),"-",IF(AND($U$5=TRUE,$U$4=TRUE),"-",
IF((AND($U$4=TRUE,$U$5=FALSE,$U$6=FALSE,$U$7=FALSE)),VLOOKUP($E734,'Status Thresholds'!$E:$AR,3,FALSE),IF((AND($U$4=TRUE,$U$5=FALSE,$U$6=TRUE,$U$7=FALSE)),VLOOKUP($E734,'Status Thresholds'!$E:$AR,13,FALSE),IF((AND($U$4=TRUE,$U$5=FALSE,$U$6=TRUE,$U$7=TRUE)),VLOOKUP($E734,'Status Thresholds'!$E:$AR,18,FALSE),IF((AND($U$4=TRUE,$U$5=FALSE,$U$6=FALSE,$U$7=TRUE)),VLOOKUP($E734,'Status Thresholds'!$E:$AR,8,FALSE),
IF((AND($U$4=FALSE,$U$5=TRUE,$U$6=FALSE,$U$7=FALSE)),VLOOKUP($E734,'Status Thresholds'!$E:$AR,23,FALSE),IF((AND($U$4=FALSE,$U$5=TRUE,$U$6=TRUE,$U$7=FALSE)),VLOOKUP($E734,'Status Thresholds'!$E:$AR,33,FALSE),IF((AND($U$4=FALSE,$U$5=TRUE,$U$6=TRUE,$U$7=TRUE)),VLOOKUP($E734,'Status Thresholds'!$E:$AR,38,FALSE),IF((AND($U$4=FALSE,$U$5=TRUE,$U$6=FALSE,$U$7=TRUE)),VLOOKUP($E734,'Status Thresholds'!$E:$AR,28,FALSE)))))))))
))/
IF(OR($X$5=TRUE,$AC$3=TRUE
),($F$7/2), IF(OR($X$2,$X$3,$X$4,$X$6,$X$7,$X$8,$Z$2,$Z$3,$Z$4,$Z$5,$Z$6,$Z$7,$Z$8)=TRUE,$F$7)),0),"-")</f>
        <v>-</v>
      </c>
      <c r="H734" s="36" t="str">
        <f>IFERROR(
ROUNDUP(
IF(AND($U$5=FALSE,$U$4=FALSE),"-",IF(AND($U$5=TRUE,$U$4=TRUE),"-",
IF((AND($U$4=TRUE,$U$5=FALSE,$U$6=FALSE,$U$7=FALSE)),VLOOKUP($E734,'Status Thresholds'!$E:$AR,4,FALSE),IF((AND($U$4=TRUE,$U$5=FALSE,$U$6=TRUE,$U$7=FALSE)),VLOOKUP($E734,'Status Thresholds'!$E:$AR,14,FALSE),IF((AND($U$4=TRUE,$U$5=FALSE,$U$6=TRUE,$U$7=TRUE)),VLOOKUP($E734,'Status Thresholds'!$E:$AR,19,FALSE),IF((AND($U$4=TRUE,$U$5=FALSE,$U$6=FALSE,$U$7=TRUE)),VLOOKUP($E734,'Status Thresholds'!$E:$AR,9,FALSE),
IF((AND($U$4=FALSE,$U$5=TRUE,$U$6=FALSE,$U$7=FALSE)),VLOOKUP($E734,'Status Thresholds'!$E:$AR,24,FALSE),IF((AND($U$4=FALSE,$U$5=TRUE,$U$6=TRUE,$U$7=FALSE)),VLOOKUP($E734,'Status Thresholds'!$E:$AR,34,FALSE),IF((AND($U$4=FALSE,$U$5=TRUE,$U$6=TRUE,$U$7=TRUE)),VLOOKUP($E734,'Status Thresholds'!$E:$AR,39,FALSE),IF((AND($U$4=FALSE,$U$5=TRUE,$U$6=FALSE,$U$7=TRUE)),VLOOKUP($E734,'Status Thresholds'!$E:$AR,29,FALSE)))))))))
))/
IF(OR($X$5=TRUE,$AC$3=TRUE
),($F$7/2), IF(OR($X$2,$X$3,$X$4,$X$6,$X$7,$X$8,$Z$2,$Z$3,$Z$4,$Z$5,$Z$6,$Z$7,$Z$8)=TRUE,$F$7)),0),"-")</f>
        <v>-</v>
      </c>
      <c r="I734" s="36" t="str">
        <f>IFERROR(
ROUNDUP(
IF(AND($U$5=FALSE,$U$4=FALSE),"-",IF(AND($U$5=TRUE,$U$4=TRUE),"-",
IF((AND($U$4=TRUE,$U$5=FALSE,$U$6=FALSE,$U$7=FALSE)),VLOOKUP($E734,'Status Thresholds'!$E:$AR,5,FALSE),IF((AND($U$4=TRUE,$U$5=FALSE,$U$6=TRUE,$U$7=FALSE)),VLOOKUP($E734,'Status Thresholds'!$E:$AR,15,FALSE),IF((AND($U$4=TRUE,$U$5=FALSE,$U$6=TRUE,$U$7=TRUE)),VLOOKUP($E734,'Status Thresholds'!$E:$AR,20,FALSE),IF((AND($U$4=TRUE,$U$5=FALSE,$U$6=FALSE,$U$7=TRUE)),VLOOKUP($E734,'Status Thresholds'!$E:$AR,10,FALSE),
IF((AND($U$4=FALSE,$U$5=TRUE,$U$6=FALSE,$U$7=FALSE)),VLOOKUP($E734,'Status Thresholds'!$E:$AR,25,FALSE),IF((AND($U$4=FALSE,$U$5=TRUE,$U$6=TRUE,$U$7=FALSE)),VLOOKUP($E734,'Status Thresholds'!$E:$AR,35,FALSE),IF((AND($U$4=FALSE,$U$5=TRUE,$U$6=TRUE,$U$7=TRUE)),VLOOKUP($E734,'Status Thresholds'!$E:$AR,40,FALSE),IF((AND($U$4=FALSE,$U$5=TRUE,$U$6=FALSE,$U$7=TRUE)),VLOOKUP($E734,'Status Thresholds'!$E:$AR,30,FALSE)))))))))
))/
IF(OR($X$5=TRUE,$AC$3=TRUE
),($F$7/2), IF(OR($X$2,$X$3,$X$4,$X$6,$X$7,$X$8,$Z$2,$Z$3,$Z$4,$Z$5,$Z$6,$Z$7,$Z$8)=TRUE,$F$7)),0),"-")</f>
        <v>-</v>
      </c>
      <c r="J734" s="46">
        <f>IFERROR(IF(AND($U$5=FALSE,$U$4=FALSE),"-",VLOOKUP($E734,'Status Thresholds'!$E:$AU,41,FALSE)),"-")</f>
        <v>0</v>
      </c>
      <c r="K734" s="46" t="str">
        <f>IFERROR(IF(AND($U$5=FALSE,$U$4=FALSE),"-",VLOOKUP($E734,'Status Thresholds'!$E:$AU,42,FALSE)),"-")</f>
        <v>-</v>
      </c>
      <c r="L734" s="46" t="str">
        <f>IFERROR(IF(AND($U$5=FALSE,$U$4=FALSE),"-",VLOOKUP($E734,'Status Thresholds'!$E:$AU,43,FALSE)),"-")</f>
        <v>-</v>
      </c>
    </row>
    <row r="735" spans="1:12" ht="14.45" customHeight="1" x14ac:dyDescent="0.25">
      <c r="A735" s="35"/>
      <c r="B735" s="64" t="str">
        <f>VLOOKUP(C735,'Status Thresholds'!B:C,2,FALSE)</f>
        <v>MHGen</v>
      </c>
      <c r="C735" s="64" t="str">
        <f>IF('Status Thresholds'!B730=0, "", 'Status Thresholds'!B730)</f>
        <v>Teostra</v>
      </c>
      <c r="D735" s="34" t="s">
        <v>14</v>
      </c>
      <c r="E735" s="36" t="str">
        <f t="shared" si="11"/>
        <v>TeostraKO</v>
      </c>
      <c r="F735" s="36" t="s">
        <v>214</v>
      </c>
      <c r="G735" s="36" t="s">
        <v>214</v>
      </c>
      <c r="H735" s="36" t="s">
        <v>214</v>
      </c>
      <c r="I735" s="36" t="s">
        <v>214</v>
      </c>
      <c r="J735" s="46">
        <f>IFERROR(IF(AND($U$5=FALSE,$U$4=FALSE),"-",VLOOKUP($E735,'Status Thresholds'!$E:$AU,41,FALSE)),"-")</f>
        <v>10</v>
      </c>
      <c r="K735" s="46" t="str">
        <f>IFERROR(IF(AND($U$5=FALSE,$U$4=FALSE),"-",VLOOKUP($E735,'Status Thresholds'!$E:$AU,42,FALSE)),"-")</f>
        <v>-</v>
      </c>
      <c r="L735" s="46" t="str">
        <f>IFERROR(IF(AND($U$5=FALSE,$U$4=FALSE),"-",VLOOKUP($E735,'Status Thresholds'!$E:$AU,43,FALSE)),"-")</f>
        <v>-</v>
      </c>
    </row>
    <row r="736" spans="1:12" x14ac:dyDescent="0.25">
      <c r="A736" s="35"/>
      <c r="B736" s="64" t="str">
        <f>VLOOKUP(C736,'Status Thresholds'!B:C,2,FALSE)</f>
        <v>MHGen</v>
      </c>
      <c r="C736" s="64" t="str">
        <f>IF('Status Thresholds'!B731=0, "", 'Status Thresholds'!B731)</f>
        <v>Teostra</v>
      </c>
      <c r="D736" s="33" t="s">
        <v>34</v>
      </c>
      <c r="E736" s="36" t="str">
        <f t="shared" si="11"/>
        <v>TeostraMount</v>
      </c>
      <c r="F736" s="36" t="str">
        <f>IFERROR(
ROUNDUP(
IF(AND($U$5=FALSE,$U$4=FALSE),"-",IF(AND($U$5=TRUE,$U$4=TRUE),"-",
IF((AND($U$4=TRUE,$U$5=FALSE,$U$6=FALSE,$U$7=FALSE)),VLOOKUP($E736,'Status Thresholds'!$E:$AR,2,FALSE),IF((AND($U$4=TRUE,$U$5=FALSE,$U$6=TRUE,$U$7=FALSE)),VLOOKUP($E736,'Status Thresholds'!$E:$AR,12,FALSE),IF((AND($U$4=TRUE,$U$5=FALSE,$U$6=TRUE,$U$7=TRUE)),VLOOKUP($E736,'Status Thresholds'!$E:$AR,17,FALSE),IF((AND($U$4=TRUE,$U$5=FALSE,$U$6=FALSE,$U$7=TRUE)),VLOOKUP($E736,'Status Thresholds'!$E:$AR,7,FALSE),
IF((AND($U$4=FALSE,$U$5=TRUE,$U$6=FALSE,$U$7=FALSE)),VLOOKUP($E736,'Status Thresholds'!$E:$AR,22,FALSE),IF((AND($U$4=FALSE,$U$5=TRUE,$U$6=TRUE,$U$7=FALSE)),VLOOKUP($E736,'Status Thresholds'!$E:$AR,32,FALSE),IF((AND($U$4=FALSE,$U$5=TRUE,$U$6=TRUE,$U$7=TRUE)),VLOOKUP($E736,'Status Thresholds'!$E:$AR,37,FALSE),IF((AND($U$4=FALSE,$U$5=TRUE,$U$6=FALSE,$U$7=TRUE)),VLOOKUP($E736,'Status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736" s="36" t="str">
        <f>IFERROR(
ROUNDUP(
IF(AND($U$5=FALSE,$U$4=FALSE),"-",IF(AND($U$5=TRUE,$U$4=TRUE),"-",
IF((AND($U$4=TRUE,$U$5=FALSE,$U$6=FALSE,$U$7=FALSE)),VLOOKUP($E735,'Status Thresholds'!$E:$AR,3,FALSE),IF((AND($U$4=TRUE,$U$5=FALSE,$U$6=TRUE,$U$7=FALSE)),VLOOKUP($E735,'Status Thresholds'!$E:$AR,13,FALSE),IF((AND($U$4=TRUE,$U$5=FALSE,$U$6=TRUE,$U$7=TRUE)),VLOOKUP($E735,'Status Thresholds'!$E:$AR,18,FALSE),IF((AND($U$4=TRUE,$U$5=FALSE,$U$6=FALSE,$U$7=TRUE)),VLOOKUP($E735,'Status Thresholds'!$E:$AR,8,FALSE),
IF((AND($U$4=FALSE,$U$5=TRUE,$U$6=FALSE,$U$7=FALSE)),VLOOKUP($E735,'Status Thresholds'!$E:$AR,23,FALSE),IF((AND($U$4=FALSE,$U$5=TRUE,$U$6=TRUE,$U$7=FALSE)),VLOOKUP($E735,'Status Thresholds'!$E:$AR,33,FALSE),IF((AND($U$4=FALSE,$U$5=TRUE,$U$6=TRUE,$U$7=TRUE)),VLOOKUP($E735,'Status Thresholds'!$E:$AR,38,FALSE),IF((AND($U$4=FALSE,$U$5=TRUE,$U$6=FALSE,$U$7=TRUE)),VLOOKUP($E735,'Status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736" s="36" t="str">
        <f>IFERROR(
ROUNDUP(
IF(AND($U$5=FALSE,$U$4=FALSE),"-",IF(AND($U$5=TRUE,$U$4=TRUE),"-",
IF((AND($U$4=TRUE,$U$5=FALSE,$U$6=FALSE,$U$7=FALSE)),VLOOKUP($E735,'Status Thresholds'!$E:$AR,4,FALSE),IF((AND($U$4=TRUE,$U$5=FALSE,$U$6=TRUE,$U$7=FALSE)),VLOOKUP($E735,'Status Thresholds'!$E:$AR,14,FALSE),IF((AND($U$4=TRUE,$U$5=FALSE,$U$6=TRUE,$U$7=TRUE)),VLOOKUP($E735,'Status Thresholds'!$E:$AR,19,FALSE),IF((AND($U$4=TRUE,$U$5=FALSE,$U$6=FALSE,$U$7=TRUE)),VLOOKUP($E735,'Status Thresholds'!$E:$AR,9,FALSE),
IF((AND($U$4=FALSE,$U$5=TRUE,$U$6=FALSE,$U$7=FALSE)),VLOOKUP($E735,'Status Thresholds'!$E:$AR,24,FALSE),IF((AND($U$4=FALSE,$U$5=TRUE,$U$6=TRUE,$U$7=FALSE)),VLOOKUP($E735,'Status Thresholds'!$E:$AR,34,FALSE),IF((AND($U$4=FALSE,$U$5=TRUE,$U$6=TRUE,$U$7=TRUE)),VLOOKUP($E735,'Status Thresholds'!$E:$AR,39,FALSE),IF((AND($U$4=FALSE,$U$5=TRUE,$U$6=FALSE,$U$7=TRUE)),VLOOKUP($E735,'Status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736" s="36" t="str">
        <f>IFERROR(
ROUNDUP(
IF(AND($U$5=FALSE,$U$4=FALSE),"-",IF(AND($U$5=TRUE,$U$4=TRUE),"-",
IF((AND($U$4=TRUE,$U$5=FALSE,$U$6=FALSE,$U$7=FALSE)),VLOOKUP($E735,'Status Thresholds'!$E:$AR,5,FALSE),IF((AND($U$4=TRUE,$U$5=FALSE,$U$6=TRUE,$U$7=FALSE)),VLOOKUP($E735,'Status Thresholds'!$E:$AR,15,FALSE),IF((AND($U$4=TRUE,$U$5=FALSE,$U$6=TRUE,$U$7=TRUE)),VLOOKUP($E735,'Status Thresholds'!$E:$AR,20,FALSE),IF((AND($U$4=TRUE,$U$5=FALSE,$U$6=FALSE,$U$7=TRUE)),VLOOKUP($E735,'Status Thresholds'!$E:$AR,10,FALSE),
IF((AND($U$4=FALSE,$U$5=TRUE,$U$6=FALSE,$U$7=FALSE)),VLOOKUP($E735,'Status Thresholds'!$E:$AR,25,FALSE),IF((AND($U$4=FALSE,$U$5=TRUE,$U$6=TRUE,$U$7=FALSE)),VLOOKUP($E735,'Status Thresholds'!$E:$AR,35,FALSE),IF((AND($U$4=FALSE,$U$5=TRUE,$U$6=TRUE,$U$7=TRUE)),VLOOKUP($E735,'Status Thresholds'!$E:$AR,40,FALSE),IF((AND($U$4=FALSE,$U$5=TRUE,$U$6=FALSE,$U$7=TRUE)),VLOOKUP($E735,'Status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736" s="46">
        <f>IFERROR(IF(AND($U$5=FALSE,$U$4=FALSE),"-",VLOOKUP($E736,'Status Thresholds'!$E:$AU,41,FALSE)),"-")</f>
        <v>0</v>
      </c>
      <c r="K736" s="46" t="str">
        <f>IFERROR(IF(AND($U$5=FALSE,$U$4=FALSE),"-",VLOOKUP($E736,'Status Thresholds'!$E:$AU,42,FALSE)),"-")</f>
        <v>-</v>
      </c>
      <c r="L736" s="46" t="str">
        <f>IFERROR(IF(AND($U$5=FALSE,$U$4=FALSE),"-",VLOOKUP($E736,'Status Thresholds'!$E:$AU,43,FALSE)),"-")</f>
        <v>-</v>
      </c>
    </row>
    <row r="737" spans="1:12" ht="15" customHeight="1" x14ac:dyDescent="0.25">
      <c r="A737" s="35"/>
      <c r="B737" s="64" t="str">
        <f>VLOOKUP(C737,'Status Thresholds'!B:C,2,FALSE)</f>
        <v>MHGen</v>
      </c>
      <c r="C737" s="64" t="str">
        <f>IF('Status Thresholds'!B732=0, "", 'Status Thresholds'!B732)</f>
        <v>Teostra</v>
      </c>
      <c r="D737" s="77" t="s">
        <v>207</v>
      </c>
      <c r="E737" s="36" t="str">
        <f t="shared" si="11"/>
        <v>TeostraShock Trap</v>
      </c>
      <c r="F737" s="76" t="s">
        <v>214</v>
      </c>
      <c r="G737" s="46" t="s">
        <v>214</v>
      </c>
      <c r="H737" s="46" t="s">
        <v>214</v>
      </c>
      <c r="I737" s="46" t="s">
        <v>214</v>
      </c>
      <c r="J737" s="46">
        <f>IFERROR(IF(AND($U$5=FALSE,$U$4=FALSE),"-",VLOOKUP($E737,'Status Thresholds'!$E:$AU,43,FALSE)),"-")</f>
        <v>0</v>
      </c>
      <c r="K737" s="46">
        <f>IFERROR(IF(AND($U$5=FALSE,$U$4=FALSE),"-",VLOOKUP($E737,'Status Thresholds'!$E:$AU,41,FALSE)),"-")</f>
        <v>0</v>
      </c>
      <c r="L737" s="46">
        <f>IFERROR(IF(AND($U$5=FALSE,$U$4=FALSE),"-",VLOOKUP($E737,'Status Thresholds'!$E:$AU,42,FALSE)),"-")</f>
        <v>0</v>
      </c>
    </row>
    <row r="738" spans="1:12" x14ac:dyDescent="0.25">
      <c r="A738" s="35"/>
      <c r="B738" s="64" t="str">
        <f>VLOOKUP(C738,'Status Thresholds'!B:C,2,FALSE)</f>
        <v>MHGen</v>
      </c>
      <c r="C738" s="64" t="str">
        <f>IF('Status Thresholds'!B733=0, "", 'Status Thresholds'!B733)</f>
        <v>Teostra</v>
      </c>
      <c r="D738" s="77" t="s">
        <v>213</v>
      </c>
      <c r="E738" s="36" t="str">
        <f t="shared" si="11"/>
        <v>TeostraPitfall Trap</v>
      </c>
      <c r="F738" s="46" t="s">
        <v>214</v>
      </c>
      <c r="G738" s="46" t="s">
        <v>214</v>
      </c>
      <c r="H738" s="46" t="s">
        <v>214</v>
      </c>
      <c r="I738" s="46" t="s">
        <v>214</v>
      </c>
      <c r="J738" s="46">
        <f>IFERROR(IF(AND($U$5=FALSE,$U$4=FALSE),"-",VLOOKUP($E738,'Status Thresholds'!$E:$AU,43,FALSE)),"-")</f>
        <v>0</v>
      </c>
      <c r="K738" s="46">
        <f>IFERROR(IF(AND($U$5=FALSE,$U$4=FALSE),"-",VLOOKUP($E738,'Status Thresholds'!$E:$AU,41,FALSE)),"-")</f>
        <v>0</v>
      </c>
      <c r="L738" s="46">
        <f>IFERROR(IF(AND($U$5=FALSE,$U$4=FALSE),"-",VLOOKUP($E738,'Status Thresholds'!$E:$AU,42,FALSE)),"-")</f>
        <v>0</v>
      </c>
    </row>
    <row r="739" spans="1:12" s="36" customFormat="1" x14ac:dyDescent="0.25">
      <c r="A739" s="64"/>
      <c r="B739" s="64" t="str">
        <f>VLOOKUP(C739,'Status Thresholds'!B:C,2,FALSE)</f>
        <v>MHGen</v>
      </c>
      <c r="C739" s="64" t="str">
        <f>IF('Status Thresholds'!B734=0, "", 'Status Thresholds'!B734)</f>
        <v>Tetsucabra</v>
      </c>
      <c r="D739" s="37" t="s">
        <v>0</v>
      </c>
      <c r="E739" s="36" t="str">
        <f t="shared" si="11"/>
        <v>TetsucabraPara</v>
      </c>
      <c r="F739" s="36" t="str">
        <f>IFERROR(
ROUNDUP(
IF(AND($U$5=FALSE,$U$4=FALSE),"-",IF(AND($U$5=TRUE,$U$4=TRUE),"-",
IF((AND($U$4=TRUE,$U$5=FALSE,$U$6=FALSE,$U$7=FALSE)),VLOOKUP($E739,'Status Thresholds'!$E:$AR,2,FALSE),IF((AND($U$4=TRUE,$U$5=FALSE,$U$6=TRUE,$U$7=FALSE)),VLOOKUP($E739,'Status Thresholds'!$E:$AR,12,FALSE),IF((AND($U$4=TRUE,$U$5=FALSE,$U$6=TRUE,$U$7=TRUE)),VLOOKUP($E739,'Status Thresholds'!$E:$AR,17,FALSE),IF((AND($U$4=TRUE,$U$5=FALSE,$U$6=FALSE,$U$7=TRUE)),VLOOKUP($E739,'Status Thresholds'!$E:$AR,7,FALSE),
IF((AND($U$4=FALSE,$U$5=TRUE,$U$6=FALSE,$U$7=FALSE)),VLOOKUP($E739,'Status Thresholds'!$E:$AR,22,FALSE),IF((AND($U$4=FALSE,$U$5=TRUE,$U$6=TRUE,$U$7=FALSE)),VLOOKUP($E739,'Status Thresholds'!$E:$AR,32,FALSE),IF((AND($U$4=FALSE,$U$5=TRUE,$U$6=TRUE,$U$7=TRUE)),VLOOKUP($E739,'Status Thresholds'!$E:$AR,37,FALSE),IF((AND($U$4=FALSE,$U$5=TRUE,$U$6=FALSE,$U$7=TRUE)),VLOOKUP($E739,'Status Thresholds'!$E:$AR,27,FALSE)))))))))
))/
IF(OR($X$5=TRUE,$AC$3=TRUE
),($F$3/2), IF(OR($X$2,$X$3,$X$4,$X$6,$X$7,$X$8,$Z$2,$Z$3,$Z$4,$Z$5,$Z$6,$Z$7,$Z$8)=TRUE,$F$3)),0),"-")</f>
        <v>-</v>
      </c>
      <c r="G739" s="36" t="str">
        <f>IFERROR(
ROUNDUP(
IF(AND($U$5=FALSE,$U$4=FALSE),"-",IF(AND($U$5=TRUE,$U$4=TRUE),"-",
IF((AND($U$4=TRUE,$U$5=FALSE,$U$6=FALSE,$U$7=FALSE)),VLOOKUP($E739,'Status Thresholds'!$E:$AR,3,FALSE),IF((AND($U$4=TRUE,$U$5=FALSE,$U$6=TRUE,$U$7=FALSE)),VLOOKUP($E739,'Status Thresholds'!$E:$AR,13,FALSE),IF((AND($U$4=TRUE,$U$5=FALSE,$U$6=TRUE,$U$7=TRUE)),VLOOKUP($E739,'Status Thresholds'!$E:$AR,18,FALSE),IF((AND($U$4=TRUE,$U$5=FALSE,$U$6=FALSE,$U$7=TRUE)),VLOOKUP($E739,'Status Thresholds'!$E:$AR,8,FALSE),
IF((AND($U$4=FALSE,$U$5=TRUE,$U$6=FALSE,$U$7=FALSE)),VLOOKUP($E739,'Status Thresholds'!$E:$AR,23,FALSE),IF((AND($U$4=FALSE,$U$5=TRUE,$U$6=TRUE,$U$7=FALSE)),VLOOKUP($E739,'Status Thresholds'!$E:$AR,33,FALSE),IF((AND($U$4=FALSE,$U$5=TRUE,$U$6=TRUE,$U$7=TRUE)),VLOOKUP($E739,'Status Thresholds'!$E:$AR,38,FALSE),IF((AND($U$4=FALSE,$U$5=TRUE,$U$6=FALSE,$U$7=TRUE)),VLOOKUP($E739,'Status Thresholds'!$E:$AR,28,FALSE)))))))))
))/
IF(OR($X$5=TRUE,$AC$3=TRUE
),($F$3/2), IF(OR($X$2,$X$3,$X$4,$X$6,$X$7,$X$8,$Z$2,$Z$3,$Z$4,$Z$5,$Z$6,$Z$7,$Z$8)=TRUE,$F$3)),0),"-")</f>
        <v>-</v>
      </c>
      <c r="H739" s="36" t="str">
        <f>IFERROR(
ROUNDUP(
IF(AND($U$5=FALSE,$U$4=FALSE),"-",IF(AND($U$5=TRUE,$U$4=TRUE),"-",
IF((AND($U$4=TRUE,$U$5=FALSE,$U$6=FALSE,$U$7=FALSE)),VLOOKUP($E739,'Status Thresholds'!$E:$AR,4,FALSE),IF((AND($U$4=TRUE,$U$5=FALSE,$U$6=TRUE,$U$7=FALSE)),VLOOKUP($E739,'Status Thresholds'!$E:$AR,14,FALSE),IF((AND($U$4=TRUE,$U$5=FALSE,$U$6=TRUE,$U$7=TRUE)),VLOOKUP($E739,'Status Thresholds'!$E:$AR,19,FALSE),IF((AND($U$4=TRUE,$U$5=FALSE,$U$6=FALSE,$U$7=TRUE)),VLOOKUP($E739,'Status Thresholds'!$E:$AR,9,FALSE),
IF((AND($U$4=FALSE,$U$5=TRUE,$U$6=FALSE,$U$7=FALSE)),VLOOKUP($E739,'Status Thresholds'!$E:$AR,24,FALSE),IF((AND($U$4=FALSE,$U$5=TRUE,$U$6=TRUE,$U$7=FALSE)),VLOOKUP($E739,'Status Thresholds'!$E:$AR,34,FALSE),IF((AND($U$4=FALSE,$U$5=TRUE,$U$6=TRUE,$U$7=TRUE)),VLOOKUP($E739,'Status Thresholds'!$E:$AR,39,FALSE),IF((AND($U$4=FALSE,$U$5=TRUE,$U$6=FALSE,$U$7=TRUE)),VLOOKUP($E739,'Status Thresholds'!$E:$AR,29,FALSE)))))))))
))/
IF(OR($X$5=TRUE,$AC$3=TRUE
),($F$3/2), IF(OR($X$2,$X$3,$X$4,$X$6,$X$7,$X$8,$Z$2,$Z$3,$Z$4,$Z$5,$Z$6,$Z$7,$Z$8)=TRUE,$F$3)),0),"-")</f>
        <v>-</v>
      </c>
      <c r="I739" s="36" t="str">
        <f>IFERROR(
ROUNDUP(
IF(AND($U$5=FALSE,$U$4=FALSE),"-",IF(AND($U$5=TRUE,$U$4=TRUE),"-",
IF((AND($U$4=TRUE,$U$5=FALSE,$U$6=FALSE,$U$7=FALSE)),VLOOKUP($E739,'Status Thresholds'!$E:$AR,5,FALSE),IF((AND($U$4=TRUE,$U$5=FALSE,$U$6=TRUE,$U$7=FALSE)),VLOOKUP($E739,'Status Thresholds'!$E:$AR,15,FALSE),IF((AND($U$4=TRUE,$U$5=FALSE,$U$6=TRUE,$U$7=TRUE)),VLOOKUP($E739,'Status Thresholds'!$E:$AR,20,FALSE),IF((AND($U$4=TRUE,$U$5=FALSE,$U$6=FALSE,$U$7=TRUE)),VLOOKUP($E739,'Status Thresholds'!$E:$AR,10,FALSE),
IF((AND($U$4=FALSE,$U$5=TRUE,$U$6=FALSE,$U$7=FALSE)),VLOOKUP($E739,'Status Thresholds'!$E:$AR,25,FALSE),IF((AND($U$4=FALSE,$U$5=TRUE,$U$6=TRUE,$U$7=FALSE)),VLOOKUP($E739,'Status Thresholds'!$E:$AR,35,FALSE),IF((AND($U$4=FALSE,$U$5=TRUE,$U$6=TRUE,$U$7=TRUE)),VLOOKUP($E739,'Status Thresholds'!$E:$AR,40,FALSE),IF((AND($U$4=FALSE,$U$5=TRUE,$U$6=FALSE,$U$7=TRUE)),VLOOKUP($E739,'Status Thresholds'!$E:$AR,30,FALSE)))))))))
))/
IF(OR($X$5=TRUE,$AC$3=TRUE
),($F$3/2), IF(OR($X$2,$X$3,$X$4,$X$6,$X$7,$X$8,$Z$2,$Z$3,$Z$4,$Z$5,$Z$6,$Z$7,$Z$8)=TRUE,$F$3)),0),"-")</f>
        <v>-</v>
      </c>
      <c r="J739" s="36">
        <f>IFERROR(IF(AND($U$5=FALSE,$U$4=FALSE),"-",VLOOKUP($E739,'Status Thresholds'!$E:$AU,41,FALSE)),"-")</f>
        <v>10</v>
      </c>
      <c r="K739" s="36" t="str">
        <f>IFERROR(IF(AND($U$5=FALSE,$U$4=FALSE),"-",VLOOKUP($E739,'Status Thresholds'!$E:$AU,42,FALSE)),"-")</f>
        <v>-</v>
      </c>
      <c r="L739" s="36" t="str">
        <f>IFERROR(IF(AND($U$5=FALSE,$U$4=FALSE),"-",VLOOKUP($E739,'Status Thresholds'!$E:$AU,43,FALSE)),"-")</f>
        <v>-</v>
      </c>
    </row>
    <row r="740" spans="1:12" x14ac:dyDescent="0.25">
      <c r="A740" s="35"/>
      <c r="B740" s="64" t="str">
        <f>VLOOKUP(C740,'Status Thresholds'!B:C,2,FALSE)</f>
        <v>MHGen</v>
      </c>
      <c r="C740" s="64" t="str">
        <f>IF('Status Thresholds'!B735=0, "", 'Status Thresholds'!B735)</f>
        <v>Tetsucabra</v>
      </c>
      <c r="D740" s="31" t="s">
        <v>32</v>
      </c>
      <c r="E740" s="36" t="str">
        <f t="shared" si="11"/>
        <v>TetsucabraSleep</v>
      </c>
      <c r="F740" s="36" t="str">
        <f>IFERROR(
ROUNDUP(
IF(AND($U$5=FALSE,$U$4=FALSE),"-",IF(AND($U$5=TRUE,$U$4=TRUE),"-",
IF((AND($U$4=TRUE,$U$5=FALSE,$U$6=FALSE,$U$7=FALSE)),VLOOKUP($E740,'Status Thresholds'!$E:$AR,2,FALSE),IF((AND($U$4=TRUE,$U$5=FALSE,$U$6=TRUE,$U$7=FALSE)),VLOOKUP($E740,'Status Thresholds'!$E:$AR,12,FALSE),IF((AND($U$4=TRUE,$U$5=FALSE,$U$6=TRUE,$U$7=TRUE)),VLOOKUP($E740,'Status Thresholds'!$E:$AR,17,FALSE),IF((AND($U$4=TRUE,$U$5=FALSE,$U$6=FALSE,$U$7=TRUE)),VLOOKUP($E740,'Status Thresholds'!$E:$AR,7,FALSE),
IF((AND($U$4=FALSE,$U$5=TRUE,$U$6=FALSE,$U$7=FALSE)),VLOOKUP($E740,'Status Thresholds'!$E:$AR,22,FALSE),IF((AND($U$4=FALSE,$U$5=TRUE,$U$6=TRUE,$U$7=FALSE)),VLOOKUP($E740,'Status Thresholds'!$E:$AR,32,FALSE),IF((AND($U$4=FALSE,$U$5=TRUE,$U$6=TRUE,$U$7=TRUE)),VLOOKUP($E740,'Status Thresholds'!$E:$AR,37,FALSE),IF((AND($U$4=FALSE,$U$5=TRUE,$U$6=FALSE,$U$7=TRUE)),VLOOKUP($E740,'Status Thresholds'!$E:$AR,27,FALSE)))))))))
))/
IF(OR($X$5=TRUE,$AC$3=TRUE
),($F$4/2), IF(OR($X$2,$X$3,$X$4,$X$6,$X$7,$X$8,$Z$2,$Z$3,$Z$4,$Z$5,$Z$6,$Z$7,$Z$8)=TRUE,$F$4)),0),"-")</f>
        <v>-</v>
      </c>
      <c r="G740" s="36" t="str">
        <f>IFERROR(
ROUNDUP(
IF(AND($U$5=FALSE,$U$4=FALSE),"-",IF(AND($U$5=TRUE,$U$4=TRUE),"-",
IF((AND($U$4=TRUE,$U$5=FALSE,$U$6=FALSE,$U$7=FALSE)),VLOOKUP($E740,'Status Thresholds'!$E:$AR,3,FALSE),IF((AND($U$4=TRUE,$U$5=FALSE,$U$6=TRUE,$U$7=FALSE)),VLOOKUP($E740,'Status Thresholds'!$E:$AR,13,FALSE),IF((AND($U$4=TRUE,$U$5=FALSE,$U$6=TRUE,$U$7=TRUE)),VLOOKUP($E740,'Status Thresholds'!$E:$AR,18,FALSE),IF((AND($U$4=TRUE,$U$5=FALSE,$U$6=FALSE,$U$7=TRUE)),VLOOKUP($E740,'Status Thresholds'!$E:$AR,8,FALSE),
IF((AND($U$4=FALSE,$U$5=TRUE,$U$6=FALSE,$U$7=FALSE)),VLOOKUP($E740,'Status Thresholds'!$E:$AR,23,FALSE),IF((AND($U$4=FALSE,$U$5=TRUE,$U$6=TRUE,$U$7=FALSE)),VLOOKUP($E740,'Status Thresholds'!$E:$AR,33,FALSE),IF((AND($U$4=FALSE,$U$5=TRUE,$U$6=TRUE,$U$7=TRUE)),VLOOKUP($E740,'Status Thresholds'!$E:$AR,38,FALSE),IF((AND($U$4=FALSE,$U$5=TRUE,$U$6=FALSE,$U$7=TRUE)),VLOOKUP($E740,'Status Thresholds'!$E:$AR,28,FALSE)))))))))
))/
IF(OR($X$5=TRUE,$AC$3=TRUE
),($F$4/2), IF(OR($X$2,$X$3,$X$4,$X$6,$X$7,$X$8,$Z$2,$Z$3,$Z$4,$Z$5,$Z$6,$Z$7,$Z$8)=TRUE,$F$4)),0),"-")</f>
        <v>-</v>
      </c>
      <c r="H740" s="36" t="str">
        <f>IFERROR(
ROUNDUP(
IF(AND($U$5=FALSE,$U$4=FALSE),"-",IF(AND($U$5=TRUE,$U$4=TRUE),"-",
IF((AND($U$4=TRUE,$U$5=FALSE,$U$6=FALSE,$U$7=FALSE)),VLOOKUP($E740,'Status Thresholds'!$E:$AR,4,FALSE),IF((AND($U$4=TRUE,$U$5=FALSE,$U$6=TRUE,$U$7=FALSE)),VLOOKUP($E740,'Status Thresholds'!$E:$AR,14,FALSE),IF((AND($U$4=TRUE,$U$5=FALSE,$U$6=TRUE,$U$7=TRUE)),VLOOKUP($E740,'Status Thresholds'!$E:$AR,19,FALSE),IF((AND($U$4=TRUE,$U$5=FALSE,$U$6=FALSE,$U$7=TRUE)),VLOOKUP($E740,'Status Thresholds'!$E:$AR,9,FALSE),
IF((AND($U$4=FALSE,$U$5=TRUE,$U$6=FALSE,$U$7=FALSE)),VLOOKUP($E740,'Status Thresholds'!$E:$AR,24,FALSE),IF((AND($U$4=FALSE,$U$5=TRUE,$U$6=TRUE,$U$7=FALSE)),VLOOKUP($E740,'Status Thresholds'!$E:$AR,34,FALSE),IF((AND($U$4=FALSE,$U$5=TRUE,$U$6=TRUE,$U$7=TRUE)),VLOOKUP($E740,'Status Thresholds'!$E:$AR,39,FALSE),IF((AND($U$4=FALSE,$U$5=TRUE,$U$6=FALSE,$U$7=TRUE)),VLOOKUP($E740,'Status Thresholds'!$E:$AR,29,FALSE)))))))))
))/
IF(OR($X$5=TRUE,$AC$3=TRUE
),($F$4/2), IF(OR($X$2,$X$3,$X$4,$X$6,$X$7,$X$8,$Z$2,$Z$3,$Z$4,$Z$5,$Z$6,$Z$7,$Z$8)=TRUE,$F$4)),0),"-")</f>
        <v>-</v>
      </c>
      <c r="I740" s="36" t="str">
        <f>IFERROR(
ROUNDUP(
IF(AND($U$5=FALSE,$U$4=FALSE),"-",IF(AND($U$5=TRUE,$U$4=TRUE),"-",
IF((AND($U$4=TRUE,$U$5=FALSE,$U$6=FALSE,$U$7=FALSE)),VLOOKUP($E740,'Status Thresholds'!$E:$AR,5,FALSE),IF((AND($U$4=TRUE,$U$5=FALSE,$U$6=TRUE,$U$7=FALSE)),VLOOKUP($E740,'Status Thresholds'!$E:$AR,15,FALSE),IF((AND($U$4=TRUE,$U$5=FALSE,$U$6=TRUE,$U$7=TRUE)),VLOOKUP($E740,'Status Thresholds'!$E:$AR,20,FALSE),IF((AND($U$4=TRUE,$U$5=FALSE,$U$6=FALSE,$U$7=TRUE)),VLOOKUP($E740,'Status Thresholds'!$E:$AR,10,FALSE),
IF((AND($U$4=FALSE,$U$5=TRUE,$U$6=FALSE,$U$7=FALSE)),VLOOKUP($E740,'Status Thresholds'!$E:$AR,25,FALSE),IF((AND($U$4=FALSE,$U$5=TRUE,$U$6=TRUE,$U$7=FALSE)),VLOOKUP($E740,'Status Thresholds'!$E:$AR,35,FALSE),IF((AND($U$4=FALSE,$U$5=TRUE,$U$6=TRUE,$U$7=TRUE)),VLOOKUP($E740,'Status Thresholds'!$E:$AR,40,FALSE),IF((AND($U$4=FALSE,$U$5=TRUE,$U$6=FALSE,$U$7=TRUE)),VLOOKUP($E740,'Status Thresholds'!$E:$AR,30,FALSE)))))))))
))/
IF(OR($X$5=TRUE,$AC$3=TRUE
),($F$4/2), IF(OR($X$2,$X$3,$X$4,$X$6,$X$7,$X$8,$Z$2,$Z$3,$Z$4,$Z$5,$Z$6,$Z$7,$Z$8)=TRUE,$F$4)),0),"-")</f>
        <v>-</v>
      </c>
      <c r="J740" s="46">
        <f>IFERROR(IF(AND($U$5=FALSE,$U$4=FALSE),"-",VLOOKUP($E740,'Status Thresholds'!$E:$AU,41,FALSE)),"-")</f>
        <v>40</v>
      </c>
      <c r="K740" s="46" t="str">
        <f>IFERROR(IF(AND($U$5=FALSE,$U$4=FALSE),"-",VLOOKUP($E740,'Status Thresholds'!$E:$AU,42,FALSE)),"-")</f>
        <v>-</v>
      </c>
      <c r="L740" s="46" t="str">
        <f>IFERROR(IF(AND($U$5=FALSE,$U$4=FALSE),"-",VLOOKUP($E740,'Status Thresholds'!$E:$AU,43,FALSE)),"-")</f>
        <v>-</v>
      </c>
    </row>
    <row r="741" spans="1:12" x14ac:dyDescent="0.25">
      <c r="A741" s="35"/>
      <c r="B741" s="64" t="str">
        <f>VLOOKUP(C741,'Status Thresholds'!B:C,2,FALSE)</f>
        <v>MHGen</v>
      </c>
      <c r="C741" s="64" t="str">
        <f>IF('Status Thresholds'!B736=0, "", 'Status Thresholds'!B736)</f>
        <v>Tetsucabra</v>
      </c>
      <c r="D741" s="32" t="s">
        <v>33</v>
      </c>
      <c r="E741" s="36" t="str">
        <f t="shared" si="11"/>
        <v>TetsucabraPoison</v>
      </c>
      <c r="F741" s="36" t="str">
        <f>IFERROR(
ROUNDUP(
IF(AND($U$5=FALSE,$U$4=FALSE),"-",IF(AND($U$5=TRUE,$U$4=TRUE),"-",
IF((AND($U$4=TRUE,$U$5=FALSE,$U$6=FALSE,$U$7=FALSE)),VLOOKUP($E741,'Status Thresholds'!$E:$AR,2,FALSE),IF((AND($U$4=TRUE,$U$5=FALSE,$U$6=TRUE,$U$7=FALSE)),VLOOKUP($E741,'Status Thresholds'!$E:$AR,12,FALSE),IF((AND($U$4=TRUE,$U$5=FALSE,$U$6=TRUE,$U$7=TRUE)),VLOOKUP($E741,'Status Thresholds'!$E:$AR,17,FALSE),IF((AND($U$4=TRUE,$U$5=FALSE,$U$6=FALSE,$U$7=TRUE)),VLOOKUP($E741,'Status Thresholds'!$E:$AR,7,FALSE),
IF((AND($U$4=FALSE,$U$5=TRUE,$U$6=FALSE,$U$7=FALSE)),VLOOKUP($E741,'Status Thresholds'!$E:$AR,22,FALSE),IF((AND($U$4=FALSE,$U$5=TRUE,$U$6=TRUE,$U$7=FALSE)),VLOOKUP($E741,'Status Thresholds'!$E:$AR,32,FALSE),IF((AND($U$4=FALSE,$U$5=TRUE,$U$6=TRUE,$U$7=TRUE)),VLOOKUP($E741,'Status Thresholds'!$E:$AR,37,FALSE),IF((AND($U$4=FALSE,$U$5=TRUE,$U$6=FALSE,$U$7=TRUE)),VLOOKUP($E741,'Status Thresholds'!$E:$AR,27,FALSE)))))))))
))/
IF(OR($X$5=TRUE,$AC$3=TRUE
),($F$5/2), IF(OR($X$2,$X$3,$X$4,$X$6,$X$7,$X$8,$Z$2,$Z$3,$Z$4,$Z$5,$Z$6,$Z$7,$Z$8)=TRUE,$F$5)),0),"-")</f>
        <v>-</v>
      </c>
      <c r="G741" s="36" t="str">
        <f>IFERROR(
ROUNDUP(
IF(AND($U$5=FALSE,$U$4=FALSE),"-",IF(AND($U$5=TRUE,$U$4=TRUE),"-",
IF((AND($U$4=TRUE,$U$5=FALSE,$U$6=FALSE,$U$7=FALSE)),VLOOKUP($E741,'Status Thresholds'!$E:$AR,3,FALSE),IF((AND($U$4=TRUE,$U$5=FALSE,$U$6=TRUE,$U$7=FALSE)),VLOOKUP($E741,'Status Thresholds'!$E:$AR,13,FALSE),IF((AND($U$4=TRUE,$U$5=FALSE,$U$6=TRUE,$U$7=TRUE)),VLOOKUP($E741,'Status Thresholds'!$E:$AR,18,FALSE),IF((AND($U$4=TRUE,$U$5=FALSE,$U$6=FALSE,$U$7=TRUE)),VLOOKUP($E741,'Status Thresholds'!$E:$AR,8,FALSE),
IF((AND($U$4=FALSE,$U$5=TRUE,$U$6=FALSE,$U$7=FALSE)),VLOOKUP($E741,'Status Thresholds'!$E:$AR,23,FALSE),IF((AND($U$4=FALSE,$U$5=TRUE,$U$6=TRUE,$U$7=FALSE)),VLOOKUP($E741,'Status Thresholds'!$E:$AR,33,FALSE),IF((AND($U$4=FALSE,$U$5=TRUE,$U$6=TRUE,$U$7=TRUE)),VLOOKUP($E741,'Status Thresholds'!$E:$AR,38,FALSE),IF((AND($U$4=FALSE,$U$5=TRUE,$U$6=FALSE,$U$7=TRUE)),VLOOKUP($E741,'Status Thresholds'!$E:$AR,28,FALSE)))))))))
))/
IF(OR($X$5=TRUE,$AC$3=TRUE
),($F$5/2), IF(OR($X$2,$X$3,$X$4,$X$6,$X$7,$X$8,$Z$2,$Z$3,$Z$4,$Z$5,$Z$6,$Z$7,$Z$8)=TRUE,$F$5)),0),"-")</f>
        <v>-</v>
      </c>
      <c r="H741" s="36" t="str">
        <f>IFERROR(
ROUNDUP(
IF(AND($U$5=FALSE,$U$4=FALSE),"-",IF(AND($U$5=TRUE,$U$4=TRUE),"-",
IF((AND($U$4=TRUE,$U$5=FALSE,$U$6=FALSE,$U$7=FALSE)),VLOOKUP($E741,'Status Thresholds'!$E:$AR,4,FALSE),IF((AND($U$4=TRUE,$U$5=FALSE,$U$6=TRUE,$U$7=FALSE)),VLOOKUP($E741,'Status Thresholds'!$E:$AR,14,FALSE),IF((AND($U$4=TRUE,$U$5=FALSE,$U$6=TRUE,$U$7=TRUE)),VLOOKUP($E741,'Status Thresholds'!$E:$AR,19,FALSE),IF((AND($U$4=TRUE,$U$5=FALSE,$U$6=FALSE,$U$7=TRUE)),VLOOKUP($E741,'Status Thresholds'!$E:$AR,9,FALSE),
IF((AND($U$4=FALSE,$U$5=TRUE,$U$6=FALSE,$U$7=FALSE)),VLOOKUP($E741,'Status Thresholds'!$E:$AR,24,FALSE),IF((AND($U$4=FALSE,$U$5=TRUE,$U$6=TRUE,$U$7=FALSE)),VLOOKUP($E741,'Status Thresholds'!$E:$AR,34,FALSE),IF((AND($U$4=FALSE,$U$5=TRUE,$U$6=TRUE,$U$7=TRUE)),VLOOKUP($E741,'Status Thresholds'!$E:$AR,39,FALSE),IF((AND($U$4=FALSE,$U$5=TRUE,$U$6=FALSE,$U$7=TRUE)),VLOOKUP($E741,'Status Thresholds'!$E:$AR,29,FALSE)))))))))
))/
IF(OR($X$5=TRUE,$AC$3=TRUE
),($F$5/2), IF(OR($X$2,$X$3,$X$4,$X$6,$X$7,$X$8,$Z$2,$Z$3,$Z$4,$Z$5,$Z$6,$Z$7,$Z$8)=TRUE,$F$5)),0),"-")</f>
        <v>-</v>
      </c>
      <c r="I741" s="36" t="str">
        <f>IFERROR(
ROUNDUP(
IF(AND($U$5=FALSE,$U$4=FALSE),"-",IF(AND($U$5=TRUE,$U$4=TRUE),"-",
IF((AND($U$4=TRUE,$U$5=FALSE,$U$6=FALSE,$U$7=FALSE)),VLOOKUP($E741,'Status Thresholds'!$E:$AR,5,FALSE),IF((AND($U$4=TRUE,$U$5=FALSE,$U$6=TRUE,$U$7=FALSE)),VLOOKUP($E741,'Status Thresholds'!$E:$AR,15,FALSE),IF((AND($U$4=TRUE,$U$5=FALSE,$U$6=TRUE,$U$7=TRUE)),VLOOKUP($E741,'Status Thresholds'!$E:$AR,20,FALSE),IF((AND($U$4=TRUE,$U$5=FALSE,$U$6=FALSE,$U$7=TRUE)),VLOOKUP($E741,'Status Thresholds'!$E:$AR,10,FALSE),
IF((AND($U$4=FALSE,$U$5=TRUE,$U$6=FALSE,$U$7=FALSE)),VLOOKUP($E741,'Status Thresholds'!$E:$AR,25,FALSE),IF((AND($U$4=FALSE,$U$5=TRUE,$U$6=TRUE,$U$7=FALSE)),VLOOKUP($E741,'Status Thresholds'!$E:$AR,35,FALSE),IF((AND($U$4=FALSE,$U$5=TRUE,$U$6=TRUE,$U$7=TRUE)),VLOOKUP($E741,'Status Thresholds'!$E:$AR,40,FALSE),IF((AND($U$4=FALSE,$U$5=TRUE,$U$6=FALSE,$U$7=TRUE)),VLOOKUP($E741,'Status Thresholds'!$E:$AR,30,FALSE)))))))))
))/
IF(OR($X$5=TRUE,$AC$3=TRUE
),($F$5/2), IF(OR($X$2,$X$3,$X$4,$X$6,$X$7,$X$8,$Z$2,$Z$3,$Z$4,$Z$5,$Z$6,$Z$7,$Z$8)=TRUE,$F$5)),0),"-")</f>
        <v>-</v>
      </c>
      <c r="J741" s="46">
        <f>IFERROR(IF(AND($U$5=FALSE,$U$4=FALSE),"-",VLOOKUP($E741,'Status Thresholds'!$E:$AU,41,FALSE)),"-")</f>
        <v>60</v>
      </c>
      <c r="K741" s="46" t="str">
        <f>IFERROR(IF(AND($U$5=FALSE,$U$4=FALSE),"-",VLOOKUP($E741,'Status Thresholds'!$E:$AU,42,FALSE)),"-")</f>
        <v>-</v>
      </c>
      <c r="L741" s="46" t="str">
        <f>IFERROR(IF(AND($U$5=FALSE,$U$4=FALSE),"-",VLOOKUP($E741,'Status Thresholds'!$E:$AU,43,FALSE)),"-")</f>
        <v>-</v>
      </c>
    </row>
    <row r="742" spans="1:12" x14ac:dyDescent="0.25">
      <c r="A742" s="35"/>
      <c r="B742" s="64" t="str">
        <f>VLOOKUP(C742,'Status Thresholds'!B:C,2,FALSE)</f>
        <v>MHGen</v>
      </c>
      <c r="C742" s="64" t="str">
        <f>IF('Status Thresholds'!B737=0, "", 'Status Thresholds'!B737)</f>
        <v>Tetsucabra</v>
      </c>
      <c r="D742" s="10" t="s">
        <v>22</v>
      </c>
      <c r="E742" s="36" t="str">
        <f t="shared" si="11"/>
        <v>TetsucabraExhaust</v>
      </c>
      <c r="F742" s="36" t="str">
        <f>IFERROR(
ROUNDUP(
IF(AND($U$5=FALSE,$U$4=FALSE),"-",IF(AND($U$5=TRUE,$U$4=TRUE),"-",
IF((AND($U$4=TRUE,$U$5=FALSE,$U$6=FALSE,$U$7=FALSE)),VLOOKUP($E742,'Status Thresholds'!$E:$AR,2,FALSE),IF((AND($U$4=TRUE,$U$5=FALSE,$U$6=TRUE,$U$7=FALSE)),VLOOKUP($E742,'Status Thresholds'!$E:$AR,12,FALSE),IF((AND($U$4=TRUE,$U$5=FALSE,$U$6=TRUE,$U$7=TRUE)),VLOOKUP($E742,'Status Thresholds'!$E:$AR,17,FALSE),IF((AND($U$4=TRUE,$U$5=FALSE,$U$6=FALSE,$U$7=TRUE)),VLOOKUP($E742,'Status Thresholds'!$E:$AR,7,FALSE),
IF((AND($U$4=FALSE,$U$5=TRUE,$U$6=FALSE,$U$7=FALSE)),VLOOKUP($E742,'Status Thresholds'!$E:$AR,22,FALSE),IF((AND($U$4=FALSE,$U$5=TRUE,$U$6=TRUE,$U$7=FALSE)),VLOOKUP($E742,'Status Thresholds'!$E:$AR,32,FALSE),IF((AND($U$4=FALSE,$U$5=TRUE,$U$6=TRUE,$U$7=TRUE)),VLOOKUP($E742,'Status Thresholds'!$E:$AR,37,FALSE),IF((AND($U$4=FALSE,$U$5=TRUE,$U$6=FALSE,$U$7=TRUE)),VLOOKUP($E742,'Status Thresholds'!$E:$AR,27,FALSE)))))))))
))/
IF(OR($X$5=TRUE,$AC$3=TRUE
),($F$6/2), IF(OR($X$2,$X$3,$X$4,$X$6,$X$7,$X$8,$Z$2,$Z$3,$Z$4,$Z$5,$Z$6,$Z$7,$Z$8)=TRUE,$F$6)),0),"-")</f>
        <v>-</v>
      </c>
      <c r="G742" s="36" t="str">
        <f>IFERROR(
ROUNDUP(
IF(AND($U$5=FALSE,$U$4=FALSE),"-",IF(AND($U$5=TRUE,$U$4=TRUE),"-",
IF((AND($U$4=TRUE,$U$5=FALSE,$U$6=FALSE,$U$7=FALSE)),VLOOKUP($E742,'Status Thresholds'!$E:$AR,3,FALSE),IF((AND($U$4=TRUE,$U$5=FALSE,$U$6=TRUE,$U$7=FALSE)),VLOOKUP($E742,'Status Thresholds'!$E:$AR,13,FALSE),IF((AND($U$4=TRUE,$U$5=FALSE,$U$6=TRUE,$U$7=TRUE)),VLOOKUP($E742,'Status Thresholds'!$E:$AR,18,FALSE),IF((AND($U$4=TRUE,$U$5=FALSE,$U$6=FALSE,$U$7=TRUE)),VLOOKUP($E742,'Status Thresholds'!$E:$AR,8,FALSE),
IF((AND($U$4=FALSE,$U$5=TRUE,$U$6=FALSE,$U$7=FALSE)),VLOOKUP($E742,'Status Thresholds'!$E:$AR,23,FALSE),IF((AND($U$4=FALSE,$U$5=TRUE,$U$6=TRUE,$U$7=FALSE)),VLOOKUP($E742,'Status Thresholds'!$E:$AR,33,FALSE),IF((AND($U$4=FALSE,$U$5=TRUE,$U$6=TRUE,$U$7=TRUE)),VLOOKUP($E742,'Status Thresholds'!$E:$AR,38,FALSE),IF((AND($U$4=FALSE,$U$5=TRUE,$U$6=FALSE,$U$7=TRUE)),VLOOKUP($E742,'Status Thresholds'!$E:$AR,28,FALSE)))))))))
))/
IF(OR($X$5=TRUE,$AC$3=TRUE
),($F$6/2), IF(OR($X$2,$X$3,$X$4,$X$6,$X$7,$X$8,$Z$2,$Z$3,$Z$4,$Z$5,$Z$6,$Z$7,$Z$8)=TRUE,$F$6)),0),"-")</f>
        <v>-</v>
      </c>
      <c r="H742" s="36" t="str">
        <f>IFERROR(
ROUNDUP(
IF(AND($U$5=FALSE,$U$4=FALSE),"-",IF(AND($U$5=TRUE,$U$4=TRUE),"-",
IF((AND($U$4=TRUE,$U$5=FALSE,$U$6=FALSE,$U$7=FALSE)),VLOOKUP($E742,'Status Thresholds'!$E:$AR,4,FALSE),IF((AND($U$4=TRUE,$U$5=FALSE,$U$6=TRUE,$U$7=FALSE)),VLOOKUP($E742,'Status Thresholds'!$E:$AR,14,FALSE),IF((AND($U$4=TRUE,$U$5=FALSE,$U$6=TRUE,$U$7=TRUE)),VLOOKUP($E742,'Status Thresholds'!$E:$AR,19,FALSE),IF((AND($U$4=TRUE,$U$5=FALSE,$U$6=FALSE,$U$7=TRUE)),VLOOKUP($E742,'Status Thresholds'!$E:$AR,9,FALSE),
IF((AND($U$4=FALSE,$U$5=TRUE,$U$6=FALSE,$U$7=FALSE)),VLOOKUP($E742,'Status Thresholds'!$E:$AR,24,FALSE),IF((AND($U$4=FALSE,$U$5=TRUE,$U$6=TRUE,$U$7=FALSE)),VLOOKUP($E742,'Status Thresholds'!$E:$AR,34,FALSE),IF((AND($U$4=FALSE,$U$5=TRUE,$U$6=TRUE,$U$7=TRUE)),VLOOKUP($E742,'Status Thresholds'!$E:$AR,39,FALSE),IF((AND($U$4=FALSE,$U$5=TRUE,$U$6=FALSE,$U$7=TRUE)),VLOOKUP($E742,'Status Thresholds'!$E:$AR,29,FALSE)))))))))
))/
IF(OR($X$5=TRUE,$AC$3=TRUE
),($F$6/2), IF(OR($X$2,$X$3,$X$4,$X$6,$X$7,$X$8,$Z$2,$Z$3,$Z$4,$Z$5,$Z$6,$Z$7,$Z$8)=TRUE,$F$6)),0),"-")</f>
        <v>-</v>
      </c>
      <c r="I742" s="36" t="str">
        <f>IFERROR(
ROUNDUP(
IF(AND($U$5=FALSE,$U$4=FALSE),"-",IF(AND($U$5=TRUE,$U$4=TRUE),"-",
IF((AND($U$4=TRUE,$U$5=FALSE,$U$6=FALSE,$U$7=FALSE)),VLOOKUP($E742,'Status Thresholds'!$E:$AR,5,FALSE),IF((AND($U$4=TRUE,$U$5=FALSE,$U$6=TRUE,$U$7=FALSE)),VLOOKUP($E742,'Status Thresholds'!$E:$AR,15,FALSE),IF((AND($U$4=TRUE,$U$5=FALSE,$U$6=TRUE,$U$7=TRUE)),VLOOKUP($E742,'Status Thresholds'!$E:$AR,20,FALSE),IF((AND($U$4=TRUE,$U$5=FALSE,$U$6=FALSE,$U$7=TRUE)),VLOOKUP($E742,'Status Thresholds'!$E:$AR,10,FALSE),
IF((AND($U$4=FALSE,$U$5=TRUE,$U$6=FALSE,$U$7=FALSE)),VLOOKUP($E742,'Status Thresholds'!$E:$AR,25,FALSE),IF((AND($U$4=FALSE,$U$5=TRUE,$U$6=TRUE,$U$7=FALSE)),VLOOKUP($E742,'Status Thresholds'!$E:$AR,35,FALSE),IF((AND($U$4=FALSE,$U$5=TRUE,$U$6=TRUE,$U$7=TRUE)),VLOOKUP($E742,'Status Thresholds'!$E:$AR,40,FALSE),IF((AND($U$4=FALSE,$U$5=TRUE,$U$6=FALSE,$U$7=TRUE)),VLOOKUP($E742,'Status Thresholds'!$E:$AR,30,FALSE)))))))))
))/
IF(OR($X$5=TRUE,$AC$3=TRUE
),($F$6/2), IF(OR($X$2,$X$3,$X$4,$X$6,$X$7,$X$8,$Z$2,$Z$3,$Z$4,$Z$5,$Z$6,$Z$7,$Z$8)=TRUE,$F$6)),0),"-")</f>
        <v>-</v>
      </c>
      <c r="J742" s="46">
        <f>IFERROR(IF(AND($U$5=FALSE,$U$4=FALSE),"-",VLOOKUP($E742,'Status Thresholds'!$E:$AU,41,FALSE)),"-")</f>
        <v>0</v>
      </c>
      <c r="K742" s="46" t="str">
        <f>IFERROR(IF(AND($U$5=FALSE,$U$4=FALSE),"-",VLOOKUP($E742,'Status Thresholds'!$E:$AU,42,FALSE)),"-")</f>
        <v>-</v>
      </c>
      <c r="L742" s="46" t="str">
        <f>IFERROR(IF(AND($U$5=FALSE,$U$4=FALSE),"-",VLOOKUP($E742,'Status Thresholds'!$E:$AU,43,FALSE)),"-")</f>
        <v>-</v>
      </c>
    </row>
    <row r="743" spans="1:12" x14ac:dyDescent="0.25">
      <c r="A743" s="35"/>
      <c r="B743" s="64" t="str">
        <f>VLOOKUP(C743,'Status Thresholds'!B:C,2,FALSE)</f>
        <v>MHGen</v>
      </c>
      <c r="C743" s="64" t="str">
        <f>IF('Status Thresholds'!B738=0, "", 'Status Thresholds'!B738)</f>
        <v>Tetsucabra</v>
      </c>
      <c r="D743" s="30" t="s">
        <v>35</v>
      </c>
      <c r="E743" s="36" t="str">
        <f t="shared" si="11"/>
        <v>TetsucabraBlast</v>
      </c>
      <c r="F743" s="36" t="str">
        <f>IFERROR(
ROUNDUP(
IF(AND($U$5=FALSE,$U$4=FALSE),"-",IF(AND($U$5=TRUE,$U$4=TRUE),"-",
IF((AND($U$4=TRUE,$U$5=FALSE,$U$6=FALSE,$U$7=FALSE)),VLOOKUP($E743,'Status Thresholds'!$E:$AR,2,FALSE),IF((AND($U$4=TRUE,$U$5=FALSE,$U$6=TRUE,$U$7=FALSE)),VLOOKUP($E743,'Status Thresholds'!$E:$AR,12,FALSE),IF((AND($U$4=TRUE,$U$5=FALSE,$U$6=TRUE,$U$7=TRUE)),VLOOKUP($E743,'Status Thresholds'!$E:$AR,17,FALSE),IF((AND($U$4=TRUE,$U$5=FALSE,$U$6=FALSE,$U$7=TRUE)),VLOOKUP($E743,'Status Thresholds'!$E:$AR,7,FALSE),
IF((AND($U$4=FALSE,$U$5=TRUE,$U$6=FALSE,$U$7=FALSE)),VLOOKUP($E743,'Status Thresholds'!$E:$AR,22,FALSE),IF((AND($U$4=FALSE,$U$5=TRUE,$U$6=TRUE,$U$7=FALSE)),VLOOKUP($E743,'Status Thresholds'!$E:$AR,32,FALSE),IF((AND($U$4=FALSE,$U$5=TRUE,$U$6=TRUE,$U$7=TRUE)),VLOOKUP($E743,'Status Thresholds'!$E:$AR,37,FALSE),IF((AND($U$4=FALSE,$U$5=TRUE,$U$6=FALSE,$U$7=TRUE)),VLOOKUP($E743,'Status Thresholds'!$E:$AR,27,FALSE)))))))))
))/
IF(OR($X$5=TRUE,$AC$3=TRUE
),($F$7/2), IF(OR($X$2,$X$3,$X$4,$X$6,$X$7,$X$8,$Z$2,$Z$3,$Z$4,$Z$5,$Z$6,$Z$7,$Z$8)=TRUE,$F$7)),0),"-")</f>
        <v>-</v>
      </c>
      <c r="G743" s="36" t="str">
        <f>IFERROR(
ROUNDUP(
IF(AND($U$5=FALSE,$U$4=FALSE),"-",IF(AND($U$5=TRUE,$U$4=TRUE),"-",
IF((AND($U$4=TRUE,$U$5=FALSE,$U$6=FALSE,$U$7=FALSE)),VLOOKUP($E743,'Status Thresholds'!$E:$AR,3,FALSE),IF((AND($U$4=TRUE,$U$5=FALSE,$U$6=TRUE,$U$7=FALSE)),VLOOKUP($E743,'Status Thresholds'!$E:$AR,13,FALSE),IF((AND($U$4=TRUE,$U$5=FALSE,$U$6=TRUE,$U$7=TRUE)),VLOOKUP($E743,'Status Thresholds'!$E:$AR,18,FALSE),IF((AND($U$4=TRUE,$U$5=FALSE,$U$6=FALSE,$U$7=TRUE)),VLOOKUP($E743,'Status Thresholds'!$E:$AR,8,FALSE),
IF((AND($U$4=FALSE,$U$5=TRUE,$U$6=FALSE,$U$7=FALSE)),VLOOKUP($E743,'Status Thresholds'!$E:$AR,23,FALSE),IF((AND($U$4=FALSE,$U$5=TRUE,$U$6=TRUE,$U$7=FALSE)),VLOOKUP($E743,'Status Thresholds'!$E:$AR,33,FALSE),IF((AND($U$4=FALSE,$U$5=TRUE,$U$6=TRUE,$U$7=TRUE)),VLOOKUP($E743,'Status Thresholds'!$E:$AR,38,FALSE),IF((AND($U$4=FALSE,$U$5=TRUE,$U$6=FALSE,$U$7=TRUE)),VLOOKUP($E743,'Status Thresholds'!$E:$AR,28,FALSE)))))))))
))/
IF(OR($X$5=TRUE,$AC$3=TRUE
),($F$7/2), IF(OR($X$2,$X$3,$X$4,$X$6,$X$7,$X$8,$Z$2,$Z$3,$Z$4,$Z$5,$Z$6,$Z$7,$Z$8)=TRUE,$F$7)),0),"-")</f>
        <v>-</v>
      </c>
      <c r="H743" s="36" t="str">
        <f>IFERROR(
ROUNDUP(
IF(AND($U$5=FALSE,$U$4=FALSE),"-",IF(AND($U$5=TRUE,$U$4=TRUE),"-",
IF((AND($U$4=TRUE,$U$5=FALSE,$U$6=FALSE,$U$7=FALSE)),VLOOKUP($E743,'Status Thresholds'!$E:$AR,4,FALSE),IF((AND($U$4=TRUE,$U$5=FALSE,$U$6=TRUE,$U$7=FALSE)),VLOOKUP($E743,'Status Thresholds'!$E:$AR,14,FALSE),IF((AND($U$4=TRUE,$U$5=FALSE,$U$6=TRUE,$U$7=TRUE)),VLOOKUP($E743,'Status Thresholds'!$E:$AR,19,FALSE),IF((AND($U$4=TRUE,$U$5=FALSE,$U$6=FALSE,$U$7=TRUE)),VLOOKUP($E743,'Status Thresholds'!$E:$AR,9,FALSE),
IF((AND($U$4=FALSE,$U$5=TRUE,$U$6=FALSE,$U$7=FALSE)),VLOOKUP($E743,'Status Thresholds'!$E:$AR,24,FALSE),IF((AND($U$4=FALSE,$U$5=TRUE,$U$6=TRUE,$U$7=FALSE)),VLOOKUP($E743,'Status Thresholds'!$E:$AR,34,FALSE),IF((AND($U$4=FALSE,$U$5=TRUE,$U$6=TRUE,$U$7=TRUE)),VLOOKUP($E743,'Status Thresholds'!$E:$AR,39,FALSE),IF((AND($U$4=FALSE,$U$5=TRUE,$U$6=FALSE,$U$7=TRUE)),VLOOKUP($E743,'Status Thresholds'!$E:$AR,29,FALSE)))))))))
))/
IF(OR($X$5=TRUE,$AC$3=TRUE
),($F$7/2), IF(OR($X$2,$X$3,$X$4,$X$6,$X$7,$X$8,$Z$2,$Z$3,$Z$4,$Z$5,$Z$6,$Z$7,$Z$8)=TRUE,$F$7)),0),"-")</f>
        <v>-</v>
      </c>
      <c r="I743" s="36" t="str">
        <f>IFERROR(
ROUNDUP(
IF(AND($U$5=FALSE,$U$4=FALSE),"-",IF(AND($U$5=TRUE,$U$4=TRUE),"-",
IF((AND($U$4=TRUE,$U$5=FALSE,$U$6=FALSE,$U$7=FALSE)),VLOOKUP($E743,'Status Thresholds'!$E:$AR,5,FALSE),IF((AND($U$4=TRUE,$U$5=FALSE,$U$6=TRUE,$U$7=FALSE)),VLOOKUP($E743,'Status Thresholds'!$E:$AR,15,FALSE),IF((AND($U$4=TRUE,$U$5=FALSE,$U$6=TRUE,$U$7=TRUE)),VLOOKUP($E743,'Status Thresholds'!$E:$AR,20,FALSE),IF((AND($U$4=TRUE,$U$5=FALSE,$U$6=FALSE,$U$7=TRUE)),VLOOKUP($E743,'Status Thresholds'!$E:$AR,10,FALSE),
IF((AND($U$4=FALSE,$U$5=TRUE,$U$6=FALSE,$U$7=FALSE)),VLOOKUP($E743,'Status Thresholds'!$E:$AR,25,FALSE),IF((AND($U$4=FALSE,$U$5=TRUE,$U$6=TRUE,$U$7=FALSE)),VLOOKUP($E743,'Status Thresholds'!$E:$AR,35,FALSE),IF((AND($U$4=FALSE,$U$5=TRUE,$U$6=TRUE,$U$7=TRUE)),VLOOKUP($E743,'Status Thresholds'!$E:$AR,40,FALSE),IF((AND($U$4=FALSE,$U$5=TRUE,$U$6=FALSE,$U$7=TRUE)),VLOOKUP($E743,'Status Thresholds'!$E:$AR,30,FALSE)))))))))
))/
IF(OR($X$5=TRUE,$AC$3=TRUE
),($F$7/2), IF(OR($X$2,$X$3,$X$4,$X$6,$X$7,$X$8,$Z$2,$Z$3,$Z$4,$Z$5,$Z$6,$Z$7,$Z$8)=TRUE,$F$7)),0),"-")</f>
        <v>-</v>
      </c>
      <c r="J743" s="46">
        <f>IFERROR(IF(AND($U$5=FALSE,$U$4=FALSE),"-",VLOOKUP($E743,'Status Thresholds'!$E:$AU,41,FALSE)),"-")</f>
        <v>0</v>
      </c>
      <c r="K743" s="46" t="str">
        <f>IFERROR(IF(AND($U$5=FALSE,$U$4=FALSE),"-",VLOOKUP($E743,'Status Thresholds'!$E:$AU,42,FALSE)),"-")</f>
        <v>-</v>
      </c>
      <c r="L743" s="46" t="str">
        <f>IFERROR(IF(AND($U$5=FALSE,$U$4=FALSE),"-",VLOOKUP($E743,'Status Thresholds'!$E:$AU,43,FALSE)),"-")</f>
        <v>-</v>
      </c>
    </row>
    <row r="744" spans="1:12" ht="14.45" customHeight="1" x14ac:dyDescent="0.25">
      <c r="A744" s="35"/>
      <c r="B744" s="64" t="str">
        <f>VLOOKUP(C744,'Status Thresholds'!B:C,2,FALSE)</f>
        <v>MHGen</v>
      </c>
      <c r="C744" s="64" t="str">
        <f>IF('Status Thresholds'!B739=0, "", 'Status Thresholds'!B739)</f>
        <v>Tetsucabra</v>
      </c>
      <c r="D744" s="34" t="s">
        <v>14</v>
      </c>
      <c r="E744" s="36" t="str">
        <f t="shared" si="11"/>
        <v>TetsucabraKO</v>
      </c>
      <c r="F744" s="36" t="s">
        <v>214</v>
      </c>
      <c r="G744" s="36" t="s">
        <v>214</v>
      </c>
      <c r="H744" s="36" t="s">
        <v>214</v>
      </c>
      <c r="I744" s="36" t="s">
        <v>214</v>
      </c>
      <c r="J744" s="46">
        <f>IFERROR(IF(AND($U$5=FALSE,$U$4=FALSE),"-",VLOOKUP($E744,'Status Thresholds'!$E:$AU,41,FALSE)),"-")</f>
        <v>10</v>
      </c>
      <c r="K744" s="46" t="str">
        <f>IFERROR(IF(AND($U$5=FALSE,$U$4=FALSE),"-",VLOOKUP($E744,'Status Thresholds'!$E:$AU,42,FALSE)),"-")</f>
        <v>-</v>
      </c>
      <c r="L744" s="46" t="str">
        <f>IFERROR(IF(AND($U$5=FALSE,$U$4=FALSE),"-",VLOOKUP($E744,'Status Thresholds'!$E:$AU,43,FALSE)),"-")</f>
        <v>-</v>
      </c>
    </row>
    <row r="745" spans="1:12" x14ac:dyDescent="0.25">
      <c r="A745" s="35"/>
      <c r="B745" s="64" t="str">
        <f>VLOOKUP(C745,'Status Thresholds'!B:C,2,FALSE)</f>
        <v>MHGen</v>
      </c>
      <c r="C745" s="64" t="str">
        <f>IF('Status Thresholds'!B740=0, "", 'Status Thresholds'!B740)</f>
        <v>Tetsucabra</v>
      </c>
      <c r="D745" s="33" t="s">
        <v>34</v>
      </c>
      <c r="E745" s="36" t="str">
        <f t="shared" si="11"/>
        <v>TetsucabraMount</v>
      </c>
      <c r="F745" s="36" t="str">
        <f>IFERROR(
ROUNDUP(
IF(AND($U$5=FALSE,$U$4=FALSE),"-",IF(AND($U$5=TRUE,$U$4=TRUE),"-",
IF((AND($U$4=TRUE,$U$5=FALSE,$U$6=FALSE,$U$7=FALSE)),VLOOKUP($E745,'Status Thresholds'!$E:$AR,2,FALSE),IF((AND($U$4=TRUE,$U$5=FALSE,$U$6=TRUE,$U$7=FALSE)),VLOOKUP($E745,'Status Thresholds'!$E:$AR,12,FALSE),IF((AND($U$4=TRUE,$U$5=FALSE,$U$6=TRUE,$U$7=TRUE)),VLOOKUP($E745,'Status Thresholds'!$E:$AR,17,FALSE),IF((AND($U$4=TRUE,$U$5=FALSE,$U$6=FALSE,$U$7=TRUE)),VLOOKUP($E745,'Status Thresholds'!$E:$AR,7,FALSE),
IF((AND($U$4=FALSE,$U$5=TRUE,$U$6=FALSE,$U$7=FALSE)),VLOOKUP($E745,'Status Thresholds'!$E:$AR,22,FALSE),IF((AND($U$4=FALSE,$U$5=TRUE,$U$6=TRUE,$U$7=FALSE)),VLOOKUP($E745,'Status Thresholds'!$E:$AR,32,FALSE),IF((AND($U$4=FALSE,$U$5=TRUE,$U$6=TRUE,$U$7=TRUE)),VLOOKUP($E745,'Status Thresholds'!$E:$AR,37,FALSE),IF((AND($U$4=FALSE,$U$5=TRUE,$U$6=FALSE,$U$7=TRUE)),VLOOKUP($E745,'Status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745" s="36" t="str">
        <f>IFERROR(
ROUNDUP(
IF(AND($U$5=FALSE,$U$4=FALSE),"-",IF(AND($U$5=TRUE,$U$4=TRUE),"-",
IF((AND($U$4=TRUE,$U$5=FALSE,$U$6=FALSE,$U$7=FALSE)),VLOOKUP($E744,'Status Thresholds'!$E:$AR,3,FALSE),IF((AND($U$4=TRUE,$U$5=FALSE,$U$6=TRUE,$U$7=FALSE)),VLOOKUP($E744,'Status Thresholds'!$E:$AR,13,FALSE),IF((AND($U$4=TRUE,$U$5=FALSE,$U$6=TRUE,$U$7=TRUE)),VLOOKUP($E744,'Status Thresholds'!$E:$AR,18,FALSE),IF((AND($U$4=TRUE,$U$5=FALSE,$U$6=FALSE,$U$7=TRUE)),VLOOKUP($E744,'Status Thresholds'!$E:$AR,8,FALSE),
IF((AND($U$4=FALSE,$U$5=TRUE,$U$6=FALSE,$U$7=FALSE)),VLOOKUP($E744,'Status Thresholds'!$E:$AR,23,FALSE),IF((AND($U$4=FALSE,$U$5=TRUE,$U$6=TRUE,$U$7=FALSE)),VLOOKUP($E744,'Status Thresholds'!$E:$AR,33,FALSE),IF((AND($U$4=FALSE,$U$5=TRUE,$U$6=TRUE,$U$7=TRUE)),VLOOKUP($E744,'Status Thresholds'!$E:$AR,38,FALSE),IF((AND($U$4=FALSE,$U$5=TRUE,$U$6=FALSE,$U$7=TRUE)),VLOOKUP($E744,'Status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745" s="36" t="str">
        <f>IFERROR(
ROUNDUP(
IF(AND($U$5=FALSE,$U$4=FALSE),"-",IF(AND($U$5=TRUE,$U$4=TRUE),"-",
IF((AND($U$4=TRUE,$U$5=FALSE,$U$6=FALSE,$U$7=FALSE)),VLOOKUP($E744,'Status Thresholds'!$E:$AR,4,FALSE),IF((AND($U$4=TRUE,$U$5=FALSE,$U$6=TRUE,$U$7=FALSE)),VLOOKUP($E744,'Status Thresholds'!$E:$AR,14,FALSE),IF((AND($U$4=TRUE,$U$5=FALSE,$U$6=TRUE,$U$7=TRUE)),VLOOKUP($E744,'Status Thresholds'!$E:$AR,19,FALSE),IF((AND($U$4=TRUE,$U$5=FALSE,$U$6=FALSE,$U$7=TRUE)),VLOOKUP($E744,'Status Thresholds'!$E:$AR,9,FALSE),
IF((AND($U$4=FALSE,$U$5=TRUE,$U$6=FALSE,$U$7=FALSE)),VLOOKUP($E744,'Status Thresholds'!$E:$AR,24,FALSE),IF((AND($U$4=FALSE,$U$5=TRUE,$U$6=TRUE,$U$7=FALSE)),VLOOKUP($E744,'Status Thresholds'!$E:$AR,34,FALSE),IF((AND($U$4=FALSE,$U$5=TRUE,$U$6=TRUE,$U$7=TRUE)),VLOOKUP($E744,'Status Thresholds'!$E:$AR,39,FALSE),IF((AND($U$4=FALSE,$U$5=TRUE,$U$6=FALSE,$U$7=TRUE)),VLOOKUP($E744,'Status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745" s="36" t="str">
        <f>IFERROR(
ROUNDUP(
IF(AND($U$5=FALSE,$U$4=FALSE),"-",IF(AND($U$5=TRUE,$U$4=TRUE),"-",
IF((AND($U$4=TRUE,$U$5=FALSE,$U$6=FALSE,$U$7=FALSE)),VLOOKUP($E744,'Status Thresholds'!$E:$AR,5,FALSE),IF((AND($U$4=TRUE,$U$5=FALSE,$U$6=TRUE,$U$7=FALSE)),VLOOKUP($E744,'Status Thresholds'!$E:$AR,15,FALSE),IF((AND($U$4=TRUE,$U$5=FALSE,$U$6=TRUE,$U$7=TRUE)),VLOOKUP($E744,'Status Thresholds'!$E:$AR,20,FALSE),IF((AND($U$4=TRUE,$U$5=FALSE,$U$6=FALSE,$U$7=TRUE)),VLOOKUP($E744,'Status Thresholds'!$E:$AR,10,FALSE),
IF((AND($U$4=FALSE,$U$5=TRUE,$U$6=FALSE,$U$7=FALSE)),VLOOKUP($E744,'Status Thresholds'!$E:$AR,25,FALSE),IF((AND($U$4=FALSE,$U$5=TRUE,$U$6=TRUE,$U$7=FALSE)),VLOOKUP($E744,'Status Thresholds'!$E:$AR,35,FALSE),IF((AND($U$4=FALSE,$U$5=TRUE,$U$6=TRUE,$U$7=TRUE)),VLOOKUP($E744,'Status Thresholds'!$E:$AR,40,FALSE),IF((AND($U$4=FALSE,$U$5=TRUE,$U$6=FALSE,$U$7=TRUE)),VLOOKUP($E744,'Status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745" s="46">
        <f>IFERROR(IF(AND($U$5=FALSE,$U$4=FALSE),"-",VLOOKUP($E745,'Status Thresholds'!$E:$AU,41,FALSE)),"-")</f>
        <v>0</v>
      </c>
      <c r="K745" s="46" t="str">
        <f>IFERROR(IF(AND($U$5=FALSE,$U$4=FALSE),"-",VLOOKUP($E745,'Status Thresholds'!$E:$AU,42,FALSE)),"-")</f>
        <v>-</v>
      </c>
      <c r="L745" s="46" t="str">
        <f>IFERROR(IF(AND($U$5=FALSE,$U$4=FALSE),"-",VLOOKUP($E745,'Status Thresholds'!$E:$AU,43,FALSE)),"-")</f>
        <v>-</v>
      </c>
    </row>
    <row r="746" spans="1:12" ht="15" customHeight="1" x14ac:dyDescent="0.25">
      <c r="A746" s="35"/>
      <c r="B746" s="64" t="str">
        <f>VLOOKUP(C746,'Status Thresholds'!B:C,2,FALSE)</f>
        <v>MHGen</v>
      </c>
      <c r="C746" s="64" t="str">
        <f>IF('Status Thresholds'!B741=0, "", 'Status Thresholds'!B741)</f>
        <v>Tetsucabra</v>
      </c>
      <c r="D746" s="77" t="s">
        <v>207</v>
      </c>
      <c r="E746" s="36" t="str">
        <f t="shared" si="11"/>
        <v>TetsucabraShock Trap</v>
      </c>
      <c r="F746" s="76" t="s">
        <v>214</v>
      </c>
      <c r="G746" s="46" t="s">
        <v>214</v>
      </c>
      <c r="H746" s="46" t="s">
        <v>214</v>
      </c>
      <c r="I746" s="46" t="s">
        <v>214</v>
      </c>
      <c r="J746" s="46">
        <f>IFERROR(IF(AND($U$5=FALSE,$U$4=FALSE),"-",VLOOKUP($E746,'Status Thresholds'!$E:$AU,43,FALSE)),"-")</f>
        <v>10</v>
      </c>
      <c r="K746" s="46">
        <f>IFERROR(IF(AND($U$5=FALSE,$U$4=FALSE),"-",VLOOKUP($E746,'Status Thresholds'!$E:$AU,41,FALSE)),"-")</f>
        <v>8</v>
      </c>
      <c r="L746" s="46">
        <f>IFERROR(IF(AND($U$5=FALSE,$U$4=FALSE),"-",VLOOKUP($E746,'Status Thresholds'!$E:$AU,42,FALSE)),"-")</f>
        <v>12</v>
      </c>
    </row>
    <row r="747" spans="1:12" x14ac:dyDescent="0.25">
      <c r="A747" s="35"/>
      <c r="B747" s="64" t="str">
        <f>VLOOKUP(C747,'Status Thresholds'!B:C,2,FALSE)</f>
        <v>MHGen</v>
      </c>
      <c r="C747" s="64" t="str">
        <f>IF('Status Thresholds'!B742=0, "", 'Status Thresholds'!B742)</f>
        <v>Tetsucabra</v>
      </c>
      <c r="D747" s="77" t="s">
        <v>213</v>
      </c>
      <c r="E747" s="36" t="str">
        <f t="shared" si="11"/>
        <v>TetsucabraPitfall Trap</v>
      </c>
      <c r="F747" s="46" t="s">
        <v>214</v>
      </c>
      <c r="G747" s="46" t="s">
        <v>214</v>
      </c>
      <c r="H747" s="46" t="s">
        <v>214</v>
      </c>
      <c r="I747" s="46" t="s">
        <v>214</v>
      </c>
      <c r="J747" s="46">
        <f>IFERROR(IF(AND($U$5=FALSE,$U$4=FALSE),"-",VLOOKUP($E747,'Status Thresholds'!$E:$AU,43,FALSE)),"-")</f>
        <v>15</v>
      </c>
      <c r="K747" s="46">
        <f>IFERROR(IF(AND($U$5=FALSE,$U$4=FALSE),"-",VLOOKUP($E747,'Status Thresholds'!$E:$AU,41,FALSE)),"-")</f>
        <v>12</v>
      </c>
      <c r="L747" s="46">
        <f>IFERROR(IF(AND($U$5=FALSE,$U$4=FALSE),"-",VLOOKUP($E747,'Status Thresholds'!$E:$AU,42,FALSE)),"-")</f>
        <v>20</v>
      </c>
    </row>
    <row r="748" spans="1:12" s="36" customFormat="1" hidden="1" x14ac:dyDescent="0.25">
      <c r="A748" s="64"/>
      <c r="B748" s="64" t="str">
        <f>IF('Status Thresholds'!A743=0, "", 'Status Thresholds'!A743)</f>
        <v>Deviant</v>
      </c>
      <c r="C748" s="64" t="str">
        <f>IF('Status Thresholds'!B743=0, "", 'Status Thresholds'!B743)</f>
        <v>Thunderlord</v>
      </c>
      <c r="D748" s="37" t="s">
        <v>0</v>
      </c>
      <c r="E748" s="36" t="str">
        <f t="shared" si="11"/>
        <v>ThunderlordPara</v>
      </c>
      <c r="F748" s="36" t="str">
        <f>IFERROR(
ROUNDUP(
IF(AND($U$5=FALSE,$U$4=FALSE),"-",IF(AND($U$5=TRUE,$U$4=TRUE),"-",
IF((AND($U$4=TRUE,$U$5=FALSE,$U$6=FALSE,$U$7=FALSE)),VLOOKUP($E748,'Status Thresholds'!$E:$AR,2,FALSE),IF((AND($U$4=TRUE,$U$5=FALSE,$U$6=TRUE,$U$7=FALSE)),VLOOKUP($E748,'Status Thresholds'!$E:$AR,12,FALSE),IF((AND($U$4=TRUE,$U$5=FALSE,$U$6=TRUE,$U$7=TRUE)),VLOOKUP($E748,'Status Thresholds'!$E:$AR,17,FALSE),IF((AND($U$4=TRUE,$U$5=FALSE,$U$6=FALSE,$U$7=TRUE)),VLOOKUP($E748,'Status Thresholds'!$E:$AR,7,FALSE),
IF((AND($U$4=FALSE,$U$5=TRUE,$U$6=FALSE,$U$7=FALSE)),VLOOKUP($E748,'Status Thresholds'!$E:$AR,22,FALSE),IF((AND($U$4=FALSE,$U$5=TRUE,$U$6=TRUE,$U$7=FALSE)),VLOOKUP($E748,'Status Thresholds'!$E:$AR,32,FALSE),IF((AND($U$4=FALSE,$U$5=TRUE,$U$6=TRUE,$U$7=TRUE)),VLOOKUP($E748,'Status Thresholds'!$E:$AR,37,FALSE),IF((AND($U$4=FALSE,$U$5=TRUE,$U$6=FALSE,$U$7=TRUE)),VLOOKUP($E748,'Status Thresholds'!$E:$AR,27,FALSE)))))))))
))/
IF(AND($X$2=FALSE,$X$3=FALSE,$X$4=FALSE,$X$5=TRUE,$X$6=FALSE,$X$7=FALSE,$X$8=FALSE,$Z$2=FALSE,$Z$3=FALSE,$Z$4=FALSE,$Z$5=FALSE,$Z$6=FALSE,$Z$7=FALSE,$Z$8=FALSE
),($F$3/2), IF(OR($X$2,$X$3,$X$4,$X$6,$X$7,$X$8,$Z$2,$Z$3,$Z$4,$Z$5,$Z$6,$Z$7,$Z$8)=TRUE,$F$3)),0),"-")</f>
        <v>-</v>
      </c>
      <c r="G748" s="36" t="str">
        <f>IFERROR(
ROUNDUP(
IF(AND($U$5=FALSE,$U$4=FALSE),"-",IF(AND($U$5=TRUE,$U$4=TRUE),"-",
IF((AND($U$4=TRUE,$U$5=FALSE,$U$6=FALSE,$U$7=FALSE)),VLOOKUP($E748,'Status Thresholds'!$E:$AR,3,FALSE),IF((AND($U$4=TRUE,$U$5=FALSE,$U$6=TRUE,$U$7=FALSE)),VLOOKUP($E748,'Status Thresholds'!$E:$AR,13,FALSE),IF((AND($U$4=TRUE,$U$5=FALSE,$U$6=TRUE,$U$7=TRUE)),VLOOKUP($E748,'Status Thresholds'!$E:$AR,18,FALSE),IF((AND($U$4=TRUE,$U$5=FALSE,$U$6=FALSE,$U$7=TRUE)),VLOOKUP($E748,'Status Thresholds'!$E:$AR,8,FALSE),
IF((AND($U$4=FALSE,$U$5=TRUE,$U$6=FALSE,$U$7=FALSE)),VLOOKUP($E748,'Status Thresholds'!$E:$AR,23,FALSE),IF((AND($U$4=FALSE,$U$5=TRUE,$U$6=TRUE,$U$7=FALSE)),VLOOKUP($E748,'Status Thresholds'!$E:$AR,33,FALSE),IF((AND($U$4=FALSE,$U$5=TRUE,$U$6=TRUE,$U$7=TRUE)),VLOOKUP($E748,'Status Thresholds'!$E:$AR,38,FALSE),IF((AND($U$4=FALSE,$U$5=TRUE,$U$6=FALSE,$U$7=TRUE)),VLOOKUP($E748,'Status Thresholds'!$E:$AR,28,FALSE)))))))))
))/
IF(AND($X$2=FALSE,$X$3=FALSE,$X$4=FALSE,$X$5=TRUE,$X$6=FALSE,$X$7=FALSE,$X$8=FALSE,$Z$2=FALSE,$Z$3=FALSE,$Z$4=FALSE,$Z$5=FALSE,$Z$6=FALSE,$Z$7=FALSE,$Z$8=FALSE
),($F$3/2), IF(OR($X$2,$X$3,$X$4,$X$6,$X$7,$X$8,$Z$2,$Z$3,$Z$4,$Z$5,$Z$6,$Z$7,$Z$8)=TRUE,$F$3)),0),"-")</f>
        <v>-</v>
      </c>
      <c r="H748" s="36" t="str">
        <f>IFERROR(
ROUNDUP(
IF(AND($U$5=FALSE,$U$4=FALSE),"-",IF(AND($U$5=TRUE,$U$4=TRUE),"-",
IF((AND($U$4=TRUE,$U$5=FALSE,$U$6=FALSE,$U$7=FALSE)),VLOOKUP($E748,'Status Thresholds'!$E:$AR,4,FALSE),IF((AND($U$4=TRUE,$U$5=FALSE,$U$6=TRUE,$U$7=FALSE)),VLOOKUP($E748,'Status Thresholds'!$E:$AR,14,FALSE),IF((AND($U$4=TRUE,$U$5=FALSE,$U$6=TRUE,$U$7=TRUE)),VLOOKUP($E748,'Status Thresholds'!$E:$AR,19,FALSE),IF((AND($U$4=TRUE,$U$5=FALSE,$U$6=FALSE,$U$7=TRUE)),VLOOKUP($E748,'Status Thresholds'!$E:$AR,9,FALSE),
IF((AND($U$4=FALSE,$U$5=TRUE,$U$6=FALSE,$U$7=FALSE)),VLOOKUP($E748,'Status Thresholds'!$E:$AR,24,FALSE),IF((AND($U$4=FALSE,$U$5=TRUE,$U$6=TRUE,$U$7=FALSE)),VLOOKUP($E748,'Status Thresholds'!$E:$AR,34,FALSE),IF((AND($U$4=FALSE,$U$5=TRUE,$U$6=TRUE,$U$7=TRUE)),VLOOKUP($E748,'Status Thresholds'!$E:$AR,39,FALSE),IF((AND($U$4=FALSE,$U$5=TRUE,$U$6=FALSE,$U$7=TRUE)),VLOOKUP($E748,'Status Thresholds'!$E:$AR,29,FALSE)))))))))
))/
IF(AND($X$2=FALSE,$X$3=FALSE,$X$4=FALSE,$X$5=TRUE,$X$6=FALSE,$X$7=FALSE,$X$8=FALSE,$Z$2=FALSE,$Z$3=FALSE,$Z$4=FALSE,$Z$5=FALSE,$Z$6=FALSE,$Z$7=FALSE,$Z$8=FALSE
),($F$3/2), IF(OR($X$2,$X$3,$X$4,$X$6,$X$7,$X$8,$Z$2,$Z$3,$Z$4,$Z$5,$Z$6,$Z$7,$Z$8)=TRUE,$F$3)),0),"-")</f>
        <v>-</v>
      </c>
      <c r="I748" s="36" t="str">
        <f>IFERROR(
ROUNDUP(
IF(AND($U$5=FALSE,$U$4=FALSE),"-",IF(AND($U$5=TRUE,$U$4=TRUE),"-",
IF((AND($U$4=TRUE,$U$5=FALSE,$U$6=FALSE,$U$7=FALSE)),VLOOKUP($E748,'Status Thresholds'!$E:$AR,5,FALSE),IF((AND($U$4=TRUE,$U$5=FALSE,$U$6=TRUE,$U$7=FALSE)),VLOOKUP($E748,'Status Thresholds'!$E:$AR,15,FALSE),IF((AND($U$4=TRUE,$U$5=FALSE,$U$6=TRUE,$U$7=TRUE)),VLOOKUP($E748,'Status Thresholds'!$E:$AR,20,FALSE),IF((AND($U$4=TRUE,$U$5=FALSE,$U$6=FALSE,$U$7=TRUE)),VLOOKUP($E748,'Status Thresholds'!$E:$AR,10,FALSE),
IF((AND($U$4=FALSE,$U$5=TRUE,$U$6=FALSE,$U$7=FALSE)),VLOOKUP($E748,'Status Thresholds'!$E:$AR,25,FALSE),IF((AND($U$4=FALSE,$U$5=TRUE,$U$6=TRUE,$U$7=FALSE)),VLOOKUP($E748,'Status Thresholds'!$E:$AR,35,FALSE),IF((AND($U$4=FALSE,$U$5=TRUE,$U$6=TRUE,$U$7=TRUE)),VLOOKUP($E748,'Status Thresholds'!$E:$AR,40,FALSE),IF((AND($U$4=FALSE,$U$5=TRUE,$U$6=FALSE,$U$7=TRUE)),VLOOKUP($E748,'Status Thresholds'!$E:$AR,30,FALSE)))))))))
))/
IF(AND($X$2=FALSE,$X$3=FALSE,$X$4=FALSE,$X$5=TRUE,$X$6=FALSE,$X$7=FALSE,$X$8=FALSE,$Z$2=FALSE,$Z$3=FALSE,$Z$4=FALSE,$Z$5=FALSE,$Z$6=FALSE,$Z$7=FALSE,$Z$8=FALSE
),($F$3/2), IF(OR($X$2,$X$3,$X$4,$X$6,$X$7,$X$8,$Z$2,$Z$3,$Z$4,$Z$5,$Z$6,$Z$7,$Z$8)=TRUE,$F$3)),0),"-")</f>
        <v>-</v>
      </c>
      <c r="J748" s="36">
        <f>IFERROR(IF(AND($U$5=FALSE,$U$4=FALSE),"-",VLOOKUP($E748,'Status Thresholds'!$E:$AU,41,FALSE)),"-")</f>
        <v>10</v>
      </c>
      <c r="K748" s="36" t="str">
        <f>IFERROR(IF(AND($U$5=FALSE,$U$4=FALSE),"-",VLOOKUP($E748,'Status Thresholds'!$E:$AU,42,FALSE)),"-")</f>
        <v>-</v>
      </c>
      <c r="L748" s="36" t="str">
        <f>IFERROR(IF(AND($U$5=FALSE,$U$4=FALSE),"-",VLOOKUP($E748,'Status Thresholds'!$E:$AU,43,FALSE)),"-")</f>
        <v>-</v>
      </c>
    </row>
    <row r="749" spans="1:12" hidden="1" x14ac:dyDescent="0.25">
      <c r="A749" s="35"/>
      <c r="B749" s="64" t="str">
        <f>IF('Status Thresholds'!A744=0, "", 'Status Thresholds'!A744)</f>
        <v>Deviant</v>
      </c>
      <c r="C749" s="64" t="str">
        <f>IF('Status Thresholds'!B744=0, "", 'Status Thresholds'!B744)</f>
        <v>Thunderlord</v>
      </c>
      <c r="D749" s="31" t="s">
        <v>32</v>
      </c>
      <c r="E749" s="36" t="str">
        <f t="shared" si="11"/>
        <v>ThunderlordSleep</v>
      </c>
      <c r="F749" s="36" t="str">
        <f>IFERROR(
ROUNDUP(
IF(AND($U$5=FALSE,$U$4=FALSE),"-",IF(AND($U$5=TRUE,$U$4=TRUE),"-",
IF((AND($U$4=TRUE,$U$5=FALSE,$U$6=FALSE,$U$7=FALSE)),VLOOKUP($E749,'Status Thresholds'!$E:$AR,2,FALSE),IF((AND($U$4=TRUE,$U$5=FALSE,$U$6=TRUE,$U$7=FALSE)),VLOOKUP($E749,'Status Thresholds'!$E:$AR,12,FALSE),IF((AND($U$4=TRUE,$U$5=FALSE,$U$6=TRUE,$U$7=TRUE)),VLOOKUP($E749,'Status Thresholds'!$E:$AR,17,FALSE),IF((AND($U$4=TRUE,$U$5=FALSE,$U$6=FALSE,$U$7=TRUE)),VLOOKUP($E749,'Status Thresholds'!$E:$AR,7,FALSE),
IF((AND($U$4=FALSE,$U$5=TRUE,$U$6=FALSE,$U$7=FALSE)),VLOOKUP($E749,'Status Thresholds'!$E:$AR,22,FALSE),IF((AND($U$4=FALSE,$U$5=TRUE,$U$6=TRUE,$U$7=FALSE)),VLOOKUP($E749,'Status Thresholds'!$E:$AR,32,FALSE),IF((AND($U$4=FALSE,$U$5=TRUE,$U$6=TRUE,$U$7=TRUE)),VLOOKUP($E749,'Status Thresholds'!$E:$AR,37,FALSE),IF((AND($U$4=FALSE,$U$5=TRUE,$U$6=FALSE,$U$7=TRUE)),VLOOKUP($E749,'Status Thresholds'!$E:$AR,27,FALSE)))))))))
))/
IF(AND($X$2=FALSE,$X$3=FALSE,$X$4=FALSE,$X$5=TRUE,$X$6=FALSE,$X$7=FALSE,$X$8=FALSE,$Z$2=FALSE,$Z$3=FALSE,$Z$4=FALSE,$Z$5=FALSE,$Z$6=FALSE,$Z$7=FALSE,$Z$8=FALSE
),($F$4/2), IF(OR($X$2,$X$3,$X$4,$X$6,$X$7,$X$8,$Z$2,$Z$3,$Z$4,$Z$5,$Z$6,$Z$7,$Z$8)=TRUE,$F$4)),0),"-")</f>
        <v>-</v>
      </c>
      <c r="G749" s="36" t="str">
        <f>IFERROR(
ROUNDUP(
IF(AND($U$5=FALSE,$U$4=FALSE),"-",IF(AND($U$5=TRUE,$U$4=TRUE),"-",
IF((AND($U$4=TRUE,$U$5=FALSE,$U$6=FALSE,$U$7=FALSE)),VLOOKUP($E749,'Status Thresholds'!$E:$AR,3,FALSE),IF((AND($U$4=TRUE,$U$5=FALSE,$U$6=TRUE,$U$7=FALSE)),VLOOKUP($E749,'Status Thresholds'!$E:$AR,13,FALSE),IF((AND($U$4=TRUE,$U$5=FALSE,$U$6=TRUE,$U$7=TRUE)),VLOOKUP($E749,'Status Thresholds'!$E:$AR,18,FALSE),IF((AND($U$4=TRUE,$U$5=FALSE,$U$6=FALSE,$U$7=TRUE)),VLOOKUP($E749,'Status Thresholds'!$E:$AR,8,FALSE),
IF((AND($U$4=FALSE,$U$5=TRUE,$U$6=FALSE,$U$7=FALSE)),VLOOKUP($E749,'Status Thresholds'!$E:$AR,23,FALSE),IF((AND($U$4=FALSE,$U$5=TRUE,$U$6=TRUE,$U$7=FALSE)),VLOOKUP($E749,'Status Thresholds'!$E:$AR,33,FALSE),IF((AND($U$4=FALSE,$U$5=TRUE,$U$6=TRUE,$U$7=TRUE)),VLOOKUP($E749,'Status Thresholds'!$E:$AR,38,FALSE),IF((AND($U$4=FALSE,$U$5=TRUE,$U$6=FALSE,$U$7=TRUE)),VLOOKUP($E749,'Status Thresholds'!$E:$AR,28,FALSE)))))))))
))/
IF(AND($X$2=FALSE,$X$3=FALSE,$X$4=FALSE,$X$5=TRUE,$X$6=FALSE,$X$7=FALSE,$X$8=FALSE,$Z$2=FALSE,$Z$3=FALSE,$Z$4=FALSE,$Z$5=FALSE,$Z$6=FALSE,$Z$7=FALSE,$Z$8=FALSE
),($F$4/2), IF(OR($X$2,$X$3,$X$4,$X$6,$X$7,$X$8,$Z$2,$Z$3,$Z$4,$Z$5,$Z$6,$Z$7,$Z$8)=TRUE,$F$4)),0),"-")</f>
        <v>-</v>
      </c>
      <c r="H749" s="36" t="str">
        <f>IFERROR(
ROUNDUP(
IF(AND($U$5=FALSE,$U$4=FALSE),"-",IF(AND($U$5=TRUE,$U$4=TRUE),"-",
IF((AND($U$4=TRUE,$U$5=FALSE,$U$6=FALSE,$U$7=FALSE)),VLOOKUP($E749,'Status Thresholds'!$E:$AR,4,FALSE),IF((AND($U$4=TRUE,$U$5=FALSE,$U$6=TRUE,$U$7=FALSE)),VLOOKUP($E749,'Status Thresholds'!$E:$AR,14,FALSE),IF((AND($U$4=TRUE,$U$5=FALSE,$U$6=TRUE,$U$7=TRUE)),VLOOKUP($E749,'Status Thresholds'!$E:$AR,19,FALSE),IF((AND($U$4=TRUE,$U$5=FALSE,$U$6=FALSE,$U$7=TRUE)),VLOOKUP($E749,'Status Thresholds'!$E:$AR,9,FALSE),
IF((AND($U$4=FALSE,$U$5=TRUE,$U$6=FALSE,$U$7=FALSE)),VLOOKUP($E749,'Status Thresholds'!$E:$AR,24,FALSE),IF((AND($U$4=FALSE,$U$5=TRUE,$U$6=TRUE,$U$7=FALSE)),VLOOKUP($E749,'Status Thresholds'!$E:$AR,34,FALSE),IF((AND($U$4=FALSE,$U$5=TRUE,$U$6=TRUE,$U$7=TRUE)),VLOOKUP($E749,'Status Thresholds'!$E:$AR,39,FALSE),IF((AND($U$4=FALSE,$U$5=TRUE,$U$6=FALSE,$U$7=TRUE)),VLOOKUP($E749,'Status Thresholds'!$E:$AR,29,FALSE)))))))))
))/
IF(AND($X$2=FALSE,$X$3=FALSE,$X$4=FALSE,$X$5=TRUE,$X$6=FALSE,$X$7=FALSE,$X$8=FALSE,$Z$2=FALSE,$Z$3=FALSE,$Z$4=FALSE,$Z$5=FALSE,$Z$6=FALSE,$Z$7=FALSE,$Z$8=FALSE
),($F$4/2), IF(OR($X$2,$X$3,$X$4,$X$6,$X$7,$X$8,$Z$2,$Z$3,$Z$4,$Z$5,$Z$6,$Z$7,$Z$8)=TRUE,$F$4)),0),"-")</f>
        <v>-</v>
      </c>
      <c r="I749" s="36" t="str">
        <f>IFERROR(
ROUNDUP(
IF(AND($U$5=FALSE,$U$4=FALSE),"-",IF(AND($U$5=TRUE,$U$4=TRUE),"-",
IF((AND($U$4=TRUE,$U$5=FALSE,$U$6=FALSE,$U$7=FALSE)),VLOOKUP($E749,'Status Thresholds'!$E:$AR,5,FALSE),IF((AND($U$4=TRUE,$U$5=FALSE,$U$6=TRUE,$U$7=FALSE)),VLOOKUP($E749,'Status Thresholds'!$E:$AR,15,FALSE),IF((AND($U$4=TRUE,$U$5=FALSE,$U$6=TRUE,$U$7=TRUE)),VLOOKUP($E749,'Status Thresholds'!$E:$AR,20,FALSE),IF((AND($U$4=TRUE,$U$5=FALSE,$U$6=FALSE,$U$7=TRUE)),VLOOKUP($E749,'Status Thresholds'!$E:$AR,10,FALSE),
IF((AND($U$4=FALSE,$U$5=TRUE,$U$6=FALSE,$U$7=FALSE)),VLOOKUP($E749,'Status Thresholds'!$E:$AR,25,FALSE),IF((AND($U$4=FALSE,$U$5=TRUE,$U$6=TRUE,$U$7=FALSE)),VLOOKUP($E749,'Status Thresholds'!$E:$AR,35,FALSE),IF((AND($U$4=FALSE,$U$5=TRUE,$U$6=TRUE,$U$7=TRUE)),VLOOKUP($E749,'Status Thresholds'!$E:$AR,40,FALSE),IF((AND($U$4=FALSE,$U$5=TRUE,$U$6=FALSE,$U$7=TRUE)),VLOOKUP($E749,'Status Thresholds'!$E:$AR,30,FALSE)))))))))
))/
IF(AND($X$2=FALSE,$X$3=FALSE,$X$4=FALSE,$X$5=TRUE,$X$6=FALSE,$X$7=FALSE,$X$8=FALSE,$Z$2=FALSE,$Z$3=FALSE,$Z$4=FALSE,$Z$5=FALSE,$Z$6=FALSE,$Z$7=FALSE,$Z$8=FALSE
),($F$4/2), IF(OR($X$2,$X$3,$X$4,$X$6,$X$7,$X$8,$Z$2,$Z$3,$Z$4,$Z$5,$Z$6,$Z$7,$Z$8)=TRUE,$F$4)),0),"-")</f>
        <v>-</v>
      </c>
      <c r="J749" s="46">
        <f>IFERROR(IF(AND($U$5=FALSE,$U$4=FALSE),"-",VLOOKUP($E749,'Status Thresholds'!$E:$AU,41,FALSE)),"-")</f>
        <v>40</v>
      </c>
      <c r="K749" s="46" t="str">
        <f>IFERROR(IF(AND($U$5=FALSE,$U$4=FALSE),"-",VLOOKUP($E749,'Status Thresholds'!$E:$AU,42,FALSE)),"-")</f>
        <v>-</v>
      </c>
      <c r="L749" s="46" t="str">
        <f>IFERROR(IF(AND($U$5=FALSE,$U$4=FALSE),"-",VLOOKUP($E749,'Status Thresholds'!$E:$AU,43,FALSE)),"-")</f>
        <v>-</v>
      </c>
    </row>
    <row r="750" spans="1:12" hidden="1" x14ac:dyDescent="0.25">
      <c r="A750" s="35"/>
      <c r="B750" s="64" t="str">
        <f>IF('Status Thresholds'!A745=0, "", 'Status Thresholds'!A745)</f>
        <v>Deviant</v>
      </c>
      <c r="C750" s="64" t="str">
        <f>IF('Status Thresholds'!B745=0, "", 'Status Thresholds'!B745)</f>
        <v>Thunderlord</v>
      </c>
      <c r="D750" s="32" t="s">
        <v>33</v>
      </c>
      <c r="E750" s="36" t="str">
        <f t="shared" si="11"/>
        <v>ThunderlordPoison</v>
      </c>
      <c r="F750" s="36" t="str">
        <f>IFERROR(
ROUNDUP(
IF(AND($U$5=FALSE,$U$4=FALSE),"-",IF(AND($U$5=TRUE,$U$4=TRUE),"-",
IF((AND($U$4=TRUE,$U$5=FALSE,$U$6=FALSE,$U$7=FALSE)),VLOOKUP($E750,'Status Thresholds'!$E:$AR,2,FALSE),IF((AND($U$4=TRUE,$U$5=FALSE,$U$6=TRUE,$U$7=FALSE)),VLOOKUP($E750,'Status Thresholds'!$E:$AR,12,FALSE),IF((AND($U$4=TRUE,$U$5=FALSE,$U$6=TRUE,$U$7=TRUE)),VLOOKUP($E750,'Status Thresholds'!$E:$AR,17,FALSE),IF((AND($U$4=TRUE,$U$5=FALSE,$U$6=FALSE,$U$7=TRUE)),VLOOKUP($E750,'Status Thresholds'!$E:$AR,7,FALSE),
IF((AND($U$4=FALSE,$U$5=TRUE,$U$6=FALSE,$U$7=FALSE)),VLOOKUP($E750,'Status Thresholds'!$E:$AR,22,FALSE),IF((AND($U$4=FALSE,$U$5=TRUE,$U$6=TRUE,$U$7=FALSE)),VLOOKUP($E750,'Status Thresholds'!$E:$AR,32,FALSE),IF((AND($U$4=FALSE,$U$5=TRUE,$U$6=TRUE,$U$7=TRUE)),VLOOKUP($E750,'Status Thresholds'!$E:$AR,37,FALSE),IF((AND($U$4=FALSE,$U$5=TRUE,$U$6=FALSE,$U$7=TRUE)),VLOOKUP($E750,'Status Thresholds'!$E:$AR,27,FALSE)))))))))
))/
IF(AND($X$2=FALSE,$X$3=FALSE,$X$4=FALSE,$X$5=TRUE,$X$6=FALSE,$X$7=FALSE,$X$8=FALSE,$Z$2=FALSE,$Z$3=FALSE,$Z$4=FALSE,$Z$5=FALSE,$Z$6=FALSE,$Z$7=FALSE,$Z$8=FALSE
),($F$5/2), IF(OR($X$2,$X$3,$X$4,$X$6,$X$7,$X$8,$Z$2,$Z$3,$Z$4,$Z$5,$Z$6,$Z$7,$Z$8)=TRUE,$F$5)),0),"-")</f>
        <v>-</v>
      </c>
      <c r="G750" s="36" t="str">
        <f>IFERROR(
ROUNDUP(
IF(AND($U$5=FALSE,$U$4=FALSE),"-",IF(AND($U$5=TRUE,$U$4=TRUE),"-",
IF((AND($U$4=TRUE,$U$5=FALSE,$U$6=FALSE,$U$7=FALSE)),VLOOKUP($E750,'Status Thresholds'!$E:$AR,3,FALSE),IF((AND($U$4=TRUE,$U$5=FALSE,$U$6=TRUE,$U$7=FALSE)),VLOOKUP($E750,'Status Thresholds'!$E:$AR,13,FALSE),IF((AND($U$4=TRUE,$U$5=FALSE,$U$6=TRUE,$U$7=TRUE)),VLOOKUP($E750,'Status Thresholds'!$E:$AR,18,FALSE),IF((AND($U$4=TRUE,$U$5=FALSE,$U$6=FALSE,$U$7=TRUE)),VLOOKUP($E750,'Status Thresholds'!$E:$AR,8,FALSE),
IF((AND($U$4=FALSE,$U$5=TRUE,$U$6=FALSE,$U$7=FALSE)),VLOOKUP($E750,'Status Thresholds'!$E:$AR,23,FALSE),IF((AND($U$4=FALSE,$U$5=TRUE,$U$6=TRUE,$U$7=FALSE)),VLOOKUP($E750,'Status Thresholds'!$E:$AR,33,FALSE),IF((AND($U$4=FALSE,$U$5=TRUE,$U$6=TRUE,$U$7=TRUE)),VLOOKUP($E750,'Status Thresholds'!$E:$AR,38,FALSE),IF((AND($U$4=FALSE,$U$5=TRUE,$U$6=FALSE,$U$7=TRUE)),VLOOKUP($E750,'Status Thresholds'!$E:$AR,28,FALSE)))))))))
))/
IF(AND($X$2=FALSE,$X$3=FALSE,$X$4=FALSE,$X$5=TRUE,$X$6=FALSE,$X$7=FALSE,$X$8=FALSE,$Z$2=FALSE,$Z$3=FALSE,$Z$4=FALSE,$Z$5=FALSE,$Z$6=FALSE,$Z$7=FALSE,$Z$8=FALSE
),($F$5/2), IF(OR($X$2,$X$3,$X$4,$X$6,$X$7,$X$8,$Z$2,$Z$3,$Z$4,$Z$5,$Z$6,$Z$7,$Z$8)=TRUE,$F$5)),0),"-")</f>
        <v>-</v>
      </c>
      <c r="H750" s="36" t="str">
        <f>IFERROR(
ROUNDUP(
IF(AND($U$5=FALSE,$U$4=FALSE),"-",IF(AND($U$5=TRUE,$U$4=TRUE),"-",
IF((AND($U$4=TRUE,$U$5=FALSE,$U$6=FALSE,$U$7=FALSE)),VLOOKUP($E750,'Status Thresholds'!$E:$AR,4,FALSE),IF((AND($U$4=TRUE,$U$5=FALSE,$U$6=TRUE,$U$7=FALSE)),VLOOKUP($E750,'Status Thresholds'!$E:$AR,14,FALSE),IF((AND($U$4=TRUE,$U$5=FALSE,$U$6=TRUE,$U$7=TRUE)),VLOOKUP($E750,'Status Thresholds'!$E:$AR,19,FALSE),IF((AND($U$4=TRUE,$U$5=FALSE,$U$6=FALSE,$U$7=TRUE)),VLOOKUP($E750,'Status Thresholds'!$E:$AR,9,FALSE),
IF((AND($U$4=FALSE,$U$5=TRUE,$U$6=FALSE,$U$7=FALSE)),VLOOKUP($E750,'Status Thresholds'!$E:$AR,24,FALSE),IF((AND($U$4=FALSE,$U$5=TRUE,$U$6=TRUE,$U$7=FALSE)),VLOOKUP($E750,'Status Thresholds'!$E:$AR,34,FALSE),IF((AND($U$4=FALSE,$U$5=TRUE,$U$6=TRUE,$U$7=TRUE)),VLOOKUP($E750,'Status Thresholds'!$E:$AR,39,FALSE),IF((AND($U$4=FALSE,$U$5=TRUE,$U$6=FALSE,$U$7=TRUE)),VLOOKUP($E750,'Status Thresholds'!$E:$AR,29,FALSE)))))))))
))/
IF(AND($X$2=FALSE,$X$3=FALSE,$X$4=FALSE,$X$5=TRUE,$X$6=FALSE,$X$7=FALSE,$X$8=FALSE,$Z$2=FALSE,$Z$3=FALSE,$Z$4=FALSE,$Z$5=FALSE,$Z$6=FALSE,$Z$7=FALSE,$Z$8=FALSE
),($F$5/2), IF(OR($X$2,$X$3,$X$4,$X$6,$X$7,$X$8,$Z$2,$Z$3,$Z$4,$Z$5,$Z$6,$Z$7,$Z$8)=TRUE,$F$5)),0),"-")</f>
        <v>-</v>
      </c>
      <c r="I750" s="36" t="str">
        <f>IFERROR(
ROUNDUP(
IF(AND($U$5=FALSE,$U$4=FALSE),"-",IF(AND($U$5=TRUE,$U$4=TRUE),"-",
IF((AND($U$4=TRUE,$U$5=FALSE,$U$6=FALSE,$U$7=FALSE)),VLOOKUP($E750,'Status Thresholds'!$E:$AR,5,FALSE),IF((AND($U$4=TRUE,$U$5=FALSE,$U$6=TRUE,$U$7=FALSE)),VLOOKUP($E750,'Status Thresholds'!$E:$AR,15,FALSE),IF((AND($U$4=TRUE,$U$5=FALSE,$U$6=TRUE,$U$7=TRUE)),VLOOKUP($E750,'Status Thresholds'!$E:$AR,20,FALSE),IF((AND($U$4=TRUE,$U$5=FALSE,$U$6=FALSE,$U$7=TRUE)),VLOOKUP($E750,'Status Thresholds'!$E:$AR,10,FALSE),
IF((AND($U$4=FALSE,$U$5=TRUE,$U$6=FALSE,$U$7=FALSE)),VLOOKUP($E750,'Status Thresholds'!$E:$AR,25,FALSE),IF((AND($U$4=FALSE,$U$5=TRUE,$U$6=TRUE,$U$7=FALSE)),VLOOKUP($E750,'Status Thresholds'!$E:$AR,35,FALSE),IF((AND($U$4=FALSE,$U$5=TRUE,$U$6=TRUE,$U$7=TRUE)),VLOOKUP($E750,'Status Thresholds'!$E:$AR,40,FALSE),IF((AND($U$4=FALSE,$U$5=TRUE,$U$6=FALSE,$U$7=TRUE)),VLOOKUP($E750,'Status Thresholds'!$E:$AR,30,FALSE)))))))))
))/
IF(AND($X$2=FALSE,$X$3=FALSE,$X$4=FALSE,$X$5=TRUE,$X$6=FALSE,$X$7=FALSE,$X$8=FALSE,$Z$2=FALSE,$Z$3=FALSE,$Z$4=FALSE,$Z$5=FALSE,$Z$6=FALSE,$Z$7=FALSE,$Z$8=FALSE
),($F$5/2), IF(OR($X$2,$X$3,$X$4,$X$6,$X$7,$X$8,$Z$2,$Z$3,$Z$4,$Z$5,$Z$6,$Z$7,$Z$8)=TRUE,$F$5)),0),"-")</f>
        <v>-</v>
      </c>
      <c r="J750" s="46">
        <f>IFERROR(IF(AND($U$5=FALSE,$U$4=FALSE),"-",VLOOKUP($E750,'Status Thresholds'!$E:$AU,41,FALSE)),"-")</f>
        <v>40</v>
      </c>
      <c r="K750" s="46" t="str">
        <f>IFERROR(IF(AND($U$5=FALSE,$U$4=FALSE),"-",VLOOKUP($E750,'Status Thresholds'!$E:$AU,42,FALSE)),"-")</f>
        <v>-</v>
      </c>
      <c r="L750" s="46" t="str">
        <f>IFERROR(IF(AND($U$5=FALSE,$U$4=FALSE),"-",VLOOKUP($E750,'Status Thresholds'!$E:$AU,43,FALSE)),"-")</f>
        <v>-</v>
      </c>
    </row>
    <row r="751" spans="1:12" hidden="1" x14ac:dyDescent="0.25">
      <c r="A751" s="35"/>
      <c r="B751" s="64" t="str">
        <f>IF('Status Thresholds'!A746=0, "", 'Status Thresholds'!A746)</f>
        <v>Deviant</v>
      </c>
      <c r="C751" s="64" t="str">
        <f>IF('Status Thresholds'!B746=0, "", 'Status Thresholds'!B746)</f>
        <v>Thunderlord</v>
      </c>
      <c r="D751" s="10" t="s">
        <v>22</v>
      </c>
      <c r="E751" s="36" t="str">
        <f t="shared" si="11"/>
        <v>ThunderlordExhaust</v>
      </c>
      <c r="F751" s="36" t="str">
        <f>IFERROR(
ROUNDUP(
IF(AND($U$5=FALSE,$U$4=FALSE),"-",IF(AND($U$5=TRUE,$U$4=TRUE),"-",
IF((AND($U$4=TRUE,$U$5=FALSE,$U$6=FALSE,$U$7=FALSE)),VLOOKUP($E751,'Status Thresholds'!$E:$AR,2,FALSE),IF((AND($U$4=TRUE,$U$5=FALSE,$U$6=TRUE,$U$7=FALSE)),VLOOKUP($E751,'Status Thresholds'!$E:$AR,12,FALSE),IF((AND($U$4=TRUE,$U$5=FALSE,$U$6=TRUE,$U$7=TRUE)),VLOOKUP($E751,'Status Thresholds'!$E:$AR,17,FALSE),IF((AND($U$4=TRUE,$U$5=FALSE,$U$6=FALSE,$U$7=TRUE)),VLOOKUP($E751,'Status Thresholds'!$E:$AR,7,FALSE),
IF((AND($U$4=FALSE,$U$5=TRUE,$U$6=FALSE,$U$7=FALSE)),VLOOKUP($E751,'Status Thresholds'!$E:$AR,22,FALSE),IF((AND($U$4=FALSE,$U$5=TRUE,$U$6=TRUE,$U$7=FALSE)),VLOOKUP($E751,'Status Thresholds'!$E:$AR,32,FALSE),IF((AND($U$4=FALSE,$U$5=TRUE,$U$6=TRUE,$U$7=TRUE)),VLOOKUP($E751,'Status Thresholds'!$E:$AR,37,FALSE),IF((AND($U$4=FALSE,$U$5=TRUE,$U$6=FALSE,$U$7=TRUE)),VLOOKUP($E751,'Status Thresholds'!$E:$AR,27,FALSE)))))))))
))/
IF(AND($X$2=FALSE,$X$3=FALSE,$X$4=FALSE,$X$5=TRUE,$X$6=FALSE,$X$7=FALSE,$X$8=FALSE,$Z$2=FALSE,$Z$3=FALSE,$Z$4=FALSE,$Z$5=FALSE,$Z$6=FALSE,$Z$7=FALSE,$Z$8=FALSE
),($F$6/2), IF(OR($X$2,$X$3,$X$4,$X$6,$X$7,$X$8,$Z$2,$Z$3,$Z$4,$Z$5,$Z$6,$Z$7,$Z$8)=TRUE,$F$6)),0),"-")</f>
        <v>-</v>
      </c>
      <c r="G751" s="36" t="str">
        <f>IFERROR(
ROUNDUP(
IF(AND($U$5=FALSE,$U$4=FALSE),"-",IF(AND($U$5=TRUE,$U$4=TRUE),"-",
IF((AND($U$4=TRUE,$U$5=FALSE,$U$6=FALSE,$U$7=FALSE)),VLOOKUP($E751,'Status Thresholds'!$E:$AR,3,FALSE),IF((AND($U$4=TRUE,$U$5=FALSE,$U$6=TRUE,$U$7=FALSE)),VLOOKUP($E751,'Status Thresholds'!$E:$AR,13,FALSE),IF((AND($U$4=TRUE,$U$5=FALSE,$U$6=TRUE,$U$7=TRUE)),VLOOKUP($E751,'Status Thresholds'!$E:$AR,18,FALSE),IF((AND($U$4=TRUE,$U$5=FALSE,$U$6=FALSE,$U$7=TRUE)),VLOOKUP($E751,'Status Thresholds'!$E:$AR,8,FALSE),
IF((AND($U$4=FALSE,$U$5=TRUE,$U$6=FALSE,$U$7=FALSE)),VLOOKUP($E751,'Status Thresholds'!$E:$AR,23,FALSE),IF((AND($U$4=FALSE,$U$5=TRUE,$U$6=TRUE,$U$7=FALSE)),VLOOKUP($E751,'Status Thresholds'!$E:$AR,33,FALSE),IF((AND($U$4=FALSE,$U$5=TRUE,$U$6=TRUE,$U$7=TRUE)),VLOOKUP($E751,'Status Thresholds'!$E:$AR,38,FALSE),IF((AND($U$4=FALSE,$U$5=TRUE,$U$6=FALSE,$U$7=TRUE)),VLOOKUP($E751,'Status Thresholds'!$E:$AR,28,FALSE)))))))))
))/
IF(AND($X$2=FALSE,$X$3=FALSE,$X$4=FALSE,$X$5=TRUE,$X$6=FALSE,$X$7=FALSE,$X$8=FALSE,$Z$2=FALSE,$Z$3=FALSE,$Z$4=FALSE,$Z$5=FALSE,$Z$6=FALSE,$Z$7=FALSE,$Z$8=FALSE
),($F$6/2), IF(OR($X$2,$X$3,$X$4,$X$6,$X$7,$X$8,$Z$2,$Z$3,$Z$4,$Z$5,$Z$6,$Z$7,$Z$8)=TRUE,$F$6)),0),"-")</f>
        <v>-</v>
      </c>
      <c r="H751" s="36" t="str">
        <f>IFERROR(
ROUNDUP(
IF(AND($U$5=FALSE,$U$4=FALSE),"-",IF(AND($U$5=TRUE,$U$4=TRUE),"-",
IF((AND($U$4=TRUE,$U$5=FALSE,$U$6=FALSE,$U$7=FALSE)),VLOOKUP($E751,'Status Thresholds'!$E:$AR,4,FALSE),IF((AND($U$4=TRUE,$U$5=FALSE,$U$6=TRUE,$U$7=FALSE)),VLOOKUP($E751,'Status Thresholds'!$E:$AR,14,FALSE),IF((AND($U$4=TRUE,$U$5=FALSE,$U$6=TRUE,$U$7=TRUE)),VLOOKUP($E751,'Status Thresholds'!$E:$AR,19,FALSE),IF((AND($U$4=TRUE,$U$5=FALSE,$U$6=FALSE,$U$7=TRUE)),VLOOKUP($E751,'Status Thresholds'!$E:$AR,9,FALSE),
IF((AND($U$4=FALSE,$U$5=TRUE,$U$6=FALSE,$U$7=FALSE)),VLOOKUP($E751,'Status Thresholds'!$E:$AR,24,FALSE),IF((AND($U$4=FALSE,$U$5=TRUE,$U$6=TRUE,$U$7=FALSE)),VLOOKUP($E751,'Status Thresholds'!$E:$AR,34,FALSE),IF((AND($U$4=FALSE,$U$5=TRUE,$U$6=TRUE,$U$7=TRUE)),VLOOKUP($E751,'Status Thresholds'!$E:$AR,39,FALSE),IF((AND($U$4=FALSE,$U$5=TRUE,$U$6=FALSE,$U$7=TRUE)),VLOOKUP($E751,'Status Thresholds'!$E:$AR,29,FALSE)))))))))
))/
IF(AND($X$2=FALSE,$X$3=FALSE,$X$4=FALSE,$X$5=TRUE,$X$6=FALSE,$X$7=FALSE,$X$8=FALSE,$Z$2=FALSE,$Z$3=FALSE,$Z$4=FALSE,$Z$5=FALSE,$Z$6=FALSE,$Z$7=FALSE,$Z$8=FALSE
),($F$6/2), IF(OR($X$2,$X$3,$X$4,$X$6,$X$7,$X$8,$Z$2,$Z$3,$Z$4,$Z$5,$Z$6,$Z$7,$Z$8)=TRUE,$F$6)),0),"-")</f>
        <v>-</v>
      </c>
      <c r="I751" s="36" t="str">
        <f>IFERROR(
ROUNDUP(
IF(AND($U$5=FALSE,$U$4=FALSE),"-",IF(AND($U$5=TRUE,$U$4=TRUE),"-",
IF((AND($U$4=TRUE,$U$5=FALSE,$U$6=FALSE,$U$7=FALSE)),VLOOKUP($E751,'Status Thresholds'!$E:$AR,5,FALSE),IF((AND($U$4=TRUE,$U$5=FALSE,$U$6=TRUE,$U$7=FALSE)),VLOOKUP($E751,'Status Thresholds'!$E:$AR,15,FALSE),IF((AND($U$4=TRUE,$U$5=FALSE,$U$6=TRUE,$U$7=TRUE)),VLOOKUP($E751,'Status Thresholds'!$E:$AR,20,FALSE),IF((AND($U$4=TRUE,$U$5=FALSE,$U$6=FALSE,$U$7=TRUE)),VLOOKUP($E751,'Status Thresholds'!$E:$AR,10,FALSE),
IF((AND($U$4=FALSE,$U$5=TRUE,$U$6=FALSE,$U$7=FALSE)),VLOOKUP($E751,'Status Thresholds'!$E:$AR,25,FALSE),IF((AND($U$4=FALSE,$U$5=TRUE,$U$6=TRUE,$U$7=FALSE)),VLOOKUP($E751,'Status Thresholds'!$E:$AR,35,FALSE),IF((AND($U$4=FALSE,$U$5=TRUE,$U$6=TRUE,$U$7=TRUE)),VLOOKUP($E751,'Status Thresholds'!$E:$AR,40,FALSE),IF((AND($U$4=FALSE,$U$5=TRUE,$U$6=FALSE,$U$7=TRUE)),VLOOKUP($E751,'Status Thresholds'!$E:$AR,30,FALSE)))))))))
))/
IF(AND($X$2=FALSE,$X$3=FALSE,$X$4=FALSE,$X$5=TRUE,$X$6=FALSE,$X$7=FALSE,$X$8=FALSE,$Z$2=FALSE,$Z$3=FALSE,$Z$4=FALSE,$Z$5=FALSE,$Z$6=FALSE,$Z$7=FALSE,$Z$8=FALSE
),($F$6/2), IF(OR($X$2,$X$3,$X$4,$X$6,$X$7,$X$8,$Z$2,$Z$3,$Z$4,$Z$5,$Z$6,$Z$7,$Z$8)=TRUE,$F$6)),0),"-")</f>
        <v>-</v>
      </c>
      <c r="J751" s="46">
        <f>IFERROR(IF(AND($U$5=FALSE,$U$4=FALSE),"-",VLOOKUP($E751,'Status Thresholds'!$E:$AU,41,FALSE)),"-")</f>
        <v>0</v>
      </c>
      <c r="K751" s="46" t="str">
        <f>IFERROR(IF(AND($U$5=FALSE,$U$4=FALSE),"-",VLOOKUP($E751,'Status Thresholds'!$E:$AU,42,FALSE)),"-")</f>
        <v>-</v>
      </c>
      <c r="L751" s="46" t="str">
        <f>IFERROR(IF(AND($U$5=FALSE,$U$4=FALSE),"-",VLOOKUP($E751,'Status Thresholds'!$E:$AU,43,FALSE)),"-")</f>
        <v>-</v>
      </c>
    </row>
    <row r="752" spans="1:12" hidden="1" x14ac:dyDescent="0.25">
      <c r="A752" s="35"/>
      <c r="B752" s="64" t="str">
        <f>IF('Status Thresholds'!A747=0, "", 'Status Thresholds'!A747)</f>
        <v>Deviant</v>
      </c>
      <c r="C752" s="64" t="str">
        <f>IF('Status Thresholds'!B747=0, "", 'Status Thresholds'!B747)</f>
        <v>Thunderlord</v>
      </c>
      <c r="D752" s="30" t="s">
        <v>35</v>
      </c>
      <c r="E752" s="36" t="str">
        <f t="shared" si="11"/>
        <v>ThunderlordBlast</v>
      </c>
      <c r="F752" s="36" t="str">
        <f>IFERROR(
ROUNDUP(
IF(AND($U$5=FALSE,$U$4=FALSE),"-",IF(AND($U$5=TRUE,$U$4=TRUE),"-",
IF((AND($U$4=TRUE,$U$5=FALSE,$U$6=FALSE,$U$7=FALSE)),VLOOKUP($E752,'Status Thresholds'!$E:$AR,2,FALSE),IF((AND($U$4=TRUE,$U$5=FALSE,$U$6=TRUE,$U$7=FALSE)),VLOOKUP($E752,'Status Thresholds'!$E:$AR,12,FALSE),IF((AND($U$4=TRUE,$U$5=FALSE,$U$6=TRUE,$U$7=TRUE)),VLOOKUP($E752,'Status Thresholds'!$E:$AR,17,FALSE),IF((AND($U$4=TRUE,$U$5=FALSE,$U$6=FALSE,$U$7=TRUE)),VLOOKUP($E752,'Status Thresholds'!$E:$AR,7,FALSE),
IF((AND($U$4=FALSE,$U$5=TRUE,$U$6=FALSE,$U$7=FALSE)),VLOOKUP($E752,'Status Thresholds'!$E:$AR,22,FALSE),IF((AND($U$4=FALSE,$U$5=TRUE,$U$6=TRUE,$U$7=FALSE)),VLOOKUP($E752,'Status Thresholds'!$E:$AR,32,FALSE),IF((AND($U$4=FALSE,$U$5=TRUE,$U$6=TRUE,$U$7=TRUE)),VLOOKUP($E752,'Status Thresholds'!$E:$AR,37,FALSE),IF((AND($U$4=FALSE,$U$5=TRUE,$U$6=FALSE,$U$7=TRUE)),VLOOKUP($E752,'Status Thresholds'!$E:$AR,27,FALSE)))))))))
))/
IF(AND($X$2=FALSE,$X$3=FALSE,$X$4=FALSE,$X$5=TRUE,$X$6=FALSE,$X$7=FALSE,$X$8=FALSE,$Z$2=FALSE,$Z$3=FALSE,$Z$4=FALSE,$Z$5=FALSE,$Z$6=FALSE,$Z$7=FALSE,$Z$8=FALSE
),($F$7/2), IF(OR($X$2,$X$3,$X$4,$X$6,$X$7,$X$8,$Z$2,$Z$3,$Z$4,$Z$5,$Z$6,$Z$7,$Z$8)=TRUE,$F$7)),0),"-")</f>
        <v>-</v>
      </c>
      <c r="G752" s="36" t="str">
        <f>IFERROR(
ROUNDUP(
IF(AND($U$5=FALSE,$U$4=FALSE),"-",IF(AND($U$5=TRUE,$U$4=TRUE),"-",
IF((AND($U$4=TRUE,$U$5=FALSE,$U$6=FALSE,$U$7=FALSE)),VLOOKUP($E752,'Status Thresholds'!$E:$AR,3,FALSE),IF((AND($U$4=TRUE,$U$5=FALSE,$U$6=TRUE,$U$7=FALSE)),VLOOKUP($E752,'Status Thresholds'!$E:$AR,13,FALSE),IF((AND($U$4=TRUE,$U$5=FALSE,$U$6=TRUE,$U$7=TRUE)),VLOOKUP($E752,'Status Thresholds'!$E:$AR,18,FALSE),IF((AND($U$4=TRUE,$U$5=FALSE,$U$6=FALSE,$U$7=TRUE)),VLOOKUP($E752,'Status Thresholds'!$E:$AR,8,FALSE),
IF((AND($U$4=FALSE,$U$5=TRUE,$U$6=FALSE,$U$7=FALSE)),VLOOKUP($E752,'Status Thresholds'!$E:$AR,23,FALSE),IF((AND($U$4=FALSE,$U$5=TRUE,$U$6=TRUE,$U$7=FALSE)),VLOOKUP($E752,'Status Thresholds'!$E:$AR,33,FALSE),IF((AND($U$4=FALSE,$U$5=TRUE,$U$6=TRUE,$U$7=TRUE)),VLOOKUP($E752,'Status Thresholds'!$E:$AR,38,FALSE),IF((AND($U$4=FALSE,$U$5=TRUE,$U$6=FALSE,$U$7=TRUE)),VLOOKUP($E752,'Status Thresholds'!$E:$AR,28,FALSE)))))))))
))/
IF(AND($X$2=FALSE,$X$3=FALSE,$X$4=FALSE,$X$5=TRUE,$X$6=FALSE,$X$7=FALSE,$X$8=FALSE,$Z$2=FALSE,$Z$3=FALSE,$Z$4=FALSE,$Z$5=FALSE,$Z$6=FALSE,$Z$7=FALSE,$Z$8=FALSE
),($F$7/2), IF(OR($X$2,$X$3,$X$4,$X$6,$X$7,$X$8,$Z$2,$Z$3,$Z$4,$Z$5,$Z$6,$Z$7,$Z$8)=TRUE,$F$7)),0),"-")</f>
        <v>-</v>
      </c>
      <c r="H752" s="36" t="str">
        <f>IFERROR(
ROUNDUP(
IF(AND($U$5=FALSE,$U$4=FALSE),"-",IF(AND($U$5=TRUE,$U$4=TRUE),"-",
IF((AND($U$4=TRUE,$U$5=FALSE,$U$6=FALSE,$U$7=FALSE)),VLOOKUP($E752,'Status Thresholds'!$E:$AR,4,FALSE),IF((AND($U$4=TRUE,$U$5=FALSE,$U$6=TRUE,$U$7=FALSE)),VLOOKUP($E752,'Status Thresholds'!$E:$AR,14,FALSE),IF((AND($U$4=TRUE,$U$5=FALSE,$U$6=TRUE,$U$7=TRUE)),VLOOKUP($E752,'Status Thresholds'!$E:$AR,19,FALSE),IF((AND($U$4=TRUE,$U$5=FALSE,$U$6=FALSE,$U$7=TRUE)),VLOOKUP($E752,'Status Thresholds'!$E:$AR,9,FALSE),
IF((AND($U$4=FALSE,$U$5=TRUE,$U$6=FALSE,$U$7=FALSE)),VLOOKUP($E752,'Status Thresholds'!$E:$AR,24,FALSE),IF((AND($U$4=FALSE,$U$5=TRUE,$U$6=TRUE,$U$7=FALSE)),VLOOKUP($E752,'Status Thresholds'!$E:$AR,34,FALSE),IF((AND($U$4=FALSE,$U$5=TRUE,$U$6=TRUE,$U$7=TRUE)),VLOOKUP($E752,'Status Thresholds'!$E:$AR,39,FALSE),IF((AND($U$4=FALSE,$U$5=TRUE,$U$6=FALSE,$U$7=TRUE)),VLOOKUP($E752,'Status Thresholds'!$E:$AR,29,FALSE)))))))))
))/
IF(AND($X$2=FALSE,$X$3=FALSE,$X$4=FALSE,$X$5=TRUE,$X$6=FALSE,$X$7=FALSE,$X$8=FALSE,$Z$2=FALSE,$Z$3=FALSE,$Z$4=FALSE,$Z$5=FALSE,$Z$6=FALSE,$Z$7=FALSE,$Z$8=FALSE
),($F$7/2), IF(OR($X$2,$X$3,$X$4,$X$6,$X$7,$X$8,$Z$2,$Z$3,$Z$4,$Z$5,$Z$6,$Z$7,$Z$8)=TRUE,$F$7)),0),"-")</f>
        <v>-</v>
      </c>
      <c r="I752" s="36" t="str">
        <f>IFERROR(
ROUNDUP(
IF(AND($U$5=FALSE,$U$4=FALSE),"-",IF(AND($U$5=TRUE,$U$4=TRUE),"-",
IF((AND($U$4=TRUE,$U$5=FALSE,$U$6=FALSE,$U$7=FALSE)),VLOOKUP($E752,'Status Thresholds'!$E:$AR,5,FALSE),IF((AND($U$4=TRUE,$U$5=FALSE,$U$6=TRUE,$U$7=FALSE)),VLOOKUP($E752,'Status Thresholds'!$E:$AR,15,FALSE),IF((AND($U$4=TRUE,$U$5=FALSE,$U$6=TRUE,$U$7=TRUE)),VLOOKUP($E752,'Status Thresholds'!$E:$AR,20,FALSE),IF((AND($U$4=TRUE,$U$5=FALSE,$U$6=FALSE,$U$7=TRUE)),VLOOKUP($E752,'Status Thresholds'!$E:$AR,10,FALSE),
IF((AND($U$4=FALSE,$U$5=TRUE,$U$6=FALSE,$U$7=FALSE)),VLOOKUP($E752,'Status Thresholds'!$E:$AR,25,FALSE),IF((AND($U$4=FALSE,$U$5=TRUE,$U$6=TRUE,$U$7=FALSE)),VLOOKUP($E752,'Status Thresholds'!$E:$AR,35,FALSE),IF((AND($U$4=FALSE,$U$5=TRUE,$U$6=TRUE,$U$7=TRUE)),VLOOKUP($E752,'Status Thresholds'!$E:$AR,40,FALSE),IF((AND($U$4=FALSE,$U$5=TRUE,$U$6=FALSE,$U$7=TRUE)),VLOOKUP($E752,'Status Thresholds'!$E:$AR,30,FALSE)))))))))
))/
IF(AND($X$2=FALSE,$X$3=FALSE,$X$4=FALSE,$X$5=TRUE,$X$6=FALSE,$X$7=FALSE,$X$8=FALSE,$Z$2=FALSE,$Z$3=FALSE,$Z$4=FALSE,$Z$5=FALSE,$Z$6=FALSE,$Z$7=FALSE,$Z$8=FALSE
),($F$7/2), IF(OR($X$2,$X$3,$X$4,$X$6,$X$7,$X$8,$Z$2,$Z$3,$Z$4,$Z$5,$Z$6,$Z$7,$Z$8)=TRUE,$F$7)),0),"-")</f>
        <v>-</v>
      </c>
      <c r="J752" s="46">
        <f>IFERROR(IF(AND($U$5=FALSE,$U$4=FALSE),"-",VLOOKUP($E752,'Status Thresholds'!$E:$AU,41,FALSE)),"-")</f>
        <v>0</v>
      </c>
      <c r="K752" s="46" t="str">
        <f>IFERROR(IF(AND($U$5=FALSE,$U$4=FALSE),"-",VLOOKUP($E752,'Status Thresholds'!$E:$AU,42,FALSE)),"-")</f>
        <v>-</v>
      </c>
      <c r="L752" s="46" t="str">
        <f>IFERROR(IF(AND($U$5=FALSE,$U$4=FALSE),"-",VLOOKUP($E752,'Status Thresholds'!$E:$AU,43,FALSE)),"-")</f>
        <v>-</v>
      </c>
    </row>
    <row r="753" spans="1:12" ht="14.45" hidden="1" customHeight="1" x14ac:dyDescent="0.25">
      <c r="A753" s="35"/>
      <c r="B753" s="64" t="str">
        <f>IF('Status Thresholds'!A748=0, "", 'Status Thresholds'!A748)</f>
        <v>Deviant</v>
      </c>
      <c r="C753" s="64" t="str">
        <f>IF('Status Thresholds'!B748=0, "", 'Status Thresholds'!B748)</f>
        <v>Thunderlord</v>
      </c>
      <c r="D753" s="34" t="s">
        <v>14</v>
      </c>
      <c r="E753" s="36" t="str">
        <f t="shared" si="11"/>
        <v>ThunderlordKO</v>
      </c>
      <c r="F753" s="36" t="s">
        <v>214</v>
      </c>
      <c r="G753" s="36" t="s">
        <v>214</v>
      </c>
      <c r="H753" s="36" t="s">
        <v>214</v>
      </c>
      <c r="I753" s="36" t="s">
        <v>214</v>
      </c>
      <c r="J753" s="46">
        <f>IFERROR(IF(AND($U$5=FALSE,$U$4=FALSE),"-",VLOOKUP($E753,'Status Thresholds'!$E:$AU,41,FALSE)),"-")</f>
        <v>10</v>
      </c>
      <c r="K753" s="46" t="str">
        <f>IFERROR(IF(AND($U$5=FALSE,$U$4=FALSE),"-",VLOOKUP($E753,'Status Thresholds'!$E:$AU,42,FALSE)),"-")</f>
        <v>-</v>
      </c>
      <c r="L753" s="46" t="str">
        <f>IFERROR(IF(AND($U$5=FALSE,$U$4=FALSE),"-",VLOOKUP($E753,'Status Thresholds'!$E:$AU,43,FALSE)),"-")</f>
        <v>-</v>
      </c>
    </row>
    <row r="754" spans="1:12" hidden="1" x14ac:dyDescent="0.25">
      <c r="A754" s="35"/>
      <c r="B754" s="64" t="str">
        <f>IF('Status Thresholds'!A749=0, "", 'Status Thresholds'!A749)</f>
        <v>Deviant</v>
      </c>
      <c r="C754" s="64" t="str">
        <f>IF('Status Thresholds'!B749=0, "", 'Status Thresholds'!B749)</f>
        <v>Thunderlord</v>
      </c>
      <c r="D754" s="33" t="s">
        <v>34</v>
      </c>
      <c r="E754" s="36" t="str">
        <f t="shared" si="11"/>
        <v>ThunderlordMount</v>
      </c>
      <c r="F754" s="36" t="str">
        <f>IFERROR(
ROUNDUP(
IF(AND($U$5=FALSE,$U$4=FALSE),"-",IF(AND($U$5=TRUE,$U$4=TRUE),"-",
IF((AND($U$4=TRUE,$U$5=FALSE,$U$6=FALSE,$U$7=FALSE)),VLOOKUP($E754,'Status Thresholds'!$E:$AR,2,FALSE),IF((AND($U$4=TRUE,$U$5=FALSE,$U$6=TRUE,$U$7=FALSE)),VLOOKUP($E754,'Status Thresholds'!$E:$AR,12,FALSE),IF((AND($U$4=TRUE,$U$5=FALSE,$U$6=TRUE,$U$7=TRUE)),VLOOKUP($E754,'Status Thresholds'!$E:$AR,17,FALSE),IF((AND($U$4=TRUE,$U$5=FALSE,$U$6=FALSE,$U$7=TRUE)),VLOOKUP($E754,'Status Thresholds'!$E:$AR,7,FALSE),
IF((AND($U$4=FALSE,$U$5=TRUE,$U$6=FALSE,$U$7=FALSE)),VLOOKUP($E754,'Status Thresholds'!$E:$AR,22,FALSE),IF((AND($U$4=FALSE,$U$5=TRUE,$U$6=TRUE,$U$7=FALSE)),VLOOKUP($E754,'Status Thresholds'!$E:$AR,32,FALSE),IF((AND($U$4=FALSE,$U$5=TRUE,$U$6=TRUE,$U$7=TRUE)),VLOOKUP($E754,'Status Thresholds'!$E:$AR,37,FALSE),IF((AND($U$4=FALSE,$U$5=TRUE,$U$6=FALSE,$U$7=TRUE)),VLOOKUP($E754,'Status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))))))))))))))))))))))))))))),0),"-")</f>
        <v>-</v>
      </c>
      <c r="G754" s="36" t="str">
        <f>IFERROR(
ROUNDUP(
IF(AND($U$5=FALSE,$U$4=FALSE),"-",IF(AND($U$5=TRUE,$U$4=TRUE),"-",
IF((AND($U$4=TRUE,$U$5=FALSE,$U$6=FALSE,$U$7=FALSE)),VLOOKUP($E753,'Status Thresholds'!$E:$AR,3,FALSE),IF((AND($U$4=TRUE,$U$5=FALSE,$U$6=TRUE,$U$7=FALSE)),VLOOKUP($E753,'Status Thresholds'!$E:$AR,13,FALSE),IF((AND($U$4=TRUE,$U$5=FALSE,$U$6=TRUE,$U$7=TRUE)),VLOOKUP($E753,'Status Thresholds'!$E:$AR,18,FALSE),IF((AND($U$4=TRUE,$U$5=FALSE,$U$6=FALSE,$U$7=TRUE)),VLOOKUP($E753,'Status Thresholds'!$E:$AR,8,FALSE),
IF((AND($U$4=FALSE,$U$5=TRUE,$U$6=FALSE,$U$7=FALSE)),VLOOKUP($E753,'Status Thresholds'!$E:$AR,23,FALSE),IF((AND($U$4=FALSE,$U$5=TRUE,$U$6=TRUE,$U$7=FALSE)),VLOOKUP($E753,'Status Thresholds'!$E:$AR,33,FALSE),IF((AND($U$4=FALSE,$U$5=TRUE,$U$6=TRUE,$U$7=TRUE)),VLOOKUP($E753,'Status Thresholds'!$E:$AR,38,FALSE),IF((AND($U$4=FALSE,$U$5=TRUE,$U$6=FALSE,$U$7=TRUE)),VLOOKUP($E753,'Status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))))))))))))))))))))))))))))),0),"-")</f>
        <v>-</v>
      </c>
      <c r="H754" s="36" t="str">
        <f>IFERROR(
ROUNDUP(
IF(AND($U$5=FALSE,$U$4=FALSE),"-",IF(AND($U$5=TRUE,$U$4=TRUE),"-",
IF((AND($U$4=TRUE,$U$5=FALSE,$U$6=FALSE,$U$7=FALSE)),VLOOKUP($E753,'Status Thresholds'!$E:$AR,4,FALSE),IF((AND($U$4=TRUE,$U$5=FALSE,$U$6=TRUE,$U$7=FALSE)),VLOOKUP($E753,'Status Thresholds'!$E:$AR,14,FALSE),IF((AND($U$4=TRUE,$U$5=FALSE,$U$6=TRUE,$U$7=TRUE)),VLOOKUP($E753,'Status Thresholds'!$E:$AR,19,FALSE),IF((AND($U$4=TRUE,$U$5=FALSE,$U$6=FALSE,$U$7=TRUE)),VLOOKUP($E753,'Status Thresholds'!$E:$AR,9,FALSE),
IF((AND($U$4=FALSE,$U$5=TRUE,$U$6=FALSE,$U$7=FALSE)),VLOOKUP($E753,'Status Thresholds'!$E:$AR,24,FALSE),IF((AND($U$4=FALSE,$U$5=TRUE,$U$6=TRUE,$U$7=FALSE)),VLOOKUP($E753,'Status Thresholds'!$E:$AR,34,FALSE),IF((AND($U$4=FALSE,$U$5=TRUE,$U$6=TRUE,$U$7=TRUE)),VLOOKUP($E753,'Status Thresholds'!$E:$AR,39,FALSE),IF((AND($U$4=FALSE,$U$5=TRUE,$U$6=FALSE,$U$7=TRUE)),VLOOKUP($E753,'Status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))))))))))))))))))))))))))))),0),"-")</f>
        <v>-</v>
      </c>
      <c r="I754" s="36" t="str">
        <f>IFERROR(
ROUNDUP(
IF(AND($U$5=FALSE,$U$4=FALSE),"-",IF(AND($U$5=TRUE,$U$4=TRUE),"-",
IF((AND($U$4=TRUE,$U$5=FALSE,$U$6=FALSE,$U$7=FALSE)),VLOOKUP($E753,'Status Thresholds'!$E:$AR,5,FALSE),IF((AND($U$4=TRUE,$U$5=FALSE,$U$6=TRUE,$U$7=FALSE)),VLOOKUP($E753,'Status Thresholds'!$E:$AR,15,FALSE),IF((AND($U$4=TRUE,$U$5=FALSE,$U$6=TRUE,$U$7=TRUE)),VLOOKUP($E753,'Status Thresholds'!$E:$AR,20,FALSE),IF((AND($U$4=TRUE,$U$5=FALSE,$U$6=FALSE,$U$7=TRUE)),VLOOKUP($E753,'Status Thresholds'!$E:$AR,10,FALSE),
IF((AND($U$4=FALSE,$U$5=TRUE,$U$6=FALSE,$U$7=FALSE)),VLOOKUP($E753,'Status Thresholds'!$E:$AR,25,FALSE),IF((AND($U$4=FALSE,$U$5=TRUE,$U$6=TRUE,$U$7=FALSE)),VLOOKUP($E753,'Status Thresholds'!$E:$AR,35,FALSE),IF((AND($U$4=FALSE,$U$5=TRUE,$U$6=TRUE,$U$7=TRUE)),VLOOKUP($E753,'Status Thresholds'!$E:$AR,40,FALSE),IF((AND($U$4=FALSE,$U$5=TRUE,$U$6=FALSE,$U$7=TRUE)),VLOOKUP($E753,'Status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))))))))))))))))))))))))))))),0),"-")</f>
        <v>-</v>
      </c>
      <c r="J754" s="46">
        <f>IFERROR(IF(AND($U$5=FALSE,$U$4=FALSE),"-",VLOOKUP($E754,'Status Thresholds'!$E:$AU,41,FALSE)),"-")</f>
        <v>0</v>
      </c>
      <c r="K754" s="46" t="str">
        <f>IFERROR(IF(AND($U$5=FALSE,$U$4=FALSE),"-",VLOOKUP($E754,'Status Thresholds'!$E:$AU,42,FALSE)),"-")</f>
        <v>-</v>
      </c>
      <c r="L754" s="46" t="str">
        <f>IFERROR(IF(AND($U$5=FALSE,$U$4=FALSE),"-",VLOOKUP($E754,'Status Thresholds'!$E:$AU,43,FALSE)),"-")</f>
        <v>-</v>
      </c>
    </row>
    <row r="755" spans="1:12" ht="15" hidden="1" customHeight="1" x14ac:dyDescent="0.25">
      <c r="A755" s="35"/>
      <c r="B755" s="64" t="str">
        <f>IF('Status Thresholds'!A750=0, "", 'Status Thresholds'!A750)</f>
        <v>Deviant</v>
      </c>
      <c r="C755" s="64" t="str">
        <f>IF('Status Thresholds'!B750=0, "", 'Status Thresholds'!B750)</f>
        <v>Thunderlord</v>
      </c>
      <c r="D755" s="77" t="s">
        <v>207</v>
      </c>
      <c r="E755" s="36" t="str">
        <f t="shared" si="11"/>
        <v>ThunderlordShock Trap</v>
      </c>
      <c r="F755" s="76" t="s">
        <v>214</v>
      </c>
      <c r="G755" s="46" t="s">
        <v>214</v>
      </c>
      <c r="H755" s="46" t="s">
        <v>214</v>
      </c>
      <c r="I755" s="46" t="s">
        <v>214</v>
      </c>
      <c r="J755" s="46">
        <f>IFERROR(IF(AND($U$5=FALSE,$U$4=FALSE),"-",VLOOKUP($E755,'Status Thresholds'!$E:$AU,43,FALSE)),"-")</f>
        <v>12</v>
      </c>
      <c r="K755" s="46">
        <f>IFERROR(IF(AND($U$5=FALSE,$U$4=FALSE),"-",VLOOKUP($E755,'Status Thresholds'!$E:$AU,41,FALSE)),"-")</f>
        <v>8</v>
      </c>
      <c r="L755" s="46">
        <f>IFERROR(IF(AND($U$5=FALSE,$U$4=FALSE),"-",VLOOKUP($E755,'Status Thresholds'!$E:$AU,42,FALSE)),"-")</f>
        <v>15</v>
      </c>
    </row>
    <row r="756" spans="1:12" hidden="1" x14ac:dyDescent="0.25">
      <c r="A756" s="35"/>
      <c r="B756" s="64" t="str">
        <f>IF('Status Thresholds'!A751=0, "", 'Status Thresholds'!A751)</f>
        <v>Deviant</v>
      </c>
      <c r="C756" s="64" t="str">
        <f>IF('Status Thresholds'!B751=0, "", 'Status Thresholds'!B751)</f>
        <v>Thunderlord</v>
      </c>
      <c r="D756" s="77" t="s">
        <v>213</v>
      </c>
      <c r="E756" s="36" t="str">
        <f t="shared" si="11"/>
        <v>ThunderlordPitfall Trap</v>
      </c>
      <c r="F756" s="46" t="s">
        <v>214</v>
      </c>
      <c r="G756" s="46" t="s">
        <v>214</v>
      </c>
      <c r="H756" s="46" t="s">
        <v>214</v>
      </c>
      <c r="I756" s="46" t="s">
        <v>214</v>
      </c>
      <c r="J756" s="46">
        <f>IFERROR(IF(AND($U$5=FALSE,$U$4=FALSE),"-",VLOOKUP($E756,'Status Thresholds'!$E:$AU,43,FALSE)),"-")</f>
        <v>12</v>
      </c>
      <c r="K756" s="46">
        <f>IFERROR(IF(AND($U$5=FALSE,$U$4=FALSE),"-",VLOOKUP($E756,'Status Thresholds'!$E:$AU,41,FALSE)),"-")</f>
        <v>12</v>
      </c>
      <c r="L756" s="46">
        <f>IFERROR(IF(AND($U$5=FALSE,$U$4=FALSE),"-",VLOOKUP($E756,'Status Thresholds'!$E:$AU,42,FALSE)),"-")</f>
        <v>25</v>
      </c>
    </row>
    <row r="757" spans="1:12" s="36" customFormat="1" x14ac:dyDescent="0.25">
      <c r="A757" s="64"/>
      <c r="B757" s="64" t="str">
        <f>VLOOKUP(C757,'Status Thresholds'!B:C,2,FALSE)</f>
        <v>MHGen</v>
      </c>
      <c r="C757" s="64" t="str">
        <f>IF('Status Thresholds'!B752=0, "", 'Status Thresholds'!B752)</f>
        <v>Tigrex</v>
      </c>
      <c r="D757" s="37" t="s">
        <v>0</v>
      </c>
      <c r="E757" s="36" t="str">
        <f t="shared" si="11"/>
        <v>TigrexPara</v>
      </c>
      <c r="F757" s="36" t="str">
        <f>IFERROR(
ROUNDUP(
IF(AND($U$5=FALSE,$U$4=FALSE),"-",IF(AND($U$5=TRUE,$U$4=TRUE),"-",
IF((AND($U$4=TRUE,$U$5=FALSE,$U$6=FALSE,$U$7=FALSE)),VLOOKUP($E757,'Status Thresholds'!$E:$AR,2,FALSE),IF((AND($U$4=TRUE,$U$5=FALSE,$U$6=TRUE,$U$7=FALSE)),VLOOKUP($E757,'Status Thresholds'!$E:$AR,12,FALSE),IF((AND($U$4=TRUE,$U$5=FALSE,$U$6=TRUE,$U$7=TRUE)),VLOOKUP($E757,'Status Thresholds'!$E:$AR,17,FALSE),IF((AND($U$4=TRUE,$U$5=FALSE,$U$6=FALSE,$U$7=TRUE)),VLOOKUP($E757,'Status Thresholds'!$E:$AR,7,FALSE),
IF((AND($U$4=FALSE,$U$5=TRUE,$U$6=FALSE,$U$7=FALSE)),VLOOKUP($E757,'Status Thresholds'!$E:$AR,22,FALSE),IF((AND($U$4=FALSE,$U$5=TRUE,$U$6=TRUE,$U$7=FALSE)),VLOOKUP($E757,'Status Thresholds'!$E:$AR,32,FALSE),IF((AND($U$4=FALSE,$U$5=TRUE,$U$6=TRUE,$U$7=TRUE)),VLOOKUP($E757,'Status Thresholds'!$E:$AR,37,FALSE),IF((AND($U$4=FALSE,$U$5=TRUE,$U$6=FALSE,$U$7=TRUE)),VLOOKUP($E757,'Status Thresholds'!$E:$AR,27,FALSE)))))))))
))/
IF(OR($X$5=TRUE,$AC$3=TRUE
),($F$3/2), IF(OR($X$2,$X$3,$X$4,$X$6,$X$7,$X$8,$Z$2,$Z$3,$Z$4,$Z$5,$Z$6,$Z$7,$Z$8)=TRUE,$F$3)),0),"-")</f>
        <v>-</v>
      </c>
      <c r="G757" s="36" t="str">
        <f>IFERROR(
ROUNDUP(
IF(AND($U$5=FALSE,$U$4=FALSE),"-",IF(AND($U$5=TRUE,$U$4=TRUE),"-",
IF((AND($U$4=TRUE,$U$5=FALSE,$U$6=FALSE,$U$7=FALSE)),VLOOKUP($E757,'Status Thresholds'!$E:$AR,3,FALSE),IF((AND($U$4=TRUE,$U$5=FALSE,$U$6=TRUE,$U$7=FALSE)),VLOOKUP($E757,'Status Thresholds'!$E:$AR,13,FALSE),IF((AND($U$4=TRUE,$U$5=FALSE,$U$6=TRUE,$U$7=TRUE)),VLOOKUP($E757,'Status Thresholds'!$E:$AR,18,FALSE),IF((AND($U$4=TRUE,$U$5=FALSE,$U$6=FALSE,$U$7=TRUE)),VLOOKUP($E757,'Status Thresholds'!$E:$AR,8,FALSE),
IF((AND($U$4=FALSE,$U$5=TRUE,$U$6=FALSE,$U$7=FALSE)),VLOOKUP($E757,'Status Thresholds'!$E:$AR,23,FALSE),IF((AND($U$4=FALSE,$U$5=TRUE,$U$6=TRUE,$U$7=FALSE)),VLOOKUP($E757,'Status Thresholds'!$E:$AR,33,FALSE),IF((AND($U$4=FALSE,$U$5=TRUE,$U$6=TRUE,$U$7=TRUE)),VLOOKUP($E757,'Status Thresholds'!$E:$AR,38,FALSE),IF((AND($U$4=FALSE,$U$5=TRUE,$U$6=FALSE,$U$7=TRUE)),VLOOKUP($E757,'Status Thresholds'!$E:$AR,28,FALSE)))))))))
))/
IF(OR($X$5=TRUE,$AC$3=TRUE
),($F$3/2), IF(OR($X$2,$X$3,$X$4,$X$6,$X$7,$X$8,$Z$2,$Z$3,$Z$4,$Z$5,$Z$6,$Z$7,$Z$8)=TRUE,$F$3)),0),"-")</f>
        <v>-</v>
      </c>
      <c r="H757" s="36" t="str">
        <f>IFERROR(
ROUNDUP(
IF(AND($U$5=FALSE,$U$4=FALSE),"-",IF(AND($U$5=TRUE,$U$4=TRUE),"-",
IF((AND($U$4=TRUE,$U$5=FALSE,$U$6=FALSE,$U$7=FALSE)),VLOOKUP($E757,'Status Thresholds'!$E:$AR,4,FALSE),IF((AND($U$4=TRUE,$U$5=FALSE,$U$6=TRUE,$U$7=FALSE)),VLOOKUP($E757,'Status Thresholds'!$E:$AR,14,FALSE),IF((AND($U$4=TRUE,$U$5=FALSE,$U$6=TRUE,$U$7=TRUE)),VLOOKUP($E757,'Status Thresholds'!$E:$AR,19,FALSE),IF((AND($U$4=TRUE,$U$5=FALSE,$U$6=FALSE,$U$7=TRUE)),VLOOKUP($E757,'Status Thresholds'!$E:$AR,9,FALSE),
IF((AND($U$4=FALSE,$U$5=TRUE,$U$6=FALSE,$U$7=FALSE)),VLOOKUP($E757,'Status Thresholds'!$E:$AR,24,FALSE),IF((AND($U$4=FALSE,$U$5=TRUE,$U$6=TRUE,$U$7=FALSE)),VLOOKUP($E757,'Status Thresholds'!$E:$AR,34,FALSE),IF((AND($U$4=FALSE,$U$5=TRUE,$U$6=TRUE,$U$7=TRUE)),VLOOKUP($E757,'Status Thresholds'!$E:$AR,39,FALSE),IF((AND($U$4=FALSE,$U$5=TRUE,$U$6=FALSE,$U$7=TRUE)),VLOOKUP($E757,'Status Thresholds'!$E:$AR,29,FALSE)))))))))
))/
IF(OR($X$5=TRUE,$AC$3=TRUE
),($F$3/2), IF(OR($X$2,$X$3,$X$4,$X$6,$X$7,$X$8,$Z$2,$Z$3,$Z$4,$Z$5,$Z$6,$Z$7,$Z$8)=TRUE,$F$3)),0),"-")</f>
        <v>-</v>
      </c>
      <c r="I757" s="36" t="str">
        <f>IFERROR(
ROUNDUP(
IF(AND($U$5=FALSE,$U$4=FALSE),"-",IF(AND($U$5=TRUE,$U$4=TRUE),"-",
IF((AND($U$4=TRUE,$U$5=FALSE,$U$6=FALSE,$U$7=FALSE)),VLOOKUP($E757,'Status Thresholds'!$E:$AR,5,FALSE),IF((AND($U$4=TRUE,$U$5=FALSE,$U$6=TRUE,$U$7=FALSE)),VLOOKUP($E757,'Status Thresholds'!$E:$AR,15,FALSE),IF((AND($U$4=TRUE,$U$5=FALSE,$U$6=TRUE,$U$7=TRUE)),VLOOKUP($E757,'Status Thresholds'!$E:$AR,20,FALSE),IF((AND($U$4=TRUE,$U$5=FALSE,$U$6=FALSE,$U$7=TRUE)),VLOOKUP($E757,'Status Thresholds'!$E:$AR,10,FALSE),
IF((AND($U$4=FALSE,$U$5=TRUE,$U$6=FALSE,$U$7=FALSE)),VLOOKUP($E757,'Status Thresholds'!$E:$AR,25,FALSE),IF((AND($U$4=FALSE,$U$5=TRUE,$U$6=TRUE,$U$7=FALSE)),VLOOKUP($E757,'Status Thresholds'!$E:$AR,35,FALSE),IF((AND($U$4=FALSE,$U$5=TRUE,$U$6=TRUE,$U$7=TRUE)),VLOOKUP($E757,'Status Thresholds'!$E:$AR,40,FALSE),IF((AND($U$4=FALSE,$U$5=TRUE,$U$6=FALSE,$U$7=TRUE)),VLOOKUP($E757,'Status Thresholds'!$E:$AR,30,FALSE)))))))))
))/
IF(OR($X$5=TRUE,$AC$3=TRUE
),($F$3/2), IF(OR($X$2,$X$3,$X$4,$X$6,$X$7,$X$8,$Z$2,$Z$3,$Z$4,$Z$5,$Z$6,$Z$7,$Z$8)=TRUE,$F$3)),0),"-")</f>
        <v>-</v>
      </c>
      <c r="J757" s="36">
        <f>IFERROR(IF(AND($U$5=FALSE,$U$4=FALSE),"-",VLOOKUP($E757,'Status Thresholds'!$E:$AU,41,FALSE)),"-")</f>
        <v>10</v>
      </c>
      <c r="K757" s="36" t="str">
        <f>IFERROR(IF(AND($U$5=FALSE,$U$4=FALSE),"-",VLOOKUP($E757,'Status Thresholds'!$E:$AU,42,FALSE)),"-")</f>
        <v>-</v>
      </c>
      <c r="L757" s="36" t="str">
        <f>IFERROR(IF(AND($U$5=FALSE,$U$4=FALSE),"-",VLOOKUP($E757,'Status Thresholds'!$E:$AU,43,FALSE)),"-")</f>
        <v>-</v>
      </c>
    </row>
    <row r="758" spans="1:12" x14ac:dyDescent="0.25">
      <c r="A758" s="35"/>
      <c r="B758" s="64" t="str">
        <f>VLOOKUP(C758,'Status Thresholds'!B:C,2,FALSE)</f>
        <v>MHGen</v>
      </c>
      <c r="C758" s="64" t="str">
        <f>IF('Status Thresholds'!B753=0, "", 'Status Thresholds'!B753)</f>
        <v>Tigrex</v>
      </c>
      <c r="D758" s="31" t="s">
        <v>32</v>
      </c>
      <c r="E758" s="36" t="str">
        <f t="shared" si="11"/>
        <v>TigrexSleep</v>
      </c>
      <c r="F758" s="36" t="str">
        <f>IFERROR(
ROUNDUP(
IF(AND($U$5=FALSE,$U$4=FALSE),"-",IF(AND($U$5=TRUE,$U$4=TRUE),"-",
IF((AND($U$4=TRUE,$U$5=FALSE,$U$6=FALSE,$U$7=FALSE)),VLOOKUP($E758,'Status Thresholds'!$E:$AR,2,FALSE),IF((AND($U$4=TRUE,$U$5=FALSE,$U$6=TRUE,$U$7=FALSE)),VLOOKUP($E758,'Status Thresholds'!$E:$AR,12,FALSE),IF((AND($U$4=TRUE,$U$5=FALSE,$U$6=TRUE,$U$7=TRUE)),VLOOKUP($E758,'Status Thresholds'!$E:$AR,17,FALSE),IF((AND($U$4=TRUE,$U$5=FALSE,$U$6=FALSE,$U$7=TRUE)),VLOOKUP($E758,'Status Thresholds'!$E:$AR,7,FALSE),
IF((AND($U$4=FALSE,$U$5=TRUE,$U$6=FALSE,$U$7=FALSE)),VLOOKUP($E758,'Status Thresholds'!$E:$AR,22,FALSE),IF((AND($U$4=FALSE,$U$5=TRUE,$U$6=TRUE,$U$7=FALSE)),VLOOKUP($E758,'Status Thresholds'!$E:$AR,32,FALSE),IF((AND($U$4=FALSE,$U$5=TRUE,$U$6=TRUE,$U$7=TRUE)),VLOOKUP($E758,'Status Thresholds'!$E:$AR,37,FALSE),IF((AND($U$4=FALSE,$U$5=TRUE,$U$6=FALSE,$U$7=TRUE)),VLOOKUP($E758,'Status Thresholds'!$E:$AR,27,FALSE)))))))))
))/
IF(OR($X$5=TRUE,$AC$3=TRUE
),($F$4/2), IF(OR($X$2,$X$3,$X$4,$X$6,$X$7,$X$8,$Z$2,$Z$3,$Z$4,$Z$5,$Z$6,$Z$7,$Z$8)=TRUE,$F$4)),0),"-")</f>
        <v>-</v>
      </c>
      <c r="G758" s="36" t="str">
        <f>IFERROR(
ROUNDUP(
IF(AND($U$5=FALSE,$U$4=FALSE),"-",IF(AND($U$5=TRUE,$U$4=TRUE),"-",
IF((AND($U$4=TRUE,$U$5=FALSE,$U$6=FALSE,$U$7=FALSE)),VLOOKUP($E758,'Status Thresholds'!$E:$AR,3,FALSE),IF((AND($U$4=TRUE,$U$5=FALSE,$U$6=TRUE,$U$7=FALSE)),VLOOKUP($E758,'Status Thresholds'!$E:$AR,13,FALSE),IF((AND($U$4=TRUE,$U$5=FALSE,$U$6=TRUE,$U$7=TRUE)),VLOOKUP($E758,'Status Thresholds'!$E:$AR,18,FALSE),IF((AND($U$4=TRUE,$U$5=FALSE,$U$6=FALSE,$U$7=TRUE)),VLOOKUP($E758,'Status Thresholds'!$E:$AR,8,FALSE),
IF((AND($U$4=FALSE,$U$5=TRUE,$U$6=FALSE,$U$7=FALSE)),VLOOKUP($E758,'Status Thresholds'!$E:$AR,23,FALSE),IF((AND($U$4=FALSE,$U$5=TRUE,$U$6=TRUE,$U$7=FALSE)),VLOOKUP($E758,'Status Thresholds'!$E:$AR,33,FALSE),IF((AND($U$4=FALSE,$U$5=TRUE,$U$6=TRUE,$U$7=TRUE)),VLOOKUP($E758,'Status Thresholds'!$E:$AR,38,FALSE),IF((AND($U$4=FALSE,$U$5=TRUE,$U$6=FALSE,$U$7=TRUE)),VLOOKUP($E758,'Status Thresholds'!$E:$AR,28,FALSE)))))))))
))/
IF(OR($X$5=TRUE,$AC$3=TRUE
),($F$4/2), IF(OR($X$2,$X$3,$X$4,$X$6,$X$7,$X$8,$Z$2,$Z$3,$Z$4,$Z$5,$Z$6,$Z$7,$Z$8)=TRUE,$F$4)),0),"-")</f>
        <v>-</v>
      </c>
      <c r="H758" s="36" t="str">
        <f>IFERROR(
ROUNDUP(
IF(AND($U$5=FALSE,$U$4=FALSE),"-",IF(AND($U$5=TRUE,$U$4=TRUE),"-",
IF((AND($U$4=TRUE,$U$5=FALSE,$U$6=FALSE,$U$7=FALSE)),VLOOKUP($E758,'Status Thresholds'!$E:$AR,4,FALSE),IF((AND($U$4=TRUE,$U$5=FALSE,$U$6=TRUE,$U$7=FALSE)),VLOOKUP($E758,'Status Thresholds'!$E:$AR,14,FALSE),IF((AND($U$4=TRUE,$U$5=FALSE,$U$6=TRUE,$U$7=TRUE)),VLOOKUP($E758,'Status Thresholds'!$E:$AR,19,FALSE),IF((AND($U$4=TRUE,$U$5=FALSE,$U$6=FALSE,$U$7=TRUE)),VLOOKUP($E758,'Status Thresholds'!$E:$AR,9,FALSE),
IF((AND($U$4=FALSE,$U$5=TRUE,$U$6=FALSE,$U$7=FALSE)),VLOOKUP($E758,'Status Thresholds'!$E:$AR,24,FALSE),IF((AND($U$4=FALSE,$U$5=TRUE,$U$6=TRUE,$U$7=FALSE)),VLOOKUP($E758,'Status Thresholds'!$E:$AR,34,FALSE),IF((AND($U$4=FALSE,$U$5=TRUE,$U$6=TRUE,$U$7=TRUE)),VLOOKUP($E758,'Status Thresholds'!$E:$AR,39,FALSE),IF((AND($U$4=FALSE,$U$5=TRUE,$U$6=FALSE,$U$7=TRUE)),VLOOKUP($E758,'Status Thresholds'!$E:$AR,29,FALSE)))))))))
))/
IF(OR($X$5=TRUE,$AC$3=TRUE
),($F$4/2), IF(OR($X$2,$X$3,$X$4,$X$6,$X$7,$X$8,$Z$2,$Z$3,$Z$4,$Z$5,$Z$6,$Z$7,$Z$8)=TRUE,$F$4)),0),"-")</f>
        <v>-</v>
      </c>
      <c r="I758" s="36" t="str">
        <f>IFERROR(
ROUNDUP(
IF(AND($U$5=FALSE,$U$4=FALSE),"-",IF(AND($U$5=TRUE,$U$4=TRUE),"-",
IF((AND($U$4=TRUE,$U$5=FALSE,$U$6=FALSE,$U$7=FALSE)),VLOOKUP($E758,'Status Thresholds'!$E:$AR,5,FALSE),IF((AND($U$4=TRUE,$U$5=FALSE,$U$6=TRUE,$U$7=FALSE)),VLOOKUP($E758,'Status Thresholds'!$E:$AR,15,FALSE),IF((AND($U$4=TRUE,$U$5=FALSE,$U$6=TRUE,$U$7=TRUE)),VLOOKUP($E758,'Status Thresholds'!$E:$AR,20,FALSE),IF((AND($U$4=TRUE,$U$5=FALSE,$U$6=FALSE,$U$7=TRUE)),VLOOKUP($E758,'Status Thresholds'!$E:$AR,10,FALSE),
IF((AND($U$4=FALSE,$U$5=TRUE,$U$6=FALSE,$U$7=FALSE)),VLOOKUP($E758,'Status Thresholds'!$E:$AR,25,FALSE),IF((AND($U$4=FALSE,$U$5=TRUE,$U$6=TRUE,$U$7=FALSE)),VLOOKUP($E758,'Status Thresholds'!$E:$AR,35,FALSE),IF((AND($U$4=FALSE,$U$5=TRUE,$U$6=TRUE,$U$7=TRUE)),VLOOKUP($E758,'Status Thresholds'!$E:$AR,40,FALSE),IF((AND($U$4=FALSE,$U$5=TRUE,$U$6=FALSE,$U$7=TRUE)),VLOOKUP($E758,'Status Thresholds'!$E:$AR,30,FALSE)))))))))
))/
IF(OR($X$5=TRUE,$AC$3=TRUE
),($F$4/2), IF(OR($X$2,$X$3,$X$4,$X$6,$X$7,$X$8,$Z$2,$Z$3,$Z$4,$Z$5,$Z$6,$Z$7,$Z$8)=TRUE,$F$4)),0),"-")</f>
        <v>-</v>
      </c>
      <c r="J758" s="46">
        <f>IFERROR(IF(AND($U$5=FALSE,$U$4=FALSE),"-",VLOOKUP($E758,'Status Thresholds'!$E:$AU,41,FALSE)),"-")</f>
        <v>40</v>
      </c>
      <c r="K758" s="46" t="str">
        <f>IFERROR(IF(AND($U$5=FALSE,$U$4=FALSE),"-",VLOOKUP($E758,'Status Thresholds'!$E:$AU,42,FALSE)),"-")</f>
        <v>-</v>
      </c>
      <c r="L758" s="46" t="str">
        <f>IFERROR(IF(AND($U$5=FALSE,$U$4=FALSE),"-",VLOOKUP($E758,'Status Thresholds'!$E:$AU,43,FALSE)),"-")</f>
        <v>-</v>
      </c>
    </row>
    <row r="759" spans="1:12" x14ac:dyDescent="0.25">
      <c r="A759" s="35"/>
      <c r="B759" s="64" t="str">
        <f>VLOOKUP(C759,'Status Thresholds'!B:C,2,FALSE)</f>
        <v>MHGen</v>
      </c>
      <c r="C759" s="64" t="str">
        <f>IF('Status Thresholds'!B754=0, "", 'Status Thresholds'!B754)</f>
        <v>Tigrex</v>
      </c>
      <c r="D759" s="32" t="s">
        <v>33</v>
      </c>
      <c r="E759" s="36" t="str">
        <f t="shared" si="11"/>
        <v>TigrexPoison</v>
      </c>
      <c r="F759" s="36" t="str">
        <f>IFERROR(
ROUNDUP(
IF(AND($U$5=FALSE,$U$4=FALSE),"-",IF(AND($U$5=TRUE,$U$4=TRUE),"-",
IF((AND($U$4=TRUE,$U$5=FALSE,$U$6=FALSE,$U$7=FALSE)),VLOOKUP($E759,'Status Thresholds'!$E:$AR,2,FALSE),IF((AND($U$4=TRUE,$U$5=FALSE,$U$6=TRUE,$U$7=FALSE)),VLOOKUP($E759,'Status Thresholds'!$E:$AR,12,FALSE),IF((AND($U$4=TRUE,$U$5=FALSE,$U$6=TRUE,$U$7=TRUE)),VLOOKUP($E759,'Status Thresholds'!$E:$AR,17,FALSE),IF((AND($U$4=TRUE,$U$5=FALSE,$U$6=FALSE,$U$7=TRUE)),VLOOKUP($E759,'Status Thresholds'!$E:$AR,7,FALSE),
IF((AND($U$4=FALSE,$U$5=TRUE,$U$6=FALSE,$U$7=FALSE)),VLOOKUP($E759,'Status Thresholds'!$E:$AR,22,FALSE),IF((AND($U$4=FALSE,$U$5=TRUE,$U$6=TRUE,$U$7=FALSE)),VLOOKUP($E759,'Status Thresholds'!$E:$AR,32,FALSE),IF((AND($U$4=FALSE,$U$5=TRUE,$U$6=TRUE,$U$7=TRUE)),VLOOKUP($E759,'Status Thresholds'!$E:$AR,37,FALSE),IF((AND($U$4=FALSE,$U$5=TRUE,$U$6=FALSE,$U$7=TRUE)),VLOOKUP($E759,'Status Thresholds'!$E:$AR,27,FALSE)))))))))
))/
IF(OR($X$5=TRUE,$AC$3=TRUE
),($F$5/2), IF(OR($X$2,$X$3,$X$4,$X$6,$X$7,$X$8,$Z$2,$Z$3,$Z$4,$Z$5,$Z$6,$Z$7,$Z$8)=TRUE,$F$5)),0),"-")</f>
        <v>-</v>
      </c>
      <c r="G759" s="36" t="str">
        <f>IFERROR(
ROUNDUP(
IF(AND($U$5=FALSE,$U$4=FALSE),"-",IF(AND($U$5=TRUE,$U$4=TRUE),"-",
IF((AND($U$4=TRUE,$U$5=FALSE,$U$6=FALSE,$U$7=FALSE)),VLOOKUP($E759,'Status Thresholds'!$E:$AR,3,FALSE),IF((AND($U$4=TRUE,$U$5=FALSE,$U$6=TRUE,$U$7=FALSE)),VLOOKUP($E759,'Status Thresholds'!$E:$AR,13,FALSE),IF((AND($U$4=TRUE,$U$5=FALSE,$U$6=TRUE,$U$7=TRUE)),VLOOKUP($E759,'Status Thresholds'!$E:$AR,18,FALSE),IF((AND($U$4=TRUE,$U$5=FALSE,$U$6=FALSE,$U$7=TRUE)),VLOOKUP($E759,'Status Thresholds'!$E:$AR,8,FALSE),
IF((AND($U$4=FALSE,$U$5=TRUE,$U$6=FALSE,$U$7=FALSE)),VLOOKUP($E759,'Status Thresholds'!$E:$AR,23,FALSE),IF((AND($U$4=FALSE,$U$5=TRUE,$U$6=TRUE,$U$7=FALSE)),VLOOKUP($E759,'Status Thresholds'!$E:$AR,33,FALSE),IF((AND($U$4=FALSE,$U$5=TRUE,$U$6=TRUE,$U$7=TRUE)),VLOOKUP($E759,'Status Thresholds'!$E:$AR,38,FALSE),IF((AND($U$4=FALSE,$U$5=TRUE,$U$6=FALSE,$U$7=TRUE)),VLOOKUP($E759,'Status Thresholds'!$E:$AR,28,FALSE)))))))))
))/
IF(OR($X$5=TRUE,$AC$3=TRUE
),($F$5/2), IF(OR($X$2,$X$3,$X$4,$X$6,$X$7,$X$8,$Z$2,$Z$3,$Z$4,$Z$5,$Z$6,$Z$7,$Z$8)=TRUE,$F$5)),0),"-")</f>
        <v>-</v>
      </c>
      <c r="H759" s="36" t="str">
        <f>IFERROR(
ROUNDUP(
IF(AND($U$5=FALSE,$U$4=FALSE),"-",IF(AND($U$5=TRUE,$U$4=TRUE),"-",
IF((AND($U$4=TRUE,$U$5=FALSE,$U$6=FALSE,$U$7=FALSE)),VLOOKUP($E759,'Status Thresholds'!$E:$AR,4,FALSE),IF((AND($U$4=TRUE,$U$5=FALSE,$U$6=TRUE,$U$7=FALSE)),VLOOKUP($E759,'Status Thresholds'!$E:$AR,14,FALSE),IF((AND($U$4=TRUE,$U$5=FALSE,$U$6=TRUE,$U$7=TRUE)),VLOOKUP($E759,'Status Thresholds'!$E:$AR,19,FALSE),IF((AND($U$4=TRUE,$U$5=FALSE,$U$6=FALSE,$U$7=TRUE)),VLOOKUP($E759,'Status Thresholds'!$E:$AR,9,FALSE),
IF((AND($U$4=FALSE,$U$5=TRUE,$U$6=FALSE,$U$7=FALSE)),VLOOKUP($E759,'Status Thresholds'!$E:$AR,24,FALSE),IF((AND($U$4=FALSE,$U$5=TRUE,$U$6=TRUE,$U$7=FALSE)),VLOOKUP($E759,'Status Thresholds'!$E:$AR,34,FALSE),IF((AND($U$4=FALSE,$U$5=TRUE,$U$6=TRUE,$U$7=TRUE)),VLOOKUP($E759,'Status Thresholds'!$E:$AR,39,FALSE),IF((AND($U$4=FALSE,$U$5=TRUE,$U$6=FALSE,$U$7=TRUE)),VLOOKUP($E759,'Status Thresholds'!$E:$AR,29,FALSE)))))))))
))/
IF(OR($X$5=TRUE,$AC$3=TRUE
),($F$5/2), IF(OR($X$2,$X$3,$X$4,$X$6,$X$7,$X$8,$Z$2,$Z$3,$Z$4,$Z$5,$Z$6,$Z$7,$Z$8)=TRUE,$F$5)),0),"-")</f>
        <v>-</v>
      </c>
      <c r="I759" s="36" t="str">
        <f>IFERROR(
ROUNDUP(
IF(AND($U$5=FALSE,$U$4=FALSE),"-",IF(AND($U$5=TRUE,$U$4=TRUE),"-",
IF((AND($U$4=TRUE,$U$5=FALSE,$U$6=FALSE,$U$7=FALSE)),VLOOKUP($E759,'Status Thresholds'!$E:$AR,5,FALSE),IF((AND($U$4=TRUE,$U$5=FALSE,$U$6=TRUE,$U$7=FALSE)),VLOOKUP($E759,'Status Thresholds'!$E:$AR,15,FALSE),IF((AND($U$4=TRUE,$U$5=FALSE,$U$6=TRUE,$U$7=TRUE)),VLOOKUP($E759,'Status Thresholds'!$E:$AR,20,FALSE),IF((AND($U$4=TRUE,$U$5=FALSE,$U$6=FALSE,$U$7=TRUE)),VLOOKUP($E759,'Status Thresholds'!$E:$AR,10,FALSE),
IF((AND($U$4=FALSE,$U$5=TRUE,$U$6=FALSE,$U$7=FALSE)),VLOOKUP($E759,'Status Thresholds'!$E:$AR,25,FALSE),IF((AND($U$4=FALSE,$U$5=TRUE,$U$6=TRUE,$U$7=FALSE)),VLOOKUP($E759,'Status Thresholds'!$E:$AR,35,FALSE),IF((AND($U$4=FALSE,$U$5=TRUE,$U$6=TRUE,$U$7=TRUE)),VLOOKUP($E759,'Status Thresholds'!$E:$AR,40,FALSE),IF((AND($U$4=FALSE,$U$5=TRUE,$U$6=FALSE,$U$7=TRUE)),VLOOKUP($E759,'Status Thresholds'!$E:$AR,30,FALSE)))))))))
))/
IF(OR($X$5=TRUE,$AC$3=TRUE
),($F$5/2), IF(OR($X$2,$X$3,$X$4,$X$6,$X$7,$X$8,$Z$2,$Z$3,$Z$4,$Z$5,$Z$6,$Z$7,$Z$8)=TRUE,$F$5)),0),"-")</f>
        <v>-</v>
      </c>
      <c r="J759" s="46">
        <f>IFERROR(IF(AND($U$5=FALSE,$U$4=FALSE),"-",VLOOKUP($E759,'Status Thresholds'!$E:$AU,41,FALSE)),"-")</f>
        <v>60</v>
      </c>
      <c r="K759" s="46" t="str">
        <f>IFERROR(IF(AND($U$5=FALSE,$U$4=FALSE),"-",VLOOKUP($E759,'Status Thresholds'!$E:$AU,42,FALSE)),"-")</f>
        <v>-</v>
      </c>
      <c r="L759" s="46" t="str">
        <f>IFERROR(IF(AND($U$5=FALSE,$U$4=FALSE),"-",VLOOKUP($E759,'Status Thresholds'!$E:$AU,43,FALSE)),"-")</f>
        <v>-</v>
      </c>
    </row>
    <row r="760" spans="1:12" x14ac:dyDescent="0.25">
      <c r="A760" s="35"/>
      <c r="B760" s="64" t="str">
        <f>VLOOKUP(C760,'Status Thresholds'!B:C,2,FALSE)</f>
        <v>MHGen</v>
      </c>
      <c r="C760" s="64" t="str">
        <f>IF('Status Thresholds'!B755=0, "", 'Status Thresholds'!B755)</f>
        <v>Tigrex</v>
      </c>
      <c r="D760" s="10" t="s">
        <v>22</v>
      </c>
      <c r="E760" s="36" t="str">
        <f t="shared" si="11"/>
        <v>TigrexExhaust</v>
      </c>
      <c r="F760" s="36" t="str">
        <f>IFERROR(
ROUNDUP(
IF(AND($U$5=FALSE,$U$4=FALSE),"-",IF(AND($U$5=TRUE,$U$4=TRUE),"-",
IF((AND($U$4=TRUE,$U$5=FALSE,$U$6=FALSE,$U$7=FALSE)),VLOOKUP($E760,'Status Thresholds'!$E:$AR,2,FALSE),IF((AND($U$4=TRUE,$U$5=FALSE,$U$6=TRUE,$U$7=FALSE)),VLOOKUP($E760,'Status Thresholds'!$E:$AR,12,FALSE),IF((AND($U$4=TRUE,$U$5=FALSE,$U$6=TRUE,$U$7=TRUE)),VLOOKUP($E760,'Status Thresholds'!$E:$AR,17,FALSE),IF((AND($U$4=TRUE,$U$5=FALSE,$U$6=FALSE,$U$7=TRUE)),VLOOKUP($E760,'Status Thresholds'!$E:$AR,7,FALSE),
IF((AND($U$4=FALSE,$U$5=TRUE,$U$6=FALSE,$U$7=FALSE)),VLOOKUP($E760,'Status Thresholds'!$E:$AR,22,FALSE),IF((AND($U$4=FALSE,$U$5=TRUE,$U$6=TRUE,$U$7=FALSE)),VLOOKUP($E760,'Status Thresholds'!$E:$AR,32,FALSE),IF((AND($U$4=FALSE,$U$5=TRUE,$U$6=TRUE,$U$7=TRUE)),VLOOKUP($E760,'Status Thresholds'!$E:$AR,37,FALSE),IF((AND($U$4=FALSE,$U$5=TRUE,$U$6=FALSE,$U$7=TRUE)),VLOOKUP($E760,'Status Thresholds'!$E:$AR,27,FALSE)))))))))
))/
IF(OR($X$5=TRUE,$AC$3=TRUE
),($F$6/2), IF(OR($X$2,$X$3,$X$4,$X$6,$X$7,$X$8,$Z$2,$Z$3,$Z$4,$Z$5,$Z$6,$Z$7,$Z$8)=TRUE,$F$6)),0),"-")</f>
        <v>-</v>
      </c>
      <c r="G760" s="36" t="str">
        <f>IFERROR(
ROUNDUP(
IF(AND($U$5=FALSE,$U$4=FALSE),"-",IF(AND($U$5=TRUE,$U$4=TRUE),"-",
IF((AND($U$4=TRUE,$U$5=FALSE,$U$6=FALSE,$U$7=FALSE)),VLOOKUP($E760,'Status Thresholds'!$E:$AR,3,FALSE),IF((AND($U$4=TRUE,$U$5=FALSE,$U$6=TRUE,$U$7=FALSE)),VLOOKUP($E760,'Status Thresholds'!$E:$AR,13,FALSE),IF((AND($U$4=TRUE,$U$5=FALSE,$U$6=TRUE,$U$7=TRUE)),VLOOKUP($E760,'Status Thresholds'!$E:$AR,18,FALSE),IF((AND($U$4=TRUE,$U$5=FALSE,$U$6=FALSE,$U$7=TRUE)),VLOOKUP($E760,'Status Thresholds'!$E:$AR,8,FALSE),
IF((AND($U$4=FALSE,$U$5=TRUE,$U$6=FALSE,$U$7=FALSE)),VLOOKUP($E760,'Status Thresholds'!$E:$AR,23,FALSE),IF((AND($U$4=FALSE,$U$5=TRUE,$U$6=TRUE,$U$7=FALSE)),VLOOKUP($E760,'Status Thresholds'!$E:$AR,33,FALSE),IF((AND($U$4=FALSE,$U$5=TRUE,$U$6=TRUE,$U$7=TRUE)),VLOOKUP($E760,'Status Thresholds'!$E:$AR,38,FALSE),IF((AND($U$4=FALSE,$U$5=TRUE,$U$6=FALSE,$U$7=TRUE)),VLOOKUP($E760,'Status Thresholds'!$E:$AR,28,FALSE)))))))))
))/
IF(OR($X$5=TRUE,$AC$3=TRUE
),($F$6/2), IF(OR($X$2,$X$3,$X$4,$X$6,$X$7,$X$8,$Z$2,$Z$3,$Z$4,$Z$5,$Z$6,$Z$7,$Z$8)=TRUE,$F$6)),0),"-")</f>
        <v>-</v>
      </c>
      <c r="H760" s="36" t="str">
        <f>IFERROR(
ROUNDUP(
IF(AND($U$5=FALSE,$U$4=FALSE),"-",IF(AND($U$5=TRUE,$U$4=TRUE),"-",
IF((AND($U$4=TRUE,$U$5=FALSE,$U$6=FALSE,$U$7=FALSE)),VLOOKUP($E760,'Status Thresholds'!$E:$AR,4,FALSE),IF((AND($U$4=TRUE,$U$5=FALSE,$U$6=TRUE,$U$7=FALSE)),VLOOKUP($E760,'Status Thresholds'!$E:$AR,14,FALSE),IF((AND($U$4=TRUE,$U$5=FALSE,$U$6=TRUE,$U$7=TRUE)),VLOOKUP($E760,'Status Thresholds'!$E:$AR,19,FALSE),IF((AND($U$4=TRUE,$U$5=FALSE,$U$6=FALSE,$U$7=TRUE)),VLOOKUP($E760,'Status Thresholds'!$E:$AR,9,FALSE),
IF((AND($U$4=FALSE,$U$5=TRUE,$U$6=FALSE,$U$7=FALSE)),VLOOKUP($E760,'Status Thresholds'!$E:$AR,24,FALSE),IF((AND($U$4=FALSE,$U$5=TRUE,$U$6=TRUE,$U$7=FALSE)),VLOOKUP($E760,'Status Thresholds'!$E:$AR,34,FALSE),IF((AND($U$4=FALSE,$U$5=TRUE,$U$6=TRUE,$U$7=TRUE)),VLOOKUP($E760,'Status Thresholds'!$E:$AR,39,FALSE),IF((AND($U$4=FALSE,$U$5=TRUE,$U$6=FALSE,$U$7=TRUE)),VLOOKUP($E760,'Status Thresholds'!$E:$AR,29,FALSE)))))))))
))/
IF(OR($X$5=TRUE,$AC$3=TRUE
),($F$6/2), IF(OR($X$2,$X$3,$X$4,$X$6,$X$7,$X$8,$Z$2,$Z$3,$Z$4,$Z$5,$Z$6,$Z$7,$Z$8)=TRUE,$F$6)),0),"-")</f>
        <v>-</v>
      </c>
      <c r="I760" s="36" t="str">
        <f>IFERROR(
ROUNDUP(
IF(AND($U$5=FALSE,$U$4=FALSE),"-",IF(AND($U$5=TRUE,$U$4=TRUE),"-",
IF((AND($U$4=TRUE,$U$5=FALSE,$U$6=FALSE,$U$7=FALSE)),VLOOKUP($E760,'Status Thresholds'!$E:$AR,5,FALSE),IF((AND($U$4=TRUE,$U$5=FALSE,$U$6=TRUE,$U$7=FALSE)),VLOOKUP($E760,'Status Thresholds'!$E:$AR,15,FALSE),IF((AND($U$4=TRUE,$U$5=FALSE,$U$6=TRUE,$U$7=TRUE)),VLOOKUP($E760,'Status Thresholds'!$E:$AR,20,FALSE),IF((AND($U$4=TRUE,$U$5=FALSE,$U$6=FALSE,$U$7=TRUE)),VLOOKUP($E760,'Status Thresholds'!$E:$AR,10,FALSE),
IF((AND($U$4=FALSE,$U$5=TRUE,$U$6=FALSE,$U$7=FALSE)),VLOOKUP($E760,'Status Thresholds'!$E:$AR,25,FALSE),IF((AND($U$4=FALSE,$U$5=TRUE,$U$6=TRUE,$U$7=FALSE)),VLOOKUP($E760,'Status Thresholds'!$E:$AR,35,FALSE),IF((AND($U$4=FALSE,$U$5=TRUE,$U$6=TRUE,$U$7=TRUE)),VLOOKUP($E760,'Status Thresholds'!$E:$AR,40,FALSE),IF((AND($U$4=FALSE,$U$5=TRUE,$U$6=FALSE,$U$7=TRUE)),VLOOKUP($E760,'Status Thresholds'!$E:$AR,30,FALSE)))))))))
))/
IF(OR($X$5=TRUE,$AC$3=TRUE
),($F$6/2), IF(OR($X$2,$X$3,$X$4,$X$6,$X$7,$X$8,$Z$2,$Z$3,$Z$4,$Z$5,$Z$6,$Z$7,$Z$8)=TRUE,$F$6)),0),"-")</f>
        <v>-</v>
      </c>
      <c r="J760" s="46">
        <f>IFERROR(IF(AND($U$5=FALSE,$U$4=FALSE),"-",VLOOKUP($E760,'Status Thresholds'!$E:$AU,41,FALSE)),"-")</f>
        <v>0</v>
      </c>
      <c r="K760" s="46" t="str">
        <f>IFERROR(IF(AND($U$5=FALSE,$U$4=FALSE),"-",VLOOKUP($E760,'Status Thresholds'!$E:$AU,42,FALSE)),"-")</f>
        <v>-</v>
      </c>
      <c r="L760" s="46" t="str">
        <f>IFERROR(IF(AND($U$5=FALSE,$U$4=FALSE),"-",VLOOKUP($E760,'Status Thresholds'!$E:$AU,43,FALSE)),"-")</f>
        <v>-</v>
      </c>
    </row>
    <row r="761" spans="1:12" x14ac:dyDescent="0.25">
      <c r="A761" s="35"/>
      <c r="B761" s="64" t="str">
        <f>VLOOKUP(C761,'Status Thresholds'!B:C,2,FALSE)</f>
        <v>MHGen</v>
      </c>
      <c r="C761" s="64" t="str">
        <f>IF('Status Thresholds'!B756=0, "", 'Status Thresholds'!B756)</f>
        <v>Tigrex</v>
      </c>
      <c r="D761" s="30" t="s">
        <v>35</v>
      </c>
      <c r="E761" s="36" t="str">
        <f t="shared" si="11"/>
        <v>TigrexBlast</v>
      </c>
      <c r="F761" s="36" t="str">
        <f>IFERROR(
ROUNDUP(
IF(AND($U$5=FALSE,$U$4=FALSE),"-",IF(AND($U$5=TRUE,$U$4=TRUE),"-",
IF((AND($U$4=TRUE,$U$5=FALSE,$U$6=FALSE,$U$7=FALSE)),VLOOKUP($E761,'Status Thresholds'!$E:$AR,2,FALSE),IF((AND($U$4=TRUE,$U$5=FALSE,$U$6=TRUE,$U$7=FALSE)),VLOOKUP($E761,'Status Thresholds'!$E:$AR,12,FALSE),IF((AND($U$4=TRUE,$U$5=FALSE,$U$6=TRUE,$U$7=TRUE)),VLOOKUP($E761,'Status Thresholds'!$E:$AR,17,FALSE),IF((AND($U$4=TRUE,$U$5=FALSE,$U$6=FALSE,$U$7=TRUE)),VLOOKUP($E761,'Status Thresholds'!$E:$AR,7,FALSE),
IF((AND($U$4=FALSE,$U$5=TRUE,$U$6=FALSE,$U$7=FALSE)),VLOOKUP($E761,'Status Thresholds'!$E:$AR,22,FALSE),IF((AND($U$4=FALSE,$U$5=TRUE,$U$6=TRUE,$U$7=FALSE)),VLOOKUP($E761,'Status Thresholds'!$E:$AR,32,FALSE),IF((AND($U$4=FALSE,$U$5=TRUE,$U$6=TRUE,$U$7=TRUE)),VLOOKUP($E761,'Status Thresholds'!$E:$AR,37,FALSE),IF((AND($U$4=FALSE,$U$5=TRUE,$U$6=FALSE,$U$7=TRUE)),VLOOKUP($E761,'Status Thresholds'!$E:$AR,27,FALSE)))))))))
))/
IF(OR($X$5=TRUE,$AC$3=TRUE
),($F$7/2), IF(OR($X$2,$X$3,$X$4,$X$6,$X$7,$X$8,$Z$2,$Z$3,$Z$4,$Z$5,$Z$6,$Z$7,$Z$8)=TRUE,$F$7)),0),"-")</f>
        <v>-</v>
      </c>
      <c r="G761" s="36" t="str">
        <f>IFERROR(
ROUNDUP(
IF(AND($U$5=FALSE,$U$4=FALSE),"-",IF(AND($U$5=TRUE,$U$4=TRUE),"-",
IF((AND($U$4=TRUE,$U$5=FALSE,$U$6=FALSE,$U$7=FALSE)),VLOOKUP($E761,'Status Thresholds'!$E:$AR,3,FALSE),IF((AND($U$4=TRUE,$U$5=FALSE,$U$6=TRUE,$U$7=FALSE)),VLOOKUP($E761,'Status Thresholds'!$E:$AR,13,FALSE),IF((AND($U$4=TRUE,$U$5=FALSE,$U$6=TRUE,$U$7=TRUE)),VLOOKUP($E761,'Status Thresholds'!$E:$AR,18,FALSE),IF((AND($U$4=TRUE,$U$5=FALSE,$U$6=FALSE,$U$7=TRUE)),VLOOKUP($E761,'Status Thresholds'!$E:$AR,8,FALSE),
IF((AND($U$4=FALSE,$U$5=TRUE,$U$6=FALSE,$U$7=FALSE)),VLOOKUP($E761,'Status Thresholds'!$E:$AR,23,FALSE),IF((AND($U$4=FALSE,$U$5=TRUE,$U$6=TRUE,$U$7=FALSE)),VLOOKUP($E761,'Status Thresholds'!$E:$AR,33,FALSE),IF((AND($U$4=FALSE,$U$5=TRUE,$U$6=TRUE,$U$7=TRUE)),VLOOKUP($E761,'Status Thresholds'!$E:$AR,38,FALSE),IF((AND($U$4=FALSE,$U$5=TRUE,$U$6=FALSE,$U$7=TRUE)),VLOOKUP($E761,'Status Thresholds'!$E:$AR,28,FALSE)))))))))
))/
IF(OR($X$5=TRUE,$AC$3=TRUE
),($F$7/2), IF(OR($X$2,$X$3,$X$4,$X$6,$X$7,$X$8,$Z$2,$Z$3,$Z$4,$Z$5,$Z$6,$Z$7,$Z$8)=TRUE,$F$7)),0),"-")</f>
        <v>-</v>
      </c>
      <c r="H761" s="36" t="str">
        <f>IFERROR(
ROUNDUP(
IF(AND($U$5=FALSE,$U$4=FALSE),"-",IF(AND($U$5=TRUE,$U$4=TRUE),"-",
IF((AND($U$4=TRUE,$U$5=FALSE,$U$6=FALSE,$U$7=FALSE)),VLOOKUP($E761,'Status Thresholds'!$E:$AR,4,FALSE),IF((AND($U$4=TRUE,$U$5=FALSE,$U$6=TRUE,$U$7=FALSE)),VLOOKUP($E761,'Status Thresholds'!$E:$AR,14,FALSE),IF((AND($U$4=TRUE,$U$5=FALSE,$U$6=TRUE,$U$7=TRUE)),VLOOKUP($E761,'Status Thresholds'!$E:$AR,19,FALSE),IF((AND($U$4=TRUE,$U$5=FALSE,$U$6=FALSE,$U$7=TRUE)),VLOOKUP($E761,'Status Thresholds'!$E:$AR,9,FALSE),
IF((AND($U$4=FALSE,$U$5=TRUE,$U$6=FALSE,$U$7=FALSE)),VLOOKUP($E761,'Status Thresholds'!$E:$AR,24,FALSE),IF((AND($U$4=FALSE,$U$5=TRUE,$U$6=TRUE,$U$7=FALSE)),VLOOKUP($E761,'Status Thresholds'!$E:$AR,34,FALSE),IF((AND($U$4=FALSE,$U$5=TRUE,$U$6=TRUE,$U$7=TRUE)),VLOOKUP($E761,'Status Thresholds'!$E:$AR,39,FALSE),IF((AND($U$4=FALSE,$U$5=TRUE,$U$6=FALSE,$U$7=TRUE)),VLOOKUP($E761,'Status Thresholds'!$E:$AR,29,FALSE)))))))))
))/
IF(OR($X$5=TRUE,$AC$3=TRUE
),($F$7/2), IF(OR($X$2,$X$3,$X$4,$X$6,$X$7,$X$8,$Z$2,$Z$3,$Z$4,$Z$5,$Z$6,$Z$7,$Z$8)=TRUE,$F$7)),0),"-")</f>
        <v>-</v>
      </c>
      <c r="I761" s="36" t="str">
        <f>IFERROR(
ROUNDUP(
IF(AND($U$5=FALSE,$U$4=FALSE),"-",IF(AND($U$5=TRUE,$U$4=TRUE),"-",
IF((AND($U$4=TRUE,$U$5=FALSE,$U$6=FALSE,$U$7=FALSE)),VLOOKUP($E761,'Status Thresholds'!$E:$AR,5,FALSE),IF((AND($U$4=TRUE,$U$5=FALSE,$U$6=TRUE,$U$7=FALSE)),VLOOKUP($E761,'Status Thresholds'!$E:$AR,15,FALSE),IF((AND($U$4=TRUE,$U$5=FALSE,$U$6=TRUE,$U$7=TRUE)),VLOOKUP($E761,'Status Thresholds'!$E:$AR,20,FALSE),IF((AND($U$4=TRUE,$U$5=FALSE,$U$6=FALSE,$U$7=TRUE)),VLOOKUP($E761,'Status Thresholds'!$E:$AR,10,FALSE),
IF((AND($U$4=FALSE,$U$5=TRUE,$U$6=FALSE,$U$7=FALSE)),VLOOKUP($E761,'Status Thresholds'!$E:$AR,25,FALSE),IF((AND($U$4=FALSE,$U$5=TRUE,$U$6=TRUE,$U$7=FALSE)),VLOOKUP($E761,'Status Thresholds'!$E:$AR,35,FALSE),IF((AND($U$4=FALSE,$U$5=TRUE,$U$6=TRUE,$U$7=TRUE)),VLOOKUP($E761,'Status Thresholds'!$E:$AR,40,FALSE),IF((AND($U$4=FALSE,$U$5=TRUE,$U$6=FALSE,$U$7=TRUE)),VLOOKUP($E761,'Status Thresholds'!$E:$AR,30,FALSE)))))))))
))/
IF(OR($X$5=TRUE,$AC$3=TRUE
),($F$7/2), IF(OR($X$2,$X$3,$X$4,$X$6,$X$7,$X$8,$Z$2,$Z$3,$Z$4,$Z$5,$Z$6,$Z$7,$Z$8)=TRUE,$F$7)),0),"-")</f>
        <v>-</v>
      </c>
      <c r="J761" s="46">
        <f>IFERROR(IF(AND($U$5=FALSE,$U$4=FALSE),"-",VLOOKUP($E761,'Status Thresholds'!$E:$AU,41,FALSE)),"-")</f>
        <v>0</v>
      </c>
      <c r="K761" s="46" t="str">
        <f>IFERROR(IF(AND($U$5=FALSE,$U$4=FALSE),"-",VLOOKUP($E761,'Status Thresholds'!$E:$AU,42,FALSE)),"-")</f>
        <v>-</v>
      </c>
      <c r="L761" s="46" t="str">
        <f>IFERROR(IF(AND($U$5=FALSE,$U$4=FALSE),"-",VLOOKUP($E761,'Status Thresholds'!$E:$AU,43,FALSE)),"-")</f>
        <v>-</v>
      </c>
    </row>
    <row r="762" spans="1:12" ht="14.45" customHeight="1" x14ac:dyDescent="0.25">
      <c r="A762" s="35"/>
      <c r="B762" s="64" t="str">
        <f>VLOOKUP(C762,'Status Thresholds'!B:C,2,FALSE)</f>
        <v>MHGen</v>
      </c>
      <c r="C762" s="64" t="str">
        <f>IF('Status Thresholds'!B757=0, "", 'Status Thresholds'!B757)</f>
        <v>Tigrex</v>
      </c>
      <c r="D762" s="34" t="s">
        <v>14</v>
      </c>
      <c r="E762" s="36" t="str">
        <f t="shared" si="11"/>
        <v>TigrexKO</v>
      </c>
      <c r="F762" s="36" t="s">
        <v>214</v>
      </c>
      <c r="G762" s="36" t="s">
        <v>214</v>
      </c>
      <c r="H762" s="36" t="s">
        <v>214</v>
      </c>
      <c r="I762" s="36" t="s">
        <v>214</v>
      </c>
      <c r="J762" s="46">
        <f>IFERROR(IF(AND($U$5=FALSE,$U$4=FALSE),"-",VLOOKUP($E762,'Status Thresholds'!$E:$AU,41,FALSE)),"-")</f>
        <v>10</v>
      </c>
      <c r="K762" s="46" t="str">
        <f>IFERROR(IF(AND($U$5=FALSE,$U$4=FALSE),"-",VLOOKUP($E762,'Status Thresholds'!$E:$AU,42,FALSE)),"-")</f>
        <v>-</v>
      </c>
      <c r="L762" s="46" t="str">
        <f>IFERROR(IF(AND($U$5=FALSE,$U$4=FALSE),"-",VLOOKUP($E762,'Status Thresholds'!$E:$AU,43,FALSE)),"-")</f>
        <v>-</v>
      </c>
    </row>
    <row r="763" spans="1:12" x14ac:dyDescent="0.25">
      <c r="A763" s="35"/>
      <c r="B763" s="64" t="str">
        <f>VLOOKUP(C763,'Status Thresholds'!B:C,2,FALSE)</f>
        <v>MHGen</v>
      </c>
      <c r="C763" s="64" t="str">
        <f>IF('Status Thresholds'!B758=0, "", 'Status Thresholds'!B758)</f>
        <v>Tigrex</v>
      </c>
      <c r="D763" s="33" t="s">
        <v>34</v>
      </c>
      <c r="E763" s="36" t="str">
        <f t="shared" si="11"/>
        <v>TigrexMount</v>
      </c>
      <c r="F763" s="36" t="str">
        <f>IFERROR(
ROUNDUP(
IF(AND($U$5=FALSE,$U$4=FALSE),"-",IF(AND($U$5=TRUE,$U$4=TRUE),"-",
IF((AND($U$4=TRUE,$U$5=FALSE,$U$6=FALSE,$U$7=FALSE)),VLOOKUP($E763,'Status Thresholds'!$E:$AR,2,FALSE),IF((AND($U$4=TRUE,$U$5=FALSE,$U$6=TRUE,$U$7=FALSE)),VLOOKUP($E763,'Status Thresholds'!$E:$AR,12,FALSE),IF((AND($U$4=TRUE,$U$5=FALSE,$U$6=TRUE,$U$7=TRUE)),VLOOKUP($E763,'Status Thresholds'!$E:$AR,17,FALSE),IF((AND($U$4=TRUE,$U$5=FALSE,$U$6=FALSE,$U$7=TRUE)),VLOOKUP($E763,'Status Thresholds'!$E:$AR,7,FALSE),
IF((AND($U$4=FALSE,$U$5=TRUE,$U$6=FALSE,$U$7=FALSE)),VLOOKUP($E763,'Status Thresholds'!$E:$AR,22,FALSE),IF((AND($U$4=FALSE,$U$5=TRUE,$U$6=TRUE,$U$7=FALSE)),VLOOKUP($E763,'Status Thresholds'!$E:$AR,32,FALSE),IF((AND($U$4=FALSE,$U$5=TRUE,$U$6=TRUE,$U$7=TRUE)),VLOOKUP($E763,'Status Thresholds'!$E:$AR,37,FALSE),IF((AND($U$4=FALSE,$U$5=TRUE,$U$6=FALSE,$U$7=TRUE)),VLOOKUP($E763,'Status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763" s="36" t="str">
        <f>IFERROR(
ROUNDUP(
IF(AND($U$5=FALSE,$U$4=FALSE),"-",IF(AND($U$5=TRUE,$U$4=TRUE),"-",
IF((AND($U$4=TRUE,$U$5=FALSE,$U$6=FALSE,$U$7=FALSE)),VLOOKUP($E762,'Status Thresholds'!$E:$AR,3,FALSE),IF((AND($U$4=TRUE,$U$5=FALSE,$U$6=TRUE,$U$7=FALSE)),VLOOKUP($E762,'Status Thresholds'!$E:$AR,13,FALSE),IF((AND($U$4=TRUE,$U$5=FALSE,$U$6=TRUE,$U$7=TRUE)),VLOOKUP($E762,'Status Thresholds'!$E:$AR,18,FALSE),IF((AND($U$4=TRUE,$U$5=FALSE,$U$6=FALSE,$U$7=TRUE)),VLOOKUP($E762,'Status Thresholds'!$E:$AR,8,FALSE),
IF((AND($U$4=FALSE,$U$5=TRUE,$U$6=FALSE,$U$7=FALSE)),VLOOKUP($E762,'Status Thresholds'!$E:$AR,23,FALSE),IF((AND($U$4=FALSE,$U$5=TRUE,$U$6=TRUE,$U$7=FALSE)),VLOOKUP($E762,'Status Thresholds'!$E:$AR,33,FALSE),IF((AND($U$4=FALSE,$U$5=TRUE,$U$6=TRUE,$U$7=TRUE)),VLOOKUP($E762,'Status Thresholds'!$E:$AR,38,FALSE),IF((AND($U$4=FALSE,$U$5=TRUE,$U$6=FALSE,$U$7=TRUE)),VLOOKUP($E762,'Status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763" s="36" t="str">
        <f>IFERROR(
ROUNDUP(
IF(AND($U$5=FALSE,$U$4=FALSE),"-",IF(AND($U$5=TRUE,$U$4=TRUE),"-",
IF((AND($U$4=TRUE,$U$5=FALSE,$U$6=FALSE,$U$7=FALSE)),VLOOKUP($E762,'Status Thresholds'!$E:$AR,4,FALSE),IF((AND($U$4=TRUE,$U$5=FALSE,$U$6=TRUE,$U$7=FALSE)),VLOOKUP($E762,'Status Thresholds'!$E:$AR,14,FALSE),IF((AND($U$4=TRUE,$U$5=FALSE,$U$6=TRUE,$U$7=TRUE)),VLOOKUP($E762,'Status Thresholds'!$E:$AR,19,FALSE),IF((AND($U$4=TRUE,$U$5=FALSE,$U$6=FALSE,$U$7=TRUE)),VLOOKUP($E762,'Status Thresholds'!$E:$AR,9,FALSE),
IF((AND($U$4=FALSE,$U$5=TRUE,$U$6=FALSE,$U$7=FALSE)),VLOOKUP($E762,'Status Thresholds'!$E:$AR,24,FALSE),IF((AND($U$4=FALSE,$U$5=TRUE,$U$6=TRUE,$U$7=FALSE)),VLOOKUP($E762,'Status Thresholds'!$E:$AR,34,FALSE),IF((AND($U$4=FALSE,$U$5=TRUE,$U$6=TRUE,$U$7=TRUE)),VLOOKUP($E762,'Status Thresholds'!$E:$AR,39,FALSE),IF((AND($U$4=FALSE,$U$5=TRUE,$U$6=FALSE,$U$7=TRUE)),VLOOKUP($E762,'Status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763" s="36" t="str">
        <f>IFERROR(
ROUNDUP(
IF(AND($U$5=FALSE,$U$4=FALSE),"-",IF(AND($U$5=TRUE,$U$4=TRUE),"-",
IF((AND($U$4=TRUE,$U$5=FALSE,$U$6=FALSE,$U$7=FALSE)),VLOOKUP($E762,'Status Thresholds'!$E:$AR,5,FALSE),IF((AND($U$4=TRUE,$U$5=FALSE,$U$6=TRUE,$U$7=FALSE)),VLOOKUP($E762,'Status Thresholds'!$E:$AR,15,FALSE),IF((AND($U$4=TRUE,$U$5=FALSE,$U$6=TRUE,$U$7=TRUE)),VLOOKUP($E762,'Status Thresholds'!$E:$AR,20,FALSE),IF((AND($U$4=TRUE,$U$5=FALSE,$U$6=FALSE,$U$7=TRUE)),VLOOKUP($E762,'Status Thresholds'!$E:$AR,10,FALSE),
IF((AND($U$4=FALSE,$U$5=TRUE,$U$6=FALSE,$U$7=FALSE)),VLOOKUP($E762,'Status Thresholds'!$E:$AR,25,FALSE),IF((AND($U$4=FALSE,$U$5=TRUE,$U$6=TRUE,$U$7=FALSE)),VLOOKUP($E762,'Status Thresholds'!$E:$AR,35,FALSE),IF((AND($U$4=FALSE,$U$5=TRUE,$U$6=TRUE,$U$7=TRUE)),VLOOKUP($E762,'Status Thresholds'!$E:$AR,40,FALSE),IF((AND($U$4=FALSE,$U$5=TRUE,$U$6=FALSE,$U$7=TRUE)),VLOOKUP($E762,'Status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763" s="46">
        <f>IFERROR(IF(AND($U$5=FALSE,$U$4=FALSE),"-",VLOOKUP($E763,'Status Thresholds'!$E:$AU,41,FALSE)),"-")</f>
        <v>0</v>
      </c>
      <c r="K763" s="46" t="str">
        <f>IFERROR(IF(AND($U$5=FALSE,$U$4=FALSE),"-",VLOOKUP($E763,'Status Thresholds'!$E:$AU,42,FALSE)),"-")</f>
        <v>-</v>
      </c>
      <c r="L763" s="46" t="str">
        <f>IFERROR(IF(AND($U$5=FALSE,$U$4=FALSE),"-",VLOOKUP($E763,'Status Thresholds'!$E:$AU,43,FALSE)),"-")</f>
        <v>-</v>
      </c>
    </row>
    <row r="764" spans="1:12" ht="15" customHeight="1" x14ac:dyDescent="0.25">
      <c r="A764" s="35"/>
      <c r="B764" s="64" t="str">
        <f>VLOOKUP(C764,'Status Thresholds'!B:C,2,FALSE)</f>
        <v>MHGen</v>
      </c>
      <c r="C764" s="64" t="str">
        <f>IF('Status Thresholds'!B759=0, "", 'Status Thresholds'!B759)</f>
        <v>Tigrex</v>
      </c>
      <c r="D764" s="77" t="s">
        <v>207</v>
      </c>
      <c r="E764" s="36" t="str">
        <f t="shared" si="11"/>
        <v>TigrexShock Trap</v>
      </c>
      <c r="F764" s="76" t="s">
        <v>214</v>
      </c>
      <c r="G764" s="46" t="s">
        <v>214</v>
      </c>
      <c r="H764" s="46" t="s">
        <v>214</v>
      </c>
      <c r="I764" s="46" t="s">
        <v>214</v>
      </c>
      <c r="J764" s="46">
        <f>IFERROR(IF(AND($U$5=FALSE,$U$4=FALSE),"-",VLOOKUP($E764,'Status Thresholds'!$E:$AU,43,FALSE)),"-")</f>
        <v>10</v>
      </c>
      <c r="K764" s="46">
        <f>IFERROR(IF(AND($U$5=FALSE,$U$4=FALSE),"-",VLOOKUP($E764,'Status Thresholds'!$E:$AU,41,FALSE)),"-")</f>
        <v>8</v>
      </c>
      <c r="L764" s="46">
        <f>IFERROR(IF(AND($U$5=FALSE,$U$4=FALSE),"-",VLOOKUP($E764,'Status Thresholds'!$E:$AU,42,FALSE)),"-")</f>
        <v>15</v>
      </c>
    </row>
    <row r="765" spans="1:12" x14ac:dyDescent="0.25">
      <c r="A765" s="35"/>
      <c r="B765" s="64" t="str">
        <f>VLOOKUP(C765,'Status Thresholds'!B:C,2,FALSE)</f>
        <v>MHGen</v>
      </c>
      <c r="C765" s="64" t="str">
        <f>IF('Status Thresholds'!B760=0, "", 'Status Thresholds'!B760)</f>
        <v>Tigrex</v>
      </c>
      <c r="D765" s="77" t="s">
        <v>213</v>
      </c>
      <c r="E765" s="36" t="str">
        <f t="shared" si="11"/>
        <v>TigrexPitfall Trap</v>
      </c>
      <c r="F765" s="46" t="s">
        <v>214</v>
      </c>
      <c r="G765" s="46" t="s">
        <v>214</v>
      </c>
      <c r="H765" s="46" t="s">
        <v>214</v>
      </c>
      <c r="I765" s="46" t="s">
        <v>214</v>
      </c>
      <c r="J765" s="46">
        <f>IFERROR(IF(AND($U$5=FALSE,$U$4=FALSE),"-",VLOOKUP($E765,'Status Thresholds'!$E:$AU,43,FALSE)),"-")</f>
        <v>16</v>
      </c>
      <c r="K765" s="46">
        <f>IFERROR(IF(AND($U$5=FALSE,$U$4=FALSE),"-",VLOOKUP($E765,'Status Thresholds'!$E:$AU,41,FALSE)),"-")</f>
        <v>12</v>
      </c>
      <c r="L765" s="46">
        <f>IFERROR(IF(AND($U$5=FALSE,$U$4=FALSE),"-",VLOOKUP($E765,'Status Thresholds'!$E:$AU,42,FALSE)),"-")</f>
        <v>20</v>
      </c>
    </row>
    <row r="766" spans="1:12" s="36" customFormat="1" x14ac:dyDescent="0.25">
      <c r="A766" s="64"/>
      <c r="B766" s="64" t="str">
        <f>VLOOKUP(C766,'Status Thresholds'!B:C,2,FALSE)</f>
        <v>MHGen</v>
      </c>
      <c r="C766" s="64" t="str">
        <f>IF('Status Thresholds'!B761=0, "", 'Status Thresholds'!B761)</f>
        <v>Ukanlos</v>
      </c>
      <c r="D766" s="37" t="s">
        <v>0</v>
      </c>
      <c r="E766" s="36" t="str">
        <f t="shared" si="11"/>
        <v>UkanlosPara</v>
      </c>
      <c r="F766" s="36" t="str">
        <f>IFERROR(
ROUNDUP(
IF(AND($U$5=FALSE,$U$4=FALSE),"-",IF(AND($U$5=TRUE,$U$4=TRUE),"-",
IF((AND($U$4=TRUE,$U$5=FALSE,$U$6=FALSE,$U$7=FALSE)),VLOOKUP($E766,'Status Thresholds'!$E:$AR,2,FALSE),IF((AND($U$4=TRUE,$U$5=FALSE,$U$6=TRUE,$U$7=FALSE)),VLOOKUP($E766,'Status Thresholds'!$E:$AR,12,FALSE),IF((AND($U$4=TRUE,$U$5=FALSE,$U$6=TRUE,$U$7=TRUE)),VLOOKUP($E766,'Status Thresholds'!$E:$AR,17,FALSE),IF((AND($U$4=TRUE,$U$5=FALSE,$U$6=FALSE,$U$7=TRUE)),VLOOKUP($E766,'Status Thresholds'!$E:$AR,7,FALSE),
IF((AND($U$4=FALSE,$U$5=TRUE,$U$6=FALSE,$U$7=FALSE)),VLOOKUP($E766,'Status Thresholds'!$E:$AR,22,FALSE),IF((AND($U$4=FALSE,$U$5=TRUE,$U$6=TRUE,$U$7=FALSE)),VLOOKUP($E766,'Status Thresholds'!$E:$AR,32,FALSE),IF((AND($U$4=FALSE,$U$5=TRUE,$U$6=TRUE,$U$7=TRUE)),VLOOKUP($E766,'Status Thresholds'!$E:$AR,37,FALSE),IF((AND($U$4=FALSE,$U$5=TRUE,$U$6=FALSE,$U$7=TRUE)),VLOOKUP($E766,'Status Thresholds'!$E:$AR,27,FALSE)))))))))
))/
IF(OR($X$5=TRUE,$AC$3=TRUE
),($F$3/2), IF(OR($X$2,$X$3,$X$4,$X$6,$X$7,$X$8,$Z$2,$Z$3,$Z$4,$Z$5,$Z$6,$Z$7,$Z$8)=TRUE,$F$3)),0),"-")</f>
        <v>-</v>
      </c>
      <c r="G766" s="36" t="str">
        <f>IFERROR(
ROUNDUP(
IF(AND($U$5=FALSE,$U$4=FALSE),"-",IF(AND($U$5=TRUE,$U$4=TRUE),"-",
IF((AND($U$4=TRUE,$U$5=FALSE,$U$6=FALSE,$U$7=FALSE)),VLOOKUP($E766,'Status Thresholds'!$E:$AR,3,FALSE),IF((AND($U$4=TRUE,$U$5=FALSE,$U$6=TRUE,$U$7=FALSE)),VLOOKUP($E766,'Status Thresholds'!$E:$AR,13,FALSE),IF((AND($U$4=TRUE,$U$5=FALSE,$U$6=TRUE,$U$7=TRUE)),VLOOKUP($E766,'Status Thresholds'!$E:$AR,18,FALSE),IF((AND($U$4=TRUE,$U$5=FALSE,$U$6=FALSE,$U$7=TRUE)),VLOOKUP($E766,'Status Thresholds'!$E:$AR,8,FALSE),
IF((AND($U$4=FALSE,$U$5=TRUE,$U$6=FALSE,$U$7=FALSE)),VLOOKUP($E766,'Status Thresholds'!$E:$AR,23,FALSE),IF((AND($U$4=FALSE,$U$5=TRUE,$U$6=TRUE,$U$7=FALSE)),VLOOKUP($E766,'Status Thresholds'!$E:$AR,33,FALSE),IF((AND($U$4=FALSE,$U$5=TRUE,$U$6=TRUE,$U$7=TRUE)),VLOOKUP($E766,'Status Thresholds'!$E:$AR,38,FALSE),IF((AND($U$4=FALSE,$U$5=TRUE,$U$6=FALSE,$U$7=TRUE)),VLOOKUP($E766,'Status Thresholds'!$E:$AR,28,FALSE)))))))))
))/
IF(OR($X$5=TRUE,$AC$3=TRUE
),($F$3/2), IF(OR($X$2,$X$3,$X$4,$X$6,$X$7,$X$8,$Z$2,$Z$3,$Z$4,$Z$5,$Z$6,$Z$7,$Z$8)=TRUE,$F$3)),0),"-")</f>
        <v>-</v>
      </c>
      <c r="H766" s="36" t="str">
        <f>IFERROR(
ROUNDUP(
IF(AND($U$5=FALSE,$U$4=FALSE),"-",IF(AND($U$5=TRUE,$U$4=TRUE),"-",
IF((AND($U$4=TRUE,$U$5=FALSE,$U$6=FALSE,$U$7=FALSE)),VLOOKUP($E766,'Status Thresholds'!$E:$AR,4,FALSE),IF((AND($U$4=TRUE,$U$5=FALSE,$U$6=TRUE,$U$7=FALSE)),VLOOKUP($E766,'Status Thresholds'!$E:$AR,14,FALSE),IF((AND($U$4=TRUE,$U$5=FALSE,$U$6=TRUE,$U$7=TRUE)),VLOOKUP($E766,'Status Thresholds'!$E:$AR,19,FALSE),IF((AND($U$4=TRUE,$U$5=FALSE,$U$6=FALSE,$U$7=TRUE)),VLOOKUP($E766,'Status Thresholds'!$E:$AR,9,FALSE),
IF((AND($U$4=FALSE,$U$5=TRUE,$U$6=FALSE,$U$7=FALSE)),VLOOKUP($E766,'Status Thresholds'!$E:$AR,24,FALSE),IF((AND($U$4=FALSE,$U$5=TRUE,$U$6=TRUE,$U$7=FALSE)),VLOOKUP($E766,'Status Thresholds'!$E:$AR,34,FALSE),IF((AND($U$4=FALSE,$U$5=TRUE,$U$6=TRUE,$U$7=TRUE)),VLOOKUP($E766,'Status Thresholds'!$E:$AR,39,FALSE),IF((AND($U$4=FALSE,$U$5=TRUE,$U$6=FALSE,$U$7=TRUE)),VLOOKUP($E766,'Status Thresholds'!$E:$AR,29,FALSE)))))))))
))/
IF(OR($X$5=TRUE,$AC$3=TRUE
),($F$3/2), IF(OR($X$2,$X$3,$X$4,$X$6,$X$7,$X$8,$Z$2,$Z$3,$Z$4,$Z$5,$Z$6,$Z$7,$Z$8)=TRUE,$F$3)),0),"-")</f>
        <v>-</v>
      </c>
      <c r="I766" s="36" t="str">
        <f>IFERROR(
ROUNDUP(
IF(AND($U$5=FALSE,$U$4=FALSE),"-",IF(AND($U$5=TRUE,$U$4=TRUE),"-",
IF((AND($U$4=TRUE,$U$5=FALSE,$U$6=FALSE,$U$7=FALSE)),VLOOKUP($E766,'Status Thresholds'!$E:$AR,5,FALSE),IF((AND($U$4=TRUE,$U$5=FALSE,$U$6=TRUE,$U$7=FALSE)),VLOOKUP($E766,'Status Thresholds'!$E:$AR,15,FALSE),IF((AND($U$4=TRUE,$U$5=FALSE,$U$6=TRUE,$U$7=TRUE)),VLOOKUP($E766,'Status Thresholds'!$E:$AR,20,FALSE),IF((AND($U$4=TRUE,$U$5=FALSE,$U$6=FALSE,$U$7=TRUE)),VLOOKUP($E766,'Status Thresholds'!$E:$AR,10,FALSE),
IF((AND($U$4=FALSE,$U$5=TRUE,$U$6=FALSE,$U$7=FALSE)),VLOOKUP($E766,'Status Thresholds'!$E:$AR,25,FALSE),IF((AND($U$4=FALSE,$U$5=TRUE,$U$6=TRUE,$U$7=FALSE)),VLOOKUP($E766,'Status Thresholds'!$E:$AR,35,FALSE),IF((AND($U$4=FALSE,$U$5=TRUE,$U$6=TRUE,$U$7=TRUE)),VLOOKUP($E766,'Status Thresholds'!$E:$AR,40,FALSE),IF((AND($U$4=FALSE,$U$5=TRUE,$U$6=FALSE,$U$7=TRUE)),VLOOKUP($E766,'Status Thresholds'!$E:$AR,30,FALSE)))))))))
))/
IF(OR($X$5=TRUE,$AC$3=TRUE
),($F$3/2), IF(OR($X$2,$X$3,$X$4,$X$6,$X$7,$X$8,$Z$2,$Z$3,$Z$4,$Z$5,$Z$6,$Z$7,$Z$8)=TRUE,$F$3)),0),"-")</f>
        <v>-</v>
      </c>
      <c r="J766" s="36">
        <f>IFERROR(IF(AND($U$5=FALSE,$U$4=FALSE),"-",VLOOKUP($E766,'Status Thresholds'!$E:$AU,41,FALSE)),"-")</f>
        <v>10</v>
      </c>
      <c r="K766" s="36" t="str">
        <f>IFERROR(IF(AND($U$5=FALSE,$U$4=FALSE),"-",VLOOKUP($E766,'Status Thresholds'!$E:$AU,42,FALSE)),"-")</f>
        <v>-</v>
      </c>
      <c r="L766" s="36" t="str">
        <f>IFERROR(IF(AND($U$5=FALSE,$U$4=FALSE),"-",VLOOKUP($E766,'Status Thresholds'!$E:$AU,43,FALSE)),"-")</f>
        <v>-</v>
      </c>
    </row>
    <row r="767" spans="1:12" x14ac:dyDescent="0.25">
      <c r="A767" s="35"/>
      <c r="B767" s="64" t="str">
        <f>VLOOKUP(C767,'Status Thresholds'!B:C,2,FALSE)</f>
        <v>MHGen</v>
      </c>
      <c r="C767" s="64" t="str">
        <f>IF('Status Thresholds'!B762=0, "", 'Status Thresholds'!B762)</f>
        <v>Ukanlos</v>
      </c>
      <c r="D767" s="31" t="s">
        <v>32</v>
      </c>
      <c r="E767" s="36" t="str">
        <f t="shared" si="11"/>
        <v>UkanlosSleep</v>
      </c>
      <c r="F767" s="36" t="str">
        <f>IFERROR(
ROUNDUP(
IF(AND($U$5=FALSE,$U$4=FALSE),"-",IF(AND($U$5=TRUE,$U$4=TRUE),"-",
IF((AND($U$4=TRUE,$U$5=FALSE,$U$6=FALSE,$U$7=FALSE)),VLOOKUP($E767,'Status Thresholds'!$E:$AR,2,FALSE),IF((AND($U$4=TRUE,$U$5=FALSE,$U$6=TRUE,$U$7=FALSE)),VLOOKUP($E767,'Status Thresholds'!$E:$AR,12,FALSE),IF((AND($U$4=TRUE,$U$5=FALSE,$U$6=TRUE,$U$7=TRUE)),VLOOKUP($E767,'Status Thresholds'!$E:$AR,17,FALSE),IF((AND($U$4=TRUE,$U$5=FALSE,$U$6=FALSE,$U$7=TRUE)),VLOOKUP($E767,'Status Thresholds'!$E:$AR,7,FALSE),
IF((AND($U$4=FALSE,$U$5=TRUE,$U$6=FALSE,$U$7=FALSE)),VLOOKUP($E767,'Status Thresholds'!$E:$AR,22,FALSE),IF((AND($U$4=FALSE,$U$5=TRUE,$U$6=TRUE,$U$7=FALSE)),VLOOKUP($E767,'Status Thresholds'!$E:$AR,32,FALSE),IF((AND($U$4=FALSE,$U$5=TRUE,$U$6=TRUE,$U$7=TRUE)),VLOOKUP($E767,'Status Thresholds'!$E:$AR,37,FALSE),IF((AND($U$4=FALSE,$U$5=TRUE,$U$6=FALSE,$U$7=TRUE)),VLOOKUP($E767,'Status Thresholds'!$E:$AR,27,FALSE)))))))))
))/
IF(OR($X$5=TRUE,$AC$3=TRUE
),($F$4/2), IF(OR($X$2,$X$3,$X$4,$X$6,$X$7,$X$8,$Z$2,$Z$3,$Z$4,$Z$5,$Z$6,$Z$7,$Z$8)=TRUE,$F$4)),0),"-")</f>
        <v>-</v>
      </c>
      <c r="G767" s="36" t="str">
        <f>IFERROR(
ROUNDUP(
IF(AND($U$5=FALSE,$U$4=FALSE),"-",IF(AND($U$5=TRUE,$U$4=TRUE),"-",
IF((AND($U$4=TRUE,$U$5=FALSE,$U$6=FALSE,$U$7=FALSE)),VLOOKUP($E767,'Status Thresholds'!$E:$AR,3,FALSE),IF((AND($U$4=TRUE,$U$5=FALSE,$U$6=TRUE,$U$7=FALSE)),VLOOKUP($E767,'Status Thresholds'!$E:$AR,13,FALSE),IF((AND($U$4=TRUE,$U$5=FALSE,$U$6=TRUE,$U$7=TRUE)),VLOOKUP($E767,'Status Thresholds'!$E:$AR,18,FALSE),IF((AND($U$4=TRUE,$U$5=FALSE,$U$6=FALSE,$U$7=TRUE)),VLOOKUP($E767,'Status Thresholds'!$E:$AR,8,FALSE),
IF((AND($U$4=FALSE,$U$5=TRUE,$U$6=FALSE,$U$7=FALSE)),VLOOKUP($E767,'Status Thresholds'!$E:$AR,23,FALSE),IF((AND($U$4=FALSE,$U$5=TRUE,$U$6=TRUE,$U$7=FALSE)),VLOOKUP($E767,'Status Thresholds'!$E:$AR,33,FALSE),IF((AND($U$4=FALSE,$U$5=TRUE,$U$6=TRUE,$U$7=TRUE)),VLOOKUP($E767,'Status Thresholds'!$E:$AR,38,FALSE),IF((AND($U$4=FALSE,$U$5=TRUE,$U$6=FALSE,$U$7=TRUE)),VLOOKUP($E767,'Status Thresholds'!$E:$AR,28,FALSE)))))))))
))/
IF(OR($X$5=TRUE,$AC$3=TRUE
),($F$4/2), IF(OR($X$2,$X$3,$X$4,$X$6,$X$7,$X$8,$Z$2,$Z$3,$Z$4,$Z$5,$Z$6,$Z$7,$Z$8)=TRUE,$F$4)),0),"-")</f>
        <v>-</v>
      </c>
      <c r="H767" s="36" t="str">
        <f>IFERROR(
ROUNDUP(
IF(AND($U$5=FALSE,$U$4=FALSE),"-",IF(AND($U$5=TRUE,$U$4=TRUE),"-",
IF((AND($U$4=TRUE,$U$5=FALSE,$U$6=FALSE,$U$7=FALSE)),VLOOKUP($E767,'Status Thresholds'!$E:$AR,4,FALSE),IF((AND($U$4=TRUE,$U$5=FALSE,$U$6=TRUE,$U$7=FALSE)),VLOOKUP($E767,'Status Thresholds'!$E:$AR,14,FALSE),IF((AND($U$4=TRUE,$U$5=FALSE,$U$6=TRUE,$U$7=TRUE)),VLOOKUP($E767,'Status Thresholds'!$E:$AR,19,FALSE),IF((AND($U$4=TRUE,$U$5=FALSE,$U$6=FALSE,$U$7=TRUE)),VLOOKUP($E767,'Status Thresholds'!$E:$AR,9,FALSE),
IF((AND($U$4=FALSE,$U$5=TRUE,$U$6=FALSE,$U$7=FALSE)),VLOOKUP($E767,'Status Thresholds'!$E:$AR,24,FALSE),IF((AND($U$4=FALSE,$U$5=TRUE,$U$6=TRUE,$U$7=FALSE)),VLOOKUP($E767,'Status Thresholds'!$E:$AR,34,FALSE),IF((AND($U$4=FALSE,$U$5=TRUE,$U$6=TRUE,$U$7=TRUE)),VLOOKUP($E767,'Status Thresholds'!$E:$AR,39,FALSE),IF((AND($U$4=FALSE,$U$5=TRUE,$U$6=FALSE,$U$7=TRUE)),VLOOKUP($E767,'Status Thresholds'!$E:$AR,29,FALSE)))))))))
))/
IF(OR($X$5=TRUE,$AC$3=TRUE
),($F$4/2), IF(OR($X$2,$X$3,$X$4,$X$6,$X$7,$X$8,$Z$2,$Z$3,$Z$4,$Z$5,$Z$6,$Z$7,$Z$8)=TRUE,$F$4)),0),"-")</f>
        <v>-</v>
      </c>
      <c r="I767" s="36" t="str">
        <f>IFERROR(
ROUNDUP(
IF(AND($U$5=FALSE,$U$4=FALSE),"-",IF(AND($U$5=TRUE,$U$4=TRUE),"-",
IF((AND($U$4=TRUE,$U$5=FALSE,$U$6=FALSE,$U$7=FALSE)),VLOOKUP($E767,'Status Thresholds'!$E:$AR,5,FALSE),IF((AND($U$4=TRUE,$U$5=FALSE,$U$6=TRUE,$U$7=FALSE)),VLOOKUP($E767,'Status Thresholds'!$E:$AR,15,FALSE),IF((AND($U$4=TRUE,$U$5=FALSE,$U$6=TRUE,$U$7=TRUE)),VLOOKUP($E767,'Status Thresholds'!$E:$AR,20,FALSE),IF((AND($U$4=TRUE,$U$5=FALSE,$U$6=FALSE,$U$7=TRUE)),VLOOKUP($E767,'Status Thresholds'!$E:$AR,10,FALSE),
IF((AND($U$4=FALSE,$U$5=TRUE,$U$6=FALSE,$U$7=FALSE)),VLOOKUP($E767,'Status Thresholds'!$E:$AR,25,FALSE),IF((AND($U$4=FALSE,$U$5=TRUE,$U$6=TRUE,$U$7=FALSE)),VLOOKUP($E767,'Status Thresholds'!$E:$AR,35,FALSE),IF((AND($U$4=FALSE,$U$5=TRUE,$U$6=TRUE,$U$7=TRUE)),VLOOKUP($E767,'Status Thresholds'!$E:$AR,40,FALSE),IF((AND($U$4=FALSE,$U$5=TRUE,$U$6=FALSE,$U$7=TRUE)),VLOOKUP($E767,'Status Thresholds'!$E:$AR,30,FALSE)))))))))
))/
IF(OR($X$5=TRUE,$AC$3=TRUE
),($F$4/2), IF(OR($X$2,$X$3,$X$4,$X$6,$X$7,$X$8,$Z$2,$Z$3,$Z$4,$Z$5,$Z$6,$Z$7,$Z$8)=TRUE,$F$4)),0),"-")</f>
        <v>-</v>
      </c>
      <c r="J767" s="46">
        <f>IFERROR(IF(AND($U$5=FALSE,$U$4=FALSE),"-",VLOOKUP($E767,'Status Thresholds'!$E:$AU,41,FALSE)),"-")</f>
        <v>30</v>
      </c>
      <c r="K767" s="46" t="str">
        <f>IFERROR(IF(AND($U$5=FALSE,$U$4=FALSE),"-",VLOOKUP($E767,'Status Thresholds'!$E:$AU,42,FALSE)),"-")</f>
        <v>-</v>
      </c>
      <c r="L767" s="46" t="str">
        <f>IFERROR(IF(AND($U$5=FALSE,$U$4=FALSE),"-",VLOOKUP($E767,'Status Thresholds'!$E:$AU,43,FALSE)),"-")</f>
        <v>-</v>
      </c>
    </row>
    <row r="768" spans="1:12" x14ac:dyDescent="0.25">
      <c r="A768" s="35"/>
      <c r="B768" s="64" t="str">
        <f>VLOOKUP(C768,'Status Thresholds'!B:C,2,FALSE)</f>
        <v>MHGen</v>
      </c>
      <c r="C768" s="64" t="str">
        <f>IF('Status Thresholds'!B763=0, "", 'Status Thresholds'!B763)</f>
        <v>Ukanlos</v>
      </c>
      <c r="D768" s="32" t="s">
        <v>33</v>
      </c>
      <c r="E768" s="36" t="str">
        <f t="shared" si="11"/>
        <v>UkanlosPoison</v>
      </c>
      <c r="F768" s="36" t="str">
        <f>IFERROR(
ROUNDUP(
IF(AND($U$5=FALSE,$U$4=FALSE),"-",IF(AND($U$5=TRUE,$U$4=TRUE),"-",
IF((AND($U$4=TRUE,$U$5=FALSE,$U$6=FALSE,$U$7=FALSE)),VLOOKUP($E768,'Status Thresholds'!$E:$AR,2,FALSE),IF((AND($U$4=TRUE,$U$5=FALSE,$U$6=TRUE,$U$7=FALSE)),VLOOKUP($E768,'Status Thresholds'!$E:$AR,12,FALSE),IF((AND($U$4=TRUE,$U$5=FALSE,$U$6=TRUE,$U$7=TRUE)),VLOOKUP($E768,'Status Thresholds'!$E:$AR,17,FALSE),IF((AND($U$4=TRUE,$U$5=FALSE,$U$6=FALSE,$U$7=TRUE)),VLOOKUP($E768,'Status Thresholds'!$E:$AR,7,FALSE),
IF((AND($U$4=FALSE,$U$5=TRUE,$U$6=FALSE,$U$7=FALSE)),VLOOKUP($E768,'Status Thresholds'!$E:$AR,22,FALSE),IF((AND($U$4=FALSE,$U$5=TRUE,$U$6=TRUE,$U$7=FALSE)),VLOOKUP($E768,'Status Thresholds'!$E:$AR,32,FALSE),IF((AND($U$4=FALSE,$U$5=TRUE,$U$6=TRUE,$U$7=TRUE)),VLOOKUP($E768,'Status Thresholds'!$E:$AR,37,FALSE),IF((AND($U$4=FALSE,$U$5=TRUE,$U$6=FALSE,$U$7=TRUE)),VLOOKUP($E768,'Status Thresholds'!$E:$AR,27,FALSE)))))))))
))/
IF(OR($X$5=TRUE,$AC$3=TRUE
),($F$5/2), IF(OR($X$2,$X$3,$X$4,$X$6,$X$7,$X$8,$Z$2,$Z$3,$Z$4,$Z$5,$Z$6,$Z$7,$Z$8)=TRUE,$F$5)),0),"-")</f>
        <v>-</v>
      </c>
      <c r="G768" s="36" t="str">
        <f>IFERROR(
ROUNDUP(
IF(AND($U$5=FALSE,$U$4=FALSE),"-",IF(AND($U$5=TRUE,$U$4=TRUE),"-",
IF((AND($U$4=TRUE,$U$5=FALSE,$U$6=FALSE,$U$7=FALSE)),VLOOKUP($E768,'Status Thresholds'!$E:$AR,3,FALSE),IF((AND($U$4=TRUE,$U$5=FALSE,$U$6=TRUE,$U$7=FALSE)),VLOOKUP($E768,'Status Thresholds'!$E:$AR,13,FALSE),IF((AND($U$4=TRUE,$U$5=FALSE,$U$6=TRUE,$U$7=TRUE)),VLOOKUP($E768,'Status Thresholds'!$E:$AR,18,FALSE),IF((AND($U$4=TRUE,$U$5=FALSE,$U$6=FALSE,$U$7=TRUE)),VLOOKUP($E768,'Status Thresholds'!$E:$AR,8,FALSE),
IF((AND($U$4=FALSE,$U$5=TRUE,$U$6=FALSE,$U$7=FALSE)),VLOOKUP($E768,'Status Thresholds'!$E:$AR,23,FALSE),IF((AND($U$4=FALSE,$U$5=TRUE,$U$6=TRUE,$U$7=FALSE)),VLOOKUP($E768,'Status Thresholds'!$E:$AR,33,FALSE),IF((AND($U$4=FALSE,$U$5=TRUE,$U$6=TRUE,$U$7=TRUE)),VLOOKUP($E768,'Status Thresholds'!$E:$AR,38,FALSE),IF((AND($U$4=FALSE,$U$5=TRUE,$U$6=FALSE,$U$7=TRUE)),VLOOKUP($E768,'Status Thresholds'!$E:$AR,28,FALSE)))))))))
))/
IF(OR($X$5=TRUE,$AC$3=TRUE
),($F$5/2), IF(OR($X$2,$X$3,$X$4,$X$6,$X$7,$X$8,$Z$2,$Z$3,$Z$4,$Z$5,$Z$6,$Z$7,$Z$8)=TRUE,$F$5)),0),"-")</f>
        <v>-</v>
      </c>
      <c r="H768" s="36" t="str">
        <f>IFERROR(
ROUNDUP(
IF(AND($U$5=FALSE,$U$4=FALSE),"-",IF(AND($U$5=TRUE,$U$4=TRUE),"-",
IF((AND($U$4=TRUE,$U$5=FALSE,$U$6=FALSE,$U$7=FALSE)),VLOOKUP($E768,'Status Thresholds'!$E:$AR,4,FALSE),IF((AND($U$4=TRUE,$U$5=FALSE,$U$6=TRUE,$U$7=FALSE)),VLOOKUP($E768,'Status Thresholds'!$E:$AR,14,FALSE),IF((AND($U$4=TRUE,$U$5=FALSE,$U$6=TRUE,$U$7=TRUE)),VLOOKUP($E768,'Status Thresholds'!$E:$AR,19,FALSE),IF((AND($U$4=TRUE,$U$5=FALSE,$U$6=FALSE,$U$7=TRUE)),VLOOKUP($E768,'Status Thresholds'!$E:$AR,9,FALSE),
IF((AND($U$4=FALSE,$U$5=TRUE,$U$6=FALSE,$U$7=FALSE)),VLOOKUP($E768,'Status Thresholds'!$E:$AR,24,FALSE),IF((AND($U$4=FALSE,$U$5=TRUE,$U$6=TRUE,$U$7=FALSE)),VLOOKUP($E768,'Status Thresholds'!$E:$AR,34,FALSE),IF((AND($U$4=FALSE,$U$5=TRUE,$U$6=TRUE,$U$7=TRUE)),VLOOKUP($E768,'Status Thresholds'!$E:$AR,39,FALSE),IF((AND($U$4=FALSE,$U$5=TRUE,$U$6=FALSE,$U$7=TRUE)),VLOOKUP($E768,'Status Thresholds'!$E:$AR,29,FALSE)))))))))
))/
IF(OR($X$5=TRUE,$AC$3=TRUE
),($F$5/2), IF(OR($X$2,$X$3,$X$4,$X$6,$X$7,$X$8,$Z$2,$Z$3,$Z$4,$Z$5,$Z$6,$Z$7,$Z$8)=TRUE,$F$5)),0),"-")</f>
        <v>-</v>
      </c>
      <c r="I768" s="36" t="str">
        <f>IFERROR(
ROUNDUP(
IF(AND($U$5=FALSE,$U$4=FALSE),"-",IF(AND($U$5=TRUE,$U$4=TRUE),"-",
IF((AND($U$4=TRUE,$U$5=FALSE,$U$6=FALSE,$U$7=FALSE)),VLOOKUP($E768,'Status Thresholds'!$E:$AR,5,FALSE),IF((AND($U$4=TRUE,$U$5=FALSE,$U$6=TRUE,$U$7=FALSE)),VLOOKUP($E768,'Status Thresholds'!$E:$AR,15,FALSE),IF((AND($U$4=TRUE,$U$5=FALSE,$U$6=TRUE,$U$7=TRUE)),VLOOKUP($E768,'Status Thresholds'!$E:$AR,20,FALSE),IF((AND($U$4=TRUE,$U$5=FALSE,$U$6=FALSE,$U$7=TRUE)),VLOOKUP($E768,'Status Thresholds'!$E:$AR,10,FALSE),
IF((AND($U$4=FALSE,$U$5=TRUE,$U$6=FALSE,$U$7=FALSE)),VLOOKUP($E768,'Status Thresholds'!$E:$AR,25,FALSE),IF((AND($U$4=FALSE,$U$5=TRUE,$U$6=TRUE,$U$7=FALSE)),VLOOKUP($E768,'Status Thresholds'!$E:$AR,35,FALSE),IF((AND($U$4=FALSE,$U$5=TRUE,$U$6=TRUE,$U$7=TRUE)),VLOOKUP($E768,'Status Thresholds'!$E:$AR,40,FALSE),IF((AND($U$4=FALSE,$U$5=TRUE,$U$6=FALSE,$U$7=TRUE)),VLOOKUP($E768,'Status Thresholds'!$E:$AR,30,FALSE)))))))))
))/
IF(OR($X$5=TRUE,$AC$3=TRUE
),($F$5/2), IF(OR($X$2,$X$3,$X$4,$X$6,$X$7,$X$8,$Z$2,$Z$3,$Z$4,$Z$5,$Z$6,$Z$7,$Z$8)=TRUE,$F$5)),0),"-")</f>
        <v>-</v>
      </c>
      <c r="J768" s="46">
        <f>IFERROR(IF(AND($U$5=FALSE,$U$4=FALSE),"-",VLOOKUP($E768,'Status Thresholds'!$E:$AU,41,FALSE)),"-")</f>
        <v>60</v>
      </c>
      <c r="K768" s="46" t="str">
        <f>IFERROR(IF(AND($U$5=FALSE,$U$4=FALSE),"-",VLOOKUP($E768,'Status Thresholds'!$E:$AU,42,FALSE)),"-")</f>
        <v>-</v>
      </c>
      <c r="L768" s="46" t="str">
        <f>IFERROR(IF(AND($U$5=FALSE,$U$4=FALSE),"-",VLOOKUP($E768,'Status Thresholds'!$E:$AU,43,FALSE)),"-")</f>
        <v>-</v>
      </c>
    </row>
    <row r="769" spans="1:12" x14ac:dyDescent="0.25">
      <c r="A769" s="35"/>
      <c r="B769" s="64" t="str">
        <f>VLOOKUP(C769,'Status Thresholds'!B:C,2,FALSE)</f>
        <v>MHGen</v>
      </c>
      <c r="C769" s="64" t="str">
        <f>IF('Status Thresholds'!B764=0, "", 'Status Thresholds'!B764)</f>
        <v>Ukanlos</v>
      </c>
      <c r="D769" s="10" t="s">
        <v>22</v>
      </c>
      <c r="E769" s="36" t="str">
        <f t="shared" si="11"/>
        <v>UkanlosExhaust</v>
      </c>
      <c r="F769" s="36" t="str">
        <f>IFERROR(
ROUNDUP(
IF(AND($U$5=FALSE,$U$4=FALSE),"-",IF(AND($U$5=TRUE,$U$4=TRUE),"-",
IF((AND($U$4=TRUE,$U$5=FALSE,$U$6=FALSE,$U$7=FALSE)),VLOOKUP($E769,'Status Thresholds'!$E:$AR,2,FALSE),IF((AND($U$4=TRUE,$U$5=FALSE,$U$6=TRUE,$U$7=FALSE)),VLOOKUP($E769,'Status Thresholds'!$E:$AR,12,FALSE),IF((AND($U$4=TRUE,$U$5=FALSE,$U$6=TRUE,$U$7=TRUE)),VLOOKUP($E769,'Status Thresholds'!$E:$AR,17,FALSE),IF((AND($U$4=TRUE,$U$5=FALSE,$U$6=FALSE,$U$7=TRUE)),VLOOKUP($E769,'Status Thresholds'!$E:$AR,7,FALSE),
IF((AND($U$4=FALSE,$U$5=TRUE,$U$6=FALSE,$U$7=FALSE)),VLOOKUP($E769,'Status Thresholds'!$E:$AR,22,FALSE),IF((AND($U$4=FALSE,$U$5=TRUE,$U$6=TRUE,$U$7=FALSE)),VLOOKUP($E769,'Status Thresholds'!$E:$AR,32,FALSE),IF((AND($U$4=FALSE,$U$5=TRUE,$U$6=TRUE,$U$7=TRUE)),VLOOKUP($E769,'Status Thresholds'!$E:$AR,37,FALSE),IF((AND($U$4=FALSE,$U$5=TRUE,$U$6=FALSE,$U$7=TRUE)),VLOOKUP($E769,'Status Thresholds'!$E:$AR,27,FALSE)))))))))
))/
IF(OR($X$5=TRUE,$AC$3=TRUE
),($F$6/2), IF(OR($X$2,$X$3,$X$4,$X$6,$X$7,$X$8,$Z$2,$Z$3,$Z$4,$Z$5,$Z$6,$Z$7,$Z$8)=TRUE,$F$6)),0),"-")</f>
        <v>-</v>
      </c>
      <c r="G769" s="36" t="str">
        <f>IFERROR(
ROUNDUP(
IF(AND($U$5=FALSE,$U$4=FALSE),"-",IF(AND($U$5=TRUE,$U$4=TRUE),"-",
IF((AND($U$4=TRUE,$U$5=FALSE,$U$6=FALSE,$U$7=FALSE)),VLOOKUP($E769,'Status Thresholds'!$E:$AR,3,FALSE),IF((AND($U$4=TRUE,$U$5=FALSE,$U$6=TRUE,$U$7=FALSE)),VLOOKUP($E769,'Status Thresholds'!$E:$AR,13,FALSE),IF((AND($U$4=TRUE,$U$5=FALSE,$U$6=TRUE,$U$7=TRUE)),VLOOKUP($E769,'Status Thresholds'!$E:$AR,18,FALSE),IF((AND($U$4=TRUE,$U$5=FALSE,$U$6=FALSE,$U$7=TRUE)),VLOOKUP($E769,'Status Thresholds'!$E:$AR,8,FALSE),
IF((AND($U$4=FALSE,$U$5=TRUE,$U$6=FALSE,$U$7=FALSE)),VLOOKUP($E769,'Status Thresholds'!$E:$AR,23,FALSE),IF((AND($U$4=FALSE,$U$5=TRUE,$U$6=TRUE,$U$7=FALSE)),VLOOKUP($E769,'Status Thresholds'!$E:$AR,33,FALSE),IF((AND($U$4=FALSE,$U$5=TRUE,$U$6=TRUE,$U$7=TRUE)),VLOOKUP($E769,'Status Thresholds'!$E:$AR,38,FALSE),IF((AND($U$4=FALSE,$U$5=TRUE,$U$6=FALSE,$U$7=TRUE)),VLOOKUP($E769,'Status Thresholds'!$E:$AR,28,FALSE)))))))))
))/
IF(OR($X$5=TRUE,$AC$3=TRUE
),($F$6/2), IF(OR($X$2,$X$3,$X$4,$X$6,$X$7,$X$8,$Z$2,$Z$3,$Z$4,$Z$5,$Z$6,$Z$7,$Z$8)=TRUE,$F$6)),0),"-")</f>
        <v>-</v>
      </c>
      <c r="H769" s="36" t="str">
        <f>IFERROR(
ROUNDUP(
IF(AND($U$5=FALSE,$U$4=FALSE),"-",IF(AND($U$5=TRUE,$U$4=TRUE),"-",
IF((AND($U$4=TRUE,$U$5=FALSE,$U$6=FALSE,$U$7=FALSE)),VLOOKUP($E769,'Status Thresholds'!$E:$AR,4,FALSE),IF((AND($U$4=TRUE,$U$5=FALSE,$U$6=TRUE,$U$7=FALSE)),VLOOKUP($E769,'Status Thresholds'!$E:$AR,14,FALSE),IF((AND($U$4=TRUE,$U$5=FALSE,$U$6=TRUE,$U$7=TRUE)),VLOOKUP($E769,'Status Thresholds'!$E:$AR,19,FALSE),IF((AND($U$4=TRUE,$U$5=FALSE,$U$6=FALSE,$U$7=TRUE)),VLOOKUP($E769,'Status Thresholds'!$E:$AR,9,FALSE),
IF((AND($U$4=FALSE,$U$5=TRUE,$U$6=FALSE,$U$7=FALSE)),VLOOKUP($E769,'Status Thresholds'!$E:$AR,24,FALSE),IF((AND($U$4=FALSE,$U$5=TRUE,$U$6=TRUE,$U$7=FALSE)),VLOOKUP($E769,'Status Thresholds'!$E:$AR,34,FALSE),IF((AND($U$4=FALSE,$U$5=TRUE,$U$6=TRUE,$U$7=TRUE)),VLOOKUP($E769,'Status Thresholds'!$E:$AR,39,FALSE),IF((AND($U$4=FALSE,$U$5=TRUE,$U$6=FALSE,$U$7=TRUE)),VLOOKUP($E769,'Status Thresholds'!$E:$AR,29,FALSE)))))))))
))/
IF(OR($X$5=TRUE,$AC$3=TRUE
),($F$6/2), IF(OR($X$2,$X$3,$X$4,$X$6,$X$7,$X$8,$Z$2,$Z$3,$Z$4,$Z$5,$Z$6,$Z$7,$Z$8)=TRUE,$F$6)),0),"-")</f>
        <v>-</v>
      </c>
      <c r="I769" s="36" t="str">
        <f>IFERROR(
ROUNDUP(
IF(AND($U$5=FALSE,$U$4=FALSE),"-",IF(AND($U$5=TRUE,$U$4=TRUE),"-",
IF((AND($U$4=TRUE,$U$5=FALSE,$U$6=FALSE,$U$7=FALSE)),VLOOKUP($E769,'Status Thresholds'!$E:$AR,5,FALSE),IF((AND($U$4=TRUE,$U$5=FALSE,$U$6=TRUE,$U$7=FALSE)),VLOOKUP($E769,'Status Thresholds'!$E:$AR,15,FALSE),IF((AND($U$4=TRUE,$U$5=FALSE,$U$6=TRUE,$U$7=TRUE)),VLOOKUP($E769,'Status Thresholds'!$E:$AR,20,FALSE),IF((AND($U$4=TRUE,$U$5=FALSE,$U$6=FALSE,$U$7=TRUE)),VLOOKUP($E769,'Status Thresholds'!$E:$AR,10,FALSE),
IF((AND($U$4=FALSE,$U$5=TRUE,$U$6=FALSE,$U$7=FALSE)),VLOOKUP($E769,'Status Thresholds'!$E:$AR,25,FALSE),IF((AND($U$4=FALSE,$U$5=TRUE,$U$6=TRUE,$U$7=FALSE)),VLOOKUP($E769,'Status Thresholds'!$E:$AR,35,FALSE),IF((AND($U$4=FALSE,$U$5=TRUE,$U$6=TRUE,$U$7=TRUE)),VLOOKUP($E769,'Status Thresholds'!$E:$AR,40,FALSE),IF((AND($U$4=FALSE,$U$5=TRUE,$U$6=FALSE,$U$7=TRUE)),VLOOKUP($E769,'Status Thresholds'!$E:$AR,30,FALSE)))))))))
))/
IF(OR($X$5=TRUE,$AC$3=TRUE
),($F$6/2), IF(OR($X$2,$X$3,$X$4,$X$6,$X$7,$X$8,$Z$2,$Z$3,$Z$4,$Z$5,$Z$6,$Z$7,$Z$8)=TRUE,$F$6)),0),"-")</f>
        <v>-</v>
      </c>
      <c r="J769" s="46">
        <f>IFERROR(IF(AND($U$5=FALSE,$U$4=FALSE),"-",VLOOKUP($E769,'Status Thresholds'!$E:$AU,41,FALSE)),"-")</f>
        <v>0</v>
      </c>
      <c r="K769" s="46" t="str">
        <f>IFERROR(IF(AND($U$5=FALSE,$U$4=FALSE),"-",VLOOKUP($E769,'Status Thresholds'!$E:$AU,42,FALSE)),"-")</f>
        <v>-</v>
      </c>
      <c r="L769" s="46" t="str">
        <f>IFERROR(IF(AND($U$5=FALSE,$U$4=FALSE),"-",VLOOKUP($E769,'Status Thresholds'!$E:$AU,43,FALSE)),"-")</f>
        <v>-</v>
      </c>
    </row>
    <row r="770" spans="1:12" x14ac:dyDescent="0.25">
      <c r="A770" s="35"/>
      <c r="B770" s="64" t="str">
        <f>VLOOKUP(C770,'Status Thresholds'!B:C,2,FALSE)</f>
        <v>MHGen</v>
      </c>
      <c r="C770" s="64" t="str">
        <f>IF('Status Thresholds'!B765=0, "", 'Status Thresholds'!B765)</f>
        <v>Ukanlos</v>
      </c>
      <c r="D770" s="30" t="s">
        <v>35</v>
      </c>
      <c r="E770" s="36" t="str">
        <f t="shared" si="11"/>
        <v>UkanlosBlast</v>
      </c>
      <c r="F770" s="36" t="str">
        <f>IFERROR(
ROUNDUP(
IF(AND($U$5=FALSE,$U$4=FALSE),"-",IF(AND($U$5=TRUE,$U$4=TRUE),"-",
IF((AND($U$4=TRUE,$U$5=FALSE,$U$6=FALSE,$U$7=FALSE)),VLOOKUP($E770,'Status Thresholds'!$E:$AR,2,FALSE),IF((AND($U$4=TRUE,$U$5=FALSE,$U$6=TRUE,$U$7=FALSE)),VLOOKUP($E770,'Status Thresholds'!$E:$AR,12,FALSE),IF((AND($U$4=TRUE,$U$5=FALSE,$U$6=TRUE,$U$7=TRUE)),VLOOKUP($E770,'Status Thresholds'!$E:$AR,17,FALSE),IF((AND($U$4=TRUE,$U$5=FALSE,$U$6=FALSE,$U$7=TRUE)),VLOOKUP($E770,'Status Thresholds'!$E:$AR,7,FALSE),
IF((AND($U$4=FALSE,$U$5=TRUE,$U$6=FALSE,$U$7=FALSE)),VLOOKUP($E770,'Status Thresholds'!$E:$AR,22,FALSE),IF((AND($U$4=FALSE,$U$5=TRUE,$U$6=TRUE,$U$7=FALSE)),VLOOKUP($E770,'Status Thresholds'!$E:$AR,32,FALSE),IF((AND($U$4=FALSE,$U$5=TRUE,$U$6=TRUE,$U$7=TRUE)),VLOOKUP($E770,'Status Thresholds'!$E:$AR,37,FALSE),IF((AND($U$4=FALSE,$U$5=TRUE,$U$6=FALSE,$U$7=TRUE)),VLOOKUP($E770,'Status Thresholds'!$E:$AR,27,FALSE)))))))))
))/
IF(OR($X$5=TRUE,$AC$3=TRUE
),($F$7/2), IF(OR($X$2,$X$3,$X$4,$X$6,$X$7,$X$8,$Z$2,$Z$3,$Z$4,$Z$5,$Z$6,$Z$7,$Z$8)=TRUE,$F$7)),0),"-")</f>
        <v>-</v>
      </c>
      <c r="G770" s="36" t="str">
        <f>IFERROR(
ROUNDUP(
IF(AND($U$5=FALSE,$U$4=FALSE),"-",IF(AND($U$5=TRUE,$U$4=TRUE),"-",
IF((AND($U$4=TRUE,$U$5=FALSE,$U$6=FALSE,$U$7=FALSE)),VLOOKUP($E770,'Status Thresholds'!$E:$AR,3,FALSE),IF((AND($U$4=TRUE,$U$5=FALSE,$U$6=TRUE,$U$7=FALSE)),VLOOKUP($E770,'Status Thresholds'!$E:$AR,13,FALSE),IF((AND($U$4=TRUE,$U$5=FALSE,$U$6=TRUE,$U$7=TRUE)),VLOOKUP($E770,'Status Thresholds'!$E:$AR,18,FALSE),IF((AND($U$4=TRUE,$U$5=FALSE,$U$6=FALSE,$U$7=TRUE)),VLOOKUP($E770,'Status Thresholds'!$E:$AR,8,FALSE),
IF((AND($U$4=FALSE,$U$5=TRUE,$U$6=FALSE,$U$7=FALSE)),VLOOKUP($E770,'Status Thresholds'!$E:$AR,23,FALSE),IF((AND($U$4=FALSE,$U$5=TRUE,$U$6=TRUE,$U$7=FALSE)),VLOOKUP($E770,'Status Thresholds'!$E:$AR,33,FALSE),IF((AND($U$4=FALSE,$U$5=TRUE,$U$6=TRUE,$U$7=TRUE)),VLOOKUP($E770,'Status Thresholds'!$E:$AR,38,FALSE),IF((AND($U$4=FALSE,$U$5=TRUE,$U$6=FALSE,$U$7=TRUE)),VLOOKUP($E770,'Status Thresholds'!$E:$AR,28,FALSE)))))))))
))/
IF(OR($X$5=TRUE,$AC$3=TRUE
),($F$7/2), IF(OR($X$2,$X$3,$X$4,$X$6,$X$7,$X$8,$Z$2,$Z$3,$Z$4,$Z$5,$Z$6,$Z$7,$Z$8)=TRUE,$F$7)),0),"-")</f>
        <v>-</v>
      </c>
      <c r="H770" s="36" t="str">
        <f>IFERROR(
ROUNDUP(
IF(AND($U$5=FALSE,$U$4=FALSE),"-",IF(AND($U$5=TRUE,$U$4=TRUE),"-",
IF((AND($U$4=TRUE,$U$5=FALSE,$U$6=FALSE,$U$7=FALSE)),VLOOKUP($E770,'Status Thresholds'!$E:$AR,4,FALSE),IF((AND($U$4=TRUE,$U$5=FALSE,$U$6=TRUE,$U$7=FALSE)),VLOOKUP($E770,'Status Thresholds'!$E:$AR,14,FALSE),IF((AND($U$4=TRUE,$U$5=FALSE,$U$6=TRUE,$U$7=TRUE)),VLOOKUP($E770,'Status Thresholds'!$E:$AR,19,FALSE),IF((AND($U$4=TRUE,$U$5=FALSE,$U$6=FALSE,$U$7=TRUE)),VLOOKUP($E770,'Status Thresholds'!$E:$AR,9,FALSE),
IF((AND($U$4=FALSE,$U$5=TRUE,$U$6=FALSE,$U$7=FALSE)),VLOOKUP($E770,'Status Thresholds'!$E:$AR,24,FALSE),IF((AND($U$4=FALSE,$U$5=TRUE,$U$6=TRUE,$U$7=FALSE)),VLOOKUP($E770,'Status Thresholds'!$E:$AR,34,FALSE),IF((AND($U$4=FALSE,$U$5=TRUE,$U$6=TRUE,$U$7=TRUE)),VLOOKUP($E770,'Status Thresholds'!$E:$AR,39,FALSE),IF((AND($U$4=FALSE,$U$5=TRUE,$U$6=FALSE,$U$7=TRUE)),VLOOKUP($E770,'Status Thresholds'!$E:$AR,29,FALSE)))))))))
))/
IF(OR($X$5=TRUE,$AC$3=TRUE
),($F$7/2), IF(OR($X$2,$X$3,$X$4,$X$6,$X$7,$X$8,$Z$2,$Z$3,$Z$4,$Z$5,$Z$6,$Z$7,$Z$8)=TRUE,$F$7)),0),"-")</f>
        <v>-</v>
      </c>
      <c r="I770" s="36" t="str">
        <f>IFERROR(
ROUNDUP(
IF(AND($U$5=FALSE,$U$4=FALSE),"-",IF(AND($U$5=TRUE,$U$4=TRUE),"-",
IF((AND($U$4=TRUE,$U$5=FALSE,$U$6=FALSE,$U$7=FALSE)),VLOOKUP($E770,'Status Thresholds'!$E:$AR,5,FALSE),IF((AND($U$4=TRUE,$U$5=FALSE,$U$6=TRUE,$U$7=FALSE)),VLOOKUP($E770,'Status Thresholds'!$E:$AR,15,FALSE),IF((AND($U$4=TRUE,$U$5=FALSE,$U$6=TRUE,$U$7=TRUE)),VLOOKUP($E770,'Status Thresholds'!$E:$AR,20,FALSE),IF((AND($U$4=TRUE,$U$5=FALSE,$U$6=FALSE,$U$7=TRUE)),VLOOKUP($E770,'Status Thresholds'!$E:$AR,10,FALSE),
IF((AND($U$4=FALSE,$U$5=TRUE,$U$6=FALSE,$U$7=FALSE)),VLOOKUP($E770,'Status Thresholds'!$E:$AR,25,FALSE),IF((AND($U$4=FALSE,$U$5=TRUE,$U$6=TRUE,$U$7=FALSE)),VLOOKUP($E770,'Status Thresholds'!$E:$AR,35,FALSE),IF((AND($U$4=FALSE,$U$5=TRUE,$U$6=TRUE,$U$7=TRUE)),VLOOKUP($E770,'Status Thresholds'!$E:$AR,40,FALSE),IF((AND($U$4=FALSE,$U$5=TRUE,$U$6=FALSE,$U$7=TRUE)),VLOOKUP($E770,'Status Thresholds'!$E:$AR,30,FALSE)))))))))
))/
IF(OR($X$5=TRUE,$AC$3=TRUE
),($F$7/2), IF(OR($X$2,$X$3,$X$4,$X$6,$X$7,$X$8,$Z$2,$Z$3,$Z$4,$Z$5,$Z$6,$Z$7,$Z$8)=TRUE,$F$7)),0),"-")</f>
        <v>-</v>
      </c>
      <c r="J770" s="46">
        <f>IFERROR(IF(AND($U$5=FALSE,$U$4=FALSE),"-",VLOOKUP($E770,'Status Thresholds'!$E:$AU,41,FALSE)),"-")</f>
        <v>0</v>
      </c>
      <c r="K770" s="46" t="str">
        <f>IFERROR(IF(AND($U$5=FALSE,$U$4=FALSE),"-",VLOOKUP($E770,'Status Thresholds'!$E:$AU,42,FALSE)),"-")</f>
        <v>-</v>
      </c>
      <c r="L770" s="46" t="str">
        <f>IFERROR(IF(AND($U$5=FALSE,$U$4=FALSE),"-",VLOOKUP($E770,'Status Thresholds'!$E:$AU,43,FALSE)),"-")</f>
        <v>-</v>
      </c>
    </row>
    <row r="771" spans="1:12" ht="14.45" customHeight="1" x14ac:dyDescent="0.25">
      <c r="A771" s="35"/>
      <c r="B771" s="64" t="str">
        <f>VLOOKUP(C771,'Status Thresholds'!B:C,2,FALSE)</f>
        <v>MHGen</v>
      </c>
      <c r="C771" s="64" t="str">
        <f>IF('Status Thresholds'!B766=0, "", 'Status Thresholds'!B766)</f>
        <v>Ukanlos</v>
      </c>
      <c r="D771" s="34" t="s">
        <v>14</v>
      </c>
      <c r="E771" s="36" t="str">
        <f t="shared" si="11"/>
        <v>UkanlosKO</v>
      </c>
      <c r="F771" s="36" t="s">
        <v>214</v>
      </c>
      <c r="G771" s="36" t="s">
        <v>214</v>
      </c>
      <c r="H771" s="36" t="s">
        <v>214</v>
      </c>
      <c r="I771" s="36" t="s">
        <v>214</v>
      </c>
      <c r="J771" s="46">
        <f>IFERROR(IF(AND($U$5=FALSE,$U$4=FALSE),"-",VLOOKUP($E771,'Status Thresholds'!$E:$AU,41,FALSE)),"-")</f>
        <v>10</v>
      </c>
      <c r="K771" s="46" t="str">
        <f>IFERROR(IF(AND($U$5=FALSE,$U$4=FALSE),"-",VLOOKUP($E771,'Status Thresholds'!$E:$AU,42,FALSE)),"-")</f>
        <v>-</v>
      </c>
      <c r="L771" s="46" t="str">
        <f>IFERROR(IF(AND($U$5=FALSE,$U$4=FALSE),"-",VLOOKUP($E771,'Status Thresholds'!$E:$AU,43,FALSE)),"-")</f>
        <v>-</v>
      </c>
    </row>
    <row r="772" spans="1:12" x14ac:dyDescent="0.25">
      <c r="A772" s="35"/>
      <c r="B772" s="64" t="str">
        <f>VLOOKUP(C772,'Status Thresholds'!B:C,2,FALSE)</f>
        <v>MHGen</v>
      </c>
      <c r="C772" s="64" t="str">
        <f>IF('Status Thresholds'!B767=0, "", 'Status Thresholds'!B767)</f>
        <v>Ukanlos</v>
      </c>
      <c r="D772" s="33" t="s">
        <v>34</v>
      </c>
      <c r="E772" s="36" t="str">
        <f t="shared" si="11"/>
        <v>UkanlosMount</v>
      </c>
      <c r="F772" s="36" t="str">
        <f>IFERROR(
ROUNDUP(
IF(AND($U$5=FALSE,$U$4=FALSE),"-",IF(AND($U$5=TRUE,$U$4=TRUE),"-",
IF((AND($U$4=TRUE,$U$5=FALSE,$U$6=FALSE,$U$7=FALSE)),VLOOKUP($E772,'Status Thresholds'!$E:$AR,2,FALSE),IF((AND($U$4=TRUE,$U$5=FALSE,$U$6=TRUE,$U$7=FALSE)),VLOOKUP($E772,'Status Thresholds'!$E:$AR,12,FALSE),IF((AND($U$4=TRUE,$U$5=FALSE,$U$6=TRUE,$U$7=TRUE)),VLOOKUP($E772,'Status Thresholds'!$E:$AR,17,FALSE),IF((AND($U$4=TRUE,$U$5=FALSE,$U$6=FALSE,$U$7=TRUE)),VLOOKUP($E772,'Status Thresholds'!$E:$AR,7,FALSE),
IF((AND($U$4=FALSE,$U$5=TRUE,$U$6=FALSE,$U$7=FALSE)),VLOOKUP($E772,'Status Thresholds'!$E:$AR,22,FALSE),IF((AND($U$4=FALSE,$U$5=TRUE,$U$6=TRUE,$U$7=FALSE)),VLOOKUP($E772,'Status Thresholds'!$E:$AR,32,FALSE),IF((AND($U$4=FALSE,$U$5=TRUE,$U$6=TRUE,$U$7=TRUE)),VLOOKUP($E772,'Status Thresholds'!$E:$AR,37,FALSE),IF((AND($U$4=FALSE,$U$5=TRUE,$U$6=FALSE,$U$7=TRUE)),VLOOKUP($E772,'Status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772" s="36" t="str">
        <f>IFERROR(
ROUNDUP(
IF(AND($U$5=FALSE,$U$4=FALSE),"-",IF(AND($U$5=TRUE,$U$4=TRUE),"-",
IF((AND($U$4=TRUE,$U$5=FALSE,$U$6=FALSE,$U$7=FALSE)),VLOOKUP($E771,'Status Thresholds'!$E:$AR,3,FALSE),IF((AND($U$4=TRUE,$U$5=FALSE,$U$6=TRUE,$U$7=FALSE)),VLOOKUP($E771,'Status Thresholds'!$E:$AR,13,FALSE),IF((AND($U$4=TRUE,$U$5=FALSE,$U$6=TRUE,$U$7=TRUE)),VLOOKUP($E771,'Status Thresholds'!$E:$AR,18,FALSE),IF((AND($U$4=TRUE,$U$5=FALSE,$U$6=FALSE,$U$7=TRUE)),VLOOKUP($E771,'Status Thresholds'!$E:$AR,8,FALSE),
IF((AND($U$4=FALSE,$U$5=TRUE,$U$6=FALSE,$U$7=FALSE)),VLOOKUP($E771,'Status Thresholds'!$E:$AR,23,FALSE),IF((AND($U$4=FALSE,$U$5=TRUE,$U$6=TRUE,$U$7=FALSE)),VLOOKUP($E771,'Status Thresholds'!$E:$AR,33,FALSE),IF((AND($U$4=FALSE,$U$5=TRUE,$U$6=TRUE,$U$7=TRUE)),VLOOKUP($E771,'Status Thresholds'!$E:$AR,38,FALSE),IF((AND($U$4=FALSE,$U$5=TRUE,$U$6=FALSE,$U$7=TRUE)),VLOOKUP($E771,'Status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772" s="36" t="str">
        <f>IFERROR(
ROUNDUP(
IF(AND($U$5=FALSE,$U$4=FALSE),"-",IF(AND($U$5=TRUE,$U$4=TRUE),"-",
IF((AND($U$4=TRUE,$U$5=FALSE,$U$6=FALSE,$U$7=FALSE)),VLOOKUP($E771,'Status Thresholds'!$E:$AR,4,FALSE),IF((AND($U$4=TRUE,$U$5=FALSE,$U$6=TRUE,$U$7=FALSE)),VLOOKUP($E771,'Status Thresholds'!$E:$AR,14,FALSE),IF((AND($U$4=TRUE,$U$5=FALSE,$U$6=TRUE,$U$7=TRUE)),VLOOKUP($E771,'Status Thresholds'!$E:$AR,19,FALSE),IF((AND($U$4=TRUE,$U$5=FALSE,$U$6=FALSE,$U$7=TRUE)),VLOOKUP($E771,'Status Thresholds'!$E:$AR,9,FALSE),
IF((AND($U$4=FALSE,$U$5=TRUE,$U$6=FALSE,$U$7=FALSE)),VLOOKUP($E771,'Status Thresholds'!$E:$AR,24,FALSE),IF((AND($U$4=FALSE,$U$5=TRUE,$U$6=TRUE,$U$7=FALSE)),VLOOKUP($E771,'Status Thresholds'!$E:$AR,34,FALSE),IF((AND($U$4=FALSE,$U$5=TRUE,$U$6=TRUE,$U$7=TRUE)),VLOOKUP($E771,'Status Thresholds'!$E:$AR,39,FALSE),IF((AND($U$4=FALSE,$U$5=TRUE,$U$6=FALSE,$U$7=TRUE)),VLOOKUP($E771,'Status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772" s="36" t="str">
        <f>IFERROR(
ROUNDUP(
IF(AND($U$5=FALSE,$U$4=FALSE),"-",IF(AND($U$5=TRUE,$U$4=TRUE),"-",
IF((AND($U$4=TRUE,$U$5=FALSE,$U$6=FALSE,$U$7=FALSE)),VLOOKUP($E771,'Status Thresholds'!$E:$AR,5,FALSE),IF((AND($U$4=TRUE,$U$5=FALSE,$U$6=TRUE,$U$7=FALSE)),VLOOKUP($E771,'Status Thresholds'!$E:$AR,15,FALSE),IF((AND($U$4=TRUE,$U$5=FALSE,$U$6=TRUE,$U$7=TRUE)),VLOOKUP($E771,'Status Thresholds'!$E:$AR,20,FALSE),IF((AND($U$4=TRUE,$U$5=FALSE,$U$6=FALSE,$U$7=TRUE)),VLOOKUP($E771,'Status Thresholds'!$E:$AR,10,FALSE),
IF((AND($U$4=FALSE,$U$5=TRUE,$U$6=FALSE,$U$7=FALSE)),VLOOKUP($E771,'Status Thresholds'!$E:$AR,25,FALSE),IF((AND($U$4=FALSE,$U$5=TRUE,$U$6=TRUE,$U$7=FALSE)),VLOOKUP($E771,'Status Thresholds'!$E:$AR,35,FALSE),IF((AND($U$4=FALSE,$U$5=TRUE,$U$6=TRUE,$U$7=TRUE)),VLOOKUP($E771,'Status Thresholds'!$E:$AR,40,FALSE),IF((AND($U$4=FALSE,$U$5=TRUE,$U$6=FALSE,$U$7=TRUE)),VLOOKUP($E771,'Status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772" s="46">
        <f>IFERROR(IF(AND($U$5=FALSE,$U$4=FALSE),"-",VLOOKUP($E772,'Status Thresholds'!$E:$AU,41,FALSE)),"-")</f>
        <v>0</v>
      </c>
      <c r="K772" s="46" t="str">
        <f>IFERROR(IF(AND($U$5=FALSE,$U$4=FALSE),"-",VLOOKUP($E772,'Status Thresholds'!$E:$AU,42,FALSE)),"-")</f>
        <v>-</v>
      </c>
      <c r="L772" s="46" t="str">
        <f>IFERROR(IF(AND($U$5=FALSE,$U$4=FALSE),"-",VLOOKUP($E772,'Status Thresholds'!$E:$AU,43,FALSE)),"-")</f>
        <v>-</v>
      </c>
    </row>
    <row r="773" spans="1:12" ht="15" customHeight="1" x14ac:dyDescent="0.25">
      <c r="A773" s="35"/>
      <c r="B773" s="64" t="str">
        <f>VLOOKUP(C773,'Status Thresholds'!B:C,2,FALSE)</f>
        <v>MHGen</v>
      </c>
      <c r="C773" s="64" t="str">
        <f>IF('Status Thresholds'!B768=0, "", 'Status Thresholds'!B768)</f>
        <v>Ukanlos</v>
      </c>
      <c r="D773" s="77" t="s">
        <v>207</v>
      </c>
      <c r="E773" s="36" t="str">
        <f t="shared" si="11"/>
        <v>UkanlosShock Trap</v>
      </c>
      <c r="F773" s="76" t="s">
        <v>214</v>
      </c>
      <c r="G773" s="46" t="s">
        <v>214</v>
      </c>
      <c r="H773" s="46" t="s">
        <v>214</v>
      </c>
      <c r="I773" s="46" t="s">
        <v>214</v>
      </c>
      <c r="J773" s="46">
        <f>IFERROR(IF(AND($U$5=FALSE,$U$4=FALSE),"-",VLOOKUP($E773,'Status Thresholds'!$E:$AU,43,FALSE)),"-")</f>
        <v>0</v>
      </c>
      <c r="K773" s="46">
        <f>IFERROR(IF(AND($U$5=FALSE,$U$4=FALSE),"-",VLOOKUP($E773,'Status Thresholds'!$E:$AU,41,FALSE)),"-")</f>
        <v>0</v>
      </c>
      <c r="L773" s="46">
        <f>IFERROR(IF(AND($U$5=FALSE,$U$4=FALSE),"-",VLOOKUP($E773,'Status Thresholds'!$E:$AU,42,FALSE)),"-")</f>
        <v>0</v>
      </c>
    </row>
    <row r="774" spans="1:12" x14ac:dyDescent="0.25">
      <c r="A774" s="35"/>
      <c r="B774" s="64" t="str">
        <f>VLOOKUP(C774,'Status Thresholds'!B:C,2,FALSE)</f>
        <v>MHGen</v>
      </c>
      <c r="C774" s="64" t="str">
        <f>IF('Status Thresholds'!B769=0, "", 'Status Thresholds'!B769)</f>
        <v>Ukanlos</v>
      </c>
      <c r="D774" s="77" t="s">
        <v>213</v>
      </c>
      <c r="E774" s="36" t="str">
        <f t="shared" si="11"/>
        <v>UkanlosPitfall Trap</v>
      </c>
      <c r="F774" s="46" t="s">
        <v>214</v>
      </c>
      <c r="G774" s="46" t="s">
        <v>214</v>
      </c>
      <c r="H774" s="46" t="s">
        <v>214</v>
      </c>
      <c r="I774" s="46" t="s">
        <v>214</v>
      </c>
      <c r="J774" s="46">
        <f>IFERROR(IF(AND($U$5=FALSE,$U$4=FALSE),"-",VLOOKUP($E774,'Status Thresholds'!$E:$AU,43,FALSE)),"-")</f>
        <v>0</v>
      </c>
      <c r="K774" s="46">
        <f>IFERROR(IF(AND($U$5=FALSE,$U$4=FALSE),"-",VLOOKUP($E774,'Status Thresholds'!$E:$AU,41,FALSE)),"-")</f>
        <v>0</v>
      </c>
      <c r="L774" s="46">
        <f>IFERROR(IF(AND($U$5=FALSE,$U$4=FALSE),"-",VLOOKUP($E774,'Status Thresholds'!$E:$AU,42,FALSE)),"-")</f>
        <v>0</v>
      </c>
    </row>
    <row r="775" spans="1:12" s="36" customFormat="1" x14ac:dyDescent="0.25">
      <c r="A775" s="64"/>
      <c r="B775" s="64" t="str">
        <f>VLOOKUP(C775,'Status Thresholds'!B:C,2,FALSE)</f>
        <v>MHGen</v>
      </c>
      <c r="C775" s="64" t="str">
        <f>IF('Status Thresholds'!B770=0, "", 'Status Thresholds'!B770)</f>
        <v>Uragaan</v>
      </c>
      <c r="D775" s="37" t="s">
        <v>0</v>
      </c>
      <c r="E775" s="36" t="str">
        <f t="shared" si="11"/>
        <v>UragaanPara</v>
      </c>
      <c r="F775" s="36" t="str">
        <f>IFERROR(
ROUNDUP(
IF(AND($U$5=FALSE,$U$4=FALSE),"-",IF(AND($U$5=TRUE,$U$4=TRUE),"-",
IF((AND($U$4=TRUE,$U$5=FALSE,$U$6=FALSE,$U$7=FALSE)),VLOOKUP($E775,'Status Thresholds'!$E:$AR,2,FALSE),IF((AND($U$4=TRUE,$U$5=FALSE,$U$6=TRUE,$U$7=FALSE)),VLOOKUP($E775,'Status Thresholds'!$E:$AR,12,FALSE),IF((AND($U$4=TRUE,$U$5=FALSE,$U$6=TRUE,$U$7=TRUE)),VLOOKUP($E775,'Status Thresholds'!$E:$AR,17,FALSE),IF((AND($U$4=TRUE,$U$5=FALSE,$U$6=FALSE,$U$7=TRUE)),VLOOKUP($E775,'Status Thresholds'!$E:$AR,7,FALSE),
IF((AND($U$4=FALSE,$U$5=TRUE,$U$6=FALSE,$U$7=FALSE)),VLOOKUP($E775,'Status Thresholds'!$E:$AR,22,FALSE),IF((AND($U$4=FALSE,$U$5=TRUE,$U$6=TRUE,$U$7=FALSE)),VLOOKUP($E775,'Status Thresholds'!$E:$AR,32,FALSE),IF((AND($U$4=FALSE,$U$5=TRUE,$U$6=TRUE,$U$7=TRUE)),VLOOKUP($E775,'Status Thresholds'!$E:$AR,37,FALSE),IF((AND($U$4=FALSE,$U$5=TRUE,$U$6=FALSE,$U$7=TRUE)),VLOOKUP($E775,'Status Thresholds'!$E:$AR,27,FALSE)))))))))
))/
IF(OR($X$5=TRUE,$AC$3=TRUE
),($F$3/2), IF(OR($X$2,$X$3,$X$4,$X$6,$X$7,$X$8,$Z$2,$Z$3,$Z$4,$Z$5,$Z$6,$Z$7,$Z$8)=TRUE,$F$3)),0),"-")</f>
        <v>-</v>
      </c>
      <c r="G775" s="36" t="str">
        <f>IFERROR(
ROUNDUP(
IF(AND($U$5=FALSE,$U$4=FALSE),"-",IF(AND($U$5=TRUE,$U$4=TRUE),"-",
IF((AND($U$4=TRUE,$U$5=FALSE,$U$6=FALSE,$U$7=FALSE)),VLOOKUP($E775,'Status Thresholds'!$E:$AR,3,FALSE),IF((AND($U$4=TRUE,$U$5=FALSE,$U$6=TRUE,$U$7=FALSE)),VLOOKUP($E775,'Status Thresholds'!$E:$AR,13,FALSE),IF((AND($U$4=TRUE,$U$5=FALSE,$U$6=TRUE,$U$7=TRUE)),VLOOKUP($E775,'Status Thresholds'!$E:$AR,18,FALSE),IF((AND($U$4=TRUE,$U$5=FALSE,$U$6=FALSE,$U$7=TRUE)),VLOOKUP($E775,'Status Thresholds'!$E:$AR,8,FALSE),
IF((AND($U$4=FALSE,$U$5=TRUE,$U$6=FALSE,$U$7=FALSE)),VLOOKUP($E775,'Status Thresholds'!$E:$AR,23,FALSE),IF((AND($U$4=FALSE,$U$5=TRUE,$U$6=TRUE,$U$7=FALSE)),VLOOKUP($E775,'Status Thresholds'!$E:$AR,33,FALSE),IF((AND($U$4=FALSE,$U$5=TRUE,$U$6=TRUE,$U$7=TRUE)),VLOOKUP($E775,'Status Thresholds'!$E:$AR,38,FALSE),IF((AND($U$4=FALSE,$U$5=TRUE,$U$6=FALSE,$U$7=TRUE)),VLOOKUP($E775,'Status Thresholds'!$E:$AR,28,FALSE)))))))))
))/
IF(OR($X$5=TRUE,$AC$3=TRUE
),($F$3/2), IF(OR($X$2,$X$3,$X$4,$X$6,$X$7,$X$8,$Z$2,$Z$3,$Z$4,$Z$5,$Z$6,$Z$7,$Z$8)=TRUE,$F$3)),0),"-")</f>
        <v>-</v>
      </c>
      <c r="H775" s="36" t="str">
        <f>IFERROR(
ROUNDUP(
IF(AND($U$5=FALSE,$U$4=FALSE),"-",IF(AND($U$5=TRUE,$U$4=TRUE),"-",
IF((AND($U$4=TRUE,$U$5=FALSE,$U$6=FALSE,$U$7=FALSE)),VLOOKUP($E775,'Status Thresholds'!$E:$AR,4,FALSE),IF((AND($U$4=TRUE,$U$5=FALSE,$U$6=TRUE,$U$7=FALSE)),VLOOKUP($E775,'Status Thresholds'!$E:$AR,14,FALSE),IF((AND($U$4=TRUE,$U$5=FALSE,$U$6=TRUE,$U$7=TRUE)),VLOOKUP($E775,'Status Thresholds'!$E:$AR,19,FALSE),IF((AND($U$4=TRUE,$U$5=FALSE,$U$6=FALSE,$U$7=TRUE)),VLOOKUP($E775,'Status Thresholds'!$E:$AR,9,FALSE),
IF((AND($U$4=FALSE,$U$5=TRUE,$U$6=FALSE,$U$7=FALSE)),VLOOKUP($E775,'Status Thresholds'!$E:$AR,24,FALSE),IF((AND($U$4=FALSE,$U$5=TRUE,$U$6=TRUE,$U$7=FALSE)),VLOOKUP($E775,'Status Thresholds'!$E:$AR,34,FALSE),IF((AND($U$4=FALSE,$U$5=TRUE,$U$6=TRUE,$U$7=TRUE)),VLOOKUP($E775,'Status Thresholds'!$E:$AR,39,FALSE),IF((AND($U$4=FALSE,$U$5=TRUE,$U$6=FALSE,$U$7=TRUE)),VLOOKUP($E775,'Status Thresholds'!$E:$AR,29,FALSE)))))))))
))/
IF(OR($X$5=TRUE,$AC$3=TRUE
),($F$3/2), IF(OR($X$2,$X$3,$X$4,$X$6,$X$7,$X$8,$Z$2,$Z$3,$Z$4,$Z$5,$Z$6,$Z$7,$Z$8)=TRUE,$F$3)),0),"-")</f>
        <v>-</v>
      </c>
      <c r="I775" s="36" t="str">
        <f>IFERROR(
ROUNDUP(
IF(AND($U$5=FALSE,$U$4=FALSE),"-",IF(AND($U$5=TRUE,$U$4=TRUE),"-",
IF((AND($U$4=TRUE,$U$5=FALSE,$U$6=FALSE,$U$7=FALSE)),VLOOKUP($E775,'Status Thresholds'!$E:$AR,5,FALSE),IF((AND($U$4=TRUE,$U$5=FALSE,$U$6=TRUE,$U$7=FALSE)),VLOOKUP($E775,'Status Thresholds'!$E:$AR,15,FALSE),IF((AND($U$4=TRUE,$U$5=FALSE,$U$6=TRUE,$U$7=TRUE)),VLOOKUP($E775,'Status Thresholds'!$E:$AR,20,FALSE),IF((AND($U$4=TRUE,$U$5=FALSE,$U$6=FALSE,$U$7=TRUE)),VLOOKUP($E775,'Status Thresholds'!$E:$AR,10,FALSE),
IF((AND($U$4=FALSE,$U$5=TRUE,$U$6=FALSE,$U$7=FALSE)),VLOOKUP($E775,'Status Thresholds'!$E:$AR,25,FALSE),IF((AND($U$4=FALSE,$U$5=TRUE,$U$6=TRUE,$U$7=FALSE)),VLOOKUP($E775,'Status Thresholds'!$E:$AR,35,FALSE),IF((AND($U$4=FALSE,$U$5=TRUE,$U$6=TRUE,$U$7=TRUE)),VLOOKUP($E775,'Status Thresholds'!$E:$AR,40,FALSE),IF((AND($U$4=FALSE,$U$5=TRUE,$U$6=FALSE,$U$7=TRUE)),VLOOKUP($E775,'Status Thresholds'!$E:$AR,30,FALSE)))))))))
))/
IF(OR($X$5=TRUE,$AC$3=TRUE
),($F$3/2), IF(OR($X$2,$X$3,$X$4,$X$6,$X$7,$X$8,$Z$2,$Z$3,$Z$4,$Z$5,$Z$6,$Z$7,$Z$8)=TRUE,$F$3)),0),"-")</f>
        <v>-</v>
      </c>
      <c r="J775" s="36">
        <f>IFERROR(IF(AND($U$5=FALSE,$U$4=FALSE),"-",VLOOKUP($E775,'Status Thresholds'!$E:$AU,41,FALSE)),"-")</f>
        <v>15</v>
      </c>
      <c r="K775" s="36" t="str">
        <f>IFERROR(IF(AND($U$5=FALSE,$U$4=FALSE),"-",VLOOKUP($E775,'Status Thresholds'!$E:$AU,42,FALSE)),"-")</f>
        <v>-</v>
      </c>
      <c r="L775" s="36" t="str">
        <f>IFERROR(IF(AND($U$5=FALSE,$U$4=FALSE),"-",VLOOKUP($E775,'Status Thresholds'!$E:$AU,43,FALSE)),"-")</f>
        <v>-</v>
      </c>
    </row>
    <row r="776" spans="1:12" x14ac:dyDescent="0.25">
      <c r="A776" s="35"/>
      <c r="B776" s="64" t="str">
        <f>VLOOKUP(C776,'Status Thresholds'!B:C,2,FALSE)</f>
        <v>MHGen</v>
      </c>
      <c r="C776" s="64" t="str">
        <f>IF('Status Thresholds'!B771=0, "", 'Status Thresholds'!B771)</f>
        <v>Uragaan</v>
      </c>
      <c r="D776" s="31" t="s">
        <v>32</v>
      </c>
      <c r="E776" s="36" t="str">
        <f t="shared" si="11"/>
        <v>UragaanSleep</v>
      </c>
      <c r="F776" s="36" t="str">
        <f>IFERROR(
ROUNDUP(
IF(AND($U$5=FALSE,$U$4=FALSE),"-",IF(AND($U$5=TRUE,$U$4=TRUE),"-",
IF((AND($U$4=TRUE,$U$5=FALSE,$U$6=FALSE,$U$7=FALSE)),VLOOKUP($E776,'Status Thresholds'!$E:$AR,2,FALSE),IF((AND($U$4=TRUE,$U$5=FALSE,$U$6=TRUE,$U$7=FALSE)),VLOOKUP($E776,'Status Thresholds'!$E:$AR,12,FALSE),IF((AND($U$4=TRUE,$U$5=FALSE,$U$6=TRUE,$U$7=TRUE)),VLOOKUP($E776,'Status Thresholds'!$E:$AR,17,FALSE),IF((AND($U$4=TRUE,$U$5=FALSE,$U$6=FALSE,$U$7=TRUE)),VLOOKUP($E776,'Status Thresholds'!$E:$AR,7,FALSE),
IF((AND($U$4=FALSE,$U$5=TRUE,$U$6=FALSE,$U$7=FALSE)),VLOOKUP($E776,'Status Thresholds'!$E:$AR,22,FALSE),IF((AND($U$4=FALSE,$U$5=TRUE,$U$6=TRUE,$U$7=FALSE)),VLOOKUP($E776,'Status Thresholds'!$E:$AR,32,FALSE),IF((AND($U$4=FALSE,$U$5=TRUE,$U$6=TRUE,$U$7=TRUE)),VLOOKUP($E776,'Status Thresholds'!$E:$AR,37,FALSE),IF((AND($U$4=FALSE,$U$5=TRUE,$U$6=FALSE,$U$7=TRUE)),VLOOKUP($E776,'Status Thresholds'!$E:$AR,27,FALSE)))))))))
))/
IF(OR($X$5=TRUE,$AC$3=TRUE
),($F$4/2), IF(OR($X$2,$X$3,$X$4,$X$6,$X$7,$X$8,$Z$2,$Z$3,$Z$4,$Z$5,$Z$6,$Z$7,$Z$8)=TRUE,$F$4)),0),"-")</f>
        <v>-</v>
      </c>
      <c r="G776" s="36" t="str">
        <f>IFERROR(
ROUNDUP(
IF(AND($U$5=FALSE,$U$4=FALSE),"-",IF(AND($U$5=TRUE,$U$4=TRUE),"-",
IF((AND($U$4=TRUE,$U$5=FALSE,$U$6=FALSE,$U$7=FALSE)),VLOOKUP($E776,'Status Thresholds'!$E:$AR,3,FALSE),IF((AND($U$4=TRUE,$U$5=FALSE,$U$6=TRUE,$U$7=FALSE)),VLOOKUP($E776,'Status Thresholds'!$E:$AR,13,FALSE),IF((AND($U$4=TRUE,$U$5=FALSE,$U$6=TRUE,$U$7=TRUE)),VLOOKUP($E776,'Status Thresholds'!$E:$AR,18,FALSE),IF((AND($U$4=TRUE,$U$5=FALSE,$U$6=FALSE,$U$7=TRUE)),VLOOKUP($E776,'Status Thresholds'!$E:$AR,8,FALSE),
IF((AND($U$4=FALSE,$U$5=TRUE,$U$6=FALSE,$U$7=FALSE)),VLOOKUP($E776,'Status Thresholds'!$E:$AR,23,FALSE),IF((AND($U$4=FALSE,$U$5=TRUE,$U$6=TRUE,$U$7=FALSE)),VLOOKUP($E776,'Status Thresholds'!$E:$AR,33,FALSE),IF((AND($U$4=FALSE,$U$5=TRUE,$U$6=TRUE,$U$7=TRUE)),VLOOKUP($E776,'Status Thresholds'!$E:$AR,38,FALSE),IF((AND($U$4=FALSE,$U$5=TRUE,$U$6=FALSE,$U$7=TRUE)),VLOOKUP($E776,'Status Thresholds'!$E:$AR,28,FALSE)))))))))
))/
IF(OR($X$5=TRUE,$AC$3=TRUE
),($F$4/2), IF(OR($X$2,$X$3,$X$4,$X$6,$X$7,$X$8,$Z$2,$Z$3,$Z$4,$Z$5,$Z$6,$Z$7,$Z$8)=TRUE,$F$4)),0),"-")</f>
        <v>-</v>
      </c>
      <c r="H776" s="36" t="str">
        <f>IFERROR(
ROUNDUP(
IF(AND($U$5=FALSE,$U$4=FALSE),"-",IF(AND($U$5=TRUE,$U$4=TRUE),"-",
IF((AND($U$4=TRUE,$U$5=FALSE,$U$6=FALSE,$U$7=FALSE)),VLOOKUP($E776,'Status Thresholds'!$E:$AR,4,FALSE),IF((AND($U$4=TRUE,$U$5=FALSE,$U$6=TRUE,$U$7=FALSE)),VLOOKUP($E776,'Status Thresholds'!$E:$AR,14,FALSE),IF((AND($U$4=TRUE,$U$5=FALSE,$U$6=TRUE,$U$7=TRUE)),VLOOKUP($E776,'Status Thresholds'!$E:$AR,19,FALSE),IF((AND($U$4=TRUE,$U$5=FALSE,$U$6=FALSE,$U$7=TRUE)),VLOOKUP($E776,'Status Thresholds'!$E:$AR,9,FALSE),
IF((AND($U$4=FALSE,$U$5=TRUE,$U$6=FALSE,$U$7=FALSE)),VLOOKUP($E776,'Status Thresholds'!$E:$AR,24,FALSE),IF((AND($U$4=FALSE,$U$5=TRUE,$U$6=TRUE,$U$7=FALSE)),VLOOKUP($E776,'Status Thresholds'!$E:$AR,34,FALSE),IF((AND($U$4=FALSE,$U$5=TRUE,$U$6=TRUE,$U$7=TRUE)),VLOOKUP($E776,'Status Thresholds'!$E:$AR,39,FALSE),IF((AND($U$4=FALSE,$U$5=TRUE,$U$6=FALSE,$U$7=TRUE)),VLOOKUP($E776,'Status Thresholds'!$E:$AR,29,FALSE)))))))))
))/
IF(OR($X$5=TRUE,$AC$3=TRUE
),($F$4/2), IF(OR($X$2,$X$3,$X$4,$X$6,$X$7,$X$8,$Z$2,$Z$3,$Z$4,$Z$5,$Z$6,$Z$7,$Z$8)=TRUE,$F$4)),0),"-")</f>
        <v>-</v>
      </c>
      <c r="I776" s="36" t="str">
        <f>IFERROR(
ROUNDUP(
IF(AND($U$5=FALSE,$U$4=FALSE),"-",IF(AND($U$5=TRUE,$U$4=TRUE),"-",
IF((AND($U$4=TRUE,$U$5=FALSE,$U$6=FALSE,$U$7=FALSE)),VLOOKUP($E776,'Status Thresholds'!$E:$AR,5,FALSE),IF((AND($U$4=TRUE,$U$5=FALSE,$U$6=TRUE,$U$7=FALSE)),VLOOKUP($E776,'Status Thresholds'!$E:$AR,15,FALSE),IF((AND($U$4=TRUE,$U$5=FALSE,$U$6=TRUE,$U$7=TRUE)),VLOOKUP($E776,'Status Thresholds'!$E:$AR,20,FALSE),IF((AND($U$4=TRUE,$U$5=FALSE,$U$6=FALSE,$U$7=TRUE)),VLOOKUP($E776,'Status Thresholds'!$E:$AR,10,FALSE),
IF((AND($U$4=FALSE,$U$5=TRUE,$U$6=FALSE,$U$7=FALSE)),VLOOKUP($E776,'Status Thresholds'!$E:$AR,25,FALSE),IF((AND($U$4=FALSE,$U$5=TRUE,$U$6=TRUE,$U$7=FALSE)),VLOOKUP($E776,'Status Thresholds'!$E:$AR,35,FALSE),IF((AND($U$4=FALSE,$U$5=TRUE,$U$6=TRUE,$U$7=TRUE)),VLOOKUP($E776,'Status Thresholds'!$E:$AR,40,FALSE),IF((AND($U$4=FALSE,$U$5=TRUE,$U$6=FALSE,$U$7=TRUE)),VLOOKUP($E776,'Status Thresholds'!$E:$AR,30,FALSE)))))))))
))/
IF(OR($X$5=TRUE,$AC$3=TRUE
),($F$4/2), IF(OR($X$2,$X$3,$X$4,$X$6,$X$7,$X$8,$Z$2,$Z$3,$Z$4,$Z$5,$Z$6,$Z$7,$Z$8)=TRUE,$F$4)),0),"-")</f>
        <v>-</v>
      </c>
      <c r="J776" s="46">
        <f>IFERROR(IF(AND($U$5=FALSE,$U$4=FALSE),"-",VLOOKUP($E776,'Status Thresholds'!$E:$AU,41,FALSE)),"-")</f>
        <v>30</v>
      </c>
      <c r="K776" s="46" t="str">
        <f>IFERROR(IF(AND($U$5=FALSE,$U$4=FALSE),"-",VLOOKUP($E776,'Status Thresholds'!$E:$AU,42,FALSE)),"-")</f>
        <v>-</v>
      </c>
      <c r="L776" s="46" t="str">
        <f>IFERROR(IF(AND($U$5=FALSE,$U$4=FALSE),"-",VLOOKUP($E776,'Status Thresholds'!$E:$AU,43,FALSE)),"-")</f>
        <v>-</v>
      </c>
    </row>
    <row r="777" spans="1:12" x14ac:dyDescent="0.25">
      <c r="A777" s="35"/>
      <c r="B777" s="64" t="str">
        <f>VLOOKUP(C777,'Status Thresholds'!B:C,2,FALSE)</f>
        <v>MHGen</v>
      </c>
      <c r="C777" s="64" t="str">
        <f>IF('Status Thresholds'!B772=0, "", 'Status Thresholds'!B772)</f>
        <v>Uragaan</v>
      </c>
      <c r="D777" s="32" t="s">
        <v>33</v>
      </c>
      <c r="E777" s="36" t="str">
        <f t="shared" si="11"/>
        <v>UragaanPoison</v>
      </c>
      <c r="F777" s="36" t="str">
        <f>IFERROR(
ROUNDUP(
IF(AND($U$5=FALSE,$U$4=FALSE),"-",IF(AND($U$5=TRUE,$U$4=TRUE),"-",
IF((AND($U$4=TRUE,$U$5=FALSE,$U$6=FALSE,$U$7=FALSE)),VLOOKUP($E777,'Status Thresholds'!$E:$AR,2,FALSE),IF((AND($U$4=TRUE,$U$5=FALSE,$U$6=TRUE,$U$7=FALSE)),VLOOKUP($E777,'Status Thresholds'!$E:$AR,12,FALSE),IF((AND($U$4=TRUE,$U$5=FALSE,$U$6=TRUE,$U$7=TRUE)),VLOOKUP($E777,'Status Thresholds'!$E:$AR,17,FALSE),IF((AND($U$4=TRUE,$U$5=FALSE,$U$6=FALSE,$U$7=TRUE)),VLOOKUP($E777,'Status Thresholds'!$E:$AR,7,FALSE),
IF((AND($U$4=FALSE,$U$5=TRUE,$U$6=FALSE,$U$7=FALSE)),VLOOKUP($E777,'Status Thresholds'!$E:$AR,22,FALSE),IF((AND($U$4=FALSE,$U$5=TRUE,$U$6=TRUE,$U$7=FALSE)),VLOOKUP($E777,'Status Thresholds'!$E:$AR,32,FALSE),IF((AND($U$4=FALSE,$U$5=TRUE,$U$6=TRUE,$U$7=TRUE)),VLOOKUP($E777,'Status Thresholds'!$E:$AR,37,FALSE),IF((AND($U$4=FALSE,$U$5=TRUE,$U$6=FALSE,$U$7=TRUE)),VLOOKUP($E777,'Status Thresholds'!$E:$AR,27,FALSE)))))))))
))/
IF(OR($X$5=TRUE,$AC$3=TRUE
),($F$5/2), IF(OR($X$2,$X$3,$X$4,$X$6,$X$7,$X$8,$Z$2,$Z$3,$Z$4,$Z$5,$Z$6,$Z$7,$Z$8)=TRUE,$F$5)),0),"-")</f>
        <v>-</v>
      </c>
      <c r="G777" s="36" t="str">
        <f>IFERROR(
ROUNDUP(
IF(AND($U$5=FALSE,$U$4=FALSE),"-",IF(AND($U$5=TRUE,$U$4=TRUE),"-",
IF((AND($U$4=TRUE,$U$5=FALSE,$U$6=FALSE,$U$7=FALSE)),VLOOKUP($E777,'Status Thresholds'!$E:$AR,3,FALSE),IF((AND($U$4=TRUE,$U$5=FALSE,$U$6=TRUE,$U$7=FALSE)),VLOOKUP($E777,'Status Thresholds'!$E:$AR,13,FALSE),IF((AND($U$4=TRUE,$U$5=FALSE,$U$6=TRUE,$U$7=TRUE)),VLOOKUP($E777,'Status Thresholds'!$E:$AR,18,FALSE),IF((AND($U$4=TRUE,$U$5=FALSE,$U$6=FALSE,$U$7=TRUE)),VLOOKUP($E777,'Status Thresholds'!$E:$AR,8,FALSE),
IF((AND($U$4=FALSE,$U$5=TRUE,$U$6=FALSE,$U$7=FALSE)),VLOOKUP($E777,'Status Thresholds'!$E:$AR,23,FALSE),IF((AND($U$4=FALSE,$U$5=TRUE,$U$6=TRUE,$U$7=FALSE)),VLOOKUP($E777,'Status Thresholds'!$E:$AR,33,FALSE),IF((AND($U$4=FALSE,$U$5=TRUE,$U$6=TRUE,$U$7=TRUE)),VLOOKUP($E777,'Status Thresholds'!$E:$AR,38,FALSE),IF((AND($U$4=FALSE,$U$5=TRUE,$U$6=FALSE,$U$7=TRUE)),VLOOKUP($E777,'Status Thresholds'!$E:$AR,28,FALSE)))))))))
))/
IF(OR($X$5=TRUE,$AC$3=TRUE
),($F$5/2), IF(OR($X$2,$X$3,$X$4,$X$6,$X$7,$X$8,$Z$2,$Z$3,$Z$4,$Z$5,$Z$6,$Z$7,$Z$8)=TRUE,$F$5)),0),"-")</f>
        <v>-</v>
      </c>
      <c r="H777" s="36" t="str">
        <f>IFERROR(
ROUNDUP(
IF(AND($U$5=FALSE,$U$4=FALSE),"-",IF(AND($U$5=TRUE,$U$4=TRUE),"-",
IF((AND($U$4=TRUE,$U$5=FALSE,$U$6=FALSE,$U$7=FALSE)),VLOOKUP($E777,'Status Thresholds'!$E:$AR,4,FALSE),IF((AND($U$4=TRUE,$U$5=FALSE,$U$6=TRUE,$U$7=FALSE)),VLOOKUP($E777,'Status Thresholds'!$E:$AR,14,FALSE),IF((AND($U$4=TRUE,$U$5=FALSE,$U$6=TRUE,$U$7=TRUE)),VLOOKUP($E777,'Status Thresholds'!$E:$AR,19,FALSE),IF((AND($U$4=TRUE,$U$5=FALSE,$U$6=FALSE,$U$7=TRUE)),VLOOKUP($E777,'Status Thresholds'!$E:$AR,9,FALSE),
IF((AND($U$4=FALSE,$U$5=TRUE,$U$6=FALSE,$U$7=FALSE)),VLOOKUP($E777,'Status Thresholds'!$E:$AR,24,FALSE),IF((AND($U$4=FALSE,$U$5=TRUE,$U$6=TRUE,$U$7=FALSE)),VLOOKUP($E777,'Status Thresholds'!$E:$AR,34,FALSE),IF((AND($U$4=FALSE,$U$5=TRUE,$U$6=TRUE,$U$7=TRUE)),VLOOKUP($E777,'Status Thresholds'!$E:$AR,39,FALSE),IF((AND($U$4=FALSE,$U$5=TRUE,$U$6=FALSE,$U$7=TRUE)),VLOOKUP($E777,'Status Thresholds'!$E:$AR,29,FALSE)))))))))
))/
IF(OR($X$5=TRUE,$AC$3=TRUE
),($F$5/2), IF(OR($X$2,$X$3,$X$4,$X$6,$X$7,$X$8,$Z$2,$Z$3,$Z$4,$Z$5,$Z$6,$Z$7,$Z$8)=TRUE,$F$5)),0),"-")</f>
        <v>-</v>
      </c>
      <c r="I777" s="36" t="str">
        <f>IFERROR(
ROUNDUP(
IF(AND($U$5=FALSE,$U$4=FALSE),"-",IF(AND($U$5=TRUE,$U$4=TRUE),"-",
IF((AND($U$4=TRUE,$U$5=FALSE,$U$6=FALSE,$U$7=FALSE)),VLOOKUP($E777,'Status Thresholds'!$E:$AR,5,FALSE),IF((AND($U$4=TRUE,$U$5=FALSE,$U$6=TRUE,$U$7=FALSE)),VLOOKUP($E777,'Status Thresholds'!$E:$AR,15,FALSE),IF((AND($U$4=TRUE,$U$5=FALSE,$U$6=TRUE,$U$7=TRUE)),VLOOKUP($E777,'Status Thresholds'!$E:$AR,20,FALSE),IF((AND($U$4=TRUE,$U$5=FALSE,$U$6=FALSE,$U$7=TRUE)),VLOOKUP($E777,'Status Thresholds'!$E:$AR,10,FALSE),
IF((AND($U$4=FALSE,$U$5=TRUE,$U$6=FALSE,$U$7=FALSE)),VLOOKUP($E777,'Status Thresholds'!$E:$AR,25,FALSE),IF((AND($U$4=FALSE,$U$5=TRUE,$U$6=TRUE,$U$7=FALSE)),VLOOKUP($E777,'Status Thresholds'!$E:$AR,35,FALSE),IF((AND($U$4=FALSE,$U$5=TRUE,$U$6=TRUE,$U$7=TRUE)),VLOOKUP($E777,'Status Thresholds'!$E:$AR,40,FALSE),IF((AND($U$4=FALSE,$U$5=TRUE,$U$6=FALSE,$U$7=TRUE)),VLOOKUP($E777,'Status Thresholds'!$E:$AR,30,FALSE)))))))))
))/
IF(OR($X$5=TRUE,$AC$3=TRUE
),($F$5/2), IF(OR($X$2,$X$3,$X$4,$X$6,$X$7,$X$8,$Z$2,$Z$3,$Z$4,$Z$5,$Z$6,$Z$7,$Z$8)=TRUE,$F$5)),0),"-")</f>
        <v>-</v>
      </c>
      <c r="J777" s="46">
        <f>IFERROR(IF(AND($U$5=FALSE,$U$4=FALSE),"-",VLOOKUP($E777,'Status Thresholds'!$E:$AU,41,FALSE)),"-")</f>
        <v>30</v>
      </c>
      <c r="K777" s="46" t="str">
        <f>IFERROR(IF(AND($U$5=FALSE,$U$4=FALSE),"-",VLOOKUP($E777,'Status Thresholds'!$E:$AU,42,FALSE)),"-")</f>
        <v>-</v>
      </c>
      <c r="L777" s="46" t="str">
        <f>IFERROR(IF(AND($U$5=FALSE,$U$4=FALSE),"-",VLOOKUP($E777,'Status Thresholds'!$E:$AU,43,FALSE)),"-")</f>
        <v>-</v>
      </c>
    </row>
    <row r="778" spans="1:12" x14ac:dyDescent="0.25">
      <c r="A778" s="35"/>
      <c r="B778" s="64" t="str">
        <f>VLOOKUP(C778,'Status Thresholds'!B:C,2,FALSE)</f>
        <v>MHGen</v>
      </c>
      <c r="C778" s="64" t="str">
        <f>IF('Status Thresholds'!B773=0, "", 'Status Thresholds'!B773)</f>
        <v>Uragaan</v>
      </c>
      <c r="D778" s="10" t="s">
        <v>22</v>
      </c>
      <c r="E778" s="36" t="str">
        <f t="shared" si="11"/>
        <v>UragaanExhaust</v>
      </c>
      <c r="F778" s="36" t="str">
        <f>IFERROR(
ROUNDUP(
IF(AND($U$5=FALSE,$U$4=FALSE),"-",IF(AND($U$5=TRUE,$U$4=TRUE),"-",
IF((AND($U$4=TRUE,$U$5=FALSE,$U$6=FALSE,$U$7=FALSE)),VLOOKUP($E778,'Status Thresholds'!$E:$AR,2,FALSE),IF((AND($U$4=TRUE,$U$5=FALSE,$U$6=TRUE,$U$7=FALSE)),VLOOKUP($E778,'Status Thresholds'!$E:$AR,12,FALSE),IF((AND($U$4=TRUE,$U$5=FALSE,$U$6=TRUE,$U$7=TRUE)),VLOOKUP($E778,'Status Thresholds'!$E:$AR,17,FALSE),IF((AND($U$4=TRUE,$U$5=FALSE,$U$6=FALSE,$U$7=TRUE)),VLOOKUP($E778,'Status Thresholds'!$E:$AR,7,FALSE),
IF((AND($U$4=FALSE,$U$5=TRUE,$U$6=FALSE,$U$7=FALSE)),VLOOKUP($E778,'Status Thresholds'!$E:$AR,22,FALSE),IF((AND($U$4=FALSE,$U$5=TRUE,$U$6=TRUE,$U$7=FALSE)),VLOOKUP($E778,'Status Thresholds'!$E:$AR,32,FALSE),IF((AND($U$4=FALSE,$U$5=TRUE,$U$6=TRUE,$U$7=TRUE)),VLOOKUP($E778,'Status Thresholds'!$E:$AR,37,FALSE),IF((AND($U$4=FALSE,$U$5=TRUE,$U$6=FALSE,$U$7=TRUE)),VLOOKUP($E778,'Status Thresholds'!$E:$AR,27,FALSE)))))))))
))/
IF(OR($X$5=TRUE,$AC$3=TRUE
),($F$6/2), IF(OR($X$2,$X$3,$X$4,$X$6,$X$7,$X$8,$Z$2,$Z$3,$Z$4,$Z$5,$Z$6,$Z$7,$Z$8)=TRUE,$F$6)),0),"-")</f>
        <v>-</v>
      </c>
      <c r="G778" s="36" t="str">
        <f>IFERROR(
ROUNDUP(
IF(AND($U$5=FALSE,$U$4=FALSE),"-",IF(AND($U$5=TRUE,$U$4=TRUE),"-",
IF((AND($U$4=TRUE,$U$5=FALSE,$U$6=FALSE,$U$7=FALSE)),VLOOKUP($E778,'Status Thresholds'!$E:$AR,3,FALSE),IF((AND($U$4=TRUE,$U$5=FALSE,$U$6=TRUE,$U$7=FALSE)),VLOOKUP($E778,'Status Thresholds'!$E:$AR,13,FALSE),IF((AND($U$4=TRUE,$U$5=FALSE,$U$6=TRUE,$U$7=TRUE)),VLOOKUP($E778,'Status Thresholds'!$E:$AR,18,FALSE),IF((AND($U$4=TRUE,$U$5=FALSE,$U$6=FALSE,$U$7=TRUE)),VLOOKUP($E778,'Status Thresholds'!$E:$AR,8,FALSE),
IF((AND($U$4=FALSE,$U$5=TRUE,$U$6=FALSE,$U$7=FALSE)),VLOOKUP($E778,'Status Thresholds'!$E:$AR,23,FALSE),IF((AND($U$4=FALSE,$U$5=TRUE,$U$6=TRUE,$U$7=FALSE)),VLOOKUP($E778,'Status Thresholds'!$E:$AR,33,FALSE),IF((AND($U$4=FALSE,$U$5=TRUE,$U$6=TRUE,$U$7=TRUE)),VLOOKUP($E778,'Status Thresholds'!$E:$AR,38,FALSE),IF((AND($U$4=FALSE,$U$5=TRUE,$U$6=FALSE,$U$7=TRUE)),VLOOKUP($E778,'Status Thresholds'!$E:$AR,28,FALSE)))))))))
))/
IF(OR($X$5=TRUE,$AC$3=TRUE
),($F$6/2), IF(OR($X$2,$X$3,$X$4,$X$6,$X$7,$X$8,$Z$2,$Z$3,$Z$4,$Z$5,$Z$6,$Z$7,$Z$8)=TRUE,$F$6)),0),"-")</f>
        <v>-</v>
      </c>
      <c r="H778" s="36" t="str">
        <f>IFERROR(
ROUNDUP(
IF(AND($U$5=FALSE,$U$4=FALSE),"-",IF(AND($U$5=TRUE,$U$4=TRUE),"-",
IF((AND($U$4=TRUE,$U$5=FALSE,$U$6=FALSE,$U$7=FALSE)),VLOOKUP($E778,'Status Thresholds'!$E:$AR,4,FALSE),IF((AND($U$4=TRUE,$U$5=FALSE,$U$6=TRUE,$U$7=FALSE)),VLOOKUP($E778,'Status Thresholds'!$E:$AR,14,FALSE),IF((AND($U$4=TRUE,$U$5=FALSE,$U$6=TRUE,$U$7=TRUE)),VLOOKUP($E778,'Status Thresholds'!$E:$AR,19,FALSE),IF((AND($U$4=TRUE,$U$5=FALSE,$U$6=FALSE,$U$7=TRUE)),VLOOKUP($E778,'Status Thresholds'!$E:$AR,9,FALSE),
IF((AND($U$4=FALSE,$U$5=TRUE,$U$6=FALSE,$U$7=FALSE)),VLOOKUP($E778,'Status Thresholds'!$E:$AR,24,FALSE),IF((AND($U$4=FALSE,$U$5=TRUE,$U$6=TRUE,$U$7=FALSE)),VLOOKUP($E778,'Status Thresholds'!$E:$AR,34,FALSE),IF((AND($U$4=FALSE,$U$5=TRUE,$U$6=TRUE,$U$7=TRUE)),VLOOKUP($E778,'Status Thresholds'!$E:$AR,39,FALSE),IF((AND($U$4=FALSE,$U$5=TRUE,$U$6=FALSE,$U$7=TRUE)),VLOOKUP($E778,'Status Thresholds'!$E:$AR,29,FALSE)))))))))
))/
IF(OR($X$5=TRUE,$AC$3=TRUE
),($F$6/2), IF(OR($X$2,$X$3,$X$4,$X$6,$X$7,$X$8,$Z$2,$Z$3,$Z$4,$Z$5,$Z$6,$Z$7,$Z$8)=TRUE,$F$6)),0),"-")</f>
        <v>-</v>
      </c>
      <c r="I778" s="36" t="str">
        <f>IFERROR(
ROUNDUP(
IF(AND($U$5=FALSE,$U$4=FALSE),"-",IF(AND($U$5=TRUE,$U$4=TRUE),"-",
IF((AND($U$4=TRUE,$U$5=FALSE,$U$6=FALSE,$U$7=FALSE)),VLOOKUP($E778,'Status Thresholds'!$E:$AR,5,FALSE),IF((AND($U$4=TRUE,$U$5=FALSE,$U$6=TRUE,$U$7=FALSE)),VLOOKUP($E778,'Status Thresholds'!$E:$AR,15,FALSE),IF((AND($U$4=TRUE,$U$5=FALSE,$U$6=TRUE,$U$7=TRUE)),VLOOKUP($E778,'Status Thresholds'!$E:$AR,20,FALSE),IF((AND($U$4=TRUE,$U$5=FALSE,$U$6=FALSE,$U$7=TRUE)),VLOOKUP($E778,'Status Thresholds'!$E:$AR,10,FALSE),
IF((AND($U$4=FALSE,$U$5=TRUE,$U$6=FALSE,$U$7=FALSE)),VLOOKUP($E778,'Status Thresholds'!$E:$AR,25,FALSE),IF((AND($U$4=FALSE,$U$5=TRUE,$U$6=TRUE,$U$7=FALSE)),VLOOKUP($E778,'Status Thresholds'!$E:$AR,35,FALSE),IF((AND($U$4=FALSE,$U$5=TRUE,$U$6=TRUE,$U$7=TRUE)),VLOOKUP($E778,'Status Thresholds'!$E:$AR,40,FALSE),IF((AND($U$4=FALSE,$U$5=TRUE,$U$6=FALSE,$U$7=TRUE)),VLOOKUP($E778,'Status Thresholds'!$E:$AR,30,FALSE)))))))))
))/
IF(OR($X$5=TRUE,$AC$3=TRUE
),($F$6/2), IF(OR($X$2,$X$3,$X$4,$X$6,$X$7,$X$8,$Z$2,$Z$3,$Z$4,$Z$5,$Z$6,$Z$7,$Z$8)=TRUE,$F$6)),0),"-")</f>
        <v>-</v>
      </c>
      <c r="J778" s="46">
        <f>IFERROR(IF(AND($U$5=FALSE,$U$4=FALSE),"-",VLOOKUP($E778,'Status Thresholds'!$E:$AU,41,FALSE)),"-")</f>
        <v>0</v>
      </c>
      <c r="K778" s="46" t="str">
        <f>IFERROR(IF(AND($U$5=FALSE,$U$4=FALSE),"-",VLOOKUP($E778,'Status Thresholds'!$E:$AU,42,FALSE)),"-")</f>
        <v>-</v>
      </c>
      <c r="L778" s="46" t="str">
        <f>IFERROR(IF(AND($U$5=FALSE,$U$4=FALSE),"-",VLOOKUP($E778,'Status Thresholds'!$E:$AU,43,FALSE)),"-")</f>
        <v>-</v>
      </c>
    </row>
    <row r="779" spans="1:12" x14ac:dyDescent="0.25">
      <c r="A779" s="35"/>
      <c r="B779" s="64" t="str">
        <f>VLOOKUP(C779,'Status Thresholds'!B:C,2,FALSE)</f>
        <v>MHGen</v>
      </c>
      <c r="C779" s="64" t="str">
        <f>IF('Status Thresholds'!B774=0, "", 'Status Thresholds'!B774)</f>
        <v>Uragaan</v>
      </c>
      <c r="D779" s="30" t="s">
        <v>35</v>
      </c>
      <c r="E779" s="36" t="str">
        <f t="shared" si="11"/>
        <v>UragaanBlast</v>
      </c>
      <c r="F779" s="36" t="str">
        <f>IFERROR(
ROUNDUP(
IF(AND($U$5=FALSE,$U$4=FALSE),"-",IF(AND($U$5=TRUE,$U$4=TRUE),"-",
IF((AND($U$4=TRUE,$U$5=FALSE,$U$6=FALSE,$U$7=FALSE)),VLOOKUP($E779,'Status Thresholds'!$E:$AR,2,FALSE),IF((AND($U$4=TRUE,$U$5=FALSE,$U$6=TRUE,$U$7=FALSE)),VLOOKUP($E779,'Status Thresholds'!$E:$AR,12,FALSE),IF((AND($U$4=TRUE,$U$5=FALSE,$U$6=TRUE,$U$7=TRUE)),VLOOKUP($E779,'Status Thresholds'!$E:$AR,17,FALSE),IF((AND($U$4=TRUE,$U$5=FALSE,$U$6=FALSE,$U$7=TRUE)),VLOOKUP($E779,'Status Thresholds'!$E:$AR,7,FALSE),
IF((AND($U$4=FALSE,$U$5=TRUE,$U$6=FALSE,$U$7=FALSE)),VLOOKUP($E779,'Status Thresholds'!$E:$AR,22,FALSE),IF((AND($U$4=FALSE,$U$5=TRUE,$U$6=TRUE,$U$7=FALSE)),VLOOKUP($E779,'Status Thresholds'!$E:$AR,32,FALSE),IF((AND($U$4=FALSE,$U$5=TRUE,$U$6=TRUE,$U$7=TRUE)),VLOOKUP($E779,'Status Thresholds'!$E:$AR,37,FALSE),IF((AND($U$4=FALSE,$U$5=TRUE,$U$6=FALSE,$U$7=TRUE)),VLOOKUP($E779,'Status Thresholds'!$E:$AR,27,FALSE)))))))))
))/
IF(OR($X$5=TRUE,$AC$3=TRUE
),($F$7/2), IF(OR($X$2,$X$3,$X$4,$X$6,$X$7,$X$8,$Z$2,$Z$3,$Z$4,$Z$5,$Z$6,$Z$7,$Z$8)=TRUE,$F$7)),0),"-")</f>
        <v>-</v>
      </c>
      <c r="G779" s="36" t="str">
        <f>IFERROR(
ROUNDUP(
IF(AND($U$5=FALSE,$U$4=FALSE),"-",IF(AND($U$5=TRUE,$U$4=TRUE),"-",
IF((AND($U$4=TRUE,$U$5=FALSE,$U$6=FALSE,$U$7=FALSE)),VLOOKUP($E779,'Status Thresholds'!$E:$AR,3,FALSE),IF((AND($U$4=TRUE,$U$5=FALSE,$U$6=TRUE,$U$7=FALSE)),VLOOKUP($E779,'Status Thresholds'!$E:$AR,13,FALSE),IF((AND($U$4=TRUE,$U$5=FALSE,$U$6=TRUE,$U$7=TRUE)),VLOOKUP($E779,'Status Thresholds'!$E:$AR,18,FALSE),IF((AND($U$4=TRUE,$U$5=FALSE,$U$6=FALSE,$U$7=TRUE)),VLOOKUP($E779,'Status Thresholds'!$E:$AR,8,FALSE),
IF((AND($U$4=FALSE,$U$5=TRUE,$U$6=FALSE,$U$7=FALSE)),VLOOKUP($E779,'Status Thresholds'!$E:$AR,23,FALSE),IF((AND($U$4=FALSE,$U$5=TRUE,$U$6=TRUE,$U$7=FALSE)),VLOOKUP($E779,'Status Thresholds'!$E:$AR,33,FALSE),IF((AND($U$4=FALSE,$U$5=TRUE,$U$6=TRUE,$U$7=TRUE)),VLOOKUP($E779,'Status Thresholds'!$E:$AR,38,FALSE),IF((AND($U$4=FALSE,$U$5=TRUE,$U$6=FALSE,$U$7=TRUE)),VLOOKUP($E779,'Status Thresholds'!$E:$AR,28,FALSE)))))))))
))/
IF(OR($X$5=TRUE,$AC$3=TRUE
),($F$7/2), IF(OR($X$2,$X$3,$X$4,$X$6,$X$7,$X$8,$Z$2,$Z$3,$Z$4,$Z$5,$Z$6,$Z$7,$Z$8)=TRUE,$F$7)),0),"-")</f>
        <v>-</v>
      </c>
      <c r="H779" s="36" t="str">
        <f>IFERROR(
ROUNDUP(
IF(AND($U$5=FALSE,$U$4=FALSE),"-",IF(AND($U$5=TRUE,$U$4=TRUE),"-",
IF((AND($U$4=TRUE,$U$5=FALSE,$U$6=FALSE,$U$7=FALSE)),VLOOKUP($E779,'Status Thresholds'!$E:$AR,4,FALSE),IF((AND($U$4=TRUE,$U$5=FALSE,$U$6=TRUE,$U$7=FALSE)),VLOOKUP($E779,'Status Thresholds'!$E:$AR,14,FALSE),IF((AND($U$4=TRUE,$U$5=FALSE,$U$6=TRUE,$U$7=TRUE)),VLOOKUP($E779,'Status Thresholds'!$E:$AR,19,FALSE),IF((AND($U$4=TRUE,$U$5=FALSE,$U$6=FALSE,$U$7=TRUE)),VLOOKUP($E779,'Status Thresholds'!$E:$AR,9,FALSE),
IF((AND($U$4=FALSE,$U$5=TRUE,$U$6=FALSE,$U$7=FALSE)),VLOOKUP($E779,'Status Thresholds'!$E:$AR,24,FALSE),IF((AND($U$4=FALSE,$U$5=TRUE,$U$6=TRUE,$U$7=FALSE)),VLOOKUP($E779,'Status Thresholds'!$E:$AR,34,FALSE),IF((AND($U$4=FALSE,$U$5=TRUE,$U$6=TRUE,$U$7=TRUE)),VLOOKUP($E779,'Status Thresholds'!$E:$AR,39,FALSE),IF((AND($U$4=FALSE,$U$5=TRUE,$U$6=FALSE,$U$7=TRUE)),VLOOKUP($E779,'Status Thresholds'!$E:$AR,29,FALSE)))))))))
))/
IF(OR($X$5=TRUE,$AC$3=TRUE
),($F$7/2), IF(OR($X$2,$X$3,$X$4,$X$6,$X$7,$X$8,$Z$2,$Z$3,$Z$4,$Z$5,$Z$6,$Z$7,$Z$8)=TRUE,$F$7)),0),"-")</f>
        <v>-</v>
      </c>
      <c r="I779" s="36" t="str">
        <f>IFERROR(
ROUNDUP(
IF(AND($U$5=FALSE,$U$4=FALSE),"-",IF(AND($U$5=TRUE,$U$4=TRUE),"-",
IF((AND($U$4=TRUE,$U$5=FALSE,$U$6=FALSE,$U$7=FALSE)),VLOOKUP($E779,'Status Thresholds'!$E:$AR,5,FALSE),IF((AND($U$4=TRUE,$U$5=FALSE,$U$6=TRUE,$U$7=FALSE)),VLOOKUP($E779,'Status Thresholds'!$E:$AR,15,FALSE),IF((AND($U$4=TRUE,$U$5=FALSE,$U$6=TRUE,$U$7=TRUE)),VLOOKUP($E779,'Status Thresholds'!$E:$AR,20,FALSE),IF((AND($U$4=TRUE,$U$5=FALSE,$U$6=FALSE,$U$7=TRUE)),VLOOKUP($E779,'Status Thresholds'!$E:$AR,10,FALSE),
IF((AND($U$4=FALSE,$U$5=TRUE,$U$6=FALSE,$U$7=FALSE)),VLOOKUP($E779,'Status Thresholds'!$E:$AR,25,FALSE),IF((AND($U$4=FALSE,$U$5=TRUE,$U$6=TRUE,$U$7=FALSE)),VLOOKUP($E779,'Status Thresholds'!$E:$AR,35,FALSE),IF((AND($U$4=FALSE,$U$5=TRUE,$U$6=TRUE,$U$7=TRUE)),VLOOKUP($E779,'Status Thresholds'!$E:$AR,40,FALSE),IF((AND($U$4=FALSE,$U$5=TRUE,$U$6=FALSE,$U$7=TRUE)),VLOOKUP($E779,'Status Thresholds'!$E:$AR,30,FALSE)))))))))
))/
IF(OR($X$5=TRUE,$AC$3=TRUE
),($F$7/2), IF(OR($X$2,$X$3,$X$4,$X$6,$X$7,$X$8,$Z$2,$Z$3,$Z$4,$Z$5,$Z$6,$Z$7,$Z$8)=TRUE,$F$7)),0),"-")</f>
        <v>-</v>
      </c>
      <c r="J779" s="46">
        <f>IFERROR(IF(AND($U$5=FALSE,$U$4=FALSE),"-",VLOOKUP($E779,'Status Thresholds'!$E:$AU,41,FALSE)),"-")</f>
        <v>0</v>
      </c>
      <c r="K779" s="46" t="str">
        <f>IFERROR(IF(AND($U$5=FALSE,$U$4=FALSE),"-",VLOOKUP($E779,'Status Thresholds'!$E:$AU,42,FALSE)),"-")</f>
        <v>-</v>
      </c>
      <c r="L779" s="46" t="str">
        <f>IFERROR(IF(AND($U$5=FALSE,$U$4=FALSE),"-",VLOOKUP($E779,'Status Thresholds'!$E:$AU,43,FALSE)),"-")</f>
        <v>-</v>
      </c>
    </row>
    <row r="780" spans="1:12" ht="14.45" customHeight="1" x14ac:dyDescent="0.25">
      <c r="A780" s="35"/>
      <c r="B780" s="64" t="str">
        <f>VLOOKUP(C780,'Status Thresholds'!B:C,2,FALSE)</f>
        <v>MHGen</v>
      </c>
      <c r="C780" s="64" t="str">
        <f>IF('Status Thresholds'!B775=0, "", 'Status Thresholds'!B775)</f>
        <v>Uragaan</v>
      </c>
      <c r="D780" s="34" t="s">
        <v>14</v>
      </c>
      <c r="E780" s="36" t="str">
        <f t="shared" si="11"/>
        <v>UragaanKO</v>
      </c>
      <c r="F780" s="36" t="s">
        <v>214</v>
      </c>
      <c r="G780" s="36" t="s">
        <v>214</v>
      </c>
      <c r="H780" s="36" t="s">
        <v>214</v>
      </c>
      <c r="I780" s="36" t="s">
        <v>214</v>
      </c>
      <c r="J780" s="46">
        <f>IFERROR(IF(AND($U$5=FALSE,$U$4=FALSE),"-",VLOOKUP($E780,'Status Thresholds'!$E:$AU,41,FALSE)),"-")</f>
        <v>15</v>
      </c>
      <c r="K780" s="46" t="str">
        <f>IFERROR(IF(AND($U$5=FALSE,$U$4=FALSE),"-",VLOOKUP($E780,'Status Thresholds'!$E:$AU,42,FALSE)),"-")</f>
        <v>-</v>
      </c>
      <c r="L780" s="46" t="str">
        <f>IFERROR(IF(AND($U$5=FALSE,$U$4=FALSE),"-",VLOOKUP($E780,'Status Thresholds'!$E:$AU,43,FALSE)),"-")</f>
        <v>-</v>
      </c>
    </row>
    <row r="781" spans="1:12" x14ac:dyDescent="0.25">
      <c r="A781" s="35"/>
      <c r="B781" s="64" t="str">
        <f>VLOOKUP(C781,'Status Thresholds'!B:C,2,FALSE)</f>
        <v>MHGen</v>
      </c>
      <c r="C781" s="64" t="str">
        <f>IF('Status Thresholds'!B776=0, "", 'Status Thresholds'!B776)</f>
        <v>Uragaan</v>
      </c>
      <c r="D781" s="33" t="s">
        <v>34</v>
      </c>
      <c r="E781" s="36" t="str">
        <f t="shared" si="11"/>
        <v>UragaanMount</v>
      </c>
      <c r="F781" s="36" t="str">
        <f>IFERROR(
ROUNDUP(
IF(AND($U$5=FALSE,$U$4=FALSE),"-",IF(AND($U$5=TRUE,$U$4=TRUE),"-",
IF((AND($U$4=TRUE,$U$5=FALSE,$U$6=FALSE,$U$7=FALSE)),VLOOKUP($E781,'Status Thresholds'!$E:$AR,2,FALSE),IF((AND($U$4=TRUE,$U$5=FALSE,$U$6=TRUE,$U$7=FALSE)),VLOOKUP($E781,'Status Thresholds'!$E:$AR,12,FALSE),IF((AND($U$4=TRUE,$U$5=FALSE,$U$6=TRUE,$U$7=TRUE)),VLOOKUP($E781,'Status Thresholds'!$E:$AR,17,FALSE),IF((AND($U$4=TRUE,$U$5=FALSE,$U$6=FALSE,$U$7=TRUE)),VLOOKUP($E781,'Status Thresholds'!$E:$AR,7,FALSE),
IF((AND($U$4=FALSE,$U$5=TRUE,$U$6=FALSE,$U$7=FALSE)),VLOOKUP($E781,'Status Thresholds'!$E:$AR,22,FALSE),IF((AND($U$4=FALSE,$U$5=TRUE,$U$6=TRUE,$U$7=FALSE)),VLOOKUP($E781,'Status Thresholds'!$E:$AR,32,FALSE),IF((AND($U$4=FALSE,$U$5=TRUE,$U$6=TRUE,$U$7=TRUE)),VLOOKUP($E781,'Status Thresholds'!$E:$AR,37,FALSE),IF((AND($U$4=FALSE,$U$5=TRUE,$U$6=FALSE,$U$7=TRUE)),VLOOKUP($E781,'Status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781" s="36" t="str">
        <f>IFERROR(
ROUNDUP(
IF(AND($U$5=FALSE,$U$4=FALSE),"-",IF(AND($U$5=TRUE,$U$4=TRUE),"-",
IF((AND($U$4=TRUE,$U$5=FALSE,$U$6=FALSE,$U$7=FALSE)),VLOOKUP($E780,'Status Thresholds'!$E:$AR,3,FALSE),IF((AND($U$4=TRUE,$U$5=FALSE,$U$6=TRUE,$U$7=FALSE)),VLOOKUP($E780,'Status Thresholds'!$E:$AR,13,FALSE),IF((AND($U$4=TRUE,$U$5=FALSE,$U$6=TRUE,$U$7=TRUE)),VLOOKUP($E780,'Status Thresholds'!$E:$AR,18,FALSE),IF((AND($U$4=TRUE,$U$5=FALSE,$U$6=FALSE,$U$7=TRUE)),VLOOKUP($E780,'Status Thresholds'!$E:$AR,8,FALSE),
IF((AND($U$4=FALSE,$U$5=TRUE,$U$6=FALSE,$U$7=FALSE)),VLOOKUP($E780,'Status Thresholds'!$E:$AR,23,FALSE),IF((AND($U$4=FALSE,$U$5=TRUE,$U$6=TRUE,$U$7=FALSE)),VLOOKUP($E780,'Status Thresholds'!$E:$AR,33,FALSE),IF((AND($U$4=FALSE,$U$5=TRUE,$U$6=TRUE,$U$7=TRUE)),VLOOKUP($E780,'Status Thresholds'!$E:$AR,38,FALSE),IF((AND($U$4=FALSE,$U$5=TRUE,$U$6=FALSE,$U$7=TRUE)),VLOOKUP($E780,'Status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781" s="36" t="str">
        <f>IFERROR(
ROUNDUP(
IF(AND($U$5=FALSE,$U$4=FALSE),"-",IF(AND($U$5=TRUE,$U$4=TRUE),"-",
IF((AND($U$4=TRUE,$U$5=FALSE,$U$6=FALSE,$U$7=FALSE)),VLOOKUP($E780,'Status Thresholds'!$E:$AR,4,FALSE),IF((AND($U$4=TRUE,$U$5=FALSE,$U$6=TRUE,$U$7=FALSE)),VLOOKUP($E780,'Status Thresholds'!$E:$AR,14,FALSE),IF((AND($U$4=TRUE,$U$5=FALSE,$U$6=TRUE,$U$7=TRUE)),VLOOKUP($E780,'Status Thresholds'!$E:$AR,19,FALSE),IF((AND($U$4=TRUE,$U$5=FALSE,$U$6=FALSE,$U$7=TRUE)),VLOOKUP($E780,'Status Thresholds'!$E:$AR,9,FALSE),
IF((AND($U$4=FALSE,$U$5=TRUE,$U$6=FALSE,$U$7=FALSE)),VLOOKUP($E780,'Status Thresholds'!$E:$AR,24,FALSE),IF((AND($U$4=FALSE,$U$5=TRUE,$U$6=TRUE,$U$7=FALSE)),VLOOKUP($E780,'Status Thresholds'!$E:$AR,34,FALSE),IF((AND($U$4=FALSE,$U$5=TRUE,$U$6=TRUE,$U$7=TRUE)),VLOOKUP($E780,'Status Thresholds'!$E:$AR,39,FALSE),IF((AND($U$4=FALSE,$U$5=TRUE,$U$6=FALSE,$U$7=TRUE)),VLOOKUP($E780,'Status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781" s="36" t="str">
        <f>IFERROR(
ROUNDUP(
IF(AND($U$5=FALSE,$U$4=FALSE),"-",IF(AND($U$5=TRUE,$U$4=TRUE),"-",
IF((AND($U$4=TRUE,$U$5=FALSE,$U$6=FALSE,$U$7=FALSE)),VLOOKUP($E780,'Status Thresholds'!$E:$AR,5,FALSE),IF((AND($U$4=TRUE,$U$5=FALSE,$U$6=TRUE,$U$7=FALSE)),VLOOKUP($E780,'Status Thresholds'!$E:$AR,15,FALSE),IF((AND($U$4=TRUE,$U$5=FALSE,$U$6=TRUE,$U$7=TRUE)),VLOOKUP($E780,'Status Thresholds'!$E:$AR,20,FALSE),IF((AND($U$4=TRUE,$U$5=FALSE,$U$6=FALSE,$U$7=TRUE)),VLOOKUP($E780,'Status Thresholds'!$E:$AR,10,FALSE),
IF((AND($U$4=FALSE,$U$5=TRUE,$U$6=FALSE,$U$7=FALSE)),VLOOKUP($E780,'Status Thresholds'!$E:$AR,25,FALSE),IF((AND($U$4=FALSE,$U$5=TRUE,$U$6=TRUE,$U$7=FALSE)),VLOOKUP($E780,'Status Thresholds'!$E:$AR,35,FALSE),IF((AND($U$4=FALSE,$U$5=TRUE,$U$6=TRUE,$U$7=TRUE)),VLOOKUP($E780,'Status Thresholds'!$E:$AR,40,FALSE),IF((AND($U$4=FALSE,$U$5=TRUE,$U$6=FALSE,$U$7=TRUE)),VLOOKUP($E780,'Status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781" s="46">
        <f>IFERROR(IF(AND($U$5=FALSE,$U$4=FALSE),"-",VLOOKUP($E781,'Status Thresholds'!$E:$AU,41,FALSE)),"-")</f>
        <v>0</v>
      </c>
      <c r="K781" s="46" t="str">
        <f>IFERROR(IF(AND($U$5=FALSE,$U$4=FALSE),"-",VLOOKUP($E781,'Status Thresholds'!$E:$AU,42,FALSE)),"-")</f>
        <v>-</v>
      </c>
      <c r="L781" s="46" t="str">
        <f>IFERROR(IF(AND($U$5=FALSE,$U$4=FALSE),"-",VLOOKUP($E781,'Status Thresholds'!$E:$AU,43,FALSE)),"-")</f>
        <v>-</v>
      </c>
    </row>
    <row r="782" spans="1:12" ht="15" customHeight="1" x14ac:dyDescent="0.25">
      <c r="A782" s="35"/>
      <c r="B782" s="64" t="str">
        <f>VLOOKUP(C782,'Status Thresholds'!B:C,2,FALSE)</f>
        <v>MHGen</v>
      </c>
      <c r="C782" s="64" t="str">
        <f>IF('Status Thresholds'!B777=0, "", 'Status Thresholds'!B777)</f>
        <v>Uragaan</v>
      </c>
      <c r="D782" s="77" t="s">
        <v>207</v>
      </c>
      <c r="E782" s="36" t="str">
        <f t="shared" si="11"/>
        <v>UragaanShock Trap</v>
      </c>
      <c r="F782" s="76" t="s">
        <v>214</v>
      </c>
      <c r="G782" s="46" t="s">
        <v>214</v>
      </c>
      <c r="H782" s="46" t="s">
        <v>214</v>
      </c>
      <c r="I782" s="46" t="s">
        <v>214</v>
      </c>
      <c r="J782" s="46">
        <f>IFERROR(IF(AND($U$5=FALSE,$U$4=FALSE),"-",VLOOKUP($E782,'Status Thresholds'!$E:$AU,43,FALSE)),"-")</f>
        <v>10</v>
      </c>
      <c r="K782" s="46">
        <f>IFERROR(IF(AND($U$5=FALSE,$U$4=FALSE),"-",VLOOKUP($E782,'Status Thresholds'!$E:$AU,41,FALSE)),"-")</f>
        <v>10</v>
      </c>
      <c r="L782" s="46">
        <f>IFERROR(IF(AND($U$5=FALSE,$U$4=FALSE),"-",VLOOKUP($E782,'Status Thresholds'!$E:$AU,42,FALSE)),"-")</f>
        <v>20</v>
      </c>
    </row>
    <row r="783" spans="1:12" x14ac:dyDescent="0.25">
      <c r="A783" s="35"/>
      <c r="B783" s="64" t="str">
        <f>VLOOKUP(C783,'Status Thresholds'!B:C,2,FALSE)</f>
        <v>MHGen</v>
      </c>
      <c r="C783" s="64" t="str">
        <f>IF('Status Thresholds'!B778=0, "", 'Status Thresholds'!B778)</f>
        <v>Uragaan</v>
      </c>
      <c r="D783" s="77" t="s">
        <v>213</v>
      </c>
      <c r="E783" s="36" t="str">
        <f t="shared" si="11"/>
        <v>UragaanPitfall Trap</v>
      </c>
      <c r="F783" s="46" t="s">
        <v>214</v>
      </c>
      <c r="G783" s="46" t="s">
        <v>214</v>
      </c>
      <c r="H783" s="46" t="s">
        <v>214</v>
      </c>
      <c r="I783" s="46" t="s">
        <v>214</v>
      </c>
      <c r="J783" s="46">
        <f>IFERROR(IF(AND($U$5=FALSE,$U$4=FALSE),"-",VLOOKUP($E783,'Status Thresholds'!$E:$AU,43,FALSE)),"-")</f>
        <v>20</v>
      </c>
      <c r="K783" s="46">
        <f>IFERROR(IF(AND($U$5=FALSE,$U$4=FALSE),"-",VLOOKUP($E783,'Status Thresholds'!$E:$AU,41,FALSE)),"-")</f>
        <v>15</v>
      </c>
      <c r="L783" s="46">
        <f>IFERROR(IF(AND($U$5=FALSE,$U$4=FALSE),"-",VLOOKUP($E783,'Status Thresholds'!$E:$AU,42,FALSE)),"-")</f>
        <v>30</v>
      </c>
    </row>
    <row r="784" spans="1:12" s="36" customFormat="1" x14ac:dyDescent="0.25">
      <c r="A784" s="64"/>
      <c r="B784" s="64" t="str">
        <f>VLOOKUP(C784,'Status Thresholds'!B:C,2,FALSE)</f>
        <v>MHGU</v>
      </c>
      <c r="C784" s="64" t="str">
        <f>IF('Status Thresholds'!B779=0, "", 'Status Thresholds'!B779)</f>
        <v>Valtrax</v>
      </c>
      <c r="D784" s="37" t="s">
        <v>0</v>
      </c>
      <c r="E784" s="36" t="str">
        <f t="shared" si="11"/>
        <v>ValtraxPara</v>
      </c>
      <c r="F784" s="36" t="str">
        <f>IFERROR(
ROUNDUP(
IF(AND($U$5=FALSE,$U$4=FALSE),"-",IF(AND($U$5=TRUE,$U$4=TRUE),"-",
IF((AND($U$4=TRUE,$U$5=FALSE,$U$6=FALSE,$U$7=FALSE)),VLOOKUP($E784,'Status Thresholds'!$E:$AR,2,FALSE),IF((AND($U$4=TRUE,$U$5=FALSE,$U$6=TRUE,$U$7=FALSE)),VLOOKUP($E784,'Status Thresholds'!$E:$AR,12,FALSE),IF((AND($U$4=TRUE,$U$5=FALSE,$U$6=TRUE,$U$7=TRUE)),VLOOKUP($E784,'Status Thresholds'!$E:$AR,17,FALSE),IF((AND($U$4=TRUE,$U$5=FALSE,$U$6=FALSE,$U$7=TRUE)),VLOOKUP($E784,'Status Thresholds'!$E:$AR,7,FALSE),
IF((AND($U$4=FALSE,$U$5=TRUE,$U$6=FALSE,$U$7=FALSE)),VLOOKUP($E784,'Status Thresholds'!$E:$AR,22,FALSE),IF((AND($U$4=FALSE,$U$5=TRUE,$U$6=TRUE,$U$7=FALSE)),VLOOKUP($E784,'Status Thresholds'!$E:$AR,32,FALSE),IF((AND($U$4=FALSE,$U$5=TRUE,$U$6=TRUE,$U$7=TRUE)),VLOOKUP($E784,'Status Thresholds'!$E:$AR,37,FALSE),IF((AND($U$4=FALSE,$U$5=TRUE,$U$6=FALSE,$U$7=TRUE)),VLOOKUP($E784,'Status Thresholds'!$E:$AR,27,FALSE)))))))))
))/
IF(OR($X$5=TRUE,$AC$3=TRUE
),($F$3/2), IF(OR($X$2,$X$3,$X$4,$X$6,$X$7,$X$8,$Z$2,$Z$3,$Z$4,$Z$5,$Z$6,$Z$7,$Z$8)=TRUE,$F$3)),0),"-")</f>
        <v>-</v>
      </c>
      <c r="G784" s="36" t="str">
        <f>IFERROR(
ROUNDUP(
IF(AND($U$5=FALSE,$U$4=FALSE),"-",IF(AND($U$5=TRUE,$U$4=TRUE),"-",
IF((AND($U$4=TRUE,$U$5=FALSE,$U$6=FALSE,$U$7=FALSE)),VLOOKUP($E784,'Status Thresholds'!$E:$AR,3,FALSE),IF((AND($U$4=TRUE,$U$5=FALSE,$U$6=TRUE,$U$7=FALSE)),VLOOKUP($E784,'Status Thresholds'!$E:$AR,13,FALSE),IF((AND($U$4=TRUE,$U$5=FALSE,$U$6=TRUE,$U$7=TRUE)),VLOOKUP($E784,'Status Thresholds'!$E:$AR,18,FALSE),IF((AND($U$4=TRUE,$U$5=FALSE,$U$6=FALSE,$U$7=TRUE)),VLOOKUP($E784,'Status Thresholds'!$E:$AR,8,FALSE),
IF((AND($U$4=FALSE,$U$5=TRUE,$U$6=FALSE,$U$7=FALSE)),VLOOKUP($E784,'Status Thresholds'!$E:$AR,23,FALSE),IF((AND($U$4=FALSE,$U$5=TRUE,$U$6=TRUE,$U$7=FALSE)),VLOOKUP($E784,'Status Thresholds'!$E:$AR,33,FALSE),IF((AND($U$4=FALSE,$U$5=TRUE,$U$6=TRUE,$U$7=TRUE)),VLOOKUP($E784,'Status Thresholds'!$E:$AR,38,FALSE),IF((AND($U$4=FALSE,$U$5=TRUE,$U$6=FALSE,$U$7=TRUE)),VLOOKUP($E784,'Status Thresholds'!$E:$AR,28,FALSE)))))))))
))/
IF(OR($X$5=TRUE,$AC$3=TRUE
),($F$3/2), IF(OR($X$2,$X$3,$X$4,$X$6,$X$7,$X$8,$Z$2,$Z$3,$Z$4,$Z$5,$Z$6,$Z$7,$Z$8)=TRUE,$F$3)),0),"-")</f>
        <v>-</v>
      </c>
      <c r="H784" s="36" t="str">
        <f>IFERROR(
ROUNDUP(
IF(AND($U$5=FALSE,$U$4=FALSE),"-",IF(AND($U$5=TRUE,$U$4=TRUE),"-",
IF((AND($U$4=TRUE,$U$5=FALSE,$U$6=FALSE,$U$7=FALSE)),VLOOKUP($E784,'Status Thresholds'!$E:$AR,4,FALSE),IF((AND($U$4=TRUE,$U$5=FALSE,$U$6=TRUE,$U$7=FALSE)),VLOOKUP($E784,'Status Thresholds'!$E:$AR,14,FALSE),IF((AND($U$4=TRUE,$U$5=FALSE,$U$6=TRUE,$U$7=TRUE)),VLOOKUP($E784,'Status Thresholds'!$E:$AR,19,FALSE),IF((AND($U$4=TRUE,$U$5=FALSE,$U$6=FALSE,$U$7=TRUE)),VLOOKUP($E784,'Status Thresholds'!$E:$AR,9,FALSE),
IF((AND($U$4=FALSE,$U$5=TRUE,$U$6=FALSE,$U$7=FALSE)),VLOOKUP($E784,'Status Thresholds'!$E:$AR,24,FALSE),IF((AND($U$4=FALSE,$U$5=TRUE,$U$6=TRUE,$U$7=FALSE)),VLOOKUP($E784,'Status Thresholds'!$E:$AR,34,FALSE),IF((AND($U$4=FALSE,$U$5=TRUE,$U$6=TRUE,$U$7=TRUE)),VLOOKUP($E784,'Status Thresholds'!$E:$AR,39,FALSE),IF((AND($U$4=FALSE,$U$5=TRUE,$U$6=FALSE,$U$7=TRUE)),VLOOKUP($E784,'Status Thresholds'!$E:$AR,29,FALSE)))))))))
))/
IF(OR($X$5=TRUE,$AC$3=TRUE
),($F$3/2), IF(OR($X$2,$X$3,$X$4,$X$6,$X$7,$X$8,$Z$2,$Z$3,$Z$4,$Z$5,$Z$6,$Z$7,$Z$8)=TRUE,$F$3)),0),"-")</f>
        <v>-</v>
      </c>
      <c r="I784" s="36" t="str">
        <f>IFERROR(
ROUNDUP(
IF(AND($U$5=FALSE,$U$4=FALSE),"-",IF(AND($U$5=TRUE,$U$4=TRUE),"-",
IF((AND($U$4=TRUE,$U$5=FALSE,$U$6=FALSE,$U$7=FALSE)),VLOOKUP($E784,'Status Thresholds'!$E:$AR,5,FALSE),IF((AND($U$4=TRUE,$U$5=FALSE,$U$6=TRUE,$U$7=FALSE)),VLOOKUP($E784,'Status Thresholds'!$E:$AR,15,FALSE),IF((AND($U$4=TRUE,$U$5=FALSE,$U$6=TRUE,$U$7=TRUE)),VLOOKUP($E784,'Status Thresholds'!$E:$AR,20,FALSE),IF((AND($U$4=TRUE,$U$5=FALSE,$U$6=FALSE,$U$7=TRUE)),VLOOKUP($E784,'Status Thresholds'!$E:$AR,10,FALSE),
IF((AND($U$4=FALSE,$U$5=TRUE,$U$6=FALSE,$U$7=FALSE)),VLOOKUP($E784,'Status Thresholds'!$E:$AR,25,FALSE),IF((AND($U$4=FALSE,$U$5=TRUE,$U$6=TRUE,$U$7=FALSE)),VLOOKUP($E784,'Status Thresholds'!$E:$AR,35,FALSE),IF((AND($U$4=FALSE,$U$5=TRUE,$U$6=TRUE,$U$7=TRUE)),VLOOKUP($E784,'Status Thresholds'!$E:$AR,40,FALSE),IF((AND($U$4=FALSE,$U$5=TRUE,$U$6=FALSE,$U$7=TRUE)),VLOOKUP($E784,'Status Thresholds'!$E:$AR,30,FALSE)))))))))
))/
IF(OR($X$5=TRUE,$AC$3=TRUE
),($F$3/2), IF(OR($X$2,$X$3,$X$4,$X$6,$X$7,$X$8,$Z$2,$Z$3,$Z$4,$Z$5,$Z$6,$Z$7,$Z$8)=TRUE,$F$3)),0),"-")</f>
        <v>-</v>
      </c>
      <c r="J784" s="36">
        <f>IFERROR(IF(AND($U$5=FALSE,$U$4=FALSE),"-",VLOOKUP($E784,'Status Thresholds'!$E:$AU,41,FALSE)),"-")</f>
        <v>9</v>
      </c>
      <c r="K784" s="36" t="str">
        <f>IFERROR(IF(AND($U$5=FALSE,$U$4=FALSE),"-",VLOOKUP($E784,'Status Thresholds'!$E:$AU,42,FALSE)),"-")</f>
        <v>-</v>
      </c>
      <c r="L784" s="36" t="str">
        <f>IFERROR(IF(AND($U$5=FALSE,$U$4=FALSE),"-",VLOOKUP($E784,'Status Thresholds'!$E:$AU,43,FALSE)),"-")</f>
        <v>-</v>
      </c>
    </row>
    <row r="785" spans="1:12" x14ac:dyDescent="0.25">
      <c r="A785" s="35"/>
      <c r="B785" s="64" t="str">
        <f>VLOOKUP(C785,'Status Thresholds'!B:C,2,FALSE)</f>
        <v>MHGU</v>
      </c>
      <c r="C785" s="64" t="str">
        <f>IF('Status Thresholds'!B780=0, "", 'Status Thresholds'!B780)</f>
        <v>Valtrax</v>
      </c>
      <c r="D785" s="31" t="s">
        <v>32</v>
      </c>
      <c r="E785" s="36" t="str">
        <f t="shared" si="11"/>
        <v>ValtraxSleep</v>
      </c>
      <c r="F785" s="36" t="str">
        <f>IFERROR(
ROUNDUP(
IF(AND($U$5=FALSE,$U$4=FALSE),"-",IF(AND($U$5=TRUE,$U$4=TRUE),"-",
IF((AND($U$4=TRUE,$U$5=FALSE,$U$6=FALSE,$U$7=FALSE)),VLOOKUP($E785,'Status Thresholds'!$E:$AR,2,FALSE),IF((AND($U$4=TRUE,$U$5=FALSE,$U$6=TRUE,$U$7=FALSE)),VLOOKUP($E785,'Status Thresholds'!$E:$AR,12,FALSE),IF((AND($U$4=TRUE,$U$5=FALSE,$U$6=TRUE,$U$7=TRUE)),VLOOKUP($E785,'Status Thresholds'!$E:$AR,17,FALSE),IF((AND($U$4=TRUE,$U$5=FALSE,$U$6=FALSE,$U$7=TRUE)),VLOOKUP($E785,'Status Thresholds'!$E:$AR,7,FALSE),
IF((AND($U$4=FALSE,$U$5=TRUE,$U$6=FALSE,$U$7=FALSE)),VLOOKUP($E785,'Status Thresholds'!$E:$AR,22,FALSE),IF((AND($U$4=FALSE,$U$5=TRUE,$U$6=TRUE,$U$7=FALSE)),VLOOKUP($E785,'Status Thresholds'!$E:$AR,32,FALSE),IF((AND($U$4=FALSE,$U$5=TRUE,$U$6=TRUE,$U$7=TRUE)),VLOOKUP($E785,'Status Thresholds'!$E:$AR,37,FALSE),IF((AND($U$4=FALSE,$U$5=TRUE,$U$6=FALSE,$U$7=TRUE)),VLOOKUP($E785,'Status Thresholds'!$E:$AR,27,FALSE)))))))))
))/
IF(OR($X$5=TRUE,$AC$3=TRUE
),($F$4/2), IF(OR($X$2,$X$3,$X$4,$X$6,$X$7,$X$8,$Z$2,$Z$3,$Z$4,$Z$5,$Z$6,$Z$7,$Z$8)=TRUE,$F$4)),0),"-")</f>
        <v>-</v>
      </c>
      <c r="G785" s="36" t="str">
        <f>IFERROR(
ROUNDUP(
IF(AND($U$5=FALSE,$U$4=FALSE),"-",IF(AND($U$5=TRUE,$U$4=TRUE),"-",
IF((AND($U$4=TRUE,$U$5=FALSE,$U$6=FALSE,$U$7=FALSE)),VLOOKUP($E785,'Status Thresholds'!$E:$AR,3,FALSE),IF((AND($U$4=TRUE,$U$5=FALSE,$U$6=TRUE,$U$7=FALSE)),VLOOKUP($E785,'Status Thresholds'!$E:$AR,13,FALSE),IF((AND($U$4=TRUE,$U$5=FALSE,$U$6=TRUE,$U$7=TRUE)),VLOOKUP($E785,'Status Thresholds'!$E:$AR,18,FALSE),IF((AND($U$4=TRUE,$U$5=FALSE,$U$6=FALSE,$U$7=TRUE)),VLOOKUP($E785,'Status Thresholds'!$E:$AR,8,FALSE),
IF((AND($U$4=FALSE,$U$5=TRUE,$U$6=FALSE,$U$7=FALSE)),VLOOKUP($E785,'Status Thresholds'!$E:$AR,23,FALSE),IF((AND($U$4=FALSE,$U$5=TRUE,$U$6=TRUE,$U$7=FALSE)),VLOOKUP($E785,'Status Thresholds'!$E:$AR,33,FALSE),IF((AND($U$4=FALSE,$U$5=TRUE,$U$6=TRUE,$U$7=TRUE)),VLOOKUP($E785,'Status Thresholds'!$E:$AR,38,FALSE),IF((AND($U$4=FALSE,$U$5=TRUE,$U$6=FALSE,$U$7=TRUE)),VLOOKUP($E785,'Status Thresholds'!$E:$AR,28,FALSE)))))))))
))/
IF(OR($X$5=TRUE,$AC$3=TRUE
),($F$4/2), IF(OR($X$2,$X$3,$X$4,$X$6,$X$7,$X$8,$Z$2,$Z$3,$Z$4,$Z$5,$Z$6,$Z$7,$Z$8)=TRUE,$F$4)),0),"-")</f>
        <v>-</v>
      </c>
      <c r="H785" s="36" t="str">
        <f>IFERROR(
ROUNDUP(
IF(AND($U$5=FALSE,$U$4=FALSE),"-",IF(AND($U$5=TRUE,$U$4=TRUE),"-",
IF((AND($U$4=TRUE,$U$5=FALSE,$U$6=FALSE,$U$7=FALSE)),VLOOKUP($E785,'Status Thresholds'!$E:$AR,4,FALSE),IF((AND($U$4=TRUE,$U$5=FALSE,$U$6=TRUE,$U$7=FALSE)),VLOOKUP($E785,'Status Thresholds'!$E:$AR,14,FALSE),IF((AND($U$4=TRUE,$U$5=FALSE,$U$6=TRUE,$U$7=TRUE)),VLOOKUP($E785,'Status Thresholds'!$E:$AR,19,FALSE),IF((AND($U$4=TRUE,$U$5=FALSE,$U$6=FALSE,$U$7=TRUE)),VLOOKUP($E785,'Status Thresholds'!$E:$AR,9,FALSE),
IF((AND($U$4=FALSE,$U$5=TRUE,$U$6=FALSE,$U$7=FALSE)),VLOOKUP($E785,'Status Thresholds'!$E:$AR,24,FALSE),IF((AND($U$4=FALSE,$U$5=TRUE,$U$6=TRUE,$U$7=FALSE)),VLOOKUP($E785,'Status Thresholds'!$E:$AR,34,FALSE),IF((AND($U$4=FALSE,$U$5=TRUE,$U$6=TRUE,$U$7=TRUE)),VLOOKUP($E785,'Status Thresholds'!$E:$AR,39,FALSE),IF((AND($U$4=FALSE,$U$5=TRUE,$U$6=FALSE,$U$7=TRUE)),VLOOKUP($E785,'Status Thresholds'!$E:$AR,29,FALSE)))))))))
))/
IF(OR($X$5=TRUE,$AC$3=TRUE
),($F$4/2), IF(OR($X$2,$X$3,$X$4,$X$6,$X$7,$X$8,$Z$2,$Z$3,$Z$4,$Z$5,$Z$6,$Z$7,$Z$8)=TRUE,$F$4)),0),"-")</f>
        <v>-</v>
      </c>
      <c r="I785" s="36" t="str">
        <f>IFERROR(
ROUNDUP(
IF(AND($U$5=FALSE,$U$4=FALSE),"-",IF(AND($U$5=TRUE,$U$4=TRUE),"-",
IF((AND($U$4=TRUE,$U$5=FALSE,$U$6=FALSE,$U$7=FALSE)),VLOOKUP($E785,'Status Thresholds'!$E:$AR,5,FALSE),IF((AND($U$4=TRUE,$U$5=FALSE,$U$6=TRUE,$U$7=FALSE)),VLOOKUP($E785,'Status Thresholds'!$E:$AR,15,FALSE),IF((AND($U$4=TRUE,$U$5=FALSE,$U$6=TRUE,$U$7=TRUE)),VLOOKUP($E785,'Status Thresholds'!$E:$AR,20,FALSE),IF((AND($U$4=TRUE,$U$5=FALSE,$U$6=FALSE,$U$7=TRUE)),VLOOKUP($E785,'Status Thresholds'!$E:$AR,10,FALSE),
IF((AND($U$4=FALSE,$U$5=TRUE,$U$6=FALSE,$U$7=FALSE)),VLOOKUP($E785,'Status Thresholds'!$E:$AR,25,FALSE),IF((AND($U$4=FALSE,$U$5=TRUE,$U$6=TRUE,$U$7=FALSE)),VLOOKUP($E785,'Status Thresholds'!$E:$AR,35,FALSE),IF((AND($U$4=FALSE,$U$5=TRUE,$U$6=TRUE,$U$7=TRUE)),VLOOKUP($E785,'Status Thresholds'!$E:$AR,40,FALSE),IF((AND($U$4=FALSE,$U$5=TRUE,$U$6=FALSE,$U$7=TRUE)),VLOOKUP($E785,'Status Thresholds'!$E:$AR,30,FALSE)))))))))
))/
IF(OR($X$5=TRUE,$AC$3=TRUE
),($F$4/2), IF(OR($X$2,$X$3,$X$4,$X$6,$X$7,$X$8,$Z$2,$Z$3,$Z$4,$Z$5,$Z$6,$Z$7,$Z$8)=TRUE,$F$4)),0),"-")</f>
        <v>-</v>
      </c>
      <c r="J785" s="46">
        <f>IFERROR(IF(AND($U$5=FALSE,$U$4=FALSE),"-",VLOOKUP($E785,'Status Thresholds'!$E:$AU,41,FALSE)),"-")</f>
        <v>30</v>
      </c>
      <c r="K785" s="46" t="str">
        <f>IFERROR(IF(AND($U$5=FALSE,$U$4=FALSE),"-",VLOOKUP($E785,'Status Thresholds'!$E:$AU,42,FALSE)),"-")</f>
        <v>-</v>
      </c>
      <c r="L785" s="46" t="str">
        <f>IFERROR(IF(AND($U$5=FALSE,$U$4=FALSE),"-",VLOOKUP($E785,'Status Thresholds'!$E:$AU,43,FALSE)),"-")</f>
        <v>-</v>
      </c>
    </row>
    <row r="786" spans="1:12" x14ac:dyDescent="0.25">
      <c r="A786" s="35"/>
      <c r="B786" s="64" t="str">
        <f>VLOOKUP(C786,'Status Thresholds'!B:C,2,FALSE)</f>
        <v>MHGU</v>
      </c>
      <c r="C786" s="64" t="str">
        <f>IF('Status Thresholds'!B781=0, "", 'Status Thresholds'!B781)</f>
        <v>Valtrax</v>
      </c>
      <c r="D786" s="32" t="s">
        <v>33</v>
      </c>
      <c r="E786" s="36" t="str">
        <f t="shared" si="11"/>
        <v>ValtraxPoison</v>
      </c>
      <c r="F786" s="36" t="str">
        <f>IFERROR(
ROUNDUP(
IF(AND($U$5=FALSE,$U$4=FALSE),"-",IF(AND($U$5=TRUE,$U$4=TRUE),"-",
IF((AND($U$4=TRUE,$U$5=FALSE,$U$6=FALSE,$U$7=FALSE)),VLOOKUP($E786,'Status Thresholds'!$E:$AR,2,FALSE),IF((AND($U$4=TRUE,$U$5=FALSE,$U$6=TRUE,$U$7=FALSE)),VLOOKUP($E786,'Status Thresholds'!$E:$AR,12,FALSE),IF((AND($U$4=TRUE,$U$5=FALSE,$U$6=TRUE,$U$7=TRUE)),VLOOKUP($E786,'Status Thresholds'!$E:$AR,17,FALSE),IF((AND($U$4=TRUE,$U$5=FALSE,$U$6=FALSE,$U$7=TRUE)),VLOOKUP($E786,'Status Thresholds'!$E:$AR,7,FALSE),
IF((AND($U$4=FALSE,$U$5=TRUE,$U$6=FALSE,$U$7=FALSE)),VLOOKUP($E786,'Status Thresholds'!$E:$AR,22,FALSE),IF((AND($U$4=FALSE,$U$5=TRUE,$U$6=TRUE,$U$7=FALSE)),VLOOKUP($E786,'Status Thresholds'!$E:$AR,32,FALSE),IF((AND($U$4=FALSE,$U$5=TRUE,$U$6=TRUE,$U$7=TRUE)),VLOOKUP($E786,'Status Thresholds'!$E:$AR,37,FALSE),IF((AND($U$4=FALSE,$U$5=TRUE,$U$6=FALSE,$U$7=TRUE)),VLOOKUP($E786,'Status Thresholds'!$E:$AR,27,FALSE)))))))))
))/
IF(OR($X$5=TRUE,$AC$3=TRUE
),($F$5/2), IF(OR($X$2,$X$3,$X$4,$X$6,$X$7,$X$8,$Z$2,$Z$3,$Z$4,$Z$5,$Z$6,$Z$7,$Z$8)=TRUE,$F$5)),0),"-")</f>
        <v>-</v>
      </c>
      <c r="G786" s="36" t="str">
        <f>IFERROR(
ROUNDUP(
IF(AND($U$5=FALSE,$U$4=FALSE),"-",IF(AND($U$5=TRUE,$U$4=TRUE),"-",
IF((AND($U$4=TRUE,$U$5=FALSE,$U$6=FALSE,$U$7=FALSE)),VLOOKUP($E786,'Status Thresholds'!$E:$AR,3,FALSE),IF((AND($U$4=TRUE,$U$5=FALSE,$U$6=TRUE,$U$7=FALSE)),VLOOKUP($E786,'Status Thresholds'!$E:$AR,13,FALSE),IF((AND($U$4=TRUE,$U$5=FALSE,$U$6=TRUE,$U$7=TRUE)),VLOOKUP($E786,'Status Thresholds'!$E:$AR,18,FALSE),IF((AND($U$4=TRUE,$U$5=FALSE,$U$6=FALSE,$U$7=TRUE)),VLOOKUP($E786,'Status Thresholds'!$E:$AR,8,FALSE),
IF((AND($U$4=FALSE,$U$5=TRUE,$U$6=FALSE,$U$7=FALSE)),VLOOKUP($E786,'Status Thresholds'!$E:$AR,23,FALSE),IF((AND($U$4=FALSE,$U$5=TRUE,$U$6=TRUE,$U$7=FALSE)),VLOOKUP($E786,'Status Thresholds'!$E:$AR,33,FALSE),IF((AND($U$4=FALSE,$U$5=TRUE,$U$6=TRUE,$U$7=TRUE)),VLOOKUP($E786,'Status Thresholds'!$E:$AR,38,FALSE),IF((AND($U$4=FALSE,$U$5=TRUE,$U$6=FALSE,$U$7=TRUE)),VLOOKUP($E786,'Status Thresholds'!$E:$AR,28,FALSE)))))))))
))/
IF(OR($X$5=TRUE,$AC$3=TRUE
),($F$5/2), IF(OR($X$2,$X$3,$X$4,$X$6,$X$7,$X$8,$Z$2,$Z$3,$Z$4,$Z$5,$Z$6,$Z$7,$Z$8)=TRUE,$F$5)),0),"-")</f>
        <v>-</v>
      </c>
      <c r="H786" s="36" t="str">
        <f>IFERROR(
ROUNDUP(
IF(AND($U$5=FALSE,$U$4=FALSE),"-",IF(AND($U$5=TRUE,$U$4=TRUE),"-",
IF((AND($U$4=TRUE,$U$5=FALSE,$U$6=FALSE,$U$7=FALSE)),VLOOKUP($E786,'Status Thresholds'!$E:$AR,4,FALSE),IF((AND($U$4=TRUE,$U$5=FALSE,$U$6=TRUE,$U$7=FALSE)),VLOOKUP($E786,'Status Thresholds'!$E:$AR,14,FALSE),IF((AND($U$4=TRUE,$U$5=FALSE,$U$6=TRUE,$U$7=TRUE)),VLOOKUP($E786,'Status Thresholds'!$E:$AR,19,FALSE),IF((AND($U$4=TRUE,$U$5=FALSE,$U$6=FALSE,$U$7=TRUE)),VLOOKUP($E786,'Status Thresholds'!$E:$AR,9,FALSE),
IF((AND($U$4=FALSE,$U$5=TRUE,$U$6=FALSE,$U$7=FALSE)),VLOOKUP($E786,'Status Thresholds'!$E:$AR,24,FALSE),IF((AND($U$4=FALSE,$U$5=TRUE,$U$6=TRUE,$U$7=FALSE)),VLOOKUP($E786,'Status Thresholds'!$E:$AR,34,FALSE),IF((AND($U$4=FALSE,$U$5=TRUE,$U$6=TRUE,$U$7=TRUE)),VLOOKUP($E786,'Status Thresholds'!$E:$AR,39,FALSE),IF((AND($U$4=FALSE,$U$5=TRUE,$U$6=FALSE,$U$7=TRUE)),VLOOKUP($E786,'Status Thresholds'!$E:$AR,29,FALSE)))))))))
))/
IF(OR($X$5=TRUE,$AC$3=TRUE
),($F$5/2), IF(OR($X$2,$X$3,$X$4,$X$6,$X$7,$X$8,$Z$2,$Z$3,$Z$4,$Z$5,$Z$6,$Z$7,$Z$8)=TRUE,$F$5)),0),"-")</f>
        <v>-</v>
      </c>
      <c r="I786" s="36" t="str">
        <f>IFERROR(
ROUNDUP(
IF(AND($U$5=FALSE,$U$4=FALSE),"-",IF(AND($U$5=TRUE,$U$4=TRUE),"-",
IF((AND($U$4=TRUE,$U$5=FALSE,$U$6=FALSE,$U$7=FALSE)),VLOOKUP($E786,'Status Thresholds'!$E:$AR,5,FALSE),IF((AND($U$4=TRUE,$U$5=FALSE,$U$6=TRUE,$U$7=FALSE)),VLOOKUP($E786,'Status Thresholds'!$E:$AR,15,FALSE),IF((AND($U$4=TRUE,$U$5=FALSE,$U$6=TRUE,$U$7=TRUE)),VLOOKUP($E786,'Status Thresholds'!$E:$AR,20,FALSE),IF((AND($U$4=TRUE,$U$5=FALSE,$U$6=FALSE,$U$7=TRUE)),VLOOKUP($E786,'Status Thresholds'!$E:$AR,10,FALSE),
IF((AND($U$4=FALSE,$U$5=TRUE,$U$6=FALSE,$U$7=FALSE)),VLOOKUP($E786,'Status Thresholds'!$E:$AR,25,FALSE),IF((AND($U$4=FALSE,$U$5=TRUE,$U$6=TRUE,$U$7=FALSE)),VLOOKUP($E786,'Status Thresholds'!$E:$AR,35,FALSE),IF((AND($U$4=FALSE,$U$5=TRUE,$U$6=TRUE,$U$7=TRUE)),VLOOKUP($E786,'Status Thresholds'!$E:$AR,40,FALSE),IF((AND($U$4=FALSE,$U$5=TRUE,$U$6=FALSE,$U$7=TRUE)),VLOOKUP($E786,'Status Thresholds'!$E:$AR,30,FALSE)))))))))
))/
IF(OR($X$5=TRUE,$AC$3=TRUE
),($F$5/2), IF(OR($X$2,$X$3,$X$4,$X$6,$X$7,$X$8,$Z$2,$Z$3,$Z$4,$Z$5,$Z$6,$Z$7,$Z$8)=TRUE,$F$5)),0),"-")</f>
        <v>-</v>
      </c>
      <c r="J786" s="46">
        <f>IFERROR(IF(AND($U$5=FALSE,$U$4=FALSE),"-",VLOOKUP($E786,'Status Thresholds'!$E:$AU,41,FALSE)),"-")</f>
        <v>30</v>
      </c>
      <c r="K786" s="46" t="str">
        <f>IFERROR(IF(AND($U$5=FALSE,$U$4=FALSE),"-",VLOOKUP($E786,'Status Thresholds'!$E:$AU,42,FALSE)),"-")</f>
        <v>-</v>
      </c>
      <c r="L786" s="46" t="str">
        <f>IFERROR(IF(AND($U$5=FALSE,$U$4=FALSE),"-",VLOOKUP($E786,'Status Thresholds'!$E:$AU,43,FALSE)),"-")</f>
        <v>-</v>
      </c>
    </row>
    <row r="787" spans="1:12" x14ac:dyDescent="0.25">
      <c r="A787" s="35"/>
      <c r="B787" s="64" t="str">
        <f>VLOOKUP(C787,'Status Thresholds'!B:C,2,FALSE)</f>
        <v>MHGU</v>
      </c>
      <c r="C787" s="64" t="str">
        <f>IF('Status Thresholds'!B782=0, "", 'Status Thresholds'!B782)</f>
        <v>Valtrax</v>
      </c>
      <c r="D787" s="10" t="s">
        <v>22</v>
      </c>
      <c r="E787" s="36" t="str">
        <f t="shared" si="11"/>
        <v>ValtraxExhaust</v>
      </c>
      <c r="F787" s="36" t="str">
        <f>IFERROR(
ROUNDUP(
IF(AND($U$5=FALSE,$U$4=FALSE),"-",IF(AND($U$5=TRUE,$U$4=TRUE),"-",
IF((AND($U$4=TRUE,$U$5=FALSE,$U$6=FALSE,$U$7=FALSE)),VLOOKUP($E787,'Status Thresholds'!$E:$AR,2,FALSE),IF((AND($U$4=TRUE,$U$5=FALSE,$U$6=TRUE,$U$7=FALSE)),VLOOKUP($E787,'Status Thresholds'!$E:$AR,12,FALSE),IF((AND($U$4=TRUE,$U$5=FALSE,$U$6=TRUE,$U$7=TRUE)),VLOOKUP($E787,'Status Thresholds'!$E:$AR,17,FALSE),IF((AND($U$4=TRUE,$U$5=FALSE,$U$6=FALSE,$U$7=TRUE)),VLOOKUP($E787,'Status Thresholds'!$E:$AR,7,FALSE),
IF((AND($U$4=FALSE,$U$5=TRUE,$U$6=FALSE,$U$7=FALSE)),VLOOKUP($E787,'Status Thresholds'!$E:$AR,22,FALSE),IF((AND($U$4=FALSE,$U$5=TRUE,$U$6=TRUE,$U$7=FALSE)),VLOOKUP($E787,'Status Thresholds'!$E:$AR,32,FALSE),IF((AND($U$4=FALSE,$U$5=TRUE,$U$6=TRUE,$U$7=TRUE)),VLOOKUP($E787,'Status Thresholds'!$E:$AR,37,FALSE),IF((AND($U$4=FALSE,$U$5=TRUE,$U$6=FALSE,$U$7=TRUE)),VLOOKUP($E787,'Status Thresholds'!$E:$AR,27,FALSE)))))))))
))/
IF(OR($X$5=TRUE,$AC$3=TRUE
),($F$6/2), IF(OR($X$2,$X$3,$X$4,$X$6,$X$7,$X$8,$Z$2,$Z$3,$Z$4,$Z$5,$Z$6,$Z$7,$Z$8)=TRUE,$F$6)),0),"-")</f>
        <v>-</v>
      </c>
      <c r="G787" s="36" t="str">
        <f>IFERROR(
ROUNDUP(
IF(AND($U$5=FALSE,$U$4=FALSE),"-",IF(AND($U$5=TRUE,$U$4=TRUE),"-",
IF((AND($U$4=TRUE,$U$5=FALSE,$U$6=FALSE,$U$7=FALSE)),VLOOKUP($E787,'Status Thresholds'!$E:$AR,3,FALSE),IF((AND($U$4=TRUE,$U$5=FALSE,$U$6=TRUE,$U$7=FALSE)),VLOOKUP($E787,'Status Thresholds'!$E:$AR,13,FALSE),IF((AND($U$4=TRUE,$U$5=FALSE,$U$6=TRUE,$U$7=TRUE)),VLOOKUP($E787,'Status Thresholds'!$E:$AR,18,FALSE),IF((AND($U$4=TRUE,$U$5=FALSE,$U$6=FALSE,$U$7=TRUE)),VLOOKUP($E787,'Status Thresholds'!$E:$AR,8,FALSE),
IF((AND($U$4=FALSE,$U$5=TRUE,$U$6=FALSE,$U$7=FALSE)),VLOOKUP($E787,'Status Thresholds'!$E:$AR,23,FALSE),IF((AND($U$4=FALSE,$U$5=TRUE,$U$6=TRUE,$U$7=FALSE)),VLOOKUP($E787,'Status Thresholds'!$E:$AR,33,FALSE),IF((AND($U$4=FALSE,$U$5=TRUE,$U$6=TRUE,$U$7=TRUE)),VLOOKUP($E787,'Status Thresholds'!$E:$AR,38,FALSE),IF((AND($U$4=FALSE,$U$5=TRUE,$U$6=FALSE,$U$7=TRUE)),VLOOKUP($E787,'Status Thresholds'!$E:$AR,28,FALSE)))))))))
))/
IF(OR($X$5=TRUE,$AC$3=TRUE
),($F$6/2), IF(OR($X$2,$X$3,$X$4,$X$6,$X$7,$X$8,$Z$2,$Z$3,$Z$4,$Z$5,$Z$6,$Z$7,$Z$8)=TRUE,$F$6)),0),"-")</f>
        <v>-</v>
      </c>
      <c r="H787" s="36" t="str">
        <f>IFERROR(
ROUNDUP(
IF(AND($U$5=FALSE,$U$4=FALSE),"-",IF(AND($U$5=TRUE,$U$4=TRUE),"-",
IF((AND($U$4=TRUE,$U$5=FALSE,$U$6=FALSE,$U$7=FALSE)),VLOOKUP($E787,'Status Thresholds'!$E:$AR,4,FALSE),IF((AND($U$4=TRUE,$U$5=FALSE,$U$6=TRUE,$U$7=FALSE)),VLOOKUP($E787,'Status Thresholds'!$E:$AR,14,FALSE),IF((AND($U$4=TRUE,$U$5=FALSE,$U$6=TRUE,$U$7=TRUE)),VLOOKUP($E787,'Status Thresholds'!$E:$AR,19,FALSE),IF((AND($U$4=TRUE,$U$5=FALSE,$U$6=FALSE,$U$7=TRUE)),VLOOKUP($E787,'Status Thresholds'!$E:$AR,9,FALSE),
IF((AND($U$4=FALSE,$U$5=TRUE,$U$6=FALSE,$U$7=FALSE)),VLOOKUP($E787,'Status Thresholds'!$E:$AR,24,FALSE),IF((AND($U$4=FALSE,$U$5=TRUE,$U$6=TRUE,$U$7=FALSE)),VLOOKUP($E787,'Status Thresholds'!$E:$AR,34,FALSE),IF((AND($U$4=FALSE,$U$5=TRUE,$U$6=TRUE,$U$7=TRUE)),VLOOKUP($E787,'Status Thresholds'!$E:$AR,39,FALSE),IF((AND($U$4=FALSE,$U$5=TRUE,$U$6=FALSE,$U$7=TRUE)),VLOOKUP($E787,'Status Thresholds'!$E:$AR,29,FALSE)))))))))
))/
IF(OR($X$5=TRUE,$AC$3=TRUE
),($F$6/2), IF(OR($X$2,$X$3,$X$4,$X$6,$X$7,$X$8,$Z$2,$Z$3,$Z$4,$Z$5,$Z$6,$Z$7,$Z$8)=TRUE,$F$6)),0),"-")</f>
        <v>-</v>
      </c>
      <c r="I787" s="36" t="str">
        <f>IFERROR(
ROUNDUP(
IF(AND($U$5=FALSE,$U$4=FALSE),"-",IF(AND($U$5=TRUE,$U$4=TRUE),"-",
IF((AND($U$4=TRUE,$U$5=FALSE,$U$6=FALSE,$U$7=FALSE)),VLOOKUP($E787,'Status Thresholds'!$E:$AR,5,FALSE),IF((AND($U$4=TRUE,$U$5=FALSE,$U$6=TRUE,$U$7=FALSE)),VLOOKUP($E787,'Status Thresholds'!$E:$AR,15,FALSE),IF((AND($U$4=TRUE,$U$5=FALSE,$U$6=TRUE,$U$7=TRUE)),VLOOKUP($E787,'Status Thresholds'!$E:$AR,20,FALSE),IF((AND($U$4=TRUE,$U$5=FALSE,$U$6=FALSE,$U$7=TRUE)),VLOOKUP($E787,'Status Thresholds'!$E:$AR,10,FALSE),
IF((AND($U$4=FALSE,$U$5=TRUE,$U$6=FALSE,$U$7=FALSE)),VLOOKUP($E787,'Status Thresholds'!$E:$AR,25,FALSE),IF((AND($U$4=FALSE,$U$5=TRUE,$U$6=TRUE,$U$7=FALSE)),VLOOKUP($E787,'Status Thresholds'!$E:$AR,35,FALSE),IF((AND($U$4=FALSE,$U$5=TRUE,$U$6=TRUE,$U$7=TRUE)),VLOOKUP($E787,'Status Thresholds'!$E:$AR,40,FALSE),IF((AND($U$4=FALSE,$U$5=TRUE,$U$6=FALSE,$U$7=TRUE)),VLOOKUP($E787,'Status Thresholds'!$E:$AR,30,FALSE)))))))))
))/
IF(OR($X$5=TRUE,$AC$3=TRUE
),($F$6/2), IF(OR($X$2,$X$3,$X$4,$X$6,$X$7,$X$8,$Z$2,$Z$3,$Z$4,$Z$5,$Z$6,$Z$7,$Z$8)=TRUE,$F$6)),0),"-")</f>
        <v>-</v>
      </c>
      <c r="J787" s="46">
        <f>IFERROR(IF(AND($U$5=FALSE,$U$4=FALSE),"-",VLOOKUP($E787,'Status Thresholds'!$E:$AU,41,FALSE)),"-")</f>
        <v>0</v>
      </c>
      <c r="K787" s="46" t="str">
        <f>IFERROR(IF(AND($U$5=FALSE,$U$4=FALSE),"-",VLOOKUP($E787,'Status Thresholds'!$E:$AU,42,FALSE)),"-")</f>
        <v>-</v>
      </c>
      <c r="L787" s="46" t="str">
        <f>IFERROR(IF(AND($U$5=FALSE,$U$4=FALSE),"-",VLOOKUP($E787,'Status Thresholds'!$E:$AU,43,FALSE)),"-")</f>
        <v>-</v>
      </c>
    </row>
    <row r="788" spans="1:12" x14ac:dyDescent="0.25">
      <c r="A788" s="35"/>
      <c r="B788" s="64" t="str">
        <f>VLOOKUP(C788,'Status Thresholds'!B:C,2,FALSE)</f>
        <v>MHGU</v>
      </c>
      <c r="C788" s="64" t="str">
        <f>IF('Status Thresholds'!B783=0, "", 'Status Thresholds'!B783)</f>
        <v>Valtrax</v>
      </c>
      <c r="D788" s="30" t="s">
        <v>35</v>
      </c>
      <c r="E788" s="36" t="str">
        <f t="shared" si="11"/>
        <v>ValtraxBlast</v>
      </c>
      <c r="F788" s="36" t="str">
        <f>IFERROR(
ROUNDUP(
IF(AND($U$5=FALSE,$U$4=FALSE),"-",IF(AND($U$5=TRUE,$U$4=TRUE),"-",
IF((AND($U$4=TRUE,$U$5=FALSE,$U$6=FALSE,$U$7=FALSE)),VLOOKUP($E788,'Status Thresholds'!$E:$AR,2,FALSE),IF((AND($U$4=TRUE,$U$5=FALSE,$U$6=TRUE,$U$7=FALSE)),VLOOKUP($E788,'Status Thresholds'!$E:$AR,12,FALSE),IF((AND($U$4=TRUE,$U$5=FALSE,$U$6=TRUE,$U$7=TRUE)),VLOOKUP($E788,'Status Thresholds'!$E:$AR,17,FALSE),IF((AND($U$4=TRUE,$U$5=FALSE,$U$6=FALSE,$U$7=TRUE)),VLOOKUP($E788,'Status Thresholds'!$E:$AR,7,FALSE),
IF((AND($U$4=FALSE,$U$5=TRUE,$U$6=FALSE,$U$7=FALSE)),VLOOKUP($E788,'Status Thresholds'!$E:$AR,22,FALSE),IF((AND($U$4=FALSE,$U$5=TRUE,$U$6=TRUE,$U$7=FALSE)),VLOOKUP($E788,'Status Thresholds'!$E:$AR,32,FALSE),IF((AND($U$4=FALSE,$U$5=TRUE,$U$6=TRUE,$U$7=TRUE)),VLOOKUP($E788,'Status Thresholds'!$E:$AR,37,FALSE),IF((AND($U$4=FALSE,$U$5=TRUE,$U$6=FALSE,$U$7=TRUE)),VLOOKUP($E788,'Status Thresholds'!$E:$AR,27,FALSE)))))))))
))/
IF(OR($X$5=TRUE,$AC$3=TRUE
),($F$7/2), IF(OR($X$2,$X$3,$X$4,$X$6,$X$7,$X$8,$Z$2,$Z$3,$Z$4,$Z$5,$Z$6,$Z$7,$Z$8)=TRUE,$F$7)),0),"-")</f>
        <v>-</v>
      </c>
      <c r="G788" s="36" t="str">
        <f>IFERROR(
ROUNDUP(
IF(AND($U$5=FALSE,$U$4=FALSE),"-",IF(AND($U$5=TRUE,$U$4=TRUE),"-",
IF((AND($U$4=TRUE,$U$5=FALSE,$U$6=FALSE,$U$7=FALSE)),VLOOKUP($E788,'Status Thresholds'!$E:$AR,3,FALSE),IF((AND($U$4=TRUE,$U$5=FALSE,$U$6=TRUE,$U$7=FALSE)),VLOOKUP($E788,'Status Thresholds'!$E:$AR,13,FALSE),IF((AND($U$4=TRUE,$U$5=FALSE,$U$6=TRUE,$U$7=TRUE)),VLOOKUP($E788,'Status Thresholds'!$E:$AR,18,FALSE),IF((AND($U$4=TRUE,$U$5=FALSE,$U$6=FALSE,$U$7=TRUE)),VLOOKUP($E788,'Status Thresholds'!$E:$AR,8,FALSE),
IF((AND($U$4=FALSE,$U$5=TRUE,$U$6=FALSE,$U$7=FALSE)),VLOOKUP($E788,'Status Thresholds'!$E:$AR,23,FALSE),IF((AND($U$4=FALSE,$U$5=TRUE,$U$6=TRUE,$U$7=FALSE)),VLOOKUP($E788,'Status Thresholds'!$E:$AR,33,FALSE),IF((AND($U$4=FALSE,$U$5=TRUE,$U$6=TRUE,$U$7=TRUE)),VLOOKUP($E788,'Status Thresholds'!$E:$AR,38,FALSE),IF((AND($U$4=FALSE,$U$5=TRUE,$U$6=FALSE,$U$7=TRUE)),VLOOKUP($E788,'Status Thresholds'!$E:$AR,28,FALSE)))))))))
))/
IF(OR($X$5=TRUE,$AC$3=TRUE
),($F$7/2), IF(OR($X$2,$X$3,$X$4,$X$6,$X$7,$X$8,$Z$2,$Z$3,$Z$4,$Z$5,$Z$6,$Z$7,$Z$8)=TRUE,$F$7)),0),"-")</f>
        <v>-</v>
      </c>
      <c r="H788" s="36" t="str">
        <f>IFERROR(
ROUNDUP(
IF(AND($U$5=FALSE,$U$4=FALSE),"-",IF(AND($U$5=TRUE,$U$4=TRUE),"-",
IF((AND($U$4=TRUE,$U$5=FALSE,$U$6=FALSE,$U$7=FALSE)),VLOOKUP($E788,'Status Thresholds'!$E:$AR,4,FALSE),IF((AND($U$4=TRUE,$U$5=FALSE,$U$6=TRUE,$U$7=FALSE)),VLOOKUP($E788,'Status Thresholds'!$E:$AR,14,FALSE),IF((AND($U$4=TRUE,$U$5=FALSE,$U$6=TRUE,$U$7=TRUE)),VLOOKUP($E788,'Status Thresholds'!$E:$AR,19,FALSE),IF((AND($U$4=TRUE,$U$5=FALSE,$U$6=FALSE,$U$7=TRUE)),VLOOKUP($E788,'Status Thresholds'!$E:$AR,9,FALSE),
IF((AND($U$4=FALSE,$U$5=TRUE,$U$6=FALSE,$U$7=FALSE)),VLOOKUP($E788,'Status Thresholds'!$E:$AR,24,FALSE),IF((AND($U$4=FALSE,$U$5=TRUE,$U$6=TRUE,$U$7=FALSE)),VLOOKUP($E788,'Status Thresholds'!$E:$AR,34,FALSE),IF((AND($U$4=FALSE,$U$5=TRUE,$U$6=TRUE,$U$7=TRUE)),VLOOKUP($E788,'Status Thresholds'!$E:$AR,39,FALSE),IF((AND($U$4=FALSE,$U$5=TRUE,$U$6=FALSE,$U$7=TRUE)),VLOOKUP($E788,'Status Thresholds'!$E:$AR,29,FALSE)))))))))
))/
IF(OR($X$5=TRUE,$AC$3=TRUE
),($F$7/2), IF(OR($X$2,$X$3,$X$4,$X$6,$X$7,$X$8,$Z$2,$Z$3,$Z$4,$Z$5,$Z$6,$Z$7,$Z$8)=TRUE,$F$7)),0),"-")</f>
        <v>-</v>
      </c>
      <c r="I788" s="36" t="str">
        <f>IFERROR(
ROUNDUP(
IF(AND($U$5=FALSE,$U$4=FALSE),"-",IF(AND($U$5=TRUE,$U$4=TRUE),"-",
IF((AND($U$4=TRUE,$U$5=FALSE,$U$6=FALSE,$U$7=FALSE)),VLOOKUP($E788,'Status Thresholds'!$E:$AR,5,FALSE),IF((AND($U$4=TRUE,$U$5=FALSE,$U$6=TRUE,$U$7=FALSE)),VLOOKUP($E788,'Status Thresholds'!$E:$AR,15,FALSE),IF((AND($U$4=TRUE,$U$5=FALSE,$U$6=TRUE,$U$7=TRUE)),VLOOKUP($E788,'Status Thresholds'!$E:$AR,20,FALSE),IF((AND($U$4=TRUE,$U$5=FALSE,$U$6=FALSE,$U$7=TRUE)),VLOOKUP($E788,'Status Thresholds'!$E:$AR,10,FALSE),
IF((AND($U$4=FALSE,$U$5=TRUE,$U$6=FALSE,$U$7=FALSE)),VLOOKUP($E788,'Status Thresholds'!$E:$AR,25,FALSE),IF((AND($U$4=FALSE,$U$5=TRUE,$U$6=TRUE,$U$7=FALSE)),VLOOKUP($E788,'Status Thresholds'!$E:$AR,35,FALSE),IF((AND($U$4=FALSE,$U$5=TRUE,$U$6=TRUE,$U$7=TRUE)),VLOOKUP($E788,'Status Thresholds'!$E:$AR,40,FALSE),IF((AND($U$4=FALSE,$U$5=TRUE,$U$6=FALSE,$U$7=TRUE)),VLOOKUP($E788,'Status Thresholds'!$E:$AR,30,FALSE)))))))))
))/
IF(OR($X$5=TRUE,$AC$3=TRUE
),($F$7/2), IF(OR($X$2,$X$3,$X$4,$X$6,$X$7,$X$8,$Z$2,$Z$3,$Z$4,$Z$5,$Z$6,$Z$7,$Z$8)=TRUE,$F$7)),0),"-")</f>
        <v>-</v>
      </c>
      <c r="J788" s="46">
        <f>IFERROR(IF(AND($U$5=FALSE,$U$4=FALSE),"-",VLOOKUP($E788,'Status Thresholds'!$E:$AU,41,FALSE)),"-")</f>
        <v>0</v>
      </c>
      <c r="K788" s="46" t="str">
        <f>IFERROR(IF(AND($U$5=FALSE,$U$4=FALSE),"-",VLOOKUP($E788,'Status Thresholds'!$E:$AU,42,FALSE)),"-")</f>
        <v>-</v>
      </c>
      <c r="L788" s="46" t="str">
        <f>IFERROR(IF(AND($U$5=FALSE,$U$4=FALSE),"-",VLOOKUP($E788,'Status Thresholds'!$E:$AU,43,FALSE)),"-")</f>
        <v>-</v>
      </c>
    </row>
    <row r="789" spans="1:12" ht="14.45" customHeight="1" x14ac:dyDescent="0.25">
      <c r="A789" s="35"/>
      <c r="B789" s="64" t="str">
        <f>VLOOKUP(C789,'Status Thresholds'!B:C,2,FALSE)</f>
        <v>MHGU</v>
      </c>
      <c r="C789" s="64" t="str">
        <f>IF('Status Thresholds'!B784=0, "", 'Status Thresholds'!B784)</f>
        <v>Valtrax</v>
      </c>
      <c r="D789" s="34" t="s">
        <v>14</v>
      </c>
      <c r="E789" s="36" t="str">
        <f t="shared" si="11"/>
        <v>ValtraxKO</v>
      </c>
      <c r="F789" s="36" t="s">
        <v>214</v>
      </c>
      <c r="G789" s="36" t="s">
        <v>214</v>
      </c>
      <c r="H789" s="36" t="s">
        <v>214</v>
      </c>
      <c r="I789" s="36" t="s">
        <v>214</v>
      </c>
      <c r="J789" s="46">
        <f>IFERROR(IF(AND($U$5=FALSE,$U$4=FALSE),"-",VLOOKUP($E789,'Status Thresholds'!$E:$AU,41,FALSE)),"-")</f>
        <v>10</v>
      </c>
      <c r="K789" s="46" t="str">
        <f>IFERROR(IF(AND($U$5=FALSE,$U$4=FALSE),"-",VLOOKUP($E789,'Status Thresholds'!$E:$AU,42,FALSE)),"-")</f>
        <v>-</v>
      </c>
      <c r="L789" s="46" t="str">
        <f>IFERROR(IF(AND($U$5=FALSE,$U$4=FALSE),"-",VLOOKUP($E789,'Status Thresholds'!$E:$AU,43,FALSE)),"-")</f>
        <v>-</v>
      </c>
    </row>
    <row r="790" spans="1:12" x14ac:dyDescent="0.25">
      <c r="A790" s="35"/>
      <c r="B790" s="64" t="str">
        <f>VLOOKUP(C790,'Status Thresholds'!B:C,2,FALSE)</f>
        <v>MHGU</v>
      </c>
      <c r="C790" s="64" t="str">
        <f>IF('Status Thresholds'!B785=0, "", 'Status Thresholds'!B785)</f>
        <v>Valtrax</v>
      </c>
      <c r="D790" s="33" t="s">
        <v>34</v>
      </c>
      <c r="E790" s="36" t="str">
        <f t="shared" si="11"/>
        <v>ValtraxMount</v>
      </c>
      <c r="F790" s="36" t="str">
        <f>IFERROR(
ROUNDUP(
IF(AND($U$5=FALSE,$U$4=FALSE),"-",IF(AND($U$5=TRUE,$U$4=TRUE),"-",
IF((AND($U$4=TRUE,$U$5=FALSE,$U$6=FALSE,$U$7=FALSE)),VLOOKUP($E790,'Status Thresholds'!$E:$AR,2,FALSE),IF((AND($U$4=TRUE,$U$5=FALSE,$U$6=TRUE,$U$7=FALSE)),VLOOKUP($E790,'Status Thresholds'!$E:$AR,12,FALSE),IF((AND($U$4=TRUE,$U$5=FALSE,$U$6=TRUE,$U$7=TRUE)),VLOOKUP($E790,'Status Thresholds'!$E:$AR,17,FALSE),IF((AND($U$4=TRUE,$U$5=FALSE,$U$6=FALSE,$U$7=TRUE)),VLOOKUP($E790,'Status Thresholds'!$E:$AR,7,FALSE),
IF((AND($U$4=FALSE,$U$5=TRUE,$U$6=FALSE,$U$7=FALSE)),VLOOKUP($E790,'Status Thresholds'!$E:$AR,22,FALSE),IF((AND($U$4=FALSE,$U$5=TRUE,$U$6=TRUE,$U$7=FALSE)),VLOOKUP($E790,'Status Thresholds'!$E:$AR,32,FALSE),IF((AND($U$4=FALSE,$U$5=TRUE,$U$6=TRUE,$U$7=TRUE)),VLOOKUP($E790,'Status Thresholds'!$E:$AR,37,FALSE),IF((AND($U$4=FALSE,$U$5=TRUE,$U$6=FALSE,$U$7=TRUE)),VLOOKUP($E790,'Status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790" s="36" t="str">
        <f>IFERROR(
ROUNDUP(
IF(AND($U$5=FALSE,$U$4=FALSE),"-",IF(AND($U$5=TRUE,$U$4=TRUE),"-",
IF((AND($U$4=TRUE,$U$5=FALSE,$U$6=FALSE,$U$7=FALSE)),VLOOKUP($E789,'Status Thresholds'!$E:$AR,3,FALSE),IF((AND($U$4=TRUE,$U$5=FALSE,$U$6=TRUE,$U$7=FALSE)),VLOOKUP($E789,'Status Thresholds'!$E:$AR,13,FALSE),IF((AND($U$4=TRUE,$U$5=FALSE,$U$6=TRUE,$U$7=TRUE)),VLOOKUP($E789,'Status Thresholds'!$E:$AR,18,FALSE),IF((AND($U$4=TRUE,$U$5=FALSE,$U$6=FALSE,$U$7=TRUE)),VLOOKUP($E789,'Status Thresholds'!$E:$AR,8,FALSE),
IF((AND($U$4=FALSE,$U$5=TRUE,$U$6=FALSE,$U$7=FALSE)),VLOOKUP($E789,'Status Thresholds'!$E:$AR,23,FALSE),IF((AND($U$4=FALSE,$U$5=TRUE,$U$6=TRUE,$U$7=FALSE)),VLOOKUP($E789,'Status Thresholds'!$E:$AR,33,FALSE),IF((AND($U$4=FALSE,$U$5=TRUE,$U$6=TRUE,$U$7=TRUE)),VLOOKUP($E789,'Status Thresholds'!$E:$AR,38,FALSE),IF((AND($U$4=FALSE,$U$5=TRUE,$U$6=FALSE,$U$7=TRUE)),VLOOKUP($E789,'Status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790" s="36" t="str">
        <f>IFERROR(
ROUNDUP(
IF(AND($U$5=FALSE,$U$4=FALSE),"-",IF(AND($U$5=TRUE,$U$4=TRUE),"-",
IF((AND($U$4=TRUE,$U$5=FALSE,$U$6=FALSE,$U$7=FALSE)),VLOOKUP($E789,'Status Thresholds'!$E:$AR,4,FALSE),IF((AND($U$4=TRUE,$U$5=FALSE,$U$6=TRUE,$U$7=FALSE)),VLOOKUP($E789,'Status Thresholds'!$E:$AR,14,FALSE),IF((AND($U$4=TRUE,$U$5=FALSE,$U$6=TRUE,$U$7=TRUE)),VLOOKUP($E789,'Status Thresholds'!$E:$AR,19,FALSE),IF((AND($U$4=TRUE,$U$5=FALSE,$U$6=FALSE,$U$7=TRUE)),VLOOKUP($E789,'Status Thresholds'!$E:$AR,9,FALSE),
IF((AND($U$4=FALSE,$U$5=TRUE,$U$6=FALSE,$U$7=FALSE)),VLOOKUP($E789,'Status Thresholds'!$E:$AR,24,FALSE),IF((AND($U$4=FALSE,$U$5=TRUE,$U$6=TRUE,$U$7=FALSE)),VLOOKUP($E789,'Status Thresholds'!$E:$AR,34,FALSE),IF((AND($U$4=FALSE,$U$5=TRUE,$U$6=TRUE,$U$7=TRUE)),VLOOKUP($E789,'Status Thresholds'!$E:$AR,39,FALSE),IF((AND($U$4=FALSE,$U$5=TRUE,$U$6=FALSE,$U$7=TRUE)),VLOOKUP($E789,'Status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790" s="36" t="str">
        <f>IFERROR(
ROUNDUP(
IF(AND($U$5=FALSE,$U$4=FALSE),"-",IF(AND($U$5=TRUE,$U$4=TRUE),"-",
IF((AND($U$4=TRUE,$U$5=FALSE,$U$6=FALSE,$U$7=FALSE)),VLOOKUP($E789,'Status Thresholds'!$E:$AR,5,FALSE),IF((AND($U$4=TRUE,$U$5=FALSE,$U$6=TRUE,$U$7=FALSE)),VLOOKUP($E789,'Status Thresholds'!$E:$AR,15,FALSE),IF((AND($U$4=TRUE,$U$5=FALSE,$U$6=TRUE,$U$7=TRUE)),VLOOKUP($E789,'Status Thresholds'!$E:$AR,20,FALSE),IF((AND($U$4=TRUE,$U$5=FALSE,$U$6=FALSE,$U$7=TRUE)),VLOOKUP($E789,'Status Thresholds'!$E:$AR,10,FALSE),
IF((AND($U$4=FALSE,$U$5=TRUE,$U$6=FALSE,$U$7=FALSE)),VLOOKUP($E789,'Status Thresholds'!$E:$AR,25,FALSE),IF((AND($U$4=FALSE,$U$5=TRUE,$U$6=TRUE,$U$7=FALSE)),VLOOKUP($E789,'Status Thresholds'!$E:$AR,35,FALSE),IF((AND($U$4=FALSE,$U$5=TRUE,$U$6=TRUE,$U$7=TRUE)),VLOOKUP($E789,'Status Thresholds'!$E:$AR,40,FALSE),IF((AND($U$4=FALSE,$U$5=TRUE,$U$6=FALSE,$U$7=TRUE)),VLOOKUP($E789,'Status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790" s="46">
        <f>IFERROR(IF(AND($U$5=FALSE,$U$4=FALSE),"-",VLOOKUP($E790,'Status Thresholds'!$E:$AU,41,FALSE)),"-")</f>
        <v>0</v>
      </c>
      <c r="K790" s="46" t="str">
        <f>IFERROR(IF(AND($U$5=FALSE,$U$4=FALSE),"-",VLOOKUP($E790,'Status Thresholds'!$E:$AU,42,FALSE)),"-")</f>
        <v>-</v>
      </c>
      <c r="L790" s="46" t="str">
        <f>IFERROR(IF(AND($U$5=FALSE,$U$4=FALSE),"-",VLOOKUP($E790,'Status Thresholds'!$E:$AU,43,FALSE)),"-")</f>
        <v>-</v>
      </c>
    </row>
    <row r="791" spans="1:12" ht="15" customHeight="1" x14ac:dyDescent="0.25">
      <c r="A791" s="35"/>
      <c r="B791" s="64" t="str">
        <f>VLOOKUP(C791,'Status Thresholds'!B:C,2,FALSE)</f>
        <v>MHGU</v>
      </c>
      <c r="C791" s="64" t="str">
        <f>IF('Status Thresholds'!B786=0, "", 'Status Thresholds'!B786)</f>
        <v>Valtrax</v>
      </c>
      <c r="D791" s="77" t="s">
        <v>207</v>
      </c>
      <c r="E791" s="36" t="str">
        <f t="shared" si="11"/>
        <v>ValtraxShock Trap</v>
      </c>
      <c r="F791" s="76" t="s">
        <v>214</v>
      </c>
      <c r="G791" s="46" t="s">
        <v>214</v>
      </c>
      <c r="H791" s="46" t="s">
        <v>214</v>
      </c>
      <c r="I791" s="46" t="s">
        <v>214</v>
      </c>
      <c r="J791" s="46">
        <f>IFERROR(IF(AND($U$5=FALSE,$U$4=FALSE),"-",VLOOKUP($E791,'Status Thresholds'!$E:$AU,43,FALSE)),"-")</f>
        <v>0</v>
      </c>
      <c r="K791" s="46">
        <f>IFERROR(IF(AND($U$5=FALSE,$U$4=FALSE),"-",VLOOKUP($E791,'Status Thresholds'!$E:$AU,41,FALSE)),"-")</f>
        <v>0</v>
      </c>
      <c r="L791" s="46">
        <f>IFERROR(IF(AND($U$5=FALSE,$U$4=FALSE),"-",VLOOKUP($E791,'Status Thresholds'!$E:$AU,42,FALSE)),"-")</f>
        <v>0</v>
      </c>
    </row>
    <row r="792" spans="1:12" x14ac:dyDescent="0.25">
      <c r="A792" s="35"/>
      <c r="B792" s="64" t="str">
        <f>VLOOKUP(C792,'Status Thresholds'!B:C,2,FALSE)</f>
        <v>MHGU</v>
      </c>
      <c r="C792" s="64" t="str">
        <f>IF('Status Thresholds'!B787=0, "", 'Status Thresholds'!B787)</f>
        <v>Valtrax</v>
      </c>
      <c r="D792" s="77" t="s">
        <v>213</v>
      </c>
      <c r="E792" s="36" t="str">
        <f t="shared" si="11"/>
        <v>ValtraxPitfall Trap</v>
      </c>
      <c r="F792" s="46" t="s">
        <v>214</v>
      </c>
      <c r="G792" s="46" t="s">
        <v>214</v>
      </c>
      <c r="H792" s="46" t="s">
        <v>214</v>
      </c>
      <c r="I792" s="46" t="s">
        <v>214</v>
      </c>
      <c r="J792" s="46">
        <f>IFERROR(IF(AND($U$5=FALSE,$U$4=FALSE),"-",VLOOKUP($E792,'Status Thresholds'!$E:$AU,43,FALSE)),"-")</f>
        <v>0</v>
      </c>
      <c r="K792" s="46">
        <f>IFERROR(IF(AND($U$5=FALSE,$U$4=FALSE),"-",VLOOKUP($E792,'Status Thresholds'!$E:$AU,41,FALSE)),"-")</f>
        <v>0</v>
      </c>
      <c r="L792" s="46">
        <f>IFERROR(IF(AND($U$5=FALSE,$U$4=FALSE),"-",VLOOKUP($E792,'Status Thresholds'!$E:$AU,42,FALSE)),"-")</f>
        <v>0</v>
      </c>
    </row>
    <row r="793" spans="1:12" s="36" customFormat="1" hidden="1" x14ac:dyDescent="0.25">
      <c r="A793" s="64"/>
      <c r="B793" s="64" t="str">
        <f>IF('Status Thresholds'!A788=0, "", 'Status Thresholds'!A788)</f>
        <v>Deviant</v>
      </c>
      <c r="C793" s="64" t="str">
        <f>IF('Status Thresholds'!B788=0, "", 'Status Thresholds'!B788)</f>
        <v>Velocidrome</v>
      </c>
      <c r="D793" s="37" t="s">
        <v>0</v>
      </c>
      <c r="E793" s="36" t="str">
        <f t="shared" si="11"/>
        <v>VelocidromePara</v>
      </c>
      <c r="F793" s="36" t="s">
        <v>214</v>
      </c>
      <c r="G793" s="36" t="s">
        <v>214</v>
      </c>
      <c r="H793" s="36" t="s">
        <v>214</v>
      </c>
      <c r="I793" s="36" t="s">
        <v>214</v>
      </c>
      <c r="J793" s="36">
        <f>IFERROR(IF(AND($U$5=FALSE,$U$4=FALSE),"-",VLOOKUP($E793,'Status Thresholds'!$E:$AU,41,FALSE)),"-")</f>
        <v>10</v>
      </c>
      <c r="K793" s="36" t="str">
        <f>IFERROR(IF(AND($U$5=FALSE,$U$4=FALSE),"-",VLOOKUP($E793,'Status Thresholds'!$E:$AU,42,FALSE)),"-")</f>
        <v>-</v>
      </c>
      <c r="L793" s="36" t="str">
        <f>IFERROR(IF(AND($U$5=FALSE,$U$4=FALSE),"-",VLOOKUP($E793,'Status Thresholds'!$E:$AU,43,FALSE)),"-")</f>
        <v>-</v>
      </c>
    </row>
    <row r="794" spans="1:12" hidden="1" x14ac:dyDescent="0.25">
      <c r="A794" s="35"/>
      <c r="B794" s="64" t="str">
        <f>IF('Status Thresholds'!A789=0, "", 'Status Thresholds'!A789)</f>
        <v>Deviant</v>
      </c>
      <c r="C794" s="64" t="str">
        <f>IF('Status Thresholds'!B789=0, "", 'Status Thresholds'!B789)</f>
        <v>Velocidrome</v>
      </c>
      <c r="D794" s="31" t="s">
        <v>32</v>
      </c>
      <c r="E794" s="36" t="str">
        <f t="shared" si="11"/>
        <v>VelocidromeSleep</v>
      </c>
      <c r="F794" s="36" t="s">
        <v>214</v>
      </c>
      <c r="G794" s="36" t="s">
        <v>214</v>
      </c>
      <c r="H794" s="36" t="s">
        <v>214</v>
      </c>
      <c r="I794" s="36" t="s">
        <v>214</v>
      </c>
      <c r="J794" s="46">
        <f>IFERROR(IF(AND($U$5=FALSE,$U$4=FALSE),"-",VLOOKUP($E794,'Status Thresholds'!$E:$AU,41,FALSE)),"-")</f>
        <v>40</v>
      </c>
      <c r="K794" s="46" t="str">
        <f>IFERROR(IF(AND($U$5=FALSE,$U$4=FALSE),"-",VLOOKUP($E794,'Status Thresholds'!$E:$AU,42,FALSE)),"-")</f>
        <v>-</v>
      </c>
      <c r="L794" s="46" t="str">
        <f>IFERROR(IF(AND($U$5=FALSE,$U$4=FALSE),"-",VLOOKUP($E794,'Status Thresholds'!$E:$AU,43,FALSE)),"-")</f>
        <v>-</v>
      </c>
    </row>
    <row r="795" spans="1:12" hidden="1" x14ac:dyDescent="0.25">
      <c r="A795" s="35"/>
      <c r="B795" s="64" t="str">
        <f>IF('Status Thresholds'!A790=0, "", 'Status Thresholds'!A790)</f>
        <v>Deviant</v>
      </c>
      <c r="C795" s="64" t="str">
        <f>IF('Status Thresholds'!B790=0, "", 'Status Thresholds'!B790)</f>
        <v>Velocidrome</v>
      </c>
      <c r="D795" s="32" t="s">
        <v>33</v>
      </c>
      <c r="E795" s="36" t="str">
        <f t="shared" si="11"/>
        <v>VelocidromePoison</v>
      </c>
      <c r="F795" s="36" t="s">
        <v>214</v>
      </c>
      <c r="G795" s="36" t="s">
        <v>214</v>
      </c>
      <c r="H795" s="36" t="s">
        <v>214</v>
      </c>
      <c r="I795" s="36" t="s">
        <v>214</v>
      </c>
      <c r="J795" s="46">
        <f>IFERROR(IF(AND($U$5=FALSE,$U$4=FALSE),"-",VLOOKUP($E795,'Status Thresholds'!$E:$AU,41,FALSE)),"-")</f>
        <v>30</v>
      </c>
      <c r="K795" s="46" t="str">
        <f>IFERROR(IF(AND($U$5=FALSE,$U$4=FALSE),"-",VLOOKUP($E795,'Status Thresholds'!$E:$AU,42,FALSE)),"-")</f>
        <v>-</v>
      </c>
      <c r="L795" s="46" t="str">
        <f>IFERROR(IF(AND($U$5=FALSE,$U$4=FALSE),"-",VLOOKUP($E795,'Status Thresholds'!$E:$AU,43,FALSE)),"-")</f>
        <v>-</v>
      </c>
    </row>
    <row r="796" spans="1:12" hidden="1" x14ac:dyDescent="0.25">
      <c r="A796" s="35"/>
      <c r="B796" s="64" t="str">
        <f>IF('Status Thresholds'!A791=0, "", 'Status Thresholds'!A791)</f>
        <v>Deviant</v>
      </c>
      <c r="C796" s="64" t="str">
        <f>IF('Status Thresholds'!B791=0, "", 'Status Thresholds'!B791)</f>
        <v>Velocidrome</v>
      </c>
      <c r="D796" s="10" t="s">
        <v>22</v>
      </c>
      <c r="E796" s="36" t="str">
        <f t="shared" ref="E796:E846" si="12">$C796&amp;$D796</f>
        <v>VelocidromeExhaust</v>
      </c>
      <c r="F796" s="36" t="s">
        <v>214</v>
      </c>
      <c r="G796" s="36" t="s">
        <v>214</v>
      </c>
      <c r="H796" s="36" t="s">
        <v>214</v>
      </c>
      <c r="I796" s="36" t="s">
        <v>214</v>
      </c>
      <c r="J796" s="46">
        <f>IFERROR(IF(AND($U$5=FALSE,$U$4=FALSE),"-",VLOOKUP($E796,'Status Thresholds'!$E:$AU,41,FALSE)),"-")</f>
        <v>0</v>
      </c>
      <c r="K796" s="46" t="str">
        <f>IFERROR(IF(AND($U$5=FALSE,$U$4=FALSE),"-",VLOOKUP($E796,'Status Thresholds'!$E:$AU,42,FALSE)),"-")</f>
        <v>-</v>
      </c>
      <c r="L796" s="46" t="str">
        <f>IFERROR(IF(AND($U$5=FALSE,$U$4=FALSE),"-",VLOOKUP($E796,'Status Thresholds'!$E:$AU,43,FALSE)),"-")</f>
        <v>-</v>
      </c>
    </row>
    <row r="797" spans="1:12" hidden="1" x14ac:dyDescent="0.25">
      <c r="A797" s="35"/>
      <c r="B797" s="64" t="str">
        <f>IF('Status Thresholds'!A792=0, "", 'Status Thresholds'!A792)</f>
        <v>Deviant</v>
      </c>
      <c r="C797" s="64" t="str">
        <f>IF('Status Thresholds'!B792=0, "", 'Status Thresholds'!B792)</f>
        <v>Velocidrome</v>
      </c>
      <c r="D797" s="30" t="s">
        <v>35</v>
      </c>
      <c r="E797" s="36" t="str">
        <f t="shared" si="12"/>
        <v>VelocidromeBlast</v>
      </c>
      <c r="F797" s="36" t="s">
        <v>214</v>
      </c>
      <c r="G797" s="36" t="s">
        <v>214</v>
      </c>
      <c r="H797" s="36" t="s">
        <v>214</v>
      </c>
      <c r="I797" s="36" t="s">
        <v>214</v>
      </c>
      <c r="J797" s="46">
        <f>IFERROR(IF(AND($U$5=FALSE,$U$4=FALSE),"-",VLOOKUP($E797,'Status Thresholds'!$E:$AU,41,FALSE)),"-")</f>
        <v>0</v>
      </c>
      <c r="K797" s="46" t="str">
        <f>IFERROR(IF(AND($U$5=FALSE,$U$4=FALSE),"-",VLOOKUP($E797,'Status Thresholds'!$E:$AU,42,FALSE)),"-")</f>
        <v>-</v>
      </c>
      <c r="L797" s="46" t="str">
        <f>IFERROR(IF(AND($U$5=FALSE,$U$4=FALSE),"-",VLOOKUP($E797,'Status Thresholds'!$E:$AU,43,FALSE)),"-")</f>
        <v>-</v>
      </c>
    </row>
    <row r="798" spans="1:12" ht="14.45" hidden="1" customHeight="1" x14ac:dyDescent="0.25">
      <c r="A798" s="35"/>
      <c r="B798" s="64" t="str">
        <f>IF('Status Thresholds'!A793=0, "", 'Status Thresholds'!A793)</f>
        <v>Deviant</v>
      </c>
      <c r="C798" s="64" t="str">
        <f>IF('Status Thresholds'!B793=0, "", 'Status Thresholds'!B793)</f>
        <v>Velocidrome</v>
      </c>
      <c r="D798" s="34" t="s">
        <v>14</v>
      </c>
      <c r="E798" s="36" t="str">
        <f t="shared" si="12"/>
        <v>VelocidromeKO</v>
      </c>
      <c r="F798" s="36" t="s">
        <v>214</v>
      </c>
      <c r="G798" s="36" t="s">
        <v>214</v>
      </c>
      <c r="H798" s="36" t="s">
        <v>214</v>
      </c>
      <c r="I798" s="36" t="s">
        <v>214</v>
      </c>
      <c r="J798" s="46">
        <f>IFERROR(IF(AND($U$5=FALSE,$U$4=FALSE),"-",VLOOKUP($E798,'Status Thresholds'!$E:$AU,41,FALSE)),"-")</f>
        <v>10</v>
      </c>
      <c r="K798" s="46" t="str">
        <f>IFERROR(IF(AND($U$5=FALSE,$U$4=FALSE),"-",VLOOKUP($E798,'Status Thresholds'!$E:$AU,42,FALSE)),"-")</f>
        <v>-</v>
      </c>
      <c r="L798" s="46" t="str">
        <f>IFERROR(IF(AND($U$5=FALSE,$U$4=FALSE),"-",VLOOKUP($E798,'Status Thresholds'!$E:$AU,43,FALSE)),"-")</f>
        <v>-</v>
      </c>
    </row>
    <row r="799" spans="1:12" hidden="1" x14ac:dyDescent="0.25">
      <c r="A799" s="35"/>
      <c r="B799" s="64" t="str">
        <f>IF('Status Thresholds'!A794=0, "", 'Status Thresholds'!A794)</f>
        <v>Deviant</v>
      </c>
      <c r="C799" s="64" t="str">
        <f>IF('Status Thresholds'!B794=0, "", 'Status Thresholds'!B794)</f>
        <v>Velocidrome</v>
      </c>
      <c r="D799" s="33" t="s">
        <v>34</v>
      </c>
      <c r="E799" s="36" t="str">
        <f t="shared" si="12"/>
        <v>VelocidromeMount</v>
      </c>
      <c r="F799" s="36">
        <v>5</v>
      </c>
      <c r="G799" s="36">
        <v>20</v>
      </c>
      <c r="H799" s="36">
        <v>29</v>
      </c>
      <c r="I799" s="36">
        <v>37</v>
      </c>
      <c r="J799" s="46">
        <f>IFERROR(IF(AND($U$5=FALSE,$U$4=FALSE),"-",VLOOKUP($E799,'Status Thresholds'!$E:$AU,41,FALSE)),"-")</f>
        <v>0</v>
      </c>
      <c r="K799" s="46" t="str">
        <f>IFERROR(IF(AND($U$5=FALSE,$U$4=FALSE),"-",VLOOKUP($E799,'Status Thresholds'!$E:$AU,42,FALSE)),"-")</f>
        <v>-</v>
      </c>
      <c r="L799" s="46" t="str">
        <f>IFERROR(IF(AND($U$5=FALSE,$U$4=FALSE),"-",VLOOKUP($E799,'Status Thresholds'!$E:$AU,43,FALSE)),"-")</f>
        <v>-</v>
      </c>
    </row>
    <row r="800" spans="1:12" ht="15" hidden="1" customHeight="1" x14ac:dyDescent="0.25">
      <c r="A800" s="35"/>
      <c r="B800" s="64" t="str">
        <f>IF('Status Thresholds'!A795=0, "", 'Status Thresholds'!A795)</f>
        <v>Deviant</v>
      </c>
      <c r="C800" s="64" t="str">
        <f>IF('Status Thresholds'!B795=0, "", 'Status Thresholds'!B795)</f>
        <v>Velocidrome</v>
      </c>
      <c r="D800" s="77" t="s">
        <v>207</v>
      </c>
      <c r="E800" s="36" t="str">
        <f t="shared" si="12"/>
        <v>VelocidromeShock Trap</v>
      </c>
      <c r="F800" s="76" t="s">
        <v>214</v>
      </c>
      <c r="G800" s="46" t="s">
        <v>214</v>
      </c>
      <c r="H800" s="46" t="s">
        <v>214</v>
      </c>
      <c r="I800" s="46" t="s">
        <v>214</v>
      </c>
      <c r="J800" s="46">
        <f>IFERROR(IF(AND($U$5=FALSE,$U$4=FALSE),"-",VLOOKUP($E800,'Status Thresholds'!$E:$AU,43,FALSE)),"-")</f>
        <v>15</v>
      </c>
      <c r="K800" s="46">
        <f>IFERROR(IF(AND($U$5=FALSE,$U$4=FALSE),"-",VLOOKUP($E800,'Status Thresholds'!$E:$AU,41,FALSE)),"-")</f>
        <v>15</v>
      </c>
      <c r="L800" s="46">
        <f>IFERROR(IF(AND($U$5=FALSE,$U$4=FALSE),"-",VLOOKUP($E800,'Status Thresholds'!$E:$AU,42,FALSE)),"-")</f>
        <v>18</v>
      </c>
    </row>
    <row r="801" spans="1:12" hidden="1" x14ac:dyDescent="0.25">
      <c r="A801" s="35"/>
      <c r="B801" s="64" t="str">
        <f>IF('Status Thresholds'!A796=0, "", 'Status Thresholds'!A796)</f>
        <v>Deviant</v>
      </c>
      <c r="C801" s="64" t="str">
        <f>IF('Status Thresholds'!B796=0, "", 'Status Thresholds'!B796)</f>
        <v>Velocidrome</v>
      </c>
      <c r="D801" s="77" t="s">
        <v>213</v>
      </c>
      <c r="E801" s="36" t="str">
        <f t="shared" si="12"/>
        <v>VelocidromePitfall Trap</v>
      </c>
      <c r="F801" s="46" t="s">
        <v>214</v>
      </c>
      <c r="G801" s="46" t="s">
        <v>214</v>
      </c>
      <c r="H801" s="46" t="s">
        <v>214</v>
      </c>
      <c r="I801" s="46" t="s">
        <v>214</v>
      </c>
      <c r="J801" s="46">
        <f>IFERROR(IF(AND($U$5=FALSE,$U$4=FALSE),"-",VLOOKUP($E801,'Status Thresholds'!$E:$AU,43,FALSE)),"-")</f>
        <v>18</v>
      </c>
      <c r="K801" s="46">
        <f>IFERROR(IF(AND($U$5=FALSE,$U$4=FALSE),"-",VLOOKUP($E801,'Status Thresholds'!$E:$AU,41,FALSE)),"-")</f>
        <v>15</v>
      </c>
      <c r="L801" s="46">
        <f>IFERROR(IF(AND($U$5=FALSE,$U$4=FALSE),"-",VLOOKUP($E801,'Status Thresholds'!$E:$AU,42,FALSE)),"-")</f>
        <v>25</v>
      </c>
    </row>
    <row r="802" spans="1:12" s="36" customFormat="1" x14ac:dyDescent="0.25">
      <c r="A802" s="64"/>
      <c r="B802" s="64" t="str">
        <f>VLOOKUP(C802,'Status Thresholds'!B:C,2,FALSE)</f>
        <v>MHGen</v>
      </c>
      <c r="C802" s="64" t="str">
        <f>IF('Status Thresholds'!B797=0, "", 'Status Thresholds'!B797)</f>
        <v>Volvidon</v>
      </c>
      <c r="D802" s="37" t="s">
        <v>0</v>
      </c>
      <c r="E802" s="36" t="str">
        <f t="shared" si="12"/>
        <v>VolvidonPara</v>
      </c>
      <c r="F802" s="36" t="str">
        <f>IFERROR(
ROUNDUP(
IF(AND($U$5=FALSE,$U$4=FALSE),"-",IF(AND($U$5=TRUE,$U$4=TRUE),"-",
IF((AND($U$4=TRUE,$U$5=FALSE,$U$6=FALSE,$U$7=FALSE)),VLOOKUP($E802,'Status Thresholds'!$E:$AR,2,FALSE),IF((AND($U$4=TRUE,$U$5=FALSE,$U$6=TRUE,$U$7=FALSE)),VLOOKUP($E802,'Status Thresholds'!$E:$AR,12,FALSE),IF((AND($U$4=TRUE,$U$5=FALSE,$U$6=TRUE,$U$7=TRUE)),VLOOKUP($E802,'Status Thresholds'!$E:$AR,17,FALSE),IF((AND($U$4=TRUE,$U$5=FALSE,$U$6=FALSE,$U$7=TRUE)),VLOOKUP($E802,'Status Thresholds'!$E:$AR,7,FALSE),
IF((AND($U$4=FALSE,$U$5=TRUE,$U$6=FALSE,$U$7=FALSE)),VLOOKUP($E802,'Status Thresholds'!$E:$AR,22,FALSE),IF((AND($U$4=FALSE,$U$5=TRUE,$U$6=TRUE,$U$7=FALSE)),VLOOKUP($E802,'Status Thresholds'!$E:$AR,32,FALSE),IF((AND($U$4=FALSE,$U$5=TRUE,$U$6=TRUE,$U$7=TRUE)),VLOOKUP($E802,'Status Thresholds'!$E:$AR,37,FALSE),IF((AND($U$4=FALSE,$U$5=TRUE,$U$6=FALSE,$U$7=TRUE)),VLOOKUP($E802,'Status Thresholds'!$E:$AR,27,FALSE)))))))))
))/
IF(OR($X$5=TRUE,$AC$3=TRUE
),($F$3/2), IF(OR($X$2,$X$3,$X$4,$X$6,$X$7,$X$8,$Z$2,$Z$3,$Z$4,$Z$5,$Z$6,$Z$7,$Z$8)=TRUE,$F$3)),0),"-")</f>
        <v>-</v>
      </c>
      <c r="G802" s="36" t="str">
        <f>IFERROR(
ROUNDUP(
IF(AND($U$5=FALSE,$U$4=FALSE),"-",IF(AND($U$5=TRUE,$U$4=TRUE),"-",
IF((AND($U$4=TRUE,$U$5=FALSE,$U$6=FALSE,$U$7=FALSE)),VLOOKUP($E802,'Status Thresholds'!$E:$AR,3,FALSE),IF((AND($U$4=TRUE,$U$5=FALSE,$U$6=TRUE,$U$7=FALSE)),VLOOKUP($E802,'Status Thresholds'!$E:$AR,13,FALSE),IF((AND($U$4=TRUE,$U$5=FALSE,$U$6=TRUE,$U$7=TRUE)),VLOOKUP($E802,'Status Thresholds'!$E:$AR,18,FALSE),IF((AND($U$4=TRUE,$U$5=FALSE,$U$6=FALSE,$U$7=TRUE)),VLOOKUP($E802,'Status Thresholds'!$E:$AR,8,FALSE),
IF((AND($U$4=FALSE,$U$5=TRUE,$U$6=FALSE,$U$7=FALSE)),VLOOKUP($E802,'Status Thresholds'!$E:$AR,23,FALSE),IF((AND($U$4=FALSE,$U$5=TRUE,$U$6=TRUE,$U$7=FALSE)),VLOOKUP($E802,'Status Thresholds'!$E:$AR,33,FALSE),IF((AND($U$4=FALSE,$U$5=TRUE,$U$6=TRUE,$U$7=TRUE)),VLOOKUP($E802,'Status Thresholds'!$E:$AR,38,FALSE),IF((AND($U$4=FALSE,$U$5=TRUE,$U$6=FALSE,$U$7=TRUE)),VLOOKUP($E802,'Status Thresholds'!$E:$AR,28,FALSE)))))))))
))/
IF(OR($X$5=TRUE,$AC$3=TRUE
),($F$3/2), IF(OR($X$2,$X$3,$X$4,$X$6,$X$7,$X$8,$Z$2,$Z$3,$Z$4,$Z$5,$Z$6,$Z$7,$Z$8)=TRUE,$F$3)),0),"-")</f>
        <v>-</v>
      </c>
      <c r="H802" s="36" t="str">
        <f>IFERROR(
ROUNDUP(
IF(AND($U$5=FALSE,$U$4=FALSE),"-",IF(AND($U$5=TRUE,$U$4=TRUE),"-",
IF((AND($U$4=TRUE,$U$5=FALSE,$U$6=FALSE,$U$7=FALSE)),VLOOKUP($E802,'Status Thresholds'!$E:$AR,4,FALSE),IF((AND($U$4=TRUE,$U$5=FALSE,$U$6=TRUE,$U$7=FALSE)),VLOOKUP($E802,'Status Thresholds'!$E:$AR,14,FALSE),IF((AND($U$4=TRUE,$U$5=FALSE,$U$6=TRUE,$U$7=TRUE)),VLOOKUP($E802,'Status Thresholds'!$E:$AR,19,FALSE),IF((AND($U$4=TRUE,$U$5=FALSE,$U$6=FALSE,$U$7=TRUE)),VLOOKUP($E802,'Status Thresholds'!$E:$AR,9,FALSE),
IF((AND($U$4=FALSE,$U$5=TRUE,$U$6=FALSE,$U$7=FALSE)),VLOOKUP($E802,'Status Thresholds'!$E:$AR,24,FALSE),IF((AND($U$4=FALSE,$U$5=TRUE,$U$6=TRUE,$U$7=FALSE)),VLOOKUP($E802,'Status Thresholds'!$E:$AR,34,FALSE),IF((AND($U$4=FALSE,$U$5=TRUE,$U$6=TRUE,$U$7=TRUE)),VLOOKUP($E802,'Status Thresholds'!$E:$AR,39,FALSE),IF((AND($U$4=FALSE,$U$5=TRUE,$U$6=FALSE,$U$7=TRUE)),VLOOKUP($E802,'Status Thresholds'!$E:$AR,29,FALSE)))))))))
))/
IF(OR($X$5=TRUE,$AC$3=TRUE
),($F$3/2), IF(OR($X$2,$X$3,$X$4,$X$6,$X$7,$X$8,$Z$2,$Z$3,$Z$4,$Z$5,$Z$6,$Z$7,$Z$8)=TRUE,$F$3)),0),"-")</f>
        <v>-</v>
      </c>
      <c r="I802" s="36" t="str">
        <f>IFERROR(
ROUNDUP(
IF(AND($U$5=FALSE,$U$4=FALSE),"-",IF(AND($U$5=TRUE,$U$4=TRUE),"-",
IF((AND($U$4=TRUE,$U$5=FALSE,$U$6=FALSE,$U$7=FALSE)),VLOOKUP($E802,'Status Thresholds'!$E:$AR,5,FALSE),IF((AND($U$4=TRUE,$U$5=FALSE,$U$6=TRUE,$U$7=FALSE)),VLOOKUP($E802,'Status Thresholds'!$E:$AR,15,FALSE),IF((AND($U$4=TRUE,$U$5=FALSE,$U$6=TRUE,$U$7=TRUE)),VLOOKUP($E802,'Status Thresholds'!$E:$AR,20,FALSE),IF((AND($U$4=TRUE,$U$5=FALSE,$U$6=FALSE,$U$7=TRUE)),VLOOKUP($E802,'Status Thresholds'!$E:$AR,10,FALSE),
IF((AND($U$4=FALSE,$U$5=TRUE,$U$6=FALSE,$U$7=FALSE)),VLOOKUP($E802,'Status Thresholds'!$E:$AR,25,FALSE),IF((AND($U$4=FALSE,$U$5=TRUE,$U$6=TRUE,$U$7=FALSE)),VLOOKUP($E802,'Status Thresholds'!$E:$AR,35,FALSE),IF((AND($U$4=FALSE,$U$5=TRUE,$U$6=TRUE,$U$7=TRUE)),VLOOKUP($E802,'Status Thresholds'!$E:$AR,40,FALSE),IF((AND($U$4=FALSE,$U$5=TRUE,$U$6=FALSE,$U$7=TRUE)),VLOOKUP($E802,'Status Thresholds'!$E:$AR,30,FALSE)))))))))
))/
IF(OR($X$5=TRUE,$AC$3=TRUE
),($F$3/2), IF(OR($X$2,$X$3,$X$4,$X$6,$X$7,$X$8,$Z$2,$Z$3,$Z$4,$Z$5,$Z$6,$Z$7,$Z$8)=TRUE,$F$3)),0),"-")</f>
        <v>-</v>
      </c>
      <c r="J802" s="36">
        <f>IFERROR(IF(AND($U$5=FALSE,$U$4=FALSE),"-",VLOOKUP($E802,'Status Thresholds'!$E:$AU,41,FALSE)),"-")</f>
        <v>10</v>
      </c>
      <c r="K802" s="36" t="str">
        <f>IFERROR(IF(AND($U$5=FALSE,$U$4=FALSE),"-",VLOOKUP($E802,'Status Thresholds'!$E:$AU,42,FALSE)),"-")</f>
        <v>-</v>
      </c>
      <c r="L802" s="36" t="str">
        <f>IFERROR(IF(AND($U$5=FALSE,$U$4=FALSE),"-",VLOOKUP($E802,'Status Thresholds'!$E:$AU,43,FALSE)),"-")</f>
        <v>-</v>
      </c>
    </row>
    <row r="803" spans="1:12" x14ac:dyDescent="0.25">
      <c r="A803" s="35"/>
      <c r="B803" s="64" t="str">
        <f>VLOOKUP(C803,'Status Thresholds'!B:C,2,FALSE)</f>
        <v>MHGen</v>
      </c>
      <c r="C803" s="64" t="str">
        <f>IF('Status Thresholds'!B798=0, "", 'Status Thresholds'!B798)</f>
        <v>Volvidon</v>
      </c>
      <c r="D803" s="31" t="s">
        <v>32</v>
      </c>
      <c r="E803" s="36" t="str">
        <f t="shared" si="12"/>
        <v>VolvidonSleep</v>
      </c>
      <c r="F803" s="36" t="str">
        <f>IFERROR(
ROUNDUP(
IF(AND($U$5=FALSE,$U$4=FALSE),"-",IF(AND($U$5=TRUE,$U$4=TRUE),"-",
IF((AND($U$4=TRUE,$U$5=FALSE,$U$6=FALSE,$U$7=FALSE)),VLOOKUP($E803,'Status Thresholds'!$E:$AR,2,FALSE),IF((AND($U$4=TRUE,$U$5=FALSE,$U$6=TRUE,$U$7=FALSE)),VLOOKUP($E803,'Status Thresholds'!$E:$AR,12,FALSE),IF((AND($U$4=TRUE,$U$5=FALSE,$U$6=TRUE,$U$7=TRUE)),VLOOKUP($E803,'Status Thresholds'!$E:$AR,17,FALSE),IF((AND($U$4=TRUE,$U$5=FALSE,$U$6=FALSE,$U$7=TRUE)),VLOOKUP($E803,'Status Thresholds'!$E:$AR,7,FALSE),
IF((AND($U$4=FALSE,$U$5=TRUE,$U$6=FALSE,$U$7=FALSE)),VLOOKUP($E803,'Status Thresholds'!$E:$AR,22,FALSE),IF((AND($U$4=FALSE,$U$5=TRUE,$U$6=TRUE,$U$7=FALSE)),VLOOKUP($E803,'Status Thresholds'!$E:$AR,32,FALSE),IF((AND($U$4=FALSE,$U$5=TRUE,$U$6=TRUE,$U$7=TRUE)),VLOOKUP($E803,'Status Thresholds'!$E:$AR,37,FALSE),IF((AND($U$4=FALSE,$U$5=TRUE,$U$6=FALSE,$U$7=TRUE)),VLOOKUP($E803,'Status Thresholds'!$E:$AR,27,FALSE)))))))))
))/
IF(OR($X$5=TRUE,$AC$3=TRUE
),($F$4/2), IF(OR($X$2,$X$3,$X$4,$X$6,$X$7,$X$8,$Z$2,$Z$3,$Z$4,$Z$5,$Z$6,$Z$7,$Z$8)=TRUE,$F$4)),0),"-")</f>
        <v>-</v>
      </c>
      <c r="G803" s="36" t="str">
        <f>IFERROR(
ROUNDUP(
IF(AND($U$5=FALSE,$U$4=FALSE),"-",IF(AND($U$5=TRUE,$U$4=TRUE),"-",
IF((AND($U$4=TRUE,$U$5=FALSE,$U$6=FALSE,$U$7=FALSE)),VLOOKUP($E803,'Status Thresholds'!$E:$AR,3,FALSE),IF((AND($U$4=TRUE,$U$5=FALSE,$U$6=TRUE,$U$7=FALSE)),VLOOKUP($E803,'Status Thresholds'!$E:$AR,13,FALSE),IF((AND($U$4=TRUE,$U$5=FALSE,$U$6=TRUE,$U$7=TRUE)),VLOOKUP($E803,'Status Thresholds'!$E:$AR,18,FALSE),IF((AND($U$4=TRUE,$U$5=FALSE,$U$6=FALSE,$U$7=TRUE)),VLOOKUP($E803,'Status Thresholds'!$E:$AR,8,FALSE),
IF((AND($U$4=FALSE,$U$5=TRUE,$U$6=FALSE,$U$7=FALSE)),VLOOKUP($E803,'Status Thresholds'!$E:$AR,23,FALSE),IF((AND($U$4=FALSE,$U$5=TRUE,$U$6=TRUE,$U$7=FALSE)),VLOOKUP($E803,'Status Thresholds'!$E:$AR,33,FALSE),IF((AND($U$4=FALSE,$U$5=TRUE,$U$6=TRUE,$U$7=TRUE)),VLOOKUP($E803,'Status Thresholds'!$E:$AR,38,FALSE),IF((AND($U$4=FALSE,$U$5=TRUE,$U$6=FALSE,$U$7=TRUE)),VLOOKUP($E803,'Status Thresholds'!$E:$AR,28,FALSE)))))))))
))/
IF(OR($X$5=TRUE,$AC$3=TRUE
),($F$4/2), IF(OR($X$2,$X$3,$X$4,$X$6,$X$7,$X$8,$Z$2,$Z$3,$Z$4,$Z$5,$Z$6,$Z$7,$Z$8)=TRUE,$F$4)),0),"-")</f>
        <v>-</v>
      </c>
      <c r="H803" s="36" t="str">
        <f>IFERROR(
ROUNDUP(
IF(AND($U$5=FALSE,$U$4=FALSE),"-",IF(AND($U$5=TRUE,$U$4=TRUE),"-",
IF((AND($U$4=TRUE,$U$5=FALSE,$U$6=FALSE,$U$7=FALSE)),VLOOKUP($E803,'Status Thresholds'!$E:$AR,4,FALSE),IF((AND($U$4=TRUE,$U$5=FALSE,$U$6=TRUE,$U$7=FALSE)),VLOOKUP($E803,'Status Thresholds'!$E:$AR,14,FALSE),IF((AND($U$4=TRUE,$U$5=FALSE,$U$6=TRUE,$U$7=TRUE)),VLOOKUP($E803,'Status Thresholds'!$E:$AR,19,FALSE),IF((AND($U$4=TRUE,$U$5=FALSE,$U$6=FALSE,$U$7=TRUE)),VLOOKUP($E803,'Status Thresholds'!$E:$AR,9,FALSE),
IF((AND($U$4=FALSE,$U$5=TRUE,$U$6=FALSE,$U$7=FALSE)),VLOOKUP($E803,'Status Thresholds'!$E:$AR,24,FALSE),IF((AND($U$4=FALSE,$U$5=TRUE,$U$6=TRUE,$U$7=FALSE)),VLOOKUP($E803,'Status Thresholds'!$E:$AR,34,FALSE),IF((AND($U$4=FALSE,$U$5=TRUE,$U$6=TRUE,$U$7=TRUE)),VLOOKUP($E803,'Status Thresholds'!$E:$AR,39,FALSE),IF((AND($U$4=FALSE,$U$5=TRUE,$U$6=FALSE,$U$7=TRUE)),VLOOKUP($E803,'Status Thresholds'!$E:$AR,29,FALSE)))))))))
))/
IF(OR($X$5=TRUE,$AC$3=TRUE
),($F$4/2), IF(OR($X$2,$X$3,$X$4,$X$6,$X$7,$X$8,$Z$2,$Z$3,$Z$4,$Z$5,$Z$6,$Z$7,$Z$8)=TRUE,$F$4)),0),"-")</f>
        <v>-</v>
      </c>
      <c r="I803" s="36" t="str">
        <f>IFERROR(
ROUNDUP(
IF(AND($U$5=FALSE,$U$4=FALSE),"-",IF(AND($U$5=TRUE,$U$4=TRUE),"-",
IF((AND($U$4=TRUE,$U$5=FALSE,$U$6=FALSE,$U$7=FALSE)),VLOOKUP($E803,'Status Thresholds'!$E:$AR,5,FALSE),IF((AND($U$4=TRUE,$U$5=FALSE,$U$6=TRUE,$U$7=FALSE)),VLOOKUP($E803,'Status Thresholds'!$E:$AR,15,FALSE),IF((AND($U$4=TRUE,$U$5=FALSE,$U$6=TRUE,$U$7=TRUE)),VLOOKUP($E803,'Status Thresholds'!$E:$AR,20,FALSE),IF((AND($U$4=TRUE,$U$5=FALSE,$U$6=FALSE,$U$7=TRUE)),VLOOKUP($E803,'Status Thresholds'!$E:$AR,10,FALSE),
IF((AND($U$4=FALSE,$U$5=TRUE,$U$6=FALSE,$U$7=FALSE)),VLOOKUP($E803,'Status Thresholds'!$E:$AR,25,FALSE),IF((AND($U$4=FALSE,$U$5=TRUE,$U$6=TRUE,$U$7=FALSE)),VLOOKUP($E803,'Status Thresholds'!$E:$AR,35,FALSE),IF((AND($U$4=FALSE,$U$5=TRUE,$U$6=TRUE,$U$7=TRUE)),VLOOKUP($E803,'Status Thresholds'!$E:$AR,40,FALSE),IF((AND($U$4=FALSE,$U$5=TRUE,$U$6=FALSE,$U$7=TRUE)),VLOOKUP($E803,'Status Thresholds'!$E:$AR,30,FALSE)))))))))
))/
IF(OR($X$5=TRUE,$AC$3=TRUE
),($F$4/2), IF(OR($X$2,$X$3,$X$4,$X$6,$X$7,$X$8,$Z$2,$Z$3,$Z$4,$Z$5,$Z$6,$Z$7,$Z$8)=TRUE,$F$4)),0),"-")</f>
        <v>-</v>
      </c>
      <c r="J803" s="46">
        <f>IFERROR(IF(AND($U$5=FALSE,$U$4=FALSE),"-",VLOOKUP($E803,'Status Thresholds'!$E:$AU,41,FALSE)),"-")</f>
        <v>60</v>
      </c>
      <c r="K803" s="46" t="str">
        <f>IFERROR(IF(AND($U$5=FALSE,$U$4=FALSE),"-",VLOOKUP($E803,'Status Thresholds'!$E:$AU,42,FALSE)),"-")</f>
        <v>-</v>
      </c>
      <c r="L803" s="46" t="str">
        <f>IFERROR(IF(AND($U$5=FALSE,$U$4=FALSE),"-",VLOOKUP($E803,'Status Thresholds'!$E:$AU,43,FALSE)),"-")</f>
        <v>-</v>
      </c>
    </row>
    <row r="804" spans="1:12" x14ac:dyDescent="0.25">
      <c r="A804" s="35"/>
      <c r="B804" s="64" t="str">
        <f>VLOOKUP(C804,'Status Thresholds'!B:C,2,FALSE)</f>
        <v>MHGen</v>
      </c>
      <c r="C804" s="64" t="str">
        <f>IF('Status Thresholds'!B799=0, "", 'Status Thresholds'!B799)</f>
        <v>Volvidon</v>
      </c>
      <c r="D804" s="32" t="s">
        <v>33</v>
      </c>
      <c r="E804" s="36" t="str">
        <f t="shared" si="12"/>
        <v>VolvidonPoison</v>
      </c>
      <c r="F804" s="36" t="str">
        <f>IFERROR(
ROUNDUP(
IF(AND($U$5=FALSE,$U$4=FALSE),"-",IF(AND($U$5=TRUE,$U$4=TRUE),"-",
IF((AND($U$4=TRUE,$U$5=FALSE,$U$6=FALSE,$U$7=FALSE)),VLOOKUP($E804,'Status Thresholds'!$E:$AR,2,FALSE),IF((AND($U$4=TRUE,$U$5=FALSE,$U$6=TRUE,$U$7=FALSE)),VLOOKUP($E804,'Status Thresholds'!$E:$AR,12,FALSE),IF((AND($U$4=TRUE,$U$5=FALSE,$U$6=TRUE,$U$7=TRUE)),VLOOKUP($E804,'Status Thresholds'!$E:$AR,17,FALSE),IF((AND($U$4=TRUE,$U$5=FALSE,$U$6=FALSE,$U$7=TRUE)),VLOOKUP($E804,'Status Thresholds'!$E:$AR,7,FALSE),
IF((AND($U$4=FALSE,$U$5=TRUE,$U$6=FALSE,$U$7=FALSE)),VLOOKUP($E804,'Status Thresholds'!$E:$AR,22,FALSE),IF((AND($U$4=FALSE,$U$5=TRUE,$U$6=TRUE,$U$7=FALSE)),VLOOKUP($E804,'Status Thresholds'!$E:$AR,32,FALSE),IF((AND($U$4=FALSE,$U$5=TRUE,$U$6=TRUE,$U$7=TRUE)),VLOOKUP($E804,'Status Thresholds'!$E:$AR,37,FALSE),IF((AND($U$4=FALSE,$U$5=TRUE,$U$6=FALSE,$U$7=TRUE)),VLOOKUP($E804,'Status Thresholds'!$E:$AR,27,FALSE)))))))))
))/
IF(OR($X$5=TRUE,$AC$3=TRUE
),($F$5/2), IF(OR($X$2,$X$3,$X$4,$X$6,$X$7,$X$8,$Z$2,$Z$3,$Z$4,$Z$5,$Z$6,$Z$7,$Z$8)=TRUE,$F$5)),0),"-")</f>
        <v>-</v>
      </c>
      <c r="G804" s="36" t="str">
        <f>IFERROR(
ROUNDUP(
IF(AND($U$5=FALSE,$U$4=FALSE),"-",IF(AND($U$5=TRUE,$U$4=TRUE),"-",
IF((AND($U$4=TRUE,$U$5=FALSE,$U$6=FALSE,$U$7=FALSE)),VLOOKUP($E804,'Status Thresholds'!$E:$AR,3,FALSE),IF((AND($U$4=TRUE,$U$5=FALSE,$U$6=TRUE,$U$7=FALSE)),VLOOKUP($E804,'Status Thresholds'!$E:$AR,13,FALSE),IF((AND($U$4=TRUE,$U$5=FALSE,$U$6=TRUE,$U$7=TRUE)),VLOOKUP($E804,'Status Thresholds'!$E:$AR,18,FALSE),IF((AND($U$4=TRUE,$U$5=FALSE,$U$6=FALSE,$U$7=TRUE)),VLOOKUP($E804,'Status Thresholds'!$E:$AR,8,FALSE),
IF((AND($U$4=FALSE,$U$5=TRUE,$U$6=FALSE,$U$7=FALSE)),VLOOKUP($E804,'Status Thresholds'!$E:$AR,23,FALSE),IF((AND($U$4=FALSE,$U$5=TRUE,$U$6=TRUE,$U$7=FALSE)),VLOOKUP($E804,'Status Thresholds'!$E:$AR,33,FALSE),IF((AND($U$4=FALSE,$U$5=TRUE,$U$6=TRUE,$U$7=TRUE)),VLOOKUP($E804,'Status Thresholds'!$E:$AR,38,FALSE),IF((AND($U$4=FALSE,$U$5=TRUE,$U$6=FALSE,$U$7=TRUE)),VLOOKUP($E804,'Status Thresholds'!$E:$AR,28,FALSE)))))))))
))/
IF(OR($X$5=TRUE,$AC$3=TRUE
),($F$5/2), IF(OR($X$2,$X$3,$X$4,$X$6,$X$7,$X$8,$Z$2,$Z$3,$Z$4,$Z$5,$Z$6,$Z$7,$Z$8)=TRUE,$F$5)),0),"-")</f>
        <v>-</v>
      </c>
      <c r="H804" s="36" t="str">
        <f>IFERROR(
ROUNDUP(
IF(AND($U$5=FALSE,$U$4=FALSE),"-",IF(AND($U$5=TRUE,$U$4=TRUE),"-",
IF((AND($U$4=TRUE,$U$5=FALSE,$U$6=FALSE,$U$7=FALSE)),VLOOKUP($E804,'Status Thresholds'!$E:$AR,4,FALSE),IF((AND($U$4=TRUE,$U$5=FALSE,$U$6=TRUE,$U$7=FALSE)),VLOOKUP($E804,'Status Thresholds'!$E:$AR,14,FALSE),IF((AND($U$4=TRUE,$U$5=FALSE,$U$6=TRUE,$U$7=TRUE)),VLOOKUP($E804,'Status Thresholds'!$E:$AR,19,FALSE),IF((AND($U$4=TRUE,$U$5=FALSE,$U$6=FALSE,$U$7=TRUE)),VLOOKUP($E804,'Status Thresholds'!$E:$AR,9,FALSE),
IF((AND($U$4=FALSE,$U$5=TRUE,$U$6=FALSE,$U$7=FALSE)),VLOOKUP($E804,'Status Thresholds'!$E:$AR,24,FALSE),IF((AND($U$4=FALSE,$U$5=TRUE,$U$6=TRUE,$U$7=FALSE)),VLOOKUP($E804,'Status Thresholds'!$E:$AR,34,FALSE),IF((AND($U$4=FALSE,$U$5=TRUE,$U$6=TRUE,$U$7=TRUE)),VLOOKUP($E804,'Status Thresholds'!$E:$AR,39,FALSE),IF((AND($U$4=FALSE,$U$5=TRUE,$U$6=FALSE,$U$7=TRUE)),VLOOKUP($E804,'Status Thresholds'!$E:$AR,29,FALSE)))))))))
))/
IF(OR($X$5=TRUE,$AC$3=TRUE
),($F$5/2), IF(OR($X$2,$X$3,$X$4,$X$6,$X$7,$X$8,$Z$2,$Z$3,$Z$4,$Z$5,$Z$6,$Z$7,$Z$8)=TRUE,$F$5)),0),"-")</f>
        <v>-</v>
      </c>
      <c r="I804" s="36" t="str">
        <f>IFERROR(
ROUNDUP(
IF(AND($U$5=FALSE,$U$4=FALSE),"-",IF(AND($U$5=TRUE,$U$4=TRUE),"-",
IF((AND($U$4=TRUE,$U$5=FALSE,$U$6=FALSE,$U$7=FALSE)),VLOOKUP($E804,'Status Thresholds'!$E:$AR,5,FALSE),IF((AND($U$4=TRUE,$U$5=FALSE,$U$6=TRUE,$U$7=FALSE)),VLOOKUP($E804,'Status Thresholds'!$E:$AR,15,FALSE),IF((AND($U$4=TRUE,$U$5=FALSE,$U$6=TRUE,$U$7=TRUE)),VLOOKUP($E804,'Status Thresholds'!$E:$AR,20,FALSE),IF((AND($U$4=TRUE,$U$5=FALSE,$U$6=FALSE,$U$7=TRUE)),VLOOKUP($E804,'Status Thresholds'!$E:$AR,10,FALSE),
IF((AND($U$4=FALSE,$U$5=TRUE,$U$6=FALSE,$U$7=FALSE)),VLOOKUP($E804,'Status Thresholds'!$E:$AR,25,FALSE),IF((AND($U$4=FALSE,$U$5=TRUE,$U$6=TRUE,$U$7=FALSE)),VLOOKUP($E804,'Status Thresholds'!$E:$AR,35,FALSE),IF((AND($U$4=FALSE,$U$5=TRUE,$U$6=TRUE,$U$7=TRUE)),VLOOKUP($E804,'Status Thresholds'!$E:$AR,40,FALSE),IF((AND($U$4=FALSE,$U$5=TRUE,$U$6=FALSE,$U$7=TRUE)),VLOOKUP($E804,'Status Thresholds'!$E:$AR,30,FALSE)))))))))
))/
IF(OR($X$5=TRUE,$AC$3=TRUE
),($F$5/2), IF(OR($X$2,$X$3,$X$4,$X$6,$X$7,$X$8,$Z$2,$Z$3,$Z$4,$Z$5,$Z$6,$Z$7,$Z$8)=TRUE,$F$5)),0),"-")</f>
        <v>-</v>
      </c>
      <c r="J804" s="46">
        <f>IFERROR(IF(AND($U$5=FALSE,$U$4=FALSE),"-",VLOOKUP($E804,'Status Thresholds'!$E:$AU,41,FALSE)),"-")</f>
        <v>60</v>
      </c>
      <c r="K804" s="46" t="str">
        <f>IFERROR(IF(AND($U$5=FALSE,$U$4=FALSE),"-",VLOOKUP($E804,'Status Thresholds'!$E:$AU,42,FALSE)),"-")</f>
        <v>-</v>
      </c>
      <c r="L804" s="46" t="str">
        <f>IFERROR(IF(AND($U$5=FALSE,$U$4=FALSE),"-",VLOOKUP($E804,'Status Thresholds'!$E:$AU,43,FALSE)),"-")</f>
        <v>-</v>
      </c>
    </row>
    <row r="805" spans="1:12" x14ac:dyDescent="0.25">
      <c r="A805" s="35"/>
      <c r="B805" s="64" t="str">
        <f>VLOOKUP(C805,'Status Thresholds'!B:C,2,FALSE)</f>
        <v>MHGen</v>
      </c>
      <c r="C805" s="64" t="str">
        <f>IF('Status Thresholds'!B800=0, "", 'Status Thresholds'!B800)</f>
        <v>Volvidon</v>
      </c>
      <c r="D805" s="10" t="s">
        <v>22</v>
      </c>
      <c r="E805" s="36" t="str">
        <f t="shared" si="12"/>
        <v>VolvidonExhaust</v>
      </c>
      <c r="F805" s="36" t="str">
        <f>IFERROR(
ROUNDUP(
IF(AND($U$5=FALSE,$U$4=FALSE),"-",IF(AND($U$5=TRUE,$U$4=TRUE),"-",
IF((AND($U$4=TRUE,$U$5=FALSE,$U$6=FALSE,$U$7=FALSE)),VLOOKUP($E805,'Status Thresholds'!$E:$AR,2,FALSE),IF((AND($U$4=TRUE,$U$5=FALSE,$U$6=TRUE,$U$7=FALSE)),VLOOKUP($E805,'Status Thresholds'!$E:$AR,12,FALSE),IF((AND($U$4=TRUE,$U$5=FALSE,$U$6=TRUE,$U$7=TRUE)),VLOOKUP($E805,'Status Thresholds'!$E:$AR,17,FALSE),IF((AND($U$4=TRUE,$U$5=FALSE,$U$6=FALSE,$U$7=TRUE)),VLOOKUP($E805,'Status Thresholds'!$E:$AR,7,FALSE),
IF((AND($U$4=FALSE,$U$5=TRUE,$U$6=FALSE,$U$7=FALSE)),VLOOKUP($E805,'Status Thresholds'!$E:$AR,22,FALSE),IF((AND($U$4=FALSE,$U$5=TRUE,$U$6=TRUE,$U$7=FALSE)),VLOOKUP($E805,'Status Thresholds'!$E:$AR,32,FALSE),IF((AND($U$4=FALSE,$U$5=TRUE,$U$6=TRUE,$U$7=TRUE)),VLOOKUP($E805,'Status Thresholds'!$E:$AR,37,FALSE),IF((AND($U$4=FALSE,$U$5=TRUE,$U$6=FALSE,$U$7=TRUE)),VLOOKUP($E805,'Status Thresholds'!$E:$AR,27,FALSE)))))))))
))/
IF(OR($X$5=TRUE,$AC$3=TRUE
),($F$6/2), IF(OR($X$2,$X$3,$X$4,$X$6,$X$7,$X$8,$Z$2,$Z$3,$Z$4,$Z$5,$Z$6,$Z$7,$Z$8)=TRUE,$F$6)),0),"-")</f>
        <v>-</v>
      </c>
      <c r="G805" s="36" t="str">
        <f>IFERROR(
ROUNDUP(
IF(AND($U$5=FALSE,$U$4=FALSE),"-",IF(AND($U$5=TRUE,$U$4=TRUE),"-",
IF((AND($U$4=TRUE,$U$5=FALSE,$U$6=FALSE,$U$7=FALSE)),VLOOKUP($E805,'Status Thresholds'!$E:$AR,3,FALSE),IF((AND($U$4=TRUE,$U$5=FALSE,$U$6=TRUE,$U$7=FALSE)),VLOOKUP($E805,'Status Thresholds'!$E:$AR,13,FALSE),IF((AND($U$4=TRUE,$U$5=FALSE,$U$6=TRUE,$U$7=TRUE)),VLOOKUP($E805,'Status Thresholds'!$E:$AR,18,FALSE),IF((AND($U$4=TRUE,$U$5=FALSE,$U$6=FALSE,$U$7=TRUE)),VLOOKUP($E805,'Status Thresholds'!$E:$AR,8,FALSE),
IF((AND($U$4=FALSE,$U$5=TRUE,$U$6=FALSE,$U$7=FALSE)),VLOOKUP($E805,'Status Thresholds'!$E:$AR,23,FALSE),IF((AND($U$4=FALSE,$U$5=TRUE,$U$6=TRUE,$U$7=FALSE)),VLOOKUP($E805,'Status Thresholds'!$E:$AR,33,FALSE),IF((AND($U$4=FALSE,$U$5=TRUE,$U$6=TRUE,$U$7=TRUE)),VLOOKUP($E805,'Status Thresholds'!$E:$AR,38,FALSE),IF((AND($U$4=FALSE,$U$5=TRUE,$U$6=FALSE,$U$7=TRUE)),VLOOKUP($E805,'Status Thresholds'!$E:$AR,28,FALSE)))))))))
))/
IF(OR($X$5=TRUE,$AC$3=TRUE
),($F$6/2), IF(OR($X$2,$X$3,$X$4,$X$6,$X$7,$X$8,$Z$2,$Z$3,$Z$4,$Z$5,$Z$6,$Z$7,$Z$8)=TRUE,$F$6)),0),"-")</f>
        <v>-</v>
      </c>
      <c r="H805" s="36" t="str">
        <f>IFERROR(
ROUNDUP(
IF(AND($U$5=FALSE,$U$4=FALSE),"-",IF(AND($U$5=TRUE,$U$4=TRUE),"-",
IF((AND($U$4=TRUE,$U$5=FALSE,$U$6=FALSE,$U$7=FALSE)),VLOOKUP($E805,'Status Thresholds'!$E:$AR,4,FALSE),IF((AND($U$4=TRUE,$U$5=FALSE,$U$6=TRUE,$U$7=FALSE)),VLOOKUP($E805,'Status Thresholds'!$E:$AR,14,FALSE),IF((AND($U$4=TRUE,$U$5=FALSE,$U$6=TRUE,$U$7=TRUE)),VLOOKUP($E805,'Status Thresholds'!$E:$AR,19,FALSE),IF((AND($U$4=TRUE,$U$5=FALSE,$U$6=FALSE,$U$7=TRUE)),VLOOKUP($E805,'Status Thresholds'!$E:$AR,9,FALSE),
IF((AND($U$4=FALSE,$U$5=TRUE,$U$6=FALSE,$U$7=FALSE)),VLOOKUP($E805,'Status Thresholds'!$E:$AR,24,FALSE),IF((AND($U$4=FALSE,$U$5=TRUE,$U$6=TRUE,$U$7=FALSE)),VLOOKUP($E805,'Status Thresholds'!$E:$AR,34,FALSE),IF((AND($U$4=FALSE,$U$5=TRUE,$U$6=TRUE,$U$7=TRUE)),VLOOKUP($E805,'Status Thresholds'!$E:$AR,39,FALSE),IF((AND($U$4=FALSE,$U$5=TRUE,$U$6=FALSE,$U$7=TRUE)),VLOOKUP($E805,'Status Thresholds'!$E:$AR,29,FALSE)))))))))
))/
IF(OR($X$5=TRUE,$AC$3=TRUE
),($F$6/2), IF(OR($X$2,$X$3,$X$4,$X$6,$X$7,$X$8,$Z$2,$Z$3,$Z$4,$Z$5,$Z$6,$Z$7,$Z$8)=TRUE,$F$6)),0),"-")</f>
        <v>-</v>
      </c>
      <c r="I805" s="36" t="str">
        <f>IFERROR(
ROUNDUP(
IF(AND($U$5=FALSE,$U$4=FALSE),"-",IF(AND($U$5=TRUE,$U$4=TRUE),"-",
IF((AND($U$4=TRUE,$U$5=FALSE,$U$6=FALSE,$U$7=FALSE)),VLOOKUP($E805,'Status Thresholds'!$E:$AR,5,FALSE),IF((AND($U$4=TRUE,$U$5=FALSE,$U$6=TRUE,$U$7=FALSE)),VLOOKUP($E805,'Status Thresholds'!$E:$AR,15,FALSE),IF((AND($U$4=TRUE,$U$5=FALSE,$U$6=TRUE,$U$7=TRUE)),VLOOKUP($E805,'Status Thresholds'!$E:$AR,20,FALSE),IF((AND($U$4=TRUE,$U$5=FALSE,$U$6=FALSE,$U$7=TRUE)),VLOOKUP($E805,'Status Thresholds'!$E:$AR,10,FALSE),
IF((AND($U$4=FALSE,$U$5=TRUE,$U$6=FALSE,$U$7=FALSE)),VLOOKUP($E805,'Status Thresholds'!$E:$AR,25,FALSE),IF((AND($U$4=FALSE,$U$5=TRUE,$U$6=TRUE,$U$7=FALSE)),VLOOKUP($E805,'Status Thresholds'!$E:$AR,35,FALSE),IF((AND($U$4=FALSE,$U$5=TRUE,$U$6=TRUE,$U$7=TRUE)),VLOOKUP($E805,'Status Thresholds'!$E:$AR,40,FALSE),IF((AND($U$4=FALSE,$U$5=TRUE,$U$6=FALSE,$U$7=TRUE)),VLOOKUP($E805,'Status Thresholds'!$E:$AR,30,FALSE)))))))))
))/
IF(OR($X$5=TRUE,$AC$3=TRUE
),($F$6/2), IF(OR($X$2,$X$3,$X$4,$X$6,$X$7,$X$8,$Z$2,$Z$3,$Z$4,$Z$5,$Z$6,$Z$7,$Z$8)=TRUE,$F$6)),0),"-")</f>
        <v>-</v>
      </c>
      <c r="J805" s="46">
        <f>IFERROR(IF(AND($U$5=FALSE,$U$4=FALSE),"-",VLOOKUP($E805,'Status Thresholds'!$E:$AU,41,FALSE)),"-")</f>
        <v>0</v>
      </c>
      <c r="K805" s="46" t="str">
        <f>IFERROR(IF(AND($U$5=FALSE,$U$4=FALSE),"-",VLOOKUP($E805,'Status Thresholds'!$E:$AU,42,FALSE)),"-")</f>
        <v>-</v>
      </c>
      <c r="L805" s="46" t="str">
        <f>IFERROR(IF(AND($U$5=FALSE,$U$4=FALSE),"-",VLOOKUP($E805,'Status Thresholds'!$E:$AU,43,FALSE)),"-")</f>
        <v>-</v>
      </c>
    </row>
    <row r="806" spans="1:12" x14ac:dyDescent="0.25">
      <c r="A806" s="35"/>
      <c r="B806" s="64" t="str">
        <f>VLOOKUP(C806,'Status Thresholds'!B:C,2,FALSE)</f>
        <v>MHGen</v>
      </c>
      <c r="C806" s="64" t="str">
        <f>IF('Status Thresholds'!B801=0, "", 'Status Thresholds'!B801)</f>
        <v>Volvidon</v>
      </c>
      <c r="D806" s="30" t="s">
        <v>35</v>
      </c>
      <c r="E806" s="36" t="str">
        <f t="shared" si="12"/>
        <v>VolvidonBlast</v>
      </c>
      <c r="F806" s="36" t="str">
        <f>IFERROR(
ROUNDUP(
IF(AND($U$5=FALSE,$U$4=FALSE),"-",IF(AND($U$5=TRUE,$U$4=TRUE),"-",
IF((AND($U$4=TRUE,$U$5=FALSE,$U$6=FALSE,$U$7=FALSE)),VLOOKUP($E806,'Status Thresholds'!$E:$AR,2,FALSE),IF((AND($U$4=TRUE,$U$5=FALSE,$U$6=TRUE,$U$7=FALSE)),VLOOKUP($E806,'Status Thresholds'!$E:$AR,12,FALSE),IF((AND($U$4=TRUE,$U$5=FALSE,$U$6=TRUE,$U$7=TRUE)),VLOOKUP($E806,'Status Thresholds'!$E:$AR,17,FALSE),IF((AND($U$4=TRUE,$U$5=FALSE,$U$6=FALSE,$U$7=TRUE)),VLOOKUP($E806,'Status Thresholds'!$E:$AR,7,FALSE),
IF((AND($U$4=FALSE,$U$5=TRUE,$U$6=FALSE,$U$7=FALSE)),VLOOKUP($E806,'Status Thresholds'!$E:$AR,22,FALSE),IF((AND($U$4=FALSE,$U$5=TRUE,$U$6=TRUE,$U$7=FALSE)),VLOOKUP($E806,'Status Thresholds'!$E:$AR,32,FALSE),IF((AND($U$4=FALSE,$U$5=TRUE,$U$6=TRUE,$U$7=TRUE)),VLOOKUP($E806,'Status Thresholds'!$E:$AR,37,FALSE),IF((AND($U$4=FALSE,$U$5=TRUE,$U$6=FALSE,$U$7=TRUE)),VLOOKUP($E806,'Status Thresholds'!$E:$AR,27,FALSE)))))))))
))/
IF(OR($X$5=TRUE,$AC$3=TRUE
),($F$7/2), IF(OR($X$2,$X$3,$X$4,$X$6,$X$7,$X$8,$Z$2,$Z$3,$Z$4,$Z$5,$Z$6,$Z$7,$Z$8)=TRUE,$F$7)),0),"-")</f>
        <v>-</v>
      </c>
      <c r="G806" s="36" t="str">
        <f>IFERROR(
ROUNDUP(
IF(AND($U$5=FALSE,$U$4=FALSE),"-",IF(AND($U$5=TRUE,$U$4=TRUE),"-",
IF((AND($U$4=TRUE,$U$5=FALSE,$U$6=FALSE,$U$7=FALSE)),VLOOKUP($E806,'Status Thresholds'!$E:$AR,3,FALSE),IF((AND($U$4=TRUE,$U$5=FALSE,$U$6=TRUE,$U$7=FALSE)),VLOOKUP($E806,'Status Thresholds'!$E:$AR,13,FALSE),IF((AND($U$4=TRUE,$U$5=FALSE,$U$6=TRUE,$U$7=TRUE)),VLOOKUP($E806,'Status Thresholds'!$E:$AR,18,FALSE),IF((AND($U$4=TRUE,$U$5=FALSE,$U$6=FALSE,$U$7=TRUE)),VLOOKUP($E806,'Status Thresholds'!$E:$AR,8,FALSE),
IF((AND($U$4=FALSE,$U$5=TRUE,$U$6=FALSE,$U$7=FALSE)),VLOOKUP($E806,'Status Thresholds'!$E:$AR,23,FALSE),IF((AND($U$4=FALSE,$U$5=TRUE,$U$6=TRUE,$U$7=FALSE)),VLOOKUP($E806,'Status Thresholds'!$E:$AR,33,FALSE),IF((AND($U$4=FALSE,$U$5=TRUE,$U$6=TRUE,$U$7=TRUE)),VLOOKUP($E806,'Status Thresholds'!$E:$AR,38,FALSE),IF((AND($U$4=FALSE,$U$5=TRUE,$U$6=FALSE,$U$7=TRUE)),VLOOKUP($E806,'Status Thresholds'!$E:$AR,28,FALSE)))))))))
))/
IF(OR($X$5=TRUE,$AC$3=TRUE
),($F$7/2), IF(OR($X$2,$X$3,$X$4,$X$6,$X$7,$X$8,$Z$2,$Z$3,$Z$4,$Z$5,$Z$6,$Z$7,$Z$8)=TRUE,$F$7)),0),"-")</f>
        <v>-</v>
      </c>
      <c r="H806" s="36" t="str">
        <f>IFERROR(
ROUNDUP(
IF(AND($U$5=FALSE,$U$4=FALSE),"-",IF(AND($U$5=TRUE,$U$4=TRUE),"-",
IF((AND($U$4=TRUE,$U$5=FALSE,$U$6=FALSE,$U$7=FALSE)),VLOOKUP($E806,'Status Thresholds'!$E:$AR,4,FALSE),IF((AND($U$4=TRUE,$U$5=FALSE,$U$6=TRUE,$U$7=FALSE)),VLOOKUP($E806,'Status Thresholds'!$E:$AR,14,FALSE),IF((AND($U$4=TRUE,$U$5=FALSE,$U$6=TRUE,$U$7=TRUE)),VLOOKUP($E806,'Status Thresholds'!$E:$AR,19,FALSE),IF((AND($U$4=TRUE,$U$5=FALSE,$U$6=FALSE,$U$7=TRUE)),VLOOKUP($E806,'Status Thresholds'!$E:$AR,9,FALSE),
IF((AND($U$4=FALSE,$U$5=TRUE,$U$6=FALSE,$U$7=FALSE)),VLOOKUP($E806,'Status Thresholds'!$E:$AR,24,FALSE),IF((AND($U$4=FALSE,$U$5=TRUE,$U$6=TRUE,$U$7=FALSE)),VLOOKUP($E806,'Status Thresholds'!$E:$AR,34,FALSE),IF((AND($U$4=FALSE,$U$5=TRUE,$U$6=TRUE,$U$7=TRUE)),VLOOKUP($E806,'Status Thresholds'!$E:$AR,39,FALSE),IF((AND($U$4=FALSE,$U$5=TRUE,$U$6=FALSE,$U$7=TRUE)),VLOOKUP($E806,'Status Thresholds'!$E:$AR,29,FALSE)))))))))
))/
IF(OR($X$5=TRUE,$AC$3=TRUE
),($F$7/2), IF(OR($X$2,$X$3,$X$4,$X$6,$X$7,$X$8,$Z$2,$Z$3,$Z$4,$Z$5,$Z$6,$Z$7,$Z$8)=TRUE,$F$7)),0),"-")</f>
        <v>-</v>
      </c>
      <c r="I806" s="36" t="str">
        <f>IFERROR(
ROUNDUP(
IF(AND($U$5=FALSE,$U$4=FALSE),"-",IF(AND($U$5=TRUE,$U$4=TRUE),"-",
IF((AND($U$4=TRUE,$U$5=FALSE,$U$6=FALSE,$U$7=FALSE)),VLOOKUP($E806,'Status Thresholds'!$E:$AR,5,FALSE),IF((AND($U$4=TRUE,$U$5=FALSE,$U$6=TRUE,$U$7=FALSE)),VLOOKUP($E806,'Status Thresholds'!$E:$AR,15,FALSE),IF((AND($U$4=TRUE,$U$5=FALSE,$U$6=TRUE,$U$7=TRUE)),VLOOKUP($E806,'Status Thresholds'!$E:$AR,20,FALSE),IF((AND($U$4=TRUE,$U$5=FALSE,$U$6=FALSE,$U$7=TRUE)),VLOOKUP($E806,'Status Thresholds'!$E:$AR,10,FALSE),
IF((AND($U$4=FALSE,$U$5=TRUE,$U$6=FALSE,$U$7=FALSE)),VLOOKUP($E806,'Status Thresholds'!$E:$AR,25,FALSE),IF((AND($U$4=FALSE,$U$5=TRUE,$U$6=TRUE,$U$7=FALSE)),VLOOKUP($E806,'Status Thresholds'!$E:$AR,35,FALSE),IF((AND($U$4=FALSE,$U$5=TRUE,$U$6=TRUE,$U$7=TRUE)),VLOOKUP($E806,'Status Thresholds'!$E:$AR,40,FALSE),IF((AND($U$4=FALSE,$U$5=TRUE,$U$6=FALSE,$U$7=TRUE)),VLOOKUP($E806,'Status Thresholds'!$E:$AR,30,FALSE)))))))))
))/
IF(OR($X$5=TRUE,$AC$3=TRUE
),($F$7/2), IF(OR($X$2,$X$3,$X$4,$X$6,$X$7,$X$8,$Z$2,$Z$3,$Z$4,$Z$5,$Z$6,$Z$7,$Z$8)=TRUE,$F$7)),0),"-")</f>
        <v>-</v>
      </c>
      <c r="J806" s="46">
        <f>IFERROR(IF(AND($U$5=FALSE,$U$4=FALSE),"-",VLOOKUP($E806,'Status Thresholds'!$E:$AU,41,FALSE)),"-")</f>
        <v>0</v>
      </c>
      <c r="K806" s="46" t="str">
        <f>IFERROR(IF(AND($U$5=FALSE,$U$4=FALSE),"-",VLOOKUP($E806,'Status Thresholds'!$E:$AU,42,FALSE)),"-")</f>
        <v>-</v>
      </c>
      <c r="L806" s="46" t="str">
        <f>IFERROR(IF(AND($U$5=FALSE,$U$4=FALSE),"-",VLOOKUP($E806,'Status Thresholds'!$E:$AU,43,FALSE)),"-")</f>
        <v>-</v>
      </c>
    </row>
    <row r="807" spans="1:12" ht="14.45" customHeight="1" x14ac:dyDescent="0.25">
      <c r="A807" s="35"/>
      <c r="B807" s="64" t="str">
        <f>VLOOKUP(C807,'Status Thresholds'!B:C,2,FALSE)</f>
        <v>MHGen</v>
      </c>
      <c r="C807" s="64" t="str">
        <f>IF('Status Thresholds'!B802=0, "", 'Status Thresholds'!B802)</f>
        <v>Volvidon</v>
      </c>
      <c r="D807" s="34" t="s">
        <v>14</v>
      </c>
      <c r="E807" s="36" t="str">
        <f t="shared" si="12"/>
        <v>VolvidonKO</v>
      </c>
      <c r="F807" s="36" t="s">
        <v>214</v>
      </c>
      <c r="G807" s="36" t="s">
        <v>214</v>
      </c>
      <c r="H807" s="36" t="s">
        <v>214</v>
      </c>
      <c r="I807" s="36" t="s">
        <v>214</v>
      </c>
      <c r="J807" s="46">
        <f>IFERROR(IF(AND($U$5=FALSE,$U$4=FALSE),"-",VLOOKUP($E807,'Status Thresholds'!$E:$AU,41,FALSE)),"-")</f>
        <v>10</v>
      </c>
      <c r="K807" s="46" t="str">
        <f>IFERROR(IF(AND($U$5=FALSE,$U$4=FALSE),"-",VLOOKUP($E807,'Status Thresholds'!$E:$AU,42,FALSE)),"-")</f>
        <v>-</v>
      </c>
      <c r="L807" s="46" t="str">
        <f>IFERROR(IF(AND($U$5=FALSE,$U$4=FALSE),"-",VLOOKUP($E807,'Status Thresholds'!$E:$AU,43,FALSE)),"-")</f>
        <v>-</v>
      </c>
    </row>
    <row r="808" spans="1:12" x14ac:dyDescent="0.25">
      <c r="A808" s="35"/>
      <c r="B808" s="64" t="str">
        <f>VLOOKUP(C808,'Status Thresholds'!B:C,2,FALSE)</f>
        <v>MHGen</v>
      </c>
      <c r="C808" s="64" t="str">
        <f>IF('Status Thresholds'!B803=0, "", 'Status Thresholds'!B803)</f>
        <v>Volvidon</v>
      </c>
      <c r="D808" s="33" t="s">
        <v>34</v>
      </c>
      <c r="E808" s="36" t="str">
        <f t="shared" si="12"/>
        <v>VolvidonMount</v>
      </c>
      <c r="F808" s="36" t="str">
        <f>IFERROR(
ROUNDUP(
IF(AND($U$5=FALSE,$U$4=FALSE),"-",IF(AND($U$5=TRUE,$U$4=TRUE),"-",
IF((AND($U$4=TRUE,$U$5=FALSE,$U$6=FALSE,$U$7=FALSE)),VLOOKUP($E808,'Status Thresholds'!$E:$AR,2,FALSE),IF((AND($U$4=TRUE,$U$5=FALSE,$U$6=TRUE,$U$7=FALSE)),VLOOKUP($E808,'Status Thresholds'!$E:$AR,12,FALSE),IF((AND($U$4=TRUE,$U$5=FALSE,$U$6=TRUE,$U$7=TRUE)),VLOOKUP($E808,'Status Thresholds'!$E:$AR,17,FALSE),IF((AND($U$4=TRUE,$U$5=FALSE,$U$6=FALSE,$U$7=TRUE)),VLOOKUP($E808,'Status Thresholds'!$E:$AR,7,FALSE),
IF((AND($U$4=FALSE,$U$5=TRUE,$U$6=FALSE,$U$7=FALSE)),VLOOKUP($E808,'Status Thresholds'!$E:$AR,22,FALSE),IF((AND($U$4=FALSE,$U$5=TRUE,$U$6=TRUE,$U$7=FALSE)),VLOOKUP($E808,'Status Thresholds'!$E:$AR,32,FALSE),IF((AND($U$4=FALSE,$U$5=TRUE,$U$6=TRUE,$U$7=TRUE)),VLOOKUP($E808,'Status Thresholds'!$E:$AR,37,FALSE),IF((AND($U$4=FALSE,$U$5=TRUE,$U$6=FALSE,$U$7=TRUE)),VLOOKUP($E808,'Status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808" s="36" t="str">
        <f>IFERROR(
ROUNDUP(
IF(AND($U$5=FALSE,$U$4=FALSE),"-",IF(AND($U$5=TRUE,$U$4=TRUE),"-",
IF((AND($U$4=TRUE,$U$5=FALSE,$U$6=FALSE,$U$7=FALSE)),VLOOKUP($E807,'Status Thresholds'!$E:$AR,3,FALSE),IF((AND($U$4=TRUE,$U$5=FALSE,$U$6=TRUE,$U$7=FALSE)),VLOOKUP($E807,'Status Thresholds'!$E:$AR,13,FALSE),IF((AND($U$4=TRUE,$U$5=FALSE,$U$6=TRUE,$U$7=TRUE)),VLOOKUP($E807,'Status Thresholds'!$E:$AR,18,FALSE),IF((AND($U$4=TRUE,$U$5=FALSE,$U$6=FALSE,$U$7=TRUE)),VLOOKUP($E807,'Status Thresholds'!$E:$AR,8,FALSE),
IF((AND($U$4=FALSE,$U$5=TRUE,$U$6=FALSE,$U$7=FALSE)),VLOOKUP($E807,'Status Thresholds'!$E:$AR,23,FALSE),IF((AND($U$4=FALSE,$U$5=TRUE,$U$6=TRUE,$U$7=FALSE)),VLOOKUP($E807,'Status Thresholds'!$E:$AR,33,FALSE),IF((AND($U$4=FALSE,$U$5=TRUE,$U$6=TRUE,$U$7=TRUE)),VLOOKUP($E807,'Status Thresholds'!$E:$AR,38,FALSE),IF((AND($U$4=FALSE,$U$5=TRUE,$U$6=FALSE,$U$7=TRUE)),VLOOKUP($E807,'Status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808" s="36" t="str">
        <f>IFERROR(
ROUNDUP(
IF(AND($U$5=FALSE,$U$4=FALSE),"-",IF(AND($U$5=TRUE,$U$4=TRUE),"-",
IF((AND($U$4=TRUE,$U$5=FALSE,$U$6=FALSE,$U$7=FALSE)),VLOOKUP($E807,'Status Thresholds'!$E:$AR,4,FALSE),IF((AND($U$4=TRUE,$U$5=FALSE,$U$6=TRUE,$U$7=FALSE)),VLOOKUP($E807,'Status Thresholds'!$E:$AR,14,FALSE),IF((AND($U$4=TRUE,$U$5=FALSE,$U$6=TRUE,$U$7=TRUE)),VLOOKUP($E807,'Status Thresholds'!$E:$AR,19,FALSE),IF((AND($U$4=TRUE,$U$5=FALSE,$U$6=FALSE,$U$7=TRUE)),VLOOKUP($E807,'Status Thresholds'!$E:$AR,9,FALSE),
IF((AND($U$4=FALSE,$U$5=TRUE,$U$6=FALSE,$U$7=FALSE)),VLOOKUP($E807,'Status Thresholds'!$E:$AR,24,FALSE),IF((AND($U$4=FALSE,$U$5=TRUE,$U$6=TRUE,$U$7=FALSE)),VLOOKUP($E807,'Status Thresholds'!$E:$AR,34,FALSE),IF((AND($U$4=FALSE,$U$5=TRUE,$U$6=TRUE,$U$7=TRUE)),VLOOKUP($E807,'Status Thresholds'!$E:$AR,39,FALSE),IF((AND($U$4=FALSE,$U$5=TRUE,$U$6=FALSE,$U$7=TRUE)),VLOOKUP($E807,'Status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808" s="36" t="str">
        <f>IFERROR(
ROUNDUP(
IF(AND($U$5=FALSE,$U$4=FALSE),"-",IF(AND($U$5=TRUE,$U$4=TRUE),"-",
IF((AND($U$4=TRUE,$U$5=FALSE,$U$6=FALSE,$U$7=FALSE)),VLOOKUP($E807,'Status Thresholds'!$E:$AR,5,FALSE),IF((AND($U$4=TRUE,$U$5=FALSE,$U$6=TRUE,$U$7=FALSE)),VLOOKUP($E807,'Status Thresholds'!$E:$AR,15,FALSE),IF((AND($U$4=TRUE,$U$5=FALSE,$U$6=TRUE,$U$7=TRUE)),VLOOKUP($E807,'Status Thresholds'!$E:$AR,20,FALSE),IF((AND($U$4=TRUE,$U$5=FALSE,$U$6=FALSE,$U$7=TRUE)),VLOOKUP($E807,'Status Thresholds'!$E:$AR,10,FALSE),
IF((AND($U$4=FALSE,$U$5=TRUE,$U$6=FALSE,$U$7=FALSE)),VLOOKUP($E807,'Status Thresholds'!$E:$AR,25,FALSE),IF((AND($U$4=FALSE,$U$5=TRUE,$U$6=TRUE,$U$7=FALSE)),VLOOKUP($E807,'Status Thresholds'!$E:$AR,35,FALSE),IF((AND($U$4=FALSE,$U$5=TRUE,$U$6=TRUE,$U$7=TRUE)),VLOOKUP($E807,'Status Thresholds'!$E:$AR,40,FALSE),IF((AND($U$4=FALSE,$U$5=TRUE,$U$6=FALSE,$U$7=TRUE)),VLOOKUP($E807,'Status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808" s="46">
        <f>IFERROR(IF(AND($U$5=FALSE,$U$4=FALSE),"-",VLOOKUP($E808,'Status Thresholds'!$E:$AU,41,FALSE)),"-")</f>
        <v>0</v>
      </c>
      <c r="K808" s="46" t="str">
        <f>IFERROR(IF(AND($U$5=FALSE,$U$4=FALSE),"-",VLOOKUP($E808,'Status Thresholds'!$E:$AU,42,FALSE)),"-")</f>
        <v>-</v>
      </c>
      <c r="L808" s="46" t="str">
        <f>IFERROR(IF(AND($U$5=FALSE,$U$4=FALSE),"-",VLOOKUP($E808,'Status Thresholds'!$E:$AU,43,FALSE)),"-")</f>
        <v>-</v>
      </c>
    </row>
    <row r="809" spans="1:12" ht="15" customHeight="1" x14ac:dyDescent="0.25">
      <c r="A809" s="35"/>
      <c r="B809" s="64" t="str">
        <f>VLOOKUP(C809,'Status Thresholds'!B:C,2,FALSE)</f>
        <v>MHGen</v>
      </c>
      <c r="C809" s="64" t="str">
        <f>IF('Status Thresholds'!B804=0, "", 'Status Thresholds'!B804)</f>
        <v>Volvidon</v>
      </c>
      <c r="D809" s="77" t="s">
        <v>207</v>
      </c>
      <c r="E809" s="36" t="str">
        <f t="shared" si="12"/>
        <v>VolvidonShock Trap</v>
      </c>
      <c r="F809" s="76" t="s">
        <v>214</v>
      </c>
      <c r="G809" s="46" t="s">
        <v>214</v>
      </c>
      <c r="H809" s="46" t="s">
        <v>214</v>
      </c>
      <c r="I809" s="46" t="s">
        <v>214</v>
      </c>
      <c r="J809" s="46">
        <f>IFERROR(IF(AND($U$5=FALSE,$U$4=FALSE),"-",VLOOKUP($E809,'Status Thresholds'!$E:$AU,43,FALSE)),"-")</f>
        <v>15</v>
      </c>
      <c r="K809" s="46">
        <f>IFERROR(IF(AND($U$5=FALSE,$U$4=FALSE),"-",VLOOKUP($E809,'Status Thresholds'!$E:$AU,41,FALSE)),"-")</f>
        <v>15</v>
      </c>
      <c r="L809" s="46">
        <f>IFERROR(IF(AND($U$5=FALSE,$U$4=FALSE),"-",VLOOKUP($E809,'Status Thresholds'!$E:$AU,42,FALSE)),"-")</f>
        <v>20</v>
      </c>
    </row>
    <row r="810" spans="1:12" x14ac:dyDescent="0.25">
      <c r="A810" s="35"/>
      <c r="B810" s="64" t="str">
        <f>VLOOKUP(C810,'Status Thresholds'!B:C,2,FALSE)</f>
        <v>MHGen</v>
      </c>
      <c r="C810" s="64" t="str">
        <f>IF('Status Thresholds'!B805=0, "", 'Status Thresholds'!B805)</f>
        <v>Volvidon</v>
      </c>
      <c r="D810" s="77" t="s">
        <v>213</v>
      </c>
      <c r="E810" s="36" t="str">
        <f t="shared" si="12"/>
        <v>VolvidonPitfall Trap</v>
      </c>
      <c r="F810" s="46" t="s">
        <v>214</v>
      </c>
      <c r="G810" s="46" t="s">
        <v>214</v>
      </c>
      <c r="H810" s="46" t="s">
        <v>214</v>
      </c>
      <c r="I810" s="46" t="s">
        <v>214</v>
      </c>
      <c r="J810" s="46">
        <f>IFERROR(IF(AND($U$5=FALSE,$U$4=FALSE),"-",VLOOKUP($E810,'Status Thresholds'!$E:$AU,43,FALSE)),"-")</f>
        <v>20</v>
      </c>
      <c r="K810" s="46">
        <f>IFERROR(IF(AND($U$5=FALSE,$U$4=FALSE),"-",VLOOKUP($E810,'Status Thresholds'!$E:$AU,41,FALSE)),"-")</f>
        <v>20</v>
      </c>
      <c r="L810" s="46">
        <f>IFERROR(IF(AND($U$5=FALSE,$U$4=FALSE),"-",VLOOKUP($E810,'Status Thresholds'!$E:$AU,42,FALSE)),"-")</f>
        <v>25</v>
      </c>
    </row>
    <row r="811" spans="1:12" s="36" customFormat="1" x14ac:dyDescent="0.25">
      <c r="A811" s="64"/>
      <c r="B811" s="64" t="str">
        <f>VLOOKUP(C811,'Status Thresholds'!B:C,2,FALSE)</f>
        <v>MHGen</v>
      </c>
      <c r="C811" s="64" t="str">
        <f>IF('Status Thresholds'!B806=0, "", 'Status Thresholds'!B806)</f>
        <v>Yian  Garuga</v>
      </c>
      <c r="D811" s="37" t="s">
        <v>0</v>
      </c>
      <c r="E811" s="36" t="str">
        <f t="shared" si="12"/>
        <v>Yian  GarugaPara</v>
      </c>
      <c r="F811" s="36" t="str">
        <f>IFERROR(
ROUNDUP(
IF(AND($U$5=FALSE,$U$4=FALSE),"-",IF(AND($U$5=TRUE,$U$4=TRUE),"-",
IF((AND($U$4=TRUE,$U$5=FALSE,$U$6=FALSE,$U$7=FALSE)),VLOOKUP($E811,'Status Thresholds'!$E:$AR,2,FALSE),IF((AND($U$4=TRUE,$U$5=FALSE,$U$6=TRUE,$U$7=FALSE)),VLOOKUP($E811,'Status Thresholds'!$E:$AR,12,FALSE),IF((AND($U$4=TRUE,$U$5=FALSE,$U$6=TRUE,$U$7=TRUE)),VLOOKUP($E811,'Status Thresholds'!$E:$AR,17,FALSE),IF((AND($U$4=TRUE,$U$5=FALSE,$U$6=FALSE,$U$7=TRUE)),VLOOKUP($E811,'Status Thresholds'!$E:$AR,7,FALSE),
IF((AND($U$4=FALSE,$U$5=TRUE,$U$6=FALSE,$U$7=FALSE)),VLOOKUP($E811,'Status Thresholds'!$E:$AR,22,FALSE),IF((AND($U$4=FALSE,$U$5=TRUE,$U$6=TRUE,$U$7=FALSE)),VLOOKUP($E811,'Status Thresholds'!$E:$AR,32,FALSE),IF((AND($U$4=FALSE,$U$5=TRUE,$U$6=TRUE,$U$7=TRUE)),VLOOKUP($E811,'Status Thresholds'!$E:$AR,37,FALSE),IF((AND($U$4=FALSE,$U$5=TRUE,$U$6=FALSE,$U$7=TRUE)),VLOOKUP($E811,'Status Thresholds'!$E:$AR,27,FALSE)))))))))
))/
IF(OR($X$5=TRUE,$AC$3=TRUE
),($F$3/2), IF(OR($X$2,$X$3,$X$4,$X$6,$X$7,$X$8,$Z$2,$Z$3,$Z$4,$Z$5,$Z$6,$Z$7,$Z$8)=TRUE,$F$3)),0),"-")</f>
        <v>-</v>
      </c>
      <c r="G811" s="36" t="str">
        <f>IFERROR(
ROUNDUP(
IF(AND($U$5=FALSE,$U$4=FALSE),"-",IF(AND($U$5=TRUE,$U$4=TRUE),"-",
IF((AND($U$4=TRUE,$U$5=FALSE,$U$6=FALSE,$U$7=FALSE)),VLOOKUP($E811,'Status Thresholds'!$E:$AR,3,FALSE),IF((AND($U$4=TRUE,$U$5=FALSE,$U$6=TRUE,$U$7=FALSE)),VLOOKUP($E811,'Status Thresholds'!$E:$AR,13,FALSE),IF((AND($U$4=TRUE,$U$5=FALSE,$U$6=TRUE,$U$7=TRUE)),VLOOKUP($E811,'Status Thresholds'!$E:$AR,18,FALSE),IF((AND($U$4=TRUE,$U$5=FALSE,$U$6=FALSE,$U$7=TRUE)),VLOOKUP($E811,'Status Thresholds'!$E:$AR,8,FALSE),
IF((AND($U$4=FALSE,$U$5=TRUE,$U$6=FALSE,$U$7=FALSE)),VLOOKUP($E811,'Status Thresholds'!$E:$AR,23,FALSE),IF((AND($U$4=FALSE,$U$5=TRUE,$U$6=TRUE,$U$7=FALSE)),VLOOKUP($E811,'Status Thresholds'!$E:$AR,33,FALSE),IF((AND($U$4=FALSE,$U$5=TRUE,$U$6=TRUE,$U$7=TRUE)),VLOOKUP($E811,'Status Thresholds'!$E:$AR,38,FALSE),IF((AND($U$4=FALSE,$U$5=TRUE,$U$6=FALSE,$U$7=TRUE)),VLOOKUP($E811,'Status Thresholds'!$E:$AR,28,FALSE)))))))))
))/
IF(OR($X$5=TRUE,$AC$3=TRUE
),($F$3/2), IF(OR($X$2,$X$3,$X$4,$X$6,$X$7,$X$8,$Z$2,$Z$3,$Z$4,$Z$5,$Z$6,$Z$7,$Z$8)=TRUE,$F$3)),0),"-")</f>
        <v>-</v>
      </c>
      <c r="H811" s="36" t="str">
        <f>IFERROR(
ROUNDUP(
IF(AND($U$5=FALSE,$U$4=FALSE),"-",IF(AND($U$5=TRUE,$U$4=TRUE),"-",
IF((AND($U$4=TRUE,$U$5=FALSE,$U$6=FALSE,$U$7=FALSE)),VLOOKUP($E811,'Status Thresholds'!$E:$AR,4,FALSE),IF((AND($U$4=TRUE,$U$5=FALSE,$U$6=TRUE,$U$7=FALSE)),VLOOKUP($E811,'Status Thresholds'!$E:$AR,14,FALSE),IF((AND($U$4=TRUE,$U$5=FALSE,$U$6=TRUE,$U$7=TRUE)),VLOOKUP($E811,'Status Thresholds'!$E:$AR,19,FALSE),IF((AND($U$4=TRUE,$U$5=FALSE,$U$6=FALSE,$U$7=TRUE)),VLOOKUP($E811,'Status Thresholds'!$E:$AR,9,FALSE),
IF((AND($U$4=FALSE,$U$5=TRUE,$U$6=FALSE,$U$7=FALSE)),VLOOKUP($E811,'Status Thresholds'!$E:$AR,24,FALSE),IF((AND($U$4=FALSE,$U$5=TRUE,$U$6=TRUE,$U$7=FALSE)),VLOOKUP($E811,'Status Thresholds'!$E:$AR,34,FALSE),IF((AND($U$4=FALSE,$U$5=TRUE,$U$6=TRUE,$U$7=TRUE)),VLOOKUP($E811,'Status Thresholds'!$E:$AR,39,FALSE),IF((AND($U$4=FALSE,$U$5=TRUE,$U$6=FALSE,$U$7=TRUE)),VLOOKUP($E811,'Status Thresholds'!$E:$AR,29,FALSE)))))))))
))/
IF(OR($X$5=TRUE,$AC$3=TRUE
),($F$3/2), IF(OR($X$2,$X$3,$X$4,$X$6,$X$7,$X$8,$Z$2,$Z$3,$Z$4,$Z$5,$Z$6,$Z$7,$Z$8)=TRUE,$F$3)),0),"-")</f>
        <v>-</v>
      </c>
      <c r="I811" s="36" t="str">
        <f>IFERROR(
ROUNDUP(
IF(AND($U$5=FALSE,$U$4=FALSE),"-",IF(AND($U$5=TRUE,$U$4=TRUE),"-",
IF((AND($U$4=TRUE,$U$5=FALSE,$U$6=FALSE,$U$7=FALSE)),VLOOKUP($E811,'Status Thresholds'!$E:$AR,5,FALSE),IF((AND($U$4=TRUE,$U$5=FALSE,$U$6=TRUE,$U$7=FALSE)),VLOOKUP($E811,'Status Thresholds'!$E:$AR,15,FALSE),IF((AND($U$4=TRUE,$U$5=FALSE,$U$6=TRUE,$U$7=TRUE)),VLOOKUP($E811,'Status Thresholds'!$E:$AR,20,FALSE),IF((AND($U$4=TRUE,$U$5=FALSE,$U$6=FALSE,$U$7=TRUE)),VLOOKUP($E811,'Status Thresholds'!$E:$AR,10,FALSE),
IF((AND($U$4=FALSE,$U$5=TRUE,$U$6=FALSE,$U$7=FALSE)),VLOOKUP($E811,'Status Thresholds'!$E:$AR,25,FALSE),IF((AND($U$4=FALSE,$U$5=TRUE,$U$6=TRUE,$U$7=FALSE)),VLOOKUP($E811,'Status Thresholds'!$E:$AR,35,FALSE),IF((AND($U$4=FALSE,$U$5=TRUE,$U$6=TRUE,$U$7=TRUE)),VLOOKUP($E811,'Status Thresholds'!$E:$AR,40,FALSE),IF((AND($U$4=FALSE,$U$5=TRUE,$U$6=FALSE,$U$7=TRUE)),VLOOKUP($E811,'Status Thresholds'!$E:$AR,30,FALSE)))))))))
))/
IF(OR($X$5=TRUE,$AC$3=TRUE
),($F$3/2), IF(OR($X$2,$X$3,$X$4,$X$6,$X$7,$X$8,$Z$2,$Z$3,$Z$4,$Z$5,$Z$6,$Z$7,$Z$8)=TRUE,$F$3)),0),"-")</f>
        <v>-</v>
      </c>
      <c r="J811" s="36">
        <f>IFERROR(IF(AND($U$5=FALSE,$U$4=FALSE),"-",VLOOKUP($E811,'Status Thresholds'!$E:$AU,41,FALSE)),"-")</f>
        <v>10</v>
      </c>
      <c r="K811" s="36" t="str">
        <f>IFERROR(IF(AND($U$5=FALSE,$U$4=FALSE),"-",VLOOKUP($E811,'Status Thresholds'!$E:$AU,42,FALSE)),"-")</f>
        <v>-</v>
      </c>
      <c r="L811" s="36" t="str">
        <f>IFERROR(IF(AND($U$5=FALSE,$U$4=FALSE),"-",VLOOKUP($E811,'Status Thresholds'!$E:$AU,43,FALSE)),"-")</f>
        <v>-</v>
      </c>
    </row>
    <row r="812" spans="1:12" x14ac:dyDescent="0.25">
      <c r="A812" s="35"/>
      <c r="B812" s="64" t="str">
        <f>VLOOKUP(C812,'Status Thresholds'!B:C,2,FALSE)</f>
        <v>MHGen</v>
      </c>
      <c r="C812" s="64" t="str">
        <f>IF('Status Thresholds'!B807=0, "", 'Status Thresholds'!B807)</f>
        <v>Yian  Garuga</v>
      </c>
      <c r="D812" s="31" t="s">
        <v>32</v>
      </c>
      <c r="E812" s="36" t="str">
        <f t="shared" si="12"/>
        <v>Yian  GarugaSleep</v>
      </c>
      <c r="F812" s="36" t="str">
        <f>IFERROR(
ROUNDUP(
IF(AND($U$5=FALSE,$U$4=FALSE),"-",IF(AND($U$5=TRUE,$U$4=TRUE),"-",
IF((AND($U$4=TRUE,$U$5=FALSE,$U$6=FALSE,$U$7=FALSE)),VLOOKUP($E812,'Status Thresholds'!$E:$AR,2,FALSE),IF((AND($U$4=TRUE,$U$5=FALSE,$U$6=TRUE,$U$7=FALSE)),VLOOKUP($E812,'Status Thresholds'!$E:$AR,12,FALSE),IF((AND($U$4=TRUE,$U$5=FALSE,$U$6=TRUE,$U$7=TRUE)),VLOOKUP($E812,'Status Thresholds'!$E:$AR,17,FALSE),IF((AND($U$4=TRUE,$U$5=FALSE,$U$6=FALSE,$U$7=TRUE)),VLOOKUP($E812,'Status Thresholds'!$E:$AR,7,FALSE),
IF((AND($U$4=FALSE,$U$5=TRUE,$U$6=FALSE,$U$7=FALSE)),VLOOKUP($E812,'Status Thresholds'!$E:$AR,22,FALSE),IF((AND($U$4=FALSE,$U$5=TRUE,$U$6=TRUE,$U$7=FALSE)),VLOOKUP($E812,'Status Thresholds'!$E:$AR,32,FALSE),IF((AND($U$4=FALSE,$U$5=TRUE,$U$6=TRUE,$U$7=TRUE)),VLOOKUP($E812,'Status Thresholds'!$E:$AR,37,FALSE),IF((AND($U$4=FALSE,$U$5=TRUE,$U$6=FALSE,$U$7=TRUE)),VLOOKUP($E812,'Status Thresholds'!$E:$AR,27,FALSE)))))))))
))/
IF(OR($X$5=TRUE,$AC$3=TRUE
),($F$4/2), IF(OR($X$2,$X$3,$X$4,$X$6,$X$7,$X$8,$Z$2,$Z$3,$Z$4,$Z$5,$Z$6,$Z$7,$Z$8)=TRUE,$F$4)),0),"-")</f>
        <v>-</v>
      </c>
      <c r="G812" s="36" t="str">
        <f>IFERROR(
ROUNDUP(
IF(AND($U$5=FALSE,$U$4=FALSE),"-",IF(AND($U$5=TRUE,$U$4=TRUE),"-",
IF((AND($U$4=TRUE,$U$5=FALSE,$U$6=FALSE,$U$7=FALSE)),VLOOKUP($E812,'Status Thresholds'!$E:$AR,3,FALSE),IF((AND($U$4=TRUE,$U$5=FALSE,$U$6=TRUE,$U$7=FALSE)),VLOOKUP($E812,'Status Thresholds'!$E:$AR,13,FALSE),IF((AND($U$4=TRUE,$U$5=FALSE,$U$6=TRUE,$U$7=TRUE)),VLOOKUP($E812,'Status Thresholds'!$E:$AR,18,FALSE),IF((AND($U$4=TRUE,$U$5=FALSE,$U$6=FALSE,$U$7=TRUE)),VLOOKUP($E812,'Status Thresholds'!$E:$AR,8,FALSE),
IF((AND($U$4=FALSE,$U$5=TRUE,$U$6=FALSE,$U$7=FALSE)),VLOOKUP($E812,'Status Thresholds'!$E:$AR,23,FALSE),IF((AND($U$4=FALSE,$U$5=TRUE,$U$6=TRUE,$U$7=FALSE)),VLOOKUP($E812,'Status Thresholds'!$E:$AR,33,FALSE),IF((AND($U$4=FALSE,$U$5=TRUE,$U$6=TRUE,$U$7=TRUE)),VLOOKUP($E812,'Status Thresholds'!$E:$AR,38,FALSE),IF((AND($U$4=FALSE,$U$5=TRUE,$U$6=FALSE,$U$7=TRUE)),VLOOKUP($E812,'Status Thresholds'!$E:$AR,28,FALSE)))))))))
))/
IF(OR($X$5=TRUE,$AC$3=TRUE
),($F$4/2), IF(OR($X$2,$X$3,$X$4,$X$6,$X$7,$X$8,$Z$2,$Z$3,$Z$4,$Z$5,$Z$6,$Z$7,$Z$8)=TRUE,$F$4)),0),"-")</f>
        <v>-</v>
      </c>
      <c r="H812" s="36" t="str">
        <f>IFERROR(
ROUNDUP(
IF(AND($U$5=FALSE,$U$4=FALSE),"-",IF(AND($U$5=TRUE,$U$4=TRUE),"-",
IF((AND($U$4=TRUE,$U$5=FALSE,$U$6=FALSE,$U$7=FALSE)),VLOOKUP($E812,'Status Thresholds'!$E:$AR,4,FALSE),IF((AND($U$4=TRUE,$U$5=FALSE,$U$6=TRUE,$U$7=FALSE)),VLOOKUP($E812,'Status Thresholds'!$E:$AR,14,FALSE),IF((AND($U$4=TRUE,$U$5=FALSE,$U$6=TRUE,$U$7=TRUE)),VLOOKUP($E812,'Status Thresholds'!$E:$AR,19,FALSE),IF((AND($U$4=TRUE,$U$5=FALSE,$U$6=FALSE,$U$7=TRUE)),VLOOKUP($E812,'Status Thresholds'!$E:$AR,9,FALSE),
IF((AND($U$4=FALSE,$U$5=TRUE,$U$6=FALSE,$U$7=FALSE)),VLOOKUP($E812,'Status Thresholds'!$E:$AR,24,FALSE),IF((AND($U$4=FALSE,$U$5=TRUE,$U$6=TRUE,$U$7=FALSE)),VLOOKUP($E812,'Status Thresholds'!$E:$AR,34,FALSE),IF((AND($U$4=FALSE,$U$5=TRUE,$U$6=TRUE,$U$7=TRUE)),VLOOKUP($E812,'Status Thresholds'!$E:$AR,39,FALSE),IF((AND($U$4=FALSE,$U$5=TRUE,$U$6=FALSE,$U$7=TRUE)),VLOOKUP($E812,'Status Thresholds'!$E:$AR,29,FALSE)))))))))
))/
IF(OR($X$5=TRUE,$AC$3=TRUE
),($F$4/2), IF(OR($X$2,$X$3,$X$4,$X$6,$X$7,$X$8,$Z$2,$Z$3,$Z$4,$Z$5,$Z$6,$Z$7,$Z$8)=TRUE,$F$4)),0),"-")</f>
        <v>-</v>
      </c>
      <c r="I812" s="36" t="str">
        <f>IFERROR(
ROUNDUP(
IF(AND($U$5=FALSE,$U$4=FALSE),"-",IF(AND($U$5=TRUE,$U$4=TRUE),"-",
IF((AND($U$4=TRUE,$U$5=FALSE,$U$6=FALSE,$U$7=FALSE)),VLOOKUP($E812,'Status Thresholds'!$E:$AR,5,FALSE),IF((AND($U$4=TRUE,$U$5=FALSE,$U$6=TRUE,$U$7=FALSE)),VLOOKUP($E812,'Status Thresholds'!$E:$AR,15,FALSE),IF((AND($U$4=TRUE,$U$5=FALSE,$U$6=TRUE,$U$7=TRUE)),VLOOKUP($E812,'Status Thresholds'!$E:$AR,20,FALSE),IF((AND($U$4=TRUE,$U$5=FALSE,$U$6=FALSE,$U$7=TRUE)),VLOOKUP($E812,'Status Thresholds'!$E:$AR,10,FALSE),
IF((AND($U$4=FALSE,$U$5=TRUE,$U$6=FALSE,$U$7=FALSE)),VLOOKUP($E812,'Status Thresholds'!$E:$AR,25,FALSE),IF((AND($U$4=FALSE,$U$5=TRUE,$U$6=TRUE,$U$7=FALSE)),VLOOKUP($E812,'Status Thresholds'!$E:$AR,35,FALSE),IF((AND($U$4=FALSE,$U$5=TRUE,$U$6=TRUE,$U$7=TRUE)),VLOOKUP($E812,'Status Thresholds'!$E:$AR,40,FALSE),IF((AND($U$4=FALSE,$U$5=TRUE,$U$6=FALSE,$U$7=TRUE)),VLOOKUP($E812,'Status Thresholds'!$E:$AR,30,FALSE)))))))))
))/
IF(OR($X$5=TRUE,$AC$3=TRUE
),($F$4/2), IF(OR($X$2,$X$3,$X$4,$X$6,$X$7,$X$8,$Z$2,$Z$3,$Z$4,$Z$5,$Z$6,$Z$7,$Z$8)=TRUE,$F$4)),0),"-")</f>
        <v>-</v>
      </c>
      <c r="J812" s="46">
        <f>IFERROR(IF(AND($U$5=FALSE,$U$4=FALSE),"-",VLOOKUP($E812,'Status Thresholds'!$E:$AU,41,FALSE)),"-")</f>
        <v>40</v>
      </c>
      <c r="K812" s="46" t="str">
        <f>IFERROR(IF(AND($U$5=FALSE,$U$4=FALSE),"-",VLOOKUP($E812,'Status Thresholds'!$E:$AU,42,FALSE)),"-")</f>
        <v>-</v>
      </c>
      <c r="L812" s="46" t="str">
        <f>IFERROR(IF(AND($U$5=FALSE,$U$4=FALSE),"-",VLOOKUP($E812,'Status Thresholds'!$E:$AU,43,FALSE)),"-")</f>
        <v>-</v>
      </c>
    </row>
    <row r="813" spans="1:12" x14ac:dyDescent="0.25">
      <c r="A813" s="35"/>
      <c r="B813" s="64" t="str">
        <f>VLOOKUP(C813,'Status Thresholds'!B:C,2,FALSE)</f>
        <v>MHGen</v>
      </c>
      <c r="C813" s="64" t="str">
        <f>IF('Status Thresholds'!B808=0, "", 'Status Thresholds'!B808)</f>
        <v>Yian  Garuga</v>
      </c>
      <c r="D813" s="32" t="s">
        <v>33</v>
      </c>
      <c r="E813" s="36" t="str">
        <f t="shared" si="12"/>
        <v>Yian  GarugaPoison</v>
      </c>
      <c r="F813" s="36" t="str">
        <f>IFERROR(
ROUNDUP(
IF(AND($U$5=FALSE,$U$4=FALSE),"-",IF(AND($U$5=TRUE,$U$4=TRUE),"-",
IF((AND($U$4=TRUE,$U$5=FALSE,$U$6=FALSE,$U$7=FALSE)),VLOOKUP($E813,'Status Thresholds'!$E:$AR,2,FALSE),IF((AND($U$4=TRUE,$U$5=FALSE,$U$6=TRUE,$U$7=FALSE)),VLOOKUP($E813,'Status Thresholds'!$E:$AR,12,FALSE),IF((AND($U$4=TRUE,$U$5=FALSE,$U$6=TRUE,$U$7=TRUE)),VLOOKUP($E813,'Status Thresholds'!$E:$AR,17,FALSE),IF((AND($U$4=TRUE,$U$5=FALSE,$U$6=FALSE,$U$7=TRUE)),VLOOKUP($E813,'Status Thresholds'!$E:$AR,7,FALSE),
IF((AND($U$4=FALSE,$U$5=TRUE,$U$6=FALSE,$U$7=FALSE)),VLOOKUP($E813,'Status Thresholds'!$E:$AR,22,FALSE),IF((AND($U$4=FALSE,$U$5=TRUE,$U$6=TRUE,$U$7=FALSE)),VLOOKUP($E813,'Status Thresholds'!$E:$AR,32,FALSE),IF((AND($U$4=FALSE,$U$5=TRUE,$U$6=TRUE,$U$7=TRUE)),VLOOKUP($E813,'Status Thresholds'!$E:$AR,37,FALSE),IF((AND($U$4=FALSE,$U$5=TRUE,$U$6=FALSE,$U$7=TRUE)),VLOOKUP($E813,'Status Thresholds'!$E:$AR,27,FALSE)))))))))
))/
IF(OR($X$5=TRUE,$AC$3=TRUE
),($F$5/2), IF(OR($X$2,$X$3,$X$4,$X$6,$X$7,$X$8,$Z$2,$Z$3,$Z$4,$Z$5,$Z$6,$Z$7,$Z$8)=TRUE,$F$5)),0),"-")</f>
        <v>-</v>
      </c>
      <c r="G813" s="36" t="str">
        <f>IFERROR(
ROUNDUP(
IF(AND($U$5=FALSE,$U$4=FALSE),"-",IF(AND($U$5=TRUE,$U$4=TRUE),"-",
IF((AND($U$4=TRUE,$U$5=FALSE,$U$6=FALSE,$U$7=FALSE)),VLOOKUP($E813,'Status Thresholds'!$E:$AR,3,FALSE),IF((AND($U$4=TRUE,$U$5=FALSE,$U$6=TRUE,$U$7=FALSE)),VLOOKUP($E813,'Status Thresholds'!$E:$AR,13,FALSE),IF((AND($U$4=TRUE,$U$5=FALSE,$U$6=TRUE,$U$7=TRUE)),VLOOKUP($E813,'Status Thresholds'!$E:$AR,18,FALSE),IF((AND($U$4=TRUE,$U$5=FALSE,$U$6=FALSE,$U$7=TRUE)),VLOOKUP($E813,'Status Thresholds'!$E:$AR,8,FALSE),
IF((AND($U$4=FALSE,$U$5=TRUE,$U$6=FALSE,$U$7=FALSE)),VLOOKUP($E813,'Status Thresholds'!$E:$AR,23,FALSE),IF((AND($U$4=FALSE,$U$5=TRUE,$U$6=TRUE,$U$7=FALSE)),VLOOKUP($E813,'Status Thresholds'!$E:$AR,33,FALSE),IF((AND($U$4=FALSE,$U$5=TRUE,$U$6=TRUE,$U$7=TRUE)),VLOOKUP($E813,'Status Thresholds'!$E:$AR,38,FALSE),IF((AND($U$4=FALSE,$U$5=TRUE,$U$6=FALSE,$U$7=TRUE)),VLOOKUP($E813,'Status Thresholds'!$E:$AR,28,FALSE)))))))))
))/
IF(OR($X$5=TRUE,$AC$3=TRUE
),($F$5/2), IF(OR($X$2,$X$3,$X$4,$X$6,$X$7,$X$8,$Z$2,$Z$3,$Z$4,$Z$5,$Z$6,$Z$7,$Z$8)=TRUE,$F$5)),0),"-")</f>
        <v>-</v>
      </c>
      <c r="H813" s="36" t="str">
        <f>IFERROR(
ROUNDUP(
IF(AND($U$5=FALSE,$U$4=FALSE),"-",IF(AND($U$5=TRUE,$U$4=TRUE),"-",
IF((AND($U$4=TRUE,$U$5=FALSE,$U$6=FALSE,$U$7=FALSE)),VLOOKUP($E813,'Status Thresholds'!$E:$AR,4,FALSE),IF((AND($U$4=TRUE,$U$5=FALSE,$U$6=TRUE,$U$7=FALSE)),VLOOKUP($E813,'Status Thresholds'!$E:$AR,14,FALSE),IF((AND($U$4=TRUE,$U$5=FALSE,$U$6=TRUE,$U$7=TRUE)),VLOOKUP($E813,'Status Thresholds'!$E:$AR,19,FALSE),IF((AND($U$4=TRUE,$U$5=FALSE,$U$6=FALSE,$U$7=TRUE)),VLOOKUP($E813,'Status Thresholds'!$E:$AR,9,FALSE),
IF((AND($U$4=FALSE,$U$5=TRUE,$U$6=FALSE,$U$7=FALSE)),VLOOKUP($E813,'Status Thresholds'!$E:$AR,24,FALSE),IF((AND($U$4=FALSE,$U$5=TRUE,$U$6=TRUE,$U$7=FALSE)),VLOOKUP($E813,'Status Thresholds'!$E:$AR,34,FALSE),IF((AND($U$4=FALSE,$U$5=TRUE,$U$6=TRUE,$U$7=TRUE)),VLOOKUP($E813,'Status Thresholds'!$E:$AR,39,FALSE),IF((AND($U$4=FALSE,$U$5=TRUE,$U$6=FALSE,$U$7=TRUE)),VLOOKUP($E813,'Status Thresholds'!$E:$AR,29,FALSE)))))))))
))/
IF(OR($X$5=TRUE,$AC$3=TRUE
),($F$5/2), IF(OR($X$2,$X$3,$X$4,$X$6,$X$7,$X$8,$Z$2,$Z$3,$Z$4,$Z$5,$Z$6,$Z$7,$Z$8)=TRUE,$F$5)),0),"-")</f>
        <v>-</v>
      </c>
      <c r="I813" s="36" t="str">
        <f>IFERROR(
ROUNDUP(
IF(AND($U$5=FALSE,$U$4=FALSE),"-",IF(AND($U$5=TRUE,$U$4=TRUE),"-",
IF((AND($U$4=TRUE,$U$5=FALSE,$U$6=FALSE,$U$7=FALSE)),VLOOKUP($E813,'Status Thresholds'!$E:$AR,5,FALSE),IF((AND($U$4=TRUE,$U$5=FALSE,$U$6=TRUE,$U$7=FALSE)),VLOOKUP($E813,'Status Thresholds'!$E:$AR,15,FALSE),IF((AND($U$4=TRUE,$U$5=FALSE,$U$6=TRUE,$U$7=TRUE)),VLOOKUP($E813,'Status Thresholds'!$E:$AR,20,FALSE),IF((AND($U$4=TRUE,$U$5=FALSE,$U$6=FALSE,$U$7=TRUE)),VLOOKUP($E813,'Status Thresholds'!$E:$AR,10,FALSE),
IF((AND($U$4=FALSE,$U$5=TRUE,$U$6=FALSE,$U$7=FALSE)),VLOOKUP($E813,'Status Thresholds'!$E:$AR,25,FALSE),IF((AND($U$4=FALSE,$U$5=TRUE,$U$6=TRUE,$U$7=FALSE)),VLOOKUP($E813,'Status Thresholds'!$E:$AR,35,FALSE),IF((AND($U$4=FALSE,$U$5=TRUE,$U$6=TRUE,$U$7=TRUE)),VLOOKUP($E813,'Status Thresholds'!$E:$AR,40,FALSE),IF((AND($U$4=FALSE,$U$5=TRUE,$U$6=FALSE,$U$7=TRUE)),VLOOKUP($E813,'Status Thresholds'!$E:$AR,30,FALSE)))))))))
))/
IF(OR($X$5=TRUE,$AC$3=TRUE
),($F$5/2), IF(OR($X$2,$X$3,$X$4,$X$6,$X$7,$X$8,$Z$2,$Z$3,$Z$4,$Z$5,$Z$6,$Z$7,$Z$8)=TRUE,$F$5)),0),"-")</f>
        <v>-</v>
      </c>
      <c r="J813" s="46">
        <f>IFERROR(IF(AND($U$5=FALSE,$U$4=FALSE),"-",VLOOKUP($E813,'Status Thresholds'!$E:$AU,41,FALSE)),"-")</f>
        <v>0</v>
      </c>
      <c r="K813" s="46" t="str">
        <f>IFERROR(IF(AND($U$5=FALSE,$U$4=FALSE),"-",VLOOKUP($E813,'Status Thresholds'!$E:$AU,42,FALSE)),"-")</f>
        <v>-</v>
      </c>
      <c r="L813" s="46" t="str">
        <f>IFERROR(IF(AND($U$5=FALSE,$U$4=FALSE),"-",VLOOKUP($E813,'Status Thresholds'!$E:$AU,43,FALSE)),"-")</f>
        <v>-</v>
      </c>
    </row>
    <row r="814" spans="1:12" x14ac:dyDescent="0.25">
      <c r="A814" s="35"/>
      <c r="B814" s="64" t="str">
        <f>VLOOKUP(C814,'Status Thresholds'!B:C,2,FALSE)</f>
        <v>MHGen</v>
      </c>
      <c r="C814" s="64" t="str">
        <f>IF('Status Thresholds'!B809=0, "", 'Status Thresholds'!B809)</f>
        <v>Yian  Garuga</v>
      </c>
      <c r="D814" s="10" t="s">
        <v>22</v>
      </c>
      <c r="E814" s="36" t="str">
        <f t="shared" si="12"/>
        <v>Yian  GarugaExhaust</v>
      </c>
      <c r="F814" s="36" t="str">
        <f>IFERROR(
ROUNDUP(
IF(AND($U$5=FALSE,$U$4=FALSE),"-",IF(AND($U$5=TRUE,$U$4=TRUE),"-",
IF((AND($U$4=TRUE,$U$5=FALSE,$U$6=FALSE,$U$7=FALSE)),VLOOKUP($E814,'Status Thresholds'!$E:$AR,2,FALSE),IF((AND($U$4=TRUE,$U$5=FALSE,$U$6=TRUE,$U$7=FALSE)),VLOOKUP($E814,'Status Thresholds'!$E:$AR,12,FALSE),IF((AND($U$4=TRUE,$U$5=FALSE,$U$6=TRUE,$U$7=TRUE)),VLOOKUP($E814,'Status Thresholds'!$E:$AR,17,FALSE),IF((AND($U$4=TRUE,$U$5=FALSE,$U$6=FALSE,$U$7=TRUE)),VLOOKUP($E814,'Status Thresholds'!$E:$AR,7,FALSE),
IF((AND($U$4=FALSE,$U$5=TRUE,$U$6=FALSE,$U$7=FALSE)),VLOOKUP($E814,'Status Thresholds'!$E:$AR,22,FALSE),IF((AND($U$4=FALSE,$U$5=TRUE,$U$6=TRUE,$U$7=FALSE)),VLOOKUP($E814,'Status Thresholds'!$E:$AR,32,FALSE),IF((AND($U$4=FALSE,$U$5=TRUE,$U$6=TRUE,$U$7=TRUE)),VLOOKUP($E814,'Status Thresholds'!$E:$AR,37,FALSE),IF((AND($U$4=FALSE,$U$5=TRUE,$U$6=FALSE,$U$7=TRUE)),VLOOKUP($E814,'Status Thresholds'!$E:$AR,27,FALSE)))))))))
))/
IF(OR($X$5=TRUE,$AC$3=TRUE
),($F$6/2), IF(OR($X$2,$X$3,$X$4,$X$6,$X$7,$X$8,$Z$2,$Z$3,$Z$4,$Z$5,$Z$6,$Z$7,$Z$8)=TRUE,$F$6)),0),"-")</f>
        <v>-</v>
      </c>
      <c r="G814" s="36" t="str">
        <f>IFERROR(
ROUNDUP(
IF(AND($U$5=FALSE,$U$4=FALSE),"-",IF(AND($U$5=TRUE,$U$4=TRUE),"-",
IF((AND($U$4=TRUE,$U$5=FALSE,$U$6=FALSE,$U$7=FALSE)),VLOOKUP($E814,'Status Thresholds'!$E:$AR,3,FALSE),IF((AND($U$4=TRUE,$U$5=FALSE,$U$6=TRUE,$U$7=FALSE)),VLOOKUP($E814,'Status Thresholds'!$E:$AR,13,FALSE),IF((AND($U$4=TRUE,$U$5=FALSE,$U$6=TRUE,$U$7=TRUE)),VLOOKUP($E814,'Status Thresholds'!$E:$AR,18,FALSE),IF((AND($U$4=TRUE,$U$5=FALSE,$U$6=FALSE,$U$7=TRUE)),VLOOKUP($E814,'Status Thresholds'!$E:$AR,8,FALSE),
IF((AND($U$4=FALSE,$U$5=TRUE,$U$6=FALSE,$U$7=FALSE)),VLOOKUP($E814,'Status Thresholds'!$E:$AR,23,FALSE),IF((AND($U$4=FALSE,$U$5=TRUE,$U$6=TRUE,$U$7=FALSE)),VLOOKUP($E814,'Status Thresholds'!$E:$AR,33,FALSE),IF((AND($U$4=FALSE,$U$5=TRUE,$U$6=TRUE,$U$7=TRUE)),VLOOKUP($E814,'Status Thresholds'!$E:$AR,38,FALSE),IF((AND($U$4=FALSE,$U$5=TRUE,$U$6=FALSE,$U$7=TRUE)),VLOOKUP($E814,'Status Thresholds'!$E:$AR,28,FALSE)))))))))
))/
IF(OR($X$5=TRUE,$AC$3=TRUE
),($F$6/2), IF(OR($X$2,$X$3,$X$4,$X$6,$X$7,$X$8,$Z$2,$Z$3,$Z$4,$Z$5,$Z$6,$Z$7,$Z$8)=TRUE,$F$6)),0),"-")</f>
        <v>-</v>
      </c>
      <c r="H814" s="36" t="str">
        <f>IFERROR(
ROUNDUP(
IF(AND($U$5=FALSE,$U$4=FALSE),"-",IF(AND($U$5=TRUE,$U$4=TRUE),"-",
IF((AND($U$4=TRUE,$U$5=FALSE,$U$6=FALSE,$U$7=FALSE)),VLOOKUP($E814,'Status Thresholds'!$E:$AR,4,FALSE),IF((AND($U$4=TRUE,$U$5=FALSE,$U$6=TRUE,$U$7=FALSE)),VLOOKUP($E814,'Status Thresholds'!$E:$AR,14,FALSE),IF((AND($U$4=TRUE,$U$5=FALSE,$U$6=TRUE,$U$7=TRUE)),VLOOKUP($E814,'Status Thresholds'!$E:$AR,19,FALSE),IF((AND($U$4=TRUE,$U$5=FALSE,$U$6=FALSE,$U$7=TRUE)),VLOOKUP($E814,'Status Thresholds'!$E:$AR,9,FALSE),
IF((AND($U$4=FALSE,$U$5=TRUE,$U$6=FALSE,$U$7=FALSE)),VLOOKUP($E814,'Status Thresholds'!$E:$AR,24,FALSE),IF((AND($U$4=FALSE,$U$5=TRUE,$U$6=TRUE,$U$7=FALSE)),VLOOKUP($E814,'Status Thresholds'!$E:$AR,34,FALSE),IF((AND($U$4=FALSE,$U$5=TRUE,$U$6=TRUE,$U$7=TRUE)),VLOOKUP($E814,'Status Thresholds'!$E:$AR,39,FALSE),IF((AND($U$4=FALSE,$U$5=TRUE,$U$6=FALSE,$U$7=TRUE)),VLOOKUP($E814,'Status Thresholds'!$E:$AR,29,FALSE)))))))))
))/
IF(OR($X$5=TRUE,$AC$3=TRUE
),($F$6/2), IF(OR($X$2,$X$3,$X$4,$X$6,$X$7,$X$8,$Z$2,$Z$3,$Z$4,$Z$5,$Z$6,$Z$7,$Z$8)=TRUE,$F$6)),0),"-")</f>
        <v>-</v>
      </c>
      <c r="I814" s="36" t="str">
        <f>IFERROR(
ROUNDUP(
IF(AND($U$5=FALSE,$U$4=FALSE),"-",IF(AND($U$5=TRUE,$U$4=TRUE),"-",
IF((AND($U$4=TRUE,$U$5=FALSE,$U$6=FALSE,$U$7=FALSE)),VLOOKUP($E814,'Status Thresholds'!$E:$AR,5,FALSE),IF((AND($U$4=TRUE,$U$5=FALSE,$U$6=TRUE,$U$7=FALSE)),VLOOKUP($E814,'Status Thresholds'!$E:$AR,15,FALSE),IF((AND($U$4=TRUE,$U$5=FALSE,$U$6=TRUE,$U$7=TRUE)),VLOOKUP($E814,'Status Thresholds'!$E:$AR,20,FALSE),IF((AND($U$4=TRUE,$U$5=FALSE,$U$6=FALSE,$U$7=TRUE)),VLOOKUP($E814,'Status Thresholds'!$E:$AR,10,FALSE),
IF((AND($U$4=FALSE,$U$5=TRUE,$U$6=FALSE,$U$7=FALSE)),VLOOKUP($E814,'Status Thresholds'!$E:$AR,25,FALSE),IF((AND($U$4=FALSE,$U$5=TRUE,$U$6=TRUE,$U$7=FALSE)),VLOOKUP($E814,'Status Thresholds'!$E:$AR,35,FALSE),IF((AND($U$4=FALSE,$U$5=TRUE,$U$6=TRUE,$U$7=TRUE)),VLOOKUP($E814,'Status Thresholds'!$E:$AR,40,FALSE),IF((AND($U$4=FALSE,$U$5=TRUE,$U$6=FALSE,$U$7=TRUE)),VLOOKUP($E814,'Status Thresholds'!$E:$AR,30,FALSE)))))))))
))/
IF(OR($X$5=TRUE,$AC$3=TRUE
),($F$6/2), IF(OR($X$2,$X$3,$X$4,$X$6,$X$7,$X$8,$Z$2,$Z$3,$Z$4,$Z$5,$Z$6,$Z$7,$Z$8)=TRUE,$F$6)),0),"-")</f>
        <v>-</v>
      </c>
      <c r="J814" s="46">
        <f>IFERROR(IF(AND($U$5=FALSE,$U$4=FALSE),"-",VLOOKUP($E814,'Status Thresholds'!$E:$AU,41,FALSE)),"-")</f>
        <v>0</v>
      </c>
      <c r="K814" s="46" t="str">
        <f>IFERROR(IF(AND($U$5=FALSE,$U$4=FALSE),"-",VLOOKUP($E814,'Status Thresholds'!$E:$AU,42,FALSE)),"-")</f>
        <v>-</v>
      </c>
      <c r="L814" s="46" t="str">
        <f>IFERROR(IF(AND($U$5=FALSE,$U$4=FALSE),"-",VLOOKUP($E814,'Status Thresholds'!$E:$AU,43,FALSE)),"-")</f>
        <v>-</v>
      </c>
    </row>
    <row r="815" spans="1:12" x14ac:dyDescent="0.25">
      <c r="A815" s="35"/>
      <c r="B815" s="64" t="str">
        <f>VLOOKUP(C815,'Status Thresholds'!B:C,2,FALSE)</f>
        <v>MHGen</v>
      </c>
      <c r="C815" s="64" t="str">
        <f>IF('Status Thresholds'!B810=0, "", 'Status Thresholds'!B810)</f>
        <v>Yian  Garuga</v>
      </c>
      <c r="D815" s="30" t="s">
        <v>35</v>
      </c>
      <c r="E815" s="36" t="str">
        <f t="shared" si="12"/>
        <v>Yian  GarugaBlast</v>
      </c>
      <c r="F815" s="36" t="str">
        <f>IFERROR(
ROUNDUP(
IF(AND($U$5=FALSE,$U$4=FALSE),"-",IF(AND($U$5=TRUE,$U$4=TRUE),"-",
IF((AND($U$4=TRUE,$U$5=FALSE,$U$6=FALSE,$U$7=FALSE)),VLOOKUP($E815,'Status Thresholds'!$E:$AR,2,FALSE),IF((AND($U$4=TRUE,$U$5=FALSE,$U$6=TRUE,$U$7=FALSE)),VLOOKUP($E815,'Status Thresholds'!$E:$AR,12,FALSE),IF((AND($U$4=TRUE,$U$5=FALSE,$U$6=TRUE,$U$7=TRUE)),VLOOKUP($E815,'Status Thresholds'!$E:$AR,17,FALSE),IF((AND($U$4=TRUE,$U$5=FALSE,$U$6=FALSE,$U$7=TRUE)),VLOOKUP($E815,'Status Thresholds'!$E:$AR,7,FALSE),
IF((AND($U$4=FALSE,$U$5=TRUE,$U$6=FALSE,$U$7=FALSE)),VLOOKUP($E815,'Status Thresholds'!$E:$AR,22,FALSE),IF((AND($U$4=FALSE,$U$5=TRUE,$U$6=TRUE,$U$7=FALSE)),VLOOKUP($E815,'Status Thresholds'!$E:$AR,32,FALSE),IF((AND($U$4=FALSE,$U$5=TRUE,$U$6=TRUE,$U$7=TRUE)),VLOOKUP($E815,'Status Thresholds'!$E:$AR,37,FALSE),IF((AND($U$4=FALSE,$U$5=TRUE,$U$6=FALSE,$U$7=TRUE)),VLOOKUP($E815,'Status Thresholds'!$E:$AR,27,FALSE)))))))))
))/
IF(OR($X$5=TRUE,$AC$3=TRUE
),($F$7/2), IF(OR($X$2,$X$3,$X$4,$X$6,$X$7,$X$8,$Z$2,$Z$3,$Z$4,$Z$5,$Z$6,$Z$7,$Z$8)=TRUE,$F$7)),0),"-")</f>
        <v>-</v>
      </c>
      <c r="G815" s="36" t="str">
        <f>IFERROR(
ROUNDUP(
IF(AND($U$5=FALSE,$U$4=FALSE),"-",IF(AND($U$5=TRUE,$U$4=TRUE),"-",
IF((AND($U$4=TRUE,$U$5=FALSE,$U$6=FALSE,$U$7=FALSE)),VLOOKUP($E815,'Status Thresholds'!$E:$AR,3,FALSE),IF((AND($U$4=TRUE,$U$5=FALSE,$U$6=TRUE,$U$7=FALSE)),VLOOKUP($E815,'Status Thresholds'!$E:$AR,13,FALSE),IF((AND($U$4=TRUE,$U$5=FALSE,$U$6=TRUE,$U$7=TRUE)),VLOOKUP($E815,'Status Thresholds'!$E:$AR,18,FALSE),IF((AND($U$4=TRUE,$U$5=FALSE,$U$6=FALSE,$U$7=TRUE)),VLOOKUP($E815,'Status Thresholds'!$E:$AR,8,FALSE),
IF((AND($U$4=FALSE,$U$5=TRUE,$U$6=FALSE,$U$7=FALSE)),VLOOKUP($E815,'Status Thresholds'!$E:$AR,23,FALSE),IF((AND($U$4=FALSE,$U$5=TRUE,$U$6=TRUE,$U$7=FALSE)),VLOOKUP($E815,'Status Thresholds'!$E:$AR,33,FALSE),IF((AND($U$4=FALSE,$U$5=TRUE,$U$6=TRUE,$U$7=TRUE)),VLOOKUP($E815,'Status Thresholds'!$E:$AR,38,FALSE),IF((AND($U$4=FALSE,$U$5=TRUE,$U$6=FALSE,$U$7=TRUE)),VLOOKUP($E815,'Status Thresholds'!$E:$AR,28,FALSE)))))))))
))/
IF(OR($X$5=TRUE,$AC$3=TRUE
),($F$7/2), IF(OR($X$2,$X$3,$X$4,$X$6,$X$7,$X$8,$Z$2,$Z$3,$Z$4,$Z$5,$Z$6,$Z$7,$Z$8)=TRUE,$F$7)),0),"-")</f>
        <v>-</v>
      </c>
      <c r="H815" s="36" t="str">
        <f>IFERROR(
ROUNDUP(
IF(AND($U$5=FALSE,$U$4=FALSE),"-",IF(AND($U$5=TRUE,$U$4=TRUE),"-",
IF((AND($U$4=TRUE,$U$5=FALSE,$U$6=FALSE,$U$7=FALSE)),VLOOKUP($E815,'Status Thresholds'!$E:$AR,4,FALSE),IF((AND($U$4=TRUE,$U$5=FALSE,$U$6=TRUE,$U$7=FALSE)),VLOOKUP($E815,'Status Thresholds'!$E:$AR,14,FALSE),IF((AND($U$4=TRUE,$U$5=FALSE,$U$6=TRUE,$U$7=TRUE)),VLOOKUP($E815,'Status Thresholds'!$E:$AR,19,FALSE),IF((AND($U$4=TRUE,$U$5=FALSE,$U$6=FALSE,$U$7=TRUE)),VLOOKUP($E815,'Status Thresholds'!$E:$AR,9,FALSE),
IF((AND($U$4=FALSE,$U$5=TRUE,$U$6=FALSE,$U$7=FALSE)),VLOOKUP($E815,'Status Thresholds'!$E:$AR,24,FALSE),IF((AND($U$4=FALSE,$U$5=TRUE,$U$6=TRUE,$U$7=FALSE)),VLOOKUP($E815,'Status Thresholds'!$E:$AR,34,FALSE),IF((AND($U$4=FALSE,$U$5=TRUE,$U$6=TRUE,$U$7=TRUE)),VLOOKUP($E815,'Status Thresholds'!$E:$AR,39,FALSE),IF((AND($U$4=FALSE,$U$5=TRUE,$U$6=FALSE,$U$7=TRUE)),VLOOKUP($E815,'Status Thresholds'!$E:$AR,29,FALSE)))))))))
))/
IF(OR($X$5=TRUE,$AC$3=TRUE
),($F$7/2), IF(OR($X$2,$X$3,$X$4,$X$6,$X$7,$X$8,$Z$2,$Z$3,$Z$4,$Z$5,$Z$6,$Z$7,$Z$8)=TRUE,$F$7)),0),"-")</f>
        <v>-</v>
      </c>
      <c r="I815" s="36" t="str">
        <f>IFERROR(
ROUNDUP(
IF(AND($U$5=FALSE,$U$4=FALSE),"-",IF(AND($U$5=TRUE,$U$4=TRUE),"-",
IF((AND($U$4=TRUE,$U$5=FALSE,$U$6=FALSE,$U$7=FALSE)),VLOOKUP($E815,'Status Thresholds'!$E:$AR,5,FALSE),IF((AND($U$4=TRUE,$U$5=FALSE,$U$6=TRUE,$U$7=FALSE)),VLOOKUP($E815,'Status Thresholds'!$E:$AR,15,FALSE),IF((AND($U$4=TRUE,$U$5=FALSE,$U$6=TRUE,$U$7=TRUE)),VLOOKUP($E815,'Status Thresholds'!$E:$AR,20,FALSE),IF((AND($U$4=TRUE,$U$5=FALSE,$U$6=FALSE,$U$7=TRUE)),VLOOKUP($E815,'Status Thresholds'!$E:$AR,10,FALSE),
IF((AND($U$4=FALSE,$U$5=TRUE,$U$6=FALSE,$U$7=FALSE)),VLOOKUP($E815,'Status Thresholds'!$E:$AR,25,FALSE),IF((AND($U$4=FALSE,$U$5=TRUE,$U$6=TRUE,$U$7=FALSE)),VLOOKUP($E815,'Status Thresholds'!$E:$AR,35,FALSE),IF((AND($U$4=FALSE,$U$5=TRUE,$U$6=TRUE,$U$7=TRUE)),VLOOKUP($E815,'Status Thresholds'!$E:$AR,40,FALSE),IF((AND($U$4=FALSE,$U$5=TRUE,$U$6=FALSE,$U$7=TRUE)),VLOOKUP($E815,'Status Thresholds'!$E:$AR,30,FALSE)))))))))
))/
IF(OR($X$5=TRUE,$AC$3=TRUE
),($F$7/2), IF(OR($X$2,$X$3,$X$4,$X$6,$X$7,$X$8,$Z$2,$Z$3,$Z$4,$Z$5,$Z$6,$Z$7,$Z$8)=TRUE,$F$7)),0),"-")</f>
        <v>-</v>
      </c>
      <c r="J815" s="46">
        <f>IFERROR(IF(AND($U$5=FALSE,$U$4=FALSE),"-",VLOOKUP($E815,'Status Thresholds'!$E:$AU,41,FALSE)),"-")</f>
        <v>0</v>
      </c>
      <c r="K815" s="46" t="str">
        <f>IFERROR(IF(AND($U$5=FALSE,$U$4=FALSE),"-",VLOOKUP($E815,'Status Thresholds'!$E:$AU,42,FALSE)),"-")</f>
        <v>-</v>
      </c>
      <c r="L815" s="46" t="str">
        <f>IFERROR(IF(AND($U$5=FALSE,$U$4=FALSE),"-",VLOOKUP($E815,'Status Thresholds'!$E:$AU,43,FALSE)),"-")</f>
        <v>-</v>
      </c>
    </row>
    <row r="816" spans="1:12" ht="14.45" customHeight="1" x14ac:dyDescent="0.25">
      <c r="A816" s="35"/>
      <c r="B816" s="64" t="str">
        <f>VLOOKUP(C816,'Status Thresholds'!B:C,2,FALSE)</f>
        <v>MHGen</v>
      </c>
      <c r="C816" s="64" t="str">
        <f>IF('Status Thresholds'!B811=0, "", 'Status Thresholds'!B811)</f>
        <v>Yian  Garuga</v>
      </c>
      <c r="D816" s="34" t="s">
        <v>14</v>
      </c>
      <c r="E816" s="36" t="str">
        <f t="shared" si="12"/>
        <v>Yian  GarugaKO</v>
      </c>
      <c r="F816" s="36" t="s">
        <v>214</v>
      </c>
      <c r="G816" s="36" t="s">
        <v>214</v>
      </c>
      <c r="H816" s="36" t="s">
        <v>214</v>
      </c>
      <c r="I816" s="36" t="s">
        <v>214</v>
      </c>
      <c r="J816" s="46">
        <f>IFERROR(IF(AND($U$5=FALSE,$U$4=FALSE),"-",VLOOKUP($E816,'Status Thresholds'!$E:$AU,41,FALSE)),"-")</f>
        <v>10</v>
      </c>
      <c r="K816" s="46" t="str">
        <f>IFERROR(IF(AND($U$5=FALSE,$U$4=FALSE),"-",VLOOKUP($E816,'Status Thresholds'!$E:$AU,42,FALSE)),"-")</f>
        <v>-</v>
      </c>
      <c r="L816" s="46" t="str">
        <f>IFERROR(IF(AND($U$5=FALSE,$U$4=FALSE),"-",VLOOKUP($E816,'Status Thresholds'!$E:$AU,43,FALSE)),"-")</f>
        <v>-</v>
      </c>
    </row>
    <row r="817" spans="1:12" x14ac:dyDescent="0.25">
      <c r="A817" s="35"/>
      <c r="B817" s="64" t="str">
        <f>VLOOKUP(C817,'Status Thresholds'!B:C,2,FALSE)</f>
        <v>MHGen</v>
      </c>
      <c r="C817" s="64" t="str">
        <f>IF('Status Thresholds'!B812=0, "", 'Status Thresholds'!B812)</f>
        <v>Yian  Garuga</v>
      </c>
      <c r="D817" s="33" t="s">
        <v>34</v>
      </c>
      <c r="E817" s="36" t="str">
        <f t="shared" si="12"/>
        <v>Yian  GarugaMount</v>
      </c>
      <c r="F817" s="36" t="str">
        <f>IFERROR(
ROUNDUP(
IF(AND($U$5=FALSE,$U$4=FALSE),"-",IF(AND($U$5=TRUE,$U$4=TRUE),"-",
IF((AND($U$4=TRUE,$U$5=FALSE,$U$6=FALSE,$U$7=FALSE)),VLOOKUP($E817,'Status Thresholds'!$E:$AR,2,FALSE),IF((AND($U$4=TRUE,$U$5=FALSE,$U$6=TRUE,$U$7=FALSE)),VLOOKUP($E817,'Status Thresholds'!$E:$AR,12,FALSE),IF((AND($U$4=TRUE,$U$5=FALSE,$U$6=TRUE,$U$7=TRUE)),VLOOKUP($E817,'Status Thresholds'!$E:$AR,17,FALSE),IF((AND($U$4=TRUE,$U$5=FALSE,$U$6=FALSE,$U$7=TRUE)),VLOOKUP($E817,'Status Thresholds'!$E:$AR,7,FALSE),
IF((AND($U$4=FALSE,$U$5=TRUE,$U$6=FALSE,$U$7=FALSE)),VLOOKUP($E817,'Status Thresholds'!$E:$AR,22,FALSE),IF((AND($U$4=FALSE,$U$5=TRUE,$U$6=TRUE,$U$7=FALSE)),VLOOKUP($E817,'Status Thresholds'!$E:$AR,32,FALSE),IF((AND($U$4=FALSE,$U$5=TRUE,$U$6=TRUE,$U$7=TRUE)),VLOOKUP($E817,'Status Thresholds'!$E:$AR,37,FALSE),IF((AND($U$4=FALSE,$U$5=TRUE,$U$6=FALSE,$U$7=TRUE)),VLOOKUP($E817,'Status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817" s="36" t="str">
        <f>IFERROR(
ROUNDUP(
IF(AND($U$5=FALSE,$U$4=FALSE),"-",IF(AND($U$5=TRUE,$U$4=TRUE),"-",
IF((AND($U$4=TRUE,$U$5=FALSE,$U$6=FALSE,$U$7=FALSE)),VLOOKUP($E816,'Status Thresholds'!$E:$AR,3,FALSE),IF((AND($U$4=TRUE,$U$5=FALSE,$U$6=TRUE,$U$7=FALSE)),VLOOKUP($E816,'Status Thresholds'!$E:$AR,13,FALSE),IF((AND($U$4=TRUE,$U$5=FALSE,$U$6=TRUE,$U$7=TRUE)),VLOOKUP($E816,'Status Thresholds'!$E:$AR,18,FALSE),IF((AND($U$4=TRUE,$U$5=FALSE,$U$6=FALSE,$U$7=TRUE)),VLOOKUP($E816,'Status Thresholds'!$E:$AR,8,FALSE),
IF((AND($U$4=FALSE,$U$5=TRUE,$U$6=FALSE,$U$7=FALSE)),VLOOKUP($E816,'Status Thresholds'!$E:$AR,23,FALSE),IF((AND($U$4=FALSE,$U$5=TRUE,$U$6=TRUE,$U$7=FALSE)),VLOOKUP($E816,'Status Thresholds'!$E:$AR,33,FALSE),IF((AND($U$4=FALSE,$U$5=TRUE,$U$6=TRUE,$U$7=TRUE)),VLOOKUP($E816,'Status Thresholds'!$E:$AR,38,FALSE),IF((AND($U$4=FALSE,$U$5=TRUE,$U$6=FALSE,$U$7=TRUE)),VLOOKUP($E816,'Status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817" s="36" t="str">
        <f>IFERROR(
ROUNDUP(
IF(AND($U$5=FALSE,$U$4=FALSE),"-",IF(AND($U$5=TRUE,$U$4=TRUE),"-",
IF((AND($U$4=TRUE,$U$5=FALSE,$U$6=FALSE,$U$7=FALSE)),VLOOKUP($E816,'Status Thresholds'!$E:$AR,4,FALSE),IF((AND($U$4=TRUE,$U$5=FALSE,$U$6=TRUE,$U$7=FALSE)),VLOOKUP($E816,'Status Thresholds'!$E:$AR,14,FALSE),IF((AND($U$4=TRUE,$U$5=FALSE,$U$6=TRUE,$U$7=TRUE)),VLOOKUP($E816,'Status Thresholds'!$E:$AR,19,FALSE),IF((AND($U$4=TRUE,$U$5=FALSE,$U$6=FALSE,$U$7=TRUE)),VLOOKUP($E816,'Status Thresholds'!$E:$AR,9,FALSE),
IF((AND($U$4=FALSE,$U$5=TRUE,$U$6=FALSE,$U$7=FALSE)),VLOOKUP($E816,'Status Thresholds'!$E:$AR,24,FALSE),IF((AND($U$4=FALSE,$U$5=TRUE,$U$6=TRUE,$U$7=FALSE)),VLOOKUP($E816,'Status Thresholds'!$E:$AR,34,FALSE),IF((AND($U$4=FALSE,$U$5=TRUE,$U$6=TRUE,$U$7=TRUE)),VLOOKUP($E816,'Status Thresholds'!$E:$AR,39,FALSE),IF((AND($U$4=FALSE,$U$5=TRUE,$U$6=FALSE,$U$7=TRUE)),VLOOKUP($E816,'Status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817" s="36" t="str">
        <f>IFERROR(
ROUNDUP(
IF(AND($U$5=FALSE,$U$4=FALSE),"-",IF(AND($U$5=TRUE,$U$4=TRUE),"-",
IF((AND($U$4=TRUE,$U$5=FALSE,$U$6=FALSE,$U$7=FALSE)),VLOOKUP($E816,'Status Thresholds'!$E:$AR,5,FALSE),IF((AND($U$4=TRUE,$U$5=FALSE,$U$6=TRUE,$U$7=FALSE)),VLOOKUP($E816,'Status Thresholds'!$E:$AR,15,FALSE),IF((AND($U$4=TRUE,$U$5=FALSE,$U$6=TRUE,$U$7=TRUE)),VLOOKUP($E816,'Status Thresholds'!$E:$AR,20,FALSE),IF((AND($U$4=TRUE,$U$5=FALSE,$U$6=FALSE,$U$7=TRUE)),VLOOKUP($E816,'Status Thresholds'!$E:$AR,10,FALSE),
IF((AND($U$4=FALSE,$U$5=TRUE,$U$6=FALSE,$U$7=FALSE)),VLOOKUP($E816,'Status Thresholds'!$E:$AR,25,FALSE),IF((AND($U$4=FALSE,$U$5=TRUE,$U$6=TRUE,$U$7=FALSE)),VLOOKUP($E816,'Status Thresholds'!$E:$AR,35,FALSE),IF((AND($U$4=FALSE,$U$5=TRUE,$U$6=TRUE,$U$7=TRUE)),VLOOKUP($E816,'Status Thresholds'!$E:$AR,40,FALSE),IF((AND($U$4=FALSE,$U$5=TRUE,$U$6=FALSE,$U$7=TRUE)),VLOOKUP($E816,'Status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817" s="46">
        <f>IFERROR(IF(AND($U$5=FALSE,$U$4=FALSE),"-",VLOOKUP($E817,'Status Thresholds'!$E:$AU,41,FALSE)),"-")</f>
        <v>0</v>
      </c>
      <c r="K817" s="46" t="str">
        <f>IFERROR(IF(AND($U$5=FALSE,$U$4=FALSE),"-",VLOOKUP($E817,'Status Thresholds'!$E:$AU,42,FALSE)),"-")</f>
        <v>-</v>
      </c>
      <c r="L817" s="46" t="str">
        <f>IFERROR(IF(AND($U$5=FALSE,$U$4=FALSE),"-",VLOOKUP($E817,'Status Thresholds'!$E:$AU,43,FALSE)),"-")</f>
        <v>-</v>
      </c>
    </row>
    <row r="818" spans="1:12" ht="15" customHeight="1" x14ac:dyDescent="0.25">
      <c r="A818" s="35"/>
      <c r="B818" s="64" t="str">
        <f>VLOOKUP(C818,'Status Thresholds'!B:C,2,FALSE)</f>
        <v>MHGen</v>
      </c>
      <c r="C818" s="64" t="str">
        <f>IF('Status Thresholds'!B813=0, "", 'Status Thresholds'!B813)</f>
        <v>Yian  Garuga</v>
      </c>
      <c r="D818" s="77" t="s">
        <v>207</v>
      </c>
      <c r="E818" s="36" t="str">
        <f t="shared" si="12"/>
        <v>Yian  GarugaShock Trap</v>
      </c>
      <c r="F818" s="76" t="s">
        <v>214</v>
      </c>
      <c r="G818" s="46" t="s">
        <v>214</v>
      </c>
      <c r="H818" s="46" t="s">
        <v>214</v>
      </c>
      <c r="I818" s="46" t="s">
        <v>214</v>
      </c>
      <c r="J818" s="46">
        <f>IFERROR(IF(AND($U$5=FALSE,$U$4=FALSE),"-",VLOOKUP($E818,'Status Thresholds'!$E:$AU,43,FALSE)),"-")</f>
        <v>8</v>
      </c>
      <c r="K818" s="46">
        <f>IFERROR(IF(AND($U$5=FALSE,$U$4=FALSE),"-",VLOOKUP($E818,'Status Thresholds'!$E:$AU,41,FALSE)),"-")</f>
        <v>8</v>
      </c>
      <c r="L818" s="46">
        <f>IFERROR(IF(AND($U$5=FALSE,$U$4=FALSE),"-",VLOOKUP($E818,'Status Thresholds'!$E:$AU,42,FALSE)),"-")</f>
        <v>15</v>
      </c>
    </row>
    <row r="819" spans="1:12" x14ac:dyDescent="0.25">
      <c r="A819" s="35"/>
      <c r="B819" s="64" t="str">
        <f>VLOOKUP(C819,'Status Thresholds'!B:C,2,FALSE)</f>
        <v>MHGen</v>
      </c>
      <c r="C819" s="64" t="str">
        <f>IF('Status Thresholds'!B814=0, "", 'Status Thresholds'!B814)</f>
        <v>Yian  Garuga</v>
      </c>
      <c r="D819" s="77" t="s">
        <v>213</v>
      </c>
      <c r="E819" s="36" t="str">
        <f t="shared" si="12"/>
        <v>Yian  GarugaPitfall Trap</v>
      </c>
      <c r="F819" s="46" t="s">
        <v>214</v>
      </c>
      <c r="G819" s="46" t="s">
        <v>214</v>
      </c>
      <c r="H819" s="46" t="s">
        <v>214</v>
      </c>
      <c r="I819" s="46" t="s">
        <v>214</v>
      </c>
      <c r="J819" s="46">
        <f>IFERROR(IF(AND($U$5=FALSE,$U$4=FALSE),"-",VLOOKUP($E819,'Status Thresholds'!$E:$AU,43,FALSE)),"-")</f>
        <v>17</v>
      </c>
      <c r="K819" s="46">
        <f>IFERROR(IF(AND($U$5=FALSE,$U$4=FALSE),"-",VLOOKUP($E819,'Status Thresholds'!$E:$AU,41,FALSE)),"-")</f>
        <v>17</v>
      </c>
      <c r="L819" s="46">
        <f>IFERROR(IF(AND($U$5=FALSE,$U$4=FALSE),"-",VLOOKUP($E819,'Status Thresholds'!$E:$AU,42,FALSE)),"-")</f>
        <v>25</v>
      </c>
    </row>
    <row r="820" spans="1:12" s="36" customFormat="1" x14ac:dyDescent="0.25">
      <c r="A820" s="64"/>
      <c r="B820" s="64" t="str">
        <f>VLOOKUP(C820,'Status Thresholds'!B:C,2,FALSE)</f>
        <v>MHGen</v>
      </c>
      <c r="C820" s="64" t="str">
        <f>IF('Status Thresholds'!B815=0, "", 'Status Thresholds'!B815)</f>
        <v>Yian Kut-ku</v>
      </c>
      <c r="D820" s="37" t="s">
        <v>0</v>
      </c>
      <c r="E820" s="36" t="str">
        <f t="shared" si="12"/>
        <v>Yian Kut-kuPara</v>
      </c>
      <c r="F820" s="36" t="str">
        <f>IFERROR(
ROUNDUP(
IF(AND($U$5=FALSE,$U$4=FALSE),"-",IF(AND($U$5=TRUE,$U$4=TRUE),"-",
IF((AND($U$4=TRUE,$U$5=FALSE,$U$6=FALSE,$U$7=FALSE)),VLOOKUP($E820,'Status Thresholds'!$E:$AR,2,FALSE),IF((AND($U$4=TRUE,$U$5=FALSE,$U$6=TRUE,$U$7=FALSE)),VLOOKUP($E820,'Status Thresholds'!$E:$AR,12,FALSE),IF((AND($U$4=TRUE,$U$5=FALSE,$U$6=TRUE,$U$7=TRUE)),VLOOKUP($E820,'Status Thresholds'!$E:$AR,17,FALSE),IF((AND($U$4=TRUE,$U$5=FALSE,$U$6=FALSE,$U$7=TRUE)),VLOOKUP($E820,'Status Thresholds'!$E:$AR,7,FALSE),
IF((AND($U$4=FALSE,$U$5=TRUE,$U$6=FALSE,$U$7=FALSE)),VLOOKUP($E820,'Status Thresholds'!$E:$AR,22,FALSE),IF((AND($U$4=FALSE,$U$5=TRUE,$U$6=TRUE,$U$7=FALSE)),VLOOKUP($E820,'Status Thresholds'!$E:$AR,32,FALSE),IF((AND($U$4=FALSE,$U$5=TRUE,$U$6=TRUE,$U$7=TRUE)),VLOOKUP($E820,'Status Thresholds'!$E:$AR,37,FALSE),IF((AND($U$4=FALSE,$U$5=TRUE,$U$6=FALSE,$U$7=TRUE)),VLOOKUP($E820,'Status Thresholds'!$E:$AR,27,FALSE)))))))))
))/
IF(OR($X$5=TRUE,$AC$3=TRUE
),($F$3/2), IF(OR($X$2,$X$3,$X$4,$X$6,$X$7,$X$8,$Z$2,$Z$3,$Z$4,$Z$5,$Z$6,$Z$7,$Z$8)=TRUE,$F$3)),0),"-")</f>
        <v>-</v>
      </c>
      <c r="G820" s="36" t="str">
        <f>IFERROR(
ROUNDUP(
IF(AND($U$5=FALSE,$U$4=FALSE),"-",IF(AND($U$5=TRUE,$U$4=TRUE),"-",
IF((AND($U$4=TRUE,$U$5=FALSE,$U$6=FALSE,$U$7=FALSE)),VLOOKUP($E820,'Status Thresholds'!$E:$AR,3,FALSE),IF((AND($U$4=TRUE,$U$5=FALSE,$U$6=TRUE,$U$7=FALSE)),VLOOKUP($E820,'Status Thresholds'!$E:$AR,13,FALSE),IF((AND($U$4=TRUE,$U$5=FALSE,$U$6=TRUE,$U$7=TRUE)),VLOOKUP($E820,'Status Thresholds'!$E:$AR,18,FALSE),IF((AND($U$4=TRUE,$U$5=FALSE,$U$6=FALSE,$U$7=TRUE)),VLOOKUP($E820,'Status Thresholds'!$E:$AR,8,FALSE),
IF((AND($U$4=FALSE,$U$5=TRUE,$U$6=FALSE,$U$7=FALSE)),VLOOKUP($E820,'Status Thresholds'!$E:$AR,23,FALSE),IF((AND($U$4=FALSE,$U$5=TRUE,$U$6=TRUE,$U$7=FALSE)),VLOOKUP($E820,'Status Thresholds'!$E:$AR,33,FALSE),IF((AND($U$4=FALSE,$U$5=TRUE,$U$6=TRUE,$U$7=TRUE)),VLOOKUP($E820,'Status Thresholds'!$E:$AR,38,FALSE),IF((AND($U$4=FALSE,$U$5=TRUE,$U$6=FALSE,$U$7=TRUE)),VLOOKUP($E820,'Status Thresholds'!$E:$AR,28,FALSE)))))))))
))/
IF(OR($X$5=TRUE,$AC$3=TRUE
),($F$3/2), IF(OR($X$2,$X$3,$X$4,$X$6,$X$7,$X$8,$Z$2,$Z$3,$Z$4,$Z$5,$Z$6,$Z$7,$Z$8)=TRUE,$F$3)),0),"-")</f>
        <v>-</v>
      </c>
      <c r="H820" s="36" t="str">
        <f>IFERROR(
ROUNDUP(
IF(AND($U$5=FALSE,$U$4=FALSE),"-",IF(AND($U$5=TRUE,$U$4=TRUE),"-",
IF((AND($U$4=TRUE,$U$5=FALSE,$U$6=FALSE,$U$7=FALSE)),VLOOKUP($E820,'Status Thresholds'!$E:$AR,4,FALSE),IF((AND($U$4=TRUE,$U$5=FALSE,$U$6=TRUE,$U$7=FALSE)),VLOOKUP($E820,'Status Thresholds'!$E:$AR,14,FALSE),IF((AND($U$4=TRUE,$U$5=FALSE,$U$6=TRUE,$U$7=TRUE)),VLOOKUP($E820,'Status Thresholds'!$E:$AR,19,FALSE),IF((AND($U$4=TRUE,$U$5=FALSE,$U$6=FALSE,$U$7=TRUE)),VLOOKUP($E820,'Status Thresholds'!$E:$AR,9,FALSE),
IF((AND($U$4=FALSE,$U$5=TRUE,$U$6=FALSE,$U$7=FALSE)),VLOOKUP($E820,'Status Thresholds'!$E:$AR,24,FALSE),IF((AND($U$4=FALSE,$U$5=TRUE,$U$6=TRUE,$U$7=FALSE)),VLOOKUP($E820,'Status Thresholds'!$E:$AR,34,FALSE),IF((AND($U$4=FALSE,$U$5=TRUE,$U$6=TRUE,$U$7=TRUE)),VLOOKUP($E820,'Status Thresholds'!$E:$AR,39,FALSE),IF((AND($U$4=FALSE,$U$5=TRUE,$U$6=FALSE,$U$7=TRUE)),VLOOKUP($E820,'Status Thresholds'!$E:$AR,29,FALSE)))))))))
))/
IF(OR($X$5=TRUE,$AC$3=TRUE
),($F$3/2), IF(OR($X$2,$X$3,$X$4,$X$6,$X$7,$X$8,$Z$2,$Z$3,$Z$4,$Z$5,$Z$6,$Z$7,$Z$8)=TRUE,$F$3)),0),"-")</f>
        <v>-</v>
      </c>
      <c r="I820" s="36" t="str">
        <f>IFERROR(
ROUNDUP(
IF(AND($U$5=FALSE,$U$4=FALSE),"-",IF(AND($U$5=TRUE,$U$4=TRUE),"-",
IF((AND($U$4=TRUE,$U$5=FALSE,$U$6=FALSE,$U$7=FALSE)),VLOOKUP($E820,'Status Thresholds'!$E:$AR,5,FALSE),IF((AND($U$4=TRUE,$U$5=FALSE,$U$6=TRUE,$U$7=FALSE)),VLOOKUP($E820,'Status Thresholds'!$E:$AR,15,FALSE),IF((AND($U$4=TRUE,$U$5=FALSE,$U$6=TRUE,$U$7=TRUE)),VLOOKUP($E820,'Status Thresholds'!$E:$AR,20,FALSE),IF((AND($U$4=TRUE,$U$5=FALSE,$U$6=FALSE,$U$7=TRUE)),VLOOKUP($E820,'Status Thresholds'!$E:$AR,10,FALSE),
IF((AND($U$4=FALSE,$U$5=TRUE,$U$6=FALSE,$U$7=FALSE)),VLOOKUP($E820,'Status Thresholds'!$E:$AR,25,FALSE),IF((AND($U$4=FALSE,$U$5=TRUE,$U$6=TRUE,$U$7=FALSE)),VLOOKUP($E820,'Status Thresholds'!$E:$AR,35,FALSE),IF((AND($U$4=FALSE,$U$5=TRUE,$U$6=TRUE,$U$7=TRUE)),VLOOKUP($E820,'Status Thresholds'!$E:$AR,40,FALSE),IF((AND($U$4=FALSE,$U$5=TRUE,$U$6=FALSE,$U$7=TRUE)),VLOOKUP($E820,'Status Thresholds'!$E:$AR,30,FALSE)))))))))
))/
IF(OR($X$5=TRUE,$AC$3=TRUE
),($F$3/2), IF(OR($X$2,$X$3,$X$4,$X$6,$X$7,$X$8,$Z$2,$Z$3,$Z$4,$Z$5,$Z$6,$Z$7,$Z$8)=TRUE,$F$3)),0),"-")</f>
        <v>-</v>
      </c>
      <c r="J820" s="36">
        <f>IFERROR(IF(AND($U$5=FALSE,$U$4=FALSE),"-",VLOOKUP($E820,'Status Thresholds'!$E:$AU,41,FALSE)),"-")</f>
        <v>10</v>
      </c>
      <c r="K820" s="36" t="str">
        <f>IFERROR(IF(AND($U$5=FALSE,$U$4=FALSE),"-",VLOOKUP($E820,'Status Thresholds'!$E:$AU,42,FALSE)),"-")</f>
        <v>-</v>
      </c>
      <c r="L820" s="36" t="str">
        <f>IFERROR(IF(AND($U$5=FALSE,$U$4=FALSE),"-",VLOOKUP($E820,'Status Thresholds'!$E:$AU,43,FALSE)),"-")</f>
        <v>-</v>
      </c>
    </row>
    <row r="821" spans="1:12" x14ac:dyDescent="0.25">
      <c r="A821" s="35"/>
      <c r="B821" s="64" t="str">
        <f>VLOOKUP(C821,'Status Thresholds'!B:C,2,FALSE)</f>
        <v>MHGen</v>
      </c>
      <c r="C821" s="64" t="str">
        <f>IF('Status Thresholds'!B816=0, "", 'Status Thresholds'!B816)</f>
        <v>Yian Kut-ku</v>
      </c>
      <c r="D821" s="31" t="s">
        <v>32</v>
      </c>
      <c r="E821" s="36" t="str">
        <f t="shared" si="12"/>
        <v>Yian Kut-kuSleep</v>
      </c>
      <c r="F821" s="36" t="str">
        <f>IFERROR(
ROUNDUP(
IF(AND($U$5=FALSE,$U$4=FALSE),"-",IF(AND($U$5=TRUE,$U$4=TRUE),"-",
IF((AND($U$4=TRUE,$U$5=FALSE,$U$6=FALSE,$U$7=FALSE)),VLOOKUP($E821,'Status Thresholds'!$E:$AR,2,FALSE),IF((AND($U$4=TRUE,$U$5=FALSE,$U$6=TRUE,$U$7=FALSE)),VLOOKUP($E821,'Status Thresholds'!$E:$AR,12,FALSE),IF((AND($U$4=TRUE,$U$5=FALSE,$U$6=TRUE,$U$7=TRUE)),VLOOKUP($E821,'Status Thresholds'!$E:$AR,17,FALSE),IF((AND($U$4=TRUE,$U$5=FALSE,$U$6=FALSE,$U$7=TRUE)),VLOOKUP($E821,'Status Thresholds'!$E:$AR,7,FALSE),
IF((AND($U$4=FALSE,$U$5=TRUE,$U$6=FALSE,$U$7=FALSE)),VLOOKUP($E821,'Status Thresholds'!$E:$AR,22,FALSE),IF((AND($U$4=FALSE,$U$5=TRUE,$U$6=TRUE,$U$7=FALSE)),VLOOKUP($E821,'Status Thresholds'!$E:$AR,32,FALSE),IF((AND($U$4=FALSE,$U$5=TRUE,$U$6=TRUE,$U$7=TRUE)),VLOOKUP($E821,'Status Thresholds'!$E:$AR,37,FALSE),IF((AND($U$4=FALSE,$U$5=TRUE,$U$6=FALSE,$U$7=TRUE)),VLOOKUP($E821,'Status Thresholds'!$E:$AR,27,FALSE)))))))))
))/
IF(OR($X$5=TRUE,$AC$3=TRUE
),($F$4/2), IF(OR($X$2,$X$3,$X$4,$X$6,$X$7,$X$8,$Z$2,$Z$3,$Z$4,$Z$5,$Z$6,$Z$7,$Z$8)=TRUE,$F$4)),0),"-")</f>
        <v>-</v>
      </c>
      <c r="G821" s="36" t="str">
        <f>IFERROR(
ROUNDUP(
IF(AND($U$5=FALSE,$U$4=FALSE),"-",IF(AND($U$5=TRUE,$U$4=TRUE),"-",
IF((AND($U$4=TRUE,$U$5=FALSE,$U$6=FALSE,$U$7=FALSE)),VLOOKUP($E821,'Status Thresholds'!$E:$AR,3,FALSE),IF((AND($U$4=TRUE,$U$5=FALSE,$U$6=TRUE,$U$7=FALSE)),VLOOKUP($E821,'Status Thresholds'!$E:$AR,13,FALSE),IF((AND($U$4=TRUE,$U$5=FALSE,$U$6=TRUE,$U$7=TRUE)),VLOOKUP($E821,'Status Thresholds'!$E:$AR,18,FALSE),IF((AND($U$4=TRUE,$U$5=FALSE,$U$6=FALSE,$U$7=TRUE)),VLOOKUP($E821,'Status Thresholds'!$E:$AR,8,FALSE),
IF((AND($U$4=FALSE,$U$5=TRUE,$U$6=FALSE,$U$7=FALSE)),VLOOKUP($E821,'Status Thresholds'!$E:$AR,23,FALSE),IF((AND($U$4=FALSE,$U$5=TRUE,$U$6=TRUE,$U$7=FALSE)),VLOOKUP($E821,'Status Thresholds'!$E:$AR,33,FALSE),IF((AND($U$4=FALSE,$U$5=TRUE,$U$6=TRUE,$U$7=TRUE)),VLOOKUP($E821,'Status Thresholds'!$E:$AR,38,FALSE),IF((AND($U$4=FALSE,$U$5=TRUE,$U$6=FALSE,$U$7=TRUE)),VLOOKUP($E821,'Status Thresholds'!$E:$AR,28,FALSE)))))))))
))/
IF(OR($X$5=TRUE,$AC$3=TRUE
),($F$4/2), IF(OR($X$2,$X$3,$X$4,$X$6,$X$7,$X$8,$Z$2,$Z$3,$Z$4,$Z$5,$Z$6,$Z$7,$Z$8)=TRUE,$F$4)),0),"-")</f>
        <v>-</v>
      </c>
      <c r="H821" s="36" t="str">
        <f>IFERROR(
ROUNDUP(
IF(AND($U$5=FALSE,$U$4=FALSE),"-",IF(AND($U$5=TRUE,$U$4=TRUE),"-",
IF((AND($U$4=TRUE,$U$5=FALSE,$U$6=FALSE,$U$7=FALSE)),VLOOKUP($E821,'Status Thresholds'!$E:$AR,4,FALSE),IF((AND($U$4=TRUE,$U$5=FALSE,$U$6=TRUE,$U$7=FALSE)),VLOOKUP($E821,'Status Thresholds'!$E:$AR,14,FALSE),IF((AND($U$4=TRUE,$U$5=FALSE,$U$6=TRUE,$U$7=TRUE)),VLOOKUP($E821,'Status Thresholds'!$E:$AR,19,FALSE),IF((AND($U$4=TRUE,$U$5=FALSE,$U$6=FALSE,$U$7=TRUE)),VLOOKUP($E821,'Status Thresholds'!$E:$AR,9,FALSE),
IF((AND($U$4=FALSE,$U$5=TRUE,$U$6=FALSE,$U$7=FALSE)),VLOOKUP($E821,'Status Thresholds'!$E:$AR,24,FALSE),IF((AND($U$4=FALSE,$U$5=TRUE,$U$6=TRUE,$U$7=FALSE)),VLOOKUP($E821,'Status Thresholds'!$E:$AR,34,FALSE),IF((AND($U$4=FALSE,$U$5=TRUE,$U$6=TRUE,$U$7=TRUE)),VLOOKUP($E821,'Status Thresholds'!$E:$AR,39,FALSE),IF((AND($U$4=FALSE,$U$5=TRUE,$U$6=FALSE,$U$7=TRUE)),VLOOKUP($E821,'Status Thresholds'!$E:$AR,29,FALSE)))))))))
))/
IF(OR($X$5=TRUE,$AC$3=TRUE
),($F$4/2), IF(OR($X$2,$X$3,$X$4,$X$6,$X$7,$X$8,$Z$2,$Z$3,$Z$4,$Z$5,$Z$6,$Z$7,$Z$8)=TRUE,$F$4)),0),"-")</f>
        <v>-</v>
      </c>
      <c r="I821" s="36" t="str">
        <f>IFERROR(
ROUNDUP(
IF(AND($U$5=FALSE,$U$4=FALSE),"-",IF(AND($U$5=TRUE,$U$4=TRUE),"-",
IF((AND($U$4=TRUE,$U$5=FALSE,$U$6=FALSE,$U$7=FALSE)),VLOOKUP($E821,'Status Thresholds'!$E:$AR,5,FALSE),IF((AND($U$4=TRUE,$U$5=FALSE,$U$6=TRUE,$U$7=FALSE)),VLOOKUP($E821,'Status Thresholds'!$E:$AR,15,FALSE),IF((AND($U$4=TRUE,$U$5=FALSE,$U$6=TRUE,$U$7=TRUE)),VLOOKUP($E821,'Status Thresholds'!$E:$AR,20,FALSE),IF((AND($U$4=TRUE,$U$5=FALSE,$U$6=FALSE,$U$7=TRUE)),VLOOKUP($E821,'Status Thresholds'!$E:$AR,10,FALSE),
IF((AND($U$4=FALSE,$U$5=TRUE,$U$6=FALSE,$U$7=FALSE)),VLOOKUP($E821,'Status Thresholds'!$E:$AR,25,FALSE),IF((AND($U$4=FALSE,$U$5=TRUE,$U$6=TRUE,$U$7=FALSE)),VLOOKUP($E821,'Status Thresholds'!$E:$AR,35,FALSE),IF((AND($U$4=FALSE,$U$5=TRUE,$U$6=TRUE,$U$7=TRUE)),VLOOKUP($E821,'Status Thresholds'!$E:$AR,40,FALSE),IF((AND($U$4=FALSE,$U$5=TRUE,$U$6=FALSE,$U$7=TRUE)),VLOOKUP($E821,'Status Thresholds'!$E:$AR,30,FALSE)))))))))
))/
IF(OR($X$5=TRUE,$AC$3=TRUE
),($F$4/2), IF(OR($X$2,$X$3,$X$4,$X$6,$X$7,$X$8,$Z$2,$Z$3,$Z$4,$Z$5,$Z$6,$Z$7,$Z$8)=TRUE,$F$4)),0),"-")</f>
        <v>-</v>
      </c>
      <c r="J821" s="46">
        <f>IFERROR(IF(AND($U$5=FALSE,$U$4=FALSE),"-",VLOOKUP($E821,'Status Thresholds'!$E:$AU,41,FALSE)),"-")</f>
        <v>40</v>
      </c>
      <c r="K821" s="46" t="str">
        <f>IFERROR(IF(AND($U$5=FALSE,$U$4=FALSE),"-",VLOOKUP($E821,'Status Thresholds'!$E:$AU,42,FALSE)),"-")</f>
        <v>-</v>
      </c>
      <c r="L821" s="46" t="str">
        <f>IFERROR(IF(AND($U$5=FALSE,$U$4=FALSE),"-",VLOOKUP($E821,'Status Thresholds'!$E:$AU,43,FALSE)),"-")</f>
        <v>-</v>
      </c>
    </row>
    <row r="822" spans="1:12" x14ac:dyDescent="0.25">
      <c r="A822" s="35"/>
      <c r="B822" s="64" t="str">
        <f>VLOOKUP(C822,'Status Thresholds'!B:C,2,FALSE)</f>
        <v>MHGen</v>
      </c>
      <c r="C822" s="64" t="str">
        <f>IF('Status Thresholds'!B817=0, "", 'Status Thresholds'!B817)</f>
        <v>Yian Kut-ku</v>
      </c>
      <c r="D822" s="32" t="s">
        <v>33</v>
      </c>
      <c r="E822" s="36" t="str">
        <f t="shared" si="12"/>
        <v>Yian Kut-kuPoison</v>
      </c>
      <c r="F822" s="36" t="str">
        <f>IFERROR(
ROUNDUP(
IF(AND($U$5=FALSE,$U$4=FALSE),"-",IF(AND($U$5=TRUE,$U$4=TRUE),"-",
IF((AND($U$4=TRUE,$U$5=FALSE,$U$6=FALSE,$U$7=FALSE)),VLOOKUP($E822,'Status Thresholds'!$E:$AR,2,FALSE),IF((AND($U$4=TRUE,$U$5=FALSE,$U$6=TRUE,$U$7=FALSE)),VLOOKUP($E822,'Status Thresholds'!$E:$AR,12,FALSE),IF((AND($U$4=TRUE,$U$5=FALSE,$U$6=TRUE,$U$7=TRUE)),VLOOKUP($E822,'Status Thresholds'!$E:$AR,17,FALSE),IF((AND($U$4=TRUE,$U$5=FALSE,$U$6=FALSE,$U$7=TRUE)),VLOOKUP($E822,'Status Thresholds'!$E:$AR,7,FALSE),
IF((AND($U$4=FALSE,$U$5=TRUE,$U$6=FALSE,$U$7=FALSE)),VLOOKUP($E822,'Status Thresholds'!$E:$AR,22,FALSE),IF((AND($U$4=FALSE,$U$5=TRUE,$U$6=TRUE,$U$7=FALSE)),VLOOKUP($E822,'Status Thresholds'!$E:$AR,32,FALSE),IF((AND($U$4=FALSE,$U$5=TRUE,$U$6=TRUE,$U$7=TRUE)),VLOOKUP($E822,'Status Thresholds'!$E:$AR,37,FALSE),IF((AND($U$4=FALSE,$U$5=TRUE,$U$6=FALSE,$U$7=TRUE)),VLOOKUP($E822,'Status Thresholds'!$E:$AR,27,FALSE)))))))))
))/
IF(OR($X$5=TRUE,$AC$3=TRUE
),($F$5/2), IF(OR($X$2,$X$3,$X$4,$X$6,$X$7,$X$8,$Z$2,$Z$3,$Z$4,$Z$5,$Z$6,$Z$7,$Z$8)=TRUE,$F$5)),0),"-")</f>
        <v>-</v>
      </c>
      <c r="G822" s="36" t="str">
        <f>IFERROR(
ROUNDUP(
IF(AND($U$5=FALSE,$U$4=FALSE),"-",IF(AND($U$5=TRUE,$U$4=TRUE),"-",
IF((AND($U$4=TRUE,$U$5=FALSE,$U$6=FALSE,$U$7=FALSE)),VLOOKUP($E822,'Status Thresholds'!$E:$AR,3,FALSE),IF((AND($U$4=TRUE,$U$5=FALSE,$U$6=TRUE,$U$7=FALSE)),VLOOKUP($E822,'Status Thresholds'!$E:$AR,13,FALSE),IF((AND($U$4=TRUE,$U$5=FALSE,$U$6=TRUE,$U$7=TRUE)),VLOOKUP($E822,'Status Thresholds'!$E:$AR,18,FALSE),IF((AND($U$4=TRUE,$U$5=FALSE,$U$6=FALSE,$U$7=TRUE)),VLOOKUP($E822,'Status Thresholds'!$E:$AR,8,FALSE),
IF((AND($U$4=FALSE,$U$5=TRUE,$U$6=FALSE,$U$7=FALSE)),VLOOKUP($E822,'Status Thresholds'!$E:$AR,23,FALSE),IF((AND($U$4=FALSE,$U$5=TRUE,$U$6=TRUE,$U$7=FALSE)),VLOOKUP($E822,'Status Thresholds'!$E:$AR,33,FALSE),IF((AND($U$4=FALSE,$U$5=TRUE,$U$6=TRUE,$U$7=TRUE)),VLOOKUP($E822,'Status Thresholds'!$E:$AR,38,FALSE),IF((AND($U$4=FALSE,$U$5=TRUE,$U$6=FALSE,$U$7=TRUE)),VLOOKUP($E822,'Status Thresholds'!$E:$AR,28,FALSE)))))))))
))/
IF(OR($X$5=TRUE,$AC$3=TRUE
),($F$5/2), IF(OR($X$2,$X$3,$X$4,$X$6,$X$7,$X$8,$Z$2,$Z$3,$Z$4,$Z$5,$Z$6,$Z$7,$Z$8)=TRUE,$F$5)),0),"-")</f>
        <v>-</v>
      </c>
      <c r="H822" s="36" t="str">
        <f>IFERROR(
ROUNDUP(
IF(AND($U$5=FALSE,$U$4=FALSE),"-",IF(AND($U$5=TRUE,$U$4=TRUE),"-",
IF((AND($U$4=TRUE,$U$5=FALSE,$U$6=FALSE,$U$7=FALSE)),VLOOKUP($E822,'Status Thresholds'!$E:$AR,4,FALSE),IF((AND($U$4=TRUE,$U$5=FALSE,$U$6=TRUE,$U$7=FALSE)),VLOOKUP($E822,'Status Thresholds'!$E:$AR,14,FALSE),IF((AND($U$4=TRUE,$U$5=FALSE,$U$6=TRUE,$U$7=TRUE)),VLOOKUP($E822,'Status Thresholds'!$E:$AR,19,FALSE),IF((AND($U$4=TRUE,$U$5=FALSE,$U$6=FALSE,$U$7=TRUE)),VLOOKUP($E822,'Status Thresholds'!$E:$AR,9,FALSE),
IF((AND($U$4=FALSE,$U$5=TRUE,$U$6=FALSE,$U$7=FALSE)),VLOOKUP($E822,'Status Thresholds'!$E:$AR,24,FALSE),IF((AND($U$4=FALSE,$U$5=TRUE,$U$6=TRUE,$U$7=FALSE)),VLOOKUP($E822,'Status Thresholds'!$E:$AR,34,FALSE),IF((AND($U$4=FALSE,$U$5=TRUE,$U$6=TRUE,$U$7=TRUE)),VLOOKUP($E822,'Status Thresholds'!$E:$AR,39,FALSE),IF((AND($U$4=FALSE,$U$5=TRUE,$U$6=FALSE,$U$7=TRUE)),VLOOKUP($E822,'Status Thresholds'!$E:$AR,29,FALSE)))))))))
))/
IF(OR($X$5=TRUE,$AC$3=TRUE
),($F$5/2), IF(OR($X$2,$X$3,$X$4,$X$6,$X$7,$X$8,$Z$2,$Z$3,$Z$4,$Z$5,$Z$6,$Z$7,$Z$8)=TRUE,$F$5)),0),"-")</f>
        <v>-</v>
      </c>
      <c r="I822" s="36" t="str">
        <f>IFERROR(
ROUNDUP(
IF(AND($U$5=FALSE,$U$4=FALSE),"-",IF(AND($U$5=TRUE,$U$4=TRUE),"-",
IF((AND($U$4=TRUE,$U$5=FALSE,$U$6=FALSE,$U$7=FALSE)),VLOOKUP($E822,'Status Thresholds'!$E:$AR,5,FALSE),IF((AND($U$4=TRUE,$U$5=FALSE,$U$6=TRUE,$U$7=FALSE)),VLOOKUP($E822,'Status Thresholds'!$E:$AR,15,FALSE),IF((AND($U$4=TRUE,$U$5=FALSE,$U$6=TRUE,$U$7=TRUE)),VLOOKUP($E822,'Status Thresholds'!$E:$AR,20,FALSE),IF((AND($U$4=TRUE,$U$5=FALSE,$U$6=FALSE,$U$7=TRUE)),VLOOKUP($E822,'Status Thresholds'!$E:$AR,10,FALSE),
IF((AND($U$4=FALSE,$U$5=TRUE,$U$6=FALSE,$U$7=FALSE)),VLOOKUP($E822,'Status Thresholds'!$E:$AR,25,FALSE),IF((AND($U$4=FALSE,$U$5=TRUE,$U$6=TRUE,$U$7=FALSE)),VLOOKUP($E822,'Status Thresholds'!$E:$AR,35,FALSE),IF((AND($U$4=FALSE,$U$5=TRUE,$U$6=TRUE,$U$7=TRUE)),VLOOKUP($E822,'Status Thresholds'!$E:$AR,40,FALSE),IF((AND($U$4=FALSE,$U$5=TRUE,$U$6=FALSE,$U$7=TRUE)),VLOOKUP($E822,'Status Thresholds'!$E:$AR,30,FALSE)))))))))
))/
IF(OR($X$5=TRUE,$AC$3=TRUE
),($F$5/2), IF(OR($X$2,$X$3,$X$4,$X$6,$X$7,$X$8,$Z$2,$Z$3,$Z$4,$Z$5,$Z$6,$Z$7,$Z$8)=TRUE,$F$5)),0),"-")</f>
        <v>-</v>
      </c>
      <c r="J822" s="46">
        <f>IFERROR(IF(AND($U$5=FALSE,$U$4=FALSE),"-",VLOOKUP($E822,'Status Thresholds'!$E:$AU,41,FALSE)),"-")</f>
        <v>40</v>
      </c>
      <c r="K822" s="46" t="str">
        <f>IFERROR(IF(AND($U$5=FALSE,$U$4=FALSE),"-",VLOOKUP($E822,'Status Thresholds'!$E:$AU,42,FALSE)),"-")</f>
        <v>-</v>
      </c>
      <c r="L822" s="46" t="str">
        <f>IFERROR(IF(AND($U$5=FALSE,$U$4=FALSE),"-",VLOOKUP($E822,'Status Thresholds'!$E:$AU,43,FALSE)),"-")</f>
        <v>-</v>
      </c>
    </row>
    <row r="823" spans="1:12" x14ac:dyDescent="0.25">
      <c r="A823" s="35"/>
      <c r="B823" s="64" t="str">
        <f>VLOOKUP(C823,'Status Thresholds'!B:C,2,FALSE)</f>
        <v>MHGen</v>
      </c>
      <c r="C823" s="64" t="str">
        <f>IF('Status Thresholds'!B818=0, "", 'Status Thresholds'!B818)</f>
        <v>Yian Kut-ku</v>
      </c>
      <c r="D823" s="10" t="s">
        <v>22</v>
      </c>
      <c r="E823" s="36" t="str">
        <f t="shared" si="12"/>
        <v>Yian Kut-kuExhaust</v>
      </c>
      <c r="F823" s="36" t="str">
        <f>IFERROR(
ROUNDUP(
IF(AND($U$5=FALSE,$U$4=FALSE),"-",IF(AND($U$5=TRUE,$U$4=TRUE),"-",
IF((AND($U$4=TRUE,$U$5=FALSE,$U$6=FALSE,$U$7=FALSE)),VLOOKUP($E823,'Status Thresholds'!$E:$AR,2,FALSE),IF((AND($U$4=TRUE,$U$5=FALSE,$U$6=TRUE,$U$7=FALSE)),VLOOKUP($E823,'Status Thresholds'!$E:$AR,12,FALSE),IF((AND($U$4=TRUE,$U$5=FALSE,$U$6=TRUE,$U$7=TRUE)),VLOOKUP($E823,'Status Thresholds'!$E:$AR,17,FALSE),IF((AND($U$4=TRUE,$U$5=FALSE,$U$6=FALSE,$U$7=TRUE)),VLOOKUP($E823,'Status Thresholds'!$E:$AR,7,FALSE),
IF((AND($U$4=FALSE,$U$5=TRUE,$U$6=FALSE,$U$7=FALSE)),VLOOKUP($E823,'Status Thresholds'!$E:$AR,22,FALSE),IF((AND($U$4=FALSE,$U$5=TRUE,$U$6=TRUE,$U$7=FALSE)),VLOOKUP($E823,'Status Thresholds'!$E:$AR,32,FALSE),IF((AND($U$4=FALSE,$U$5=TRUE,$U$6=TRUE,$U$7=TRUE)),VLOOKUP($E823,'Status Thresholds'!$E:$AR,37,FALSE),IF((AND($U$4=FALSE,$U$5=TRUE,$U$6=FALSE,$U$7=TRUE)),VLOOKUP($E823,'Status Thresholds'!$E:$AR,27,FALSE)))))))))
))/
IF(OR($X$5=TRUE,$AC$3=TRUE
),($F$6/2), IF(OR($X$2,$X$3,$X$4,$X$6,$X$7,$X$8,$Z$2,$Z$3,$Z$4,$Z$5,$Z$6,$Z$7,$Z$8)=TRUE,$F$6)),0),"-")</f>
        <v>-</v>
      </c>
      <c r="G823" s="36" t="str">
        <f>IFERROR(
ROUNDUP(
IF(AND($U$5=FALSE,$U$4=FALSE),"-",IF(AND($U$5=TRUE,$U$4=TRUE),"-",
IF((AND($U$4=TRUE,$U$5=FALSE,$U$6=FALSE,$U$7=FALSE)),VLOOKUP($E823,'Status Thresholds'!$E:$AR,3,FALSE),IF((AND($U$4=TRUE,$U$5=FALSE,$U$6=TRUE,$U$7=FALSE)),VLOOKUP($E823,'Status Thresholds'!$E:$AR,13,FALSE),IF((AND($U$4=TRUE,$U$5=FALSE,$U$6=TRUE,$U$7=TRUE)),VLOOKUP($E823,'Status Thresholds'!$E:$AR,18,FALSE),IF((AND($U$4=TRUE,$U$5=FALSE,$U$6=FALSE,$U$7=TRUE)),VLOOKUP($E823,'Status Thresholds'!$E:$AR,8,FALSE),
IF((AND($U$4=FALSE,$U$5=TRUE,$U$6=FALSE,$U$7=FALSE)),VLOOKUP($E823,'Status Thresholds'!$E:$AR,23,FALSE),IF((AND($U$4=FALSE,$U$5=TRUE,$U$6=TRUE,$U$7=FALSE)),VLOOKUP($E823,'Status Thresholds'!$E:$AR,33,FALSE),IF((AND($U$4=FALSE,$U$5=TRUE,$U$6=TRUE,$U$7=TRUE)),VLOOKUP($E823,'Status Thresholds'!$E:$AR,38,FALSE),IF((AND($U$4=FALSE,$U$5=TRUE,$U$6=FALSE,$U$7=TRUE)),VLOOKUP($E823,'Status Thresholds'!$E:$AR,28,FALSE)))))))))
))/
IF(OR($X$5=TRUE,$AC$3=TRUE
),($F$6/2), IF(OR($X$2,$X$3,$X$4,$X$6,$X$7,$X$8,$Z$2,$Z$3,$Z$4,$Z$5,$Z$6,$Z$7,$Z$8)=TRUE,$F$6)),0),"-")</f>
        <v>-</v>
      </c>
      <c r="H823" s="36" t="str">
        <f>IFERROR(
ROUNDUP(
IF(AND($U$5=FALSE,$U$4=FALSE),"-",IF(AND($U$5=TRUE,$U$4=TRUE),"-",
IF((AND($U$4=TRUE,$U$5=FALSE,$U$6=FALSE,$U$7=FALSE)),VLOOKUP($E823,'Status Thresholds'!$E:$AR,4,FALSE),IF((AND($U$4=TRUE,$U$5=FALSE,$U$6=TRUE,$U$7=FALSE)),VLOOKUP($E823,'Status Thresholds'!$E:$AR,14,FALSE),IF((AND($U$4=TRUE,$U$5=FALSE,$U$6=TRUE,$U$7=TRUE)),VLOOKUP($E823,'Status Thresholds'!$E:$AR,19,FALSE),IF((AND($U$4=TRUE,$U$5=FALSE,$U$6=FALSE,$U$7=TRUE)),VLOOKUP($E823,'Status Thresholds'!$E:$AR,9,FALSE),
IF((AND($U$4=FALSE,$U$5=TRUE,$U$6=FALSE,$U$7=FALSE)),VLOOKUP($E823,'Status Thresholds'!$E:$AR,24,FALSE),IF((AND($U$4=FALSE,$U$5=TRUE,$U$6=TRUE,$U$7=FALSE)),VLOOKUP($E823,'Status Thresholds'!$E:$AR,34,FALSE),IF((AND($U$4=FALSE,$U$5=TRUE,$U$6=TRUE,$U$7=TRUE)),VLOOKUP($E823,'Status Thresholds'!$E:$AR,39,FALSE),IF((AND($U$4=FALSE,$U$5=TRUE,$U$6=FALSE,$U$7=TRUE)),VLOOKUP($E823,'Status Thresholds'!$E:$AR,29,FALSE)))))))))
))/
IF(OR($X$5=TRUE,$AC$3=TRUE
),($F$6/2), IF(OR($X$2,$X$3,$X$4,$X$6,$X$7,$X$8,$Z$2,$Z$3,$Z$4,$Z$5,$Z$6,$Z$7,$Z$8)=TRUE,$F$6)),0),"-")</f>
        <v>-</v>
      </c>
      <c r="I823" s="36" t="str">
        <f>IFERROR(
ROUNDUP(
IF(AND($U$5=FALSE,$U$4=FALSE),"-",IF(AND($U$5=TRUE,$U$4=TRUE),"-",
IF((AND($U$4=TRUE,$U$5=FALSE,$U$6=FALSE,$U$7=FALSE)),VLOOKUP($E823,'Status Thresholds'!$E:$AR,5,FALSE),IF((AND($U$4=TRUE,$U$5=FALSE,$U$6=TRUE,$U$7=FALSE)),VLOOKUP($E823,'Status Thresholds'!$E:$AR,15,FALSE),IF((AND($U$4=TRUE,$U$5=FALSE,$U$6=TRUE,$U$7=TRUE)),VLOOKUP($E823,'Status Thresholds'!$E:$AR,20,FALSE),IF((AND($U$4=TRUE,$U$5=FALSE,$U$6=FALSE,$U$7=TRUE)),VLOOKUP($E823,'Status Thresholds'!$E:$AR,10,FALSE),
IF((AND($U$4=FALSE,$U$5=TRUE,$U$6=FALSE,$U$7=FALSE)),VLOOKUP($E823,'Status Thresholds'!$E:$AR,25,FALSE),IF((AND($U$4=FALSE,$U$5=TRUE,$U$6=TRUE,$U$7=FALSE)),VLOOKUP($E823,'Status Thresholds'!$E:$AR,35,FALSE),IF((AND($U$4=FALSE,$U$5=TRUE,$U$6=TRUE,$U$7=TRUE)),VLOOKUP($E823,'Status Thresholds'!$E:$AR,40,FALSE),IF((AND($U$4=FALSE,$U$5=TRUE,$U$6=FALSE,$U$7=TRUE)),VLOOKUP($E823,'Status Thresholds'!$E:$AR,30,FALSE)))))))))
))/
IF(OR($X$5=TRUE,$AC$3=TRUE
),($F$6/2), IF(OR($X$2,$X$3,$X$4,$X$6,$X$7,$X$8,$Z$2,$Z$3,$Z$4,$Z$5,$Z$6,$Z$7,$Z$8)=TRUE,$F$6)),0),"-")</f>
        <v>-</v>
      </c>
      <c r="J823" s="46">
        <f>IFERROR(IF(AND($U$5=FALSE,$U$4=FALSE),"-",VLOOKUP($E823,'Status Thresholds'!$E:$AU,41,FALSE)),"-")</f>
        <v>0</v>
      </c>
      <c r="K823" s="46" t="str">
        <f>IFERROR(IF(AND($U$5=FALSE,$U$4=FALSE),"-",VLOOKUP($E823,'Status Thresholds'!$E:$AU,42,FALSE)),"-")</f>
        <v>-</v>
      </c>
      <c r="L823" s="46" t="str">
        <f>IFERROR(IF(AND($U$5=FALSE,$U$4=FALSE),"-",VLOOKUP($E823,'Status Thresholds'!$E:$AU,43,FALSE)),"-")</f>
        <v>-</v>
      </c>
    </row>
    <row r="824" spans="1:12" x14ac:dyDescent="0.25">
      <c r="A824" s="35"/>
      <c r="B824" s="64" t="str">
        <f>VLOOKUP(C824,'Status Thresholds'!B:C,2,FALSE)</f>
        <v>MHGen</v>
      </c>
      <c r="C824" s="64" t="str">
        <f>IF('Status Thresholds'!B819=0, "", 'Status Thresholds'!B819)</f>
        <v>Yian Kut-ku</v>
      </c>
      <c r="D824" s="30" t="s">
        <v>35</v>
      </c>
      <c r="E824" s="36" t="str">
        <f t="shared" si="12"/>
        <v>Yian Kut-kuBlast</v>
      </c>
      <c r="F824" s="36" t="str">
        <f>IFERROR(
ROUNDUP(
IF(AND($U$5=FALSE,$U$4=FALSE),"-",IF(AND($U$5=TRUE,$U$4=TRUE),"-",
IF((AND($U$4=TRUE,$U$5=FALSE,$U$6=FALSE,$U$7=FALSE)),VLOOKUP($E824,'Status Thresholds'!$E:$AR,2,FALSE),IF((AND($U$4=TRUE,$U$5=FALSE,$U$6=TRUE,$U$7=FALSE)),VLOOKUP($E824,'Status Thresholds'!$E:$AR,12,FALSE),IF((AND($U$4=TRUE,$U$5=FALSE,$U$6=TRUE,$U$7=TRUE)),VLOOKUP($E824,'Status Thresholds'!$E:$AR,17,FALSE),IF((AND($U$4=TRUE,$U$5=FALSE,$U$6=FALSE,$U$7=TRUE)),VLOOKUP($E824,'Status Thresholds'!$E:$AR,7,FALSE),
IF((AND($U$4=FALSE,$U$5=TRUE,$U$6=FALSE,$U$7=FALSE)),VLOOKUP($E824,'Status Thresholds'!$E:$AR,22,FALSE),IF((AND($U$4=FALSE,$U$5=TRUE,$U$6=TRUE,$U$7=FALSE)),VLOOKUP($E824,'Status Thresholds'!$E:$AR,32,FALSE),IF((AND($U$4=FALSE,$U$5=TRUE,$U$6=TRUE,$U$7=TRUE)),VLOOKUP($E824,'Status Thresholds'!$E:$AR,37,FALSE),IF((AND($U$4=FALSE,$U$5=TRUE,$U$6=FALSE,$U$7=TRUE)),VLOOKUP($E824,'Status Thresholds'!$E:$AR,27,FALSE)))))))))
))/
IF(OR($X$5=TRUE,$AC$3=TRUE
),($F$7/2), IF(OR($X$2,$X$3,$X$4,$X$6,$X$7,$X$8,$Z$2,$Z$3,$Z$4,$Z$5,$Z$6,$Z$7,$Z$8)=TRUE,$F$7)),0),"-")</f>
        <v>-</v>
      </c>
      <c r="G824" s="36" t="str">
        <f>IFERROR(
ROUNDUP(
IF(AND($U$5=FALSE,$U$4=FALSE),"-",IF(AND($U$5=TRUE,$U$4=TRUE),"-",
IF((AND($U$4=TRUE,$U$5=FALSE,$U$6=FALSE,$U$7=FALSE)),VLOOKUP($E824,'Status Thresholds'!$E:$AR,3,FALSE),IF((AND($U$4=TRUE,$U$5=FALSE,$U$6=TRUE,$U$7=FALSE)),VLOOKUP($E824,'Status Thresholds'!$E:$AR,13,FALSE),IF((AND($U$4=TRUE,$U$5=FALSE,$U$6=TRUE,$U$7=TRUE)),VLOOKUP($E824,'Status Thresholds'!$E:$AR,18,FALSE),IF((AND($U$4=TRUE,$U$5=FALSE,$U$6=FALSE,$U$7=TRUE)),VLOOKUP($E824,'Status Thresholds'!$E:$AR,8,FALSE),
IF((AND($U$4=FALSE,$U$5=TRUE,$U$6=FALSE,$U$7=FALSE)),VLOOKUP($E824,'Status Thresholds'!$E:$AR,23,FALSE),IF((AND($U$4=FALSE,$U$5=TRUE,$U$6=TRUE,$U$7=FALSE)),VLOOKUP($E824,'Status Thresholds'!$E:$AR,33,FALSE),IF((AND($U$4=FALSE,$U$5=TRUE,$U$6=TRUE,$U$7=TRUE)),VLOOKUP($E824,'Status Thresholds'!$E:$AR,38,FALSE),IF((AND($U$4=FALSE,$U$5=TRUE,$U$6=FALSE,$U$7=TRUE)),VLOOKUP($E824,'Status Thresholds'!$E:$AR,28,FALSE)))))))))
))/
IF(OR($X$5=TRUE,$AC$3=TRUE
),($F$7/2), IF(OR($X$2,$X$3,$X$4,$X$6,$X$7,$X$8,$Z$2,$Z$3,$Z$4,$Z$5,$Z$6,$Z$7,$Z$8)=TRUE,$F$7)),0),"-")</f>
        <v>-</v>
      </c>
      <c r="H824" s="36" t="str">
        <f>IFERROR(
ROUNDUP(
IF(AND($U$5=FALSE,$U$4=FALSE),"-",IF(AND($U$5=TRUE,$U$4=TRUE),"-",
IF((AND($U$4=TRUE,$U$5=FALSE,$U$6=FALSE,$U$7=FALSE)),VLOOKUP($E824,'Status Thresholds'!$E:$AR,4,FALSE),IF((AND($U$4=TRUE,$U$5=FALSE,$U$6=TRUE,$U$7=FALSE)),VLOOKUP($E824,'Status Thresholds'!$E:$AR,14,FALSE),IF((AND($U$4=TRUE,$U$5=FALSE,$U$6=TRUE,$U$7=TRUE)),VLOOKUP($E824,'Status Thresholds'!$E:$AR,19,FALSE),IF((AND($U$4=TRUE,$U$5=FALSE,$U$6=FALSE,$U$7=TRUE)),VLOOKUP($E824,'Status Thresholds'!$E:$AR,9,FALSE),
IF((AND($U$4=FALSE,$U$5=TRUE,$U$6=FALSE,$U$7=FALSE)),VLOOKUP($E824,'Status Thresholds'!$E:$AR,24,FALSE),IF((AND($U$4=FALSE,$U$5=TRUE,$U$6=TRUE,$U$7=FALSE)),VLOOKUP($E824,'Status Thresholds'!$E:$AR,34,FALSE),IF((AND($U$4=FALSE,$U$5=TRUE,$U$6=TRUE,$U$7=TRUE)),VLOOKUP($E824,'Status Thresholds'!$E:$AR,39,FALSE),IF((AND($U$4=FALSE,$U$5=TRUE,$U$6=FALSE,$U$7=TRUE)),VLOOKUP($E824,'Status Thresholds'!$E:$AR,29,FALSE)))))))))
))/
IF(OR($X$5=TRUE,$AC$3=TRUE
),($F$7/2), IF(OR($X$2,$X$3,$X$4,$X$6,$X$7,$X$8,$Z$2,$Z$3,$Z$4,$Z$5,$Z$6,$Z$7,$Z$8)=TRUE,$F$7)),0),"-")</f>
        <v>-</v>
      </c>
      <c r="I824" s="36" t="str">
        <f>IFERROR(
ROUNDUP(
IF(AND($U$5=FALSE,$U$4=FALSE),"-",IF(AND($U$5=TRUE,$U$4=TRUE),"-",
IF((AND($U$4=TRUE,$U$5=FALSE,$U$6=FALSE,$U$7=FALSE)),VLOOKUP($E824,'Status Thresholds'!$E:$AR,5,FALSE),IF((AND($U$4=TRUE,$U$5=FALSE,$U$6=TRUE,$U$7=FALSE)),VLOOKUP($E824,'Status Thresholds'!$E:$AR,15,FALSE),IF((AND($U$4=TRUE,$U$5=FALSE,$U$6=TRUE,$U$7=TRUE)),VLOOKUP($E824,'Status Thresholds'!$E:$AR,20,FALSE),IF((AND($U$4=TRUE,$U$5=FALSE,$U$6=FALSE,$U$7=TRUE)),VLOOKUP($E824,'Status Thresholds'!$E:$AR,10,FALSE),
IF((AND($U$4=FALSE,$U$5=TRUE,$U$6=FALSE,$U$7=FALSE)),VLOOKUP($E824,'Status Thresholds'!$E:$AR,25,FALSE),IF((AND($U$4=FALSE,$U$5=TRUE,$U$6=TRUE,$U$7=FALSE)),VLOOKUP($E824,'Status Thresholds'!$E:$AR,35,FALSE),IF((AND($U$4=FALSE,$U$5=TRUE,$U$6=TRUE,$U$7=TRUE)),VLOOKUP($E824,'Status Thresholds'!$E:$AR,40,FALSE),IF((AND($U$4=FALSE,$U$5=TRUE,$U$6=FALSE,$U$7=TRUE)),VLOOKUP($E824,'Status Thresholds'!$E:$AR,30,FALSE)))))))))
))/
IF(OR($X$5=TRUE,$AC$3=TRUE
),($F$7/2), IF(OR($X$2,$X$3,$X$4,$X$6,$X$7,$X$8,$Z$2,$Z$3,$Z$4,$Z$5,$Z$6,$Z$7,$Z$8)=TRUE,$F$7)),0),"-")</f>
        <v>-</v>
      </c>
      <c r="J824" s="46">
        <f>IFERROR(IF(AND($U$5=FALSE,$U$4=FALSE),"-",VLOOKUP($E824,'Status Thresholds'!$E:$AU,41,FALSE)),"-")</f>
        <v>0</v>
      </c>
      <c r="K824" s="46" t="str">
        <f>IFERROR(IF(AND($U$5=FALSE,$U$4=FALSE),"-",VLOOKUP($E824,'Status Thresholds'!$E:$AU,42,FALSE)),"-")</f>
        <v>-</v>
      </c>
      <c r="L824" s="46" t="str">
        <f>IFERROR(IF(AND($U$5=FALSE,$U$4=FALSE),"-",VLOOKUP($E824,'Status Thresholds'!$E:$AU,43,FALSE)),"-")</f>
        <v>-</v>
      </c>
    </row>
    <row r="825" spans="1:12" ht="14.45" customHeight="1" x14ac:dyDescent="0.25">
      <c r="A825" s="35"/>
      <c r="B825" s="64" t="str">
        <f>VLOOKUP(C825,'Status Thresholds'!B:C,2,FALSE)</f>
        <v>MHGen</v>
      </c>
      <c r="C825" s="64" t="str">
        <f>IF('Status Thresholds'!B820=0, "", 'Status Thresholds'!B820)</f>
        <v>Yian Kut-ku</v>
      </c>
      <c r="D825" s="34" t="s">
        <v>14</v>
      </c>
      <c r="E825" s="36" t="str">
        <f t="shared" si="12"/>
        <v>Yian Kut-kuKO</v>
      </c>
      <c r="F825" s="36" t="s">
        <v>214</v>
      </c>
      <c r="G825" s="36" t="s">
        <v>214</v>
      </c>
      <c r="H825" s="36" t="s">
        <v>214</v>
      </c>
      <c r="I825" s="36" t="s">
        <v>214</v>
      </c>
      <c r="J825" s="46">
        <f>IFERROR(IF(AND($U$5=FALSE,$U$4=FALSE),"-",VLOOKUP($E825,'Status Thresholds'!$E:$AU,41,FALSE)),"-")</f>
        <v>10</v>
      </c>
      <c r="K825" s="46" t="str">
        <f>IFERROR(IF(AND($U$5=FALSE,$U$4=FALSE),"-",VLOOKUP($E825,'Status Thresholds'!$E:$AU,42,FALSE)),"-")</f>
        <v>-</v>
      </c>
      <c r="L825" s="46" t="str">
        <f>IFERROR(IF(AND($U$5=FALSE,$U$4=FALSE),"-",VLOOKUP($E825,'Status Thresholds'!$E:$AU,43,FALSE)),"-")</f>
        <v>-</v>
      </c>
    </row>
    <row r="826" spans="1:12" x14ac:dyDescent="0.25">
      <c r="A826" s="35"/>
      <c r="B826" s="64" t="str">
        <f>VLOOKUP(C826,'Status Thresholds'!B:C,2,FALSE)</f>
        <v>MHGen</v>
      </c>
      <c r="C826" s="64" t="str">
        <f>IF('Status Thresholds'!B821=0, "", 'Status Thresholds'!B821)</f>
        <v>Yian Kut-ku</v>
      </c>
      <c r="D826" s="33" t="s">
        <v>34</v>
      </c>
      <c r="E826" s="36" t="str">
        <f t="shared" si="12"/>
        <v>Yian Kut-kuMount</v>
      </c>
      <c r="F826" s="36" t="str">
        <f>IFERROR(
ROUNDUP(
IF(AND($U$5=FALSE,$U$4=FALSE),"-",IF(AND($U$5=TRUE,$U$4=TRUE),"-",
IF((AND($U$4=TRUE,$U$5=FALSE,$U$6=FALSE,$U$7=FALSE)),VLOOKUP($E826,'Status Thresholds'!$E:$AR,2,FALSE),IF((AND($U$4=TRUE,$U$5=FALSE,$U$6=TRUE,$U$7=FALSE)),VLOOKUP($E826,'Status Thresholds'!$E:$AR,12,FALSE),IF((AND($U$4=TRUE,$U$5=FALSE,$U$6=TRUE,$U$7=TRUE)),VLOOKUP($E826,'Status Thresholds'!$E:$AR,17,FALSE),IF((AND($U$4=TRUE,$U$5=FALSE,$U$6=FALSE,$U$7=TRUE)),VLOOKUP($E826,'Status Thresholds'!$E:$AR,7,FALSE),
IF((AND($U$4=FALSE,$U$5=TRUE,$U$6=FALSE,$U$7=FALSE)),VLOOKUP($E826,'Status Thresholds'!$E:$AR,22,FALSE),IF((AND($U$4=FALSE,$U$5=TRUE,$U$6=TRUE,$U$7=FALSE)),VLOOKUP($E826,'Status Thresholds'!$E:$AR,32,FALSE),IF((AND($U$4=FALSE,$U$5=TRUE,$U$6=TRUE,$U$7=TRUE)),VLOOKUP($E826,'Status Thresholds'!$E:$AR,37,FALSE),IF((AND($U$4=FALSE,$U$5=TRUE,$U$6=FALSE,$U$7=TRUE)),VLOOKUP($E826,'Status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826" s="36" t="str">
        <f>IFERROR(
ROUNDUP(
IF(AND($U$5=FALSE,$U$4=FALSE),"-",IF(AND($U$5=TRUE,$U$4=TRUE),"-",
IF((AND($U$4=TRUE,$U$5=FALSE,$U$6=FALSE,$U$7=FALSE)),VLOOKUP($E825,'Status Thresholds'!$E:$AR,3,FALSE),IF((AND($U$4=TRUE,$U$5=FALSE,$U$6=TRUE,$U$7=FALSE)),VLOOKUP($E825,'Status Thresholds'!$E:$AR,13,FALSE),IF((AND($U$4=TRUE,$U$5=FALSE,$U$6=TRUE,$U$7=TRUE)),VLOOKUP($E825,'Status Thresholds'!$E:$AR,18,FALSE),IF((AND($U$4=TRUE,$U$5=FALSE,$U$6=FALSE,$U$7=TRUE)),VLOOKUP($E825,'Status Thresholds'!$E:$AR,8,FALSE),
IF((AND($U$4=FALSE,$U$5=TRUE,$U$6=FALSE,$U$7=FALSE)),VLOOKUP($E825,'Status Thresholds'!$E:$AR,23,FALSE),IF((AND($U$4=FALSE,$U$5=TRUE,$U$6=TRUE,$U$7=FALSE)),VLOOKUP($E825,'Status Thresholds'!$E:$AR,33,FALSE),IF((AND($U$4=FALSE,$U$5=TRUE,$U$6=TRUE,$U$7=TRUE)),VLOOKUP($E825,'Status Thresholds'!$E:$AR,38,FALSE),IF((AND($U$4=FALSE,$U$5=TRUE,$U$6=FALSE,$U$7=TRUE)),VLOOKUP($E825,'Status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826" s="36" t="str">
        <f>IFERROR(
ROUNDUP(
IF(AND($U$5=FALSE,$U$4=FALSE),"-",IF(AND($U$5=TRUE,$U$4=TRUE),"-",
IF((AND($U$4=TRUE,$U$5=FALSE,$U$6=FALSE,$U$7=FALSE)),VLOOKUP($E825,'Status Thresholds'!$E:$AR,4,FALSE),IF((AND($U$4=TRUE,$U$5=FALSE,$U$6=TRUE,$U$7=FALSE)),VLOOKUP($E825,'Status Thresholds'!$E:$AR,14,FALSE),IF((AND($U$4=TRUE,$U$5=FALSE,$U$6=TRUE,$U$7=TRUE)),VLOOKUP($E825,'Status Thresholds'!$E:$AR,19,FALSE),IF((AND($U$4=TRUE,$U$5=FALSE,$U$6=FALSE,$U$7=TRUE)),VLOOKUP($E825,'Status Thresholds'!$E:$AR,9,FALSE),
IF((AND($U$4=FALSE,$U$5=TRUE,$U$6=FALSE,$U$7=FALSE)),VLOOKUP($E825,'Status Thresholds'!$E:$AR,24,FALSE),IF((AND($U$4=FALSE,$U$5=TRUE,$U$6=TRUE,$U$7=FALSE)),VLOOKUP($E825,'Status Thresholds'!$E:$AR,34,FALSE),IF((AND($U$4=FALSE,$U$5=TRUE,$U$6=TRUE,$U$7=TRUE)),VLOOKUP($E825,'Status Thresholds'!$E:$AR,39,FALSE),IF((AND($U$4=FALSE,$U$5=TRUE,$U$6=FALSE,$U$7=TRUE)),VLOOKUP($E825,'Status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826" s="36" t="str">
        <f>IFERROR(
ROUNDUP(
IF(AND($U$5=FALSE,$U$4=FALSE),"-",IF(AND($U$5=TRUE,$U$4=TRUE),"-",
IF((AND($U$4=TRUE,$U$5=FALSE,$U$6=FALSE,$U$7=FALSE)),VLOOKUP($E825,'Status Thresholds'!$E:$AR,5,FALSE),IF((AND($U$4=TRUE,$U$5=FALSE,$U$6=TRUE,$U$7=FALSE)),VLOOKUP($E825,'Status Thresholds'!$E:$AR,15,FALSE),IF((AND($U$4=TRUE,$U$5=FALSE,$U$6=TRUE,$U$7=TRUE)),VLOOKUP($E825,'Status Thresholds'!$E:$AR,20,FALSE),IF((AND($U$4=TRUE,$U$5=FALSE,$U$6=FALSE,$U$7=TRUE)),VLOOKUP($E825,'Status Thresholds'!$E:$AR,10,FALSE),
IF((AND($U$4=FALSE,$U$5=TRUE,$U$6=FALSE,$U$7=FALSE)),VLOOKUP($E825,'Status Thresholds'!$E:$AR,25,FALSE),IF((AND($U$4=FALSE,$U$5=TRUE,$U$6=TRUE,$U$7=FALSE)),VLOOKUP($E825,'Status Thresholds'!$E:$AR,35,FALSE),IF((AND($U$4=FALSE,$U$5=TRUE,$U$6=TRUE,$U$7=TRUE)),VLOOKUP($E825,'Status Thresholds'!$E:$AR,40,FALSE),IF((AND($U$4=FALSE,$U$5=TRUE,$U$6=FALSE,$U$7=TRUE)),VLOOKUP($E825,'Status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826" s="46">
        <f>IFERROR(IF(AND($U$5=FALSE,$U$4=FALSE),"-",VLOOKUP($E826,'Status Thresholds'!$E:$AU,41,FALSE)),"-")</f>
        <v>0</v>
      </c>
      <c r="K826" s="46" t="str">
        <f>IFERROR(IF(AND($U$5=FALSE,$U$4=FALSE),"-",VLOOKUP($E826,'Status Thresholds'!$E:$AU,42,FALSE)),"-")</f>
        <v>-</v>
      </c>
      <c r="L826" s="46" t="str">
        <f>IFERROR(IF(AND($U$5=FALSE,$U$4=FALSE),"-",VLOOKUP($E826,'Status Thresholds'!$E:$AU,43,FALSE)),"-")</f>
        <v>-</v>
      </c>
    </row>
    <row r="827" spans="1:12" ht="15" customHeight="1" x14ac:dyDescent="0.25">
      <c r="A827" s="35"/>
      <c r="B827" s="64" t="str">
        <f>VLOOKUP(C827,'Status Thresholds'!B:C,2,FALSE)</f>
        <v>MHGen</v>
      </c>
      <c r="C827" s="64" t="str">
        <f>IF('Status Thresholds'!B822=0, "", 'Status Thresholds'!B822)</f>
        <v>Yian Kut-ku</v>
      </c>
      <c r="D827" s="77" t="s">
        <v>207</v>
      </c>
      <c r="E827" s="36" t="str">
        <f t="shared" si="12"/>
        <v>Yian Kut-kuShock Trap</v>
      </c>
      <c r="F827" s="76" t="s">
        <v>214</v>
      </c>
      <c r="G827" s="46" t="s">
        <v>214</v>
      </c>
      <c r="H827" s="46" t="s">
        <v>214</v>
      </c>
      <c r="I827" s="46" t="s">
        <v>214</v>
      </c>
      <c r="J827" s="46">
        <f>IFERROR(IF(AND($U$5=FALSE,$U$4=FALSE),"-",VLOOKUP($E827,'Status Thresholds'!$E:$AU,43,FALSE)),"-")</f>
        <v>12</v>
      </c>
      <c r="K827" s="46">
        <f>IFERROR(IF(AND($U$5=FALSE,$U$4=FALSE),"-",VLOOKUP($E827,'Status Thresholds'!$E:$AU,41,FALSE)),"-")</f>
        <v>10</v>
      </c>
      <c r="L827" s="46">
        <f>IFERROR(IF(AND($U$5=FALSE,$U$4=FALSE),"-",VLOOKUP($E827,'Status Thresholds'!$E:$AU,42,FALSE)),"-")</f>
        <v>15</v>
      </c>
    </row>
    <row r="828" spans="1:12" x14ac:dyDescent="0.25">
      <c r="A828" s="35"/>
      <c r="B828" s="64" t="str">
        <f>VLOOKUP(C828,'Status Thresholds'!B:C,2,FALSE)</f>
        <v>MHGen</v>
      </c>
      <c r="C828" s="64" t="str">
        <f>IF('Status Thresholds'!B823=0, "", 'Status Thresholds'!B823)</f>
        <v>Yian Kut-ku</v>
      </c>
      <c r="D828" s="77" t="s">
        <v>213</v>
      </c>
      <c r="E828" s="36" t="str">
        <f t="shared" si="12"/>
        <v>Yian Kut-kuPitfall Trap</v>
      </c>
      <c r="F828" s="46" t="s">
        <v>214</v>
      </c>
      <c r="G828" s="46" t="s">
        <v>214</v>
      </c>
      <c r="H828" s="46" t="s">
        <v>214</v>
      </c>
      <c r="I828" s="46" t="s">
        <v>214</v>
      </c>
      <c r="J828" s="46">
        <f>IFERROR(IF(AND($U$5=FALSE,$U$4=FALSE),"-",VLOOKUP($E828,'Status Thresholds'!$E:$AU,43,FALSE)),"-")</f>
        <v>15</v>
      </c>
      <c r="K828" s="46">
        <f>IFERROR(IF(AND($U$5=FALSE,$U$4=FALSE),"-",VLOOKUP($E828,'Status Thresholds'!$E:$AU,41,FALSE)),"-")</f>
        <v>12</v>
      </c>
      <c r="L828" s="46">
        <f>IFERROR(IF(AND($U$5=FALSE,$U$4=FALSE),"-",VLOOKUP($E828,'Status Thresholds'!$E:$AU,42,FALSE)),"-")</f>
        <v>20</v>
      </c>
    </row>
    <row r="829" spans="1:12" s="36" customFormat="1" x14ac:dyDescent="0.25">
      <c r="A829" s="64"/>
      <c r="B829" s="64" t="str">
        <f>VLOOKUP(C829,'Status Thresholds'!B:C,2,FALSE)</f>
        <v>MHGen</v>
      </c>
      <c r="C829" s="64" t="str">
        <f>IF('Status Thresholds'!B824=0, "", 'Status Thresholds'!B824)</f>
        <v>Zamtrios</v>
      </c>
      <c r="D829" s="37" t="s">
        <v>0</v>
      </c>
      <c r="E829" s="36" t="str">
        <f t="shared" si="12"/>
        <v>ZamtriosPara</v>
      </c>
      <c r="F829" s="36" t="str">
        <f>IFERROR(
ROUNDUP(
IF(AND($U$5=FALSE,$U$4=FALSE),"-",IF(AND($U$5=TRUE,$U$4=TRUE),"-",
IF((AND($U$4=TRUE,$U$5=FALSE,$U$6=FALSE,$U$7=FALSE)),VLOOKUP($E829,'Status Thresholds'!$E:$AR,2,FALSE),IF((AND($U$4=TRUE,$U$5=FALSE,$U$6=TRUE,$U$7=FALSE)),VLOOKUP($E829,'Status Thresholds'!$E:$AR,12,FALSE),IF((AND($U$4=TRUE,$U$5=FALSE,$U$6=TRUE,$U$7=TRUE)),VLOOKUP($E829,'Status Thresholds'!$E:$AR,17,FALSE),IF((AND($U$4=TRUE,$U$5=FALSE,$U$6=FALSE,$U$7=TRUE)),VLOOKUP($E829,'Status Thresholds'!$E:$AR,7,FALSE),
IF((AND($U$4=FALSE,$U$5=TRUE,$U$6=FALSE,$U$7=FALSE)),VLOOKUP($E829,'Status Thresholds'!$E:$AR,22,FALSE),IF((AND($U$4=FALSE,$U$5=TRUE,$U$6=TRUE,$U$7=FALSE)),VLOOKUP($E829,'Status Thresholds'!$E:$AR,32,FALSE),IF((AND($U$4=FALSE,$U$5=TRUE,$U$6=TRUE,$U$7=TRUE)),VLOOKUP($E829,'Status Thresholds'!$E:$AR,37,FALSE),IF((AND($U$4=FALSE,$U$5=TRUE,$U$6=FALSE,$U$7=TRUE)),VLOOKUP($E829,'Status Thresholds'!$E:$AR,27,FALSE)))))))))
))/
IF(OR($X$5=TRUE,$AC$3=TRUE
),($F$3/2), IF(OR($X$2,$X$3,$X$4,$X$6,$X$7,$X$8,$Z$2,$Z$3,$Z$4,$Z$5,$Z$6,$Z$7,$Z$8)=TRUE,$F$3)),0),"-")</f>
        <v>-</v>
      </c>
      <c r="G829" s="36" t="str">
        <f>IFERROR(
ROUNDUP(
IF(AND($U$5=FALSE,$U$4=FALSE),"-",IF(AND($U$5=TRUE,$U$4=TRUE),"-",
IF((AND($U$4=TRUE,$U$5=FALSE,$U$6=FALSE,$U$7=FALSE)),VLOOKUP($E829,'Status Thresholds'!$E:$AR,3,FALSE),IF((AND($U$4=TRUE,$U$5=FALSE,$U$6=TRUE,$U$7=FALSE)),VLOOKUP($E829,'Status Thresholds'!$E:$AR,13,FALSE),IF((AND($U$4=TRUE,$U$5=FALSE,$U$6=TRUE,$U$7=TRUE)),VLOOKUP($E829,'Status Thresholds'!$E:$AR,18,FALSE),IF((AND($U$4=TRUE,$U$5=FALSE,$U$6=FALSE,$U$7=TRUE)),VLOOKUP($E829,'Status Thresholds'!$E:$AR,8,FALSE),
IF((AND($U$4=FALSE,$U$5=TRUE,$U$6=FALSE,$U$7=FALSE)),VLOOKUP($E829,'Status Thresholds'!$E:$AR,23,FALSE),IF((AND($U$4=FALSE,$U$5=TRUE,$U$6=TRUE,$U$7=FALSE)),VLOOKUP($E829,'Status Thresholds'!$E:$AR,33,FALSE),IF((AND($U$4=FALSE,$U$5=TRUE,$U$6=TRUE,$U$7=TRUE)),VLOOKUP($E829,'Status Thresholds'!$E:$AR,38,FALSE),IF((AND($U$4=FALSE,$U$5=TRUE,$U$6=FALSE,$U$7=TRUE)),VLOOKUP($E829,'Status Thresholds'!$E:$AR,28,FALSE)))))))))
))/
IF(OR($X$5=TRUE,$AC$3=TRUE
),($F$3/2), IF(OR($X$2,$X$3,$X$4,$X$6,$X$7,$X$8,$Z$2,$Z$3,$Z$4,$Z$5,$Z$6,$Z$7,$Z$8)=TRUE,$F$3)),0),"-")</f>
        <v>-</v>
      </c>
      <c r="H829" s="36" t="str">
        <f>IFERROR(
ROUNDUP(
IF(AND($U$5=FALSE,$U$4=FALSE),"-",IF(AND($U$5=TRUE,$U$4=TRUE),"-",
IF((AND($U$4=TRUE,$U$5=FALSE,$U$6=FALSE,$U$7=FALSE)),VLOOKUP($E829,'Status Thresholds'!$E:$AR,4,FALSE),IF((AND($U$4=TRUE,$U$5=FALSE,$U$6=TRUE,$U$7=FALSE)),VLOOKUP($E829,'Status Thresholds'!$E:$AR,14,FALSE),IF((AND($U$4=TRUE,$U$5=FALSE,$U$6=TRUE,$U$7=TRUE)),VLOOKUP($E829,'Status Thresholds'!$E:$AR,19,FALSE),IF((AND($U$4=TRUE,$U$5=FALSE,$U$6=FALSE,$U$7=TRUE)),VLOOKUP($E829,'Status Thresholds'!$E:$AR,9,FALSE),
IF((AND($U$4=FALSE,$U$5=TRUE,$U$6=FALSE,$U$7=FALSE)),VLOOKUP($E829,'Status Thresholds'!$E:$AR,24,FALSE),IF((AND($U$4=FALSE,$U$5=TRUE,$U$6=TRUE,$U$7=FALSE)),VLOOKUP($E829,'Status Thresholds'!$E:$AR,34,FALSE),IF((AND($U$4=FALSE,$U$5=TRUE,$U$6=TRUE,$U$7=TRUE)),VLOOKUP($E829,'Status Thresholds'!$E:$AR,39,FALSE),IF((AND($U$4=FALSE,$U$5=TRUE,$U$6=FALSE,$U$7=TRUE)),VLOOKUP($E829,'Status Thresholds'!$E:$AR,29,FALSE)))))))))
))/
IF(OR($X$5=TRUE,$AC$3=TRUE
),($F$3/2), IF(OR($X$2,$X$3,$X$4,$X$6,$X$7,$X$8,$Z$2,$Z$3,$Z$4,$Z$5,$Z$6,$Z$7,$Z$8)=TRUE,$F$3)),0),"-")</f>
        <v>-</v>
      </c>
      <c r="I829" s="36" t="str">
        <f>IFERROR(
ROUNDUP(
IF(AND($U$5=FALSE,$U$4=FALSE),"-",IF(AND($U$5=TRUE,$U$4=TRUE),"-",
IF((AND($U$4=TRUE,$U$5=FALSE,$U$6=FALSE,$U$7=FALSE)),VLOOKUP($E829,'Status Thresholds'!$E:$AR,5,FALSE),IF((AND($U$4=TRUE,$U$5=FALSE,$U$6=TRUE,$U$7=FALSE)),VLOOKUP($E829,'Status Thresholds'!$E:$AR,15,FALSE),IF((AND($U$4=TRUE,$U$5=FALSE,$U$6=TRUE,$U$7=TRUE)),VLOOKUP($E829,'Status Thresholds'!$E:$AR,20,FALSE),IF((AND($U$4=TRUE,$U$5=FALSE,$U$6=FALSE,$U$7=TRUE)),VLOOKUP($E829,'Status Thresholds'!$E:$AR,10,FALSE),
IF((AND($U$4=FALSE,$U$5=TRUE,$U$6=FALSE,$U$7=FALSE)),VLOOKUP($E829,'Status Thresholds'!$E:$AR,25,FALSE),IF((AND($U$4=FALSE,$U$5=TRUE,$U$6=TRUE,$U$7=FALSE)),VLOOKUP($E829,'Status Thresholds'!$E:$AR,35,FALSE),IF((AND($U$4=FALSE,$U$5=TRUE,$U$6=TRUE,$U$7=TRUE)),VLOOKUP($E829,'Status Thresholds'!$E:$AR,40,FALSE),IF((AND($U$4=FALSE,$U$5=TRUE,$U$6=FALSE,$U$7=TRUE)),VLOOKUP($E829,'Status Thresholds'!$E:$AR,30,FALSE)))))))))
))/
IF(OR($X$5=TRUE,$AC$3=TRUE
),($F$3/2), IF(OR($X$2,$X$3,$X$4,$X$6,$X$7,$X$8,$Z$2,$Z$3,$Z$4,$Z$5,$Z$6,$Z$7,$Z$8)=TRUE,$F$3)),0),"-")</f>
        <v>-</v>
      </c>
      <c r="J829" s="36">
        <f>IFERROR(IF(AND($U$5=FALSE,$U$4=FALSE),"-",VLOOKUP($E829,'Status Thresholds'!$E:$AU,41,FALSE)),"-")</f>
        <v>10</v>
      </c>
      <c r="K829" s="36" t="str">
        <f>IFERROR(IF(AND($U$5=FALSE,$U$4=FALSE),"-",VLOOKUP($E829,'Status Thresholds'!$E:$AU,42,FALSE)),"-")</f>
        <v>-</v>
      </c>
      <c r="L829" s="36" t="str">
        <f>IFERROR(IF(AND($U$5=FALSE,$U$4=FALSE),"-",VLOOKUP($E829,'Status Thresholds'!$E:$AU,43,FALSE)),"-")</f>
        <v>-</v>
      </c>
    </row>
    <row r="830" spans="1:12" x14ac:dyDescent="0.25">
      <c r="A830" s="35"/>
      <c r="B830" s="64" t="str">
        <f>VLOOKUP(C830,'Status Thresholds'!B:C,2,FALSE)</f>
        <v>MHGen</v>
      </c>
      <c r="C830" s="64" t="str">
        <f>IF('Status Thresholds'!B825=0, "", 'Status Thresholds'!B825)</f>
        <v>Zamtrios</v>
      </c>
      <c r="D830" s="31" t="s">
        <v>32</v>
      </c>
      <c r="E830" s="36" t="str">
        <f t="shared" si="12"/>
        <v>ZamtriosSleep</v>
      </c>
      <c r="F830" s="36" t="str">
        <f>IFERROR(
ROUNDUP(
IF(AND($U$5=FALSE,$U$4=FALSE),"-",IF(AND($U$5=TRUE,$U$4=TRUE),"-",
IF((AND($U$4=TRUE,$U$5=FALSE,$U$6=FALSE,$U$7=FALSE)),VLOOKUP($E830,'Status Thresholds'!$E:$AR,2,FALSE),IF((AND($U$4=TRUE,$U$5=FALSE,$U$6=TRUE,$U$7=FALSE)),VLOOKUP($E830,'Status Thresholds'!$E:$AR,12,FALSE),IF((AND($U$4=TRUE,$U$5=FALSE,$U$6=TRUE,$U$7=TRUE)),VLOOKUP($E830,'Status Thresholds'!$E:$AR,17,FALSE),IF((AND($U$4=TRUE,$U$5=FALSE,$U$6=FALSE,$U$7=TRUE)),VLOOKUP($E830,'Status Thresholds'!$E:$AR,7,FALSE),
IF((AND($U$4=FALSE,$U$5=TRUE,$U$6=FALSE,$U$7=FALSE)),VLOOKUP($E830,'Status Thresholds'!$E:$AR,22,FALSE),IF((AND($U$4=FALSE,$U$5=TRUE,$U$6=TRUE,$U$7=FALSE)),VLOOKUP($E830,'Status Thresholds'!$E:$AR,32,FALSE),IF((AND($U$4=FALSE,$U$5=TRUE,$U$6=TRUE,$U$7=TRUE)),VLOOKUP($E830,'Status Thresholds'!$E:$AR,37,FALSE),IF((AND($U$4=FALSE,$U$5=TRUE,$U$6=FALSE,$U$7=TRUE)),VLOOKUP($E830,'Status Thresholds'!$E:$AR,27,FALSE)))))))))
))/
IF(OR($X$5=TRUE,$AC$3=TRUE
),($F$4/2), IF(OR($X$2,$X$3,$X$4,$X$6,$X$7,$X$8,$Z$2,$Z$3,$Z$4,$Z$5,$Z$6,$Z$7,$Z$8)=TRUE,$F$4)),0),"-")</f>
        <v>-</v>
      </c>
      <c r="G830" s="36" t="str">
        <f>IFERROR(
ROUNDUP(
IF(AND($U$5=FALSE,$U$4=FALSE),"-",IF(AND($U$5=TRUE,$U$4=TRUE),"-",
IF((AND($U$4=TRUE,$U$5=FALSE,$U$6=FALSE,$U$7=FALSE)),VLOOKUP($E830,'Status Thresholds'!$E:$AR,3,FALSE),IF((AND($U$4=TRUE,$U$5=FALSE,$U$6=TRUE,$U$7=FALSE)),VLOOKUP($E830,'Status Thresholds'!$E:$AR,13,FALSE),IF((AND($U$4=TRUE,$U$5=FALSE,$U$6=TRUE,$U$7=TRUE)),VLOOKUP($E830,'Status Thresholds'!$E:$AR,18,FALSE),IF((AND($U$4=TRUE,$U$5=FALSE,$U$6=FALSE,$U$7=TRUE)),VLOOKUP($E830,'Status Thresholds'!$E:$AR,8,FALSE),
IF((AND($U$4=FALSE,$U$5=TRUE,$U$6=FALSE,$U$7=FALSE)),VLOOKUP($E830,'Status Thresholds'!$E:$AR,23,FALSE),IF((AND($U$4=FALSE,$U$5=TRUE,$U$6=TRUE,$U$7=FALSE)),VLOOKUP($E830,'Status Thresholds'!$E:$AR,33,FALSE),IF((AND($U$4=FALSE,$U$5=TRUE,$U$6=TRUE,$U$7=TRUE)),VLOOKUP($E830,'Status Thresholds'!$E:$AR,38,FALSE),IF((AND($U$4=FALSE,$U$5=TRUE,$U$6=FALSE,$U$7=TRUE)),VLOOKUP($E830,'Status Thresholds'!$E:$AR,28,FALSE)))))))))
))/
IF(OR($X$5=TRUE,$AC$3=TRUE
),($F$4/2), IF(OR($X$2,$X$3,$X$4,$X$6,$X$7,$X$8,$Z$2,$Z$3,$Z$4,$Z$5,$Z$6,$Z$7,$Z$8)=TRUE,$F$4)),0),"-")</f>
        <v>-</v>
      </c>
      <c r="H830" s="36" t="str">
        <f>IFERROR(
ROUNDUP(
IF(AND($U$5=FALSE,$U$4=FALSE),"-",IF(AND($U$5=TRUE,$U$4=TRUE),"-",
IF((AND($U$4=TRUE,$U$5=FALSE,$U$6=FALSE,$U$7=FALSE)),VLOOKUP($E830,'Status Thresholds'!$E:$AR,4,FALSE),IF((AND($U$4=TRUE,$U$5=FALSE,$U$6=TRUE,$U$7=FALSE)),VLOOKUP($E830,'Status Thresholds'!$E:$AR,14,FALSE),IF((AND($U$4=TRUE,$U$5=FALSE,$U$6=TRUE,$U$7=TRUE)),VLOOKUP($E830,'Status Thresholds'!$E:$AR,19,FALSE),IF((AND($U$4=TRUE,$U$5=FALSE,$U$6=FALSE,$U$7=TRUE)),VLOOKUP($E830,'Status Thresholds'!$E:$AR,9,FALSE),
IF((AND($U$4=FALSE,$U$5=TRUE,$U$6=FALSE,$U$7=FALSE)),VLOOKUP($E830,'Status Thresholds'!$E:$AR,24,FALSE),IF((AND($U$4=FALSE,$U$5=TRUE,$U$6=TRUE,$U$7=FALSE)),VLOOKUP($E830,'Status Thresholds'!$E:$AR,34,FALSE),IF((AND($U$4=FALSE,$U$5=TRUE,$U$6=TRUE,$U$7=TRUE)),VLOOKUP($E830,'Status Thresholds'!$E:$AR,39,FALSE),IF((AND($U$4=FALSE,$U$5=TRUE,$U$6=FALSE,$U$7=TRUE)),VLOOKUP($E830,'Status Thresholds'!$E:$AR,29,FALSE)))))))))
))/
IF(OR($X$5=TRUE,$AC$3=TRUE
),($F$4/2), IF(OR($X$2,$X$3,$X$4,$X$6,$X$7,$X$8,$Z$2,$Z$3,$Z$4,$Z$5,$Z$6,$Z$7,$Z$8)=TRUE,$F$4)),0),"-")</f>
        <v>-</v>
      </c>
      <c r="I830" s="36" t="str">
        <f>IFERROR(
ROUNDUP(
IF(AND($U$5=FALSE,$U$4=FALSE),"-",IF(AND($U$5=TRUE,$U$4=TRUE),"-",
IF((AND($U$4=TRUE,$U$5=FALSE,$U$6=FALSE,$U$7=FALSE)),VLOOKUP($E830,'Status Thresholds'!$E:$AR,5,FALSE),IF((AND($U$4=TRUE,$U$5=FALSE,$U$6=TRUE,$U$7=FALSE)),VLOOKUP($E830,'Status Thresholds'!$E:$AR,15,FALSE),IF((AND($U$4=TRUE,$U$5=FALSE,$U$6=TRUE,$U$7=TRUE)),VLOOKUP($E830,'Status Thresholds'!$E:$AR,20,FALSE),IF((AND($U$4=TRUE,$U$5=FALSE,$U$6=FALSE,$U$7=TRUE)),VLOOKUP($E830,'Status Thresholds'!$E:$AR,10,FALSE),
IF((AND($U$4=FALSE,$U$5=TRUE,$U$6=FALSE,$U$7=FALSE)),VLOOKUP($E830,'Status Thresholds'!$E:$AR,25,FALSE),IF((AND($U$4=FALSE,$U$5=TRUE,$U$6=TRUE,$U$7=FALSE)),VLOOKUP($E830,'Status Thresholds'!$E:$AR,35,FALSE),IF((AND($U$4=FALSE,$U$5=TRUE,$U$6=TRUE,$U$7=TRUE)),VLOOKUP($E830,'Status Thresholds'!$E:$AR,40,FALSE),IF((AND($U$4=FALSE,$U$5=TRUE,$U$6=FALSE,$U$7=TRUE)),VLOOKUP($E830,'Status Thresholds'!$E:$AR,30,FALSE)))))))))
))/
IF(OR($X$5=TRUE,$AC$3=TRUE
),($F$4/2), IF(OR($X$2,$X$3,$X$4,$X$6,$X$7,$X$8,$Z$2,$Z$3,$Z$4,$Z$5,$Z$6,$Z$7,$Z$8)=TRUE,$F$4)),0),"-")</f>
        <v>-</v>
      </c>
      <c r="J830" s="46">
        <f>IFERROR(IF(AND($U$5=FALSE,$U$4=FALSE),"-",VLOOKUP($E830,'Status Thresholds'!$E:$AU,41,FALSE)),"-")</f>
        <v>40</v>
      </c>
      <c r="K830" s="46" t="str">
        <f>IFERROR(IF(AND($U$5=FALSE,$U$4=FALSE),"-",VLOOKUP($E830,'Status Thresholds'!$E:$AU,42,FALSE)),"-")</f>
        <v>-</v>
      </c>
      <c r="L830" s="46" t="str">
        <f>IFERROR(IF(AND($U$5=FALSE,$U$4=FALSE),"-",VLOOKUP($E830,'Status Thresholds'!$E:$AU,43,FALSE)),"-")</f>
        <v>-</v>
      </c>
    </row>
    <row r="831" spans="1:12" x14ac:dyDescent="0.25">
      <c r="A831" s="35"/>
      <c r="B831" s="64" t="str">
        <f>VLOOKUP(C831,'Status Thresholds'!B:C,2,FALSE)</f>
        <v>MHGen</v>
      </c>
      <c r="C831" s="64" t="str">
        <f>IF('Status Thresholds'!B826=0, "", 'Status Thresholds'!B826)</f>
        <v>Zamtrios</v>
      </c>
      <c r="D831" s="32" t="s">
        <v>33</v>
      </c>
      <c r="E831" s="36" t="str">
        <f t="shared" si="12"/>
        <v>ZamtriosPoison</v>
      </c>
      <c r="F831" s="36" t="str">
        <f>IFERROR(
ROUNDUP(
IF(AND($U$5=FALSE,$U$4=FALSE),"-",IF(AND($U$5=TRUE,$U$4=TRUE),"-",
IF((AND($U$4=TRUE,$U$5=FALSE,$U$6=FALSE,$U$7=FALSE)),VLOOKUP($E831,'Status Thresholds'!$E:$AR,2,FALSE),IF((AND($U$4=TRUE,$U$5=FALSE,$U$6=TRUE,$U$7=FALSE)),VLOOKUP($E831,'Status Thresholds'!$E:$AR,12,FALSE),IF((AND($U$4=TRUE,$U$5=FALSE,$U$6=TRUE,$U$7=TRUE)),VLOOKUP($E831,'Status Thresholds'!$E:$AR,17,FALSE),IF((AND($U$4=TRUE,$U$5=FALSE,$U$6=FALSE,$U$7=TRUE)),VLOOKUP($E831,'Status Thresholds'!$E:$AR,7,FALSE),
IF((AND($U$4=FALSE,$U$5=TRUE,$U$6=FALSE,$U$7=FALSE)),VLOOKUP($E831,'Status Thresholds'!$E:$AR,22,FALSE),IF((AND($U$4=FALSE,$U$5=TRUE,$U$6=TRUE,$U$7=FALSE)),VLOOKUP($E831,'Status Thresholds'!$E:$AR,32,FALSE),IF((AND($U$4=FALSE,$U$5=TRUE,$U$6=TRUE,$U$7=TRUE)),VLOOKUP($E831,'Status Thresholds'!$E:$AR,37,FALSE),IF((AND($U$4=FALSE,$U$5=TRUE,$U$6=FALSE,$U$7=TRUE)),VLOOKUP($E831,'Status Thresholds'!$E:$AR,27,FALSE)))))))))
))/
IF(OR($X$5=TRUE,$AC$3=TRUE
),($F$5/2), IF(OR($X$2,$X$3,$X$4,$X$6,$X$7,$X$8,$Z$2,$Z$3,$Z$4,$Z$5,$Z$6,$Z$7,$Z$8)=TRUE,$F$5)),0),"-")</f>
        <v>-</v>
      </c>
      <c r="G831" s="36" t="str">
        <f>IFERROR(
ROUNDUP(
IF(AND($U$5=FALSE,$U$4=FALSE),"-",IF(AND($U$5=TRUE,$U$4=TRUE),"-",
IF((AND($U$4=TRUE,$U$5=FALSE,$U$6=FALSE,$U$7=FALSE)),VLOOKUP($E831,'Status Thresholds'!$E:$AR,3,FALSE),IF((AND($U$4=TRUE,$U$5=FALSE,$U$6=TRUE,$U$7=FALSE)),VLOOKUP($E831,'Status Thresholds'!$E:$AR,13,FALSE),IF((AND($U$4=TRUE,$U$5=FALSE,$U$6=TRUE,$U$7=TRUE)),VLOOKUP($E831,'Status Thresholds'!$E:$AR,18,FALSE),IF((AND($U$4=TRUE,$U$5=FALSE,$U$6=FALSE,$U$7=TRUE)),VLOOKUP($E831,'Status Thresholds'!$E:$AR,8,FALSE),
IF((AND($U$4=FALSE,$U$5=TRUE,$U$6=FALSE,$U$7=FALSE)),VLOOKUP($E831,'Status Thresholds'!$E:$AR,23,FALSE),IF((AND($U$4=FALSE,$U$5=TRUE,$U$6=TRUE,$U$7=FALSE)),VLOOKUP($E831,'Status Thresholds'!$E:$AR,33,FALSE),IF((AND($U$4=FALSE,$U$5=TRUE,$U$6=TRUE,$U$7=TRUE)),VLOOKUP($E831,'Status Thresholds'!$E:$AR,38,FALSE),IF((AND($U$4=FALSE,$U$5=TRUE,$U$6=FALSE,$U$7=TRUE)),VLOOKUP($E831,'Status Thresholds'!$E:$AR,28,FALSE)))))))))
))/
IF(OR($X$5=TRUE,$AC$3=TRUE
),($F$5/2), IF(OR($X$2,$X$3,$X$4,$X$6,$X$7,$X$8,$Z$2,$Z$3,$Z$4,$Z$5,$Z$6,$Z$7,$Z$8)=TRUE,$F$5)),0),"-")</f>
        <v>-</v>
      </c>
      <c r="H831" s="36" t="str">
        <f>IFERROR(
ROUNDUP(
IF(AND($U$5=FALSE,$U$4=FALSE),"-",IF(AND($U$5=TRUE,$U$4=TRUE),"-",
IF((AND($U$4=TRUE,$U$5=FALSE,$U$6=FALSE,$U$7=FALSE)),VLOOKUP($E831,'Status Thresholds'!$E:$AR,4,FALSE),IF((AND($U$4=TRUE,$U$5=FALSE,$U$6=TRUE,$U$7=FALSE)),VLOOKUP($E831,'Status Thresholds'!$E:$AR,14,FALSE),IF((AND($U$4=TRUE,$U$5=FALSE,$U$6=TRUE,$U$7=TRUE)),VLOOKUP($E831,'Status Thresholds'!$E:$AR,19,FALSE),IF((AND($U$4=TRUE,$U$5=FALSE,$U$6=FALSE,$U$7=TRUE)),VLOOKUP($E831,'Status Thresholds'!$E:$AR,9,FALSE),
IF((AND($U$4=FALSE,$U$5=TRUE,$U$6=FALSE,$U$7=FALSE)),VLOOKUP($E831,'Status Thresholds'!$E:$AR,24,FALSE),IF((AND($U$4=FALSE,$U$5=TRUE,$U$6=TRUE,$U$7=FALSE)),VLOOKUP($E831,'Status Thresholds'!$E:$AR,34,FALSE),IF((AND($U$4=FALSE,$U$5=TRUE,$U$6=TRUE,$U$7=TRUE)),VLOOKUP($E831,'Status Thresholds'!$E:$AR,39,FALSE),IF((AND($U$4=FALSE,$U$5=TRUE,$U$6=FALSE,$U$7=TRUE)),VLOOKUP($E831,'Status Thresholds'!$E:$AR,29,FALSE)))))))))
))/
IF(OR($X$5=TRUE,$AC$3=TRUE
),($F$5/2), IF(OR($X$2,$X$3,$X$4,$X$6,$X$7,$X$8,$Z$2,$Z$3,$Z$4,$Z$5,$Z$6,$Z$7,$Z$8)=TRUE,$F$5)),0),"-")</f>
        <v>-</v>
      </c>
      <c r="I831" s="36" t="str">
        <f>IFERROR(
ROUNDUP(
IF(AND($U$5=FALSE,$U$4=FALSE),"-",IF(AND($U$5=TRUE,$U$4=TRUE),"-",
IF((AND($U$4=TRUE,$U$5=FALSE,$U$6=FALSE,$U$7=FALSE)),VLOOKUP($E831,'Status Thresholds'!$E:$AR,5,FALSE),IF((AND($U$4=TRUE,$U$5=FALSE,$U$6=TRUE,$U$7=FALSE)),VLOOKUP($E831,'Status Thresholds'!$E:$AR,15,FALSE),IF((AND($U$4=TRUE,$U$5=FALSE,$U$6=TRUE,$U$7=TRUE)),VLOOKUP($E831,'Status Thresholds'!$E:$AR,20,FALSE),IF((AND($U$4=TRUE,$U$5=FALSE,$U$6=FALSE,$U$7=TRUE)),VLOOKUP($E831,'Status Thresholds'!$E:$AR,10,FALSE),
IF((AND($U$4=FALSE,$U$5=TRUE,$U$6=FALSE,$U$7=FALSE)),VLOOKUP($E831,'Status Thresholds'!$E:$AR,25,FALSE),IF((AND($U$4=FALSE,$U$5=TRUE,$U$6=TRUE,$U$7=FALSE)),VLOOKUP($E831,'Status Thresholds'!$E:$AR,35,FALSE),IF((AND($U$4=FALSE,$U$5=TRUE,$U$6=TRUE,$U$7=TRUE)),VLOOKUP($E831,'Status Thresholds'!$E:$AR,40,FALSE),IF((AND($U$4=FALSE,$U$5=TRUE,$U$6=FALSE,$U$7=TRUE)),VLOOKUP($E831,'Status Thresholds'!$E:$AR,30,FALSE)))))))))
))/
IF(OR($X$5=TRUE,$AC$3=TRUE
),($F$5/2), IF(OR($X$2,$X$3,$X$4,$X$6,$X$7,$X$8,$Z$2,$Z$3,$Z$4,$Z$5,$Z$6,$Z$7,$Z$8)=TRUE,$F$5)),0),"-")</f>
        <v>-</v>
      </c>
      <c r="J831" s="46">
        <f>IFERROR(IF(AND($U$5=FALSE,$U$4=FALSE),"-",VLOOKUP($E831,'Status Thresholds'!$E:$AU,41,FALSE)),"-")</f>
        <v>60</v>
      </c>
      <c r="K831" s="46" t="str">
        <f>IFERROR(IF(AND($U$5=FALSE,$U$4=FALSE),"-",VLOOKUP($E831,'Status Thresholds'!$E:$AU,42,FALSE)),"-")</f>
        <v>-</v>
      </c>
      <c r="L831" s="46" t="str">
        <f>IFERROR(IF(AND($U$5=FALSE,$U$4=FALSE),"-",VLOOKUP($E831,'Status Thresholds'!$E:$AU,43,FALSE)),"-")</f>
        <v>-</v>
      </c>
    </row>
    <row r="832" spans="1:12" x14ac:dyDescent="0.25">
      <c r="A832" s="35"/>
      <c r="B832" s="64" t="str">
        <f>VLOOKUP(C832,'Status Thresholds'!B:C,2,FALSE)</f>
        <v>MHGen</v>
      </c>
      <c r="C832" s="64" t="str">
        <f>IF('Status Thresholds'!B827=0, "", 'Status Thresholds'!B827)</f>
        <v>Zamtrios</v>
      </c>
      <c r="D832" s="10" t="s">
        <v>22</v>
      </c>
      <c r="E832" s="36" t="str">
        <f t="shared" si="12"/>
        <v>ZamtriosExhaust</v>
      </c>
      <c r="F832" s="36" t="str">
        <f>IFERROR(
ROUNDUP(
IF(AND($U$5=FALSE,$U$4=FALSE),"-",IF(AND($U$5=TRUE,$U$4=TRUE),"-",
IF((AND($U$4=TRUE,$U$5=FALSE,$U$6=FALSE,$U$7=FALSE)),VLOOKUP($E832,'Status Thresholds'!$E:$AR,2,FALSE),IF((AND($U$4=TRUE,$U$5=FALSE,$U$6=TRUE,$U$7=FALSE)),VLOOKUP($E832,'Status Thresholds'!$E:$AR,12,FALSE),IF((AND($U$4=TRUE,$U$5=FALSE,$U$6=TRUE,$U$7=TRUE)),VLOOKUP($E832,'Status Thresholds'!$E:$AR,17,FALSE),IF((AND($U$4=TRUE,$U$5=FALSE,$U$6=FALSE,$U$7=TRUE)),VLOOKUP($E832,'Status Thresholds'!$E:$AR,7,FALSE),
IF((AND($U$4=FALSE,$U$5=TRUE,$U$6=FALSE,$U$7=FALSE)),VLOOKUP($E832,'Status Thresholds'!$E:$AR,22,FALSE),IF((AND($U$4=FALSE,$U$5=TRUE,$U$6=TRUE,$U$7=FALSE)),VLOOKUP($E832,'Status Thresholds'!$E:$AR,32,FALSE),IF((AND($U$4=FALSE,$U$5=TRUE,$U$6=TRUE,$U$7=TRUE)),VLOOKUP($E832,'Status Thresholds'!$E:$AR,37,FALSE),IF((AND($U$4=FALSE,$U$5=TRUE,$U$6=FALSE,$U$7=TRUE)),VLOOKUP($E832,'Status Thresholds'!$E:$AR,27,FALSE)))))))))
))/
IF(OR($X$5=TRUE,$AC$3=TRUE
),($F$6/2), IF(OR($X$2,$X$3,$X$4,$X$6,$X$7,$X$8,$Z$2,$Z$3,$Z$4,$Z$5,$Z$6,$Z$7,$Z$8)=TRUE,$F$6)),0),"-")</f>
        <v>-</v>
      </c>
      <c r="G832" s="36" t="str">
        <f>IFERROR(
ROUNDUP(
IF(AND($U$5=FALSE,$U$4=FALSE),"-",IF(AND($U$5=TRUE,$U$4=TRUE),"-",
IF((AND($U$4=TRUE,$U$5=FALSE,$U$6=FALSE,$U$7=FALSE)),VLOOKUP($E832,'Status Thresholds'!$E:$AR,3,FALSE),IF((AND($U$4=TRUE,$U$5=FALSE,$U$6=TRUE,$U$7=FALSE)),VLOOKUP($E832,'Status Thresholds'!$E:$AR,13,FALSE),IF((AND($U$4=TRUE,$U$5=FALSE,$U$6=TRUE,$U$7=TRUE)),VLOOKUP($E832,'Status Thresholds'!$E:$AR,18,FALSE),IF((AND($U$4=TRUE,$U$5=FALSE,$U$6=FALSE,$U$7=TRUE)),VLOOKUP($E832,'Status Thresholds'!$E:$AR,8,FALSE),
IF((AND($U$4=FALSE,$U$5=TRUE,$U$6=FALSE,$U$7=FALSE)),VLOOKUP($E832,'Status Thresholds'!$E:$AR,23,FALSE),IF((AND($U$4=FALSE,$U$5=TRUE,$U$6=TRUE,$U$7=FALSE)),VLOOKUP($E832,'Status Thresholds'!$E:$AR,33,FALSE),IF((AND($U$4=FALSE,$U$5=TRUE,$U$6=TRUE,$U$7=TRUE)),VLOOKUP($E832,'Status Thresholds'!$E:$AR,38,FALSE),IF((AND($U$4=FALSE,$U$5=TRUE,$U$6=FALSE,$U$7=TRUE)),VLOOKUP($E832,'Status Thresholds'!$E:$AR,28,FALSE)))))))))
))/
IF(OR($X$5=TRUE,$AC$3=TRUE
),($F$6/2), IF(OR($X$2,$X$3,$X$4,$X$6,$X$7,$X$8,$Z$2,$Z$3,$Z$4,$Z$5,$Z$6,$Z$7,$Z$8)=TRUE,$F$6)),0),"-")</f>
        <v>-</v>
      </c>
      <c r="H832" s="36" t="str">
        <f>IFERROR(
ROUNDUP(
IF(AND($U$5=FALSE,$U$4=FALSE),"-",IF(AND($U$5=TRUE,$U$4=TRUE),"-",
IF((AND($U$4=TRUE,$U$5=FALSE,$U$6=FALSE,$U$7=FALSE)),VLOOKUP($E832,'Status Thresholds'!$E:$AR,4,FALSE),IF((AND($U$4=TRUE,$U$5=FALSE,$U$6=TRUE,$U$7=FALSE)),VLOOKUP($E832,'Status Thresholds'!$E:$AR,14,FALSE),IF((AND($U$4=TRUE,$U$5=FALSE,$U$6=TRUE,$U$7=TRUE)),VLOOKUP($E832,'Status Thresholds'!$E:$AR,19,FALSE),IF((AND($U$4=TRUE,$U$5=FALSE,$U$6=FALSE,$U$7=TRUE)),VLOOKUP($E832,'Status Thresholds'!$E:$AR,9,FALSE),
IF((AND($U$4=FALSE,$U$5=TRUE,$U$6=FALSE,$U$7=FALSE)),VLOOKUP($E832,'Status Thresholds'!$E:$AR,24,FALSE),IF((AND($U$4=FALSE,$U$5=TRUE,$U$6=TRUE,$U$7=FALSE)),VLOOKUP($E832,'Status Thresholds'!$E:$AR,34,FALSE),IF((AND($U$4=FALSE,$U$5=TRUE,$U$6=TRUE,$U$7=TRUE)),VLOOKUP($E832,'Status Thresholds'!$E:$AR,39,FALSE),IF((AND($U$4=FALSE,$U$5=TRUE,$U$6=FALSE,$U$7=TRUE)),VLOOKUP($E832,'Status Thresholds'!$E:$AR,29,FALSE)))))))))
))/
IF(OR($X$5=TRUE,$AC$3=TRUE
),($F$6/2), IF(OR($X$2,$X$3,$X$4,$X$6,$X$7,$X$8,$Z$2,$Z$3,$Z$4,$Z$5,$Z$6,$Z$7,$Z$8)=TRUE,$F$6)),0),"-")</f>
        <v>-</v>
      </c>
      <c r="I832" s="36" t="str">
        <f>IFERROR(
ROUNDUP(
IF(AND($U$5=FALSE,$U$4=FALSE),"-",IF(AND($U$5=TRUE,$U$4=TRUE),"-",
IF((AND($U$4=TRUE,$U$5=FALSE,$U$6=FALSE,$U$7=FALSE)),VLOOKUP($E832,'Status Thresholds'!$E:$AR,5,FALSE),IF((AND($U$4=TRUE,$U$5=FALSE,$U$6=TRUE,$U$7=FALSE)),VLOOKUP($E832,'Status Thresholds'!$E:$AR,15,FALSE),IF((AND($U$4=TRUE,$U$5=FALSE,$U$6=TRUE,$U$7=TRUE)),VLOOKUP($E832,'Status Thresholds'!$E:$AR,20,FALSE),IF((AND($U$4=TRUE,$U$5=FALSE,$U$6=FALSE,$U$7=TRUE)),VLOOKUP($E832,'Status Thresholds'!$E:$AR,10,FALSE),
IF((AND($U$4=FALSE,$U$5=TRUE,$U$6=FALSE,$U$7=FALSE)),VLOOKUP($E832,'Status Thresholds'!$E:$AR,25,FALSE),IF((AND($U$4=FALSE,$U$5=TRUE,$U$6=TRUE,$U$7=FALSE)),VLOOKUP($E832,'Status Thresholds'!$E:$AR,35,FALSE),IF((AND($U$4=FALSE,$U$5=TRUE,$U$6=TRUE,$U$7=TRUE)),VLOOKUP($E832,'Status Thresholds'!$E:$AR,40,FALSE),IF((AND($U$4=FALSE,$U$5=TRUE,$U$6=FALSE,$U$7=TRUE)),VLOOKUP($E832,'Status Thresholds'!$E:$AR,30,FALSE)))))))))
))/
IF(OR($X$5=TRUE,$AC$3=TRUE
),($F$6/2), IF(OR($X$2,$X$3,$X$4,$X$6,$X$7,$X$8,$Z$2,$Z$3,$Z$4,$Z$5,$Z$6,$Z$7,$Z$8)=TRUE,$F$6)),0),"-")</f>
        <v>-</v>
      </c>
      <c r="J832" s="46">
        <f>IFERROR(IF(AND($U$5=FALSE,$U$4=FALSE),"-",VLOOKUP($E832,'Status Thresholds'!$E:$AU,41,FALSE)),"-")</f>
        <v>0</v>
      </c>
      <c r="K832" s="46" t="str">
        <f>IFERROR(IF(AND($U$5=FALSE,$U$4=FALSE),"-",VLOOKUP($E832,'Status Thresholds'!$E:$AU,42,FALSE)),"-")</f>
        <v>-</v>
      </c>
      <c r="L832" s="46" t="str">
        <f>IFERROR(IF(AND($U$5=FALSE,$U$4=FALSE),"-",VLOOKUP($E832,'Status Thresholds'!$E:$AU,43,FALSE)),"-")</f>
        <v>-</v>
      </c>
    </row>
    <row r="833" spans="1:12" x14ac:dyDescent="0.25">
      <c r="A833" s="35"/>
      <c r="B833" s="64" t="str">
        <f>VLOOKUP(C833,'Status Thresholds'!B:C,2,FALSE)</f>
        <v>MHGen</v>
      </c>
      <c r="C833" s="64" t="str">
        <f>IF('Status Thresholds'!B828=0, "", 'Status Thresholds'!B828)</f>
        <v>Zamtrios</v>
      </c>
      <c r="D833" s="30" t="s">
        <v>35</v>
      </c>
      <c r="E833" s="36" t="str">
        <f t="shared" si="12"/>
        <v>ZamtriosBlast</v>
      </c>
      <c r="F833" s="36" t="str">
        <f>IFERROR(
ROUNDUP(
IF(AND($U$5=FALSE,$U$4=FALSE),"-",IF(AND($U$5=TRUE,$U$4=TRUE),"-",
IF((AND($U$4=TRUE,$U$5=FALSE,$U$6=FALSE,$U$7=FALSE)),VLOOKUP($E833,'Status Thresholds'!$E:$AR,2,FALSE),IF((AND($U$4=TRUE,$U$5=FALSE,$U$6=TRUE,$U$7=FALSE)),VLOOKUP($E833,'Status Thresholds'!$E:$AR,12,FALSE),IF((AND($U$4=TRUE,$U$5=FALSE,$U$6=TRUE,$U$7=TRUE)),VLOOKUP($E833,'Status Thresholds'!$E:$AR,17,FALSE),IF((AND($U$4=TRUE,$U$5=FALSE,$U$6=FALSE,$U$7=TRUE)),VLOOKUP($E833,'Status Thresholds'!$E:$AR,7,FALSE),
IF((AND($U$4=FALSE,$U$5=TRUE,$U$6=FALSE,$U$7=FALSE)),VLOOKUP($E833,'Status Thresholds'!$E:$AR,22,FALSE),IF((AND($U$4=FALSE,$U$5=TRUE,$U$6=TRUE,$U$7=FALSE)),VLOOKUP($E833,'Status Thresholds'!$E:$AR,32,FALSE),IF((AND($U$4=FALSE,$U$5=TRUE,$U$6=TRUE,$U$7=TRUE)),VLOOKUP($E833,'Status Thresholds'!$E:$AR,37,FALSE),IF((AND($U$4=FALSE,$U$5=TRUE,$U$6=FALSE,$U$7=TRUE)),VLOOKUP($E833,'Status Thresholds'!$E:$AR,27,FALSE)))))))))
))/
IF(OR($X$5=TRUE,$AC$3=TRUE
),($F$7/2), IF(OR($X$2,$X$3,$X$4,$X$6,$X$7,$X$8,$Z$2,$Z$3,$Z$4,$Z$5,$Z$6,$Z$7,$Z$8)=TRUE,$F$7)),0),"-")</f>
        <v>-</v>
      </c>
      <c r="G833" s="36" t="str">
        <f>IFERROR(
ROUNDUP(
IF(AND($U$5=FALSE,$U$4=FALSE),"-",IF(AND($U$5=TRUE,$U$4=TRUE),"-",
IF((AND($U$4=TRUE,$U$5=FALSE,$U$6=FALSE,$U$7=FALSE)),VLOOKUP($E833,'Status Thresholds'!$E:$AR,3,FALSE),IF((AND($U$4=TRUE,$U$5=FALSE,$U$6=TRUE,$U$7=FALSE)),VLOOKUP($E833,'Status Thresholds'!$E:$AR,13,FALSE),IF((AND($U$4=TRUE,$U$5=FALSE,$U$6=TRUE,$U$7=TRUE)),VLOOKUP($E833,'Status Thresholds'!$E:$AR,18,FALSE),IF((AND($U$4=TRUE,$U$5=FALSE,$U$6=FALSE,$U$7=TRUE)),VLOOKUP($E833,'Status Thresholds'!$E:$AR,8,FALSE),
IF((AND($U$4=FALSE,$U$5=TRUE,$U$6=FALSE,$U$7=FALSE)),VLOOKUP($E833,'Status Thresholds'!$E:$AR,23,FALSE),IF((AND($U$4=FALSE,$U$5=TRUE,$U$6=TRUE,$U$7=FALSE)),VLOOKUP($E833,'Status Thresholds'!$E:$AR,33,FALSE),IF((AND($U$4=FALSE,$U$5=TRUE,$U$6=TRUE,$U$7=TRUE)),VLOOKUP($E833,'Status Thresholds'!$E:$AR,38,FALSE),IF((AND($U$4=FALSE,$U$5=TRUE,$U$6=FALSE,$U$7=TRUE)),VLOOKUP($E833,'Status Thresholds'!$E:$AR,28,FALSE)))))))))
))/
IF(OR($X$5=TRUE,$AC$3=TRUE
),($F$7/2), IF(OR($X$2,$X$3,$X$4,$X$6,$X$7,$X$8,$Z$2,$Z$3,$Z$4,$Z$5,$Z$6,$Z$7,$Z$8)=TRUE,$F$7)),0),"-")</f>
        <v>-</v>
      </c>
      <c r="H833" s="36" t="str">
        <f>IFERROR(
ROUNDUP(
IF(AND($U$5=FALSE,$U$4=FALSE),"-",IF(AND($U$5=TRUE,$U$4=TRUE),"-",
IF((AND($U$4=TRUE,$U$5=FALSE,$U$6=FALSE,$U$7=FALSE)),VLOOKUP($E833,'Status Thresholds'!$E:$AR,4,FALSE),IF((AND($U$4=TRUE,$U$5=FALSE,$U$6=TRUE,$U$7=FALSE)),VLOOKUP($E833,'Status Thresholds'!$E:$AR,14,FALSE),IF((AND($U$4=TRUE,$U$5=FALSE,$U$6=TRUE,$U$7=TRUE)),VLOOKUP($E833,'Status Thresholds'!$E:$AR,19,FALSE),IF((AND($U$4=TRUE,$U$5=FALSE,$U$6=FALSE,$U$7=TRUE)),VLOOKUP($E833,'Status Thresholds'!$E:$AR,9,FALSE),
IF((AND($U$4=FALSE,$U$5=TRUE,$U$6=FALSE,$U$7=FALSE)),VLOOKUP($E833,'Status Thresholds'!$E:$AR,24,FALSE),IF((AND($U$4=FALSE,$U$5=TRUE,$U$6=TRUE,$U$7=FALSE)),VLOOKUP($E833,'Status Thresholds'!$E:$AR,34,FALSE),IF((AND($U$4=FALSE,$U$5=TRUE,$U$6=TRUE,$U$7=TRUE)),VLOOKUP($E833,'Status Thresholds'!$E:$AR,39,FALSE),IF((AND($U$4=FALSE,$U$5=TRUE,$U$6=FALSE,$U$7=TRUE)),VLOOKUP($E833,'Status Thresholds'!$E:$AR,29,FALSE)))))))))
))/
IF(OR($X$5=TRUE,$AC$3=TRUE
),($F$7/2), IF(OR($X$2,$X$3,$X$4,$X$6,$X$7,$X$8,$Z$2,$Z$3,$Z$4,$Z$5,$Z$6,$Z$7,$Z$8)=TRUE,$F$7)),0),"-")</f>
        <v>-</v>
      </c>
      <c r="I833" s="36" t="str">
        <f>IFERROR(
ROUNDUP(
IF(AND($U$5=FALSE,$U$4=FALSE),"-",IF(AND($U$5=TRUE,$U$4=TRUE),"-",
IF((AND($U$4=TRUE,$U$5=FALSE,$U$6=FALSE,$U$7=FALSE)),VLOOKUP($E833,'Status Thresholds'!$E:$AR,5,FALSE),IF((AND($U$4=TRUE,$U$5=FALSE,$U$6=TRUE,$U$7=FALSE)),VLOOKUP($E833,'Status Thresholds'!$E:$AR,15,FALSE),IF((AND($U$4=TRUE,$U$5=FALSE,$U$6=TRUE,$U$7=TRUE)),VLOOKUP($E833,'Status Thresholds'!$E:$AR,20,FALSE),IF((AND($U$4=TRUE,$U$5=FALSE,$U$6=FALSE,$U$7=TRUE)),VLOOKUP($E833,'Status Thresholds'!$E:$AR,10,FALSE),
IF((AND($U$4=FALSE,$U$5=TRUE,$U$6=FALSE,$U$7=FALSE)),VLOOKUP($E833,'Status Thresholds'!$E:$AR,25,FALSE),IF((AND($U$4=FALSE,$U$5=TRUE,$U$6=TRUE,$U$7=FALSE)),VLOOKUP($E833,'Status Thresholds'!$E:$AR,35,FALSE),IF((AND($U$4=FALSE,$U$5=TRUE,$U$6=TRUE,$U$7=TRUE)),VLOOKUP($E833,'Status Thresholds'!$E:$AR,40,FALSE),IF((AND($U$4=FALSE,$U$5=TRUE,$U$6=FALSE,$U$7=TRUE)),VLOOKUP($E833,'Status Thresholds'!$E:$AR,30,FALSE)))))))))
))/
IF(OR($X$5=TRUE,$AC$3=TRUE
),($F$7/2), IF(OR($X$2,$X$3,$X$4,$X$6,$X$7,$X$8,$Z$2,$Z$3,$Z$4,$Z$5,$Z$6,$Z$7,$Z$8)=TRUE,$F$7)),0),"-")</f>
        <v>-</v>
      </c>
      <c r="J833" s="46">
        <f>IFERROR(IF(AND($U$5=FALSE,$U$4=FALSE),"-",VLOOKUP($E833,'Status Thresholds'!$E:$AU,41,FALSE)),"-")</f>
        <v>0</v>
      </c>
      <c r="K833" s="46" t="str">
        <f>IFERROR(IF(AND($U$5=FALSE,$U$4=FALSE),"-",VLOOKUP($E833,'Status Thresholds'!$E:$AU,42,FALSE)),"-")</f>
        <v>-</v>
      </c>
      <c r="L833" s="46" t="str">
        <f>IFERROR(IF(AND($U$5=FALSE,$U$4=FALSE),"-",VLOOKUP($E833,'Status Thresholds'!$E:$AU,43,FALSE)),"-")</f>
        <v>-</v>
      </c>
    </row>
    <row r="834" spans="1:12" ht="14.45" customHeight="1" x14ac:dyDescent="0.25">
      <c r="A834" s="35"/>
      <c r="B834" s="64" t="str">
        <f>VLOOKUP(C834,'Status Thresholds'!B:C,2,FALSE)</f>
        <v>MHGen</v>
      </c>
      <c r="C834" s="64" t="str">
        <f>IF('Status Thresholds'!B829=0, "", 'Status Thresholds'!B829)</f>
        <v>Zamtrios</v>
      </c>
      <c r="D834" s="34" t="s">
        <v>14</v>
      </c>
      <c r="E834" s="36" t="str">
        <f t="shared" si="12"/>
        <v>ZamtriosKO</v>
      </c>
      <c r="F834" s="36" t="s">
        <v>214</v>
      </c>
      <c r="G834" s="36" t="s">
        <v>214</v>
      </c>
      <c r="H834" s="36" t="s">
        <v>214</v>
      </c>
      <c r="I834" s="36" t="s">
        <v>214</v>
      </c>
      <c r="J834" s="46">
        <f>IFERROR(IF(AND($U$5=FALSE,$U$4=FALSE),"-",VLOOKUP($E834,'Status Thresholds'!$E:$AU,41,FALSE)),"-")</f>
        <v>10</v>
      </c>
      <c r="K834" s="46" t="str">
        <f>IFERROR(IF(AND($U$5=FALSE,$U$4=FALSE),"-",VLOOKUP($E834,'Status Thresholds'!$E:$AU,42,FALSE)),"-")</f>
        <v>-</v>
      </c>
      <c r="L834" s="46" t="str">
        <f>IFERROR(IF(AND($U$5=FALSE,$U$4=FALSE),"-",VLOOKUP($E834,'Status Thresholds'!$E:$AU,43,FALSE)),"-")</f>
        <v>-</v>
      </c>
    </row>
    <row r="835" spans="1:12" x14ac:dyDescent="0.25">
      <c r="A835" s="35"/>
      <c r="B835" s="64" t="str">
        <f>VLOOKUP(C835,'Status Thresholds'!B:C,2,FALSE)</f>
        <v>MHGen</v>
      </c>
      <c r="C835" s="64" t="str">
        <f>IF('Status Thresholds'!B830=0, "", 'Status Thresholds'!B830)</f>
        <v>Zamtrios</v>
      </c>
      <c r="D835" s="33" t="s">
        <v>34</v>
      </c>
      <c r="E835" s="36" t="str">
        <f t="shared" si="12"/>
        <v>ZamtriosMount</v>
      </c>
      <c r="F835" s="36" t="str">
        <f>IFERROR(
ROUNDUP(
IF(AND($U$5=FALSE,$U$4=FALSE),"-",IF(AND($U$5=TRUE,$U$4=TRUE),"-",
IF((AND($U$4=TRUE,$U$5=FALSE,$U$6=FALSE,$U$7=FALSE)),VLOOKUP($E835,'Status Thresholds'!$E:$AR,2,FALSE),IF((AND($U$4=TRUE,$U$5=FALSE,$U$6=TRUE,$U$7=FALSE)),VLOOKUP($E835,'Status Thresholds'!$E:$AR,12,FALSE),IF((AND($U$4=TRUE,$U$5=FALSE,$U$6=TRUE,$U$7=TRUE)),VLOOKUP($E835,'Status Thresholds'!$E:$AR,17,FALSE),IF((AND($U$4=TRUE,$U$5=FALSE,$U$6=FALSE,$U$7=TRUE)),VLOOKUP($E835,'Status Thresholds'!$E:$AR,7,FALSE),
IF((AND($U$4=FALSE,$U$5=TRUE,$U$6=FALSE,$U$7=FALSE)),VLOOKUP($E835,'Status Thresholds'!$E:$AR,22,FALSE),IF((AND($U$4=FALSE,$U$5=TRUE,$U$6=TRUE,$U$7=FALSE)),VLOOKUP($E835,'Status Thresholds'!$E:$AR,32,FALSE),IF((AND($U$4=FALSE,$U$5=TRUE,$U$6=TRUE,$U$7=TRUE)),VLOOKUP($E835,'Status Thresholds'!$E:$AR,37,FALSE),IF((AND($U$4=FALSE,$U$5=TRUE,$U$6=FALSE,$U$7=TRUE)),VLOOKUP($E835,'Status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835" s="36" t="str">
        <f>IFERROR(
ROUNDUP(
IF(AND($U$5=FALSE,$U$4=FALSE),"-",IF(AND($U$5=TRUE,$U$4=TRUE),"-",
IF((AND($U$4=TRUE,$U$5=FALSE,$U$6=FALSE,$U$7=FALSE)),VLOOKUP($E834,'Status Thresholds'!$E:$AR,3,FALSE),IF((AND($U$4=TRUE,$U$5=FALSE,$U$6=TRUE,$U$7=FALSE)),VLOOKUP($E834,'Status Thresholds'!$E:$AR,13,FALSE),IF((AND($U$4=TRUE,$U$5=FALSE,$U$6=TRUE,$U$7=TRUE)),VLOOKUP($E834,'Status Thresholds'!$E:$AR,18,FALSE),IF((AND($U$4=TRUE,$U$5=FALSE,$U$6=FALSE,$U$7=TRUE)),VLOOKUP($E834,'Status Thresholds'!$E:$AR,8,FALSE),
IF((AND($U$4=FALSE,$U$5=TRUE,$U$6=FALSE,$U$7=FALSE)),VLOOKUP($E834,'Status Thresholds'!$E:$AR,23,FALSE),IF((AND($U$4=FALSE,$U$5=TRUE,$U$6=TRUE,$U$7=FALSE)),VLOOKUP($E834,'Status Thresholds'!$E:$AR,33,FALSE),IF((AND($U$4=FALSE,$U$5=TRUE,$U$6=TRUE,$U$7=TRUE)),VLOOKUP($E834,'Status Thresholds'!$E:$AR,38,FALSE),IF((AND($U$4=FALSE,$U$5=TRUE,$U$6=FALSE,$U$7=TRUE)),VLOOKUP($E834,'Status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835" s="36" t="str">
        <f>IFERROR(
ROUNDUP(
IF(AND($U$5=FALSE,$U$4=FALSE),"-",IF(AND($U$5=TRUE,$U$4=TRUE),"-",
IF((AND($U$4=TRUE,$U$5=FALSE,$U$6=FALSE,$U$7=FALSE)),VLOOKUP($E834,'Status Thresholds'!$E:$AR,4,FALSE),IF((AND($U$4=TRUE,$U$5=FALSE,$U$6=TRUE,$U$7=FALSE)),VLOOKUP($E834,'Status Thresholds'!$E:$AR,14,FALSE),IF((AND($U$4=TRUE,$U$5=FALSE,$U$6=TRUE,$U$7=TRUE)),VLOOKUP($E834,'Status Thresholds'!$E:$AR,19,FALSE),IF((AND($U$4=TRUE,$U$5=FALSE,$U$6=FALSE,$U$7=TRUE)),VLOOKUP($E834,'Status Thresholds'!$E:$AR,9,FALSE),
IF((AND($U$4=FALSE,$U$5=TRUE,$U$6=FALSE,$U$7=FALSE)),VLOOKUP($E834,'Status Thresholds'!$E:$AR,24,FALSE),IF((AND($U$4=FALSE,$U$5=TRUE,$U$6=TRUE,$U$7=FALSE)),VLOOKUP($E834,'Status Thresholds'!$E:$AR,34,FALSE),IF((AND($U$4=FALSE,$U$5=TRUE,$U$6=TRUE,$U$7=TRUE)),VLOOKUP($E834,'Status Thresholds'!$E:$AR,39,FALSE),IF((AND($U$4=FALSE,$U$5=TRUE,$U$6=FALSE,$U$7=TRUE)),VLOOKUP($E834,'Status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835" s="36" t="str">
        <f>IFERROR(
ROUNDUP(
IF(AND($U$5=FALSE,$U$4=FALSE),"-",IF(AND($U$5=TRUE,$U$4=TRUE),"-",
IF((AND($U$4=TRUE,$U$5=FALSE,$U$6=FALSE,$U$7=FALSE)),VLOOKUP($E834,'Status Thresholds'!$E:$AR,5,FALSE),IF((AND($U$4=TRUE,$U$5=FALSE,$U$6=TRUE,$U$7=FALSE)),VLOOKUP($E834,'Status Thresholds'!$E:$AR,15,FALSE),IF((AND($U$4=TRUE,$U$5=FALSE,$U$6=TRUE,$U$7=TRUE)),VLOOKUP($E834,'Status Thresholds'!$E:$AR,20,FALSE),IF((AND($U$4=TRUE,$U$5=FALSE,$U$6=FALSE,$U$7=TRUE)),VLOOKUP($E834,'Status Thresholds'!$E:$AR,10,FALSE),
IF((AND($U$4=FALSE,$U$5=TRUE,$U$6=FALSE,$U$7=FALSE)),VLOOKUP($E834,'Status Thresholds'!$E:$AR,25,FALSE),IF((AND($U$4=FALSE,$U$5=TRUE,$U$6=TRUE,$U$7=FALSE)),VLOOKUP($E834,'Status Thresholds'!$E:$AR,35,FALSE),IF((AND($U$4=FALSE,$U$5=TRUE,$U$6=TRUE,$U$7=TRUE)),VLOOKUP($E834,'Status Thresholds'!$E:$AR,40,FALSE),IF((AND($U$4=FALSE,$U$5=TRUE,$U$6=FALSE,$U$7=TRUE)),VLOOKUP($E834,'Status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835" s="46">
        <f>IFERROR(IF(AND($U$5=FALSE,$U$4=FALSE),"-",VLOOKUP($E835,'Status Thresholds'!$E:$AU,41,FALSE)),"-")</f>
        <v>0</v>
      </c>
      <c r="K835" s="46" t="str">
        <f>IFERROR(IF(AND($U$5=FALSE,$U$4=FALSE),"-",VLOOKUP($E835,'Status Thresholds'!$E:$AU,42,FALSE)),"-")</f>
        <v>-</v>
      </c>
      <c r="L835" s="46" t="str">
        <f>IFERROR(IF(AND($U$5=FALSE,$U$4=FALSE),"-",VLOOKUP($E835,'Status Thresholds'!$E:$AU,43,FALSE)),"-")</f>
        <v>-</v>
      </c>
    </row>
    <row r="836" spans="1:12" ht="15" customHeight="1" x14ac:dyDescent="0.25">
      <c r="A836" s="35"/>
      <c r="B836" s="64" t="str">
        <f>VLOOKUP(C836,'Status Thresholds'!B:C,2,FALSE)</f>
        <v>MHGen</v>
      </c>
      <c r="C836" s="64" t="str">
        <f>IF('Status Thresholds'!B831=0, "", 'Status Thresholds'!B831)</f>
        <v>Zamtrios</v>
      </c>
      <c r="D836" s="77" t="s">
        <v>207</v>
      </c>
      <c r="E836" s="36" t="str">
        <f t="shared" si="12"/>
        <v>ZamtriosShock Trap</v>
      </c>
      <c r="F836" s="76" t="s">
        <v>214</v>
      </c>
      <c r="G836" s="46" t="s">
        <v>214</v>
      </c>
      <c r="H836" s="46" t="s">
        <v>214</v>
      </c>
      <c r="I836" s="46" t="s">
        <v>214</v>
      </c>
      <c r="J836" s="46">
        <f>IFERROR(IF(AND($U$5=FALSE,$U$4=FALSE),"-",VLOOKUP($E836,'Status Thresholds'!$E:$AU,43,FALSE)),"-")</f>
        <v>10</v>
      </c>
      <c r="K836" s="46">
        <f>IFERROR(IF(AND($U$5=FALSE,$U$4=FALSE),"-",VLOOKUP($E836,'Status Thresholds'!$E:$AU,41,FALSE)),"-")</f>
        <v>8</v>
      </c>
      <c r="L836" s="46">
        <f>IFERROR(IF(AND($U$5=FALSE,$U$4=FALSE),"-",VLOOKUP($E836,'Status Thresholds'!$E:$AU,42,FALSE)),"-")</f>
        <v>12</v>
      </c>
    </row>
    <row r="837" spans="1:12" x14ac:dyDescent="0.25">
      <c r="A837" s="35"/>
      <c r="B837" s="64" t="str">
        <f>VLOOKUP(C837,'Status Thresholds'!B:C,2,FALSE)</f>
        <v>MHGen</v>
      </c>
      <c r="C837" s="64" t="str">
        <f>IF('Status Thresholds'!B832=0, "", 'Status Thresholds'!B832)</f>
        <v>Zamtrios</v>
      </c>
      <c r="D837" s="77" t="s">
        <v>213</v>
      </c>
      <c r="E837" s="36" t="str">
        <f t="shared" si="12"/>
        <v>ZamtriosPitfall Trap</v>
      </c>
      <c r="F837" s="46" t="s">
        <v>214</v>
      </c>
      <c r="G837" s="46" t="s">
        <v>214</v>
      </c>
      <c r="H837" s="46" t="s">
        <v>214</v>
      </c>
      <c r="I837" s="46" t="s">
        <v>214</v>
      </c>
      <c r="J837" s="46">
        <f>IFERROR(IF(AND($U$5=FALSE,$U$4=FALSE),"-",VLOOKUP($E837,'Status Thresholds'!$E:$AU,43,FALSE)),"-")</f>
        <v>15</v>
      </c>
      <c r="K837" s="46">
        <f>IFERROR(IF(AND($U$5=FALSE,$U$4=FALSE),"-",VLOOKUP($E837,'Status Thresholds'!$E:$AU,41,FALSE)),"-")</f>
        <v>12</v>
      </c>
      <c r="L837" s="46">
        <f>IFERROR(IF(AND($U$5=FALSE,$U$4=FALSE),"-",VLOOKUP($E837,'Status Thresholds'!$E:$AU,42,FALSE)),"-")</f>
        <v>20</v>
      </c>
    </row>
    <row r="838" spans="1:12" s="36" customFormat="1" x14ac:dyDescent="0.25">
      <c r="A838" s="64"/>
      <c r="B838" s="64" t="str">
        <f>VLOOKUP(C838,'Status Thresholds'!B:C,2,FALSE)</f>
        <v>MHGen</v>
      </c>
      <c r="C838" s="64" t="str">
        <f>IF('Status Thresholds'!B833=0, "", 'Status Thresholds'!B833)</f>
        <v>Zinogre</v>
      </c>
      <c r="D838" s="37" t="s">
        <v>0</v>
      </c>
      <c r="E838" s="36" t="str">
        <f t="shared" si="12"/>
        <v>ZinogrePara</v>
      </c>
      <c r="F838" s="36" t="str">
        <f>IFERROR(
ROUNDUP(
IF(AND($U$5=FALSE,$U$4=FALSE),"-",IF(AND($U$5=TRUE,$U$4=TRUE),"-",
IF((AND($U$4=TRUE,$U$5=FALSE,$U$6=FALSE,$U$7=FALSE)),VLOOKUP($E838,'Status Thresholds'!$E:$AR,2,FALSE),IF((AND($U$4=TRUE,$U$5=FALSE,$U$6=TRUE,$U$7=FALSE)),VLOOKUP($E838,'Status Thresholds'!$E:$AR,12,FALSE),IF((AND($U$4=TRUE,$U$5=FALSE,$U$6=TRUE,$U$7=TRUE)),VLOOKUP($E838,'Status Thresholds'!$E:$AR,17,FALSE),IF((AND($U$4=TRUE,$U$5=FALSE,$U$6=FALSE,$U$7=TRUE)),VLOOKUP($E838,'Status Thresholds'!$E:$AR,7,FALSE),
IF((AND($U$4=FALSE,$U$5=TRUE,$U$6=FALSE,$U$7=FALSE)),VLOOKUP($E838,'Status Thresholds'!$E:$AR,22,FALSE),IF((AND($U$4=FALSE,$U$5=TRUE,$U$6=TRUE,$U$7=FALSE)),VLOOKUP($E838,'Status Thresholds'!$E:$AR,32,FALSE),IF((AND($U$4=FALSE,$U$5=TRUE,$U$6=TRUE,$U$7=TRUE)),VLOOKUP($E838,'Status Thresholds'!$E:$AR,37,FALSE),IF((AND($U$4=FALSE,$U$5=TRUE,$U$6=FALSE,$U$7=TRUE)),VLOOKUP($E838,'Status Thresholds'!$E:$AR,27,FALSE)))))))))
))/
IF(OR($X$5=TRUE,$AC$3=TRUE
),($F$3/2), IF(OR($X$2,$X$3,$X$4,$X$6,$X$7,$X$8,$Z$2,$Z$3,$Z$4,$Z$5,$Z$6,$Z$7,$Z$8)=TRUE,$F$3)),0),"-")</f>
        <v>-</v>
      </c>
      <c r="G838" s="36" t="str">
        <f>IFERROR(
ROUNDUP(
IF(AND($U$5=FALSE,$U$4=FALSE),"-",IF(AND($U$5=TRUE,$U$4=TRUE),"-",
IF((AND($U$4=TRUE,$U$5=FALSE,$U$6=FALSE,$U$7=FALSE)),VLOOKUP($E838,'Status Thresholds'!$E:$AR,3,FALSE),IF((AND($U$4=TRUE,$U$5=FALSE,$U$6=TRUE,$U$7=FALSE)),VLOOKUP($E838,'Status Thresholds'!$E:$AR,13,FALSE),IF((AND($U$4=TRUE,$U$5=FALSE,$U$6=TRUE,$U$7=TRUE)),VLOOKUP($E838,'Status Thresholds'!$E:$AR,18,FALSE),IF((AND($U$4=TRUE,$U$5=FALSE,$U$6=FALSE,$U$7=TRUE)),VLOOKUP($E838,'Status Thresholds'!$E:$AR,8,FALSE),
IF((AND($U$4=FALSE,$U$5=TRUE,$U$6=FALSE,$U$7=FALSE)),VLOOKUP($E838,'Status Thresholds'!$E:$AR,23,FALSE),IF((AND($U$4=FALSE,$U$5=TRUE,$U$6=TRUE,$U$7=FALSE)),VLOOKUP($E838,'Status Thresholds'!$E:$AR,33,FALSE),IF((AND($U$4=FALSE,$U$5=TRUE,$U$6=TRUE,$U$7=TRUE)),VLOOKUP($E838,'Status Thresholds'!$E:$AR,38,FALSE),IF((AND($U$4=FALSE,$U$5=TRUE,$U$6=FALSE,$U$7=TRUE)),VLOOKUP($E838,'Status Thresholds'!$E:$AR,28,FALSE)))))))))
))/
IF(OR($X$5=TRUE,$AC$3=TRUE
),($F$3/2), IF(OR($X$2,$X$3,$X$4,$X$6,$X$7,$X$8,$Z$2,$Z$3,$Z$4,$Z$5,$Z$6,$Z$7,$Z$8)=TRUE,$F$3)),0),"-")</f>
        <v>-</v>
      </c>
      <c r="H838" s="36" t="str">
        <f>IFERROR(
ROUNDUP(
IF(AND($U$5=FALSE,$U$4=FALSE),"-",IF(AND($U$5=TRUE,$U$4=TRUE),"-",
IF((AND($U$4=TRUE,$U$5=FALSE,$U$6=FALSE,$U$7=FALSE)),VLOOKUP($E838,'Status Thresholds'!$E:$AR,4,FALSE),IF((AND($U$4=TRUE,$U$5=FALSE,$U$6=TRUE,$U$7=FALSE)),VLOOKUP($E838,'Status Thresholds'!$E:$AR,14,FALSE),IF((AND($U$4=TRUE,$U$5=FALSE,$U$6=TRUE,$U$7=TRUE)),VLOOKUP($E838,'Status Thresholds'!$E:$AR,19,FALSE),IF((AND($U$4=TRUE,$U$5=FALSE,$U$6=FALSE,$U$7=TRUE)),VLOOKUP($E838,'Status Thresholds'!$E:$AR,9,FALSE),
IF((AND($U$4=FALSE,$U$5=TRUE,$U$6=FALSE,$U$7=FALSE)),VLOOKUP($E838,'Status Thresholds'!$E:$AR,24,FALSE),IF((AND($U$4=FALSE,$U$5=TRUE,$U$6=TRUE,$U$7=FALSE)),VLOOKUP($E838,'Status Thresholds'!$E:$AR,34,FALSE),IF((AND($U$4=FALSE,$U$5=TRUE,$U$6=TRUE,$U$7=TRUE)),VLOOKUP($E838,'Status Thresholds'!$E:$AR,39,FALSE),IF((AND($U$4=FALSE,$U$5=TRUE,$U$6=FALSE,$U$7=TRUE)),VLOOKUP($E838,'Status Thresholds'!$E:$AR,29,FALSE)))))))))
))/
IF(OR($X$5=TRUE,$AC$3=TRUE
),($F$3/2), IF(OR($X$2,$X$3,$X$4,$X$6,$X$7,$X$8,$Z$2,$Z$3,$Z$4,$Z$5,$Z$6,$Z$7,$Z$8)=TRUE,$F$3)),0),"-")</f>
        <v>-</v>
      </c>
      <c r="I838" s="36" t="str">
        <f>IFERROR(
ROUNDUP(
IF(AND($U$5=FALSE,$U$4=FALSE),"-",IF(AND($U$5=TRUE,$U$4=TRUE),"-",
IF((AND($U$4=TRUE,$U$5=FALSE,$U$6=FALSE,$U$7=FALSE)),VLOOKUP($E838,'Status Thresholds'!$E:$AR,5,FALSE),IF((AND($U$4=TRUE,$U$5=FALSE,$U$6=TRUE,$U$7=FALSE)),VLOOKUP($E838,'Status Thresholds'!$E:$AR,15,FALSE),IF((AND($U$4=TRUE,$U$5=FALSE,$U$6=TRUE,$U$7=TRUE)),VLOOKUP($E838,'Status Thresholds'!$E:$AR,20,FALSE),IF((AND($U$4=TRUE,$U$5=FALSE,$U$6=FALSE,$U$7=TRUE)),VLOOKUP($E838,'Status Thresholds'!$E:$AR,10,FALSE),
IF((AND($U$4=FALSE,$U$5=TRUE,$U$6=FALSE,$U$7=FALSE)),VLOOKUP($E838,'Status Thresholds'!$E:$AR,25,FALSE),IF((AND($U$4=FALSE,$U$5=TRUE,$U$6=TRUE,$U$7=FALSE)),VLOOKUP($E838,'Status Thresholds'!$E:$AR,35,FALSE),IF((AND($U$4=FALSE,$U$5=TRUE,$U$6=TRUE,$U$7=TRUE)),VLOOKUP($E838,'Status Thresholds'!$E:$AR,40,FALSE),IF((AND($U$4=FALSE,$U$5=TRUE,$U$6=FALSE,$U$7=TRUE)),VLOOKUP($E838,'Status Thresholds'!$E:$AR,30,FALSE)))))))))
))/
IF(OR($X$5=TRUE,$AC$3=TRUE
),($F$3/2), IF(OR($X$2,$X$3,$X$4,$X$6,$X$7,$X$8,$Z$2,$Z$3,$Z$4,$Z$5,$Z$6,$Z$7,$Z$8)=TRUE,$F$3)),0),"-")</f>
        <v>-</v>
      </c>
      <c r="J838" s="36">
        <f>IFERROR(IF(AND($U$5=FALSE,$U$4=FALSE),"-",VLOOKUP($E838,'Status Thresholds'!$E:$AU,41,FALSE)),"-")</f>
        <v>10</v>
      </c>
      <c r="K838" s="36" t="str">
        <f>IFERROR(IF(AND($U$5=FALSE,$U$4=FALSE),"-",VLOOKUP($E838,'Status Thresholds'!$E:$AU,42,FALSE)),"-")</f>
        <v>-</v>
      </c>
      <c r="L838" s="36" t="str">
        <f>IFERROR(IF(AND($U$5=FALSE,$U$4=FALSE),"-",VLOOKUP($E838,'Status Thresholds'!$E:$AU,43,FALSE)),"-")</f>
        <v>-</v>
      </c>
    </row>
    <row r="839" spans="1:12" x14ac:dyDescent="0.25">
      <c r="A839" s="35"/>
      <c r="B839" s="64" t="str">
        <f>VLOOKUP(C839,'Status Thresholds'!B:C,2,FALSE)</f>
        <v>MHGen</v>
      </c>
      <c r="C839" s="64" t="str">
        <f>IF('Status Thresholds'!B834=0, "", 'Status Thresholds'!B834)</f>
        <v>Zinogre</v>
      </c>
      <c r="D839" s="31" t="s">
        <v>32</v>
      </c>
      <c r="E839" s="36" t="str">
        <f t="shared" si="12"/>
        <v>ZinogreSleep</v>
      </c>
      <c r="F839" s="36" t="str">
        <f>IFERROR(
ROUNDUP(
IF(AND($U$5=FALSE,$U$4=FALSE),"-",IF(AND($U$5=TRUE,$U$4=TRUE),"-",
IF((AND($U$4=TRUE,$U$5=FALSE,$U$6=FALSE,$U$7=FALSE)),VLOOKUP($E839,'Status Thresholds'!$E:$AR,2,FALSE),IF((AND($U$4=TRUE,$U$5=FALSE,$U$6=TRUE,$U$7=FALSE)),VLOOKUP($E839,'Status Thresholds'!$E:$AR,12,FALSE),IF((AND($U$4=TRUE,$U$5=FALSE,$U$6=TRUE,$U$7=TRUE)),VLOOKUP($E839,'Status Thresholds'!$E:$AR,17,FALSE),IF((AND($U$4=TRUE,$U$5=FALSE,$U$6=FALSE,$U$7=TRUE)),VLOOKUP($E839,'Status Thresholds'!$E:$AR,7,FALSE),
IF((AND($U$4=FALSE,$U$5=TRUE,$U$6=FALSE,$U$7=FALSE)),VLOOKUP($E839,'Status Thresholds'!$E:$AR,22,FALSE),IF((AND($U$4=FALSE,$U$5=TRUE,$U$6=TRUE,$U$7=FALSE)),VLOOKUP($E839,'Status Thresholds'!$E:$AR,32,FALSE),IF((AND($U$4=FALSE,$U$5=TRUE,$U$6=TRUE,$U$7=TRUE)),VLOOKUP($E839,'Status Thresholds'!$E:$AR,37,FALSE),IF((AND($U$4=FALSE,$U$5=TRUE,$U$6=FALSE,$U$7=TRUE)),VLOOKUP($E839,'Status Thresholds'!$E:$AR,27,FALSE)))))))))
))/
IF(OR($X$5=TRUE,$AC$3=TRUE
),($F$4/2), IF(OR($X$2,$X$3,$X$4,$X$6,$X$7,$X$8,$Z$2,$Z$3,$Z$4,$Z$5,$Z$6,$Z$7,$Z$8)=TRUE,$F$4)),0),"-")</f>
        <v>-</v>
      </c>
      <c r="G839" s="36" t="str">
        <f>IFERROR(
ROUNDUP(
IF(AND($U$5=FALSE,$U$4=FALSE),"-",IF(AND($U$5=TRUE,$U$4=TRUE),"-",
IF((AND($U$4=TRUE,$U$5=FALSE,$U$6=FALSE,$U$7=FALSE)),VLOOKUP($E839,'Status Thresholds'!$E:$AR,3,FALSE),IF((AND($U$4=TRUE,$U$5=FALSE,$U$6=TRUE,$U$7=FALSE)),VLOOKUP($E839,'Status Thresholds'!$E:$AR,13,FALSE),IF((AND($U$4=TRUE,$U$5=FALSE,$U$6=TRUE,$U$7=TRUE)),VLOOKUP($E839,'Status Thresholds'!$E:$AR,18,FALSE),IF((AND($U$4=TRUE,$U$5=FALSE,$U$6=FALSE,$U$7=TRUE)),VLOOKUP($E839,'Status Thresholds'!$E:$AR,8,FALSE),
IF((AND($U$4=FALSE,$U$5=TRUE,$U$6=FALSE,$U$7=FALSE)),VLOOKUP($E839,'Status Thresholds'!$E:$AR,23,FALSE),IF((AND($U$4=FALSE,$U$5=TRUE,$U$6=TRUE,$U$7=FALSE)),VLOOKUP($E839,'Status Thresholds'!$E:$AR,33,FALSE),IF((AND($U$4=FALSE,$U$5=TRUE,$U$6=TRUE,$U$7=TRUE)),VLOOKUP($E839,'Status Thresholds'!$E:$AR,38,FALSE),IF((AND($U$4=FALSE,$U$5=TRUE,$U$6=FALSE,$U$7=TRUE)),VLOOKUP($E839,'Status Thresholds'!$E:$AR,28,FALSE)))))))))
))/
IF(OR($X$5=TRUE,$AC$3=TRUE
),($F$4/2), IF(OR($X$2,$X$3,$X$4,$X$6,$X$7,$X$8,$Z$2,$Z$3,$Z$4,$Z$5,$Z$6,$Z$7,$Z$8)=TRUE,$F$4)),0),"-")</f>
        <v>-</v>
      </c>
      <c r="H839" s="36" t="str">
        <f>IFERROR(
ROUNDUP(
IF(AND($U$5=FALSE,$U$4=FALSE),"-",IF(AND($U$5=TRUE,$U$4=TRUE),"-",
IF((AND($U$4=TRUE,$U$5=FALSE,$U$6=FALSE,$U$7=FALSE)),VLOOKUP($E839,'Status Thresholds'!$E:$AR,4,FALSE),IF((AND($U$4=TRUE,$U$5=FALSE,$U$6=TRUE,$U$7=FALSE)),VLOOKUP($E839,'Status Thresholds'!$E:$AR,14,FALSE),IF((AND($U$4=TRUE,$U$5=FALSE,$U$6=TRUE,$U$7=TRUE)),VLOOKUP($E839,'Status Thresholds'!$E:$AR,19,FALSE),IF((AND($U$4=TRUE,$U$5=FALSE,$U$6=FALSE,$U$7=TRUE)),VLOOKUP($E839,'Status Thresholds'!$E:$AR,9,FALSE),
IF((AND($U$4=FALSE,$U$5=TRUE,$U$6=FALSE,$U$7=FALSE)),VLOOKUP($E839,'Status Thresholds'!$E:$AR,24,FALSE),IF((AND($U$4=FALSE,$U$5=TRUE,$U$6=TRUE,$U$7=FALSE)),VLOOKUP($E839,'Status Thresholds'!$E:$AR,34,FALSE),IF((AND($U$4=FALSE,$U$5=TRUE,$U$6=TRUE,$U$7=TRUE)),VLOOKUP($E839,'Status Thresholds'!$E:$AR,39,FALSE),IF((AND($U$4=FALSE,$U$5=TRUE,$U$6=FALSE,$U$7=TRUE)),VLOOKUP($E839,'Status Thresholds'!$E:$AR,29,FALSE)))))))))
))/
IF(OR($X$5=TRUE,$AC$3=TRUE
),($F$4/2), IF(OR($X$2,$X$3,$X$4,$X$6,$X$7,$X$8,$Z$2,$Z$3,$Z$4,$Z$5,$Z$6,$Z$7,$Z$8)=TRUE,$F$4)),0),"-")</f>
        <v>-</v>
      </c>
      <c r="I839" s="36" t="str">
        <f>IFERROR(
ROUNDUP(
IF(AND($U$5=FALSE,$U$4=FALSE),"-",IF(AND($U$5=TRUE,$U$4=TRUE),"-",
IF((AND($U$4=TRUE,$U$5=FALSE,$U$6=FALSE,$U$7=FALSE)),VLOOKUP($E839,'Status Thresholds'!$E:$AR,5,FALSE),IF((AND($U$4=TRUE,$U$5=FALSE,$U$6=TRUE,$U$7=FALSE)),VLOOKUP($E839,'Status Thresholds'!$E:$AR,15,FALSE),IF((AND($U$4=TRUE,$U$5=FALSE,$U$6=TRUE,$U$7=TRUE)),VLOOKUP($E839,'Status Thresholds'!$E:$AR,20,FALSE),IF((AND($U$4=TRUE,$U$5=FALSE,$U$6=FALSE,$U$7=TRUE)),VLOOKUP($E839,'Status Thresholds'!$E:$AR,10,FALSE),
IF((AND($U$4=FALSE,$U$5=TRUE,$U$6=FALSE,$U$7=FALSE)),VLOOKUP($E839,'Status Thresholds'!$E:$AR,25,FALSE),IF((AND($U$4=FALSE,$U$5=TRUE,$U$6=TRUE,$U$7=FALSE)),VLOOKUP($E839,'Status Thresholds'!$E:$AR,35,FALSE),IF((AND($U$4=FALSE,$U$5=TRUE,$U$6=TRUE,$U$7=TRUE)),VLOOKUP($E839,'Status Thresholds'!$E:$AR,40,FALSE),IF((AND($U$4=FALSE,$U$5=TRUE,$U$6=FALSE,$U$7=TRUE)),VLOOKUP($E839,'Status Thresholds'!$E:$AR,30,FALSE)))))))))
))/
IF(OR($X$5=TRUE,$AC$3=TRUE
),($F$4/2), IF(OR($X$2,$X$3,$X$4,$X$6,$X$7,$X$8,$Z$2,$Z$3,$Z$4,$Z$5,$Z$6,$Z$7,$Z$8)=TRUE,$F$4)),0),"-")</f>
        <v>-</v>
      </c>
      <c r="J839" s="46">
        <f>IFERROR(IF(AND($U$5=FALSE,$U$4=FALSE),"-",VLOOKUP($E839,'Status Thresholds'!$E:$AU,41,FALSE)),"-")</f>
        <v>40</v>
      </c>
      <c r="K839" s="46" t="str">
        <f>IFERROR(IF(AND($U$5=FALSE,$U$4=FALSE),"-",VLOOKUP($E839,'Status Thresholds'!$E:$AU,42,FALSE)),"-")</f>
        <v>-</v>
      </c>
      <c r="L839" s="46" t="str">
        <f>IFERROR(IF(AND($U$5=FALSE,$U$4=FALSE),"-",VLOOKUP($E839,'Status Thresholds'!$E:$AU,43,FALSE)),"-")</f>
        <v>-</v>
      </c>
    </row>
    <row r="840" spans="1:12" x14ac:dyDescent="0.25">
      <c r="A840" s="35"/>
      <c r="B840" s="64" t="str">
        <f>VLOOKUP(C840,'Status Thresholds'!B:C,2,FALSE)</f>
        <v>MHGen</v>
      </c>
      <c r="C840" s="64" t="str">
        <f>IF('Status Thresholds'!B835=0, "", 'Status Thresholds'!B835)</f>
        <v>Zinogre</v>
      </c>
      <c r="D840" s="32" t="s">
        <v>33</v>
      </c>
      <c r="E840" s="36" t="str">
        <f t="shared" si="12"/>
        <v>ZinogrePoison</v>
      </c>
      <c r="F840" s="36" t="str">
        <f>IFERROR(
ROUNDUP(
IF(AND($U$5=FALSE,$U$4=FALSE),"-",IF(AND($U$5=TRUE,$U$4=TRUE),"-",
IF((AND($U$4=TRUE,$U$5=FALSE,$U$6=FALSE,$U$7=FALSE)),VLOOKUP($E840,'Status Thresholds'!$E:$AR,2,FALSE),IF((AND($U$4=TRUE,$U$5=FALSE,$U$6=TRUE,$U$7=FALSE)),VLOOKUP($E840,'Status Thresholds'!$E:$AR,12,FALSE),IF((AND($U$4=TRUE,$U$5=FALSE,$U$6=TRUE,$U$7=TRUE)),VLOOKUP($E840,'Status Thresholds'!$E:$AR,17,FALSE),IF((AND($U$4=TRUE,$U$5=FALSE,$U$6=FALSE,$U$7=TRUE)),VLOOKUP($E840,'Status Thresholds'!$E:$AR,7,FALSE),
IF((AND($U$4=FALSE,$U$5=TRUE,$U$6=FALSE,$U$7=FALSE)),VLOOKUP($E840,'Status Thresholds'!$E:$AR,22,FALSE),IF((AND($U$4=FALSE,$U$5=TRUE,$U$6=TRUE,$U$7=FALSE)),VLOOKUP($E840,'Status Thresholds'!$E:$AR,32,FALSE),IF((AND($U$4=FALSE,$U$5=TRUE,$U$6=TRUE,$U$7=TRUE)),VLOOKUP($E840,'Status Thresholds'!$E:$AR,37,FALSE),IF((AND($U$4=FALSE,$U$5=TRUE,$U$6=FALSE,$U$7=TRUE)),VLOOKUP($E840,'Status Thresholds'!$E:$AR,27,FALSE)))))))))
))/
IF(OR($X$5=TRUE,$AC$3=TRUE
),($F$5/2), IF(OR($X$2,$X$3,$X$4,$X$6,$X$7,$X$8,$Z$2,$Z$3,$Z$4,$Z$5,$Z$6,$Z$7,$Z$8)=TRUE,$F$5)),0),"-")</f>
        <v>-</v>
      </c>
      <c r="G840" s="36" t="str">
        <f>IFERROR(
ROUNDUP(
IF(AND($U$5=FALSE,$U$4=FALSE),"-",IF(AND($U$5=TRUE,$U$4=TRUE),"-",
IF((AND($U$4=TRUE,$U$5=FALSE,$U$6=FALSE,$U$7=FALSE)),VLOOKUP($E840,'Status Thresholds'!$E:$AR,3,FALSE),IF((AND($U$4=TRUE,$U$5=FALSE,$U$6=TRUE,$U$7=FALSE)),VLOOKUP($E840,'Status Thresholds'!$E:$AR,13,FALSE),IF((AND($U$4=TRUE,$U$5=FALSE,$U$6=TRUE,$U$7=TRUE)),VLOOKUP($E840,'Status Thresholds'!$E:$AR,18,FALSE),IF((AND($U$4=TRUE,$U$5=FALSE,$U$6=FALSE,$U$7=TRUE)),VLOOKUP($E840,'Status Thresholds'!$E:$AR,8,FALSE),
IF((AND($U$4=FALSE,$U$5=TRUE,$U$6=FALSE,$U$7=FALSE)),VLOOKUP($E840,'Status Thresholds'!$E:$AR,23,FALSE),IF((AND($U$4=FALSE,$U$5=TRUE,$U$6=TRUE,$U$7=FALSE)),VLOOKUP($E840,'Status Thresholds'!$E:$AR,33,FALSE),IF((AND($U$4=FALSE,$U$5=TRUE,$U$6=TRUE,$U$7=TRUE)),VLOOKUP($E840,'Status Thresholds'!$E:$AR,38,FALSE),IF((AND($U$4=FALSE,$U$5=TRUE,$U$6=FALSE,$U$7=TRUE)),VLOOKUP($E840,'Status Thresholds'!$E:$AR,28,FALSE)))))))))
))/
IF(OR($X$5=TRUE,$AC$3=TRUE
),($F$5/2), IF(OR($X$2,$X$3,$X$4,$X$6,$X$7,$X$8,$Z$2,$Z$3,$Z$4,$Z$5,$Z$6,$Z$7,$Z$8)=TRUE,$F$5)),0),"-")</f>
        <v>-</v>
      </c>
      <c r="H840" s="36" t="str">
        <f>IFERROR(
ROUNDUP(
IF(AND($U$5=FALSE,$U$4=FALSE),"-",IF(AND($U$5=TRUE,$U$4=TRUE),"-",
IF((AND($U$4=TRUE,$U$5=FALSE,$U$6=FALSE,$U$7=FALSE)),VLOOKUP($E840,'Status Thresholds'!$E:$AR,4,FALSE),IF((AND($U$4=TRUE,$U$5=FALSE,$U$6=TRUE,$U$7=FALSE)),VLOOKUP($E840,'Status Thresholds'!$E:$AR,14,FALSE),IF((AND($U$4=TRUE,$U$5=FALSE,$U$6=TRUE,$U$7=TRUE)),VLOOKUP($E840,'Status Thresholds'!$E:$AR,19,FALSE),IF((AND($U$4=TRUE,$U$5=FALSE,$U$6=FALSE,$U$7=TRUE)),VLOOKUP($E840,'Status Thresholds'!$E:$AR,9,FALSE),
IF((AND($U$4=FALSE,$U$5=TRUE,$U$6=FALSE,$U$7=FALSE)),VLOOKUP($E840,'Status Thresholds'!$E:$AR,24,FALSE),IF((AND($U$4=FALSE,$U$5=TRUE,$U$6=TRUE,$U$7=FALSE)),VLOOKUP($E840,'Status Thresholds'!$E:$AR,34,FALSE),IF((AND($U$4=FALSE,$U$5=TRUE,$U$6=TRUE,$U$7=TRUE)),VLOOKUP($E840,'Status Thresholds'!$E:$AR,39,FALSE),IF((AND($U$4=FALSE,$U$5=TRUE,$U$6=FALSE,$U$7=TRUE)),VLOOKUP($E840,'Status Thresholds'!$E:$AR,29,FALSE)))))))))
))/
IF(OR($X$5=TRUE,$AC$3=TRUE
),($F$5/2), IF(OR($X$2,$X$3,$X$4,$X$6,$X$7,$X$8,$Z$2,$Z$3,$Z$4,$Z$5,$Z$6,$Z$7,$Z$8)=TRUE,$F$5)),0),"-")</f>
        <v>-</v>
      </c>
      <c r="I840" s="36" t="str">
        <f>IFERROR(
ROUNDUP(
IF(AND($U$5=FALSE,$U$4=FALSE),"-",IF(AND($U$5=TRUE,$U$4=TRUE),"-",
IF((AND($U$4=TRUE,$U$5=FALSE,$U$6=FALSE,$U$7=FALSE)),VLOOKUP($E840,'Status Thresholds'!$E:$AR,5,FALSE),IF((AND($U$4=TRUE,$U$5=FALSE,$U$6=TRUE,$U$7=FALSE)),VLOOKUP($E840,'Status Thresholds'!$E:$AR,15,FALSE),IF((AND($U$4=TRUE,$U$5=FALSE,$U$6=TRUE,$U$7=TRUE)),VLOOKUP($E840,'Status Thresholds'!$E:$AR,20,FALSE),IF((AND($U$4=TRUE,$U$5=FALSE,$U$6=FALSE,$U$7=TRUE)),VLOOKUP($E840,'Status Thresholds'!$E:$AR,10,FALSE),
IF((AND($U$4=FALSE,$U$5=TRUE,$U$6=FALSE,$U$7=FALSE)),VLOOKUP($E840,'Status Thresholds'!$E:$AR,25,FALSE),IF((AND($U$4=FALSE,$U$5=TRUE,$U$6=TRUE,$U$7=FALSE)),VLOOKUP($E840,'Status Thresholds'!$E:$AR,35,FALSE),IF((AND($U$4=FALSE,$U$5=TRUE,$U$6=TRUE,$U$7=TRUE)),VLOOKUP($E840,'Status Thresholds'!$E:$AR,40,FALSE),IF((AND($U$4=FALSE,$U$5=TRUE,$U$6=FALSE,$U$7=TRUE)),VLOOKUP($E840,'Status Thresholds'!$E:$AR,30,FALSE)))))))))
))/
IF(OR($X$5=TRUE,$AC$3=TRUE
),($F$5/2), IF(OR($X$2,$X$3,$X$4,$X$6,$X$7,$X$8,$Z$2,$Z$3,$Z$4,$Z$5,$Z$6,$Z$7,$Z$8)=TRUE,$F$5)),0),"-")</f>
        <v>-</v>
      </c>
      <c r="J840" s="46">
        <f>IFERROR(IF(AND($U$5=FALSE,$U$4=FALSE),"-",VLOOKUP($E840,'Status Thresholds'!$E:$AU,41,FALSE)),"-")</f>
        <v>40</v>
      </c>
      <c r="K840" s="46" t="str">
        <f>IFERROR(IF(AND($U$5=FALSE,$U$4=FALSE),"-",VLOOKUP($E840,'Status Thresholds'!$E:$AU,42,FALSE)),"-")</f>
        <v>-</v>
      </c>
      <c r="L840" s="46" t="str">
        <f>IFERROR(IF(AND($U$5=FALSE,$U$4=FALSE),"-",VLOOKUP($E840,'Status Thresholds'!$E:$AU,43,FALSE)),"-")</f>
        <v>-</v>
      </c>
    </row>
    <row r="841" spans="1:12" x14ac:dyDescent="0.25">
      <c r="A841" s="35"/>
      <c r="B841" s="64" t="str">
        <f>VLOOKUP(C841,'Status Thresholds'!B:C,2,FALSE)</f>
        <v>MHGen</v>
      </c>
      <c r="C841" s="64" t="str">
        <f>IF('Status Thresholds'!B836=0, "", 'Status Thresholds'!B836)</f>
        <v>Zinogre</v>
      </c>
      <c r="D841" s="10" t="s">
        <v>22</v>
      </c>
      <c r="E841" s="36" t="str">
        <f t="shared" si="12"/>
        <v>ZinogreExhaust</v>
      </c>
      <c r="F841" s="36" t="str">
        <f>IFERROR(
ROUNDUP(
IF(AND($U$5=FALSE,$U$4=FALSE),"-",IF(AND($U$5=TRUE,$U$4=TRUE),"-",
IF((AND($U$4=TRUE,$U$5=FALSE,$U$6=FALSE,$U$7=FALSE)),VLOOKUP($E841,'Status Thresholds'!$E:$AR,2,FALSE),IF((AND($U$4=TRUE,$U$5=FALSE,$U$6=TRUE,$U$7=FALSE)),VLOOKUP($E841,'Status Thresholds'!$E:$AR,12,FALSE),IF((AND($U$4=TRUE,$U$5=FALSE,$U$6=TRUE,$U$7=TRUE)),VLOOKUP($E841,'Status Thresholds'!$E:$AR,17,FALSE),IF((AND($U$4=TRUE,$U$5=FALSE,$U$6=FALSE,$U$7=TRUE)),VLOOKUP($E841,'Status Thresholds'!$E:$AR,7,FALSE),
IF((AND($U$4=FALSE,$U$5=TRUE,$U$6=FALSE,$U$7=FALSE)),VLOOKUP($E841,'Status Thresholds'!$E:$AR,22,FALSE),IF((AND($U$4=FALSE,$U$5=TRUE,$U$6=TRUE,$U$7=FALSE)),VLOOKUP($E841,'Status Thresholds'!$E:$AR,32,FALSE),IF((AND($U$4=FALSE,$U$5=TRUE,$U$6=TRUE,$U$7=TRUE)),VLOOKUP($E841,'Status Thresholds'!$E:$AR,37,FALSE),IF((AND($U$4=FALSE,$U$5=TRUE,$U$6=FALSE,$U$7=TRUE)),VLOOKUP($E841,'Status Thresholds'!$E:$AR,27,FALSE)))))))))
))/
IF(OR($X$5=TRUE,$AC$3=TRUE
),($F$6/2), IF(OR($X$2,$X$3,$X$4,$X$6,$X$7,$X$8,$Z$2,$Z$3,$Z$4,$Z$5,$Z$6,$Z$7,$Z$8)=TRUE,$F$6)),0),"-")</f>
        <v>-</v>
      </c>
      <c r="G841" s="36" t="str">
        <f>IFERROR(
ROUNDUP(
IF(AND($U$5=FALSE,$U$4=FALSE),"-",IF(AND($U$5=TRUE,$U$4=TRUE),"-",
IF((AND($U$4=TRUE,$U$5=FALSE,$U$6=FALSE,$U$7=FALSE)),VLOOKUP($E841,'Status Thresholds'!$E:$AR,3,FALSE),IF((AND($U$4=TRUE,$U$5=FALSE,$U$6=TRUE,$U$7=FALSE)),VLOOKUP($E841,'Status Thresholds'!$E:$AR,13,FALSE),IF((AND($U$4=TRUE,$U$5=FALSE,$U$6=TRUE,$U$7=TRUE)),VLOOKUP($E841,'Status Thresholds'!$E:$AR,18,FALSE),IF((AND($U$4=TRUE,$U$5=FALSE,$U$6=FALSE,$U$7=TRUE)),VLOOKUP($E841,'Status Thresholds'!$E:$AR,8,FALSE),
IF((AND($U$4=FALSE,$U$5=TRUE,$U$6=FALSE,$U$7=FALSE)),VLOOKUP($E841,'Status Thresholds'!$E:$AR,23,FALSE),IF((AND($U$4=FALSE,$U$5=TRUE,$U$6=TRUE,$U$7=FALSE)),VLOOKUP($E841,'Status Thresholds'!$E:$AR,33,FALSE),IF((AND($U$4=FALSE,$U$5=TRUE,$U$6=TRUE,$U$7=TRUE)),VLOOKUP($E841,'Status Thresholds'!$E:$AR,38,FALSE),IF((AND($U$4=FALSE,$U$5=TRUE,$U$6=FALSE,$U$7=TRUE)),VLOOKUP($E841,'Status Thresholds'!$E:$AR,28,FALSE)))))))))
))/
IF(OR($X$5=TRUE,$AC$3=TRUE
),($F$6/2), IF(OR($X$2,$X$3,$X$4,$X$6,$X$7,$X$8,$Z$2,$Z$3,$Z$4,$Z$5,$Z$6,$Z$7,$Z$8)=TRUE,$F$6)),0),"-")</f>
        <v>-</v>
      </c>
      <c r="H841" s="36" t="str">
        <f>IFERROR(
ROUNDUP(
IF(AND($U$5=FALSE,$U$4=FALSE),"-",IF(AND($U$5=TRUE,$U$4=TRUE),"-",
IF((AND($U$4=TRUE,$U$5=FALSE,$U$6=FALSE,$U$7=FALSE)),VLOOKUP($E841,'Status Thresholds'!$E:$AR,4,FALSE),IF((AND($U$4=TRUE,$U$5=FALSE,$U$6=TRUE,$U$7=FALSE)),VLOOKUP($E841,'Status Thresholds'!$E:$AR,14,FALSE),IF((AND($U$4=TRUE,$U$5=FALSE,$U$6=TRUE,$U$7=TRUE)),VLOOKUP($E841,'Status Thresholds'!$E:$AR,19,FALSE),IF((AND($U$4=TRUE,$U$5=FALSE,$U$6=FALSE,$U$7=TRUE)),VLOOKUP($E841,'Status Thresholds'!$E:$AR,9,FALSE),
IF((AND($U$4=FALSE,$U$5=TRUE,$U$6=FALSE,$U$7=FALSE)),VLOOKUP($E841,'Status Thresholds'!$E:$AR,24,FALSE),IF((AND($U$4=FALSE,$U$5=TRUE,$U$6=TRUE,$U$7=FALSE)),VLOOKUP($E841,'Status Thresholds'!$E:$AR,34,FALSE),IF((AND($U$4=FALSE,$U$5=TRUE,$U$6=TRUE,$U$7=TRUE)),VLOOKUP($E841,'Status Thresholds'!$E:$AR,39,FALSE),IF((AND($U$4=FALSE,$U$5=TRUE,$U$6=FALSE,$U$7=TRUE)),VLOOKUP($E841,'Status Thresholds'!$E:$AR,29,FALSE)))))))))
))/
IF(OR($X$5=TRUE,$AC$3=TRUE
),($F$6/2), IF(OR($X$2,$X$3,$X$4,$X$6,$X$7,$X$8,$Z$2,$Z$3,$Z$4,$Z$5,$Z$6,$Z$7,$Z$8)=TRUE,$F$6)),0),"-")</f>
        <v>-</v>
      </c>
      <c r="I841" s="36" t="str">
        <f>IFERROR(
ROUNDUP(
IF(AND($U$5=FALSE,$U$4=FALSE),"-",IF(AND($U$5=TRUE,$U$4=TRUE),"-",
IF((AND($U$4=TRUE,$U$5=FALSE,$U$6=FALSE,$U$7=FALSE)),VLOOKUP($E841,'Status Thresholds'!$E:$AR,5,FALSE),IF((AND($U$4=TRUE,$U$5=FALSE,$U$6=TRUE,$U$7=FALSE)),VLOOKUP($E841,'Status Thresholds'!$E:$AR,15,FALSE),IF((AND($U$4=TRUE,$U$5=FALSE,$U$6=TRUE,$U$7=TRUE)),VLOOKUP($E841,'Status Thresholds'!$E:$AR,20,FALSE),IF((AND($U$4=TRUE,$U$5=FALSE,$U$6=FALSE,$U$7=TRUE)),VLOOKUP($E841,'Status Thresholds'!$E:$AR,10,FALSE),
IF((AND($U$4=FALSE,$U$5=TRUE,$U$6=FALSE,$U$7=FALSE)),VLOOKUP($E841,'Status Thresholds'!$E:$AR,25,FALSE),IF((AND($U$4=FALSE,$U$5=TRUE,$U$6=TRUE,$U$7=FALSE)),VLOOKUP($E841,'Status Thresholds'!$E:$AR,35,FALSE),IF((AND($U$4=FALSE,$U$5=TRUE,$U$6=TRUE,$U$7=TRUE)),VLOOKUP($E841,'Status Thresholds'!$E:$AR,40,FALSE),IF((AND($U$4=FALSE,$U$5=TRUE,$U$6=FALSE,$U$7=TRUE)),VLOOKUP($E841,'Status Thresholds'!$E:$AR,30,FALSE)))))))))
))/
IF(OR($X$5=TRUE,$AC$3=TRUE
),($F$6/2), IF(OR($X$2,$X$3,$X$4,$X$6,$X$7,$X$8,$Z$2,$Z$3,$Z$4,$Z$5,$Z$6,$Z$7,$Z$8)=TRUE,$F$6)),0),"-")</f>
        <v>-</v>
      </c>
      <c r="J841" s="46">
        <f>IFERROR(IF(AND($U$5=FALSE,$U$4=FALSE),"-",VLOOKUP($E841,'Status Thresholds'!$E:$AU,41,FALSE)),"-")</f>
        <v>0</v>
      </c>
      <c r="K841" s="46" t="str">
        <f>IFERROR(IF(AND($U$5=FALSE,$U$4=FALSE),"-",VLOOKUP($E841,'Status Thresholds'!$E:$AU,42,FALSE)),"-")</f>
        <v>-</v>
      </c>
      <c r="L841" s="46" t="str">
        <f>IFERROR(IF(AND($U$5=FALSE,$U$4=FALSE),"-",VLOOKUP($E841,'Status Thresholds'!$E:$AU,43,FALSE)),"-")</f>
        <v>-</v>
      </c>
    </row>
    <row r="842" spans="1:12" x14ac:dyDescent="0.25">
      <c r="A842" s="35"/>
      <c r="B842" s="64" t="str">
        <f>VLOOKUP(C842,'Status Thresholds'!B:C,2,FALSE)</f>
        <v>MHGen</v>
      </c>
      <c r="C842" s="64" t="str">
        <f>IF('Status Thresholds'!B837=0, "", 'Status Thresholds'!B837)</f>
        <v>Zinogre</v>
      </c>
      <c r="D842" s="30" t="s">
        <v>35</v>
      </c>
      <c r="E842" s="36" t="str">
        <f t="shared" si="12"/>
        <v>ZinogreBlast</v>
      </c>
      <c r="F842" s="36" t="str">
        <f>IFERROR(
ROUNDUP(
IF(AND($U$5=FALSE,$U$4=FALSE),"-",IF(AND($U$5=TRUE,$U$4=TRUE),"-",
IF((AND($U$4=TRUE,$U$5=FALSE,$U$6=FALSE,$U$7=FALSE)),VLOOKUP($E842,'Status Thresholds'!$E:$AR,2,FALSE),IF((AND($U$4=TRUE,$U$5=FALSE,$U$6=TRUE,$U$7=FALSE)),VLOOKUP($E842,'Status Thresholds'!$E:$AR,12,FALSE),IF((AND($U$4=TRUE,$U$5=FALSE,$U$6=TRUE,$U$7=TRUE)),VLOOKUP($E842,'Status Thresholds'!$E:$AR,17,FALSE),IF((AND($U$4=TRUE,$U$5=FALSE,$U$6=FALSE,$U$7=TRUE)),VLOOKUP($E842,'Status Thresholds'!$E:$AR,7,FALSE),
IF((AND($U$4=FALSE,$U$5=TRUE,$U$6=FALSE,$U$7=FALSE)),VLOOKUP($E842,'Status Thresholds'!$E:$AR,22,FALSE),IF((AND($U$4=FALSE,$U$5=TRUE,$U$6=TRUE,$U$7=FALSE)),VLOOKUP($E842,'Status Thresholds'!$E:$AR,32,FALSE),IF((AND($U$4=FALSE,$U$5=TRUE,$U$6=TRUE,$U$7=TRUE)),VLOOKUP($E842,'Status Thresholds'!$E:$AR,37,FALSE),IF((AND($U$4=FALSE,$U$5=TRUE,$U$6=FALSE,$U$7=TRUE)),VLOOKUP($E842,'Status Thresholds'!$E:$AR,27,FALSE)))))))))
))/
IF(OR($X$5=TRUE,$AC$3=TRUE
),($F$7/2), IF(OR($X$2,$X$3,$X$4,$X$6,$X$7,$X$8,$Z$2,$Z$3,$Z$4,$Z$5,$Z$6,$Z$7,$Z$8)=TRUE,$F$7)),0),"-")</f>
        <v>-</v>
      </c>
      <c r="G842" s="36" t="str">
        <f>IFERROR(
ROUNDUP(
IF(AND($U$5=FALSE,$U$4=FALSE),"-",IF(AND($U$5=TRUE,$U$4=TRUE),"-",
IF((AND($U$4=TRUE,$U$5=FALSE,$U$6=FALSE,$U$7=FALSE)),VLOOKUP($E842,'Status Thresholds'!$E:$AR,3,FALSE),IF((AND($U$4=TRUE,$U$5=FALSE,$U$6=TRUE,$U$7=FALSE)),VLOOKUP($E842,'Status Thresholds'!$E:$AR,13,FALSE),IF((AND($U$4=TRUE,$U$5=FALSE,$U$6=TRUE,$U$7=TRUE)),VLOOKUP($E842,'Status Thresholds'!$E:$AR,18,FALSE),IF((AND($U$4=TRUE,$U$5=FALSE,$U$6=FALSE,$U$7=TRUE)),VLOOKUP($E842,'Status Thresholds'!$E:$AR,8,FALSE),
IF((AND($U$4=FALSE,$U$5=TRUE,$U$6=FALSE,$U$7=FALSE)),VLOOKUP($E842,'Status Thresholds'!$E:$AR,23,FALSE),IF((AND($U$4=FALSE,$U$5=TRUE,$U$6=TRUE,$U$7=FALSE)),VLOOKUP($E842,'Status Thresholds'!$E:$AR,33,FALSE),IF((AND($U$4=FALSE,$U$5=TRUE,$U$6=TRUE,$U$7=TRUE)),VLOOKUP($E842,'Status Thresholds'!$E:$AR,38,FALSE),IF((AND($U$4=FALSE,$U$5=TRUE,$U$6=FALSE,$U$7=TRUE)),VLOOKUP($E842,'Status Thresholds'!$E:$AR,28,FALSE)))))))))
))/
IF(OR($X$5=TRUE,$AC$3=TRUE
),($F$7/2), IF(OR($X$2,$X$3,$X$4,$X$6,$X$7,$X$8,$Z$2,$Z$3,$Z$4,$Z$5,$Z$6,$Z$7,$Z$8)=TRUE,$F$7)),0),"-")</f>
        <v>-</v>
      </c>
      <c r="H842" s="36" t="str">
        <f>IFERROR(
ROUNDUP(
IF(AND($U$5=FALSE,$U$4=FALSE),"-",IF(AND($U$5=TRUE,$U$4=TRUE),"-",
IF((AND($U$4=TRUE,$U$5=FALSE,$U$6=FALSE,$U$7=FALSE)),VLOOKUP($E842,'Status Thresholds'!$E:$AR,4,FALSE),IF((AND($U$4=TRUE,$U$5=FALSE,$U$6=TRUE,$U$7=FALSE)),VLOOKUP($E842,'Status Thresholds'!$E:$AR,14,FALSE),IF((AND($U$4=TRUE,$U$5=FALSE,$U$6=TRUE,$U$7=TRUE)),VLOOKUP($E842,'Status Thresholds'!$E:$AR,19,FALSE),IF((AND($U$4=TRUE,$U$5=FALSE,$U$6=FALSE,$U$7=TRUE)),VLOOKUP($E842,'Status Thresholds'!$E:$AR,9,FALSE),
IF((AND($U$4=FALSE,$U$5=TRUE,$U$6=FALSE,$U$7=FALSE)),VLOOKUP($E842,'Status Thresholds'!$E:$AR,24,FALSE),IF((AND($U$4=FALSE,$U$5=TRUE,$U$6=TRUE,$U$7=FALSE)),VLOOKUP($E842,'Status Thresholds'!$E:$AR,34,FALSE),IF((AND($U$4=FALSE,$U$5=TRUE,$U$6=TRUE,$U$7=TRUE)),VLOOKUP($E842,'Status Thresholds'!$E:$AR,39,FALSE),IF((AND($U$4=FALSE,$U$5=TRUE,$U$6=FALSE,$U$7=TRUE)),VLOOKUP($E842,'Status Thresholds'!$E:$AR,29,FALSE)))))))))
))/
IF(OR($X$5=TRUE,$AC$3=TRUE
),($F$7/2), IF(OR($X$2,$X$3,$X$4,$X$6,$X$7,$X$8,$Z$2,$Z$3,$Z$4,$Z$5,$Z$6,$Z$7,$Z$8)=TRUE,$F$7)),0),"-")</f>
        <v>-</v>
      </c>
      <c r="I842" s="36" t="str">
        <f>IFERROR(
ROUNDUP(
IF(AND($U$5=FALSE,$U$4=FALSE),"-",IF(AND($U$5=TRUE,$U$4=TRUE),"-",
IF((AND($U$4=TRUE,$U$5=FALSE,$U$6=FALSE,$U$7=FALSE)),VLOOKUP($E842,'Status Thresholds'!$E:$AR,5,FALSE),IF((AND($U$4=TRUE,$U$5=FALSE,$U$6=TRUE,$U$7=FALSE)),VLOOKUP($E842,'Status Thresholds'!$E:$AR,15,FALSE),IF((AND($U$4=TRUE,$U$5=FALSE,$U$6=TRUE,$U$7=TRUE)),VLOOKUP($E842,'Status Thresholds'!$E:$AR,20,FALSE),IF((AND($U$4=TRUE,$U$5=FALSE,$U$6=FALSE,$U$7=TRUE)),VLOOKUP($E842,'Status Thresholds'!$E:$AR,10,FALSE),
IF((AND($U$4=FALSE,$U$5=TRUE,$U$6=FALSE,$U$7=FALSE)),VLOOKUP($E842,'Status Thresholds'!$E:$AR,25,FALSE),IF((AND($U$4=FALSE,$U$5=TRUE,$U$6=TRUE,$U$7=FALSE)),VLOOKUP($E842,'Status Thresholds'!$E:$AR,35,FALSE),IF((AND($U$4=FALSE,$U$5=TRUE,$U$6=TRUE,$U$7=TRUE)),VLOOKUP($E842,'Status Thresholds'!$E:$AR,40,FALSE),IF((AND($U$4=FALSE,$U$5=TRUE,$U$6=FALSE,$U$7=TRUE)),VLOOKUP($E842,'Status Thresholds'!$E:$AR,30,FALSE)))))))))
))/
IF(OR($X$5=TRUE,$AC$3=TRUE
),($F$7/2), IF(OR($X$2,$X$3,$X$4,$X$6,$X$7,$X$8,$Z$2,$Z$3,$Z$4,$Z$5,$Z$6,$Z$7,$Z$8)=TRUE,$F$7)),0),"-")</f>
        <v>-</v>
      </c>
      <c r="J842" s="46">
        <f>IFERROR(IF(AND($U$5=FALSE,$U$4=FALSE),"-",VLOOKUP($E842,'Status Thresholds'!$E:$AU,41,FALSE)),"-")</f>
        <v>0</v>
      </c>
      <c r="K842" s="46" t="str">
        <f>IFERROR(IF(AND($U$5=FALSE,$U$4=FALSE),"-",VLOOKUP($E842,'Status Thresholds'!$E:$AU,42,FALSE)),"-")</f>
        <v>-</v>
      </c>
      <c r="L842" s="46" t="str">
        <f>IFERROR(IF(AND($U$5=FALSE,$U$4=FALSE),"-",VLOOKUP($E842,'Status Thresholds'!$E:$AU,43,FALSE)),"-")</f>
        <v>-</v>
      </c>
    </row>
    <row r="843" spans="1:12" x14ac:dyDescent="0.25">
      <c r="A843" s="35"/>
      <c r="B843" s="64" t="str">
        <f>VLOOKUP(C843,'Status Thresholds'!B:C,2,FALSE)</f>
        <v>MHGen</v>
      </c>
      <c r="C843" s="64" t="str">
        <f>IF('Status Thresholds'!B838=0, "", 'Status Thresholds'!B838)</f>
        <v>Zinogre</v>
      </c>
      <c r="D843" s="34" t="s">
        <v>14</v>
      </c>
      <c r="E843" s="36" t="str">
        <f t="shared" si="12"/>
        <v>ZinogreKO</v>
      </c>
      <c r="F843" s="36" t="s">
        <v>214</v>
      </c>
      <c r="G843" s="36" t="s">
        <v>214</v>
      </c>
      <c r="H843" s="36" t="s">
        <v>214</v>
      </c>
      <c r="I843" s="36" t="s">
        <v>214</v>
      </c>
      <c r="J843" s="46">
        <f>IFERROR(IF(AND($U$5=FALSE,$U$4=FALSE),"-",VLOOKUP($E843,'Status Thresholds'!$E:$AU,41,FALSE)),"-")</f>
        <v>10</v>
      </c>
      <c r="K843" s="46" t="str">
        <f>IFERROR(IF(AND($U$5=FALSE,$U$4=FALSE),"-",VLOOKUP($E843,'Status Thresholds'!$E:$AU,42,FALSE)),"-")</f>
        <v>-</v>
      </c>
      <c r="L843" s="46" t="str">
        <f>IFERROR(IF(AND($U$5=FALSE,$U$4=FALSE),"-",VLOOKUP($E843,'Status Thresholds'!$E:$AU,43,FALSE)),"-")</f>
        <v>-</v>
      </c>
    </row>
    <row r="844" spans="1:12" x14ac:dyDescent="0.25">
      <c r="A844" s="35"/>
      <c r="B844" s="64" t="str">
        <f>VLOOKUP(C844,'Status Thresholds'!B:C,2,FALSE)</f>
        <v>MHGen</v>
      </c>
      <c r="C844" s="64" t="str">
        <f>IF('Status Thresholds'!B839=0, "", 'Status Thresholds'!B839)</f>
        <v>Zinogre</v>
      </c>
      <c r="D844" s="33" t="s">
        <v>34</v>
      </c>
      <c r="E844" s="36" t="str">
        <f t="shared" si="12"/>
        <v>ZinogreMount</v>
      </c>
      <c r="F844" s="36" t="str">
        <f>IFERROR(
ROUNDUP(
IF(AND($U$5=FALSE,$U$4=FALSE),"-",IF(AND($U$5=TRUE,$U$4=TRUE),"-",
IF((AND($U$4=TRUE,$U$5=FALSE,$U$6=FALSE,$U$7=FALSE)),VLOOKUP($E844,'Status Thresholds'!$E:$AR,2,FALSE),IF((AND($U$4=TRUE,$U$5=FALSE,$U$6=TRUE,$U$7=FALSE)),VLOOKUP($E844,'Status Thresholds'!$E:$AR,12,FALSE),IF((AND($U$4=TRUE,$U$5=FALSE,$U$6=TRUE,$U$7=TRUE)),VLOOKUP($E844,'Status Thresholds'!$E:$AR,17,FALSE),IF((AND($U$4=TRUE,$U$5=FALSE,$U$6=FALSE,$U$7=TRUE)),VLOOKUP($E844,'Status Thresholds'!$E:$AR,7,FALSE),
IF((AND($U$4=FALSE,$U$5=TRUE,$U$6=FALSE,$U$7=FALSE)),VLOOKUP($E844,'Status Thresholds'!$E:$AR,22,FALSE),IF((AND($U$4=FALSE,$U$5=TRUE,$U$6=TRUE,$U$7=FALSE)),VLOOKUP($E844,'Status Thresholds'!$E:$AR,32,FALSE),IF((AND($U$4=FALSE,$U$5=TRUE,$U$6=TRUE,$U$7=TRUE)),VLOOKUP($E844,'Status Thresholds'!$E:$AR,37,FALSE),IF((AND($U$4=FALSE,$U$5=TRUE,$U$6=FALSE,$U$7=TRUE)),VLOOKUP($E844,'Status Thresholds'!$E:$AR,27,FALSE)))))))))))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G844" s="36" t="str">
        <f>IFERROR(
ROUNDUP(
IF(AND($U$5=FALSE,$U$4=FALSE),"-",IF(AND($U$5=TRUE,$U$4=TRUE),"-",
IF((AND($U$4=TRUE,$U$5=FALSE,$U$6=FALSE,$U$7=FALSE)),VLOOKUP($E843,'Status Thresholds'!$E:$AR,3,FALSE),IF((AND($U$4=TRUE,$U$5=FALSE,$U$6=TRUE,$U$7=FALSE)),VLOOKUP($E843,'Status Thresholds'!$E:$AR,13,FALSE),IF((AND($U$4=TRUE,$U$5=FALSE,$U$6=TRUE,$U$7=TRUE)),VLOOKUP($E843,'Status Thresholds'!$E:$AR,18,FALSE),IF((AND($U$4=TRUE,$U$5=FALSE,$U$6=FALSE,$U$7=TRUE)),VLOOKUP($E843,'Status Thresholds'!$E:$AR,8,FALSE),
IF((AND($U$4=FALSE,$U$5=TRUE,$U$6=FALSE,$U$7=FALSE)),VLOOKUP($E843,'Status Thresholds'!$E:$AR,23,FALSE),IF((AND($U$4=FALSE,$U$5=TRUE,$U$6=TRUE,$U$7=FALSE)),VLOOKUP($E843,'Status Thresholds'!$E:$AR,33,FALSE),IF((AND($U$4=FALSE,$U$5=TRUE,$U$6=TRUE,$U$7=TRUE)),VLOOKUP($E843,'Status Thresholds'!$E:$AR,38,FALSE),IF((AND($U$4=FALSE,$U$5=TRUE,$U$6=FALSE,$U$7=TRUE)),VLOOKUP($E843,'Status Thresholds'!$E:$AR,28,FALSE)))))))))))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H844" s="36" t="str">
        <f>IFERROR(
ROUNDUP(
IF(AND($U$5=FALSE,$U$4=FALSE),"-",IF(AND($U$5=TRUE,$U$4=TRUE),"-",
IF((AND($U$4=TRUE,$U$5=FALSE,$U$6=FALSE,$U$7=FALSE)),VLOOKUP($E843,'Status Thresholds'!$E:$AR,4,FALSE),IF((AND($U$4=TRUE,$U$5=FALSE,$U$6=TRUE,$U$7=FALSE)),VLOOKUP($E843,'Status Thresholds'!$E:$AR,14,FALSE),IF((AND($U$4=TRUE,$U$5=FALSE,$U$6=TRUE,$U$7=TRUE)),VLOOKUP($E843,'Status Thresholds'!$E:$AR,19,FALSE),IF((AND($U$4=TRUE,$U$5=FALSE,$U$6=FALSE,$U$7=TRUE)),VLOOKUP($E843,'Status Thresholds'!$E:$AR,9,FALSE),
IF((AND($U$4=FALSE,$U$5=TRUE,$U$6=FALSE,$U$7=FALSE)),VLOOKUP($E843,'Status Thresholds'!$E:$AR,24,FALSE),IF((AND($U$4=FALSE,$U$5=TRUE,$U$6=TRUE,$U$7=FALSE)),VLOOKUP($E843,'Status Thresholds'!$E:$AR,34,FALSE),IF((AND($U$4=FALSE,$U$5=TRUE,$U$6=TRUE,$U$7=TRUE)),VLOOKUP($E843,'Status Thresholds'!$E:$AR,39,FALSE),IF((AND($U$4=FALSE,$U$5=TRUE,$U$6=FALSE,$U$7=TRUE)),VLOOKUP($E843,'Status Thresholds'!$E:$AR,29,FALSE)))))))))))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I844" s="36" t="str">
        <f>IFERROR(
ROUNDUP(
IF(AND($U$5=FALSE,$U$4=FALSE),"-",IF(AND($U$5=TRUE,$U$4=TRUE),"-",
IF((AND($U$4=TRUE,$U$5=FALSE,$U$6=FALSE,$U$7=FALSE)),VLOOKUP($E843,'Status Thresholds'!$E:$AR,5,FALSE),IF((AND($U$4=TRUE,$U$5=FALSE,$U$6=TRUE,$U$7=FALSE)),VLOOKUP($E843,'Status Thresholds'!$E:$AR,15,FALSE),IF((AND($U$4=TRUE,$U$5=FALSE,$U$6=TRUE,$U$7=TRUE)),VLOOKUP($E843,'Status Thresholds'!$E:$AR,20,FALSE),IF((AND($U$4=TRUE,$U$5=FALSE,$U$6=FALSE,$U$7=TRUE)),VLOOKUP($E843,'Status Thresholds'!$E:$AR,10,FALSE),
IF((AND($U$4=FALSE,$U$5=TRUE,$U$6=FALSE,$U$7=FALSE)),VLOOKUP($E843,'Status Thresholds'!$E:$AR,25,FALSE),IF((AND($U$4=FALSE,$U$5=TRUE,$U$6=TRUE,$U$7=FALSE)),VLOOKUP($E843,'Status Thresholds'!$E:$AR,35,FALSE),IF((AND($U$4=FALSE,$U$5=TRUE,$U$6=TRUE,$U$7=TRUE)),VLOOKUP($E843,'Status Thresholds'!$E:$AR,40,FALSE),IF((AND($U$4=FALSE,$U$5=TRUE,$U$6=FALSE,$U$7=TRUE)),VLOOKUP($E843,'Status Thresholds'!$E:$AR,30,FALSE)))))))))))
/
(IF(AND($X$2=TRUE,$AC$2=FALSE),'Mount Calc'!$B$24,IF(AND($X$2=TRUE,$AC$2=TRUE),'Mount Calc'!$C$24,
IF(AND($X$3=TRUE,$AC$2=FALSE),'Mount Calc'!$B$25,IF(AND($X$3=TRUE,$AC$2=TRUE),'Mount Calc'!$C$25,
IF(AND($X$4=TRUE,$AC$2=FALSE),'Mount Calc'!$B$26,IF(AND($X$4=TRUE,$AC$2=TRUE),'Mount Calc'!$C$26,
IF(AND($X$5=TRUE,$AC$2=FALSE),'Mount Calc'!$B$27,IF(AND($X$5=TRUE,$AC$2=TRUE),'Mount Calc'!$C$27,
IF(AND($X$6=TRUE,$AC$2=FALSE),'Mount Calc'!$B$28,IF(AND($X$6=TRUE,$AC$2=TRUE),'Mount Calc'!$C$28,
IF(AND($X$7=TRUE,$AC$2=FALSE),'Mount Calc'!$B$29,IF(AND($X$7=TRUE,$AC$2=TRUE),'Mount Calc'!$C$29,
IF(AND($X$8=TRUE,$AC$2=FALSE),'Mount Calc'!$B$30,IF(AND($X$8=TRUE,$AC$2=TRUE),'Mount Calc'!$C$30,
IF(AND($Z$2=TRUE,$AC$2=FALSE),'Mount Calc'!$B$31,IF(AND($Z$2=TRUE,$AC$2=TRUE),'Mount Calc'!$C$31,
IF(AND($Z$3=TRUE,$AC$2=FALSE),'Mount Calc'!$B$32,IF(AND($Z$3=TRUE,$AC$2=TRUE),'Mount Calc'!$C$32,
IF(AND($Z$4=TRUE,$AC$2=FALSE),'Mount Calc'!$B$33,IF(AND($Z$4=TRUE,$AC$2=TRUE),'Mount Calc'!$C$33,
IF(AND($Z$5=TRUE,$AC$2=FALSE),'Mount Calc'!$B$34,IF(AND($Z$5=TRUE,$AC$2=TRUE),'Mount Calc'!$C$34,
IF(AND($Z$6=TRUE,$AC$2=FALSE),'Mount Calc'!$B$35,IF(AND($Z$6=TRUE,$AC$2=TRUE),'Mount Calc'!$C$35,
IF(AND($Z$7=TRUE,$AC$2=FALSE),'Mount Calc'!$B$36,IF(AND($Z$7=TRUE,$AC$2=TRUE),'Mount Calc'!$C$36,
IF(AND($Z$8=TRUE,$AC$2=FALSE),'Mount Calc'!$B$37,IF(AND($Z$8=TRUE,$AC$2=TRUE),'Mount Calc'!$C$37,
IF(AND($AC$3=TRUE,$AC$2=FALSE),'Mount Calc'!$B$38,IF(AND($AC$3=TRUE,$AC$2=TRUE),'Mount Calc'!$C$38,
"-"
))))))))))))))))))))))))))))))),0),"-")</f>
        <v>-</v>
      </c>
      <c r="J844" s="46">
        <f>IFERROR(IF(AND($U$5=FALSE,$U$4=FALSE),"-",VLOOKUP($E844,'Status Thresholds'!$E:$AU,41,FALSE)),"-")</f>
        <v>0</v>
      </c>
      <c r="K844" s="46" t="str">
        <f>IFERROR(IF(AND($U$5=FALSE,$U$4=FALSE),"-",VLOOKUP($E844,'Status Thresholds'!$E:$AU,42,FALSE)),"-")</f>
        <v>-</v>
      </c>
      <c r="L844" s="46" t="str">
        <f>IFERROR(IF(AND($U$5=FALSE,$U$4=FALSE),"-",VLOOKUP($E844,'Status Thresholds'!$E:$AU,43,FALSE)),"-")</f>
        <v>-</v>
      </c>
    </row>
    <row r="845" spans="1:12" x14ac:dyDescent="0.25">
      <c r="A845" s="35"/>
      <c r="B845" s="64" t="str">
        <f>VLOOKUP(C845,'Status Thresholds'!B:C,2,FALSE)</f>
        <v>MHGen</v>
      </c>
      <c r="C845" s="64" t="str">
        <f>IF('Status Thresholds'!B840=0, "", 'Status Thresholds'!B840)</f>
        <v>Zinogre</v>
      </c>
      <c r="D845" s="77" t="s">
        <v>207</v>
      </c>
      <c r="E845" s="36" t="str">
        <f t="shared" si="12"/>
        <v>ZinogreShock Trap</v>
      </c>
      <c r="F845" s="76" t="s">
        <v>214</v>
      </c>
      <c r="G845" s="46" t="s">
        <v>214</v>
      </c>
      <c r="H845" s="46" t="s">
        <v>214</v>
      </c>
      <c r="I845" s="46" t="s">
        <v>214</v>
      </c>
      <c r="J845" s="46">
        <f>IFERROR(IF(AND($U$5=FALSE,$U$4=FALSE),"-",VLOOKUP($E845,'Status Thresholds'!$E:$AU,43,FALSE)),"-")</f>
        <v>12</v>
      </c>
      <c r="K845" s="46">
        <f>IFERROR(IF(AND($U$5=FALSE,$U$4=FALSE),"-",VLOOKUP($E845,'Status Thresholds'!$E:$AU,41,FALSE)),"-")</f>
        <v>8</v>
      </c>
      <c r="L845" s="46">
        <f>IFERROR(IF(AND($U$5=FALSE,$U$4=FALSE),"-",VLOOKUP($E845,'Status Thresholds'!$E:$AU,42,FALSE)),"-")</f>
        <v>15</v>
      </c>
    </row>
    <row r="846" spans="1:12" x14ac:dyDescent="0.25">
      <c r="A846" s="35"/>
      <c r="B846" s="64" t="str">
        <f>VLOOKUP(C846,'Status Thresholds'!B:C,2,FALSE)</f>
        <v>MHGen</v>
      </c>
      <c r="C846" s="64" t="str">
        <f>IF('Status Thresholds'!B841=0, "", 'Status Thresholds'!B841)</f>
        <v>Zinogre</v>
      </c>
      <c r="D846" s="77" t="s">
        <v>213</v>
      </c>
      <c r="E846" s="36" t="str">
        <f t="shared" si="12"/>
        <v>ZinogrePitfall Trap</v>
      </c>
      <c r="F846" s="46" t="s">
        <v>214</v>
      </c>
      <c r="G846" s="46" t="s">
        <v>214</v>
      </c>
      <c r="H846" s="46" t="s">
        <v>214</v>
      </c>
      <c r="I846" s="46" t="s">
        <v>214</v>
      </c>
      <c r="J846" s="46">
        <f>IFERROR(IF(AND($U$5=FALSE,$U$4=FALSE),"-",VLOOKUP($E846,'Status Thresholds'!$E:$AU,43,FALSE)),"-")</f>
        <v>12</v>
      </c>
      <c r="K846" s="46">
        <f>IFERROR(IF(AND($U$5=FALSE,$U$4=FALSE),"-",VLOOKUP($E846,'Status Thresholds'!$E:$AU,41,FALSE)),"-")</f>
        <v>12</v>
      </c>
      <c r="L846" s="46">
        <f>IFERROR(IF(AND($U$5=FALSE,$U$4=FALSE),"-",VLOOKUP($E846,'Status Thresholds'!$E:$AU,42,FALSE)),"-")</f>
        <v>25</v>
      </c>
    </row>
  </sheetData>
  <autoFilter ref="B9:D846">
    <filterColumn colId="0">
      <filters>
        <filter val="MHGen"/>
        <filter val="MHGU"/>
      </filters>
    </filterColumn>
  </autoFilter>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74" r:id="rId4" name="Check Box 26">
              <controlPr defaultSize="0" autoFill="0" autoLine="0" autoPict="0">
                <anchor moveWithCells="1">
                  <from>
                    <xdr:col>8</xdr:col>
                    <xdr:colOff>0</xdr:colOff>
                    <xdr:row>2</xdr:row>
                    <xdr:rowOff>9525</xdr:rowOff>
                  </from>
                  <to>
                    <xdr:col>8</xdr:col>
                    <xdr:colOff>762000</xdr:colOff>
                    <xdr:row>3</xdr:row>
                    <xdr:rowOff>38100</xdr:rowOff>
                  </to>
                </anchor>
              </controlPr>
            </control>
          </mc:Choice>
        </mc:AlternateContent>
        <mc:AlternateContent xmlns:mc="http://schemas.openxmlformats.org/markup-compatibility/2006">
          <mc:Choice Requires="x14">
            <control shapeId="2075" r:id="rId5" name="Check Box 27">
              <controlPr defaultSize="0" autoFill="0" autoLine="0" autoPict="0">
                <anchor moveWithCells="1">
                  <from>
                    <xdr:col>8</xdr:col>
                    <xdr:colOff>0</xdr:colOff>
                    <xdr:row>3</xdr:row>
                    <xdr:rowOff>19050</xdr:rowOff>
                  </from>
                  <to>
                    <xdr:col>8</xdr:col>
                    <xdr:colOff>762000</xdr:colOff>
                    <xdr:row>4</xdr:row>
                    <xdr:rowOff>47625</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8</xdr:col>
                    <xdr:colOff>0</xdr:colOff>
                    <xdr:row>4</xdr:row>
                    <xdr:rowOff>9525</xdr:rowOff>
                  </from>
                  <to>
                    <xdr:col>8</xdr:col>
                    <xdr:colOff>762000</xdr:colOff>
                    <xdr:row>5</xdr:row>
                    <xdr:rowOff>38100</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8</xdr:col>
                    <xdr:colOff>9525</xdr:colOff>
                    <xdr:row>5</xdr:row>
                    <xdr:rowOff>0</xdr:rowOff>
                  </from>
                  <to>
                    <xdr:col>8</xdr:col>
                    <xdr:colOff>771525</xdr:colOff>
                    <xdr:row>6</xdr:row>
                    <xdr:rowOff>28575</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8</xdr:col>
                    <xdr:colOff>9525</xdr:colOff>
                    <xdr:row>5</xdr:row>
                    <xdr:rowOff>152400</xdr:rowOff>
                  </from>
                  <to>
                    <xdr:col>8</xdr:col>
                    <xdr:colOff>771525</xdr:colOff>
                    <xdr:row>7</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9</xdr:col>
                    <xdr:colOff>0</xdr:colOff>
                    <xdr:row>2</xdr:row>
                    <xdr:rowOff>171450</xdr:rowOff>
                  </from>
                  <to>
                    <xdr:col>9</xdr:col>
                    <xdr:colOff>762000</xdr:colOff>
                    <xdr:row>4</xdr:row>
                    <xdr:rowOff>19050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9</xdr:col>
                    <xdr:colOff>0</xdr:colOff>
                    <xdr:row>1</xdr:row>
                    <xdr:rowOff>161925</xdr:rowOff>
                  </from>
                  <to>
                    <xdr:col>9</xdr:col>
                    <xdr:colOff>762000</xdr:colOff>
                    <xdr:row>3</xdr:row>
                    <xdr:rowOff>9525</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9</xdr:col>
                    <xdr:colOff>0</xdr:colOff>
                    <xdr:row>3</xdr:row>
                    <xdr:rowOff>171450</xdr:rowOff>
                  </from>
                  <to>
                    <xdr:col>9</xdr:col>
                    <xdr:colOff>762000</xdr:colOff>
                    <xdr:row>5</xdr:row>
                    <xdr:rowOff>19050</xdr:rowOff>
                  </to>
                </anchor>
              </controlPr>
            </control>
          </mc:Choice>
        </mc:AlternateContent>
        <mc:AlternateContent xmlns:mc="http://schemas.openxmlformats.org/markup-compatibility/2006">
          <mc:Choice Requires="x14">
            <control shapeId="2082" r:id="rId12" name="Check Box 34">
              <controlPr defaultSize="0" autoFill="0" autoLine="0" autoPict="0">
                <anchor moveWithCells="1">
                  <from>
                    <xdr:col>9</xdr:col>
                    <xdr:colOff>0</xdr:colOff>
                    <xdr:row>4</xdr:row>
                    <xdr:rowOff>171450</xdr:rowOff>
                  </from>
                  <to>
                    <xdr:col>9</xdr:col>
                    <xdr:colOff>762000</xdr:colOff>
                    <xdr:row>6</xdr:row>
                    <xdr:rowOff>19050</xdr:rowOff>
                  </to>
                </anchor>
              </controlPr>
            </control>
          </mc:Choice>
        </mc:AlternateContent>
        <mc:AlternateContent xmlns:mc="http://schemas.openxmlformats.org/markup-compatibility/2006">
          <mc:Choice Requires="x14">
            <control shapeId="2083" r:id="rId13" name="Check Box 35">
              <controlPr defaultSize="0" autoFill="0" autoLine="0" autoPict="0">
                <anchor moveWithCells="1">
                  <from>
                    <xdr:col>10</xdr:col>
                    <xdr:colOff>19050</xdr:colOff>
                    <xdr:row>1</xdr:row>
                    <xdr:rowOff>171450</xdr:rowOff>
                  </from>
                  <to>
                    <xdr:col>10</xdr:col>
                    <xdr:colOff>781050</xdr:colOff>
                    <xdr:row>3</xdr:row>
                    <xdr:rowOff>19050</xdr:rowOff>
                  </to>
                </anchor>
              </controlPr>
            </control>
          </mc:Choice>
        </mc:AlternateContent>
        <mc:AlternateContent xmlns:mc="http://schemas.openxmlformats.org/markup-compatibility/2006">
          <mc:Choice Requires="x14">
            <control shapeId="2085" r:id="rId14" name="Check Box 37">
              <controlPr defaultSize="0" autoFill="0" autoLine="0" autoPict="0">
                <anchor moveWithCells="1">
                  <from>
                    <xdr:col>9</xdr:col>
                    <xdr:colOff>0</xdr:colOff>
                    <xdr:row>5</xdr:row>
                    <xdr:rowOff>152400</xdr:rowOff>
                  </from>
                  <to>
                    <xdr:col>9</xdr:col>
                    <xdr:colOff>762000</xdr:colOff>
                    <xdr:row>7</xdr:row>
                    <xdr:rowOff>0</xdr:rowOff>
                  </to>
                </anchor>
              </controlPr>
            </control>
          </mc:Choice>
        </mc:AlternateContent>
        <mc:AlternateContent xmlns:mc="http://schemas.openxmlformats.org/markup-compatibility/2006">
          <mc:Choice Requires="x14">
            <control shapeId="2086" r:id="rId15" name="Check Box 38">
              <controlPr defaultSize="0" autoFill="0" autoLine="0" autoPict="0">
                <anchor moveWithCells="1">
                  <from>
                    <xdr:col>10</xdr:col>
                    <xdr:colOff>19050</xdr:colOff>
                    <xdr:row>2</xdr:row>
                    <xdr:rowOff>171450</xdr:rowOff>
                  </from>
                  <to>
                    <xdr:col>10</xdr:col>
                    <xdr:colOff>781050</xdr:colOff>
                    <xdr:row>4</xdr:row>
                    <xdr:rowOff>19050</xdr:rowOff>
                  </to>
                </anchor>
              </controlPr>
            </control>
          </mc:Choice>
        </mc:AlternateContent>
        <mc:AlternateContent xmlns:mc="http://schemas.openxmlformats.org/markup-compatibility/2006">
          <mc:Choice Requires="x14">
            <control shapeId="2087" r:id="rId16" name="Check Box 39">
              <controlPr defaultSize="0" autoFill="0" autoLine="0" autoPict="0">
                <anchor moveWithCells="1">
                  <from>
                    <xdr:col>10</xdr:col>
                    <xdr:colOff>19050</xdr:colOff>
                    <xdr:row>3</xdr:row>
                    <xdr:rowOff>161925</xdr:rowOff>
                  </from>
                  <to>
                    <xdr:col>10</xdr:col>
                    <xdr:colOff>781050</xdr:colOff>
                    <xdr:row>5</xdr:row>
                    <xdr:rowOff>9525</xdr:rowOff>
                  </to>
                </anchor>
              </controlPr>
            </control>
          </mc:Choice>
        </mc:AlternateContent>
        <mc:AlternateContent xmlns:mc="http://schemas.openxmlformats.org/markup-compatibility/2006">
          <mc:Choice Requires="x14">
            <control shapeId="2088" r:id="rId17" name="Check Box 40">
              <controlPr defaultSize="0" autoFill="0" autoLine="0" autoPict="0">
                <anchor moveWithCells="1">
                  <from>
                    <xdr:col>10</xdr:col>
                    <xdr:colOff>19050</xdr:colOff>
                    <xdr:row>4</xdr:row>
                    <xdr:rowOff>171450</xdr:rowOff>
                  </from>
                  <to>
                    <xdr:col>10</xdr:col>
                    <xdr:colOff>781050</xdr:colOff>
                    <xdr:row>6</xdr:row>
                    <xdr:rowOff>19050</xdr:rowOff>
                  </to>
                </anchor>
              </controlPr>
            </control>
          </mc:Choice>
        </mc:AlternateContent>
        <mc:AlternateContent xmlns:mc="http://schemas.openxmlformats.org/markup-compatibility/2006">
          <mc:Choice Requires="x14">
            <control shapeId="2067" r:id="rId18" name="Check Box 19">
              <controlPr defaultSize="0" autoFill="0" autoLine="0" autoPict="0">
                <anchor moveWithCells="1">
                  <from>
                    <xdr:col>11</xdr:col>
                    <xdr:colOff>0</xdr:colOff>
                    <xdr:row>1</xdr:row>
                    <xdr:rowOff>171450</xdr:rowOff>
                  </from>
                  <to>
                    <xdr:col>11</xdr:col>
                    <xdr:colOff>762000</xdr:colOff>
                    <xdr:row>3</xdr:row>
                    <xdr:rowOff>19050</xdr:rowOff>
                  </to>
                </anchor>
              </controlPr>
            </control>
          </mc:Choice>
        </mc:AlternateContent>
        <mc:AlternateContent xmlns:mc="http://schemas.openxmlformats.org/markup-compatibility/2006">
          <mc:Choice Requires="x14">
            <control shapeId="2068" r:id="rId19" name="Check Box 20">
              <controlPr defaultSize="0" autoFill="0" autoLine="0" autoPict="0">
                <anchor moveWithCells="1">
                  <from>
                    <xdr:col>11</xdr:col>
                    <xdr:colOff>0</xdr:colOff>
                    <xdr:row>3</xdr:row>
                    <xdr:rowOff>0</xdr:rowOff>
                  </from>
                  <to>
                    <xdr:col>11</xdr:col>
                    <xdr:colOff>762000</xdr:colOff>
                    <xdr:row>4</xdr:row>
                    <xdr:rowOff>28575</xdr:rowOff>
                  </to>
                </anchor>
              </controlPr>
            </control>
          </mc:Choice>
        </mc:AlternateContent>
        <mc:AlternateContent xmlns:mc="http://schemas.openxmlformats.org/markup-compatibility/2006">
          <mc:Choice Requires="x14">
            <control shapeId="2069" r:id="rId20" name="Check Box 21">
              <controlPr defaultSize="0" autoFill="0" autoLine="0" autoPict="0">
                <anchor moveWithCells="1">
                  <from>
                    <xdr:col>11</xdr:col>
                    <xdr:colOff>0</xdr:colOff>
                    <xdr:row>3</xdr:row>
                    <xdr:rowOff>171450</xdr:rowOff>
                  </from>
                  <to>
                    <xdr:col>11</xdr:col>
                    <xdr:colOff>762000</xdr:colOff>
                    <xdr:row>5</xdr:row>
                    <xdr:rowOff>19050</xdr:rowOff>
                  </to>
                </anchor>
              </controlPr>
            </control>
          </mc:Choice>
        </mc:AlternateContent>
        <mc:AlternateContent xmlns:mc="http://schemas.openxmlformats.org/markup-compatibility/2006">
          <mc:Choice Requires="x14">
            <control shapeId="2070" r:id="rId21" name="Check Box 22">
              <controlPr defaultSize="0" autoFill="0" autoLine="0" autoPict="0">
                <anchor moveWithCells="1">
                  <from>
                    <xdr:col>11</xdr:col>
                    <xdr:colOff>0</xdr:colOff>
                    <xdr:row>4</xdr:row>
                    <xdr:rowOff>171450</xdr:rowOff>
                  </from>
                  <to>
                    <xdr:col>11</xdr:col>
                    <xdr:colOff>762000</xdr:colOff>
                    <xdr:row>6</xdr:row>
                    <xdr:rowOff>19050</xdr:rowOff>
                  </to>
                </anchor>
              </controlPr>
            </control>
          </mc:Choice>
        </mc:AlternateContent>
        <mc:AlternateContent xmlns:mc="http://schemas.openxmlformats.org/markup-compatibility/2006">
          <mc:Choice Requires="x14">
            <control shapeId="2092" r:id="rId22" name="Check Box 44">
              <controlPr defaultSize="0" autoFill="0" autoLine="0" autoPict="0">
                <anchor moveWithCells="1">
                  <from>
                    <xdr:col>12</xdr:col>
                    <xdr:colOff>19050</xdr:colOff>
                    <xdr:row>2</xdr:row>
                    <xdr:rowOff>0</xdr:rowOff>
                  </from>
                  <to>
                    <xdr:col>13</xdr:col>
                    <xdr:colOff>133350</xdr:colOff>
                    <xdr:row>3</xdr:row>
                    <xdr:rowOff>28575</xdr:rowOff>
                  </to>
                </anchor>
              </controlPr>
            </control>
          </mc:Choice>
        </mc:AlternateContent>
        <mc:AlternateContent xmlns:mc="http://schemas.openxmlformats.org/markup-compatibility/2006">
          <mc:Choice Requires="x14">
            <control shapeId="2093" r:id="rId23" name="Check Box 45">
              <controlPr defaultSize="0" autoFill="0" autoLine="0" autoPict="0">
                <anchor moveWithCells="1">
                  <from>
                    <xdr:col>9</xdr:col>
                    <xdr:colOff>0</xdr:colOff>
                    <xdr:row>1</xdr:row>
                    <xdr:rowOff>0</xdr:rowOff>
                  </from>
                  <to>
                    <xdr:col>9</xdr:col>
                    <xdr:colOff>762000</xdr:colOff>
                    <xdr:row>2</xdr:row>
                    <xdr:rowOff>28575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FFFF00"/>
  </sheetPr>
  <dimension ref="A1:S854"/>
  <sheetViews>
    <sheetView tabSelected="1" zoomScale="115" zoomScaleNormal="115" workbookViewId="0">
      <pane xSplit="7" ySplit="8" topLeftCell="H9" activePane="bottomRight" state="frozen"/>
      <selection pane="topRight" activeCell="H1" sqref="H1"/>
      <selection pane="bottomLeft" activeCell="A9" sqref="A9"/>
      <selection pane="bottomRight"/>
    </sheetView>
  </sheetViews>
  <sheetFormatPr defaultRowHeight="15" x14ac:dyDescent="0.25"/>
  <cols>
    <col min="2" max="2" width="14.7109375" customWidth="1"/>
    <col min="3" max="3" width="15.7109375" bestFit="1" customWidth="1"/>
    <col min="4" max="4" width="10" bestFit="1" customWidth="1"/>
    <col min="5" max="5" width="22.28515625" style="2" hidden="1" customWidth="1"/>
    <col min="6" max="6" width="11" bestFit="1" customWidth="1"/>
    <col min="7" max="7" width="11" hidden="1" customWidth="1"/>
    <col min="9" max="9" width="16" customWidth="1"/>
    <col min="11" max="11" width="9.42578125" bestFit="1" customWidth="1"/>
    <col min="12" max="12" width="25.28515625" bestFit="1" customWidth="1"/>
    <col min="13" max="13" width="25.7109375" bestFit="1" customWidth="1"/>
    <col min="14" max="14" width="26.140625" bestFit="1" customWidth="1"/>
    <col min="15" max="15" width="9.140625" customWidth="1"/>
    <col min="16" max="17" width="9.140625" hidden="1" customWidth="1"/>
    <col min="18" max="19" width="8.85546875" hidden="1" customWidth="1"/>
  </cols>
  <sheetData>
    <row r="1" spans="1:19" x14ac:dyDescent="0.25">
      <c r="P1" t="s">
        <v>99</v>
      </c>
      <c r="Q1" t="b">
        <v>0</v>
      </c>
      <c r="R1" t="s">
        <v>100</v>
      </c>
      <c r="S1" t="b">
        <v>0</v>
      </c>
    </row>
    <row r="2" spans="1:19" x14ac:dyDescent="0.25">
      <c r="F2" s="38" t="s">
        <v>98</v>
      </c>
      <c r="G2" s="38"/>
      <c r="I2" s="38" t="s">
        <v>118</v>
      </c>
      <c r="K2" s="38" t="s">
        <v>94</v>
      </c>
      <c r="P2" t="s">
        <v>112</v>
      </c>
      <c r="Q2" t="b">
        <v>0</v>
      </c>
      <c r="R2" t="s">
        <v>126</v>
      </c>
      <c r="S2" t="b">
        <v>0</v>
      </c>
    </row>
    <row r="3" spans="1:19" x14ac:dyDescent="0.25">
      <c r="K3" s="38"/>
      <c r="P3" t="s">
        <v>113</v>
      </c>
      <c r="Q3" t="b">
        <v>0</v>
      </c>
      <c r="R3" t="s">
        <v>103</v>
      </c>
      <c r="S3" t="b">
        <v>0</v>
      </c>
    </row>
    <row r="4" spans="1:19" x14ac:dyDescent="0.25">
      <c r="B4" s="4" t="s">
        <v>244</v>
      </c>
      <c r="C4" s="4"/>
      <c r="D4" s="4"/>
      <c r="E4" s="66"/>
      <c r="P4" t="s">
        <v>122</v>
      </c>
      <c r="Q4" t="b">
        <v>0</v>
      </c>
      <c r="R4" t="s">
        <v>200</v>
      </c>
      <c r="S4" t="b">
        <v>0</v>
      </c>
    </row>
    <row r="5" spans="1:19" x14ac:dyDescent="0.25">
      <c r="B5" s="4" t="s">
        <v>245</v>
      </c>
      <c r="P5" t="s">
        <v>97</v>
      </c>
      <c r="Q5" t="b">
        <v>0</v>
      </c>
    </row>
    <row r="6" spans="1:19" x14ac:dyDescent="0.25">
      <c r="B6" s="75" t="s">
        <v>278</v>
      </c>
      <c r="P6" t="s">
        <v>96</v>
      </c>
      <c r="Q6" t="b">
        <v>0</v>
      </c>
    </row>
    <row r="7" spans="1:19" x14ac:dyDescent="0.25">
      <c r="P7" t="s">
        <v>116</v>
      </c>
      <c r="Q7" t="b">
        <v>0</v>
      </c>
    </row>
    <row r="8" spans="1:19" x14ac:dyDescent="0.25">
      <c r="B8" t="s">
        <v>110</v>
      </c>
      <c r="C8" t="s">
        <v>114</v>
      </c>
      <c r="D8" t="s">
        <v>16</v>
      </c>
      <c r="F8" t="s">
        <v>115</v>
      </c>
      <c r="H8" t="s">
        <v>36</v>
      </c>
      <c r="I8" t="s">
        <v>37</v>
      </c>
      <c r="J8" t="s">
        <v>38</v>
      </c>
      <c r="K8" t="s">
        <v>39</v>
      </c>
      <c r="L8" t="s">
        <v>291</v>
      </c>
      <c r="M8" s="46" t="s">
        <v>292</v>
      </c>
      <c r="N8" s="46" t="s">
        <v>293</v>
      </c>
    </row>
    <row r="9" spans="1:19" s="36" customFormat="1" x14ac:dyDescent="0.25">
      <c r="B9" s="64" t="str">
        <f>VLOOKUP(C9,'Status Thresholds'!B:C,2,FALSE)</f>
        <v>MHGen</v>
      </c>
      <c r="C9" s="46" t="str">
        <f>IF(ISBLANK('KO Calc'!C5)=TRUE,"",'KO Calc'!C5)</f>
        <v>Agnaktor</v>
      </c>
      <c r="D9" s="65" t="s">
        <v>0</v>
      </c>
      <c r="E9" s="62" t="str">
        <f>C9&amp;D9</f>
        <v>AgnaktorPara</v>
      </c>
      <c r="F9" s="36" t="s">
        <v>2</v>
      </c>
      <c r="G9" s="36" t="str">
        <f t="shared" ref="G9:G12" si="0">C9&amp;F9</f>
        <v>AgnaktorPara lvl 2</v>
      </c>
      <c r="H9" s="36" t="str">
        <f>IFERROR(ROUNDUP(IF(AND($Q$1=FALSE,$S$3=FALSE),"-",IF(AND($Q$1=TRUE,$S$3=TRUE),"-",IF(AND($Q$1=TRUE,$S$1=TRUE,$S$4=FALSE),VLOOKUP($E9,'Status Thresholds'!$E:$AS,12,FALSE),IF(AND($Q$1=TRUE,$S$4=FALSE),VLOOKUP($E9,'Status Thresholds'!$E:$AS,2,FALSE), IF(AND($Q$1=TRUE,$S$1=TRUE,$S$4=TRUE),VLOOKUP($E9,'Status Thresholds'!$E:$AS,17,FALSE),IF(AND($Q$1=TRUE,$S$4=TRUE),VLOOKUP($E9,'Status Thresholds'!$E:$AS,7,FALSE),IF(AND($S$3=TRUE,$S$1=TRUE,$S$4=FALSE),VLOOKUP($E9,'Status Thresholds'!$E:$AS,32,FALSE),IF(AND($S$3=TRUE,$S$4=FALSE),VLOOKUP($E9,'Status Thresholds'!$E:$AS,22,FALSE),IF(AND($S$3=TRUE,$S$1=TRUE,$S$4=TRUE),VLOOKUP($E9,'Status Thresholds'!$E:$AS,37,FALSE),IF(AND($S$3=TRUE,$S$4=TRUE),VLOOKUP($E9,'Status Thresholds'!$E:$AS,27,FALSE),""))))))))/IF(OR($Q$3=TRUE,AND($Q$2=TRUE,$Q$7=TRUE),AND($Q$3=TRUE,$Q$7=TRUE))=TRUE,'Shots and Status'!$F$5,IF((OR($Q$2,$Q$7)=TRUE),'Shots and Status'!$D$5,'Shots and Status'!$C$5)))),0),"-")</f>
        <v>-</v>
      </c>
      <c r="I9" s="36" t="str">
        <f>IFERROR(ROUNDUP(IF(AND($Q$1=FALSE,$S$3=FALSE),"-",IF(AND($Q$1=TRUE,$S$3=TRUE),"-",IF(AND($Q$1=TRUE,$S$1=TRUE,$S$4=FALSE),VLOOKUP($E9,'Status Thresholds'!$E:$AS,13,FALSE),IF(AND($Q$1=TRUE,$S$4=FALSE),VLOOKUP($E9,'Status Thresholds'!$E:$AS,3,FALSE), IF(AND($Q$1=TRUE,$S$1=TRUE,$S$4=TRUE),VLOOKUP($E9,'Status Thresholds'!$E:$AS,18,FALSE),IF(AND($Q$1=TRUE,$S$4=TRUE),VLOOKUP($E9,'Status Thresholds'!$E:$AS,8,FALSE),IF(AND($S$3=TRUE,$S$1=TRUE,$S$4=FALSE),VLOOKUP($E9,'Status Thresholds'!$E:$AS,33,FALSE),IF(AND($S$3=TRUE,$S$4=FALSE),VLOOKUP($E9,'Status Thresholds'!$E:$AS,23,FALSE),IF(AND($S$3=TRUE,$S$1=TRUE,$S$4=TRUE),VLOOKUP($E9,'Status Thresholds'!$E:$AS,38,FALSE),IF(AND($S$3=TRUE,$S$4=TRUE),VLOOKUP($E9,'Status Thresholds'!$E:$AS,28,FALSE),""))))))))/IF(OR($Q$3=TRUE,AND($Q$2=TRUE,$Q$7=TRUE),AND($Q$3=TRUE,$Q$7=TRUE))=TRUE,'Shots and Status'!$F$5,IF((OR($Q$2,$Q$7)=TRUE),'Shots and Status'!$D$5,'Shots and Status'!$C$5)))),0),"-")</f>
        <v>-</v>
      </c>
      <c r="J9" s="36" t="str">
        <f>IFERROR(ROUNDUP(IF(AND($Q$1=FALSE,$S$3=FALSE),"-",IF(AND($Q$1=TRUE,$S$3=TRUE),"-",IF(AND($Q$1=TRUE,$S$1=TRUE,$S$4=FALSE),VLOOKUP($E9,'Status Thresholds'!$E:$AS,14,FALSE),IF(AND($Q$1=TRUE,$S$4=FALSE),VLOOKUP($E9,'Status Thresholds'!$E:$AS,4,FALSE), IF(AND($Q$1=TRUE,$S$1=TRUE,$S$4=TRUE),VLOOKUP($E9,'Status Thresholds'!$E:$AS,19,FALSE),IF(AND($Q$1=TRUE,$S$4=TRUE),VLOOKUP($E9,'Status Thresholds'!$E:$AS,9,FALSE),IF(AND($S$3=TRUE,$S$1=TRUE,$S$4=FALSE),VLOOKUP($E9,'Status Thresholds'!$E:$AS,34,FALSE),IF(AND($S$3=TRUE,$S$4=FALSE),VLOOKUP($E9,'Status Thresholds'!$E:$AS,24,FALSE),IF(AND($S$3=TRUE,$S$1=TRUE,$S$4=TRUE),VLOOKUP($E9,'Status Thresholds'!$E:$AS,39,FALSE),IF(AND($S$3=TRUE,$S$4=TRUE),VLOOKUP($E9,'Status Thresholds'!$E:$AS,29,FALSE),""))))))))/IF(OR($Q$3=TRUE,AND($Q$2=TRUE,$Q$7=TRUE),AND($Q$3=TRUE,$Q$7=TRUE))=TRUE,'Shots and Status'!$F$5,IF((OR($Q$2,$Q$7)=TRUE),'Shots and Status'!$D$5,'Shots and Status'!$C$5)))),0),"-")</f>
        <v>-</v>
      </c>
      <c r="K9" s="36" t="str">
        <f>IFERROR(ROUNDUP(IF(AND($Q$1=FALSE,$S$3=FALSE),"-",IF(AND($Q$1=TRUE,$S$3=TRUE),"-",IF(AND($Q$1=TRUE,$S$1=TRUE,$S$4=FALSE),VLOOKUP($E9,'Status Thresholds'!$E:$AS,15,FALSE),IF(AND($Q$1=TRUE,$S$4=FALSE),VLOOKUP($E9,'Status Thresholds'!$E:$AS,5,FALSE), IF(AND($Q$1=TRUE,$S$1=TRUE,$S$4=TRUE),VLOOKUP($E9,'Status Thresholds'!$E:$AS,20,FALSE),IF(AND($Q$1=TRUE,$S$4=TRUE),VLOOKUP($E9,'Status Thresholds'!$E:$AS,10,FALSE),IF(AND($S$3=TRUE,$S$1=TRUE,$S$4=FALSE),VLOOKUP($E9,'Status Thresholds'!$E:$AS,35,FALSE),IF(AND($S$3=TRUE,$S$4=FALSE),VLOOKUP($E9,'Status Thresholds'!$E:$AS,25,FALSE),IF(AND($S$3=TRUE,$S$1=TRUE,$S$4=TRUE),VLOOKUP($E9,'Status Thresholds'!$E:$AS,40,FALSE),IF(AND($S$3=TRUE,$S$4=TRUE),VLOOKUP($E9,'Status Thresholds'!$E:$AS,30,FALSE),""))))))))/IF(OR($Q$3=TRUE,AND($Q$2=TRUE,$Q$7=TRUE),AND($Q$3=TRUE,$Q$7=TRUE))=TRUE,'Shots and Status'!$F$5,IF((OR($Q$2,$Q$7)=TRUE),'Shots and Status'!$D$5,'Shots and Status'!$C$5)))),0),"-")</f>
        <v>-</v>
      </c>
      <c r="L9" s="36" t="str">
        <f>IFERROR(IF(AND($Q$1=FALSE,$S$3=FALSE),"-",VLOOKUP($E9,'Status Thresholds'!$E:$AU,41,FALSE)),"-")</f>
        <v>-</v>
      </c>
      <c r="M9" s="36" t="str">
        <f>IFERROR(IF(AND($Q$1=FALSE,$S$3=FALSE),"-",VLOOKUP($E9,'Status Thresholds'!$E:$AU,42,FALSE)),"-")</f>
        <v>-</v>
      </c>
      <c r="N9" s="36" t="str">
        <f>IFERROR(IF(AND($Q$1=FALSE,$S$3=FALSE),"-",VLOOKUP($E9,'Status Thresholds'!$E:$AU,43,FALSE)),"-")</f>
        <v>-</v>
      </c>
    </row>
    <row r="10" spans="1:19" s="59" customFormat="1" x14ac:dyDescent="0.25">
      <c r="A10" s="46"/>
      <c r="B10" s="64" t="str">
        <f>VLOOKUP(C10,'Status Thresholds'!B:C,2,FALSE)</f>
        <v>MHGen</v>
      </c>
      <c r="C10" s="46" t="str">
        <f>IF(ISBLANK('KO Calc'!C6)=TRUE,"",'KO Calc'!C6)</f>
        <v>Agnaktor</v>
      </c>
      <c r="D10" s="60" t="s">
        <v>32</v>
      </c>
      <c r="E10" s="62" t="str">
        <f t="shared" ref="E10:E81" si="1">C10&amp;D10</f>
        <v>AgnaktorSleep</v>
      </c>
      <c r="F10" s="59" t="s">
        <v>5</v>
      </c>
      <c r="G10" s="36" t="str">
        <f t="shared" si="0"/>
        <v>AgnaktorSleep lvl 2</v>
      </c>
      <c r="H10" s="36" t="str">
        <f>IFERROR(ROUNDUP(IF(AND($Q$1=FALSE,$S$3=FALSE),"-",IF(AND($Q$1=TRUE,$S$3=TRUE),"-",IF(AND($Q$1=TRUE,$S$1=TRUE,$S$4=FALSE),VLOOKUP($E10,'Status Thresholds'!$E:$AS,12,FALSE),IF(AND($Q$1=TRUE,$S$4=FALSE),VLOOKUP($E10,'Status Thresholds'!$E:$AS,2,FALSE), IF(AND($Q$1=TRUE,$S$1=TRUE,$S$4=TRUE),VLOOKUP($E10,'Status Thresholds'!$E:$AS,17,FALSE),IF(AND($Q$1=TRUE,$S$4=TRUE),VLOOKUP($E10,'Status Thresholds'!$E:$AS,7,FALSE),IF(AND($S$3=TRUE,$S$1=TRUE,$S$4=FALSE),VLOOKUP($E10,'Status Thresholds'!$E:$AS,32,FALSE),IF(AND($S$3=TRUE,$S$4=FALSE),VLOOKUP($E10,'Status Thresholds'!$E:$AS,22,FALSE),IF(AND($S$3=TRUE,$S$1=TRUE,$S$4=TRUE),VLOOKUP($E10,'Status Thresholds'!$E:$AS,37,FALSE),IF(AND($S$3=TRUE,$S$4=TRUE),VLOOKUP($E10,'Status Thresholds'!$E:$AS,27,FALSE),""))))))))/IF(OR($Q$3=TRUE,AND($Q$2=TRUE,$Q$7=TRUE),AND($Q$3=TRUE,$Q$7=TRUE))=TRUE,'Shots and Status'!$F$5,IF((OR($Q$2,$Q$7)=TRUE),'Shots and Status'!$D$5,'Shots and Status'!$C$5)))),0),"-")</f>
        <v>-</v>
      </c>
      <c r="I10" s="36" t="str">
        <f>IFERROR(ROUNDUP(IF(AND($Q$1=FALSE,$S$3=FALSE),"-",IF(AND($Q$1=TRUE,$S$3=TRUE),"-",IF(AND($Q$1=TRUE,$S$1=TRUE,$S$4=FALSE),VLOOKUP($E10,'Status Thresholds'!$E:$AS,13,FALSE),IF(AND($Q$1=TRUE,$S$4=FALSE),VLOOKUP($E10,'Status Thresholds'!$E:$AS,3,FALSE), IF(AND($Q$1=TRUE,$S$1=TRUE,$S$4=TRUE),VLOOKUP($E10,'Status Thresholds'!$E:$AS,18,FALSE),IF(AND($Q$1=TRUE,$S$4=TRUE),VLOOKUP($E10,'Status Thresholds'!$E:$AS,8,FALSE),IF(AND($S$3=TRUE,$S$1=TRUE,$S$4=FALSE),VLOOKUP($E10,'Status Thresholds'!$E:$AS,33,FALSE),IF(AND($S$3=TRUE,$S$4=FALSE),VLOOKUP($E10,'Status Thresholds'!$E:$AS,23,FALSE),IF(AND($S$3=TRUE,$S$1=TRUE,$S$4=TRUE),VLOOKUP($E10,'Status Thresholds'!$E:$AS,38,FALSE),IF(AND($S$3=TRUE,$S$4=TRUE),VLOOKUP($E10,'Status Thresholds'!$E:$AS,28,FALSE),""))))))))/IF(OR($Q$3=TRUE,AND($Q$2=TRUE,$Q$7=TRUE),AND($Q$3=TRUE,$Q$7=TRUE))=TRUE,'Shots and Status'!$F$5,IF((OR($Q$2,$Q$7)=TRUE),'Shots and Status'!$D$5,'Shots and Status'!$C$5)))),0),"-")</f>
        <v>-</v>
      </c>
      <c r="J10" s="36" t="str">
        <f>IFERROR(ROUNDUP(IF(AND($Q$1=FALSE,$S$3=FALSE),"-",IF(AND($Q$1=TRUE,$S$3=TRUE),"-",IF(AND($Q$1=TRUE,$S$1=TRUE,$S$4=FALSE),VLOOKUP($E10,'Status Thresholds'!$E:$AS,14,FALSE),IF(AND($Q$1=TRUE,$S$4=FALSE),VLOOKUP($E10,'Status Thresholds'!$E:$AS,4,FALSE), IF(AND($Q$1=TRUE,$S$1=TRUE,$S$4=TRUE),VLOOKUP($E10,'Status Thresholds'!$E:$AS,19,FALSE),IF(AND($Q$1=TRUE,$S$4=TRUE),VLOOKUP($E10,'Status Thresholds'!$E:$AS,9,FALSE),IF(AND($S$3=TRUE,$S$1=TRUE,$S$4=FALSE),VLOOKUP($E10,'Status Thresholds'!$E:$AS,34,FALSE),IF(AND($S$3=TRUE,$S$4=FALSE),VLOOKUP($E10,'Status Thresholds'!$E:$AS,24,FALSE),IF(AND($S$3=TRUE,$S$1=TRUE,$S$4=TRUE),VLOOKUP($E10,'Status Thresholds'!$E:$AS,39,FALSE),IF(AND($S$3=TRUE,$S$4=TRUE),VLOOKUP($E10,'Status Thresholds'!$E:$AS,29,FALSE),""))))))))/IF(OR($Q$3=TRUE,AND($Q$2=TRUE,$Q$7=TRUE),AND($Q$3=TRUE,$Q$7=TRUE))=TRUE,'Shots and Status'!$F$5,IF((OR($Q$2,$Q$7)=TRUE),'Shots and Status'!$D$5,'Shots and Status'!$C$5)))),0),"-")</f>
        <v>-</v>
      </c>
      <c r="K10" s="36" t="str">
        <f>IFERROR(ROUNDUP(IF(AND($Q$1=FALSE,$S$3=FALSE),"-",IF(AND($Q$1=TRUE,$S$3=TRUE),"-",IF(AND($Q$1=TRUE,$S$1=TRUE,$S$4=FALSE),VLOOKUP($E10,'Status Thresholds'!$E:$AS,15,FALSE),IF(AND($Q$1=TRUE,$S$4=FALSE),VLOOKUP($E10,'Status Thresholds'!$E:$AS,5,FALSE), IF(AND($Q$1=TRUE,$S$1=TRUE,$S$4=TRUE),VLOOKUP($E10,'Status Thresholds'!$E:$AS,20,FALSE),IF(AND($Q$1=TRUE,$S$4=TRUE),VLOOKUP($E10,'Status Thresholds'!$E:$AS,10,FALSE),IF(AND($S$3=TRUE,$S$1=TRUE,$S$4=FALSE),VLOOKUP($E10,'Status Thresholds'!$E:$AS,35,FALSE),IF(AND($S$3=TRUE,$S$4=FALSE),VLOOKUP($E10,'Status Thresholds'!$E:$AS,25,FALSE),IF(AND($S$3=TRUE,$S$1=TRUE,$S$4=TRUE),VLOOKUP($E10,'Status Thresholds'!$E:$AS,40,FALSE),IF(AND($S$3=TRUE,$S$4=TRUE),VLOOKUP($E10,'Status Thresholds'!$E:$AS,30,FALSE),""))))))))/IF(OR($Q$3=TRUE,AND($Q$2=TRUE,$Q$7=TRUE),AND($Q$3=TRUE,$Q$7=TRUE))=TRUE,'Shots and Status'!$F$5,IF((OR($Q$2,$Q$7)=TRUE),'Shots and Status'!$D$5,'Shots and Status'!$C$5)))),0),"-")</f>
        <v>-</v>
      </c>
      <c r="L10" s="36" t="str">
        <f>IFERROR(IF(AND($Q$1=FALSE,$S$3=FALSE),"-",VLOOKUP($E10,'Status Thresholds'!$E:$AU,41,FALSE)),"-")</f>
        <v>-</v>
      </c>
      <c r="M10" s="36" t="str">
        <f>IFERROR(IF(AND($Q$1=FALSE,$S$3=FALSE),"-",VLOOKUP($E10,'Status Thresholds'!$E:$AU,42,FALSE)),"-")</f>
        <v>-</v>
      </c>
      <c r="N10" s="36" t="str">
        <f>IFERROR(IF(AND($Q$1=FALSE,$S$3=FALSE),"-",VLOOKUP($E10,'Status Thresholds'!$E:$AU,43,FALSE)),"-")</f>
        <v>-</v>
      </c>
    </row>
    <row r="11" spans="1:19" s="59" customFormat="1" x14ac:dyDescent="0.25">
      <c r="A11" s="46"/>
      <c r="B11" s="64" t="str">
        <f>VLOOKUP(C11,'Status Thresholds'!B:C,2,FALSE)</f>
        <v>MHGen</v>
      </c>
      <c r="C11" s="46" t="str">
        <f>IF(ISBLANK('KO Calc'!C7)=TRUE,"",'KO Calc'!C7)</f>
        <v>Agnaktor</v>
      </c>
      <c r="D11" s="58" t="s">
        <v>33</v>
      </c>
      <c r="E11" s="62" t="str">
        <f t="shared" si="1"/>
        <v>AgnaktorPoison</v>
      </c>
      <c r="F11" s="59" t="s">
        <v>6</v>
      </c>
      <c r="G11" s="36" t="str">
        <f t="shared" si="0"/>
        <v>AgnaktorPoison lvl 2</v>
      </c>
      <c r="H11" s="36" t="str">
        <f>IFERROR(ROUNDUP(IF(AND($Q$1=FALSE,$S$3=FALSE),"-",IF(AND($Q$1=TRUE,$S$3=TRUE),"-",IF(AND($Q$1=TRUE,$S$1=TRUE,$S$4=FALSE),VLOOKUP($E11,'Status Thresholds'!$E:$AS,12,FALSE),IF(AND($Q$1=TRUE,$S$4=FALSE),VLOOKUP($E11,'Status Thresholds'!$E:$AS,2,FALSE), IF(AND($Q$1=TRUE,$S$1=TRUE,$S$4=TRUE),VLOOKUP($E11,'Status Thresholds'!$E:$AS,17,FALSE),IF(AND($Q$1=TRUE,$S$4=TRUE),VLOOKUP($E11,'Status Thresholds'!$E:$AS,7,FALSE),IF(AND($S$3=TRUE,$S$1=TRUE,$S$4=FALSE),VLOOKUP($E11,'Status Thresholds'!$E:$AS,32,FALSE),IF(AND($S$3=TRUE,$S$4=FALSE),VLOOKUP($E11,'Status Thresholds'!$E:$AS,22,FALSE),IF(AND($S$3=TRUE,$S$1=TRUE,$S$4=TRUE),VLOOKUP($E11,'Status Thresholds'!$E:$AS,37,FALSE),IF(AND($S$3=TRUE,$S$4=TRUE),VLOOKUP($E11,'Status Thresholds'!$E:$AS,27,FALSE),""))))))))/IF(OR($Q$3=TRUE,AND($Q$2=TRUE,$Q$7=TRUE),AND($Q$3=TRUE,$Q$7=TRUE))=TRUE,'Shots and Status'!$F$5,IF((OR($Q$2,$Q$7)=TRUE),'Shots and Status'!$D$5,'Shots and Status'!$C$5)))),0),"-")</f>
        <v>-</v>
      </c>
      <c r="I11" s="36" t="str">
        <f>IFERROR(ROUNDUP(IF(AND($Q$1=FALSE,$S$3=FALSE),"-",IF(AND($Q$1=TRUE,$S$3=TRUE),"-",IF(AND($Q$1=TRUE,$S$1=TRUE,$S$4=FALSE),VLOOKUP($E11,'Status Thresholds'!$E:$AS,13,FALSE),IF(AND($Q$1=TRUE,$S$4=FALSE),VLOOKUP($E11,'Status Thresholds'!$E:$AS,3,FALSE), IF(AND($Q$1=TRUE,$S$1=TRUE,$S$4=TRUE),VLOOKUP($E11,'Status Thresholds'!$E:$AS,18,FALSE),IF(AND($Q$1=TRUE,$S$4=TRUE),VLOOKUP($E11,'Status Thresholds'!$E:$AS,8,FALSE),IF(AND($S$3=TRUE,$S$1=TRUE,$S$4=FALSE),VLOOKUP($E11,'Status Thresholds'!$E:$AS,33,FALSE),IF(AND($S$3=TRUE,$S$4=FALSE),VLOOKUP($E11,'Status Thresholds'!$E:$AS,23,FALSE),IF(AND($S$3=TRUE,$S$1=TRUE,$S$4=TRUE),VLOOKUP($E11,'Status Thresholds'!$E:$AS,38,FALSE),IF(AND($S$3=TRUE,$S$4=TRUE),VLOOKUP($E11,'Status Thresholds'!$E:$AS,28,FALSE),""))))))))/IF(OR($Q$3=TRUE,AND($Q$2=TRUE,$Q$7=TRUE),AND($Q$3=TRUE,$Q$7=TRUE))=TRUE,'Shots and Status'!$F$5,IF((OR($Q$2,$Q$7)=TRUE),'Shots and Status'!$D$5,'Shots and Status'!$C$5)))),0),"-")</f>
        <v>-</v>
      </c>
      <c r="J11" s="36" t="str">
        <f>IFERROR(ROUNDUP(IF(AND($Q$1=FALSE,$S$3=FALSE),"-",IF(AND($Q$1=TRUE,$S$3=TRUE),"-",IF(AND($Q$1=TRUE,$S$1=TRUE,$S$4=FALSE),VLOOKUP($E11,'Status Thresholds'!$E:$AS,14,FALSE),IF(AND($Q$1=TRUE,$S$4=FALSE),VLOOKUP($E11,'Status Thresholds'!$E:$AS,4,FALSE), IF(AND($Q$1=TRUE,$S$1=TRUE,$S$4=TRUE),VLOOKUP($E11,'Status Thresholds'!$E:$AS,19,FALSE),IF(AND($Q$1=TRUE,$S$4=TRUE),VLOOKUP($E11,'Status Thresholds'!$E:$AS,9,FALSE),IF(AND($S$3=TRUE,$S$1=TRUE,$S$4=FALSE),VLOOKUP($E11,'Status Thresholds'!$E:$AS,34,FALSE),IF(AND($S$3=TRUE,$S$4=FALSE),VLOOKUP($E11,'Status Thresholds'!$E:$AS,24,FALSE),IF(AND($S$3=TRUE,$S$1=TRUE,$S$4=TRUE),VLOOKUP($E11,'Status Thresholds'!$E:$AS,39,FALSE),IF(AND($S$3=TRUE,$S$4=TRUE),VLOOKUP($E11,'Status Thresholds'!$E:$AS,29,FALSE),""))))))))/IF(OR($Q$3=TRUE,AND($Q$2=TRUE,$Q$7=TRUE),AND($Q$3=TRUE,$Q$7=TRUE))=TRUE,'Shots and Status'!$F$5,IF((OR($Q$2,$Q$7)=TRUE),'Shots and Status'!$D$5,'Shots and Status'!$C$5)))),0),"-")</f>
        <v>-</v>
      </c>
      <c r="K11" s="36" t="str">
        <f>IFERROR(ROUNDUP(IF(AND($Q$1=FALSE,$S$3=FALSE),"-",IF(AND($Q$1=TRUE,$S$3=TRUE),"-",IF(AND($Q$1=TRUE,$S$1=TRUE,$S$4=FALSE),VLOOKUP($E11,'Status Thresholds'!$E:$AS,15,FALSE),IF(AND($Q$1=TRUE,$S$4=FALSE),VLOOKUP($E11,'Status Thresholds'!$E:$AS,5,FALSE), IF(AND($Q$1=TRUE,$S$1=TRUE,$S$4=TRUE),VLOOKUP($E11,'Status Thresholds'!$E:$AS,20,FALSE),IF(AND($Q$1=TRUE,$S$4=TRUE),VLOOKUP($E11,'Status Thresholds'!$E:$AS,10,FALSE),IF(AND($S$3=TRUE,$S$1=TRUE,$S$4=FALSE),VLOOKUP($E11,'Status Thresholds'!$E:$AS,35,FALSE),IF(AND($S$3=TRUE,$S$4=FALSE),VLOOKUP($E11,'Status Thresholds'!$E:$AS,25,FALSE),IF(AND($S$3=TRUE,$S$1=TRUE,$S$4=TRUE),VLOOKUP($E11,'Status Thresholds'!$E:$AS,40,FALSE),IF(AND($S$3=TRUE,$S$4=TRUE),VLOOKUP($E11,'Status Thresholds'!$E:$AS,30,FALSE),""))))))))/IF(OR($Q$3=TRUE,AND($Q$2=TRUE,$Q$7=TRUE),AND($Q$3=TRUE,$Q$7=TRUE))=TRUE,'Shots and Status'!$F$5,IF((OR($Q$2,$Q$7)=TRUE),'Shots and Status'!$D$5,'Shots and Status'!$C$5)))),0),"-")</f>
        <v>-</v>
      </c>
      <c r="L11" s="36" t="str">
        <f>IFERROR(IF(AND($Q$1=FALSE,$S$3=FALSE),"-",VLOOKUP($E11,'Status Thresholds'!$E:$AU,41,FALSE)),"-")</f>
        <v>-</v>
      </c>
      <c r="M11" s="36" t="str">
        <f>IFERROR(IF(AND($Q$1=FALSE,$S$3=FALSE),"-",VLOOKUP($E11,'Status Thresholds'!$E:$AU,42,FALSE)),"-")</f>
        <v>-</v>
      </c>
      <c r="N11" s="36" t="str">
        <f>IFERROR(IF(AND($Q$1=FALSE,$S$3=FALSE),"-",VLOOKUP($E11,'Status Thresholds'!$E:$AU,43,FALSE)),"-")</f>
        <v>-</v>
      </c>
    </row>
    <row r="12" spans="1:19" s="36" customFormat="1" x14ac:dyDescent="0.25">
      <c r="A12" s="46"/>
      <c r="B12" s="64" t="str">
        <f>VLOOKUP(C12,'Status Thresholds'!B:C,2,FALSE)</f>
        <v>MHGen</v>
      </c>
      <c r="C12" s="46" t="str">
        <f>IF(ISBLANK('KO Calc'!C8)=TRUE,"",'KO Calc'!C8)</f>
        <v>Agnaktor</v>
      </c>
      <c r="D12" s="57" t="s">
        <v>22</v>
      </c>
      <c r="E12" s="62" t="str">
        <f t="shared" si="1"/>
        <v>AgnaktorExhaust</v>
      </c>
      <c r="F12" s="36" t="s">
        <v>8</v>
      </c>
      <c r="G12" s="36" t="str">
        <f t="shared" si="0"/>
        <v>AgnaktorExhaust lvl 2</v>
      </c>
      <c r="H12" s="36" t="str">
        <f>IFERROR(ROUNDUP(IF(AND($Q$1=FALSE,$S$3=FALSE),"-",IF(AND($Q$1=TRUE,$S$3=TRUE),"-",IF(AND($Q$1=TRUE,$S$1=TRUE,$S$4=FALSE),VLOOKUP($E12,'Status Thresholds'!$E:$AS,12,FALSE),IF(AND($Q$1=TRUE,$S$4=FALSE),VLOOKUP($E12,'Status Thresholds'!$E:$AS,2,FALSE), IF(AND($Q$1=TRUE,$S$1=TRUE,$S$4=TRUE),VLOOKUP($E12,'Status Thresholds'!$E:$AS,17,FALSE),IF(AND($Q$1=TRUE,$S$4=TRUE),VLOOKUP($E12,'Status Thresholds'!$E:$AS,7,FALSE),IF(AND($S$3=TRUE,$S$1=TRUE,$S$4=FALSE),VLOOKUP($E12,'Status Thresholds'!$E:$AS,32,FALSE),IF(AND($S$3=TRUE,$S$4=FALSE),VLOOKUP($E12,'Status Thresholds'!$E:$AS,22,FALSE),IF(AND($S$3=TRUE,$S$1=TRUE,$S$4=TRUE),VLOOKUP($E12,'Status Thresholds'!$E:$AS,37,FALSE),IF(AND($S$3=TRUE,$S$4=TRUE),VLOOKUP($E12,'Status Thresholds'!$E:$AS,27,FALSE),""))))))))/IF(OR($Q$3=TRUE,AND($Q$2=TRUE,$Q$7=TRUE),AND($Q$3=TRUE,$Q$7=TRUE))=TRUE,'Shots and Status'!$F$5,IF((OR($Q$2,$Q$7)=TRUE),'Shots and Status'!$D$5,'Shots and Status'!$C$5)))),0),"-")</f>
        <v>-</v>
      </c>
      <c r="I12" s="36" t="str">
        <f>IFERROR(ROUNDUP(IF(AND($Q$1=FALSE,$S$3=FALSE),"-",IF(AND($Q$1=TRUE,$S$3=TRUE),"-",IF(AND($Q$1=TRUE,$S$1=TRUE,$S$4=FALSE),VLOOKUP($E12,'Status Thresholds'!$E:$AS,13,FALSE),IF(AND($Q$1=TRUE,$S$4=FALSE),VLOOKUP($E12,'Status Thresholds'!$E:$AS,3,FALSE), IF(AND($Q$1=TRUE,$S$1=TRUE,$S$4=TRUE),VLOOKUP($E12,'Status Thresholds'!$E:$AS,18,FALSE),IF(AND($Q$1=TRUE,$S$4=TRUE),VLOOKUP($E12,'Status Thresholds'!$E:$AS,8,FALSE),IF(AND($S$3=TRUE,$S$1=TRUE,$S$4=FALSE),VLOOKUP($E12,'Status Thresholds'!$E:$AS,33,FALSE),IF(AND($S$3=TRUE,$S$4=FALSE),VLOOKUP($E12,'Status Thresholds'!$E:$AS,23,FALSE),IF(AND($S$3=TRUE,$S$1=TRUE,$S$4=TRUE),VLOOKUP($E12,'Status Thresholds'!$E:$AS,38,FALSE),IF(AND($S$3=TRUE,$S$4=TRUE),VLOOKUP($E12,'Status Thresholds'!$E:$AS,28,FALSE),""))))))))/IF(OR($Q$3=TRUE,AND($Q$2=TRUE,$Q$7=TRUE),AND($Q$3=TRUE,$Q$7=TRUE))=TRUE,'Shots and Status'!$F$5,IF((OR($Q$2,$Q$7)=TRUE),'Shots and Status'!$D$5,'Shots and Status'!$C$5)))),0),"-")</f>
        <v>-</v>
      </c>
      <c r="J12" s="36" t="str">
        <f>IFERROR(ROUNDUP(IF(AND($Q$1=FALSE,$S$3=FALSE),"-",IF(AND($Q$1=TRUE,$S$3=TRUE),"-",IF(AND($Q$1=TRUE,$S$1=TRUE,$S$4=FALSE),VLOOKUP($E12,'Status Thresholds'!$E:$AS,14,FALSE),IF(AND($Q$1=TRUE,$S$4=FALSE),VLOOKUP($E12,'Status Thresholds'!$E:$AS,4,FALSE), IF(AND($Q$1=TRUE,$S$1=TRUE,$S$4=TRUE),VLOOKUP($E12,'Status Thresholds'!$E:$AS,19,FALSE),IF(AND($Q$1=TRUE,$S$4=TRUE),VLOOKUP($E12,'Status Thresholds'!$E:$AS,9,FALSE),IF(AND($S$3=TRUE,$S$1=TRUE,$S$4=FALSE),VLOOKUP($E12,'Status Thresholds'!$E:$AS,34,FALSE),IF(AND($S$3=TRUE,$S$4=FALSE),VLOOKUP($E12,'Status Thresholds'!$E:$AS,24,FALSE),IF(AND($S$3=TRUE,$S$1=TRUE,$S$4=TRUE),VLOOKUP($E12,'Status Thresholds'!$E:$AS,39,FALSE),IF(AND($S$3=TRUE,$S$4=TRUE),VLOOKUP($E12,'Status Thresholds'!$E:$AS,29,FALSE),""))))))))/IF(OR($Q$3=TRUE,AND($Q$2=TRUE,$Q$7=TRUE),AND($Q$3=TRUE,$Q$7=TRUE))=TRUE,'Shots and Status'!$F$5,IF((OR($Q$2,$Q$7)=TRUE),'Shots and Status'!$D$5,'Shots and Status'!$C$5)))),0),"-")</f>
        <v>-</v>
      </c>
      <c r="K12" s="36" t="str">
        <f>IFERROR(ROUNDUP(IF(AND($Q$1=FALSE,$S$3=FALSE),"-",IF(AND($Q$1=TRUE,$S$3=TRUE),"-",IF(AND($Q$1=TRUE,$S$1=TRUE,$S$4=FALSE),VLOOKUP($E12,'Status Thresholds'!$E:$AS,15,FALSE),IF(AND($Q$1=TRUE,$S$4=FALSE),VLOOKUP($E12,'Status Thresholds'!$E:$AS,5,FALSE), IF(AND($Q$1=TRUE,$S$1=TRUE,$S$4=TRUE),VLOOKUP($E12,'Status Thresholds'!$E:$AS,20,FALSE),IF(AND($Q$1=TRUE,$S$4=TRUE),VLOOKUP($E12,'Status Thresholds'!$E:$AS,10,FALSE),IF(AND($S$3=TRUE,$S$1=TRUE,$S$4=FALSE),VLOOKUP($E12,'Status Thresholds'!$E:$AS,35,FALSE),IF(AND($S$3=TRUE,$S$4=FALSE),VLOOKUP($E12,'Status Thresholds'!$E:$AS,25,FALSE),IF(AND($S$3=TRUE,$S$1=TRUE,$S$4=TRUE),VLOOKUP($E12,'Status Thresholds'!$E:$AS,40,FALSE),IF(AND($S$3=TRUE,$S$4=TRUE),VLOOKUP($E12,'Status Thresholds'!$E:$AS,30,FALSE),""))))))))/IF(OR($Q$3=TRUE,AND($Q$2=TRUE,$Q$7=TRUE),AND($Q$3=TRUE,$Q$7=TRUE))=TRUE,'Shots and Status'!$F$5,IF((OR($Q$2,$Q$7)=TRUE),'Shots and Status'!$D$5,'Shots and Status'!$C$5)))),0),"-")</f>
        <v>-</v>
      </c>
      <c r="L12" s="36" t="str">
        <f>IFERROR(IF(AND($Q$1=FALSE,$S$3=FALSE),"-",VLOOKUP($E12,'Status Thresholds'!$E:$AU,41,FALSE)),"-")</f>
        <v>-</v>
      </c>
      <c r="M12" s="36" t="str">
        <f>IFERROR(IF(AND($Q$1=FALSE,$S$3=FALSE),"-",VLOOKUP($E12,'Status Thresholds'!$E:$AU,42,FALSE)),"-")</f>
        <v>-</v>
      </c>
      <c r="N12" s="36" t="str">
        <f>IFERROR(IF(AND($Q$1=FALSE,$S$3=FALSE),"-",VLOOKUP($E12,'Status Thresholds'!$E:$AU,43,FALSE)),"-")</f>
        <v>-</v>
      </c>
    </row>
    <row r="13" spans="1:19" s="36" customFormat="1" x14ac:dyDescent="0.25">
      <c r="A13" s="46"/>
      <c r="B13" s="64" t="str">
        <f>VLOOKUP(C13,'Status Thresholds'!B:C,2,FALSE)</f>
        <v>MHGen</v>
      </c>
      <c r="C13" s="46" t="str">
        <f>IF(ISBLANK('KO Calc'!C9)=TRUE,"",'KO Calc'!C9)</f>
        <v>Agnaktor</v>
      </c>
      <c r="D13" s="67" t="s">
        <v>14</v>
      </c>
      <c r="E13" s="62" t="str">
        <f t="shared" si="1"/>
        <v>AgnaktorKO</v>
      </c>
      <c r="F13" s="36" t="s">
        <v>21</v>
      </c>
      <c r="G13" s="36" t="str">
        <f>C13&amp;F13</f>
        <v>AgnaktorTriblast</v>
      </c>
      <c r="H13" s="36" t="str">
        <f>IF(AND($Q$1=FALSE,$S$3=FALSE),"-",IF(AND($Q$1=TRUE,$S$3=TRUE),"-",IF(AND($Q$1=FALSE,$S$3=FALSE),"-",IF(AND($Q$1=TRUE,$S$1=TRUE,$S$4=FALSE)=TRUE,IF(OR($Q$4=TRUE,$Q$5=TRUE,$S$2=TRUE),VLOOKUP($G13,'KO Calc'!$H:$AW,12,FALSE),VLOOKUP($G13,'KO Calc'!$H10:$AW10,12,FALSE)),IF(AND($Q$1=TRUE,$S$4=FALSE),IF(OR($Q$4=TRUE,$Q$5=TRUE,$S$2=TRUE),VLOOKUP($G13,'KO Calc'!$H:$AW,2,FALSE),VLOOKUP($G13,'KO Calc'!$H10:$AW10,2,FALSE)),
IF(AND($Q$1=TRUE,$S$1=TRUE,$S$4=TRUE)=TRUE,IF(OR($Q$4=TRUE,$Q$5=TRUE,$S$2=TRUE),VLOOKUP($G13,'KO Calc'!$H:$AW,17,FALSE),VLOOKUP($G13,'KO Calc'!$H10:$AW10,17,FALSE)),IF(AND($Q$1=TRUE,$S$4=TRUE),IF(OR($Q$4=TRUE,$Q$5=TRUE,$S$2=TRUE),VLOOKUP($G13,'KO Calc'!$H:$AW,7,FALSE),VLOOKUP($G13,'KO Calc'!$H10:$AW10,7,FALSE)),
IF(AND($S$3=TRUE,$S$1=TRUE,$S$4=FALSE)=TRUE,IF(OR($Q$4=TRUE,$Q$5=TRUE,$S$2=TRUE),VLOOKUP($G13,'KO Calc'!$H:$AW,32,FALSE),VLOOKUP($G13,'KO Calc'!$H10:$AW10,32,FALSE)),IF(AND($S$3=TRUE,$S$4=FALSE),IF(OR($Q$4=TRUE,$Q$5=TRUE,$S$2=TRUE),VLOOKUP($G13,'KO Calc'!$H:$AW,22,FALSE),VLOOKUP($G13,'KO Calc'!$H10:$AW10,22,FALSE)),
IF(AND($S$3=TRUE,$S$1=TRUE,$S$4=TRUE)=TRUE,IF(OR($Q$4=TRUE,$Q$5=TRUE,$S$2=TRUE),VLOOKUP($G13,'KO Calc'!$H:$AW,37,FALSE),VLOOKUP($G13,'KO Calc'!$H10:$AW10,37,FALSE)),IF(AND($S$3=TRUE,$S$4=TRUE),IF(OR($Q$4=TRUE,$Q$5=TRUE,$S$2=TRUE),VLOOKUP($G13,'KO Calc'!$H:$AW,27,FALSE),VLOOKUP($G13,'KO Calc'!$H10:$AW10,27,FALSE)))))))))))))</f>
        <v>-</v>
      </c>
      <c r="I13" s="36" t="str">
        <f>IF(AND($Q$1=FALSE,$S$3=FALSE),"-",IF(AND($Q$1=TRUE,$S$3=TRUE),"-",IF(AND($Q$1=FALSE,$S$3=FALSE),"-",IF(AND($Q$1=TRUE,$S$1=TRUE,$S$4=FALSE)=TRUE,IF(OR($Q$4=TRUE,$Q$5=TRUE,$S$2=TRUE),VLOOKUP($G13,'KO Calc'!$H:$AW,13,FALSE),VLOOKUP($G13,'KO Calc'!$H10:$AW10,13,FALSE)),IF(AND($Q$1=TRUE,$S$4=FALSE),IF(OR($Q$4=TRUE,$Q$5=TRUE,$S$2=TRUE),VLOOKUP($G13,'KO Calc'!$H:$AW,3,FALSE),VLOOKUP($G13,'KO Calc'!$H10:$AW10,3,FALSE)),
IF(AND($Q$1=TRUE,$S$1=TRUE,$S$4=TRUE)=TRUE,IF(OR($Q$4=TRUE,$Q$5=TRUE,$S$2=TRUE),VLOOKUP($G13,'KO Calc'!$H:$AW,18,FALSE),VLOOKUP($G13,'KO Calc'!$H10:$AW10,18,FALSE)),IF(AND($Q$1=TRUE,$S$4=TRUE),IF(OR($Q$4=TRUE,$Q$5=TRUE,$S$2=TRUE),VLOOKUP($G13,'KO Calc'!$H:$AW,8,FALSE),VLOOKUP($G13,'KO Calc'!$H10:$AW10,8,FALSE)),
IF(AND($S$3=TRUE,$S$1=TRUE,$S$4=FALSE)=TRUE,IF(OR($Q$4=TRUE,$Q$5=TRUE,$S$2=TRUE),VLOOKUP($G13,'KO Calc'!$H:$AW,33,FALSE),VLOOKUP($G13,'KO Calc'!$H10:$AW10,33,FALSE)),IF(AND($S$3=TRUE,$S$4=FALSE),IF(OR($Q$4=TRUE,$Q$5=TRUE,$S$2=TRUE),VLOOKUP($G13,'KO Calc'!$H:$AW,23,FALSE),VLOOKUP($G13,'KO Calc'!$H10:$AW10,23,FALSE)),
IF(AND($S$3=TRUE,$S$1=TRUE,$S$4=TRUE)=TRUE,IF(OR($Q$4=TRUE,$Q$5=TRUE,$S$2=TRUE),VLOOKUP($G13,'KO Calc'!$H:$AW,38,FALSE),VLOOKUP($G13,'KO Calc'!$H10:$AW10,38,FALSE)),IF(AND($S$3=TRUE,$S$4=TRUE),IF(OR($Q$4=TRUE,$Q$5=TRUE,$S$2=TRUE),VLOOKUP($G13,'KO Calc'!$H:$AW,28,FALSE),VLOOKUP($G13,'KO Calc'!$H10:$AW10,28,FALSE)))))))))))))</f>
        <v>-</v>
      </c>
      <c r="J13" s="36" t="str">
        <f>IF(AND($Q$1=FALSE,$S$3=FALSE),"-",IF(AND($Q$1=TRUE,$S$3=TRUE),"-",IF(AND($Q$1=FALSE,$S$3=FALSE),"-",IF(AND($Q$1=TRUE,$S$1=TRUE,$S$4=FALSE)=TRUE,IF(OR($Q$4=TRUE,$Q$5=TRUE,$S$2=TRUE),VLOOKUP($G13,'KO Calc'!$H:$AW,FALSE),VLOOKUP($G13,'KO Calc'!$H10:$AW10,14,FALSE)),IF(AND($Q$1=TRUE,$S$4=FALSE),IF(OR($Q$4=TRUE,$Q$5=TRUE,$S$2=TRUE),VLOOKUP($G13,'KO Calc'!$H:$AW,4,FALSE),VLOOKUP($G13,'KO Calc'!$H10:$AW10,4,FALSE)),
IF(AND($Q$1=TRUE,$S$1=TRUE,$S$4=TRUE)=TRUE,IF(OR($Q$4=TRUE,$Q$5=TRUE,$S$2=TRUE),VLOOKUP($G13,'KO Calc'!$H:$AW,19,FALSE),VLOOKUP($G13,'KO Calc'!$H10:$AW10,19,FALSE)),IF(AND($Q$1=TRUE,$S$4=TRUE),IF(OR($Q$4=TRUE,$Q$5=TRUE,$S$2=TRUE),VLOOKUP($G13,'KO Calc'!$H:$AW,9,FALSE),VLOOKUP($G13,'KO Calc'!$H10:$AW10,9,FALSE)),
IF(AND($S$3=TRUE,$S$1=TRUE,$S$4=FALSE)=TRUE,IF(OR($Q$4=TRUE,$Q$5=TRUE,$S$2=TRUE),VLOOKUP($G13,'KO Calc'!$H:$AW,34,FALSE),VLOOKUP($G13,'KO Calc'!$H10:$AW10,34,FALSE)),IF(AND($S$3=TRUE,$S$4=FALSE),IF(OR($Q$4=TRUE,$Q$5=TRUE,$S$2=TRUE),VLOOKUP($G13,'KO Calc'!$H:$AW,24,FALSE),VLOOKUP($G13,'KO Calc'!$H10:$AW10,24,FALSE)),
IF(AND($S$3=TRUE,$S$1=TRUE,$S$4=TRUE)=TRUE,IF(OR($Q$4=TRUE,$Q$5=TRUE,$S$2=TRUE),VLOOKUP($G13,'KO Calc'!$H:$AW,39,FALSE),VLOOKUP($G13,'KO Calc'!$H10:$AW10,39,FALSE)),IF(AND($S$3=TRUE,$S$4=TRUE),IF(OR($Q$4=TRUE,$Q$5=TRUE,$S$2=TRUE),VLOOKUP($G13,'KO Calc'!$H:$AW,29,FALSE),VLOOKUP($G13,'KO Calc'!$H10:$AW10,29,FALSE)))))))))))))</f>
        <v>-</v>
      </c>
      <c r="K13" s="36" t="str">
        <f>IF(AND($Q$1=FALSE,$S$3=FALSE),"-",IF(AND($Q$1=TRUE,$S$3=TRUE),"-",IF(AND($Q$1=FALSE,$S$3=FALSE),"-",IF(AND($Q$1=TRUE,$S$1=TRUE,$S$4=FALSE)=TRUE,IF(OR($Q$4=TRUE,$Q$5=TRUE,$S$2=TRUE),VLOOKUP($G13,'KO Calc'!$H:$AW,15,FALSE),VLOOKUP($G13,'KO Calc'!$H10:$AW10,15,FALSE)),IF(AND($Q$1=TRUE,$S$4=FALSE),IF(OR($Q$4=TRUE,$Q$5=TRUE,$S$2=TRUE),VLOOKUP($G13,'KO Calc'!$H:$AW,5,FALSE),VLOOKUP($G13,'KO Calc'!$H10:$AW10,5,FALSE)),
IF(AND($Q$1=TRUE,$S$1=TRUE,$S$4=TRUE)=TRUE,IF(OR($Q$4=TRUE,$Q$5=TRUE,$S$2=TRUE),VLOOKUP($G13,'KO Calc'!$H:$AW,20,FALSE),VLOOKUP($G13,'KO Calc'!$H10:$AW10,20,FALSE)),IF(AND($Q$1=TRUE,$S$4=TRUE),IF(OR($Q$4=TRUE,$Q$5=TRUE,$S$2=TRUE),VLOOKUP($G13,'KO Calc'!$H:$AW,10,FALSE),VLOOKUP($G13,'KO Calc'!$H10:$AW10,10,FALSE)),
IF(AND($S$3=TRUE,$S$1=TRUE,$S$4=FALSE)=TRUE,IF(OR($Q$4=TRUE,$Q$5=TRUE,$S$2=TRUE),VLOOKUP($G13,'KO Calc'!$H:$AW,35,FALSE),VLOOKUP($G13,'KO Calc'!$H10:$AW10,35,FALSE)),IF(AND($S$3=TRUE,$S$4=FALSE),IF(OR($Q$4=TRUE,$Q$5=TRUE,$S$2=TRUE),VLOOKUP($G13,'KO Calc'!$H:$AW,25,FALSE),VLOOKUP($G13,'KO Calc'!$H10:$AW10,25,FALSE)),
IF(AND($S$3=TRUE,$S$1=TRUE,$S$4=TRUE)=TRUE,IF(OR($Q$4=TRUE,$Q$5=TRUE,$S$2=TRUE),VLOOKUP($G13,'KO Calc'!$H:$AW,40,FALSE),VLOOKUP($G13,'KO Calc'!$H10:$AW10,40,FALSE)),IF(AND($S$3=TRUE,$S$4=TRUE),IF(OR($Q$4=TRUE,$Q$5=TRUE,$S$2=TRUE),VLOOKUP($G13,'KO Calc'!$H:$AW,30,FALSE),VLOOKUP($G13,'KO Calc'!$H10:$AW10,30,FALSE)))))))))))))</f>
        <v>-</v>
      </c>
      <c r="L13" s="36" t="str">
        <f>IFERROR(IF(AND($Q$1=FALSE,$S$3=FALSE),"-",VLOOKUP($E13,'Status Thresholds'!$E:$AU,41,FALSE)),"-")</f>
        <v>-</v>
      </c>
      <c r="M13" s="36" t="str">
        <f>IFERROR(IF(AND($Q$1=FALSE,$S$3=FALSE),"-",VLOOKUP($E13,'Status Thresholds'!$E:$AU,42,FALSE)),"-")</f>
        <v>-</v>
      </c>
      <c r="N13" s="36" t="str">
        <f>IFERROR(IF(AND($Q$1=FALSE,$S$3=FALSE),"-",VLOOKUP($E13,'Status Thresholds'!$E:$AU,43,FALSE)),"-")</f>
        <v>-</v>
      </c>
    </row>
    <row r="14" spans="1:19" x14ac:dyDescent="0.25">
      <c r="B14" s="64" t="str">
        <f>VLOOKUP(C14,'Status Thresholds'!B:C,2,FALSE)</f>
        <v>MHGen</v>
      </c>
      <c r="C14" s="46" t="str">
        <f>IF(ISBLANK('KO Calc'!C10)=TRUE,"",'KO Calc'!C10)</f>
        <v>Agnaktor</v>
      </c>
      <c r="D14" s="78" t="s">
        <v>207</v>
      </c>
      <c r="E14" s="62" t="str">
        <f t="shared" si="1"/>
        <v>AgnaktorShock Trap</v>
      </c>
      <c r="F14" t="s">
        <v>13</v>
      </c>
      <c r="G14" s="36" t="str">
        <f t="shared" ref="G14:G85" si="2">C14&amp;F14</f>
        <v>AgnaktorCrag 3</v>
      </c>
      <c r="H14" s="36" t="str">
        <f>IF(AND($Q$1=FALSE,$S$3=FALSE),"-",IF(AND($Q$1=TRUE,$S$3=TRUE),"-",IF(AND($Q$1=FALSE,$S$3=FALSE),"-",IF(AND($Q$1=TRUE,$S$1=TRUE,$S$4=FALSE)=TRUE,IF(OR($Q$4=TRUE,$Q$5=TRUE,$S$2=TRUE),VLOOKUP($G14,'KO Calc'!$H:$AW,12,FALSE),VLOOKUP($G14,'KO Calc'!$H11:$AW11,12,FALSE)),IF(AND($Q$1=TRUE,$S$4=FALSE),IF(OR($Q$4=TRUE,$Q$5=TRUE,$S$2=TRUE),VLOOKUP($G14,'KO Calc'!$H:$AW,2,FALSE),VLOOKUP($G14,'KO Calc'!$H11:$AW11,2,FALSE)),
IF(AND($Q$1=TRUE,$S$1=TRUE,$S$4=TRUE)=TRUE,IF(OR($Q$4=TRUE,$Q$5=TRUE,$S$2=TRUE),VLOOKUP($G14,'KO Calc'!$H:$AW,17,FALSE),VLOOKUP($G14,'KO Calc'!$H11:$AW11,17,FALSE)),IF(AND($Q$1=TRUE,$S$4=TRUE),IF(OR($Q$4=TRUE,$Q$5=TRUE,$S$2=TRUE),VLOOKUP($G14,'KO Calc'!$H:$AW,7,FALSE),VLOOKUP($G14,'KO Calc'!$H11:$AW11,7,FALSE)),
IF(AND($S$3=TRUE,$S$1=TRUE,$S$4=FALSE)=TRUE,IF(OR($Q$4=TRUE,$Q$5=TRUE,$S$2=TRUE),VLOOKUP($G14,'KO Calc'!$H:$AW,32,FALSE),VLOOKUP($G14,'KO Calc'!$H11:$AW11,32,FALSE)),IF(AND($S$3=TRUE,$S$4=FALSE),IF(OR($Q$4=TRUE,$Q$5=TRUE,$S$2=TRUE),VLOOKUP($G14,'KO Calc'!$H:$AW,22,FALSE),VLOOKUP($G14,'KO Calc'!$H11:$AW11,22,FALSE)),
IF(AND($S$3=TRUE,$S$1=TRUE,$S$4=TRUE)=TRUE,IF(OR($Q$4=TRUE,$Q$5=TRUE,$S$2=TRUE),VLOOKUP($G14,'KO Calc'!$H:$AW,37,FALSE),VLOOKUP($G14,'KO Calc'!$H11:$AW11,37,FALSE)),IF(AND($S$3=TRUE,$S$4=TRUE),IF(OR($Q$4=TRUE,$Q$5=TRUE,$S$2=TRUE),VLOOKUP($G14,'KO Calc'!$H:$AW,27,FALSE),VLOOKUP($G14,'KO Calc'!$H11:$AW11,27,FALSE)))))))))))))</f>
        <v>-</v>
      </c>
      <c r="I14" s="36" t="str">
        <f>IF(AND($Q$1=FALSE,$S$3=FALSE),"-",IF(AND($Q$1=TRUE,$S$3=TRUE),"-",IF(AND($Q$1=FALSE,$S$3=FALSE),"-",IF(AND($Q$1=TRUE,$S$1=TRUE,$S$4=FALSE)=TRUE,IF(OR($Q$4=TRUE,$Q$5=TRUE,$S$2=TRUE),VLOOKUP($G14,'KO Calc'!$H:$AW,13,FALSE),VLOOKUP($G14,'KO Calc'!$H11:$AW11,13,FALSE)),IF(AND($Q$1=TRUE,$S$4=FALSE),IF(OR($Q$4=TRUE,$Q$5=TRUE,$S$2=TRUE),VLOOKUP($G14,'KO Calc'!$H:$AW,3,FALSE),VLOOKUP($G14,'KO Calc'!$H11:$AW11,3,FALSE)),
IF(AND($Q$1=TRUE,$S$1=TRUE,$S$4=TRUE)=TRUE,IF(OR($Q$4=TRUE,$Q$5=TRUE,$S$2=TRUE),VLOOKUP($G14,'KO Calc'!$H:$AW,18,FALSE),VLOOKUP($G14,'KO Calc'!$H11:$AW11,18,FALSE)),IF(AND($Q$1=TRUE,$S$4=TRUE),IF(OR($Q$4=TRUE,$Q$5=TRUE,$S$2=TRUE),VLOOKUP($G14,'KO Calc'!$H:$AW,8,FALSE),VLOOKUP($G14,'KO Calc'!$H11:$AW11,8,FALSE)),
IF(AND($S$3=TRUE,$S$1=TRUE,$S$4=FALSE)=TRUE,IF(OR($Q$4=TRUE,$Q$5=TRUE,$S$2=TRUE),VLOOKUP($G14,'KO Calc'!$H:$AW,33,FALSE),VLOOKUP($G14,'KO Calc'!$H11:$AW11,33,FALSE)),IF(AND($S$3=TRUE,$S$4=FALSE),IF(OR($Q$4=TRUE,$Q$5=TRUE,$S$2=TRUE),VLOOKUP($G14,'KO Calc'!$H:$AW,23,FALSE),VLOOKUP($G14,'KO Calc'!$H11:$AW11,23,FALSE)),
IF(AND($S$3=TRUE,$S$1=TRUE,$S$4=TRUE)=TRUE,IF(OR($Q$4=TRUE,$Q$5=TRUE,$S$2=TRUE),VLOOKUP($G14,'KO Calc'!$H:$AW,38,FALSE),VLOOKUP($G14,'KO Calc'!$H11:$AW11,38,FALSE)),IF(AND($S$3=TRUE,$S$4=TRUE),IF(OR($Q$4=TRUE,$Q$5=TRUE,$S$2=TRUE),VLOOKUP($G14,'KO Calc'!$H:$AW,28,FALSE),VLOOKUP($G14,'KO Calc'!$H11:$AW11,28,FALSE)))))))))))))</f>
        <v>-</v>
      </c>
      <c r="J14" s="36" t="str">
        <f>IF(AND($Q$1=FALSE,$S$3=FALSE),"-",IF(AND($Q$1=TRUE,$S$3=TRUE),"-",IF(AND($Q$1=FALSE,$S$3=FALSE),"-",IF(AND($Q$1=TRUE,$S$1=TRUE,$S$4=FALSE)=TRUE,IF(OR($Q$4=TRUE,$Q$5=TRUE,$S$2=TRUE),VLOOKUP($G14,'KO Calc'!$H:$AW,FALSE),VLOOKUP($G14,'KO Calc'!$H11:$AW11,14,FALSE)),IF(AND($Q$1=TRUE,$S$4=FALSE),IF(OR($Q$4=TRUE,$Q$5=TRUE,$S$2=TRUE),VLOOKUP($G14,'KO Calc'!$H:$AW,4,FALSE),VLOOKUP($G14,'KO Calc'!$H11:$AW11,4,FALSE)),
IF(AND($Q$1=TRUE,$S$1=TRUE,$S$4=TRUE)=TRUE,IF(OR($Q$4=TRUE,$Q$5=TRUE,$S$2=TRUE),VLOOKUP($G14,'KO Calc'!$H:$AW,19,FALSE),VLOOKUP($G14,'KO Calc'!$H11:$AW11,19,FALSE)),IF(AND($Q$1=TRUE,$S$4=TRUE),IF(OR($Q$4=TRUE,$Q$5=TRUE,$S$2=TRUE),VLOOKUP($G14,'KO Calc'!$H:$AW,9,FALSE),VLOOKUP($G14,'KO Calc'!$H11:$AW11,9,FALSE)),
IF(AND($S$3=TRUE,$S$1=TRUE,$S$4=FALSE)=TRUE,IF(OR($Q$4=TRUE,$Q$5=TRUE,$S$2=TRUE),VLOOKUP($G14,'KO Calc'!$H:$AW,34,FALSE),VLOOKUP($G14,'KO Calc'!$H11:$AW11,34,FALSE)),IF(AND($S$3=TRUE,$S$4=FALSE),IF(OR($Q$4=TRUE,$Q$5=TRUE,$S$2=TRUE),VLOOKUP($G14,'KO Calc'!$H:$AW,24,FALSE),VLOOKUP($G14,'KO Calc'!$H11:$AW11,24,FALSE)),
IF(AND($S$3=TRUE,$S$1=TRUE,$S$4=TRUE)=TRUE,IF(OR($Q$4=TRUE,$Q$5=TRUE,$S$2=TRUE),VLOOKUP($G14,'KO Calc'!$H:$AW,39,FALSE),VLOOKUP($G14,'KO Calc'!$H11:$AW11,39,FALSE)),IF(AND($S$3=TRUE,$S$4=TRUE),IF(OR($Q$4=TRUE,$Q$5=TRUE,$S$2=TRUE),VLOOKUP($G14,'KO Calc'!$H:$AW,29,FALSE),VLOOKUP($G14,'KO Calc'!$H11:$AW11,29,FALSE)))))))))))))</f>
        <v>-</v>
      </c>
      <c r="K14" s="36" t="str">
        <f>IF(AND($Q$1=FALSE,$S$3=FALSE),"-",IF(AND($Q$1=TRUE,$S$3=TRUE),"-",IF(AND($Q$1=FALSE,$S$3=FALSE),"-",IF(AND($Q$1=TRUE,$S$1=TRUE,$S$4=FALSE)=TRUE,IF(OR($Q$4=TRUE,$Q$5=TRUE,$S$2=TRUE),VLOOKUP($G14,'KO Calc'!$H:$AW,15,FALSE),VLOOKUP($G14,'KO Calc'!$H11:$AW11,15,FALSE)),IF(AND($Q$1=TRUE,$S$4=FALSE),IF(OR($Q$4=TRUE,$Q$5=TRUE,$S$2=TRUE),VLOOKUP($G14,'KO Calc'!$H:$AW,5,FALSE),VLOOKUP($G14,'KO Calc'!$H11:$AW11,5,FALSE)),
IF(AND($Q$1=TRUE,$S$1=TRUE,$S$4=TRUE)=TRUE,IF(OR($Q$4=TRUE,$Q$5=TRUE,$S$2=TRUE),VLOOKUP($G14,'KO Calc'!$H:$AW,20,FALSE),VLOOKUP($G14,'KO Calc'!$H11:$AW11,20,FALSE)),IF(AND($Q$1=TRUE,$S$4=TRUE),IF(OR($Q$4=TRUE,$Q$5=TRUE,$S$2=TRUE),VLOOKUP($G14,'KO Calc'!$H:$AW,10,FALSE),VLOOKUP($G14,'KO Calc'!$H11:$AW11,10,FALSE)),
IF(AND($S$3=TRUE,$S$1=TRUE,$S$4=FALSE)=TRUE,IF(OR($Q$4=TRUE,$Q$5=TRUE,$S$2=TRUE),VLOOKUP($G14,'KO Calc'!$H:$AW,35,FALSE),VLOOKUP($G14,'KO Calc'!$H11:$AW11,35,FALSE)),IF(AND($S$3=TRUE,$S$4=FALSE),IF(OR($Q$4=TRUE,$Q$5=TRUE,$S$2=TRUE),VLOOKUP($G14,'KO Calc'!$H:$AW,25,FALSE),VLOOKUP($G14,'KO Calc'!$H11:$AW11,25,FALSE)),
IF(AND($S$3=TRUE,$S$1=TRUE,$S$4=TRUE)=TRUE,IF(OR($Q$4=TRUE,$Q$5=TRUE,$S$2=TRUE),VLOOKUP($G14,'KO Calc'!$H:$AW,40,FALSE),VLOOKUP($G14,'KO Calc'!$H11:$AW11,40,FALSE)),IF(AND($S$3=TRUE,$S$4=TRUE),IF(OR($Q$4=TRUE,$Q$5=TRUE,$S$2=TRUE),VLOOKUP($G14,'KO Calc'!$H:$AW,30,FALSE),VLOOKUP($G14,'KO Calc'!$H11:$AW11,30,FALSE)))))))))))))</f>
        <v>-</v>
      </c>
      <c r="L14" s="36" t="str">
        <f>IFERROR(IF(AND($Q$1=FALSE,$S$3=FALSE),"-",VLOOKUP($E14,'Status Thresholds'!$E:$AU,43,FALSE)),"-")</f>
        <v>-</v>
      </c>
      <c r="M14" s="36" t="str">
        <f>IFERROR(IF(AND($Q$1=FALSE,$S$3=FALSE),"-",VLOOKUP($E14,'Status Thresholds'!$E:$AU,41,FALSE)),"-")</f>
        <v>-</v>
      </c>
      <c r="N14" s="36" t="str">
        <f>IFERROR(IF(AND($Q$1=FALSE,$S$3=FALSE),"-",VLOOKUP($E14,'Status Thresholds'!$E:$AU,42,FALSE)),"-")</f>
        <v>-</v>
      </c>
    </row>
    <row r="15" spans="1:19" x14ac:dyDescent="0.25">
      <c r="B15" s="64" t="str">
        <f>VLOOKUP(C15,'Status Thresholds'!B:C,2,FALSE)</f>
        <v>MHGen</v>
      </c>
      <c r="C15" s="46" t="str">
        <f>IF(ISBLANK('KO Calc'!C11)=TRUE,"",'KO Calc'!C11)</f>
        <v>Agnaktor</v>
      </c>
      <c r="D15" s="78" t="s">
        <v>213</v>
      </c>
      <c r="E15" s="62" t="str">
        <f t="shared" si="1"/>
        <v>AgnaktorPitfall Trap</v>
      </c>
      <c r="F15" t="s">
        <v>12</v>
      </c>
      <c r="G15" s="36" t="str">
        <f t="shared" si="2"/>
        <v>AgnaktorCrag 2</v>
      </c>
      <c r="H15" s="36" t="str">
        <f>IF(AND($Q$1=FALSE,$S$3=FALSE),"-",IF(AND($Q$1=TRUE,$S$3=TRUE),"-",IF(AND($Q$1=FALSE,$S$3=FALSE),"-",IF(AND($Q$1=TRUE,$S$1=TRUE,$S$4=FALSE)=TRUE,IF(OR($Q$4=TRUE,$Q$5=TRUE,$S$2=TRUE),VLOOKUP($G15,'KO Calc'!$H:$AW,12,FALSE),VLOOKUP($G15,'KO Calc'!$H12:$AW12,12,FALSE)),IF(AND($Q$1=TRUE,$S$4=FALSE),IF(OR($Q$4=TRUE,$Q$5=TRUE,$S$2=TRUE),VLOOKUP($G15,'KO Calc'!$H:$AW,2,FALSE),VLOOKUP($G15,'KO Calc'!$H12:$AW12,2,FALSE)),
IF(AND($Q$1=TRUE,$S$1=TRUE,$S$4=TRUE)=TRUE,IF(OR($Q$4=TRUE,$Q$5=TRUE,$S$2=TRUE),VLOOKUP($G15,'KO Calc'!$H:$AW,17,FALSE),VLOOKUP($G15,'KO Calc'!$H12:$AW12,17,FALSE)),IF(AND($Q$1=TRUE,$S$4=TRUE),IF(OR($Q$4=TRUE,$Q$5=TRUE,$S$2=TRUE),VLOOKUP($G15,'KO Calc'!$H:$AW,7,FALSE),VLOOKUP($G15,'KO Calc'!$H12:$AW12,7,FALSE)),
IF(AND($S$3=TRUE,$S$1=TRUE,$S$4=FALSE)=TRUE,IF(OR($Q$4=TRUE,$Q$5=TRUE,$S$2=TRUE),VLOOKUP($G15,'KO Calc'!$H:$AW,32,FALSE),VLOOKUP($G15,'KO Calc'!$H12:$AW12,32,FALSE)),IF(AND($S$3=TRUE,$S$4=FALSE),IF(OR($Q$4=TRUE,$Q$5=TRUE,$S$2=TRUE),VLOOKUP($G15,'KO Calc'!$H:$AW,22,FALSE),VLOOKUP($G15,'KO Calc'!$H12:$AW12,22,FALSE)),
IF(AND($S$3=TRUE,$S$1=TRUE,$S$4=TRUE)=TRUE,IF(OR($Q$4=TRUE,$Q$5=TRUE,$S$2=TRUE),VLOOKUP($G15,'KO Calc'!$H:$AW,37,FALSE),VLOOKUP($G15,'KO Calc'!$H12:$AW12,37,FALSE)),IF(AND($S$3=TRUE,$S$4=TRUE),IF(OR($Q$4=TRUE,$Q$5=TRUE,$S$2=TRUE),VLOOKUP($G15,'KO Calc'!$H:$AW,27,FALSE),VLOOKUP($G15,'KO Calc'!$H12:$AW12,27,FALSE)))))))))))))</f>
        <v>-</v>
      </c>
      <c r="I15" s="36" t="str">
        <f>IF(AND($Q$1=FALSE,$S$3=FALSE),"-",IF(AND($Q$1=TRUE,$S$3=TRUE),"-",IF(AND($Q$1=FALSE,$S$3=FALSE),"-",IF(AND($Q$1=TRUE,$S$1=TRUE,$S$4=FALSE)=TRUE,IF(OR($Q$4=TRUE,$Q$5=TRUE,$S$2=TRUE),VLOOKUP($G15,'KO Calc'!$H:$AW,13,FALSE),VLOOKUP($G15,'KO Calc'!$H12:$AW12,13,FALSE)),IF(AND($Q$1=TRUE,$S$4=FALSE),IF(OR($Q$4=TRUE,$Q$5=TRUE,$S$2=TRUE),VLOOKUP($G15,'KO Calc'!$H:$AW,3,FALSE),VLOOKUP($G15,'KO Calc'!$H12:$AW12,3,FALSE)),
IF(AND($Q$1=TRUE,$S$1=TRUE,$S$4=TRUE)=TRUE,IF(OR($Q$4=TRUE,$Q$5=TRUE,$S$2=TRUE),VLOOKUP($G15,'KO Calc'!$H:$AW,18,FALSE),VLOOKUP($G15,'KO Calc'!$H12:$AW12,18,FALSE)),IF(AND($Q$1=TRUE,$S$4=TRUE),IF(OR($Q$4=TRUE,$Q$5=TRUE,$S$2=TRUE),VLOOKUP($G15,'KO Calc'!$H:$AW,8,FALSE),VLOOKUP($G15,'KO Calc'!$H12:$AW12,8,FALSE)),
IF(AND($S$3=TRUE,$S$1=TRUE,$S$4=FALSE)=TRUE,IF(OR($Q$4=TRUE,$Q$5=TRUE,$S$2=TRUE),VLOOKUP($G15,'KO Calc'!$H:$AW,33,FALSE),VLOOKUP($G15,'KO Calc'!$H12:$AW12,33,FALSE)),IF(AND($S$3=TRUE,$S$4=FALSE),IF(OR($Q$4=TRUE,$Q$5=TRUE,$S$2=TRUE),VLOOKUP($G15,'KO Calc'!$H:$AW,23,FALSE),VLOOKUP($G15,'KO Calc'!$H12:$AW12,23,FALSE)),
IF(AND($S$3=TRUE,$S$1=TRUE,$S$4=TRUE)=TRUE,IF(OR($Q$4=TRUE,$Q$5=TRUE,$S$2=TRUE),VLOOKUP($G15,'KO Calc'!$H:$AW,38,FALSE),VLOOKUP($G15,'KO Calc'!$H12:$AW12,38,FALSE)),IF(AND($S$3=TRUE,$S$4=TRUE),IF(OR($Q$4=TRUE,$Q$5=TRUE,$S$2=TRUE),VLOOKUP($G15,'KO Calc'!$H:$AW,28,FALSE),VLOOKUP($G15,'KO Calc'!$H12:$AW12,28,FALSE)))))))))))))</f>
        <v>-</v>
      </c>
      <c r="J15" s="36" t="str">
        <f>IF(AND($Q$1=FALSE,$S$3=FALSE),"-",IF(AND($Q$1=TRUE,$S$3=TRUE),"-",IF(AND($Q$1=FALSE,$S$3=FALSE),"-",IF(AND($Q$1=TRUE,$S$1=TRUE,$S$4=FALSE)=TRUE,IF(OR($Q$4=TRUE,$Q$5=TRUE,$S$2=TRUE),VLOOKUP($G15,'KO Calc'!$H:$AW,FALSE),VLOOKUP($G15,'KO Calc'!$H12:$AW12,14,FALSE)),IF(AND($Q$1=TRUE,$S$4=FALSE),IF(OR($Q$4=TRUE,$Q$5=TRUE,$S$2=TRUE),VLOOKUP($G15,'KO Calc'!$H:$AW,4,FALSE),VLOOKUP($G15,'KO Calc'!$H12:$AW12,4,FALSE)),
IF(AND($Q$1=TRUE,$S$1=TRUE,$S$4=TRUE)=TRUE,IF(OR($Q$4=TRUE,$Q$5=TRUE,$S$2=TRUE),VLOOKUP($G15,'KO Calc'!$H:$AW,19,FALSE),VLOOKUP($G15,'KO Calc'!$H12:$AW12,19,FALSE)),IF(AND($Q$1=TRUE,$S$4=TRUE),IF(OR($Q$4=TRUE,$Q$5=TRUE,$S$2=TRUE),VLOOKUP($G15,'KO Calc'!$H:$AW,9,FALSE),VLOOKUP($G15,'KO Calc'!$H12:$AW12,9,FALSE)),
IF(AND($S$3=TRUE,$S$1=TRUE,$S$4=FALSE)=TRUE,IF(OR($Q$4=TRUE,$Q$5=TRUE,$S$2=TRUE),VLOOKUP($G15,'KO Calc'!$H:$AW,34,FALSE),VLOOKUP($G15,'KO Calc'!$H12:$AW12,34,FALSE)),IF(AND($S$3=TRUE,$S$4=FALSE),IF(OR($Q$4=TRUE,$Q$5=TRUE,$S$2=TRUE),VLOOKUP($G15,'KO Calc'!$H:$AW,24,FALSE),VLOOKUP($G15,'KO Calc'!$H12:$AW12,24,FALSE)),
IF(AND($S$3=TRUE,$S$1=TRUE,$S$4=TRUE)=TRUE,IF(OR($Q$4=TRUE,$Q$5=TRUE,$S$2=TRUE),VLOOKUP($G15,'KO Calc'!$H:$AW,39,FALSE),VLOOKUP($G15,'KO Calc'!$H12:$AW12,39,FALSE)),IF(AND($S$3=TRUE,$S$4=TRUE),IF(OR($Q$4=TRUE,$Q$5=TRUE,$S$2=TRUE),VLOOKUP($G15,'KO Calc'!$H:$AW,29,FALSE),VLOOKUP($G15,'KO Calc'!$H12:$AW12,29,FALSE)))))))))))))</f>
        <v>-</v>
      </c>
      <c r="K15" s="36" t="str">
        <f>IF(AND($Q$1=FALSE,$S$3=FALSE),"-",IF(AND($Q$1=TRUE,$S$3=TRUE),"-",IF(AND($Q$1=FALSE,$S$3=FALSE),"-",IF(AND($Q$1=TRUE,$S$1=TRUE,$S$4=FALSE)=TRUE,IF(OR($Q$4=TRUE,$Q$5=TRUE,$S$2=TRUE),VLOOKUP($G15,'KO Calc'!$H:$AW,15,FALSE),VLOOKUP($G15,'KO Calc'!$H12:$AW12,15,FALSE)),IF(AND($Q$1=TRUE,$S$4=FALSE),IF(OR($Q$4=TRUE,$Q$5=TRUE,$S$2=TRUE),VLOOKUP($G15,'KO Calc'!$H:$AW,5,FALSE),VLOOKUP($G15,'KO Calc'!$H12:$AW12,5,FALSE)),
IF(AND($Q$1=TRUE,$S$1=TRUE,$S$4=TRUE)=TRUE,IF(OR($Q$4=TRUE,$Q$5=TRUE,$S$2=TRUE),VLOOKUP($G15,'KO Calc'!$H:$AW,20,FALSE),VLOOKUP($G15,'KO Calc'!$H12:$AW12,20,FALSE)),IF(AND($Q$1=TRUE,$S$4=TRUE),IF(OR($Q$4=TRUE,$Q$5=TRUE,$S$2=TRUE),VLOOKUP($G15,'KO Calc'!$H:$AW,10,FALSE),VLOOKUP($G15,'KO Calc'!$H12:$AW12,10,FALSE)),
IF(AND($S$3=TRUE,$S$1=TRUE,$S$4=FALSE)=TRUE,IF(OR($Q$4=TRUE,$Q$5=TRUE,$S$2=TRUE),VLOOKUP($G15,'KO Calc'!$H:$AW,35,FALSE),VLOOKUP($G15,'KO Calc'!$H12:$AW12,35,FALSE)),IF(AND($S$3=TRUE,$S$4=FALSE),IF(OR($Q$4=TRUE,$Q$5=TRUE,$S$2=TRUE),VLOOKUP($G15,'KO Calc'!$H:$AW,25,FALSE),VLOOKUP($G15,'KO Calc'!$H12:$AW12,25,FALSE)),
IF(AND($S$3=TRUE,$S$1=TRUE,$S$4=TRUE)=TRUE,IF(OR($Q$4=TRUE,$Q$5=TRUE,$S$2=TRUE),VLOOKUP($G15,'KO Calc'!$H:$AW,40,FALSE),VLOOKUP($G15,'KO Calc'!$H12:$AW12,40,FALSE)),IF(AND($S$3=TRUE,$S$4=TRUE),IF(OR($Q$4=TRUE,$Q$5=TRUE,$S$2=TRUE),VLOOKUP($G15,'KO Calc'!$H:$AW,30,FALSE),VLOOKUP($G15,'KO Calc'!$H12:$AW12,30,FALSE)))))))))))))</f>
        <v>-</v>
      </c>
      <c r="L15" s="36" t="str">
        <f>IFERROR(IF(AND($Q$1=FALSE,$S$3=FALSE),"-",VLOOKUP($E15,'Status Thresholds'!$E:$AU,43,FALSE)),"-")</f>
        <v>-</v>
      </c>
      <c r="M15" s="36" t="str">
        <f>IFERROR(IF(AND($Q$1=FALSE,$S$3=FALSE),"-",VLOOKUP($E15,'Status Thresholds'!$E:$AU,41,FALSE)),"-")</f>
        <v>-</v>
      </c>
      <c r="N15" s="36" t="str">
        <f>IFERROR(IF(AND($Q$1=FALSE,$S$3=FALSE),"-",VLOOKUP($E15,'Status Thresholds'!$E:$AU,42,FALSE)),"-")</f>
        <v>-</v>
      </c>
    </row>
    <row r="16" spans="1:19" x14ac:dyDescent="0.25">
      <c r="B16" s="64" t="str">
        <f>VLOOKUP(C16,'Status Thresholds'!B:C,2,FALSE)</f>
        <v>MHGen</v>
      </c>
      <c r="C16" s="46" t="str">
        <f>IF(ISBLANK('KO Calc'!C12)=TRUE,"",'KO Calc'!C12)</f>
        <v>Agnaktor</v>
      </c>
      <c r="D16" s="78"/>
      <c r="E16" s="62" t="str">
        <f t="shared" si="1"/>
        <v>Agnaktor</v>
      </c>
      <c r="F16" t="s">
        <v>11</v>
      </c>
      <c r="G16" s="36" t="str">
        <f t="shared" si="2"/>
        <v>AgnaktorCrag 1</v>
      </c>
      <c r="H16" s="36" t="str">
        <f>IF(AND($Q$1=FALSE,$S$3=FALSE),"-",IF(AND($Q$1=TRUE,$S$3=TRUE),"-",IF(AND($Q$1=FALSE,$S$3=FALSE),"-",IF(AND($Q$1=TRUE,$S$1=TRUE,$S$4=FALSE)=TRUE,IF(OR($Q$4=TRUE,$Q$5=TRUE,$S$2=TRUE),VLOOKUP($G16,'KO Calc'!$H:$AW,12,FALSE),VLOOKUP($G16,'KO Calc'!$H13:$AW13,12,FALSE)),IF(AND($Q$1=TRUE,$S$4=FALSE),IF(OR($Q$4=TRUE,$Q$5=TRUE,$S$2=TRUE),VLOOKUP($G16,'KO Calc'!$H:$AW,2,FALSE),VLOOKUP($G16,'KO Calc'!$H13:$AW13,2,FALSE)),
IF(AND($Q$1=TRUE,$S$1=TRUE,$S$4=TRUE)=TRUE,IF(OR($Q$4=TRUE,$Q$5=TRUE,$S$2=TRUE),VLOOKUP($G16,'KO Calc'!$H:$AW,17,FALSE),VLOOKUP($G16,'KO Calc'!$H13:$AW13,17,FALSE)),IF(AND($Q$1=TRUE,$S$4=TRUE),IF(OR($Q$4=TRUE,$Q$5=TRUE,$S$2=TRUE),VLOOKUP($G16,'KO Calc'!$H:$AW,7,FALSE),VLOOKUP($G16,'KO Calc'!$H13:$AW13,7,FALSE)),
IF(AND($S$3=TRUE,$S$1=TRUE,$S$4=FALSE)=TRUE,IF(OR($Q$4=TRUE,$Q$5=TRUE,$S$2=TRUE),VLOOKUP($G16,'KO Calc'!$H:$AW,32,FALSE),VLOOKUP($G16,'KO Calc'!$H13:$AW13,32,FALSE)),IF(AND($S$3=TRUE,$S$4=FALSE),IF(OR($Q$4=TRUE,$Q$5=TRUE,$S$2=TRUE),VLOOKUP($G16,'KO Calc'!$H:$AW,22,FALSE),VLOOKUP($G16,'KO Calc'!$H13:$AW13,22,FALSE)),
IF(AND($S$3=TRUE,$S$1=TRUE,$S$4=TRUE)=TRUE,IF(OR($Q$4=TRUE,$Q$5=TRUE,$S$2=TRUE),VLOOKUP($G16,'KO Calc'!$H:$AW,37,FALSE),VLOOKUP($G16,'KO Calc'!$H13:$AW13,37,FALSE)),IF(AND($S$3=TRUE,$S$4=TRUE),IF(OR($Q$4=TRUE,$Q$5=TRUE,$S$2=TRUE),VLOOKUP($G16,'KO Calc'!$H:$AW,27,FALSE),VLOOKUP($G16,'KO Calc'!$H13:$AW13,27,FALSE)))))))))))))</f>
        <v>-</v>
      </c>
      <c r="I16" s="36" t="str">
        <f>IF(AND($Q$1=FALSE,$S$3=FALSE),"-",IF(AND($Q$1=TRUE,$S$3=TRUE),"-",IF(AND($Q$1=FALSE,$S$3=FALSE),"-",IF(AND($Q$1=TRUE,$S$1=TRUE,$S$4=FALSE)=TRUE,IF(OR($Q$4=TRUE,$Q$5=TRUE,$S$2=TRUE),VLOOKUP($G16,'KO Calc'!$H:$AW,13,FALSE),VLOOKUP($G16,'KO Calc'!$H13:$AW13,13,FALSE)),IF(AND($Q$1=TRUE,$S$4=FALSE),IF(OR($Q$4=TRUE,$Q$5=TRUE,$S$2=TRUE),VLOOKUP($G16,'KO Calc'!$H:$AW,3,FALSE),VLOOKUP($G16,'KO Calc'!$H13:$AW13,3,FALSE)),
IF(AND($Q$1=TRUE,$S$1=TRUE,$S$4=TRUE)=TRUE,IF(OR($Q$4=TRUE,$Q$5=TRUE,$S$2=TRUE),VLOOKUP($G16,'KO Calc'!$H:$AW,18,FALSE),VLOOKUP($G16,'KO Calc'!$H13:$AW13,18,FALSE)),IF(AND($Q$1=TRUE,$S$4=TRUE),IF(OR($Q$4=TRUE,$Q$5=TRUE,$S$2=TRUE),VLOOKUP($G16,'KO Calc'!$H:$AW,8,FALSE),VLOOKUP($G16,'KO Calc'!$H13:$AW13,8,FALSE)),
IF(AND($S$3=TRUE,$S$1=TRUE,$S$4=FALSE)=TRUE,IF(OR($Q$4=TRUE,$Q$5=TRUE,$S$2=TRUE),VLOOKUP($G16,'KO Calc'!$H:$AW,33,FALSE),VLOOKUP($G16,'KO Calc'!$H13:$AW13,33,FALSE)),IF(AND($S$3=TRUE,$S$4=FALSE),IF(OR($Q$4=TRUE,$Q$5=TRUE,$S$2=TRUE),VLOOKUP($G16,'KO Calc'!$H:$AW,23,FALSE),VLOOKUP($G16,'KO Calc'!$H13:$AW13,23,FALSE)),
IF(AND($S$3=TRUE,$S$1=TRUE,$S$4=TRUE)=TRUE,IF(OR($Q$4=TRUE,$Q$5=TRUE,$S$2=TRUE),VLOOKUP($G16,'KO Calc'!$H:$AW,38,FALSE),VLOOKUP($G16,'KO Calc'!$H13:$AW13,38,FALSE)),IF(AND($S$3=TRUE,$S$4=TRUE),IF(OR($Q$4=TRUE,$Q$5=TRUE,$S$2=TRUE),VLOOKUP($G16,'KO Calc'!$H:$AW,28,FALSE),VLOOKUP($G16,'KO Calc'!$H13:$AW13,28,FALSE)))))))))))))</f>
        <v>-</v>
      </c>
      <c r="J16" s="36" t="str">
        <f>IF(AND($Q$1=FALSE,$S$3=FALSE),"-",IF(AND($Q$1=TRUE,$S$3=TRUE),"-",IF(AND($Q$1=FALSE,$S$3=FALSE),"-",IF(AND($Q$1=TRUE,$S$1=TRUE,$S$4=FALSE)=TRUE,IF(OR($Q$4=TRUE,$Q$5=TRUE,$S$2=TRUE),VLOOKUP($G16,'KO Calc'!$H:$AW,FALSE),VLOOKUP($G16,'KO Calc'!$H13:$AW13,14,FALSE)),IF(AND($Q$1=TRUE,$S$4=FALSE),IF(OR($Q$4=TRUE,$Q$5=TRUE,$S$2=TRUE),VLOOKUP($G16,'KO Calc'!$H:$AW,4,FALSE),VLOOKUP($G16,'KO Calc'!$H13:$AW13,4,FALSE)),
IF(AND($Q$1=TRUE,$S$1=TRUE,$S$4=TRUE)=TRUE,IF(OR($Q$4=TRUE,$Q$5=TRUE,$S$2=TRUE),VLOOKUP($G16,'KO Calc'!$H:$AW,19,FALSE),VLOOKUP($G16,'KO Calc'!$H13:$AW13,19,FALSE)),IF(AND($Q$1=TRUE,$S$4=TRUE),IF(OR($Q$4=TRUE,$Q$5=TRUE,$S$2=TRUE),VLOOKUP($G16,'KO Calc'!$H:$AW,9,FALSE),VLOOKUP($G16,'KO Calc'!$H13:$AW13,9,FALSE)),
IF(AND($S$3=TRUE,$S$1=TRUE,$S$4=FALSE)=TRUE,IF(OR($Q$4=TRUE,$Q$5=TRUE,$S$2=TRUE),VLOOKUP($G16,'KO Calc'!$H:$AW,34,FALSE),VLOOKUP($G16,'KO Calc'!$H13:$AW13,34,FALSE)),IF(AND($S$3=TRUE,$S$4=FALSE),IF(OR($Q$4=TRUE,$Q$5=TRUE,$S$2=TRUE),VLOOKUP($G16,'KO Calc'!$H:$AW,24,FALSE),VLOOKUP($G16,'KO Calc'!$H13:$AW13,24,FALSE)),
IF(AND($S$3=TRUE,$S$1=TRUE,$S$4=TRUE)=TRUE,IF(OR($Q$4=TRUE,$Q$5=TRUE,$S$2=TRUE),VLOOKUP($G16,'KO Calc'!$H:$AW,39,FALSE),VLOOKUP($G16,'KO Calc'!$H13:$AW13,39,FALSE)),IF(AND($S$3=TRUE,$S$4=TRUE),IF(OR($Q$4=TRUE,$Q$5=TRUE,$S$2=TRUE),VLOOKUP($G16,'KO Calc'!$H:$AW,29,FALSE),VLOOKUP($G16,'KO Calc'!$H13:$AW13,29,FALSE)))))))))))))</f>
        <v>-</v>
      </c>
      <c r="K16" s="36" t="str">
        <f>IF(AND($Q$1=FALSE,$S$3=FALSE),"-",IF(AND($Q$1=TRUE,$S$3=TRUE),"-",IF(AND($Q$1=FALSE,$S$3=FALSE),"-",IF(AND($Q$1=TRUE,$S$1=TRUE,$S$4=FALSE)=TRUE,IF(OR($Q$4=TRUE,$Q$5=TRUE,$S$2=TRUE),VLOOKUP($G16,'KO Calc'!$H:$AW,15,FALSE),VLOOKUP($G16,'KO Calc'!$H13:$AW13,15,FALSE)),IF(AND($Q$1=TRUE,$S$4=FALSE),IF(OR($Q$4=TRUE,$Q$5=TRUE,$S$2=TRUE),VLOOKUP($G16,'KO Calc'!$H:$AW,5,FALSE),VLOOKUP($G16,'KO Calc'!$H13:$AW13,5,FALSE)),
IF(AND($Q$1=TRUE,$S$1=TRUE,$S$4=TRUE)=TRUE,IF(OR($Q$4=TRUE,$Q$5=TRUE,$S$2=TRUE),VLOOKUP($G16,'KO Calc'!$H:$AW,20,FALSE),VLOOKUP($G16,'KO Calc'!$H13:$AW13,20,FALSE)),IF(AND($Q$1=TRUE,$S$4=TRUE),IF(OR($Q$4=TRUE,$Q$5=TRUE,$S$2=TRUE),VLOOKUP($G16,'KO Calc'!$H:$AW,10,FALSE),VLOOKUP($G16,'KO Calc'!$H13:$AW13,10,FALSE)),
IF(AND($S$3=TRUE,$S$1=TRUE,$S$4=FALSE)=TRUE,IF(OR($Q$4=TRUE,$Q$5=TRUE,$S$2=TRUE),VLOOKUP($G16,'KO Calc'!$H:$AW,35,FALSE),VLOOKUP($G16,'KO Calc'!$H13:$AW13,35,FALSE)),IF(AND($S$3=TRUE,$S$4=FALSE),IF(OR($Q$4=TRUE,$Q$5=TRUE,$S$2=TRUE),VLOOKUP($G16,'KO Calc'!$H:$AW,25,FALSE),VLOOKUP($G16,'KO Calc'!$H13:$AW13,25,FALSE)),
IF(AND($S$3=TRUE,$S$1=TRUE,$S$4=TRUE)=TRUE,IF(OR($Q$4=TRUE,$Q$5=TRUE,$S$2=TRUE),VLOOKUP($G16,'KO Calc'!$H:$AW,40,FALSE),VLOOKUP($G16,'KO Calc'!$H13:$AW13,40,FALSE)),IF(AND($S$3=TRUE,$S$4=TRUE),IF(OR($Q$4=TRUE,$Q$5=TRUE,$S$2=TRUE),VLOOKUP($G16,'KO Calc'!$H:$AW,30,FALSE),VLOOKUP($G16,'KO Calc'!$H13:$AW13,30,FALSE)))))))))))))</f>
        <v>-</v>
      </c>
      <c r="L16" s="36" t="str">
        <f>IFERROR(VLOOKUP($E16,'Status Thresholds'!$E:$AS,41,FALSE),"-")</f>
        <v>-</v>
      </c>
    </row>
    <row r="17" spans="1:14" x14ac:dyDescent="0.25">
      <c r="B17" s="64" t="str">
        <f>VLOOKUP(C17,'Status Thresholds'!B:C,2,FALSE)</f>
        <v>MHGen</v>
      </c>
      <c r="C17" s="46" t="str">
        <f>IF(ISBLANK('KO Calc'!C13)=TRUE,"",'KO Calc'!C13)</f>
        <v>Agnaktor</v>
      </c>
      <c r="D17" s="78"/>
      <c r="E17" s="62"/>
      <c r="G17" s="36"/>
      <c r="H17" s="36"/>
      <c r="I17" s="36"/>
      <c r="J17" s="36"/>
      <c r="K17" s="36"/>
      <c r="L17" s="36" t="str">
        <f>IFERROR(VLOOKUP($E17,'Status Thresholds'!$E:$AS,41,FALSE),"-")</f>
        <v>-</v>
      </c>
    </row>
    <row r="18" spans="1:14" s="36" customFormat="1" x14ac:dyDescent="0.25">
      <c r="B18" s="64" t="str">
        <f>VLOOKUP(C18,'Status Thresholds'!B:C,2,FALSE)</f>
        <v>MHGU</v>
      </c>
      <c r="C18" s="46" t="str">
        <f>IF(ISBLANK('KO Calc'!C14)=TRUE,"",'KO Calc'!C14)</f>
        <v>Ahtal-Ka</v>
      </c>
      <c r="D18" s="65" t="s">
        <v>0</v>
      </c>
      <c r="E18" s="62" t="str">
        <f t="shared" si="1"/>
        <v>Ahtal-KaPara</v>
      </c>
      <c r="F18" s="36" t="s">
        <v>2</v>
      </c>
      <c r="G18" s="36" t="str">
        <f t="shared" si="2"/>
        <v>Ahtal-KaPara lvl 2</v>
      </c>
      <c r="H18" s="36" t="str">
        <f>IFERROR(ROUNDUP(IF(AND($Q$1=FALSE,$S$3=FALSE),"-",IF(AND($Q$1=TRUE,$S$3=TRUE),"-",IF(AND($Q$1=TRUE,$S$1=TRUE,$S$4=FALSE),VLOOKUP($E18,'Status Thresholds'!$E:$AS,12,FALSE),IF(AND($Q$1=TRUE,$S$4=FALSE),VLOOKUP($E18,'Status Thresholds'!$E:$AS,2,FALSE), IF(AND($Q$1=TRUE,$S$1=TRUE,$S$4=TRUE),VLOOKUP($E18,'Status Thresholds'!$E:$AS,17,FALSE),IF(AND($Q$1=TRUE,$S$4=TRUE),VLOOKUP($E18,'Status Thresholds'!$E:$AS,7,FALSE),IF(AND($S$3=TRUE,$S$1=TRUE,$S$4=FALSE),VLOOKUP($E18,'Status Thresholds'!$E:$AS,32,FALSE),IF(AND($S$3=TRUE,$S$4=FALSE),VLOOKUP($E18,'Status Thresholds'!$E:$AS,22,FALSE),IF(AND($S$3=TRUE,$S$1=TRUE,$S$4=TRUE),VLOOKUP($E18,'Status Thresholds'!$E:$AS,37,FALSE),IF(AND($S$3=TRUE,$S$4=TRUE),VLOOKUP($E18,'Status Thresholds'!$E:$AS,27,FALSE),""))))))))/IF(OR($Q$3=TRUE,AND($Q$2=TRUE,$Q$7=TRUE),AND($Q$3=TRUE,$Q$7=TRUE))=TRUE,'Shots and Status'!$F$5,IF((OR($Q$2,$Q$7)=TRUE),'Shots and Status'!$D$5,'Shots and Status'!$C$5)))),0),"-")</f>
        <v>-</v>
      </c>
      <c r="I18" s="36" t="str">
        <f>IFERROR(ROUNDUP(IF(AND($Q$1=FALSE,$S$3=FALSE),"-",IF(AND($Q$1=TRUE,$S$3=TRUE),"-",IF(AND($Q$1=TRUE,$S$1=TRUE,$S$4=FALSE),VLOOKUP($E18,'Status Thresholds'!$E:$AS,13,FALSE),IF(AND($Q$1=TRUE,$S$4=FALSE),VLOOKUP($E18,'Status Thresholds'!$E:$AS,3,FALSE), IF(AND($Q$1=TRUE,$S$1=TRUE,$S$4=TRUE),VLOOKUP($E18,'Status Thresholds'!$E:$AS,18,FALSE),IF(AND($Q$1=TRUE,$S$4=TRUE),VLOOKUP($E18,'Status Thresholds'!$E:$AS,8,FALSE),IF(AND($S$3=TRUE,$S$1=TRUE,$S$4=FALSE),VLOOKUP($E18,'Status Thresholds'!$E:$AS,33,FALSE),IF(AND($S$3=TRUE,$S$4=FALSE),VLOOKUP($E18,'Status Thresholds'!$E:$AS,23,FALSE),IF(AND($S$3=TRUE,$S$1=TRUE,$S$4=TRUE),VLOOKUP($E18,'Status Thresholds'!$E:$AS,38,FALSE),IF(AND($S$3=TRUE,$S$4=TRUE),VLOOKUP($E18,'Status Thresholds'!$E:$AS,28,FALSE),""))))))))/IF(OR($Q$3=TRUE,AND($Q$2=TRUE,$Q$7=TRUE),AND($Q$3=TRUE,$Q$7=TRUE))=TRUE,'Shots and Status'!$F$5,IF((OR($Q$2,$Q$7)=TRUE),'Shots and Status'!$D$5,'Shots and Status'!$C$5)))),0),"-")</f>
        <v>-</v>
      </c>
      <c r="J18" s="36" t="str">
        <f>IFERROR(ROUNDUP(IF(AND($Q$1=FALSE,$S$3=FALSE),"-",IF(AND($Q$1=TRUE,$S$3=TRUE),"-",IF(AND($Q$1=TRUE,$S$1=TRUE,$S$4=FALSE),VLOOKUP($E18,'Status Thresholds'!$E:$AS,14,FALSE),IF(AND($Q$1=TRUE,$S$4=FALSE),VLOOKUP($E18,'Status Thresholds'!$E:$AS,4,FALSE), IF(AND($Q$1=TRUE,$S$1=TRUE,$S$4=TRUE),VLOOKUP($E18,'Status Thresholds'!$E:$AS,19,FALSE),IF(AND($Q$1=TRUE,$S$4=TRUE),VLOOKUP($E18,'Status Thresholds'!$E:$AS,9,FALSE),IF(AND($S$3=TRUE,$S$1=TRUE,$S$4=FALSE),VLOOKUP($E18,'Status Thresholds'!$E:$AS,34,FALSE),IF(AND($S$3=TRUE,$S$4=FALSE),VLOOKUP($E18,'Status Thresholds'!$E:$AS,24,FALSE),IF(AND($S$3=TRUE,$S$1=TRUE,$S$4=TRUE),VLOOKUP($E18,'Status Thresholds'!$E:$AS,39,FALSE),IF(AND($S$3=TRUE,$S$4=TRUE),VLOOKUP($E18,'Status Thresholds'!$E:$AS,29,FALSE),""))))))))/IF(OR($Q$3=TRUE,AND($Q$2=TRUE,$Q$7=TRUE),AND($Q$3=TRUE,$Q$7=TRUE))=TRUE,'Shots and Status'!$F$5,IF((OR($Q$2,$Q$7)=TRUE),'Shots and Status'!$D$5,'Shots and Status'!$C$5)))),0),"-")</f>
        <v>-</v>
      </c>
      <c r="K18" s="36" t="str">
        <f>IFERROR(ROUNDUP(IF(AND($Q$1=FALSE,$S$3=FALSE),"-",IF(AND($Q$1=TRUE,$S$3=TRUE),"-",IF(AND($Q$1=TRUE,$S$1=TRUE,$S$4=FALSE),VLOOKUP($E18,'Status Thresholds'!$E:$AS,15,FALSE),IF(AND($Q$1=TRUE,$S$4=FALSE),VLOOKUP($E18,'Status Thresholds'!$E:$AS,5,FALSE), IF(AND($Q$1=TRUE,$S$1=TRUE,$S$4=TRUE),VLOOKUP($E18,'Status Thresholds'!$E:$AS,20,FALSE),IF(AND($Q$1=TRUE,$S$4=TRUE),VLOOKUP($E18,'Status Thresholds'!$E:$AS,10,FALSE),IF(AND($S$3=TRUE,$S$1=TRUE,$S$4=FALSE),VLOOKUP($E18,'Status Thresholds'!$E:$AS,35,FALSE),IF(AND($S$3=TRUE,$S$4=FALSE),VLOOKUP($E18,'Status Thresholds'!$E:$AS,25,FALSE),IF(AND($S$3=TRUE,$S$1=TRUE,$S$4=TRUE),VLOOKUP($E18,'Status Thresholds'!$E:$AS,40,FALSE),IF(AND($S$3=TRUE,$S$4=TRUE),VLOOKUP($E18,'Status Thresholds'!$E:$AS,30,FALSE),""))))))))/IF(OR($Q$3=TRUE,AND($Q$2=TRUE,$Q$7=TRUE),AND($Q$3=TRUE,$Q$7=TRUE))=TRUE,'Shots and Status'!$F$5,IF((OR($Q$2,$Q$7)=TRUE),'Shots and Status'!$D$5,'Shots and Status'!$C$5)))),0),"-")</f>
        <v>-</v>
      </c>
      <c r="L18" s="36" t="str">
        <f>IFERROR(IF(AND($Q$1=FALSE,$S$3=FALSE),"-",VLOOKUP($E18,'Status Thresholds'!$E:$AU,41,FALSE)),"-")</f>
        <v>-</v>
      </c>
      <c r="M18" s="36" t="str">
        <f>IFERROR(IF(AND($Q$1=FALSE,$S$3=FALSE),"-",VLOOKUP($E18,'Status Thresholds'!$E:$AU,42,FALSE)),"-")</f>
        <v>-</v>
      </c>
      <c r="N18" s="36" t="str">
        <f>IFERROR(IF(AND($Q$1=FALSE,$S$3=FALSE),"-",VLOOKUP($E18,'Status Thresholds'!$E:$AU,43,FALSE)),"-")</f>
        <v>-</v>
      </c>
    </row>
    <row r="19" spans="1:14" s="59" customFormat="1" x14ac:dyDescent="0.25">
      <c r="A19" s="46"/>
      <c r="B19" s="64" t="str">
        <f>VLOOKUP(C19,'Status Thresholds'!B:C,2,FALSE)</f>
        <v>MHGU</v>
      </c>
      <c r="C19" s="46" t="str">
        <f>IF(ISBLANK('KO Calc'!C15)=TRUE,"",'KO Calc'!C15)</f>
        <v>Ahtal-Ka</v>
      </c>
      <c r="D19" s="60" t="s">
        <v>32</v>
      </c>
      <c r="E19" s="62" t="str">
        <f t="shared" si="1"/>
        <v>Ahtal-KaSleep</v>
      </c>
      <c r="F19" s="59" t="s">
        <v>5</v>
      </c>
      <c r="G19" s="36" t="str">
        <f t="shared" si="2"/>
        <v>Ahtal-KaSleep lvl 2</v>
      </c>
      <c r="H19" s="36" t="str">
        <f>IFERROR(ROUNDUP(IF(AND($Q$1=FALSE,$S$3=FALSE),"-",IF(AND($Q$1=TRUE,$S$3=TRUE),"-",IF(AND($Q$1=TRUE,$S$1=TRUE,$S$4=FALSE),VLOOKUP($E19,'Status Thresholds'!$E:$AS,12,FALSE),IF(AND($Q$1=TRUE,$S$4=FALSE),VLOOKUP($E19,'Status Thresholds'!$E:$AS,2,FALSE), IF(AND($Q$1=TRUE,$S$1=TRUE,$S$4=TRUE),VLOOKUP($E19,'Status Thresholds'!$E:$AS,17,FALSE),IF(AND($Q$1=TRUE,$S$4=TRUE),VLOOKUP($E19,'Status Thresholds'!$E:$AS,7,FALSE),IF(AND($S$3=TRUE,$S$1=TRUE,$S$4=FALSE),VLOOKUP($E19,'Status Thresholds'!$E:$AS,32,FALSE),IF(AND($S$3=TRUE,$S$4=FALSE),VLOOKUP($E19,'Status Thresholds'!$E:$AS,22,FALSE),IF(AND($S$3=TRUE,$S$1=TRUE,$S$4=TRUE),VLOOKUP($E19,'Status Thresholds'!$E:$AS,37,FALSE),IF(AND($S$3=TRUE,$S$4=TRUE),VLOOKUP($E19,'Status Thresholds'!$E:$AS,27,FALSE),""))))))))/IF(OR($Q$3=TRUE,AND($Q$2=TRUE,$Q$7=TRUE),AND($Q$3=TRUE,$Q$7=TRUE))=TRUE,'Shots and Status'!$F$5,IF((OR($Q$2,$Q$7)=TRUE),'Shots and Status'!$D$5,'Shots and Status'!$C$5)))),0),"-")</f>
        <v>-</v>
      </c>
      <c r="I19" s="36" t="str">
        <f>IFERROR(ROUNDUP(IF(AND($Q$1=FALSE,$S$3=FALSE),"-",IF(AND($Q$1=TRUE,$S$3=TRUE),"-",IF(AND($Q$1=TRUE,$S$1=TRUE,$S$4=FALSE),VLOOKUP($E19,'Status Thresholds'!$E:$AS,13,FALSE),IF(AND($Q$1=TRUE,$S$4=FALSE),VLOOKUP($E19,'Status Thresholds'!$E:$AS,3,FALSE), IF(AND($Q$1=TRUE,$S$1=TRUE,$S$4=TRUE),VLOOKUP($E19,'Status Thresholds'!$E:$AS,18,FALSE),IF(AND($Q$1=TRUE,$S$4=TRUE),VLOOKUP($E19,'Status Thresholds'!$E:$AS,8,FALSE),IF(AND($S$3=TRUE,$S$1=TRUE,$S$4=FALSE),VLOOKUP($E19,'Status Thresholds'!$E:$AS,33,FALSE),IF(AND($S$3=TRUE,$S$4=FALSE),VLOOKUP($E19,'Status Thresholds'!$E:$AS,23,FALSE),IF(AND($S$3=TRUE,$S$1=TRUE,$S$4=TRUE),VLOOKUP($E19,'Status Thresholds'!$E:$AS,38,FALSE),IF(AND($S$3=TRUE,$S$4=TRUE),VLOOKUP($E19,'Status Thresholds'!$E:$AS,28,FALSE),""))))))))/IF(OR($Q$3=TRUE,AND($Q$2=TRUE,$Q$7=TRUE),AND($Q$3=TRUE,$Q$7=TRUE))=TRUE,'Shots and Status'!$F$5,IF((OR($Q$2,$Q$7)=TRUE),'Shots and Status'!$D$5,'Shots and Status'!$C$5)))),0),"-")</f>
        <v>-</v>
      </c>
      <c r="J19" s="36" t="str">
        <f>IFERROR(ROUNDUP(IF(AND($Q$1=FALSE,$S$3=FALSE),"-",IF(AND($Q$1=TRUE,$S$3=TRUE),"-",IF(AND($Q$1=TRUE,$S$1=TRUE,$S$4=FALSE),VLOOKUP($E19,'Status Thresholds'!$E:$AS,14,FALSE),IF(AND($Q$1=TRUE,$S$4=FALSE),VLOOKUP($E19,'Status Thresholds'!$E:$AS,4,FALSE), IF(AND($Q$1=TRUE,$S$1=TRUE,$S$4=TRUE),VLOOKUP($E19,'Status Thresholds'!$E:$AS,19,FALSE),IF(AND($Q$1=TRUE,$S$4=TRUE),VLOOKUP($E19,'Status Thresholds'!$E:$AS,9,FALSE),IF(AND($S$3=TRUE,$S$1=TRUE,$S$4=FALSE),VLOOKUP($E19,'Status Thresholds'!$E:$AS,34,FALSE),IF(AND($S$3=TRUE,$S$4=FALSE),VLOOKUP($E19,'Status Thresholds'!$E:$AS,24,FALSE),IF(AND($S$3=TRUE,$S$1=TRUE,$S$4=TRUE),VLOOKUP($E19,'Status Thresholds'!$E:$AS,39,FALSE),IF(AND($S$3=TRUE,$S$4=TRUE),VLOOKUP($E19,'Status Thresholds'!$E:$AS,29,FALSE),""))))))))/IF(OR($Q$3=TRUE,AND($Q$2=TRUE,$Q$7=TRUE),AND($Q$3=TRUE,$Q$7=TRUE))=TRUE,'Shots and Status'!$F$5,IF((OR($Q$2,$Q$7)=TRUE),'Shots and Status'!$D$5,'Shots and Status'!$C$5)))),0),"-")</f>
        <v>-</v>
      </c>
      <c r="K19" s="36" t="str">
        <f>IFERROR(ROUNDUP(IF(AND($Q$1=FALSE,$S$3=FALSE),"-",IF(AND($Q$1=TRUE,$S$3=TRUE),"-",IF(AND($Q$1=TRUE,$S$1=TRUE,$S$4=FALSE),VLOOKUP($E19,'Status Thresholds'!$E:$AS,15,FALSE),IF(AND($Q$1=TRUE,$S$4=FALSE),VLOOKUP($E19,'Status Thresholds'!$E:$AS,5,FALSE), IF(AND($Q$1=TRUE,$S$1=TRUE,$S$4=TRUE),VLOOKUP($E19,'Status Thresholds'!$E:$AS,20,FALSE),IF(AND($Q$1=TRUE,$S$4=TRUE),VLOOKUP($E19,'Status Thresholds'!$E:$AS,10,FALSE),IF(AND($S$3=TRUE,$S$1=TRUE,$S$4=FALSE),VLOOKUP($E19,'Status Thresholds'!$E:$AS,35,FALSE),IF(AND($S$3=TRUE,$S$4=FALSE),VLOOKUP($E19,'Status Thresholds'!$E:$AS,25,FALSE),IF(AND($S$3=TRUE,$S$1=TRUE,$S$4=TRUE),VLOOKUP($E19,'Status Thresholds'!$E:$AS,40,FALSE),IF(AND($S$3=TRUE,$S$4=TRUE),VLOOKUP($E19,'Status Thresholds'!$E:$AS,30,FALSE),""))))))))/IF(OR($Q$3=TRUE,AND($Q$2=TRUE,$Q$7=TRUE),AND($Q$3=TRUE,$Q$7=TRUE))=TRUE,'Shots and Status'!$F$5,IF((OR($Q$2,$Q$7)=TRUE),'Shots and Status'!$D$5,'Shots and Status'!$C$5)))),0),"-")</f>
        <v>-</v>
      </c>
      <c r="L19" s="36" t="str">
        <f>IFERROR(IF(AND($Q$1=FALSE,$S$3=FALSE),"-",VLOOKUP($E19,'Status Thresholds'!$E:$AU,41,FALSE)),"-")</f>
        <v>-</v>
      </c>
      <c r="M19" s="36" t="str">
        <f>IFERROR(IF(AND($Q$1=FALSE,$S$3=FALSE),"-",VLOOKUP($E19,'Status Thresholds'!$E:$AU,42,FALSE)),"-")</f>
        <v>-</v>
      </c>
      <c r="N19" s="36" t="str">
        <f>IFERROR(IF(AND($Q$1=FALSE,$S$3=FALSE),"-",VLOOKUP($E19,'Status Thresholds'!$E:$AU,43,FALSE)),"-")</f>
        <v>-</v>
      </c>
    </row>
    <row r="20" spans="1:14" s="59" customFormat="1" x14ac:dyDescent="0.25">
      <c r="A20" s="46"/>
      <c r="B20" s="64" t="str">
        <f>VLOOKUP(C20,'Status Thresholds'!B:C,2,FALSE)</f>
        <v>MHGU</v>
      </c>
      <c r="C20" s="46" t="str">
        <f>IF(ISBLANK('KO Calc'!C16)=TRUE,"",'KO Calc'!C16)</f>
        <v>Ahtal-Ka</v>
      </c>
      <c r="D20" s="58" t="s">
        <v>33</v>
      </c>
      <c r="E20" s="62" t="str">
        <f t="shared" si="1"/>
        <v>Ahtal-KaPoison</v>
      </c>
      <c r="F20" s="59" t="s">
        <v>6</v>
      </c>
      <c r="G20" s="36" t="str">
        <f t="shared" si="2"/>
        <v>Ahtal-KaPoison lvl 2</v>
      </c>
      <c r="H20" s="36" t="str">
        <f>IFERROR(ROUNDUP(IF(AND($Q$1=FALSE,$S$3=FALSE),"-",IF(AND($Q$1=TRUE,$S$3=TRUE),"-",IF(AND($Q$1=TRUE,$S$1=TRUE,$S$4=FALSE),VLOOKUP($E20,'Status Thresholds'!$E:$AS,12,FALSE),IF(AND($Q$1=TRUE,$S$4=FALSE),VLOOKUP($E20,'Status Thresholds'!$E:$AS,2,FALSE), IF(AND($Q$1=TRUE,$S$1=TRUE,$S$4=TRUE),VLOOKUP($E20,'Status Thresholds'!$E:$AS,17,FALSE),IF(AND($Q$1=TRUE,$S$4=TRUE),VLOOKUP($E20,'Status Thresholds'!$E:$AS,7,FALSE),IF(AND($S$3=TRUE,$S$1=TRUE,$S$4=FALSE),VLOOKUP($E20,'Status Thresholds'!$E:$AS,32,FALSE),IF(AND($S$3=TRUE,$S$4=FALSE),VLOOKUP($E20,'Status Thresholds'!$E:$AS,22,FALSE),IF(AND($S$3=TRUE,$S$1=TRUE,$S$4=TRUE),VLOOKUP($E20,'Status Thresholds'!$E:$AS,37,FALSE),IF(AND($S$3=TRUE,$S$4=TRUE),VLOOKUP($E20,'Status Thresholds'!$E:$AS,27,FALSE),""))))))))/IF(OR($Q$3=TRUE,AND($Q$2=TRUE,$Q$7=TRUE),AND($Q$3=TRUE,$Q$7=TRUE))=TRUE,'Shots and Status'!$F$5,IF((OR($Q$2,$Q$7)=TRUE),'Shots and Status'!$D$5,'Shots and Status'!$C$5)))),0),"-")</f>
        <v>-</v>
      </c>
      <c r="I20" s="36" t="str">
        <f>IFERROR(ROUNDUP(IF(AND($Q$1=FALSE,$S$3=FALSE),"-",IF(AND($Q$1=TRUE,$S$3=TRUE),"-",IF(AND($Q$1=TRUE,$S$1=TRUE,$S$4=FALSE),VLOOKUP($E20,'Status Thresholds'!$E:$AS,13,FALSE),IF(AND($Q$1=TRUE,$S$4=FALSE),VLOOKUP($E20,'Status Thresholds'!$E:$AS,3,FALSE), IF(AND($Q$1=TRUE,$S$1=TRUE,$S$4=TRUE),VLOOKUP($E20,'Status Thresholds'!$E:$AS,18,FALSE),IF(AND($Q$1=TRUE,$S$4=TRUE),VLOOKUP($E20,'Status Thresholds'!$E:$AS,8,FALSE),IF(AND($S$3=TRUE,$S$1=TRUE,$S$4=FALSE),VLOOKUP($E20,'Status Thresholds'!$E:$AS,33,FALSE),IF(AND($S$3=TRUE,$S$4=FALSE),VLOOKUP($E20,'Status Thresholds'!$E:$AS,23,FALSE),IF(AND($S$3=TRUE,$S$1=TRUE,$S$4=TRUE),VLOOKUP($E20,'Status Thresholds'!$E:$AS,38,FALSE),IF(AND($S$3=TRUE,$S$4=TRUE),VLOOKUP($E20,'Status Thresholds'!$E:$AS,28,FALSE),""))))))))/IF(OR($Q$3=TRUE,AND($Q$2=TRUE,$Q$7=TRUE),AND($Q$3=TRUE,$Q$7=TRUE))=TRUE,'Shots and Status'!$F$5,IF((OR($Q$2,$Q$7)=TRUE),'Shots and Status'!$D$5,'Shots and Status'!$C$5)))),0),"-")</f>
        <v>-</v>
      </c>
      <c r="J20" s="36" t="str">
        <f>IFERROR(ROUNDUP(IF(AND($Q$1=FALSE,$S$3=FALSE),"-",IF(AND($Q$1=TRUE,$S$3=TRUE),"-",IF(AND($Q$1=TRUE,$S$1=TRUE,$S$4=FALSE),VLOOKUP($E20,'Status Thresholds'!$E:$AS,14,FALSE),IF(AND($Q$1=TRUE,$S$4=FALSE),VLOOKUP($E20,'Status Thresholds'!$E:$AS,4,FALSE), IF(AND($Q$1=TRUE,$S$1=TRUE,$S$4=TRUE),VLOOKUP($E20,'Status Thresholds'!$E:$AS,19,FALSE),IF(AND($Q$1=TRUE,$S$4=TRUE),VLOOKUP($E20,'Status Thresholds'!$E:$AS,9,FALSE),IF(AND($S$3=TRUE,$S$1=TRUE,$S$4=FALSE),VLOOKUP($E20,'Status Thresholds'!$E:$AS,34,FALSE),IF(AND($S$3=TRUE,$S$4=FALSE),VLOOKUP($E20,'Status Thresholds'!$E:$AS,24,FALSE),IF(AND($S$3=TRUE,$S$1=TRUE,$S$4=TRUE),VLOOKUP($E20,'Status Thresholds'!$E:$AS,39,FALSE),IF(AND($S$3=TRUE,$S$4=TRUE),VLOOKUP($E20,'Status Thresholds'!$E:$AS,29,FALSE),""))))))))/IF(OR($Q$3=TRUE,AND($Q$2=TRUE,$Q$7=TRUE),AND($Q$3=TRUE,$Q$7=TRUE))=TRUE,'Shots and Status'!$F$5,IF((OR($Q$2,$Q$7)=TRUE),'Shots and Status'!$D$5,'Shots and Status'!$C$5)))),0),"-")</f>
        <v>-</v>
      </c>
      <c r="K20" s="36" t="str">
        <f>IFERROR(ROUNDUP(IF(AND($Q$1=FALSE,$S$3=FALSE),"-",IF(AND($Q$1=TRUE,$S$3=TRUE),"-",IF(AND($Q$1=TRUE,$S$1=TRUE,$S$4=FALSE),VLOOKUP($E20,'Status Thresholds'!$E:$AS,15,FALSE),IF(AND($Q$1=TRUE,$S$4=FALSE),VLOOKUP($E20,'Status Thresholds'!$E:$AS,5,FALSE), IF(AND($Q$1=TRUE,$S$1=TRUE,$S$4=TRUE),VLOOKUP($E20,'Status Thresholds'!$E:$AS,20,FALSE),IF(AND($Q$1=TRUE,$S$4=TRUE),VLOOKUP($E20,'Status Thresholds'!$E:$AS,10,FALSE),IF(AND($S$3=TRUE,$S$1=TRUE,$S$4=FALSE),VLOOKUP($E20,'Status Thresholds'!$E:$AS,35,FALSE),IF(AND($S$3=TRUE,$S$4=FALSE),VLOOKUP($E20,'Status Thresholds'!$E:$AS,25,FALSE),IF(AND($S$3=TRUE,$S$1=TRUE,$S$4=TRUE),VLOOKUP($E20,'Status Thresholds'!$E:$AS,40,FALSE),IF(AND($S$3=TRUE,$S$4=TRUE),VLOOKUP($E20,'Status Thresholds'!$E:$AS,30,FALSE),""))))))))/IF(OR($Q$3=TRUE,AND($Q$2=TRUE,$Q$7=TRUE),AND($Q$3=TRUE,$Q$7=TRUE))=TRUE,'Shots and Status'!$F$5,IF((OR($Q$2,$Q$7)=TRUE),'Shots and Status'!$D$5,'Shots and Status'!$C$5)))),0),"-")</f>
        <v>-</v>
      </c>
      <c r="L20" s="36" t="str">
        <f>IFERROR(IF(AND($Q$1=FALSE,$S$3=FALSE),"-",VLOOKUP($E20,'Status Thresholds'!$E:$AU,41,FALSE)),"-")</f>
        <v>-</v>
      </c>
      <c r="M20" s="36" t="str">
        <f>IFERROR(IF(AND($Q$1=FALSE,$S$3=FALSE),"-",VLOOKUP($E20,'Status Thresholds'!$E:$AU,42,FALSE)),"-")</f>
        <v>-</v>
      </c>
      <c r="N20" s="36" t="str">
        <f>IFERROR(IF(AND($Q$1=FALSE,$S$3=FALSE),"-",VLOOKUP($E20,'Status Thresholds'!$E:$AU,43,FALSE)),"-")</f>
        <v>-</v>
      </c>
    </row>
    <row r="21" spans="1:14" s="36" customFormat="1" x14ac:dyDescent="0.25">
      <c r="A21" s="46"/>
      <c r="B21" s="64" t="str">
        <f>VLOOKUP(C21,'Status Thresholds'!B:C,2,FALSE)</f>
        <v>MHGU</v>
      </c>
      <c r="C21" s="46" t="str">
        <f>IF(ISBLANK('KO Calc'!C17)=TRUE,"",'KO Calc'!C17)</f>
        <v>Ahtal-Ka</v>
      </c>
      <c r="D21" s="57" t="s">
        <v>22</v>
      </c>
      <c r="E21" s="62" t="str">
        <f t="shared" si="1"/>
        <v>Ahtal-KaExhaust</v>
      </c>
      <c r="F21" s="36" t="s">
        <v>8</v>
      </c>
      <c r="G21" s="36" t="str">
        <f t="shared" si="2"/>
        <v>Ahtal-KaExhaust lvl 2</v>
      </c>
      <c r="H21" s="36" t="str">
        <f>IFERROR(ROUNDUP(IF(AND($Q$1=FALSE,$S$3=FALSE),"-",IF(AND($Q$1=TRUE,$S$3=TRUE),"-",IF(AND($Q$1=TRUE,$S$1=TRUE,$S$4=FALSE),VLOOKUP($E21,'Status Thresholds'!$E:$AS,12,FALSE),IF(AND($Q$1=TRUE,$S$4=FALSE),VLOOKUP($E21,'Status Thresholds'!$E:$AS,2,FALSE), IF(AND($Q$1=TRUE,$S$1=TRUE,$S$4=TRUE),VLOOKUP($E21,'Status Thresholds'!$E:$AS,17,FALSE),IF(AND($Q$1=TRUE,$S$4=TRUE),VLOOKUP($E21,'Status Thresholds'!$E:$AS,7,FALSE),IF(AND($S$3=TRUE,$S$1=TRUE,$S$4=FALSE),VLOOKUP($E21,'Status Thresholds'!$E:$AS,32,FALSE),IF(AND($S$3=TRUE,$S$4=FALSE),VLOOKUP($E21,'Status Thresholds'!$E:$AS,22,FALSE),IF(AND($S$3=TRUE,$S$1=TRUE,$S$4=TRUE),VLOOKUP($E21,'Status Thresholds'!$E:$AS,37,FALSE),IF(AND($S$3=TRUE,$S$4=TRUE),VLOOKUP($E21,'Status Thresholds'!$E:$AS,27,FALSE),""))))))))/IF(OR($Q$3=TRUE,AND($Q$2=TRUE,$Q$7=TRUE),AND($Q$3=TRUE,$Q$7=TRUE))=TRUE,'Shots and Status'!$F$5,IF((OR($Q$2,$Q$7)=TRUE),'Shots and Status'!$D$5,'Shots and Status'!$C$5)))),0),"-")</f>
        <v>-</v>
      </c>
      <c r="I21" s="36" t="str">
        <f>IFERROR(ROUNDUP(IF(AND($Q$1=FALSE,$S$3=FALSE),"-",IF(AND($Q$1=TRUE,$S$3=TRUE),"-",IF(AND($Q$1=TRUE,$S$1=TRUE,$S$4=FALSE),VLOOKUP($E21,'Status Thresholds'!$E:$AS,13,FALSE),IF(AND($Q$1=TRUE,$S$4=FALSE),VLOOKUP($E21,'Status Thresholds'!$E:$AS,3,FALSE), IF(AND($Q$1=TRUE,$S$1=TRUE,$S$4=TRUE),VLOOKUP($E21,'Status Thresholds'!$E:$AS,18,FALSE),IF(AND($Q$1=TRUE,$S$4=TRUE),VLOOKUP($E21,'Status Thresholds'!$E:$AS,8,FALSE),IF(AND($S$3=TRUE,$S$1=TRUE,$S$4=FALSE),VLOOKUP($E21,'Status Thresholds'!$E:$AS,33,FALSE),IF(AND($S$3=TRUE,$S$4=FALSE),VLOOKUP($E21,'Status Thresholds'!$E:$AS,23,FALSE),IF(AND($S$3=TRUE,$S$1=TRUE,$S$4=TRUE),VLOOKUP($E21,'Status Thresholds'!$E:$AS,38,FALSE),IF(AND($S$3=TRUE,$S$4=TRUE),VLOOKUP($E21,'Status Thresholds'!$E:$AS,28,FALSE),""))))))))/IF(OR($Q$3=TRUE,AND($Q$2=TRUE,$Q$7=TRUE),AND($Q$3=TRUE,$Q$7=TRUE))=TRUE,'Shots and Status'!$F$5,IF((OR($Q$2,$Q$7)=TRUE),'Shots and Status'!$D$5,'Shots and Status'!$C$5)))),0),"-")</f>
        <v>-</v>
      </c>
      <c r="J21" s="36" t="str">
        <f>IFERROR(ROUNDUP(IF(AND($Q$1=FALSE,$S$3=FALSE),"-",IF(AND($Q$1=TRUE,$S$3=TRUE),"-",IF(AND($Q$1=TRUE,$S$1=TRUE,$S$4=FALSE),VLOOKUP($E21,'Status Thresholds'!$E:$AS,14,FALSE),IF(AND($Q$1=TRUE,$S$4=FALSE),VLOOKUP($E21,'Status Thresholds'!$E:$AS,4,FALSE), IF(AND($Q$1=TRUE,$S$1=TRUE,$S$4=TRUE),VLOOKUP($E21,'Status Thresholds'!$E:$AS,19,FALSE),IF(AND($Q$1=TRUE,$S$4=TRUE),VLOOKUP($E21,'Status Thresholds'!$E:$AS,9,FALSE),IF(AND($S$3=TRUE,$S$1=TRUE,$S$4=FALSE),VLOOKUP($E21,'Status Thresholds'!$E:$AS,34,FALSE),IF(AND($S$3=TRUE,$S$4=FALSE),VLOOKUP($E21,'Status Thresholds'!$E:$AS,24,FALSE),IF(AND($S$3=TRUE,$S$1=TRUE,$S$4=TRUE),VLOOKUP($E21,'Status Thresholds'!$E:$AS,39,FALSE),IF(AND($S$3=TRUE,$S$4=TRUE),VLOOKUP($E21,'Status Thresholds'!$E:$AS,29,FALSE),""))))))))/IF(OR($Q$3=TRUE,AND($Q$2=TRUE,$Q$7=TRUE),AND($Q$3=TRUE,$Q$7=TRUE))=TRUE,'Shots and Status'!$F$5,IF((OR($Q$2,$Q$7)=TRUE),'Shots and Status'!$D$5,'Shots and Status'!$C$5)))),0),"-")</f>
        <v>-</v>
      </c>
      <c r="K21" s="36" t="str">
        <f>IFERROR(ROUNDUP(IF(AND($Q$1=FALSE,$S$3=FALSE),"-",IF(AND($Q$1=TRUE,$S$3=TRUE),"-",IF(AND($Q$1=TRUE,$S$1=TRUE,$S$4=FALSE),VLOOKUP($E21,'Status Thresholds'!$E:$AS,15,FALSE),IF(AND($Q$1=TRUE,$S$4=FALSE),VLOOKUP($E21,'Status Thresholds'!$E:$AS,5,FALSE), IF(AND($Q$1=TRUE,$S$1=TRUE,$S$4=TRUE),VLOOKUP($E21,'Status Thresholds'!$E:$AS,20,FALSE),IF(AND($Q$1=TRUE,$S$4=TRUE),VLOOKUP($E21,'Status Thresholds'!$E:$AS,10,FALSE),IF(AND($S$3=TRUE,$S$1=TRUE,$S$4=FALSE),VLOOKUP($E21,'Status Thresholds'!$E:$AS,35,FALSE),IF(AND($S$3=TRUE,$S$4=FALSE),VLOOKUP($E21,'Status Thresholds'!$E:$AS,25,FALSE),IF(AND($S$3=TRUE,$S$1=TRUE,$S$4=TRUE),VLOOKUP($E21,'Status Thresholds'!$E:$AS,40,FALSE),IF(AND($S$3=TRUE,$S$4=TRUE),VLOOKUP($E21,'Status Thresholds'!$E:$AS,30,FALSE),""))))))))/IF(OR($Q$3=TRUE,AND($Q$2=TRUE,$Q$7=TRUE),AND($Q$3=TRUE,$Q$7=TRUE))=TRUE,'Shots and Status'!$F$5,IF((OR($Q$2,$Q$7)=TRUE),'Shots and Status'!$D$5,'Shots and Status'!$C$5)))),0),"-")</f>
        <v>-</v>
      </c>
      <c r="L21" s="36" t="str">
        <f>IFERROR(IF(AND($Q$1=FALSE,$S$3=FALSE),"-",VLOOKUP($E21,'Status Thresholds'!$E:$AU,41,FALSE)),"-")</f>
        <v>-</v>
      </c>
      <c r="M21" s="36" t="str">
        <f>IFERROR(IF(AND($Q$1=FALSE,$S$3=FALSE),"-",VLOOKUP($E21,'Status Thresholds'!$E:$AU,42,FALSE)),"-")</f>
        <v>-</v>
      </c>
      <c r="N21" s="36" t="str">
        <f>IFERROR(IF(AND($Q$1=FALSE,$S$3=FALSE),"-",VLOOKUP($E21,'Status Thresholds'!$E:$AU,43,FALSE)),"-")</f>
        <v>-</v>
      </c>
    </row>
    <row r="22" spans="1:14" s="36" customFormat="1" x14ac:dyDescent="0.25">
      <c r="A22" s="46"/>
      <c r="B22" s="64" t="str">
        <f>VLOOKUP(C22,'Status Thresholds'!B:C,2,FALSE)</f>
        <v>MHGU</v>
      </c>
      <c r="C22" s="46" t="str">
        <f>IF(ISBLANK('KO Calc'!C18)=TRUE,"",'KO Calc'!C18)</f>
        <v>Ahtal-Ka</v>
      </c>
      <c r="D22" s="67" t="s">
        <v>14</v>
      </c>
      <c r="E22" s="62" t="str">
        <f t="shared" si="1"/>
        <v>Ahtal-KaKO</v>
      </c>
      <c r="F22" s="36" t="s">
        <v>21</v>
      </c>
      <c r="G22" s="36" t="str">
        <f t="shared" si="2"/>
        <v>Ahtal-KaTriblast</v>
      </c>
      <c r="H22" s="36" t="str">
        <f>IF(AND($Q$1=FALSE,$S$3=FALSE),"-",IF(AND($Q$1=TRUE,$S$3=TRUE),"-",IF(AND($Q$1=FALSE,$S$3=FALSE),"-",IF(AND($Q$1=TRUE,$S$1=TRUE,$S$4=FALSE)=TRUE,IF(OR($Q$4=TRUE,$Q$5=TRUE,$S$2=TRUE),VLOOKUP($G22,'KO Calc'!$H:$AW,12,FALSE),VLOOKUP($G22,'KO Calc'!$H19:$AW19,12,FALSE)),IF(AND($Q$1=TRUE,$S$4=FALSE),IF(OR($Q$4=TRUE,$Q$5=TRUE,$S$2=TRUE),VLOOKUP($G22,'KO Calc'!$H:$AW,2,FALSE),VLOOKUP($G22,'KO Calc'!$H19:$AW19,2,FALSE)),
IF(AND($Q$1=TRUE,$S$1=TRUE,$S$4=TRUE)=TRUE,IF(OR($Q$4=TRUE,$Q$5=TRUE,$S$2=TRUE),VLOOKUP($G22,'KO Calc'!$H:$AW,17,FALSE),VLOOKUP($G22,'KO Calc'!$H19:$AW19,17,FALSE)),IF(AND($Q$1=TRUE,$S$4=TRUE),IF(OR($Q$4=TRUE,$Q$5=TRUE,$S$2=TRUE),VLOOKUP($G22,'KO Calc'!$H:$AW,7,FALSE),VLOOKUP($G22,'KO Calc'!$H19:$AW19,7,FALSE)),
IF(AND($S$3=TRUE,$S$1=TRUE,$S$4=FALSE)=TRUE,IF(OR($Q$4=TRUE,$Q$5=TRUE,$S$2=TRUE),VLOOKUP($G22,'KO Calc'!$H:$AW,32,FALSE),VLOOKUP($G22,'KO Calc'!$H19:$AW19,32,FALSE)),IF(AND($S$3=TRUE,$S$4=FALSE),IF(OR($Q$4=TRUE,$Q$5=TRUE,$S$2=TRUE),VLOOKUP($G22,'KO Calc'!$H:$AW,22,FALSE),VLOOKUP($G22,'KO Calc'!$H19:$AW19,22,FALSE)),
IF(AND($S$3=TRUE,$S$1=TRUE,$S$4=TRUE)=TRUE,IF(OR($Q$4=TRUE,$Q$5=TRUE,$S$2=TRUE),VLOOKUP($G22,'KO Calc'!$H:$AW,37,FALSE),VLOOKUP($G22,'KO Calc'!$H19:$AW19,37,FALSE)),IF(AND($S$3=TRUE,$S$4=TRUE),IF(OR($Q$4=TRUE,$Q$5=TRUE,$S$2=TRUE),VLOOKUP($G22,'KO Calc'!$H:$AW,27,FALSE),VLOOKUP($G22,'KO Calc'!$H19:$AW19,27,FALSE)))))))))))))</f>
        <v>-</v>
      </c>
      <c r="I22" s="36" t="str">
        <f>IF(AND($Q$1=FALSE,$S$3=FALSE),"-",IF(AND($Q$1=TRUE,$S$3=TRUE),"-",IF(AND($Q$1=FALSE,$S$3=FALSE),"-",IF(AND($Q$1=TRUE,$S$1=TRUE,$S$4=FALSE)=TRUE,IF(OR($Q$4=TRUE,$Q$5=TRUE,$S$2=TRUE),VLOOKUP($G22,'KO Calc'!$H:$AW,13,FALSE),VLOOKUP($G22,'KO Calc'!$H19:$AW19,13,FALSE)),IF(AND($Q$1=TRUE,$S$4=FALSE),IF(OR($Q$4=TRUE,$Q$5=TRUE,$S$2=TRUE),VLOOKUP($G22,'KO Calc'!$H:$AW,3,FALSE),VLOOKUP($G22,'KO Calc'!$H19:$AW19,3,FALSE)),
IF(AND($Q$1=TRUE,$S$1=TRUE,$S$4=TRUE)=TRUE,IF(OR($Q$4=TRUE,$Q$5=TRUE,$S$2=TRUE),VLOOKUP($G22,'KO Calc'!$H:$AW,18,FALSE),VLOOKUP($G22,'KO Calc'!$H19:$AW19,18,FALSE)),IF(AND($Q$1=TRUE,$S$4=TRUE),IF(OR($Q$4=TRUE,$Q$5=TRUE,$S$2=TRUE),VLOOKUP($G22,'KO Calc'!$H:$AW,8,FALSE),VLOOKUP($G22,'KO Calc'!$H19:$AW19,8,FALSE)),
IF(AND($S$3=TRUE,$S$1=TRUE,$S$4=FALSE)=TRUE,IF(OR($Q$4=TRUE,$Q$5=TRUE,$S$2=TRUE),VLOOKUP($G22,'KO Calc'!$H:$AW,33,FALSE),VLOOKUP($G22,'KO Calc'!$H19:$AW19,33,FALSE)),IF(AND($S$3=TRUE,$S$4=FALSE),IF(OR($Q$4=TRUE,$Q$5=TRUE,$S$2=TRUE),VLOOKUP($G22,'KO Calc'!$H:$AW,23,FALSE),VLOOKUP($G22,'KO Calc'!$H19:$AW19,23,FALSE)),
IF(AND($S$3=TRUE,$S$1=TRUE,$S$4=TRUE)=TRUE,IF(OR($Q$4=TRUE,$Q$5=TRUE,$S$2=TRUE),VLOOKUP($G22,'KO Calc'!$H:$AW,38,FALSE),VLOOKUP($G22,'KO Calc'!$H19:$AW19,38,FALSE)),IF(AND($S$3=TRUE,$S$4=TRUE),IF(OR($Q$4=TRUE,$Q$5=TRUE,$S$2=TRUE),VLOOKUP($G22,'KO Calc'!$H:$AW,28,FALSE),VLOOKUP($G22,'KO Calc'!$H19:$AW19,28,FALSE)))))))))))))</f>
        <v>-</v>
      </c>
      <c r="J22" s="36" t="str">
        <f>IF(AND($Q$1=FALSE,$S$3=FALSE),"-",IF(AND($Q$1=TRUE,$S$3=TRUE),"-",IF(AND($Q$1=FALSE,$S$3=FALSE),"-",IF(AND($Q$1=TRUE,$S$1=TRUE,$S$4=FALSE)=TRUE,IF(OR($Q$4=TRUE,$Q$5=TRUE,$S$2=TRUE),VLOOKUP($G22,'KO Calc'!$H:$AW,FALSE),VLOOKUP($G22,'KO Calc'!$H19:$AW19,14,FALSE)),IF(AND($Q$1=TRUE,$S$4=FALSE),IF(OR($Q$4=TRUE,$Q$5=TRUE,$S$2=TRUE),VLOOKUP($G22,'KO Calc'!$H:$AW,4,FALSE),VLOOKUP($G22,'KO Calc'!$H19:$AW19,4,FALSE)),
IF(AND($Q$1=TRUE,$S$1=TRUE,$S$4=TRUE)=TRUE,IF(OR($Q$4=TRUE,$Q$5=TRUE,$S$2=TRUE),VLOOKUP($G22,'KO Calc'!$H:$AW,19,FALSE),VLOOKUP($G22,'KO Calc'!$H19:$AW19,19,FALSE)),IF(AND($Q$1=TRUE,$S$4=TRUE),IF(OR($Q$4=TRUE,$Q$5=TRUE,$S$2=TRUE),VLOOKUP($G22,'KO Calc'!$H:$AW,9,FALSE),VLOOKUP($G22,'KO Calc'!$H19:$AW19,9,FALSE)),
IF(AND($S$3=TRUE,$S$1=TRUE,$S$4=FALSE)=TRUE,IF(OR($Q$4=TRUE,$Q$5=TRUE,$S$2=TRUE),VLOOKUP($G22,'KO Calc'!$H:$AW,34,FALSE),VLOOKUP($G22,'KO Calc'!$H19:$AW19,34,FALSE)),IF(AND($S$3=TRUE,$S$4=FALSE),IF(OR($Q$4=TRUE,$Q$5=TRUE,$S$2=TRUE),VLOOKUP($G22,'KO Calc'!$H:$AW,24,FALSE),VLOOKUP($G22,'KO Calc'!$H19:$AW19,24,FALSE)),
IF(AND($S$3=TRUE,$S$1=TRUE,$S$4=TRUE)=TRUE,IF(OR($Q$4=TRUE,$Q$5=TRUE,$S$2=TRUE),VLOOKUP($G22,'KO Calc'!$H:$AW,39,FALSE),VLOOKUP($G22,'KO Calc'!$H19:$AW19,39,FALSE)),IF(AND($S$3=TRUE,$S$4=TRUE),IF(OR($Q$4=TRUE,$Q$5=TRUE,$S$2=TRUE),VLOOKUP($G22,'KO Calc'!$H:$AW,29,FALSE),VLOOKUP($G22,'KO Calc'!$H19:$AW19,29,FALSE)))))))))))))</f>
        <v>-</v>
      </c>
      <c r="K22" s="36" t="str">
        <f>IF(AND($Q$1=FALSE,$S$3=FALSE),"-",IF(AND($Q$1=TRUE,$S$3=TRUE),"-",IF(AND($Q$1=FALSE,$S$3=FALSE),"-",IF(AND($Q$1=TRUE,$S$1=TRUE,$S$4=FALSE)=TRUE,IF(OR($Q$4=TRUE,$Q$5=TRUE,$S$2=TRUE),VLOOKUP($G22,'KO Calc'!$H:$AW,15,FALSE),VLOOKUP($G22,'KO Calc'!$H19:$AW19,15,FALSE)),IF(AND($Q$1=TRUE,$S$4=FALSE),IF(OR($Q$4=TRUE,$Q$5=TRUE,$S$2=TRUE),VLOOKUP($G22,'KO Calc'!$H:$AW,5,FALSE),VLOOKUP($G22,'KO Calc'!$H19:$AW19,5,FALSE)),
IF(AND($Q$1=TRUE,$S$1=TRUE,$S$4=TRUE)=TRUE,IF(OR($Q$4=TRUE,$Q$5=TRUE,$S$2=TRUE),VLOOKUP($G22,'KO Calc'!$H:$AW,20,FALSE),VLOOKUP($G22,'KO Calc'!$H19:$AW19,20,FALSE)),IF(AND($Q$1=TRUE,$S$4=TRUE),IF(OR($Q$4=TRUE,$Q$5=TRUE,$S$2=TRUE),VLOOKUP($G22,'KO Calc'!$H:$AW,10,FALSE),VLOOKUP($G22,'KO Calc'!$H19:$AW19,10,FALSE)),
IF(AND($S$3=TRUE,$S$1=TRUE,$S$4=FALSE)=TRUE,IF(OR($Q$4=TRUE,$Q$5=TRUE,$S$2=TRUE),VLOOKUP($G22,'KO Calc'!$H:$AW,35,FALSE),VLOOKUP($G22,'KO Calc'!$H19:$AW19,35,FALSE)),IF(AND($S$3=TRUE,$S$4=FALSE),IF(OR($Q$4=TRUE,$Q$5=TRUE,$S$2=TRUE),VLOOKUP($G22,'KO Calc'!$H:$AW,25,FALSE),VLOOKUP($G22,'KO Calc'!$H19:$AW19,25,FALSE)),
IF(AND($S$3=TRUE,$S$1=TRUE,$S$4=TRUE)=TRUE,IF(OR($Q$4=TRUE,$Q$5=TRUE,$S$2=TRUE),VLOOKUP($G22,'KO Calc'!$H:$AW,40,FALSE),VLOOKUP($G22,'KO Calc'!$H19:$AW19,40,FALSE)),IF(AND($S$3=TRUE,$S$4=TRUE),IF(OR($Q$4=TRUE,$Q$5=TRUE,$S$2=TRUE),VLOOKUP($G22,'KO Calc'!$H:$AW,30,FALSE),VLOOKUP($G22,'KO Calc'!$H19:$AW19,30,FALSE)))))))))))))</f>
        <v>-</v>
      </c>
      <c r="L22" s="36" t="str">
        <f>IFERROR(IF(AND($Q$1=FALSE,$S$3=FALSE),"-",VLOOKUP($E22,'Status Thresholds'!$E:$AU,41,FALSE)),"-")</f>
        <v>-</v>
      </c>
      <c r="M22" s="36" t="str">
        <f>IFERROR(IF(AND($Q$1=FALSE,$S$3=FALSE),"-",VLOOKUP($E22,'Status Thresholds'!$E:$AU,42,FALSE)),"-")</f>
        <v>-</v>
      </c>
      <c r="N22" s="36" t="str">
        <f>IFERROR(IF(AND($Q$1=FALSE,$S$3=FALSE),"-",VLOOKUP($E22,'Status Thresholds'!$E:$AU,43,FALSE)),"-")</f>
        <v>-</v>
      </c>
    </row>
    <row r="23" spans="1:14" x14ac:dyDescent="0.25">
      <c r="B23" s="64" t="str">
        <f>VLOOKUP(C23,'Status Thresholds'!B:C,2,FALSE)</f>
        <v>MHGU</v>
      </c>
      <c r="C23" s="46" t="str">
        <f>IF(ISBLANK('KO Calc'!C19)=TRUE,"",'KO Calc'!C19)</f>
        <v>Ahtal-Ka</v>
      </c>
      <c r="D23" s="78" t="s">
        <v>207</v>
      </c>
      <c r="E23" s="62" t="str">
        <f t="shared" si="1"/>
        <v>Ahtal-KaShock Trap</v>
      </c>
      <c r="F23" t="s">
        <v>13</v>
      </c>
      <c r="G23" s="36" t="str">
        <f t="shared" si="2"/>
        <v>Ahtal-KaCrag 3</v>
      </c>
      <c r="H23" s="36" t="str">
        <f>IF(AND($Q$1=FALSE,$S$3=FALSE),"-",IF(AND($Q$1=TRUE,$S$3=TRUE),"-",IF(AND($Q$1=FALSE,$S$3=FALSE),"-",IF(AND($Q$1=TRUE,$S$1=TRUE,$S$4=FALSE)=TRUE,IF(OR($Q$4=TRUE,$Q$5=TRUE,$S$2=TRUE),VLOOKUP($G23,'KO Calc'!$H:$AW,12,FALSE),VLOOKUP($G23,'KO Calc'!$H20:$AW20,12,FALSE)),IF(AND($Q$1=TRUE,$S$4=FALSE),IF(OR($Q$4=TRUE,$Q$5=TRUE,$S$2=TRUE),VLOOKUP($G23,'KO Calc'!$H:$AW,2,FALSE),VLOOKUP($G23,'KO Calc'!$H20:$AW20,2,FALSE)),
IF(AND($Q$1=TRUE,$S$1=TRUE,$S$4=TRUE)=TRUE,IF(OR($Q$4=TRUE,$Q$5=TRUE,$S$2=TRUE),VLOOKUP($G23,'KO Calc'!$H:$AW,17,FALSE),VLOOKUP($G23,'KO Calc'!$H20:$AW20,17,FALSE)),IF(AND($Q$1=TRUE,$S$4=TRUE),IF(OR($Q$4=TRUE,$Q$5=TRUE,$S$2=TRUE),VLOOKUP($G23,'KO Calc'!$H:$AW,7,FALSE),VLOOKUP($G23,'KO Calc'!$H20:$AW20,7,FALSE)),
IF(AND($S$3=TRUE,$S$1=TRUE,$S$4=FALSE)=TRUE,IF(OR($Q$4=TRUE,$Q$5=TRUE,$S$2=TRUE),VLOOKUP($G23,'KO Calc'!$H:$AW,32,FALSE),VLOOKUP($G23,'KO Calc'!$H20:$AW20,32,FALSE)),IF(AND($S$3=TRUE,$S$4=FALSE),IF(OR($Q$4=TRUE,$Q$5=TRUE,$S$2=TRUE),VLOOKUP($G23,'KO Calc'!$H:$AW,22,FALSE),VLOOKUP($G23,'KO Calc'!$H20:$AW20,22,FALSE)),
IF(AND($S$3=TRUE,$S$1=TRUE,$S$4=TRUE)=TRUE,IF(OR($Q$4=TRUE,$Q$5=TRUE,$S$2=TRUE),VLOOKUP($G23,'KO Calc'!$H:$AW,37,FALSE),VLOOKUP($G23,'KO Calc'!$H20:$AW20,37,FALSE)),IF(AND($S$3=TRUE,$S$4=TRUE),IF(OR($Q$4=TRUE,$Q$5=TRUE,$S$2=TRUE),VLOOKUP($G23,'KO Calc'!$H:$AW,27,FALSE),VLOOKUP($G23,'KO Calc'!$H20:$AW20,27,FALSE)))))))))))))</f>
        <v>-</v>
      </c>
      <c r="I23" s="36" t="str">
        <f>IF(AND($Q$1=FALSE,$S$3=FALSE),"-",IF(AND($Q$1=TRUE,$S$3=TRUE),"-",IF(AND($Q$1=FALSE,$S$3=FALSE),"-",IF(AND($Q$1=TRUE,$S$1=TRUE,$S$4=FALSE)=TRUE,IF(OR($Q$4=TRUE,$Q$5=TRUE,$S$2=TRUE),VLOOKUP($G23,'KO Calc'!$H:$AW,13,FALSE),VLOOKUP($G23,'KO Calc'!$H20:$AW20,13,FALSE)),IF(AND($Q$1=TRUE,$S$4=FALSE),IF(OR($Q$4=TRUE,$Q$5=TRUE,$S$2=TRUE),VLOOKUP($G23,'KO Calc'!$H:$AW,3,FALSE),VLOOKUP($G23,'KO Calc'!$H20:$AW20,3,FALSE)),
IF(AND($Q$1=TRUE,$S$1=TRUE,$S$4=TRUE)=TRUE,IF(OR($Q$4=TRUE,$Q$5=TRUE,$S$2=TRUE),VLOOKUP($G23,'KO Calc'!$H:$AW,18,FALSE),VLOOKUP($G23,'KO Calc'!$H20:$AW20,18,FALSE)),IF(AND($Q$1=TRUE,$S$4=TRUE),IF(OR($Q$4=TRUE,$Q$5=TRUE,$S$2=TRUE),VLOOKUP($G23,'KO Calc'!$H:$AW,8,FALSE),VLOOKUP($G23,'KO Calc'!$H20:$AW20,8,FALSE)),
IF(AND($S$3=TRUE,$S$1=TRUE,$S$4=FALSE)=TRUE,IF(OR($Q$4=TRUE,$Q$5=TRUE,$S$2=TRUE),VLOOKUP($G23,'KO Calc'!$H:$AW,33,FALSE),VLOOKUP($G23,'KO Calc'!$H20:$AW20,33,FALSE)),IF(AND($S$3=TRUE,$S$4=FALSE),IF(OR($Q$4=TRUE,$Q$5=TRUE,$S$2=TRUE),VLOOKUP($G23,'KO Calc'!$H:$AW,23,FALSE),VLOOKUP($G23,'KO Calc'!$H20:$AW20,23,FALSE)),
IF(AND($S$3=TRUE,$S$1=TRUE,$S$4=TRUE)=TRUE,IF(OR($Q$4=TRUE,$Q$5=TRUE,$S$2=TRUE),VLOOKUP($G23,'KO Calc'!$H:$AW,38,FALSE),VLOOKUP($G23,'KO Calc'!$H20:$AW20,38,FALSE)),IF(AND($S$3=TRUE,$S$4=TRUE),IF(OR($Q$4=TRUE,$Q$5=TRUE,$S$2=TRUE),VLOOKUP($G23,'KO Calc'!$H:$AW,28,FALSE),VLOOKUP($G23,'KO Calc'!$H20:$AW20,28,FALSE)))))))))))))</f>
        <v>-</v>
      </c>
      <c r="J23" s="36" t="str">
        <f>IF(AND($Q$1=FALSE,$S$3=FALSE),"-",IF(AND($Q$1=TRUE,$S$3=TRUE),"-",IF(AND($Q$1=FALSE,$S$3=FALSE),"-",IF(AND($Q$1=TRUE,$S$1=TRUE,$S$4=FALSE)=TRUE,IF(OR($Q$4=TRUE,$Q$5=TRUE,$S$2=TRUE),VLOOKUP($G23,'KO Calc'!$H:$AW,FALSE),VLOOKUP($G23,'KO Calc'!$H20:$AW20,14,FALSE)),IF(AND($Q$1=TRUE,$S$4=FALSE),IF(OR($Q$4=TRUE,$Q$5=TRUE,$S$2=TRUE),VLOOKUP($G23,'KO Calc'!$H:$AW,4,FALSE),VLOOKUP($G23,'KO Calc'!$H20:$AW20,4,FALSE)),
IF(AND($Q$1=TRUE,$S$1=TRUE,$S$4=TRUE)=TRUE,IF(OR($Q$4=TRUE,$Q$5=TRUE,$S$2=TRUE),VLOOKUP($G23,'KO Calc'!$H:$AW,19,FALSE),VLOOKUP($G23,'KO Calc'!$H20:$AW20,19,FALSE)),IF(AND($Q$1=TRUE,$S$4=TRUE),IF(OR($Q$4=TRUE,$Q$5=TRUE,$S$2=TRUE),VLOOKUP($G23,'KO Calc'!$H:$AW,9,FALSE),VLOOKUP($G23,'KO Calc'!$H20:$AW20,9,FALSE)),
IF(AND($S$3=TRUE,$S$1=TRUE,$S$4=FALSE)=TRUE,IF(OR($Q$4=TRUE,$Q$5=TRUE,$S$2=TRUE),VLOOKUP($G23,'KO Calc'!$H:$AW,34,FALSE),VLOOKUP($G23,'KO Calc'!$H20:$AW20,34,FALSE)),IF(AND($S$3=TRUE,$S$4=FALSE),IF(OR($Q$4=TRUE,$Q$5=TRUE,$S$2=TRUE),VLOOKUP($G23,'KO Calc'!$H:$AW,24,FALSE),VLOOKUP($G23,'KO Calc'!$H20:$AW20,24,FALSE)),
IF(AND($S$3=TRUE,$S$1=TRUE,$S$4=TRUE)=TRUE,IF(OR($Q$4=TRUE,$Q$5=TRUE,$S$2=TRUE),VLOOKUP($G23,'KO Calc'!$H:$AW,39,FALSE),VLOOKUP($G23,'KO Calc'!$H20:$AW20,39,FALSE)),IF(AND($S$3=TRUE,$S$4=TRUE),IF(OR($Q$4=TRUE,$Q$5=TRUE,$S$2=TRUE),VLOOKUP($G23,'KO Calc'!$H:$AW,29,FALSE),VLOOKUP($G23,'KO Calc'!$H20:$AW20,29,FALSE)))))))))))))</f>
        <v>-</v>
      </c>
      <c r="K23" s="36" t="str">
        <f>IF(AND($Q$1=FALSE,$S$3=FALSE),"-",IF(AND($Q$1=TRUE,$S$3=TRUE),"-",IF(AND($Q$1=FALSE,$S$3=FALSE),"-",IF(AND($Q$1=TRUE,$S$1=TRUE,$S$4=FALSE)=TRUE,IF(OR($Q$4=TRUE,$Q$5=TRUE,$S$2=TRUE),VLOOKUP($G23,'KO Calc'!$H:$AW,15,FALSE),VLOOKUP($G23,'KO Calc'!$H20:$AW20,15,FALSE)),IF(AND($Q$1=TRUE,$S$4=FALSE),IF(OR($Q$4=TRUE,$Q$5=TRUE,$S$2=TRUE),VLOOKUP($G23,'KO Calc'!$H:$AW,5,FALSE),VLOOKUP($G23,'KO Calc'!$H20:$AW20,5,FALSE)),
IF(AND($Q$1=TRUE,$S$1=TRUE,$S$4=TRUE)=TRUE,IF(OR($Q$4=TRUE,$Q$5=TRUE,$S$2=TRUE),VLOOKUP($G23,'KO Calc'!$H:$AW,20,FALSE),VLOOKUP($G23,'KO Calc'!$H20:$AW20,20,FALSE)),IF(AND($Q$1=TRUE,$S$4=TRUE),IF(OR($Q$4=TRUE,$Q$5=TRUE,$S$2=TRUE),VLOOKUP($G23,'KO Calc'!$H:$AW,10,FALSE),VLOOKUP($G23,'KO Calc'!$H20:$AW20,10,FALSE)),
IF(AND($S$3=TRUE,$S$1=TRUE,$S$4=FALSE)=TRUE,IF(OR($Q$4=TRUE,$Q$5=TRUE,$S$2=TRUE),VLOOKUP($G23,'KO Calc'!$H:$AW,35,FALSE),VLOOKUP($G23,'KO Calc'!$H20:$AW20,35,FALSE)),IF(AND($S$3=TRUE,$S$4=FALSE),IF(OR($Q$4=TRUE,$Q$5=TRUE,$S$2=TRUE),VLOOKUP($G23,'KO Calc'!$H:$AW,25,FALSE),VLOOKUP($G23,'KO Calc'!$H20:$AW20,25,FALSE)),
IF(AND($S$3=TRUE,$S$1=TRUE,$S$4=TRUE)=TRUE,IF(OR($Q$4=TRUE,$Q$5=TRUE,$S$2=TRUE),VLOOKUP($G23,'KO Calc'!$H:$AW,40,FALSE),VLOOKUP($G23,'KO Calc'!$H20:$AW20,40,FALSE)),IF(AND($S$3=TRUE,$S$4=TRUE),IF(OR($Q$4=TRUE,$Q$5=TRUE,$S$2=TRUE),VLOOKUP($G23,'KO Calc'!$H:$AW,30,FALSE),VLOOKUP($G23,'KO Calc'!$H20:$AW20,30,FALSE)))))))))))))</f>
        <v>-</v>
      </c>
      <c r="L23" s="36" t="str">
        <f>IFERROR(IF(AND($Q$1=FALSE,$S$3=FALSE),"-",VLOOKUP($E23,'Status Thresholds'!$E:$AU,43,FALSE)),"-")</f>
        <v>-</v>
      </c>
      <c r="M23" s="36" t="str">
        <f>IFERROR(IF(AND($Q$1=FALSE,$S$3=FALSE),"-",VLOOKUP($E23,'Status Thresholds'!$E:$AU,41,FALSE)),"-")</f>
        <v>-</v>
      </c>
      <c r="N23" s="36" t="str">
        <f>IFERROR(IF(AND($Q$1=FALSE,$S$3=FALSE),"-",VLOOKUP($E23,'Status Thresholds'!$E:$AU,42,FALSE)),"-")</f>
        <v>-</v>
      </c>
    </row>
    <row r="24" spans="1:14" x14ac:dyDescent="0.25">
      <c r="B24" s="64" t="str">
        <f>VLOOKUP(C24,'Status Thresholds'!B:C,2,FALSE)</f>
        <v>MHGU</v>
      </c>
      <c r="C24" s="46" t="str">
        <f>IF(ISBLANK('KO Calc'!C20)=TRUE,"",'KO Calc'!C20)</f>
        <v>Ahtal-Ka</v>
      </c>
      <c r="D24" s="78" t="s">
        <v>213</v>
      </c>
      <c r="E24" s="62" t="str">
        <f t="shared" si="1"/>
        <v>Ahtal-KaPitfall Trap</v>
      </c>
      <c r="F24" t="s">
        <v>12</v>
      </c>
      <c r="G24" s="36" t="str">
        <f t="shared" si="2"/>
        <v>Ahtal-KaCrag 2</v>
      </c>
      <c r="H24" s="36" t="str">
        <f>IF(AND($Q$1=FALSE,$S$3=FALSE),"-",IF(AND($Q$1=TRUE,$S$3=TRUE),"-",IF(AND($Q$1=FALSE,$S$3=FALSE),"-",IF(AND($Q$1=TRUE,$S$1=TRUE,$S$4=FALSE)=TRUE,IF(OR($Q$4=TRUE,$Q$5=TRUE,$S$2=TRUE),VLOOKUP($G24,'KO Calc'!$H:$AW,12,FALSE),VLOOKUP($G24,'KO Calc'!$H21:$AW21,12,FALSE)),IF(AND($Q$1=TRUE,$S$4=FALSE),IF(OR($Q$4=TRUE,$Q$5=TRUE,$S$2=TRUE),VLOOKUP($G24,'KO Calc'!$H:$AW,2,FALSE),VLOOKUP($G24,'KO Calc'!$H21:$AW21,2,FALSE)),
IF(AND($Q$1=TRUE,$S$1=TRUE,$S$4=TRUE)=TRUE,IF(OR($Q$4=TRUE,$Q$5=TRUE,$S$2=TRUE),VLOOKUP($G24,'KO Calc'!$H:$AW,17,FALSE),VLOOKUP($G24,'KO Calc'!$H21:$AW21,17,FALSE)),IF(AND($Q$1=TRUE,$S$4=TRUE),IF(OR($Q$4=TRUE,$Q$5=TRUE,$S$2=TRUE),VLOOKUP($G24,'KO Calc'!$H:$AW,7,FALSE),VLOOKUP($G24,'KO Calc'!$H21:$AW21,7,FALSE)),
IF(AND($S$3=TRUE,$S$1=TRUE,$S$4=FALSE)=TRUE,IF(OR($Q$4=TRUE,$Q$5=TRUE,$S$2=TRUE),VLOOKUP($G24,'KO Calc'!$H:$AW,32,FALSE),VLOOKUP($G24,'KO Calc'!$H21:$AW21,32,FALSE)),IF(AND($S$3=TRUE,$S$4=FALSE),IF(OR($Q$4=TRUE,$Q$5=TRUE,$S$2=TRUE),VLOOKUP($G24,'KO Calc'!$H:$AW,22,FALSE),VLOOKUP($G24,'KO Calc'!$H21:$AW21,22,FALSE)),
IF(AND($S$3=TRUE,$S$1=TRUE,$S$4=TRUE)=TRUE,IF(OR($Q$4=TRUE,$Q$5=TRUE,$S$2=TRUE),VLOOKUP($G24,'KO Calc'!$H:$AW,37,FALSE),VLOOKUP($G24,'KO Calc'!$H21:$AW21,37,FALSE)),IF(AND($S$3=TRUE,$S$4=TRUE),IF(OR($Q$4=TRUE,$Q$5=TRUE,$S$2=TRUE),VLOOKUP($G24,'KO Calc'!$H:$AW,27,FALSE),VLOOKUP($G24,'KO Calc'!$H21:$AW21,27,FALSE)))))))))))))</f>
        <v>-</v>
      </c>
      <c r="I24" s="36" t="str">
        <f>IF(AND($Q$1=FALSE,$S$3=FALSE),"-",IF(AND($Q$1=TRUE,$S$3=TRUE),"-",IF(AND($Q$1=FALSE,$S$3=FALSE),"-",IF(AND($Q$1=TRUE,$S$1=TRUE,$S$4=FALSE)=TRUE,IF(OR($Q$4=TRUE,$Q$5=TRUE,$S$2=TRUE),VLOOKUP($G24,'KO Calc'!$H:$AW,13,FALSE),VLOOKUP($G24,'KO Calc'!$H21:$AW21,13,FALSE)),IF(AND($Q$1=TRUE,$S$4=FALSE),IF(OR($Q$4=TRUE,$Q$5=TRUE,$S$2=TRUE),VLOOKUP($G24,'KO Calc'!$H:$AW,3,FALSE),VLOOKUP($G24,'KO Calc'!$H21:$AW21,3,FALSE)),
IF(AND($Q$1=TRUE,$S$1=TRUE,$S$4=TRUE)=TRUE,IF(OR($Q$4=TRUE,$Q$5=TRUE,$S$2=TRUE),VLOOKUP($G24,'KO Calc'!$H:$AW,18,FALSE),VLOOKUP($G24,'KO Calc'!$H21:$AW21,18,FALSE)),IF(AND($Q$1=TRUE,$S$4=TRUE),IF(OR($Q$4=TRUE,$Q$5=TRUE,$S$2=TRUE),VLOOKUP($G24,'KO Calc'!$H:$AW,8,FALSE),VLOOKUP($G24,'KO Calc'!$H21:$AW21,8,FALSE)),
IF(AND($S$3=TRUE,$S$1=TRUE,$S$4=FALSE)=TRUE,IF(OR($Q$4=TRUE,$Q$5=TRUE,$S$2=TRUE),VLOOKUP($G24,'KO Calc'!$H:$AW,33,FALSE),VLOOKUP($G24,'KO Calc'!$H21:$AW21,33,FALSE)),IF(AND($S$3=TRUE,$S$4=FALSE),IF(OR($Q$4=TRUE,$Q$5=TRUE,$S$2=TRUE),VLOOKUP($G24,'KO Calc'!$H:$AW,23,FALSE),VLOOKUP($G24,'KO Calc'!$H21:$AW21,23,FALSE)),
IF(AND($S$3=TRUE,$S$1=TRUE,$S$4=TRUE)=TRUE,IF(OR($Q$4=TRUE,$Q$5=TRUE,$S$2=TRUE),VLOOKUP($G24,'KO Calc'!$H:$AW,38,FALSE),VLOOKUP($G24,'KO Calc'!$H21:$AW21,38,FALSE)),IF(AND($S$3=TRUE,$S$4=TRUE),IF(OR($Q$4=TRUE,$Q$5=TRUE,$S$2=TRUE),VLOOKUP($G24,'KO Calc'!$H:$AW,28,FALSE),VLOOKUP($G24,'KO Calc'!$H21:$AW21,28,FALSE)))))))))))))</f>
        <v>-</v>
      </c>
      <c r="J24" s="36" t="str">
        <f>IF(AND($Q$1=FALSE,$S$3=FALSE),"-",IF(AND($Q$1=TRUE,$S$3=TRUE),"-",IF(AND($Q$1=FALSE,$S$3=FALSE),"-",IF(AND($Q$1=TRUE,$S$1=TRUE,$S$4=FALSE)=TRUE,IF(OR($Q$4=TRUE,$Q$5=TRUE,$S$2=TRUE),VLOOKUP($G24,'KO Calc'!$H:$AW,FALSE),VLOOKUP($G24,'KO Calc'!$H21:$AW21,14,FALSE)),IF(AND($Q$1=TRUE,$S$4=FALSE),IF(OR($Q$4=TRUE,$Q$5=TRUE,$S$2=TRUE),VLOOKUP($G24,'KO Calc'!$H:$AW,4,FALSE),VLOOKUP($G24,'KO Calc'!$H21:$AW21,4,FALSE)),
IF(AND($Q$1=TRUE,$S$1=TRUE,$S$4=TRUE)=TRUE,IF(OR($Q$4=TRUE,$Q$5=TRUE,$S$2=TRUE),VLOOKUP($G24,'KO Calc'!$H:$AW,19,FALSE),VLOOKUP($G24,'KO Calc'!$H21:$AW21,19,FALSE)),IF(AND($Q$1=TRUE,$S$4=TRUE),IF(OR($Q$4=TRUE,$Q$5=TRUE,$S$2=TRUE),VLOOKUP($G24,'KO Calc'!$H:$AW,9,FALSE),VLOOKUP($G24,'KO Calc'!$H21:$AW21,9,FALSE)),
IF(AND($S$3=TRUE,$S$1=TRUE,$S$4=FALSE)=TRUE,IF(OR($Q$4=TRUE,$Q$5=TRUE,$S$2=TRUE),VLOOKUP($G24,'KO Calc'!$H:$AW,34,FALSE),VLOOKUP($G24,'KO Calc'!$H21:$AW21,34,FALSE)),IF(AND($S$3=TRUE,$S$4=FALSE),IF(OR($Q$4=TRUE,$Q$5=TRUE,$S$2=TRUE),VLOOKUP($G24,'KO Calc'!$H:$AW,24,FALSE),VLOOKUP($G24,'KO Calc'!$H21:$AW21,24,FALSE)),
IF(AND($S$3=TRUE,$S$1=TRUE,$S$4=TRUE)=TRUE,IF(OR($Q$4=TRUE,$Q$5=TRUE,$S$2=TRUE),VLOOKUP($G24,'KO Calc'!$H:$AW,39,FALSE),VLOOKUP($G24,'KO Calc'!$H21:$AW21,39,FALSE)),IF(AND($S$3=TRUE,$S$4=TRUE),IF(OR($Q$4=TRUE,$Q$5=TRUE,$S$2=TRUE),VLOOKUP($G24,'KO Calc'!$H:$AW,29,FALSE),VLOOKUP($G24,'KO Calc'!$H21:$AW21,29,FALSE)))))))))))))</f>
        <v>-</v>
      </c>
      <c r="K24" s="36" t="str">
        <f>IF(AND($Q$1=FALSE,$S$3=FALSE),"-",IF(AND($Q$1=TRUE,$S$3=TRUE),"-",IF(AND($Q$1=FALSE,$S$3=FALSE),"-",IF(AND($Q$1=TRUE,$S$1=TRUE,$S$4=FALSE)=TRUE,IF(OR($Q$4=TRUE,$Q$5=TRUE,$S$2=TRUE),VLOOKUP($G24,'KO Calc'!$H:$AW,15,FALSE),VLOOKUP($G24,'KO Calc'!$H21:$AW21,15,FALSE)),IF(AND($Q$1=TRUE,$S$4=FALSE),IF(OR($Q$4=TRUE,$Q$5=TRUE,$S$2=TRUE),VLOOKUP($G24,'KO Calc'!$H:$AW,5,FALSE),VLOOKUP($G24,'KO Calc'!$H21:$AW21,5,FALSE)),
IF(AND($Q$1=TRUE,$S$1=TRUE,$S$4=TRUE)=TRUE,IF(OR($Q$4=TRUE,$Q$5=TRUE,$S$2=TRUE),VLOOKUP($G24,'KO Calc'!$H:$AW,20,FALSE),VLOOKUP($G24,'KO Calc'!$H21:$AW21,20,FALSE)),IF(AND($Q$1=TRUE,$S$4=TRUE),IF(OR($Q$4=TRUE,$Q$5=TRUE,$S$2=TRUE),VLOOKUP($G24,'KO Calc'!$H:$AW,10,FALSE),VLOOKUP($G24,'KO Calc'!$H21:$AW21,10,FALSE)),
IF(AND($S$3=TRUE,$S$1=TRUE,$S$4=FALSE)=TRUE,IF(OR($Q$4=TRUE,$Q$5=TRUE,$S$2=TRUE),VLOOKUP($G24,'KO Calc'!$H:$AW,35,FALSE),VLOOKUP($G24,'KO Calc'!$H21:$AW21,35,FALSE)),IF(AND($S$3=TRUE,$S$4=FALSE),IF(OR($Q$4=TRUE,$Q$5=TRUE,$S$2=TRUE),VLOOKUP($G24,'KO Calc'!$H:$AW,25,FALSE),VLOOKUP($G24,'KO Calc'!$H21:$AW21,25,FALSE)),
IF(AND($S$3=TRUE,$S$1=TRUE,$S$4=TRUE)=TRUE,IF(OR($Q$4=TRUE,$Q$5=TRUE,$S$2=TRUE),VLOOKUP($G24,'KO Calc'!$H:$AW,40,FALSE),VLOOKUP($G24,'KO Calc'!$H21:$AW21,40,FALSE)),IF(AND($S$3=TRUE,$S$4=TRUE),IF(OR($Q$4=TRUE,$Q$5=TRUE,$S$2=TRUE),VLOOKUP($G24,'KO Calc'!$H:$AW,30,FALSE),VLOOKUP($G24,'KO Calc'!$H21:$AW21,30,FALSE)))))))))))))</f>
        <v>-</v>
      </c>
      <c r="L24" s="36" t="str">
        <f>IFERROR(IF(AND($Q$1=FALSE,$S$3=FALSE),"-",VLOOKUP($E24,'Status Thresholds'!$E:$AU,43,FALSE)),"-")</f>
        <v>-</v>
      </c>
      <c r="M24" s="36" t="str">
        <f>IFERROR(IF(AND($Q$1=FALSE,$S$3=FALSE),"-",VLOOKUP($E24,'Status Thresholds'!$E:$AU,41,FALSE)),"-")</f>
        <v>-</v>
      </c>
      <c r="N24" s="36" t="str">
        <f>IFERROR(IF(AND($Q$1=FALSE,$S$3=FALSE),"-",VLOOKUP($E24,'Status Thresholds'!$E:$AU,42,FALSE)),"-")</f>
        <v>-</v>
      </c>
    </row>
    <row r="25" spans="1:14" x14ac:dyDescent="0.25">
      <c r="B25" s="64" t="str">
        <f>VLOOKUP(C25,'Status Thresholds'!B:C,2,FALSE)</f>
        <v>MHGU</v>
      </c>
      <c r="C25" s="46" t="str">
        <f>IF(ISBLANK('KO Calc'!C21)=TRUE,"",'KO Calc'!C21)</f>
        <v>Ahtal-Ka</v>
      </c>
      <c r="D25" s="78"/>
      <c r="E25" s="62" t="str">
        <f t="shared" si="1"/>
        <v>Ahtal-Ka</v>
      </c>
      <c r="F25" t="s">
        <v>11</v>
      </c>
      <c r="G25" s="36" t="str">
        <f t="shared" si="2"/>
        <v>Ahtal-KaCrag 1</v>
      </c>
      <c r="H25" s="36" t="str">
        <f>IF(AND($Q$1=FALSE,$S$3=FALSE),"-",IF(AND($Q$1=TRUE,$S$3=TRUE),"-",IF(AND($Q$1=FALSE,$S$3=FALSE),"-",IF(AND($Q$1=TRUE,$S$1=TRUE,$S$4=FALSE)=TRUE,IF(OR($Q$4=TRUE,$Q$5=TRUE,$S$2=TRUE),VLOOKUP($G25,'KO Calc'!$H:$AW,12,FALSE),VLOOKUP($G25,'KO Calc'!$H22:$AW22,12,FALSE)),IF(AND($Q$1=TRUE,$S$4=FALSE),IF(OR($Q$4=TRUE,$Q$5=TRUE,$S$2=TRUE),VLOOKUP($G25,'KO Calc'!$H:$AW,2,FALSE),VLOOKUP($G25,'KO Calc'!$H22:$AW22,2,FALSE)),
IF(AND($Q$1=TRUE,$S$1=TRUE,$S$4=TRUE)=TRUE,IF(OR($Q$4=TRUE,$Q$5=TRUE,$S$2=TRUE),VLOOKUP($G25,'KO Calc'!$H:$AW,17,FALSE),VLOOKUP($G25,'KO Calc'!$H22:$AW22,17,FALSE)),IF(AND($Q$1=TRUE,$S$4=TRUE),IF(OR($Q$4=TRUE,$Q$5=TRUE,$S$2=TRUE),VLOOKUP($G25,'KO Calc'!$H:$AW,7,FALSE),VLOOKUP($G25,'KO Calc'!$H22:$AW22,7,FALSE)),
IF(AND($S$3=TRUE,$S$1=TRUE,$S$4=FALSE)=TRUE,IF(OR($Q$4=TRUE,$Q$5=TRUE,$S$2=TRUE),VLOOKUP($G25,'KO Calc'!$H:$AW,32,FALSE),VLOOKUP($G25,'KO Calc'!$H22:$AW22,32,FALSE)),IF(AND($S$3=TRUE,$S$4=FALSE),IF(OR($Q$4=TRUE,$Q$5=TRUE,$S$2=TRUE),VLOOKUP($G25,'KO Calc'!$H:$AW,22,FALSE),VLOOKUP($G25,'KO Calc'!$H22:$AW22,22,FALSE)),
IF(AND($S$3=TRUE,$S$1=TRUE,$S$4=TRUE)=TRUE,IF(OR($Q$4=TRUE,$Q$5=TRUE,$S$2=TRUE),VLOOKUP($G25,'KO Calc'!$H:$AW,37,FALSE),VLOOKUP($G25,'KO Calc'!$H22:$AW22,37,FALSE)),IF(AND($S$3=TRUE,$S$4=TRUE),IF(OR($Q$4=TRUE,$Q$5=TRUE,$S$2=TRUE),VLOOKUP($G25,'KO Calc'!$H:$AW,27,FALSE),VLOOKUP($G25,'KO Calc'!$H22:$AW22,27,FALSE)))))))))))))</f>
        <v>-</v>
      </c>
      <c r="I25" s="36" t="str">
        <f>IF(AND($Q$1=FALSE,$S$3=FALSE),"-",IF(AND($Q$1=TRUE,$S$3=TRUE),"-",IF(AND($Q$1=FALSE,$S$3=FALSE),"-",IF(AND($Q$1=TRUE,$S$1=TRUE,$S$4=FALSE)=TRUE,IF(OR($Q$4=TRUE,$Q$5=TRUE,$S$2=TRUE),VLOOKUP($G25,'KO Calc'!$H:$AW,13,FALSE),VLOOKUP($G25,'KO Calc'!$H22:$AW22,13,FALSE)),IF(AND($Q$1=TRUE,$S$4=FALSE),IF(OR($Q$4=TRUE,$Q$5=TRUE,$S$2=TRUE),VLOOKUP($G25,'KO Calc'!$H:$AW,3,FALSE),VLOOKUP($G25,'KO Calc'!$H22:$AW22,3,FALSE)),
IF(AND($Q$1=TRUE,$S$1=TRUE,$S$4=TRUE)=TRUE,IF(OR($Q$4=TRUE,$Q$5=TRUE,$S$2=TRUE),VLOOKUP($G25,'KO Calc'!$H:$AW,18,FALSE),VLOOKUP($G25,'KO Calc'!$H22:$AW22,18,FALSE)),IF(AND($Q$1=TRUE,$S$4=TRUE),IF(OR($Q$4=TRUE,$Q$5=TRUE,$S$2=TRUE),VLOOKUP($G25,'KO Calc'!$H:$AW,8,FALSE),VLOOKUP($G25,'KO Calc'!$H22:$AW22,8,FALSE)),
IF(AND($S$3=TRUE,$S$1=TRUE,$S$4=FALSE)=TRUE,IF(OR($Q$4=TRUE,$Q$5=TRUE,$S$2=TRUE),VLOOKUP($G25,'KO Calc'!$H:$AW,33,FALSE),VLOOKUP($G25,'KO Calc'!$H22:$AW22,33,FALSE)),IF(AND($S$3=TRUE,$S$4=FALSE),IF(OR($Q$4=TRUE,$Q$5=TRUE,$S$2=TRUE),VLOOKUP($G25,'KO Calc'!$H:$AW,23,FALSE),VLOOKUP($G25,'KO Calc'!$H22:$AW22,23,FALSE)),
IF(AND($S$3=TRUE,$S$1=TRUE,$S$4=TRUE)=TRUE,IF(OR($Q$4=TRUE,$Q$5=TRUE,$S$2=TRUE),VLOOKUP($G25,'KO Calc'!$H:$AW,38,FALSE),VLOOKUP($G25,'KO Calc'!$H22:$AW22,38,FALSE)),IF(AND($S$3=TRUE,$S$4=TRUE),IF(OR($Q$4=TRUE,$Q$5=TRUE,$S$2=TRUE),VLOOKUP($G25,'KO Calc'!$H:$AW,28,FALSE),VLOOKUP($G25,'KO Calc'!$H22:$AW22,28,FALSE)))))))))))))</f>
        <v>-</v>
      </c>
      <c r="J25" s="36" t="str">
        <f>IF(AND($Q$1=FALSE,$S$3=FALSE),"-",IF(AND($Q$1=TRUE,$S$3=TRUE),"-",IF(AND($Q$1=FALSE,$S$3=FALSE),"-",IF(AND($Q$1=TRUE,$S$1=TRUE,$S$4=FALSE)=TRUE,IF(OR($Q$4=TRUE,$Q$5=TRUE,$S$2=TRUE),VLOOKUP($G25,'KO Calc'!$H:$AW,FALSE),VLOOKUP($G25,'KO Calc'!$H22:$AW22,14,FALSE)),IF(AND($Q$1=TRUE,$S$4=FALSE),IF(OR($Q$4=TRUE,$Q$5=TRUE,$S$2=TRUE),VLOOKUP($G25,'KO Calc'!$H:$AW,4,FALSE),VLOOKUP($G25,'KO Calc'!$H22:$AW22,4,FALSE)),
IF(AND($Q$1=TRUE,$S$1=TRUE,$S$4=TRUE)=TRUE,IF(OR($Q$4=TRUE,$Q$5=TRUE,$S$2=TRUE),VLOOKUP($G25,'KO Calc'!$H:$AW,19,FALSE),VLOOKUP($G25,'KO Calc'!$H22:$AW22,19,FALSE)),IF(AND($Q$1=TRUE,$S$4=TRUE),IF(OR($Q$4=TRUE,$Q$5=TRUE,$S$2=TRUE),VLOOKUP($G25,'KO Calc'!$H:$AW,9,FALSE),VLOOKUP($G25,'KO Calc'!$H22:$AW22,9,FALSE)),
IF(AND($S$3=TRUE,$S$1=TRUE,$S$4=FALSE)=TRUE,IF(OR($Q$4=TRUE,$Q$5=TRUE,$S$2=TRUE),VLOOKUP($G25,'KO Calc'!$H:$AW,34,FALSE),VLOOKUP($G25,'KO Calc'!$H22:$AW22,34,FALSE)),IF(AND($S$3=TRUE,$S$4=FALSE),IF(OR($Q$4=TRUE,$Q$5=TRUE,$S$2=TRUE),VLOOKUP($G25,'KO Calc'!$H:$AW,24,FALSE),VLOOKUP($G25,'KO Calc'!$H22:$AW22,24,FALSE)),
IF(AND($S$3=TRUE,$S$1=TRUE,$S$4=TRUE)=TRUE,IF(OR($Q$4=TRUE,$Q$5=TRUE,$S$2=TRUE),VLOOKUP($G25,'KO Calc'!$H:$AW,39,FALSE),VLOOKUP($G25,'KO Calc'!$H22:$AW22,39,FALSE)),IF(AND($S$3=TRUE,$S$4=TRUE),IF(OR($Q$4=TRUE,$Q$5=TRUE,$S$2=TRUE),VLOOKUP($G25,'KO Calc'!$H:$AW,29,FALSE),VLOOKUP($G25,'KO Calc'!$H22:$AW22,29,FALSE)))))))))))))</f>
        <v>-</v>
      </c>
      <c r="K25" s="36" t="str">
        <f>IF(AND($Q$1=FALSE,$S$3=FALSE),"-",IF(AND($Q$1=TRUE,$S$3=TRUE),"-",IF(AND($Q$1=FALSE,$S$3=FALSE),"-",IF(AND($Q$1=TRUE,$S$1=TRUE,$S$4=FALSE)=TRUE,IF(OR($Q$4=TRUE,$Q$5=TRUE,$S$2=TRUE),VLOOKUP($G25,'KO Calc'!$H:$AW,15,FALSE),VLOOKUP($G25,'KO Calc'!$H22:$AW22,15,FALSE)),IF(AND($Q$1=TRUE,$S$4=FALSE),IF(OR($Q$4=TRUE,$Q$5=TRUE,$S$2=TRUE),VLOOKUP($G25,'KO Calc'!$H:$AW,5,FALSE),VLOOKUP($G25,'KO Calc'!$H22:$AW22,5,FALSE)),
IF(AND($Q$1=TRUE,$S$1=TRUE,$S$4=TRUE)=TRUE,IF(OR($Q$4=TRUE,$Q$5=TRUE,$S$2=TRUE),VLOOKUP($G25,'KO Calc'!$H:$AW,20,FALSE),VLOOKUP($G25,'KO Calc'!$H22:$AW22,20,FALSE)),IF(AND($Q$1=TRUE,$S$4=TRUE),IF(OR($Q$4=TRUE,$Q$5=TRUE,$S$2=TRUE),VLOOKUP($G25,'KO Calc'!$H:$AW,10,FALSE),VLOOKUP($G25,'KO Calc'!$H22:$AW22,10,FALSE)),
IF(AND($S$3=TRUE,$S$1=TRUE,$S$4=FALSE)=TRUE,IF(OR($Q$4=TRUE,$Q$5=TRUE,$S$2=TRUE),VLOOKUP($G25,'KO Calc'!$H:$AW,35,FALSE),VLOOKUP($G25,'KO Calc'!$H22:$AW22,35,FALSE)),IF(AND($S$3=TRUE,$S$4=FALSE),IF(OR($Q$4=TRUE,$Q$5=TRUE,$S$2=TRUE),VLOOKUP($G25,'KO Calc'!$H:$AW,25,FALSE),VLOOKUP($G25,'KO Calc'!$H22:$AW22,25,FALSE)),
IF(AND($S$3=TRUE,$S$1=TRUE,$S$4=TRUE)=TRUE,IF(OR($Q$4=TRUE,$Q$5=TRUE,$S$2=TRUE),VLOOKUP($G25,'KO Calc'!$H:$AW,40,FALSE),VLOOKUP($G25,'KO Calc'!$H22:$AW22,40,FALSE)),IF(AND($S$3=TRUE,$S$4=TRUE),IF(OR($Q$4=TRUE,$Q$5=TRUE,$S$2=TRUE),VLOOKUP($G25,'KO Calc'!$H:$AW,30,FALSE),VLOOKUP($G25,'KO Calc'!$H22:$AW22,30,FALSE)))))))))))))</f>
        <v>-</v>
      </c>
      <c r="L25" s="36" t="str">
        <f>IFERROR(VLOOKUP($E25,'Status Thresholds'!$E:$AS,41,FALSE),"-")</f>
        <v>-</v>
      </c>
    </row>
    <row r="26" spans="1:14" x14ac:dyDescent="0.25">
      <c r="B26" s="64" t="str">
        <f>VLOOKUP(C26,'Status Thresholds'!B:C,2,FALSE)</f>
        <v>MHGU</v>
      </c>
      <c r="C26" s="46" t="str">
        <f>IF(ISBLANK('KO Calc'!C22)=TRUE,"",'KO Calc'!C22)</f>
        <v>Ahtal-Ka</v>
      </c>
      <c r="D26" s="78"/>
      <c r="E26" s="62"/>
      <c r="G26" s="36"/>
      <c r="H26" s="36"/>
      <c r="I26" s="36"/>
      <c r="J26" s="36"/>
      <c r="K26" s="36"/>
      <c r="L26" s="36" t="str">
        <f>IFERROR(VLOOKUP($E26,'Status Thresholds'!$E:$AS,41,FALSE),"-")</f>
        <v>-</v>
      </c>
    </row>
    <row r="27" spans="1:14" s="36" customFormat="1" x14ac:dyDescent="0.25">
      <c r="B27" s="64" t="str">
        <f>VLOOKUP(C27,'Status Thresholds'!B:C,2,FALSE)</f>
        <v>MHGU</v>
      </c>
      <c r="C27" s="46" t="str">
        <f>IF(ISBLANK('KO Calc'!C23)=TRUE,"",'KO Calc'!C23)</f>
        <v>Ahtal-Ka ( Fortress)</v>
      </c>
      <c r="D27" s="65" t="s">
        <v>0</v>
      </c>
      <c r="E27" s="62" t="str">
        <f t="shared" si="1"/>
        <v>Ahtal-Ka ( Fortress)Para</v>
      </c>
      <c r="F27" s="36" t="s">
        <v>2</v>
      </c>
      <c r="G27" s="36" t="str">
        <f t="shared" si="2"/>
        <v>Ahtal-Ka ( Fortress)Para lvl 2</v>
      </c>
      <c r="H27" s="36" t="str">
        <f>IFERROR(ROUNDUP(IF(AND($Q$1=FALSE,$S$3=FALSE),"-",IF(AND($Q$1=TRUE,$S$3=TRUE),"-",IF(AND($Q$1=TRUE,$S$1=TRUE,$S$4=FALSE),VLOOKUP($E27,'Status Thresholds'!$E:$AS,12,FALSE),IF(AND($Q$1=TRUE,$S$4=FALSE),VLOOKUP($E27,'Status Thresholds'!$E:$AS,2,FALSE), IF(AND($Q$1=TRUE,$S$1=TRUE,$S$4=TRUE),VLOOKUP($E27,'Status Thresholds'!$E:$AS,17,FALSE),IF(AND($Q$1=TRUE,$S$4=TRUE),VLOOKUP($E27,'Status Thresholds'!$E:$AS,7,FALSE),IF(AND($S$3=TRUE,$S$1=TRUE,$S$4=FALSE),VLOOKUP($E27,'Status Thresholds'!$E:$AS,32,FALSE),IF(AND($S$3=TRUE,$S$4=FALSE),VLOOKUP($E27,'Status Thresholds'!$E:$AS,22,FALSE),IF(AND($S$3=TRUE,$S$1=TRUE,$S$4=TRUE),VLOOKUP($E27,'Status Thresholds'!$E:$AS,37,FALSE),IF(AND($S$3=TRUE,$S$4=TRUE),VLOOKUP($E27,'Status Thresholds'!$E:$AS,27,FALSE),""))))))))/IF(OR($Q$3=TRUE,AND($Q$2=TRUE,$Q$7=TRUE),AND($Q$3=TRUE,$Q$7=TRUE))=TRUE,'Shots and Status'!$F$5,IF((OR($Q$2,$Q$7)=TRUE),'Shots and Status'!$D$5,'Shots and Status'!$C$5)))),0),"-")</f>
        <v>-</v>
      </c>
      <c r="I27" s="36" t="str">
        <f>IFERROR(ROUNDUP(IF(AND($Q$1=FALSE,$S$3=FALSE),"-",IF(AND($Q$1=TRUE,$S$3=TRUE),"-",IF(AND($Q$1=TRUE,$S$1=TRUE,$S$4=FALSE),VLOOKUP($E27,'Status Thresholds'!$E:$AS,13,FALSE),IF(AND($Q$1=TRUE,$S$4=FALSE),VLOOKUP($E27,'Status Thresholds'!$E:$AS,3,FALSE), IF(AND($Q$1=TRUE,$S$1=TRUE,$S$4=TRUE),VLOOKUP($E27,'Status Thresholds'!$E:$AS,18,FALSE),IF(AND($Q$1=TRUE,$S$4=TRUE),VLOOKUP($E27,'Status Thresholds'!$E:$AS,8,FALSE),IF(AND($S$3=TRUE,$S$1=TRUE,$S$4=FALSE),VLOOKUP($E27,'Status Thresholds'!$E:$AS,33,FALSE),IF(AND($S$3=TRUE,$S$4=FALSE),VLOOKUP($E27,'Status Thresholds'!$E:$AS,23,FALSE),IF(AND($S$3=TRUE,$S$1=TRUE,$S$4=TRUE),VLOOKUP($E27,'Status Thresholds'!$E:$AS,38,FALSE),IF(AND($S$3=TRUE,$S$4=TRUE),VLOOKUP($E27,'Status Thresholds'!$E:$AS,28,FALSE),""))))))))/IF(OR($Q$3=TRUE,AND($Q$2=TRUE,$Q$7=TRUE),AND($Q$3=TRUE,$Q$7=TRUE))=TRUE,'Shots and Status'!$F$5,IF((OR($Q$2,$Q$7)=TRUE),'Shots and Status'!$D$5,'Shots and Status'!$C$5)))),0),"-")</f>
        <v>-</v>
      </c>
      <c r="J27" s="36" t="str">
        <f>IFERROR(ROUNDUP(IF(AND($Q$1=FALSE,$S$3=FALSE),"-",IF(AND($Q$1=TRUE,$S$3=TRUE),"-",IF(AND($Q$1=TRUE,$S$1=TRUE,$S$4=FALSE),VLOOKUP($E27,'Status Thresholds'!$E:$AS,14,FALSE),IF(AND($Q$1=TRUE,$S$4=FALSE),VLOOKUP($E27,'Status Thresholds'!$E:$AS,4,FALSE), IF(AND($Q$1=TRUE,$S$1=TRUE,$S$4=TRUE),VLOOKUP($E27,'Status Thresholds'!$E:$AS,19,FALSE),IF(AND($Q$1=TRUE,$S$4=TRUE),VLOOKUP($E27,'Status Thresholds'!$E:$AS,9,FALSE),IF(AND($S$3=TRUE,$S$1=TRUE,$S$4=FALSE),VLOOKUP($E27,'Status Thresholds'!$E:$AS,34,FALSE),IF(AND($S$3=TRUE,$S$4=FALSE),VLOOKUP($E27,'Status Thresholds'!$E:$AS,24,FALSE),IF(AND($S$3=TRUE,$S$1=TRUE,$S$4=TRUE),VLOOKUP($E27,'Status Thresholds'!$E:$AS,39,FALSE),IF(AND($S$3=TRUE,$S$4=TRUE),VLOOKUP($E27,'Status Thresholds'!$E:$AS,29,FALSE),""))))))))/IF(OR($Q$3=TRUE,AND($Q$2=TRUE,$Q$7=TRUE),AND($Q$3=TRUE,$Q$7=TRUE))=TRUE,'Shots and Status'!$F$5,IF((OR($Q$2,$Q$7)=TRUE),'Shots and Status'!$D$5,'Shots and Status'!$C$5)))),0),"-")</f>
        <v>-</v>
      </c>
      <c r="K27" s="36" t="str">
        <f>IFERROR(ROUNDUP(IF(AND($Q$1=FALSE,$S$3=FALSE),"-",IF(AND($Q$1=TRUE,$S$3=TRUE),"-",IF(AND($Q$1=TRUE,$S$1=TRUE,$S$4=FALSE),VLOOKUP($E27,'Status Thresholds'!$E:$AS,15,FALSE),IF(AND($Q$1=TRUE,$S$4=FALSE),VLOOKUP($E27,'Status Thresholds'!$E:$AS,5,FALSE), IF(AND($Q$1=TRUE,$S$1=TRUE,$S$4=TRUE),VLOOKUP($E27,'Status Thresholds'!$E:$AS,20,FALSE),IF(AND($Q$1=TRUE,$S$4=TRUE),VLOOKUP($E27,'Status Thresholds'!$E:$AS,10,FALSE),IF(AND($S$3=TRUE,$S$1=TRUE,$S$4=FALSE),VLOOKUP($E27,'Status Thresholds'!$E:$AS,35,FALSE),IF(AND($S$3=TRUE,$S$4=FALSE),VLOOKUP($E27,'Status Thresholds'!$E:$AS,25,FALSE),IF(AND($S$3=TRUE,$S$1=TRUE,$S$4=TRUE),VLOOKUP($E27,'Status Thresholds'!$E:$AS,40,FALSE),IF(AND($S$3=TRUE,$S$4=TRUE),VLOOKUP($E27,'Status Thresholds'!$E:$AS,30,FALSE),""))))))))/IF(OR($Q$3=TRUE,AND($Q$2=TRUE,$Q$7=TRUE),AND($Q$3=TRUE,$Q$7=TRUE))=TRUE,'Shots and Status'!$F$5,IF((OR($Q$2,$Q$7)=TRUE),'Shots and Status'!$D$5,'Shots and Status'!$C$5)))),0),"-")</f>
        <v>-</v>
      </c>
      <c r="L27" s="36" t="str">
        <f>IFERROR(IF(AND($Q$1=FALSE,$S$3=FALSE),"-",VLOOKUP($E27,'Status Thresholds'!$E:$AU,41,FALSE)),"-")</f>
        <v>-</v>
      </c>
      <c r="M27" s="36" t="str">
        <f>IFERROR(IF(AND($Q$1=FALSE,$S$3=FALSE),"-",VLOOKUP($E27,'Status Thresholds'!$E:$AU,42,FALSE)),"-")</f>
        <v>-</v>
      </c>
      <c r="N27" s="36" t="str">
        <f>IFERROR(IF(AND($Q$1=FALSE,$S$3=FALSE),"-",VLOOKUP($E27,'Status Thresholds'!$E:$AU,43,FALSE)),"-")</f>
        <v>-</v>
      </c>
    </row>
    <row r="28" spans="1:14" s="59" customFormat="1" x14ac:dyDescent="0.25">
      <c r="A28" s="46"/>
      <c r="B28" s="64" t="str">
        <f>VLOOKUP(C28,'Status Thresholds'!B:C,2,FALSE)</f>
        <v>MHGU</v>
      </c>
      <c r="C28" s="46" t="str">
        <f>IF(ISBLANK('KO Calc'!C24)=TRUE,"",'KO Calc'!C24)</f>
        <v>Ahtal-Ka ( Fortress)</v>
      </c>
      <c r="D28" s="60" t="s">
        <v>32</v>
      </c>
      <c r="E28" s="62" t="str">
        <f t="shared" si="1"/>
        <v>Ahtal-Ka ( Fortress)Sleep</v>
      </c>
      <c r="F28" s="59" t="s">
        <v>5</v>
      </c>
      <c r="G28" s="36" t="str">
        <f t="shared" si="2"/>
        <v>Ahtal-Ka ( Fortress)Sleep lvl 2</v>
      </c>
      <c r="H28" s="36" t="str">
        <f>IFERROR(ROUNDUP(IF(AND($Q$1=FALSE,$S$3=FALSE),"-",IF(AND($Q$1=TRUE,$S$3=TRUE),"-",IF(AND($Q$1=TRUE,$S$1=TRUE,$S$4=FALSE),VLOOKUP($E28,'Status Thresholds'!$E:$AS,12,FALSE),IF(AND($Q$1=TRUE,$S$4=FALSE),VLOOKUP($E28,'Status Thresholds'!$E:$AS,2,FALSE), IF(AND($Q$1=TRUE,$S$1=TRUE,$S$4=TRUE),VLOOKUP($E28,'Status Thresholds'!$E:$AS,17,FALSE),IF(AND($Q$1=TRUE,$S$4=TRUE),VLOOKUP($E28,'Status Thresholds'!$E:$AS,7,FALSE),IF(AND($S$3=TRUE,$S$1=TRUE,$S$4=FALSE),VLOOKUP($E28,'Status Thresholds'!$E:$AS,32,FALSE),IF(AND($S$3=TRUE,$S$4=FALSE),VLOOKUP($E28,'Status Thresholds'!$E:$AS,22,FALSE),IF(AND($S$3=TRUE,$S$1=TRUE,$S$4=TRUE),VLOOKUP($E28,'Status Thresholds'!$E:$AS,37,FALSE),IF(AND($S$3=TRUE,$S$4=TRUE),VLOOKUP($E28,'Status Thresholds'!$E:$AS,27,FALSE),""))))))))/IF(OR($Q$3=TRUE,AND($Q$2=TRUE,$Q$7=TRUE),AND($Q$3=TRUE,$Q$7=TRUE))=TRUE,'Shots and Status'!$F$5,IF((OR($Q$2,$Q$7)=TRUE),'Shots and Status'!$D$5,'Shots and Status'!$C$5)))),0),"-")</f>
        <v>-</v>
      </c>
      <c r="I28" s="36" t="str">
        <f>IFERROR(ROUNDUP(IF(AND($Q$1=FALSE,$S$3=FALSE),"-",IF(AND($Q$1=TRUE,$S$3=TRUE),"-",IF(AND($Q$1=TRUE,$S$1=TRUE,$S$4=FALSE),VLOOKUP($E28,'Status Thresholds'!$E:$AS,13,FALSE),IF(AND($Q$1=TRUE,$S$4=FALSE),VLOOKUP($E28,'Status Thresholds'!$E:$AS,3,FALSE), IF(AND($Q$1=TRUE,$S$1=TRUE,$S$4=TRUE),VLOOKUP($E28,'Status Thresholds'!$E:$AS,18,FALSE),IF(AND($Q$1=TRUE,$S$4=TRUE),VLOOKUP($E28,'Status Thresholds'!$E:$AS,8,FALSE),IF(AND($S$3=TRUE,$S$1=TRUE,$S$4=FALSE),VLOOKUP($E28,'Status Thresholds'!$E:$AS,33,FALSE),IF(AND($S$3=TRUE,$S$4=FALSE),VLOOKUP($E28,'Status Thresholds'!$E:$AS,23,FALSE),IF(AND($S$3=TRUE,$S$1=TRUE,$S$4=TRUE),VLOOKUP($E28,'Status Thresholds'!$E:$AS,38,FALSE),IF(AND($S$3=TRUE,$S$4=TRUE),VLOOKUP($E28,'Status Thresholds'!$E:$AS,28,FALSE),""))))))))/IF(OR($Q$3=TRUE,AND($Q$2=TRUE,$Q$7=TRUE),AND($Q$3=TRUE,$Q$7=TRUE))=TRUE,'Shots and Status'!$F$5,IF((OR($Q$2,$Q$7)=TRUE),'Shots and Status'!$D$5,'Shots and Status'!$C$5)))),0),"-")</f>
        <v>-</v>
      </c>
      <c r="J28" s="36" t="str">
        <f>IFERROR(ROUNDUP(IF(AND($Q$1=FALSE,$S$3=FALSE),"-",IF(AND($Q$1=TRUE,$S$3=TRUE),"-",IF(AND($Q$1=TRUE,$S$1=TRUE,$S$4=FALSE),VLOOKUP($E28,'Status Thresholds'!$E:$AS,14,FALSE),IF(AND($Q$1=TRUE,$S$4=FALSE),VLOOKUP($E28,'Status Thresholds'!$E:$AS,4,FALSE), IF(AND($Q$1=TRUE,$S$1=TRUE,$S$4=TRUE),VLOOKUP($E28,'Status Thresholds'!$E:$AS,19,FALSE),IF(AND($Q$1=TRUE,$S$4=TRUE),VLOOKUP($E28,'Status Thresholds'!$E:$AS,9,FALSE),IF(AND($S$3=TRUE,$S$1=TRUE,$S$4=FALSE),VLOOKUP($E28,'Status Thresholds'!$E:$AS,34,FALSE),IF(AND($S$3=TRUE,$S$4=FALSE),VLOOKUP($E28,'Status Thresholds'!$E:$AS,24,FALSE),IF(AND($S$3=TRUE,$S$1=TRUE,$S$4=TRUE),VLOOKUP($E28,'Status Thresholds'!$E:$AS,39,FALSE),IF(AND($S$3=TRUE,$S$4=TRUE),VLOOKUP($E28,'Status Thresholds'!$E:$AS,29,FALSE),""))))))))/IF(OR($Q$3=TRUE,AND($Q$2=TRUE,$Q$7=TRUE),AND($Q$3=TRUE,$Q$7=TRUE))=TRUE,'Shots and Status'!$F$5,IF((OR($Q$2,$Q$7)=TRUE),'Shots and Status'!$D$5,'Shots and Status'!$C$5)))),0),"-")</f>
        <v>-</v>
      </c>
      <c r="K28" s="36" t="str">
        <f>IFERROR(ROUNDUP(IF(AND($Q$1=FALSE,$S$3=FALSE),"-",IF(AND($Q$1=TRUE,$S$3=TRUE),"-",IF(AND($Q$1=TRUE,$S$1=TRUE,$S$4=FALSE),VLOOKUP($E28,'Status Thresholds'!$E:$AS,15,FALSE),IF(AND($Q$1=TRUE,$S$4=FALSE),VLOOKUP($E28,'Status Thresholds'!$E:$AS,5,FALSE), IF(AND($Q$1=TRUE,$S$1=TRUE,$S$4=TRUE),VLOOKUP($E28,'Status Thresholds'!$E:$AS,20,FALSE),IF(AND($Q$1=TRUE,$S$4=TRUE),VLOOKUP($E28,'Status Thresholds'!$E:$AS,10,FALSE),IF(AND($S$3=TRUE,$S$1=TRUE,$S$4=FALSE),VLOOKUP($E28,'Status Thresholds'!$E:$AS,35,FALSE),IF(AND($S$3=TRUE,$S$4=FALSE),VLOOKUP($E28,'Status Thresholds'!$E:$AS,25,FALSE),IF(AND($S$3=TRUE,$S$1=TRUE,$S$4=TRUE),VLOOKUP($E28,'Status Thresholds'!$E:$AS,40,FALSE),IF(AND($S$3=TRUE,$S$4=TRUE),VLOOKUP($E28,'Status Thresholds'!$E:$AS,30,FALSE),""))))))))/IF(OR($Q$3=TRUE,AND($Q$2=TRUE,$Q$7=TRUE),AND($Q$3=TRUE,$Q$7=TRUE))=TRUE,'Shots and Status'!$F$5,IF((OR($Q$2,$Q$7)=TRUE),'Shots and Status'!$D$5,'Shots and Status'!$C$5)))),0),"-")</f>
        <v>-</v>
      </c>
      <c r="L28" s="36" t="str">
        <f>IFERROR(IF(AND($Q$1=FALSE,$S$3=FALSE),"-",VLOOKUP($E28,'Status Thresholds'!$E:$AU,41,FALSE)),"-")</f>
        <v>-</v>
      </c>
      <c r="M28" s="36" t="str">
        <f>IFERROR(IF(AND($Q$1=FALSE,$S$3=FALSE),"-",VLOOKUP($E28,'Status Thresholds'!$E:$AU,42,FALSE)),"-")</f>
        <v>-</v>
      </c>
      <c r="N28" s="36" t="str">
        <f>IFERROR(IF(AND($Q$1=FALSE,$S$3=FALSE),"-",VLOOKUP($E28,'Status Thresholds'!$E:$AU,43,FALSE)),"-")</f>
        <v>-</v>
      </c>
    </row>
    <row r="29" spans="1:14" s="59" customFormat="1" x14ac:dyDescent="0.25">
      <c r="A29" s="46"/>
      <c r="B29" s="64" t="str">
        <f>VLOOKUP(C29,'Status Thresholds'!B:C,2,FALSE)</f>
        <v>MHGU</v>
      </c>
      <c r="C29" s="46" t="str">
        <f>IF(ISBLANK('KO Calc'!C25)=TRUE,"",'KO Calc'!C25)</f>
        <v>Ahtal-Ka ( Fortress)</v>
      </c>
      <c r="D29" s="58" t="s">
        <v>33</v>
      </c>
      <c r="E29" s="62" t="str">
        <f t="shared" si="1"/>
        <v>Ahtal-Ka ( Fortress)Poison</v>
      </c>
      <c r="F29" s="59" t="s">
        <v>6</v>
      </c>
      <c r="G29" s="36" t="str">
        <f t="shared" si="2"/>
        <v>Ahtal-Ka ( Fortress)Poison lvl 2</v>
      </c>
      <c r="H29" s="36" t="str">
        <f>IFERROR(ROUNDUP(IF(AND($Q$1=FALSE,$S$3=FALSE),"-",IF(AND($Q$1=TRUE,$S$3=TRUE),"-",IF(AND($Q$1=TRUE,$S$1=TRUE,$S$4=FALSE),VLOOKUP($E29,'Status Thresholds'!$E:$AS,12,FALSE),IF(AND($Q$1=TRUE,$S$4=FALSE),VLOOKUP($E29,'Status Thresholds'!$E:$AS,2,FALSE), IF(AND($Q$1=TRUE,$S$1=TRUE,$S$4=TRUE),VLOOKUP($E29,'Status Thresholds'!$E:$AS,17,FALSE),IF(AND($Q$1=TRUE,$S$4=TRUE),VLOOKUP($E29,'Status Thresholds'!$E:$AS,7,FALSE),IF(AND($S$3=TRUE,$S$1=TRUE,$S$4=FALSE),VLOOKUP($E29,'Status Thresholds'!$E:$AS,32,FALSE),IF(AND($S$3=TRUE,$S$4=FALSE),VLOOKUP($E29,'Status Thresholds'!$E:$AS,22,FALSE),IF(AND($S$3=TRUE,$S$1=TRUE,$S$4=TRUE),VLOOKUP($E29,'Status Thresholds'!$E:$AS,37,FALSE),IF(AND($S$3=TRUE,$S$4=TRUE),VLOOKUP($E29,'Status Thresholds'!$E:$AS,27,FALSE),""))))))))/IF(OR($Q$3=TRUE,AND($Q$2=TRUE,$Q$7=TRUE),AND($Q$3=TRUE,$Q$7=TRUE))=TRUE,'Shots and Status'!$F$5,IF((OR($Q$2,$Q$7)=TRUE),'Shots and Status'!$D$5,'Shots and Status'!$C$5)))),0),"-")</f>
        <v>-</v>
      </c>
      <c r="I29" s="36" t="str">
        <f>IFERROR(ROUNDUP(IF(AND($Q$1=FALSE,$S$3=FALSE),"-",IF(AND($Q$1=TRUE,$S$3=TRUE),"-",IF(AND($Q$1=TRUE,$S$1=TRUE,$S$4=FALSE),VLOOKUP($E29,'Status Thresholds'!$E:$AS,13,FALSE),IF(AND($Q$1=TRUE,$S$4=FALSE),VLOOKUP($E29,'Status Thresholds'!$E:$AS,3,FALSE), IF(AND($Q$1=TRUE,$S$1=TRUE,$S$4=TRUE),VLOOKUP($E29,'Status Thresholds'!$E:$AS,18,FALSE),IF(AND($Q$1=TRUE,$S$4=TRUE),VLOOKUP($E29,'Status Thresholds'!$E:$AS,8,FALSE),IF(AND($S$3=TRUE,$S$1=TRUE,$S$4=FALSE),VLOOKUP($E29,'Status Thresholds'!$E:$AS,33,FALSE),IF(AND($S$3=TRUE,$S$4=FALSE),VLOOKUP($E29,'Status Thresholds'!$E:$AS,23,FALSE),IF(AND($S$3=TRUE,$S$1=TRUE,$S$4=TRUE),VLOOKUP($E29,'Status Thresholds'!$E:$AS,38,FALSE),IF(AND($S$3=TRUE,$S$4=TRUE),VLOOKUP($E29,'Status Thresholds'!$E:$AS,28,FALSE),""))))))))/IF(OR($Q$3=TRUE,AND($Q$2=TRUE,$Q$7=TRUE),AND($Q$3=TRUE,$Q$7=TRUE))=TRUE,'Shots and Status'!$F$5,IF((OR($Q$2,$Q$7)=TRUE),'Shots and Status'!$D$5,'Shots and Status'!$C$5)))),0),"-")</f>
        <v>-</v>
      </c>
      <c r="J29" s="36" t="str">
        <f>IFERROR(ROUNDUP(IF(AND($Q$1=FALSE,$S$3=FALSE),"-",IF(AND($Q$1=TRUE,$S$3=TRUE),"-",IF(AND($Q$1=TRUE,$S$1=TRUE,$S$4=FALSE),VLOOKUP($E29,'Status Thresholds'!$E:$AS,14,FALSE),IF(AND($Q$1=TRUE,$S$4=FALSE),VLOOKUP($E29,'Status Thresholds'!$E:$AS,4,FALSE), IF(AND($Q$1=TRUE,$S$1=TRUE,$S$4=TRUE),VLOOKUP($E29,'Status Thresholds'!$E:$AS,19,FALSE),IF(AND($Q$1=TRUE,$S$4=TRUE),VLOOKUP($E29,'Status Thresholds'!$E:$AS,9,FALSE),IF(AND($S$3=TRUE,$S$1=TRUE,$S$4=FALSE),VLOOKUP($E29,'Status Thresholds'!$E:$AS,34,FALSE),IF(AND($S$3=TRUE,$S$4=FALSE),VLOOKUP($E29,'Status Thresholds'!$E:$AS,24,FALSE),IF(AND($S$3=TRUE,$S$1=TRUE,$S$4=TRUE),VLOOKUP($E29,'Status Thresholds'!$E:$AS,39,FALSE),IF(AND($S$3=TRUE,$S$4=TRUE),VLOOKUP($E29,'Status Thresholds'!$E:$AS,29,FALSE),""))))))))/IF(OR($Q$3=TRUE,AND($Q$2=TRUE,$Q$7=TRUE),AND($Q$3=TRUE,$Q$7=TRUE))=TRUE,'Shots and Status'!$F$5,IF((OR($Q$2,$Q$7)=TRUE),'Shots and Status'!$D$5,'Shots and Status'!$C$5)))),0),"-")</f>
        <v>-</v>
      </c>
      <c r="K29" s="36" t="str">
        <f>IFERROR(ROUNDUP(IF(AND($Q$1=FALSE,$S$3=FALSE),"-",IF(AND($Q$1=TRUE,$S$3=TRUE),"-",IF(AND($Q$1=TRUE,$S$1=TRUE,$S$4=FALSE),VLOOKUP($E29,'Status Thresholds'!$E:$AS,15,FALSE),IF(AND($Q$1=TRUE,$S$4=FALSE),VLOOKUP($E29,'Status Thresholds'!$E:$AS,5,FALSE), IF(AND($Q$1=TRUE,$S$1=TRUE,$S$4=TRUE),VLOOKUP($E29,'Status Thresholds'!$E:$AS,20,FALSE),IF(AND($Q$1=TRUE,$S$4=TRUE),VLOOKUP($E29,'Status Thresholds'!$E:$AS,10,FALSE),IF(AND($S$3=TRUE,$S$1=TRUE,$S$4=FALSE),VLOOKUP($E29,'Status Thresholds'!$E:$AS,35,FALSE),IF(AND($S$3=TRUE,$S$4=FALSE),VLOOKUP($E29,'Status Thresholds'!$E:$AS,25,FALSE),IF(AND($S$3=TRUE,$S$1=TRUE,$S$4=TRUE),VLOOKUP($E29,'Status Thresholds'!$E:$AS,40,FALSE),IF(AND($S$3=TRUE,$S$4=TRUE),VLOOKUP($E29,'Status Thresholds'!$E:$AS,30,FALSE),""))))))))/IF(OR($Q$3=TRUE,AND($Q$2=TRUE,$Q$7=TRUE),AND($Q$3=TRUE,$Q$7=TRUE))=TRUE,'Shots and Status'!$F$5,IF((OR($Q$2,$Q$7)=TRUE),'Shots and Status'!$D$5,'Shots and Status'!$C$5)))),0),"-")</f>
        <v>-</v>
      </c>
      <c r="L29" s="36" t="str">
        <f>IFERROR(IF(AND($Q$1=FALSE,$S$3=FALSE),"-",VLOOKUP($E29,'Status Thresholds'!$E:$AU,41,FALSE)),"-")</f>
        <v>-</v>
      </c>
      <c r="M29" s="36" t="str">
        <f>IFERROR(IF(AND($Q$1=FALSE,$S$3=FALSE),"-",VLOOKUP($E29,'Status Thresholds'!$E:$AU,42,FALSE)),"-")</f>
        <v>-</v>
      </c>
      <c r="N29" s="36" t="str">
        <f>IFERROR(IF(AND($Q$1=FALSE,$S$3=FALSE),"-",VLOOKUP($E29,'Status Thresholds'!$E:$AU,43,FALSE)),"-")</f>
        <v>-</v>
      </c>
    </row>
    <row r="30" spans="1:14" s="36" customFormat="1" x14ac:dyDescent="0.25">
      <c r="A30" s="46"/>
      <c r="B30" s="64" t="str">
        <f>VLOOKUP(C30,'Status Thresholds'!B:C,2,FALSE)</f>
        <v>MHGU</v>
      </c>
      <c r="C30" s="46" t="str">
        <f>IF(ISBLANK('KO Calc'!C26)=TRUE,"",'KO Calc'!C26)</f>
        <v>Ahtal-Ka ( Fortress)</v>
      </c>
      <c r="D30" s="57" t="s">
        <v>22</v>
      </c>
      <c r="E30" s="62" t="str">
        <f t="shared" si="1"/>
        <v>Ahtal-Ka ( Fortress)Exhaust</v>
      </c>
      <c r="F30" s="36" t="s">
        <v>8</v>
      </c>
      <c r="G30" s="36" t="str">
        <f t="shared" si="2"/>
        <v>Ahtal-Ka ( Fortress)Exhaust lvl 2</v>
      </c>
      <c r="H30" s="36" t="str">
        <f>IFERROR(ROUNDUP(IF(AND($Q$1=FALSE,$S$3=FALSE),"-",IF(AND($Q$1=TRUE,$S$3=TRUE),"-",IF(AND($Q$1=TRUE,$S$1=TRUE,$S$4=FALSE),VLOOKUP($E30,'Status Thresholds'!$E:$AS,12,FALSE),IF(AND($Q$1=TRUE,$S$4=FALSE),VLOOKUP($E30,'Status Thresholds'!$E:$AS,2,FALSE), IF(AND($Q$1=TRUE,$S$1=TRUE,$S$4=TRUE),VLOOKUP($E30,'Status Thresholds'!$E:$AS,17,FALSE),IF(AND($Q$1=TRUE,$S$4=TRUE),VLOOKUP($E30,'Status Thresholds'!$E:$AS,7,FALSE),IF(AND($S$3=TRUE,$S$1=TRUE,$S$4=FALSE),VLOOKUP($E30,'Status Thresholds'!$E:$AS,32,FALSE),IF(AND($S$3=TRUE,$S$4=FALSE),VLOOKUP($E30,'Status Thresholds'!$E:$AS,22,FALSE),IF(AND($S$3=TRUE,$S$1=TRUE,$S$4=TRUE),VLOOKUP($E30,'Status Thresholds'!$E:$AS,37,FALSE),IF(AND($S$3=TRUE,$S$4=TRUE),VLOOKUP($E30,'Status Thresholds'!$E:$AS,27,FALSE),""))))))))/IF(OR($Q$3=TRUE,AND($Q$2=TRUE,$Q$7=TRUE),AND($Q$3=TRUE,$Q$7=TRUE))=TRUE,'Shots and Status'!$F$5,IF((OR($Q$2,$Q$7)=TRUE),'Shots and Status'!$D$5,'Shots and Status'!$C$5)))),0),"-")</f>
        <v>-</v>
      </c>
      <c r="I30" s="36" t="str">
        <f>IFERROR(ROUNDUP(IF(AND($Q$1=FALSE,$S$3=FALSE),"-",IF(AND($Q$1=TRUE,$S$3=TRUE),"-",IF(AND($Q$1=TRUE,$S$1=TRUE,$S$4=FALSE),VLOOKUP($E30,'Status Thresholds'!$E:$AS,13,FALSE),IF(AND($Q$1=TRUE,$S$4=FALSE),VLOOKUP($E30,'Status Thresholds'!$E:$AS,3,FALSE), IF(AND($Q$1=TRUE,$S$1=TRUE,$S$4=TRUE),VLOOKUP($E30,'Status Thresholds'!$E:$AS,18,FALSE),IF(AND($Q$1=TRUE,$S$4=TRUE),VLOOKUP($E30,'Status Thresholds'!$E:$AS,8,FALSE),IF(AND($S$3=TRUE,$S$1=TRUE,$S$4=FALSE),VLOOKUP($E30,'Status Thresholds'!$E:$AS,33,FALSE),IF(AND($S$3=TRUE,$S$4=FALSE),VLOOKUP($E30,'Status Thresholds'!$E:$AS,23,FALSE),IF(AND($S$3=TRUE,$S$1=TRUE,$S$4=TRUE),VLOOKUP($E30,'Status Thresholds'!$E:$AS,38,FALSE),IF(AND($S$3=TRUE,$S$4=TRUE),VLOOKUP($E30,'Status Thresholds'!$E:$AS,28,FALSE),""))))))))/IF(OR($Q$3=TRUE,AND($Q$2=TRUE,$Q$7=TRUE),AND($Q$3=TRUE,$Q$7=TRUE))=TRUE,'Shots and Status'!$F$5,IF((OR($Q$2,$Q$7)=TRUE),'Shots and Status'!$D$5,'Shots and Status'!$C$5)))),0),"-")</f>
        <v>-</v>
      </c>
      <c r="J30" s="36" t="str">
        <f>IFERROR(ROUNDUP(IF(AND($Q$1=FALSE,$S$3=FALSE),"-",IF(AND($Q$1=TRUE,$S$3=TRUE),"-",IF(AND($Q$1=TRUE,$S$1=TRUE,$S$4=FALSE),VLOOKUP($E30,'Status Thresholds'!$E:$AS,14,FALSE),IF(AND($Q$1=TRUE,$S$4=FALSE),VLOOKUP($E30,'Status Thresholds'!$E:$AS,4,FALSE), IF(AND($Q$1=TRUE,$S$1=TRUE,$S$4=TRUE),VLOOKUP($E30,'Status Thresholds'!$E:$AS,19,FALSE),IF(AND($Q$1=TRUE,$S$4=TRUE),VLOOKUP($E30,'Status Thresholds'!$E:$AS,9,FALSE),IF(AND($S$3=TRUE,$S$1=TRUE,$S$4=FALSE),VLOOKUP($E30,'Status Thresholds'!$E:$AS,34,FALSE),IF(AND($S$3=TRUE,$S$4=FALSE),VLOOKUP($E30,'Status Thresholds'!$E:$AS,24,FALSE),IF(AND($S$3=TRUE,$S$1=TRUE,$S$4=TRUE),VLOOKUP($E30,'Status Thresholds'!$E:$AS,39,FALSE),IF(AND($S$3=TRUE,$S$4=TRUE),VLOOKUP($E30,'Status Thresholds'!$E:$AS,29,FALSE),""))))))))/IF(OR($Q$3=TRUE,AND($Q$2=TRUE,$Q$7=TRUE),AND($Q$3=TRUE,$Q$7=TRUE))=TRUE,'Shots and Status'!$F$5,IF((OR($Q$2,$Q$7)=TRUE),'Shots and Status'!$D$5,'Shots and Status'!$C$5)))),0),"-")</f>
        <v>-</v>
      </c>
      <c r="K30" s="36" t="str">
        <f>IFERROR(ROUNDUP(IF(AND($Q$1=FALSE,$S$3=FALSE),"-",IF(AND($Q$1=TRUE,$S$3=TRUE),"-",IF(AND($Q$1=TRUE,$S$1=TRUE,$S$4=FALSE),VLOOKUP($E30,'Status Thresholds'!$E:$AS,15,FALSE),IF(AND($Q$1=TRUE,$S$4=FALSE),VLOOKUP($E30,'Status Thresholds'!$E:$AS,5,FALSE), IF(AND($Q$1=TRUE,$S$1=TRUE,$S$4=TRUE),VLOOKUP($E30,'Status Thresholds'!$E:$AS,20,FALSE),IF(AND($Q$1=TRUE,$S$4=TRUE),VLOOKUP($E30,'Status Thresholds'!$E:$AS,10,FALSE),IF(AND($S$3=TRUE,$S$1=TRUE,$S$4=FALSE),VLOOKUP($E30,'Status Thresholds'!$E:$AS,35,FALSE),IF(AND($S$3=TRUE,$S$4=FALSE),VLOOKUP($E30,'Status Thresholds'!$E:$AS,25,FALSE),IF(AND($S$3=TRUE,$S$1=TRUE,$S$4=TRUE),VLOOKUP($E30,'Status Thresholds'!$E:$AS,40,FALSE),IF(AND($S$3=TRUE,$S$4=TRUE),VLOOKUP($E30,'Status Thresholds'!$E:$AS,30,FALSE),""))))))))/IF(OR($Q$3=TRUE,AND($Q$2=TRUE,$Q$7=TRUE),AND($Q$3=TRUE,$Q$7=TRUE))=TRUE,'Shots and Status'!$F$5,IF((OR($Q$2,$Q$7)=TRUE),'Shots and Status'!$D$5,'Shots and Status'!$C$5)))),0),"-")</f>
        <v>-</v>
      </c>
      <c r="L30" s="36" t="str">
        <f>IFERROR(IF(AND($Q$1=FALSE,$S$3=FALSE),"-",VLOOKUP($E30,'Status Thresholds'!$E:$AU,41,FALSE)),"-")</f>
        <v>-</v>
      </c>
      <c r="M30" s="36" t="str">
        <f>IFERROR(IF(AND($Q$1=FALSE,$S$3=FALSE),"-",VLOOKUP($E30,'Status Thresholds'!$E:$AU,42,FALSE)),"-")</f>
        <v>-</v>
      </c>
      <c r="N30" s="36" t="str">
        <f>IFERROR(IF(AND($Q$1=FALSE,$S$3=FALSE),"-",VLOOKUP($E30,'Status Thresholds'!$E:$AU,43,FALSE)),"-")</f>
        <v>-</v>
      </c>
    </row>
    <row r="31" spans="1:14" s="36" customFormat="1" x14ac:dyDescent="0.25">
      <c r="A31" s="46"/>
      <c r="B31" s="64" t="str">
        <f>VLOOKUP(C31,'Status Thresholds'!B:C,2,FALSE)</f>
        <v>MHGU</v>
      </c>
      <c r="C31" s="46" t="str">
        <f>IF(ISBLANK('KO Calc'!C27)=TRUE,"",'KO Calc'!C27)</f>
        <v>Ahtal-Ka ( Fortress)</v>
      </c>
      <c r="D31" s="67" t="s">
        <v>14</v>
      </c>
      <c r="E31" s="62" t="str">
        <f t="shared" si="1"/>
        <v>Ahtal-Ka ( Fortress)KO</v>
      </c>
      <c r="F31" s="36" t="s">
        <v>21</v>
      </c>
      <c r="G31" s="36" t="str">
        <f t="shared" si="2"/>
        <v>Ahtal-Ka ( Fortress)Triblast</v>
      </c>
      <c r="H31" s="36" t="str">
        <f>IF(AND($Q$1=FALSE,$S$3=FALSE),"-",IF(AND($Q$1=TRUE,$S$3=TRUE),"-",IF(AND($Q$1=FALSE,$S$3=FALSE),"-",IF(AND($Q$1=TRUE,$S$1=TRUE,$S$4=FALSE)=TRUE,IF(OR($Q$4=TRUE,$Q$5=TRUE,$S$2=TRUE),VLOOKUP($G31,'KO Calc'!$H:$AW,12,FALSE),VLOOKUP($G31,'KO Calc'!$H28:$AW28,12,FALSE)),IF(AND($Q$1=TRUE,$S$4=FALSE),IF(OR($Q$4=TRUE,$Q$5=TRUE,$S$2=TRUE),VLOOKUP($G31,'KO Calc'!$H:$AW,2,FALSE),VLOOKUP($G31,'KO Calc'!$H28:$AW28,2,FALSE)),
IF(AND($Q$1=TRUE,$S$1=TRUE,$S$4=TRUE)=TRUE,IF(OR($Q$4=TRUE,$Q$5=TRUE,$S$2=TRUE),VLOOKUP($G31,'KO Calc'!$H:$AW,17,FALSE),VLOOKUP($G31,'KO Calc'!$H28:$AW28,17,FALSE)),IF(AND($Q$1=TRUE,$S$4=TRUE),IF(OR($Q$4=TRUE,$Q$5=TRUE,$S$2=TRUE),VLOOKUP($G31,'KO Calc'!$H:$AW,7,FALSE),VLOOKUP($G31,'KO Calc'!$H28:$AW28,7,FALSE)),
IF(AND($S$3=TRUE,$S$1=TRUE,$S$4=FALSE)=TRUE,IF(OR($Q$4=TRUE,$Q$5=TRUE,$S$2=TRUE),VLOOKUP($G31,'KO Calc'!$H:$AW,32,FALSE),VLOOKUP($G31,'KO Calc'!$H28:$AW28,32,FALSE)),IF(AND($S$3=TRUE,$S$4=FALSE),IF(OR($Q$4=TRUE,$Q$5=TRUE,$S$2=TRUE),VLOOKUP($G31,'KO Calc'!$H:$AW,22,FALSE),VLOOKUP($G31,'KO Calc'!$H28:$AW28,22,FALSE)),
IF(AND($S$3=TRUE,$S$1=TRUE,$S$4=TRUE)=TRUE,IF(OR($Q$4=TRUE,$Q$5=TRUE,$S$2=TRUE),VLOOKUP($G31,'KO Calc'!$H:$AW,37,FALSE),VLOOKUP($G31,'KO Calc'!$H28:$AW28,37,FALSE)),IF(AND($S$3=TRUE,$S$4=TRUE),IF(OR($Q$4=TRUE,$Q$5=TRUE,$S$2=TRUE),VLOOKUP($G31,'KO Calc'!$H:$AW,27,FALSE),VLOOKUP($G31,'KO Calc'!$H28:$AW28,27,FALSE)))))))))))))</f>
        <v>-</v>
      </c>
      <c r="I31" s="36" t="str">
        <f>IF(AND($Q$1=FALSE,$S$3=FALSE),"-",IF(AND($Q$1=TRUE,$S$3=TRUE),"-",IF(AND($Q$1=FALSE,$S$3=FALSE),"-",IF(AND($Q$1=TRUE,$S$1=TRUE,$S$4=FALSE)=TRUE,IF(OR($Q$4=TRUE,$Q$5=TRUE,$S$2=TRUE),VLOOKUP($G31,'KO Calc'!$H:$AW,13,FALSE),VLOOKUP($G31,'KO Calc'!$H28:$AW28,13,FALSE)),IF(AND($Q$1=TRUE,$S$4=FALSE),IF(OR($Q$4=TRUE,$Q$5=TRUE,$S$2=TRUE),VLOOKUP($G31,'KO Calc'!$H:$AW,3,FALSE),VLOOKUP($G31,'KO Calc'!$H28:$AW28,3,FALSE)),
IF(AND($Q$1=TRUE,$S$1=TRUE,$S$4=TRUE)=TRUE,IF(OR($Q$4=TRUE,$Q$5=TRUE,$S$2=TRUE),VLOOKUP($G31,'KO Calc'!$H:$AW,18,FALSE),VLOOKUP($G31,'KO Calc'!$H28:$AW28,18,FALSE)),IF(AND($Q$1=TRUE,$S$4=TRUE),IF(OR($Q$4=TRUE,$Q$5=TRUE,$S$2=TRUE),VLOOKUP($G31,'KO Calc'!$H:$AW,8,FALSE),VLOOKUP($G31,'KO Calc'!$H28:$AW28,8,FALSE)),
IF(AND($S$3=TRUE,$S$1=TRUE,$S$4=FALSE)=TRUE,IF(OR($Q$4=TRUE,$Q$5=TRUE,$S$2=TRUE),VLOOKUP($G31,'KO Calc'!$H:$AW,33,FALSE),VLOOKUP($G31,'KO Calc'!$H28:$AW28,33,FALSE)),IF(AND($S$3=TRUE,$S$4=FALSE),IF(OR($Q$4=TRUE,$Q$5=TRUE,$S$2=TRUE),VLOOKUP($G31,'KO Calc'!$H:$AW,23,FALSE),VLOOKUP($G31,'KO Calc'!$H28:$AW28,23,FALSE)),
IF(AND($S$3=TRUE,$S$1=TRUE,$S$4=TRUE)=TRUE,IF(OR($Q$4=TRUE,$Q$5=TRUE,$S$2=TRUE),VLOOKUP($G31,'KO Calc'!$H:$AW,38,FALSE),VLOOKUP($G31,'KO Calc'!$H28:$AW28,38,FALSE)),IF(AND($S$3=TRUE,$S$4=TRUE),IF(OR($Q$4=TRUE,$Q$5=TRUE,$S$2=TRUE),VLOOKUP($G31,'KO Calc'!$H:$AW,28,FALSE),VLOOKUP($G31,'KO Calc'!$H28:$AW28,28,FALSE)))))))))))))</f>
        <v>-</v>
      </c>
      <c r="J31" s="36" t="str">
        <f>IF(AND($Q$1=FALSE,$S$3=FALSE),"-",IF(AND($Q$1=TRUE,$S$3=TRUE),"-",IF(AND($Q$1=FALSE,$S$3=FALSE),"-",IF(AND($Q$1=TRUE,$S$1=TRUE,$S$4=FALSE)=TRUE,IF(OR($Q$4=TRUE,$Q$5=TRUE,$S$2=TRUE),VLOOKUP($G31,'KO Calc'!$H:$AW,FALSE),VLOOKUP($G31,'KO Calc'!$H28:$AW28,14,FALSE)),IF(AND($Q$1=TRUE,$S$4=FALSE),IF(OR($Q$4=TRUE,$Q$5=TRUE,$S$2=TRUE),VLOOKUP($G31,'KO Calc'!$H:$AW,4,FALSE),VLOOKUP($G31,'KO Calc'!$H28:$AW28,4,FALSE)),
IF(AND($Q$1=TRUE,$S$1=TRUE,$S$4=TRUE)=TRUE,IF(OR($Q$4=TRUE,$Q$5=TRUE,$S$2=TRUE),VLOOKUP($G31,'KO Calc'!$H:$AW,19,FALSE),VLOOKUP($G31,'KO Calc'!$H28:$AW28,19,FALSE)),IF(AND($Q$1=TRUE,$S$4=TRUE),IF(OR($Q$4=TRUE,$Q$5=TRUE,$S$2=TRUE),VLOOKUP($G31,'KO Calc'!$H:$AW,9,FALSE),VLOOKUP($G31,'KO Calc'!$H28:$AW28,9,FALSE)),
IF(AND($S$3=TRUE,$S$1=TRUE,$S$4=FALSE)=TRUE,IF(OR($Q$4=TRUE,$Q$5=TRUE,$S$2=TRUE),VLOOKUP($G31,'KO Calc'!$H:$AW,34,FALSE),VLOOKUP($G31,'KO Calc'!$H28:$AW28,34,FALSE)),IF(AND($S$3=TRUE,$S$4=FALSE),IF(OR($Q$4=TRUE,$Q$5=TRUE,$S$2=TRUE),VLOOKUP($G31,'KO Calc'!$H:$AW,24,FALSE),VLOOKUP($G31,'KO Calc'!$H28:$AW28,24,FALSE)),
IF(AND($S$3=TRUE,$S$1=TRUE,$S$4=TRUE)=TRUE,IF(OR($Q$4=TRUE,$Q$5=TRUE,$S$2=TRUE),VLOOKUP($G31,'KO Calc'!$H:$AW,39,FALSE),VLOOKUP($G31,'KO Calc'!$H28:$AW28,39,FALSE)),IF(AND($S$3=TRUE,$S$4=TRUE),IF(OR($Q$4=TRUE,$Q$5=TRUE,$S$2=TRUE),VLOOKUP($G31,'KO Calc'!$H:$AW,29,FALSE),VLOOKUP($G31,'KO Calc'!$H28:$AW28,29,FALSE)))))))))))))</f>
        <v>-</v>
      </c>
      <c r="K31" s="36" t="str">
        <f>IF(AND($Q$1=FALSE,$S$3=FALSE),"-",IF(AND($Q$1=TRUE,$S$3=TRUE),"-",IF(AND($Q$1=FALSE,$S$3=FALSE),"-",IF(AND($Q$1=TRUE,$S$1=TRUE,$S$4=FALSE)=TRUE,IF(OR($Q$4=TRUE,$Q$5=TRUE,$S$2=TRUE),VLOOKUP($G31,'KO Calc'!$H:$AW,15,FALSE),VLOOKUP($G31,'KO Calc'!$H28:$AW28,15,FALSE)),IF(AND($Q$1=TRUE,$S$4=FALSE),IF(OR($Q$4=TRUE,$Q$5=TRUE,$S$2=TRUE),VLOOKUP($G31,'KO Calc'!$H:$AW,5,FALSE),VLOOKUP($G31,'KO Calc'!$H28:$AW28,5,FALSE)),
IF(AND($Q$1=TRUE,$S$1=TRUE,$S$4=TRUE)=TRUE,IF(OR($Q$4=TRUE,$Q$5=TRUE,$S$2=TRUE),VLOOKUP($G31,'KO Calc'!$H:$AW,20,FALSE),VLOOKUP($G31,'KO Calc'!$H28:$AW28,20,FALSE)),IF(AND($Q$1=TRUE,$S$4=TRUE),IF(OR($Q$4=TRUE,$Q$5=TRUE,$S$2=TRUE),VLOOKUP($G31,'KO Calc'!$H:$AW,10,FALSE),VLOOKUP($G31,'KO Calc'!$H28:$AW28,10,FALSE)),
IF(AND($S$3=TRUE,$S$1=TRUE,$S$4=FALSE)=TRUE,IF(OR($Q$4=TRUE,$Q$5=TRUE,$S$2=TRUE),VLOOKUP($G31,'KO Calc'!$H:$AW,35,FALSE),VLOOKUP($G31,'KO Calc'!$H28:$AW28,35,FALSE)),IF(AND($S$3=TRUE,$S$4=FALSE),IF(OR($Q$4=TRUE,$Q$5=TRUE,$S$2=TRUE),VLOOKUP($G31,'KO Calc'!$H:$AW,25,FALSE),VLOOKUP($G31,'KO Calc'!$H28:$AW28,25,FALSE)),
IF(AND($S$3=TRUE,$S$1=TRUE,$S$4=TRUE)=TRUE,IF(OR($Q$4=TRUE,$Q$5=TRUE,$S$2=TRUE),VLOOKUP($G31,'KO Calc'!$H:$AW,40,FALSE),VLOOKUP($G31,'KO Calc'!$H28:$AW28,40,FALSE)),IF(AND($S$3=TRUE,$S$4=TRUE),IF(OR($Q$4=TRUE,$Q$5=TRUE,$S$2=TRUE),VLOOKUP($G31,'KO Calc'!$H:$AW,30,FALSE),VLOOKUP($G31,'KO Calc'!$H28:$AW28,30,FALSE)))))))))))))</f>
        <v>-</v>
      </c>
      <c r="L31" s="36" t="str">
        <f>IFERROR(IF(AND($Q$1=FALSE,$S$3=FALSE),"-",VLOOKUP($E31,'Status Thresholds'!$E:$AU,41,FALSE)),"-")</f>
        <v>-</v>
      </c>
      <c r="M31" s="36" t="str">
        <f>IFERROR(IF(AND($Q$1=FALSE,$S$3=FALSE),"-",VLOOKUP($E31,'Status Thresholds'!$E:$AU,42,FALSE)),"-")</f>
        <v>-</v>
      </c>
      <c r="N31" s="36" t="str">
        <f>IFERROR(IF(AND($Q$1=FALSE,$S$3=FALSE),"-",VLOOKUP($E31,'Status Thresholds'!$E:$AU,43,FALSE)),"-")</f>
        <v>-</v>
      </c>
    </row>
    <row r="32" spans="1:14" x14ac:dyDescent="0.25">
      <c r="B32" s="64" t="str">
        <f>VLOOKUP(C32,'Status Thresholds'!B:C,2,FALSE)</f>
        <v>MHGU</v>
      </c>
      <c r="C32" s="46" t="str">
        <f>IF(ISBLANK('KO Calc'!C28)=TRUE,"",'KO Calc'!C28)</f>
        <v>Ahtal-Ka ( Fortress)</v>
      </c>
      <c r="D32" s="78" t="s">
        <v>207</v>
      </c>
      <c r="E32" s="62" t="str">
        <f t="shared" si="1"/>
        <v>Ahtal-Ka ( Fortress)Shock Trap</v>
      </c>
      <c r="F32" t="s">
        <v>13</v>
      </c>
      <c r="G32" s="36" t="str">
        <f t="shared" si="2"/>
        <v>Ahtal-Ka ( Fortress)Crag 3</v>
      </c>
      <c r="H32" s="36" t="str">
        <f>IF(AND($Q$1=FALSE,$S$3=FALSE),"-",IF(AND($Q$1=TRUE,$S$3=TRUE),"-",IF(AND($Q$1=FALSE,$S$3=FALSE),"-",IF(AND($Q$1=TRUE,$S$1=TRUE,$S$4=FALSE)=TRUE,IF(OR($Q$4=TRUE,$Q$5=TRUE,$S$2=TRUE),VLOOKUP($G32,'KO Calc'!$H:$AW,12,FALSE),VLOOKUP($G32,'KO Calc'!$H29:$AW29,12,FALSE)),IF(AND($Q$1=TRUE,$S$4=FALSE),IF(OR($Q$4=TRUE,$Q$5=TRUE,$S$2=TRUE),VLOOKUP($G32,'KO Calc'!$H:$AW,2,FALSE),VLOOKUP($G32,'KO Calc'!$H29:$AW29,2,FALSE)),
IF(AND($Q$1=TRUE,$S$1=TRUE,$S$4=TRUE)=TRUE,IF(OR($Q$4=TRUE,$Q$5=TRUE,$S$2=TRUE),VLOOKUP($G32,'KO Calc'!$H:$AW,17,FALSE),VLOOKUP($G32,'KO Calc'!$H29:$AW29,17,FALSE)),IF(AND($Q$1=TRUE,$S$4=TRUE),IF(OR($Q$4=TRUE,$Q$5=TRUE,$S$2=TRUE),VLOOKUP($G32,'KO Calc'!$H:$AW,7,FALSE),VLOOKUP($G32,'KO Calc'!$H29:$AW29,7,FALSE)),
IF(AND($S$3=TRUE,$S$1=TRUE,$S$4=FALSE)=TRUE,IF(OR($Q$4=TRUE,$Q$5=TRUE,$S$2=TRUE),VLOOKUP($G32,'KO Calc'!$H:$AW,32,FALSE),VLOOKUP($G32,'KO Calc'!$H29:$AW29,32,FALSE)),IF(AND($S$3=TRUE,$S$4=FALSE),IF(OR($Q$4=TRUE,$Q$5=TRUE,$S$2=TRUE),VLOOKUP($G32,'KO Calc'!$H:$AW,22,FALSE),VLOOKUP($G32,'KO Calc'!$H29:$AW29,22,FALSE)),
IF(AND($S$3=TRUE,$S$1=TRUE,$S$4=TRUE)=TRUE,IF(OR($Q$4=TRUE,$Q$5=TRUE,$S$2=TRUE),VLOOKUP($G32,'KO Calc'!$H:$AW,37,FALSE),VLOOKUP($G32,'KO Calc'!$H29:$AW29,37,FALSE)),IF(AND($S$3=TRUE,$S$4=TRUE),IF(OR($Q$4=TRUE,$Q$5=TRUE,$S$2=TRUE),VLOOKUP($G32,'KO Calc'!$H:$AW,27,FALSE),VLOOKUP($G32,'KO Calc'!$H29:$AW29,27,FALSE)))))))))))))</f>
        <v>-</v>
      </c>
      <c r="I32" s="36" t="str">
        <f>IF(AND($Q$1=FALSE,$S$3=FALSE),"-",IF(AND($Q$1=TRUE,$S$3=TRUE),"-",IF(AND($Q$1=FALSE,$S$3=FALSE),"-",IF(AND($Q$1=TRUE,$S$1=TRUE,$S$4=FALSE)=TRUE,IF(OR($Q$4=TRUE,$Q$5=TRUE,$S$2=TRUE),VLOOKUP($G32,'KO Calc'!$H:$AW,13,FALSE),VLOOKUP($G32,'KO Calc'!$H29:$AW29,13,FALSE)),IF(AND($Q$1=TRUE,$S$4=FALSE),IF(OR($Q$4=TRUE,$Q$5=TRUE,$S$2=TRUE),VLOOKUP($G32,'KO Calc'!$H:$AW,3,FALSE),VLOOKUP($G32,'KO Calc'!$H29:$AW29,3,FALSE)),
IF(AND($Q$1=TRUE,$S$1=TRUE,$S$4=TRUE)=TRUE,IF(OR($Q$4=TRUE,$Q$5=TRUE,$S$2=TRUE),VLOOKUP($G32,'KO Calc'!$H:$AW,18,FALSE),VLOOKUP($G32,'KO Calc'!$H29:$AW29,18,FALSE)),IF(AND($Q$1=TRUE,$S$4=TRUE),IF(OR($Q$4=TRUE,$Q$5=TRUE,$S$2=TRUE),VLOOKUP($G32,'KO Calc'!$H:$AW,8,FALSE),VLOOKUP($G32,'KO Calc'!$H29:$AW29,8,FALSE)),
IF(AND($S$3=TRUE,$S$1=TRUE,$S$4=FALSE)=TRUE,IF(OR($Q$4=TRUE,$Q$5=TRUE,$S$2=TRUE),VLOOKUP($G32,'KO Calc'!$H:$AW,33,FALSE),VLOOKUP($G32,'KO Calc'!$H29:$AW29,33,FALSE)),IF(AND($S$3=TRUE,$S$4=FALSE),IF(OR($Q$4=TRUE,$Q$5=TRUE,$S$2=TRUE),VLOOKUP($G32,'KO Calc'!$H:$AW,23,FALSE),VLOOKUP($G32,'KO Calc'!$H29:$AW29,23,FALSE)),
IF(AND($S$3=TRUE,$S$1=TRUE,$S$4=TRUE)=TRUE,IF(OR($Q$4=TRUE,$Q$5=TRUE,$S$2=TRUE),VLOOKUP($G32,'KO Calc'!$H:$AW,38,FALSE),VLOOKUP($G32,'KO Calc'!$H29:$AW29,38,FALSE)),IF(AND($S$3=TRUE,$S$4=TRUE),IF(OR($Q$4=TRUE,$Q$5=TRUE,$S$2=TRUE),VLOOKUP($G32,'KO Calc'!$H:$AW,28,FALSE),VLOOKUP($G32,'KO Calc'!$H29:$AW29,28,FALSE)))))))))))))</f>
        <v>-</v>
      </c>
      <c r="J32" s="36" t="str">
        <f>IF(AND($Q$1=FALSE,$S$3=FALSE),"-",IF(AND($Q$1=TRUE,$S$3=TRUE),"-",IF(AND($Q$1=FALSE,$S$3=FALSE),"-",IF(AND($Q$1=TRUE,$S$1=TRUE,$S$4=FALSE)=TRUE,IF(OR($Q$4=TRUE,$Q$5=TRUE,$S$2=TRUE),VLOOKUP($G32,'KO Calc'!$H:$AW,FALSE),VLOOKUP($G32,'KO Calc'!$H29:$AW29,14,FALSE)),IF(AND($Q$1=TRUE,$S$4=FALSE),IF(OR($Q$4=TRUE,$Q$5=TRUE,$S$2=TRUE),VLOOKUP($G32,'KO Calc'!$H:$AW,4,FALSE),VLOOKUP($G32,'KO Calc'!$H29:$AW29,4,FALSE)),
IF(AND($Q$1=TRUE,$S$1=TRUE,$S$4=TRUE)=TRUE,IF(OR($Q$4=TRUE,$Q$5=TRUE,$S$2=TRUE),VLOOKUP($G32,'KO Calc'!$H:$AW,19,FALSE),VLOOKUP($G32,'KO Calc'!$H29:$AW29,19,FALSE)),IF(AND($Q$1=TRUE,$S$4=TRUE),IF(OR($Q$4=TRUE,$Q$5=TRUE,$S$2=TRUE),VLOOKUP($G32,'KO Calc'!$H:$AW,9,FALSE),VLOOKUP($G32,'KO Calc'!$H29:$AW29,9,FALSE)),
IF(AND($S$3=TRUE,$S$1=TRUE,$S$4=FALSE)=TRUE,IF(OR($Q$4=TRUE,$Q$5=TRUE,$S$2=TRUE),VLOOKUP($G32,'KO Calc'!$H:$AW,34,FALSE),VLOOKUP($G32,'KO Calc'!$H29:$AW29,34,FALSE)),IF(AND($S$3=TRUE,$S$4=FALSE),IF(OR($Q$4=TRUE,$Q$5=TRUE,$S$2=TRUE),VLOOKUP($G32,'KO Calc'!$H:$AW,24,FALSE),VLOOKUP($G32,'KO Calc'!$H29:$AW29,24,FALSE)),
IF(AND($S$3=TRUE,$S$1=TRUE,$S$4=TRUE)=TRUE,IF(OR($Q$4=TRUE,$Q$5=TRUE,$S$2=TRUE),VLOOKUP($G32,'KO Calc'!$H:$AW,39,FALSE),VLOOKUP($G32,'KO Calc'!$H29:$AW29,39,FALSE)),IF(AND($S$3=TRUE,$S$4=TRUE),IF(OR($Q$4=TRUE,$Q$5=TRUE,$S$2=TRUE),VLOOKUP($G32,'KO Calc'!$H:$AW,29,FALSE),VLOOKUP($G32,'KO Calc'!$H29:$AW29,29,FALSE)))))))))))))</f>
        <v>-</v>
      </c>
      <c r="K32" s="36" t="str">
        <f>IF(AND($Q$1=FALSE,$S$3=FALSE),"-",IF(AND($Q$1=TRUE,$S$3=TRUE),"-",IF(AND($Q$1=FALSE,$S$3=FALSE),"-",IF(AND($Q$1=TRUE,$S$1=TRUE,$S$4=FALSE)=TRUE,IF(OR($Q$4=TRUE,$Q$5=TRUE,$S$2=TRUE),VLOOKUP($G32,'KO Calc'!$H:$AW,15,FALSE),VLOOKUP($G32,'KO Calc'!$H29:$AW29,15,FALSE)),IF(AND($Q$1=TRUE,$S$4=FALSE),IF(OR($Q$4=TRUE,$Q$5=TRUE,$S$2=TRUE),VLOOKUP($G32,'KO Calc'!$H:$AW,5,FALSE),VLOOKUP($G32,'KO Calc'!$H29:$AW29,5,FALSE)),
IF(AND($Q$1=TRUE,$S$1=TRUE,$S$4=TRUE)=TRUE,IF(OR($Q$4=TRUE,$Q$5=TRUE,$S$2=TRUE),VLOOKUP($G32,'KO Calc'!$H:$AW,20,FALSE),VLOOKUP($G32,'KO Calc'!$H29:$AW29,20,FALSE)),IF(AND($Q$1=TRUE,$S$4=TRUE),IF(OR($Q$4=TRUE,$Q$5=TRUE,$S$2=TRUE),VLOOKUP($G32,'KO Calc'!$H:$AW,10,FALSE),VLOOKUP($G32,'KO Calc'!$H29:$AW29,10,FALSE)),
IF(AND($S$3=TRUE,$S$1=TRUE,$S$4=FALSE)=TRUE,IF(OR($Q$4=TRUE,$Q$5=TRUE,$S$2=TRUE),VLOOKUP($G32,'KO Calc'!$H:$AW,35,FALSE),VLOOKUP($G32,'KO Calc'!$H29:$AW29,35,FALSE)),IF(AND($S$3=TRUE,$S$4=FALSE),IF(OR($Q$4=TRUE,$Q$5=TRUE,$S$2=TRUE),VLOOKUP($G32,'KO Calc'!$H:$AW,25,FALSE),VLOOKUP($G32,'KO Calc'!$H29:$AW29,25,FALSE)),
IF(AND($S$3=TRUE,$S$1=TRUE,$S$4=TRUE)=TRUE,IF(OR($Q$4=TRUE,$Q$5=TRUE,$S$2=TRUE),VLOOKUP($G32,'KO Calc'!$H:$AW,40,FALSE),VLOOKUP($G32,'KO Calc'!$H29:$AW29,40,FALSE)),IF(AND($S$3=TRUE,$S$4=TRUE),IF(OR($Q$4=TRUE,$Q$5=TRUE,$S$2=TRUE),VLOOKUP($G32,'KO Calc'!$H:$AW,30,FALSE),VLOOKUP($G32,'KO Calc'!$H29:$AW29,30,FALSE)))))))))))))</f>
        <v>-</v>
      </c>
      <c r="L32" s="36" t="str">
        <f>IFERROR(IF(AND($Q$1=FALSE,$S$3=FALSE),"-",VLOOKUP($E32,'Status Thresholds'!$E:$AU,43,FALSE)),"-")</f>
        <v>-</v>
      </c>
      <c r="M32" s="36" t="str">
        <f>IFERROR(IF(AND($Q$1=FALSE,$S$3=FALSE),"-",VLOOKUP($E32,'Status Thresholds'!$E:$AU,41,FALSE)),"-")</f>
        <v>-</v>
      </c>
      <c r="N32" s="36" t="str">
        <f>IFERROR(IF(AND($Q$1=FALSE,$S$3=FALSE),"-",VLOOKUP($E32,'Status Thresholds'!$E:$AU,42,FALSE)),"-")</f>
        <v>-</v>
      </c>
    </row>
    <row r="33" spans="1:14" x14ac:dyDescent="0.25">
      <c r="B33" s="64" t="str">
        <f>VLOOKUP(C33,'Status Thresholds'!B:C,2,FALSE)</f>
        <v>MHGU</v>
      </c>
      <c r="C33" s="46" t="str">
        <f>IF(ISBLANK('KO Calc'!C29)=TRUE,"",'KO Calc'!C29)</f>
        <v>Ahtal-Ka ( Fortress)</v>
      </c>
      <c r="D33" s="78" t="s">
        <v>213</v>
      </c>
      <c r="E33" s="62" t="str">
        <f t="shared" si="1"/>
        <v>Ahtal-Ka ( Fortress)Pitfall Trap</v>
      </c>
      <c r="F33" t="s">
        <v>12</v>
      </c>
      <c r="G33" s="36" t="str">
        <f t="shared" si="2"/>
        <v>Ahtal-Ka ( Fortress)Crag 2</v>
      </c>
      <c r="H33" s="36" t="str">
        <f>IF(AND($Q$1=FALSE,$S$3=FALSE),"-",IF(AND($Q$1=TRUE,$S$3=TRUE),"-",IF(AND($Q$1=FALSE,$S$3=FALSE),"-",IF(AND($Q$1=TRUE,$S$1=TRUE,$S$4=FALSE)=TRUE,IF(OR($Q$4=TRUE,$Q$5=TRUE,$S$2=TRUE),VLOOKUP($G33,'KO Calc'!$H:$AW,12,FALSE),VLOOKUP($G33,'KO Calc'!$H30:$AW30,12,FALSE)),IF(AND($Q$1=TRUE,$S$4=FALSE),IF(OR($Q$4=TRUE,$Q$5=TRUE,$S$2=TRUE),VLOOKUP($G33,'KO Calc'!$H:$AW,2,FALSE),VLOOKUP($G33,'KO Calc'!$H30:$AW30,2,FALSE)),
IF(AND($Q$1=TRUE,$S$1=TRUE,$S$4=TRUE)=TRUE,IF(OR($Q$4=TRUE,$Q$5=TRUE,$S$2=TRUE),VLOOKUP($G33,'KO Calc'!$H:$AW,17,FALSE),VLOOKUP($G33,'KO Calc'!$H30:$AW30,17,FALSE)),IF(AND($Q$1=TRUE,$S$4=TRUE),IF(OR($Q$4=TRUE,$Q$5=TRUE,$S$2=TRUE),VLOOKUP($G33,'KO Calc'!$H:$AW,7,FALSE),VLOOKUP($G33,'KO Calc'!$H30:$AW30,7,FALSE)),
IF(AND($S$3=TRUE,$S$1=TRUE,$S$4=FALSE)=TRUE,IF(OR($Q$4=TRUE,$Q$5=TRUE,$S$2=TRUE),VLOOKUP($G33,'KO Calc'!$H:$AW,32,FALSE),VLOOKUP($G33,'KO Calc'!$H30:$AW30,32,FALSE)),IF(AND($S$3=TRUE,$S$4=FALSE),IF(OR($Q$4=TRUE,$Q$5=TRUE,$S$2=TRUE),VLOOKUP($G33,'KO Calc'!$H:$AW,22,FALSE),VLOOKUP($G33,'KO Calc'!$H30:$AW30,22,FALSE)),
IF(AND($S$3=TRUE,$S$1=TRUE,$S$4=TRUE)=TRUE,IF(OR($Q$4=TRUE,$Q$5=TRUE,$S$2=TRUE),VLOOKUP($G33,'KO Calc'!$H:$AW,37,FALSE),VLOOKUP($G33,'KO Calc'!$H30:$AW30,37,FALSE)),IF(AND($S$3=TRUE,$S$4=TRUE),IF(OR($Q$4=TRUE,$Q$5=TRUE,$S$2=TRUE),VLOOKUP($G33,'KO Calc'!$H:$AW,27,FALSE),VLOOKUP($G33,'KO Calc'!$H30:$AW30,27,FALSE)))))))))))))</f>
        <v>-</v>
      </c>
      <c r="I33" s="36" t="str">
        <f>IF(AND($Q$1=FALSE,$S$3=FALSE),"-",IF(AND($Q$1=TRUE,$S$3=TRUE),"-",IF(AND($Q$1=FALSE,$S$3=FALSE),"-",IF(AND($Q$1=TRUE,$S$1=TRUE,$S$4=FALSE)=TRUE,IF(OR($Q$4=TRUE,$Q$5=TRUE,$S$2=TRUE),VLOOKUP($G33,'KO Calc'!$H:$AW,13,FALSE),VLOOKUP($G33,'KO Calc'!$H30:$AW30,13,FALSE)),IF(AND($Q$1=TRUE,$S$4=FALSE),IF(OR($Q$4=TRUE,$Q$5=TRUE,$S$2=TRUE),VLOOKUP($G33,'KO Calc'!$H:$AW,3,FALSE),VLOOKUP($G33,'KO Calc'!$H30:$AW30,3,FALSE)),
IF(AND($Q$1=TRUE,$S$1=TRUE,$S$4=TRUE)=TRUE,IF(OR($Q$4=TRUE,$Q$5=TRUE,$S$2=TRUE),VLOOKUP($G33,'KO Calc'!$H:$AW,18,FALSE),VLOOKUP($G33,'KO Calc'!$H30:$AW30,18,FALSE)),IF(AND($Q$1=TRUE,$S$4=TRUE),IF(OR($Q$4=TRUE,$Q$5=TRUE,$S$2=TRUE),VLOOKUP($G33,'KO Calc'!$H:$AW,8,FALSE),VLOOKUP($G33,'KO Calc'!$H30:$AW30,8,FALSE)),
IF(AND($S$3=TRUE,$S$1=TRUE,$S$4=FALSE)=TRUE,IF(OR($Q$4=TRUE,$Q$5=TRUE,$S$2=TRUE),VLOOKUP($G33,'KO Calc'!$H:$AW,33,FALSE),VLOOKUP($G33,'KO Calc'!$H30:$AW30,33,FALSE)),IF(AND($S$3=TRUE,$S$4=FALSE),IF(OR($Q$4=TRUE,$Q$5=TRUE,$S$2=TRUE),VLOOKUP($G33,'KO Calc'!$H:$AW,23,FALSE),VLOOKUP($G33,'KO Calc'!$H30:$AW30,23,FALSE)),
IF(AND($S$3=TRUE,$S$1=TRUE,$S$4=TRUE)=TRUE,IF(OR($Q$4=TRUE,$Q$5=TRUE,$S$2=TRUE),VLOOKUP($G33,'KO Calc'!$H:$AW,38,FALSE),VLOOKUP($G33,'KO Calc'!$H30:$AW30,38,FALSE)),IF(AND($S$3=TRUE,$S$4=TRUE),IF(OR($Q$4=TRUE,$Q$5=TRUE,$S$2=TRUE),VLOOKUP($G33,'KO Calc'!$H:$AW,28,FALSE),VLOOKUP($G33,'KO Calc'!$H30:$AW30,28,FALSE)))))))))))))</f>
        <v>-</v>
      </c>
      <c r="J33" s="36" t="str">
        <f>IF(AND($Q$1=FALSE,$S$3=FALSE),"-",IF(AND($Q$1=TRUE,$S$3=TRUE),"-",IF(AND($Q$1=FALSE,$S$3=FALSE),"-",IF(AND($Q$1=TRUE,$S$1=TRUE,$S$4=FALSE)=TRUE,IF(OR($Q$4=TRUE,$Q$5=TRUE,$S$2=TRUE),VLOOKUP($G33,'KO Calc'!$H:$AW,FALSE),VLOOKUP($G33,'KO Calc'!$H30:$AW30,14,FALSE)),IF(AND($Q$1=TRUE,$S$4=FALSE),IF(OR($Q$4=TRUE,$Q$5=TRUE,$S$2=TRUE),VLOOKUP($G33,'KO Calc'!$H:$AW,4,FALSE),VLOOKUP($G33,'KO Calc'!$H30:$AW30,4,FALSE)),
IF(AND($Q$1=TRUE,$S$1=TRUE,$S$4=TRUE)=TRUE,IF(OR($Q$4=TRUE,$Q$5=TRUE,$S$2=TRUE),VLOOKUP($G33,'KO Calc'!$H:$AW,19,FALSE),VLOOKUP($G33,'KO Calc'!$H30:$AW30,19,FALSE)),IF(AND($Q$1=TRUE,$S$4=TRUE),IF(OR($Q$4=TRUE,$Q$5=TRUE,$S$2=TRUE),VLOOKUP($G33,'KO Calc'!$H:$AW,9,FALSE),VLOOKUP($G33,'KO Calc'!$H30:$AW30,9,FALSE)),
IF(AND($S$3=TRUE,$S$1=TRUE,$S$4=FALSE)=TRUE,IF(OR($Q$4=TRUE,$Q$5=TRUE,$S$2=TRUE),VLOOKUP($G33,'KO Calc'!$H:$AW,34,FALSE),VLOOKUP($G33,'KO Calc'!$H30:$AW30,34,FALSE)),IF(AND($S$3=TRUE,$S$4=FALSE),IF(OR($Q$4=TRUE,$Q$5=TRUE,$S$2=TRUE),VLOOKUP($G33,'KO Calc'!$H:$AW,24,FALSE),VLOOKUP($G33,'KO Calc'!$H30:$AW30,24,FALSE)),
IF(AND($S$3=TRUE,$S$1=TRUE,$S$4=TRUE)=TRUE,IF(OR($Q$4=TRUE,$Q$5=TRUE,$S$2=TRUE),VLOOKUP($G33,'KO Calc'!$H:$AW,39,FALSE),VLOOKUP($G33,'KO Calc'!$H30:$AW30,39,FALSE)),IF(AND($S$3=TRUE,$S$4=TRUE),IF(OR($Q$4=TRUE,$Q$5=TRUE,$S$2=TRUE),VLOOKUP($G33,'KO Calc'!$H:$AW,29,FALSE),VLOOKUP($G33,'KO Calc'!$H30:$AW30,29,FALSE)))))))))))))</f>
        <v>-</v>
      </c>
      <c r="K33" s="36" t="str">
        <f>IF(AND($Q$1=FALSE,$S$3=FALSE),"-",IF(AND($Q$1=TRUE,$S$3=TRUE),"-",IF(AND($Q$1=FALSE,$S$3=FALSE),"-",IF(AND($Q$1=TRUE,$S$1=TRUE,$S$4=FALSE)=TRUE,IF(OR($Q$4=TRUE,$Q$5=TRUE,$S$2=TRUE),VLOOKUP($G33,'KO Calc'!$H:$AW,15,FALSE),VLOOKUP($G33,'KO Calc'!$H30:$AW30,15,FALSE)),IF(AND($Q$1=TRUE,$S$4=FALSE),IF(OR($Q$4=TRUE,$Q$5=TRUE,$S$2=TRUE),VLOOKUP($G33,'KO Calc'!$H:$AW,5,FALSE),VLOOKUP($G33,'KO Calc'!$H30:$AW30,5,FALSE)),
IF(AND($Q$1=TRUE,$S$1=TRUE,$S$4=TRUE)=TRUE,IF(OR($Q$4=TRUE,$Q$5=TRUE,$S$2=TRUE),VLOOKUP($G33,'KO Calc'!$H:$AW,20,FALSE),VLOOKUP($G33,'KO Calc'!$H30:$AW30,20,FALSE)),IF(AND($Q$1=TRUE,$S$4=TRUE),IF(OR($Q$4=TRUE,$Q$5=TRUE,$S$2=TRUE),VLOOKUP($G33,'KO Calc'!$H:$AW,10,FALSE),VLOOKUP($G33,'KO Calc'!$H30:$AW30,10,FALSE)),
IF(AND($S$3=TRUE,$S$1=TRUE,$S$4=FALSE)=TRUE,IF(OR($Q$4=TRUE,$Q$5=TRUE,$S$2=TRUE),VLOOKUP($G33,'KO Calc'!$H:$AW,35,FALSE),VLOOKUP($G33,'KO Calc'!$H30:$AW30,35,FALSE)),IF(AND($S$3=TRUE,$S$4=FALSE),IF(OR($Q$4=TRUE,$Q$5=TRUE,$S$2=TRUE),VLOOKUP($G33,'KO Calc'!$H:$AW,25,FALSE),VLOOKUP($G33,'KO Calc'!$H30:$AW30,25,FALSE)),
IF(AND($S$3=TRUE,$S$1=TRUE,$S$4=TRUE)=TRUE,IF(OR($Q$4=TRUE,$Q$5=TRUE,$S$2=TRUE),VLOOKUP($G33,'KO Calc'!$H:$AW,40,FALSE),VLOOKUP($G33,'KO Calc'!$H30:$AW30,40,FALSE)),IF(AND($S$3=TRUE,$S$4=TRUE),IF(OR($Q$4=TRUE,$Q$5=TRUE,$S$2=TRUE),VLOOKUP($G33,'KO Calc'!$H:$AW,30,FALSE),VLOOKUP($G33,'KO Calc'!$H30:$AW30,30,FALSE)))))))))))))</f>
        <v>-</v>
      </c>
      <c r="L33" s="36" t="str">
        <f>IFERROR(IF(AND($Q$1=FALSE,$S$3=FALSE),"-",VLOOKUP($E33,'Status Thresholds'!$E:$AU,43,FALSE)),"-")</f>
        <v>-</v>
      </c>
      <c r="M33" s="36" t="str">
        <f>IFERROR(IF(AND($Q$1=FALSE,$S$3=FALSE),"-",VLOOKUP($E33,'Status Thresholds'!$E:$AU,41,FALSE)),"-")</f>
        <v>-</v>
      </c>
      <c r="N33" s="36" t="str">
        <f>IFERROR(IF(AND($Q$1=FALSE,$S$3=FALSE),"-",VLOOKUP($E33,'Status Thresholds'!$E:$AU,42,FALSE)),"-")</f>
        <v>-</v>
      </c>
    </row>
    <row r="34" spans="1:14" x14ac:dyDescent="0.25">
      <c r="B34" s="64" t="str">
        <f>VLOOKUP(C34,'Status Thresholds'!B:C,2,FALSE)</f>
        <v>MHGU</v>
      </c>
      <c r="C34" s="46" t="str">
        <f>IF(ISBLANK('KO Calc'!C30)=TRUE,"",'KO Calc'!C30)</f>
        <v>Ahtal-Ka ( Fortress)</v>
      </c>
      <c r="D34" s="78"/>
      <c r="E34" s="62" t="str">
        <f t="shared" si="1"/>
        <v>Ahtal-Ka ( Fortress)</v>
      </c>
      <c r="F34" t="s">
        <v>11</v>
      </c>
      <c r="G34" s="36" t="str">
        <f t="shared" si="2"/>
        <v>Ahtal-Ka ( Fortress)Crag 1</v>
      </c>
      <c r="H34" s="36" t="str">
        <f>IF(AND($Q$1=FALSE,$S$3=FALSE),"-",IF(AND($Q$1=TRUE,$S$3=TRUE),"-",IF(AND($Q$1=FALSE,$S$3=FALSE),"-",IF(AND($Q$1=TRUE,$S$1=TRUE,$S$4=FALSE)=TRUE,IF(OR($Q$4=TRUE,$Q$5=TRUE,$S$2=TRUE),VLOOKUP($G34,'KO Calc'!$H:$AW,12,FALSE),VLOOKUP($G34,'KO Calc'!$H31:$AW31,12,FALSE)),IF(AND($Q$1=TRUE,$S$4=FALSE),IF(OR($Q$4=TRUE,$Q$5=TRUE,$S$2=TRUE),VLOOKUP($G34,'KO Calc'!$H:$AW,2,FALSE),VLOOKUP($G34,'KO Calc'!$H31:$AW31,2,FALSE)),
IF(AND($Q$1=TRUE,$S$1=TRUE,$S$4=TRUE)=TRUE,IF(OR($Q$4=TRUE,$Q$5=TRUE,$S$2=TRUE),VLOOKUP($G34,'KO Calc'!$H:$AW,17,FALSE),VLOOKUP($G34,'KO Calc'!$H31:$AW31,17,FALSE)),IF(AND($Q$1=TRUE,$S$4=TRUE),IF(OR($Q$4=TRUE,$Q$5=TRUE,$S$2=TRUE),VLOOKUP($G34,'KO Calc'!$H:$AW,7,FALSE),VLOOKUP($G34,'KO Calc'!$H31:$AW31,7,FALSE)),
IF(AND($S$3=TRUE,$S$1=TRUE,$S$4=FALSE)=TRUE,IF(OR($Q$4=TRUE,$Q$5=TRUE,$S$2=TRUE),VLOOKUP($G34,'KO Calc'!$H:$AW,32,FALSE),VLOOKUP($G34,'KO Calc'!$H31:$AW31,32,FALSE)),IF(AND($S$3=TRUE,$S$4=FALSE),IF(OR($Q$4=TRUE,$Q$5=TRUE,$S$2=TRUE),VLOOKUP($G34,'KO Calc'!$H:$AW,22,FALSE),VLOOKUP($G34,'KO Calc'!$H31:$AW31,22,FALSE)),
IF(AND($S$3=TRUE,$S$1=TRUE,$S$4=TRUE)=TRUE,IF(OR($Q$4=TRUE,$Q$5=TRUE,$S$2=TRUE),VLOOKUP($G34,'KO Calc'!$H:$AW,37,FALSE),VLOOKUP($G34,'KO Calc'!$H31:$AW31,37,FALSE)),IF(AND($S$3=TRUE,$S$4=TRUE),IF(OR($Q$4=TRUE,$Q$5=TRUE,$S$2=TRUE),VLOOKUP($G34,'KO Calc'!$H:$AW,27,FALSE),VLOOKUP($G34,'KO Calc'!$H31:$AW31,27,FALSE)))))))))))))</f>
        <v>-</v>
      </c>
      <c r="I34" s="36" t="str">
        <f>IF(AND($Q$1=FALSE,$S$3=FALSE),"-",IF(AND($Q$1=TRUE,$S$3=TRUE),"-",IF(AND($Q$1=FALSE,$S$3=FALSE),"-",IF(AND($Q$1=TRUE,$S$1=TRUE,$S$4=FALSE)=TRUE,IF(OR($Q$4=TRUE,$Q$5=TRUE,$S$2=TRUE),VLOOKUP($G34,'KO Calc'!$H:$AW,13,FALSE),VLOOKUP($G34,'KO Calc'!$H31:$AW31,13,FALSE)),IF(AND($Q$1=TRUE,$S$4=FALSE),IF(OR($Q$4=TRUE,$Q$5=TRUE,$S$2=TRUE),VLOOKUP($G34,'KO Calc'!$H:$AW,3,FALSE),VLOOKUP($G34,'KO Calc'!$H31:$AW31,3,FALSE)),
IF(AND($Q$1=TRUE,$S$1=TRUE,$S$4=TRUE)=TRUE,IF(OR($Q$4=TRUE,$Q$5=TRUE,$S$2=TRUE),VLOOKUP($G34,'KO Calc'!$H:$AW,18,FALSE),VLOOKUP($G34,'KO Calc'!$H31:$AW31,18,FALSE)),IF(AND($Q$1=TRUE,$S$4=TRUE),IF(OR($Q$4=TRUE,$Q$5=TRUE,$S$2=TRUE),VLOOKUP($G34,'KO Calc'!$H:$AW,8,FALSE),VLOOKUP($G34,'KO Calc'!$H31:$AW31,8,FALSE)),
IF(AND($S$3=TRUE,$S$1=TRUE,$S$4=FALSE)=TRUE,IF(OR($Q$4=TRUE,$Q$5=TRUE,$S$2=TRUE),VLOOKUP($G34,'KO Calc'!$H:$AW,33,FALSE),VLOOKUP($G34,'KO Calc'!$H31:$AW31,33,FALSE)),IF(AND($S$3=TRUE,$S$4=FALSE),IF(OR($Q$4=TRUE,$Q$5=TRUE,$S$2=TRUE),VLOOKUP($G34,'KO Calc'!$H:$AW,23,FALSE),VLOOKUP($G34,'KO Calc'!$H31:$AW31,23,FALSE)),
IF(AND($S$3=TRUE,$S$1=TRUE,$S$4=TRUE)=TRUE,IF(OR($Q$4=TRUE,$Q$5=TRUE,$S$2=TRUE),VLOOKUP($G34,'KO Calc'!$H:$AW,38,FALSE),VLOOKUP($G34,'KO Calc'!$H31:$AW31,38,FALSE)),IF(AND($S$3=TRUE,$S$4=TRUE),IF(OR($Q$4=TRUE,$Q$5=TRUE,$S$2=TRUE),VLOOKUP($G34,'KO Calc'!$H:$AW,28,FALSE),VLOOKUP($G34,'KO Calc'!$H31:$AW31,28,FALSE)))))))))))))</f>
        <v>-</v>
      </c>
      <c r="J34" s="36" t="str">
        <f>IF(AND($Q$1=FALSE,$S$3=FALSE),"-",IF(AND($Q$1=TRUE,$S$3=TRUE),"-",IF(AND($Q$1=FALSE,$S$3=FALSE),"-",IF(AND($Q$1=TRUE,$S$1=TRUE,$S$4=FALSE)=TRUE,IF(OR($Q$4=TRUE,$Q$5=TRUE,$S$2=TRUE),VLOOKUP($G34,'KO Calc'!$H:$AW,FALSE),VLOOKUP($G34,'KO Calc'!$H31:$AW31,14,FALSE)),IF(AND($Q$1=TRUE,$S$4=FALSE),IF(OR($Q$4=TRUE,$Q$5=TRUE,$S$2=TRUE),VLOOKUP($G34,'KO Calc'!$H:$AW,4,FALSE),VLOOKUP($G34,'KO Calc'!$H31:$AW31,4,FALSE)),
IF(AND($Q$1=TRUE,$S$1=TRUE,$S$4=TRUE)=TRUE,IF(OR($Q$4=TRUE,$Q$5=TRUE,$S$2=TRUE),VLOOKUP($G34,'KO Calc'!$H:$AW,19,FALSE),VLOOKUP($G34,'KO Calc'!$H31:$AW31,19,FALSE)),IF(AND($Q$1=TRUE,$S$4=TRUE),IF(OR($Q$4=TRUE,$Q$5=TRUE,$S$2=TRUE),VLOOKUP($G34,'KO Calc'!$H:$AW,9,FALSE),VLOOKUP($G34,'KO Calc'!$H31:$AW31,9,FALSE)),
IF(AND($S$3=TRUE,$S$1=TRUE,$S$4=FALSE)=TRUE,IF(OR($Q$4=TRUE,$Q$5=TRUE,$S$2=TRUE),VLOOKUP($G34,'KO Calc'!$H:$AW,34,FALSE),VLOOKUP($G34,'KO Calc'!$H31:$AW31,34,FALSE)),IF(AND($S$3=TRUE,$S$4=FALSE),IF(OR($Q$4=TRUE,$Q$5=TRUE,$S$2=TRUE),VLOOKUP($G34,'KO Calc'!$H:$AW,24,FALSE),VLOOKUP($G34,'KO Calc'!$H31:$AW31,24,FALSE)),
IF(AND($S$3=TRUE,$S$1=TRUE,$S$4=TRUE)=TRUE,IF(OR($Q$4=TRUE,$Q$5=TRUE,$S$2=TRUE),VLOOKUP($G34,'KO Calc'!$H:$AW,39,FALSE),VLOOKUP($G34,'KO Calc'!$H31:$AW31,39,FALSE)),IF(AND($S$3=TRUE,$S$4=TRUE),IF(OR($Q$4=TRUE,$Q$5=TRUE,$S$2=TRUE),VLOOKUP($G34,'KO Calc'!$H:$AW,29,FALSE),VLOOKUP($G34,'KO Calc'!$H31:$AW31,29,FALSE)))))))))))))</f>
        <v>-</v>
      </c>
      <c r="K34" s="36" t="str">
        <f>IF(AND($Q$1=FALSE,$S$3=FALSE),"-",IF(AND($Q$1=TRUE,$S$3=TRUE),"-",IF(AND($Q$1=FALSE,$S$3=FALSE),"-",IF(AND($Q$1=TRUE,$S$1=TRUE,$S$4=FALSE)=TRUE,IF(OR($Q$4=TRUE,$Q$5=TRUE,$S$2=TRUE),VLOOKUP($G34,'KO Calc'!$H:$AW,15,FALSE),VLOOKUP($G34,'KO Calc'!$H31:$AW31,15,FALSE)),IF(AND($Q$1=TRUE,$S$4=FALSE),IF(OR($Q$4=TRUE,$Q$5=TRUE,$S$2=TRUE),VLOOKUP($G34,'KO Calc'!$H:$AW,5,FALSE),VLOOKUP($G34,'KO Calc'!$H31:$AW31,5,FALSE)),
IF(AND($Q$1=TRUE,$S$1=TRUE,$S$4=TRUE)=TRUE,IF(OR($Q$4=TRUE,$Q$5=TRUE,$S$2=TRUE),VLOOKUP($G34,'KO Calc'!$H:$AW,20,FALSE),VLOOKUP($G34,'KO Calc'!$H31:$AW31,20,FALSE)),IF(AND($Q$1=TRUE,$S$4=TRUE),IF(OR($Q$4=TRUE,$Q$5=TRUE,$S$2=TRUE),VLOOKUP($G34,'KO Calc'!$H:$AW,10,FALSE),VLOOKUP($G34,'KO Calc'!$H31:$AW31,10,FALSE)),
IF(AND($S$3=TRUE,$S$1=TRUE,$S$4=FALSE)=TRUE,IF(OR($Q$4=TRUE,$Q$5=TRUE,$S$2=TRUE),VLOOKUP($G34,'KO Calc'!$H:$AW,35,FALSE),VLOOKUP($G34,'KO Calc'!$H31:$AW31,35,FALSE)),IF(AND($S$3=TRUE,$S$4=FALSE),IF(OR($Q$4=TRUE,$Q$5=TRUE,$S$2=TRUE),VLOOKUP($G34,'KO Calc'!$H:$AW,25,FALSE),VLOOKUP($G34,'KO Calc'!$H31:$AW31,25,FALSE)),
IF(AND($S$3=TRUE,$S$1=TRUE,$S$4=TRUE)=TRUE,IF(OR($Q$4=TRUE,$Q$5=TRUE,$S$2=TRUE),VLOOKUP($G34,'KO Calc'!$H:$AW,40,FALSE),VLOOKUP($G34,'KO Calc'!$H31:$AW31,40,FALSE)),IF(AND($S$3=TRUE,$S$4=TRUE),IF(OR($Q$4=TRUE,$Q$5=TRUE,$S$2=TRUE),VLOOKUP($G34,'KO Calc'!$H:$AW,30,FALSE),VLOOKUP($G34,'KO Calc'!$H31:$AW31,30,FALSE)))))))))))))</f>
        <v>-</v>
      </c>
      <c r="L34" s="36" t="str">
        <f>IFERROR(VLOOKUP($E34,'Status Thresholds'!$E:$AS,41,FALSE),"-")</f>
        <v>-</v>
      </c>
    </row>
    <row r="35" spans="1:14" x14ac:dyDescent="0.25">
      <c r="B35" s="64" t="str">
        <f>VLOOKUP(C35,'Status Thresholds'!B:C,2,FALSE)</f>
        <v>MHGU</v>
      </c>
      <c r="C35" s="46" t="str">
        <f>IF(ISBLANK('KO Calc'!C31)=TRUE,"",'KO Calc'!C31)</f>
        <v>Ahtal-Ka ( Fortress)</v>
      </c>
      <c r="D35" s="78"/>
      <c r="E35" s="62"/>
      <c r="G35" s="36"/>
      <c r="H35" s="36"/>
      <c r="I35" s="36"/>
      <c r="J35" s="36"/>
      <c r="K35" s="36"/>
      <c r="L35" s="36" t="str">
        <f>IFERROR(VLOOKUP($E35,'Status Thresholds'!$E:$AS,41,FALSE),"-")</f>
        <v>-</v>
      </c>
    </row>
    <row r="36" spans="1:14" s="36" customFormat="1" x14ac:dyDescent="0.25">
      <c r="B36" s="64" t="str">
        <f>VLOOKUP(C36,'Status Thresholds'!B:C,2,FALSE)</f>
        <v>MHGen</v>
      </c>
      <c r="C36" s="46" t="str">
        <f>IF(ISBLANK('KO Calc'!C32)=TRUE,"",'KO Calc'!C32)</f>
        <v>Akantor</v>
      </c>
      <c r="D36" s="65" t="s">
        <v>0</v>
      </c>
      <c r="E36" s="62" t="str">
        <f t="shared" si="1"/>
        <v>AkantorPara</v>
      </c>
      <c r="F36" s="36" t="s">
        <v>2</v>
      </c>
      <c r="G36" s="36" t="str">
        <f t="shared" si="2"/>
        <v>AkantorPara lvl 2</v>
      </c>
      <c r="H36" s="36" t="str">
        <f>IFERROR(ROUNDUP(IF(AND($Q$1=FALSE,$S$3=FALSE),"-",IF(AND($Q$1=TRUE,$S$3=TRUE),"-",IF(AND($Q$1=TRUE,$S$1=TRUE,$S$4=FALSE),VLOOKUP($E36,'Status Thresholds'!$E:$AS,12,FALSE),IF(AND($Q$1=TRUE,$S$4=FALSE),VLOOKUP($E36,'Status Thresholds'!$E:$AS,2,FALSE), IF(AND($Q$1=TRUE,$S$1=TRUE,$S$4=TRUE),VLOOKUP($E36,'Status Thresholds'!$E:$AS,17,FALSE),IF(AND($Q$1=TRUE,$S$4=TRUE),VLOOKUP($E36,'Status Thresholds'!$E:$AS,7,FALSE),IF(AND($S$3=TRUE,$S$1=TRUE,$S$4=FALSE),VLOOKUP($E36,'Status Thresholds'!$E:$AS,32,FALSE),IF(AND($S$3=TRUE,$S$4=FALSE),VLOOKUP($E36,'Status Thresholds'!$E:$AS,22,FALSE),IF(AND($S$3=TRUE,$S$1=TRUE,$S$4=TRUE),VLOOKUP($E36,'Status Thresholds'!$E:$AS,37,FALSE),IF(AND($S$3=TRUE,$S$4=TRUE),VLOOKUP($E36,'Status Thresholds'!$E:$AS,27,FALSE),""))))))))/IF(OR($Q$3=TRUE,AND($Q$2=TRUE,$Q$7=TRUE),AND($Q$3=TRUE,$Q$7=TRUE))=TRUE,'Shots and Status'!$F$5,IF((OR($Q$2,$Q$7)=TRUE),'Shots and Status'!$D$5,'Shots and Status'!$C$5)))),0),"-")</f>
        <v>-</v>
      </c>
      <c r="I36" s="36" t="str">
        <f>IFERROR(ROUNDUP(IF(AND($Q$1=FALSE,$S$3=FALSE),"-",IF(AND($Q$1=TRUE,$S$3=TRUE),"-",IF(AND($Q$1=TRUE,$S$1=TRUE,$S$4=FALSE),VLOOKUP($E36,'Status Thresholds'!$E:$AS,13,FALSE),IF(AND($Q$1=TRUE,$S$4=FALSE),VLOOKUP($E36,'Status Thresholds'!$E:$AS,3,FALSE), IF(AND($Q$1=TRUE,$S$1=TRUE,$S$4=TRUE),VLOOKUP($E36,'Status Thresholds'!$E:$AS,18,FALSE),IF(AND($Q$1=TRUE,$S$4=TRUE),VLOOKUP($E36,'Status Thresholds'!$E:$AS,8,FALSE),IF(AND($S$3=TRUE,$S$1=TRUE,$S$4=FALSE),VLOOKUP($E36,'Status Thresholds'!$E:$AS,33,FALSE),IF(AND($S$3=TRUE,$S$4=FALSE),VLOOKUP($E36,'Status Thresholds'!$E:$AS,23,FALSE),IF(AND($S$3=TRUE,$S$1=TRUE,$S$4=TRUE),VLOOKUP($E36,'Status Thresholds'!$E:$AS,38,FALSE),IF(AND($S$3=TRUE,$S$4=TRUE),VLOOKUP($E36,'Status Thresholds'!$E:$AS,28,FALSE),""))))))))/IF(OR($Q$3=TRUE,AND($Q$2=TRUE,$Q$7=TRUE),AND($Q$3=TRUE,$Q$7=TRUE))=TRUE,'Shots and Status'!$F$5,IF((OR($Q$2,$Q$7)=TRUE),'Shots and Status'!$D$5,'Shots and Status'!$C$5)))),0),"-")</f>
        <v>-</v>
      </c>
      <c r="J36" s="36" t="str">
        <f>IFERROR(ROUNDUP(IF(AND($Q$1=FALSE,$S$3=FALSE),"-",IF(AND($Q$1=TRUE,$S$3=TRUE),"-",IF(AND($Q$1=TRUE,$S$1=TRUE,$S$4=FALSE),VLOOKUP($E36,'Status Thresholds'!$E:$AS,14,FALSE),IF(AND($Q$1=TRUE,$S$4=FALSE),VLOOKUP($E36,'Status Thresholds'!$E:$AS,4,FALSE), IF(AND($Q$1=TRUE,$S$1=TRUE,$S$4=TRUE),VLOOKUP($E36,'Status Thresholds'!$E:$AS,19,FALSE),IF(AND($Q$1=TRUE,$S$4=TRUE),VLOOKUP($E36,'Status Thresholds'!$E:$AS,9,FALSE),IF(AND($S$3=TRUE,$S$1=TRUE,$S$4=FALSE),VLOOKUP($E36,'Status Thresholds'!$E:$AS,34,FALSE),IF(AND($S$3=TRUE,$S$4=FALSE),VLOOKUP($E36,'Status Thresholds'!$E:$AS,24,FALSE),IF(AND($S$3=TRUE,$S$1=TRUE,$S$4=TRUE),VLOOKUP($E36,'Status Thresholds'!$E:$AS,39,FALSE),IF(AND($S$3=TRUE,$S$4=TRUE),VLOOKUP($E36,'Status Thresholds'!$E:$AS,29,FALSE),""))))))))/IF(OR($Q$3=TRUE,AND($Q$2=TRUE,$Q$7=TRUE),AND($Q$3=TRUE,$Q$7=TRUE))=TRUE,'Shots and Status'!$F$5,IF((OR($Q$2,$Q$7)=TRUE),'Shots and Status'!$D$5,'Shots and Status'!$C$5)))),0),"-")</f>
        <v>-</v>
      </c>
      <c r="K36" s="36" t="str">
        <f>IFERROR(ROUNDUP(IF(AND($Q$1=FALSE,$S$3=FALSE),"-",IF(AND($Q$1=TRUE,$S$3=TRUE),"-",IF(AND($Q$1=TRUE,$S$1=TRUE,$S$4=FALSE),VLOOKUP($E36,'Status Thresholds'!$E:$AS,15,FALSE),IF(AND($Q$1=TRUE,$S$4=FALSE),VLOOKUP($E36,'Status Thresholds'!$E:$AS,5,FALSE), IF(AND($Q$1=TRUE,$S$1=TRUE,$S$4=TRUE),VLOOKUP($E36,'Status Thresholds'!$E:$AS,20,FALSE),IF(AND($Q$1=TRUE,$S$4=TRUE),VLOOKUP($E36,'Status Thresholds'!$E:$AS,10,FALSE),IF(AND($S$3=TRUE,$S$1=TRUE,$S$4=FALSE),VLOOKUP($E36,'Status Thresholds'!$E:$AS,35,FALSE),IF(AND($S$3=TRUE,$S$4=FALSE),VLOOKUP($E36,'Status Thresholds'!$E:$AS,25,FALSE),IF(AND($S$3=TRUE,$S$1=TRUE,$S$4=TRUE),VLOOKUP($E36,'Status Thresholds'!$E:$AS,40,FALSE),IF(AND($S$3=TRUE,$S$4=TRUE),VLOOKUP($E36,'Status Thresholds'!$E:$AS,30,FALSE),""))))))))/IF(OR($Q$3=TRUE,AND($Q$2=TRUE,$Q$7=TRUE),AND($Q$3=TRUE,$Q$7=TRUE))=TRUE,'Shots and Status'!$F$5,IF((OR($Q$2,$Q$7)=TRUE),'Shots and Status'!$D$5,'Shots and Status'!$C$5)))),0),"-")</f>
        <v>-</v>
      </c>
      <c r="L36" s="36" t="str">
        <f>IFERROR(IF(AND($Q$1=FALSE,$S$3=FALSE),"-",VLOOKUP($E36,'Status Thresholds'!$E:$AU,41,FALSE)),"-")</f>
        <v>-</v>
      </c>
      <c r="M36" s="36" t="str">
        <f>IFERROR(IF(AND($Q$1=FALSE,$S$3=FALSE),"-",VLOOKUP($E36,'Status Thresholds'!$E:$AU,42,FALSE)),"-")</f>
        <v>-</v>
      </c>
      <c r="N36" s="36" t="str">
        <f>IFERROR(IF(AND($Q$1=FALSE,$S$3=FALSE),"-",VLOOKUP($E36,'Status Thresholds'!$E:$AU,43,FALSE)),"-")</f>
        <v>-</v>
      </c>
    </row>
    <row r="37" spans="1:14" s="59" customFormat="1" x14ac:dyDescent="0.25">
      <c r="A37" s="46"/>
      <c r="B37" s="64" t="str">
        <f>VLOOKUP(C37,'Status Thresholds'!B:C,2,FALSE)</f>
        <v>MHGen</v>
      </c>
      <c r="C37" s="46" t="str">
        <f>IF(ISBLANK('KO Calc'!C33)=TRUE,"",'KO Calc'!C33)</f>
        <v>Akantor</v>
      </c>
      <c r="D37" s="60" t="s">
        <v>32</v>
      </c>
      <c r="E37" s="62" t="str">
        <f t="shared" si="1"/>
        <v>AkantorSleep</v>
      </c>
      <c r="F37" s="59" t="s">
        <v>5</v>
      </c>
      <c r="G37" s="36" t="str">
        <f t="shared" si="2"/>
        <v>AkantorSleep lvl 2</v>
      </c>
      <c r="H37" s="36" t="str">
        <f>IFERROR(ROUNDUP(IF(AND($Q$1=FALSE,$S$3=FALSE),"-",IF(AND($Q$1=TRUE,$S$3=TRUE),"-",IF(AND($Q$1=TRUE,$S$1=TRUE,$S$4=FALSE),VLOOKUP($E37,'Status Thresholds'!$E:$AS,12,FALSE),IF(AND($Q$1=TRUE,$S$4=FALSE),VLOOKUP($E37,'Status Thresholds'!$E:$AS,2,FALSE), IF(AND($Q$1=TRUE,$S$1=TRUE,$S$4=TRUE),VLOOKUP($E37,'Status Thresholds'!$E:$AS,17,FALSE),IF(AND($Q$1=TRUE,$S$4=TRUE),VLOOKUP($E37,'Status Thresholds'!$E:$AS,7,FALSE),IF(AND($S$3=TRUE,$S$1=TRUE,$S$4=FALSE),VLOOKUP($E37,'Status Thresholds'!$E:$AS,32,FALSE),IF(AND($S$3=TRUE,$S$4=FALSE),VLOOKUP($E37,'Status Thresholds'!$E:$AS,22,FALSE),IF(AND($S$3=TRUE,$S$1=TRUE,$S$4=TRUE),VLOOKUP($E37,'Status Thresholds'!$E:$AS,37,FALSE),IF(AND($S$3=TRUE,$S$4=TRUE),VLOOKUP($E37,'Status Thresholds'!$E:$AS,27,FALSE),""))))))))/IF(OR($Q$3=TRUE,AND($Q$2=TRUE,$Q$7=TRUE),AND($Q$3=TRUE,$Q$7=TRUE))=TRUE,'Shots and Status'!$F$5,IF((OR($Q$2,$Q$7)=TRUE),'Shots and Status'!$D$5,'Shots and Status'!$C$5)))),0),"-")</f>
        <v>-</v>
      </c>
      <c r="I37" s="36" t="str">
        <f>IFERROR(ROUNDUP(IF(AND($Q$1=FALSE,$S$3=FALSE),"-",IF(AND($Q$1=TRUE,$S$3=TRUE),"-",IF(AND($Q$1=TRUE,$S$1=TRUE,$S$4=FALSE),VLOOKUP($E37,'Status Thresholds'!$E:$AS,13,FALSE),IF(AND($Q$1=TRUE,$S$4=FALSE),VLOOKUP($E37,'Status Thresholds'!$E:$AS,3,FALSE), IF(AND($Q$1=TRUE,$S$1=TRUE,$S$4=TRUE),VLOOKUP($E37,'Status Thresholds'!$E:$AS,18,FALSE),IF(AND($Q$1=TRUE,$S$4=TRUE),VLOOKUP($E37,'Status Thresholds'!$E:$AS,8,FALSE),IF(AND($S$3=TRUE,$S$1=TRUE,$S$4=FALSE),VLOOKUP($E37,'Status Thresholds'!$E:$AS,33,FALSE),IF(AND($S$3=TRUE,$S$4=FALSE),VLOOKUP($E37,'Status Thresholds'!$E:$AS,23,FALSE),IF(AND($S$3=TRUE,$S$1=TRUE,$S$4=TRUE),VLOOKUP($E37,'Status Thresholds'!$E:$AS,38,FALSE),IF(AND($S$3=TRUE,$S$4=TRUE),VLOOKUP($E37,'Status Thresholds'!$E:$AS,28,FALSE),""))))))))/IF(OR($Q$3=TRUE,AND($Q$2=TRUE,$Q$7=TRUE),AND($Q$3=TRUE,$Q$7=TRUE))=TRUE,'Shots and Status'!$F$5,IF((OR($Q$2,$Q$7)=TRUE),'Shots and Status'!$D$5,'Shots and Status'!$C$5)))),0),"-")</f>
        <v>-</v>
      </c>
      <c r="J37" s="36" t="str">
        <f>IFERROR(ROUNDUP(IF(AND($Q$1=FALSE,$S$3=FALSE),"-",IF(AND($Q$1=TRUE,$S$3=TRUE),"-",IF(AND($Q$1=TRUE,$S$1=TRUE,$S$4=FALSE),VLOOKUP($E37,'Status Thresholds'!$E:$AS,14,FALSE),IF(AND($Q$1=TRUE,$S$4=FALSE),VLOOKUP($E37,'Status Thresholds'!$E:$AS,4,FALSE), IF(AND($Q$1=TRUE,$S$1=TRUE,$S$4=TRUE),VLOOKUP($E37,'Status Thresholds'!$E:$AS,19,FALSE),IF(AND($Q$1=TRUE,$S$4=TRUE),VLOOKUP($E37,'Status Thresholds'!$E:$AS,9,FALSE),IF(AND($S$3=TRUE,$S$1=TRUE,$S$4=FALSE),VLOOKUP($E37,'Status Thresholds'!$E:$AS,34,FALSE),IF(AND($S$3=TRUE,$S$4=FALSE),VLOOKUP($E37,'Status Thresholds'!$E:$AS,24,FALSE),IF(AND($S$3=TRUE,$S$1=TRUE,$S$4=TRUE),VLOOKUP($E37,'Status Thresholds'!$E:$AS,39,FALSE),IF(AND($S$3=TRUE,$S$4=TRUE),VLOOKUP($E37,'Status Thresholds'!$E:$AS,29,FALSE),""))))))))/IF(OR($Q$3=TRUE,AND($Q$2=TRUE,$Q$7=TRUE),AND($Q$3=TRUE,$Q$7=TRUE))=TRUE,'Shots and Status'!$F$5,IF((OR($Q$2,$Q$7)=TRUE),'Shots and Status'!$D$5,'Shots and Status'!$C$5)))),0),"-")</f>
        <v>-</v>
      </c>
      <c r="K37" s="36" t="str">
        <f>IFERROR(ROUNDUP(IF(AND($Q$1=FALSE,$S$3=FALSE),"-",IF(AND($Q$1=TRUE,$S$3=TRUE),"-",IF(AND($Q$1=TRUE,$S$1=TRUE,$S$4=FALSE),VLOOKUP($E37,'Status Thresholds'!$E:$AS,15,FALSE),IF(AND($Q$1=TRUE,$S$4=FALSE),VLOOKUP($E37,'Status Thresholds'!$E:$AS,5,FALSE), IF(AND($Q$1=TRUE,$S$1=TRUE,$S$4=TRUE),VLOOKUP($E37,'Status Thresholds'!$E:$AS,20,FALSE),IF(AND($Q$1=TRUE,$S$4=TRUE),VLOOKUP($E37,'Status Thresholds'!$E:$AS,10,FALSE),IF(AND($S$3=TRUE,$S$1=TRUE,$S$4=FALSE),VLOOKUP($E37,'Status Thresholds'!$E:$AS,35,FALSE),IF(AND($S$3=TRUE,$S$4=FALSE),VLOOKUP($E37,'Status Thresholds'!$E:$AS,25,FALSE),IF(AND($S$3=TRUE,$S$1=TRUE,$S$4=TRUE),VLOOKUP($E37,'Status Thresholds'!$E:$AS,40,FALSE),IF(AND($S$3=TRUE,$S$4=TRUE),VLOOKUP($E37,'Status Thresholds'!$E:$AS,30,FALSE),""))))))))/IF(OR($Q$3=TRUE,AND($Q$2=TRUE,$Q$7=TRUE),AND($Q$3=TRUE,$Q$7=TRUE))=TRUE,'Shots and Status'!$F$5,IF((OR($Q$2,$Q$7)=TRUE),'Shots and Status'!$D$5,'Shots and Status'!$C$5)))),0),"-")</f>
        <v>-</v>
      </c>
      <c r="L37" s="36" t="str">
        <f>IFERROR(IF(AND($Q$1=FALSE,$S$3=FALSE),"-",VLOOKUP($E37,'Status Thresholds'!$E:$AU,41,FALSE)),"-")</f>
        <v>-</v>
      </c>
      <c r="M37" s="36" t="str">
        <f>IFERROR(IF(AND($Q$1=FALSE,$S$3=FALSE),"-",VLOOKUP($E37,'Status Thresholds'!$E:$AU,42,FALSE)),"-")</f>
        <v>-</v>
      </c>
      <c r="N37" s="36" t="str">
        <f>IFERROR(IF(AND($Q$1=FALSE,$S$3=FALSE),"-",VLOOKUP($E37,'Status Thresholds'!$E:$AU,43,FALSE)),"-")</f>
        <v>-</v>
      </c>
    </row>
    <row r="38" spans="1:14" s="59" customFormat="1" x14ac:dyDescent="0.25">
      <c r="A38" s="46"/>
      <c r="B38" s="64" t="str">
        <f>VLOOKUP(C38,'Status Thresholds'!B:C,2,FALSE)</f>
        <v>MHGen</v>
      </c>
      <c r="C38" s="46" t="str">
        <f>IF(ISBLANK('KO Calc'!C34)=TRUE,"",'KO Calc'!C34)</f>
        <v>Akantor</v>
      </c>
      <c r="D38" s="58" t="s">
        <v>33</v>
      </c>
      <c r="E38" s="62" t="str">
        <f t="shared" si="1"/>
        <v>AkantorPoison</v>
      </c>
      <c r="F38" s="59" t="s">
        <v>6</v>
      </c>
      <c r="G38" s="36" t="str">
        <f t="shared" si="2"/>
        <v>AkantorPoison lvl 2</v>
      </c>
      <c r="H38" s="36" t="str">
        <f>IFERROR(ROUNDUP(IF(AND($Q$1=FALSE,$S$3=FALSE),"-",IF(AND($Q$1=TRUE,$S$3=TRUE),"-",IF(AND($Q$1=TRUE,$S$1=TRUE,$S$4=FALSE),VLOOKUP($E38,'Status Thresholds'!$E:$AS,12,FALSE),IF(AND($Q$1=TRUE,$S$4=FALSE),VLOOKUP($E38,'Status Thresholds'!$E:$AS,2,FALSE), IF(AND($Q$1=TRUE,$S$1=TRUE,$S$4=TRUE),VLOOKUP($E38,'Status Thresholds'!$E:$AS,17,FALSE),IF(AND($Q$1=TRUE,$S$4=TRUE),VLOOKUP($E38,'Status Thresholds'!$E:$AS,7,FALSE),IF(AND($S$3=TRUE,$S$1=TRUE,$S$4=FALSE),VLOOKUP($E38,'Status Thresholds'!$E:$AS,32,FALSE),IF(AND($S$3=TRUE,$S$4=FALSE),VLOOKUP($E38,'Status Thresholds'!$E:$AS,22,FALSE),IF(AND($S$3=TRUE,$S$1=TRUE,$S$4=TRUE),VLOOKUP($E38,'Status Thresholds'!$E:$AS,37,FALSE),IF(AND($S$3=TRUE,$S$4=TRUE),VLOOKUP($E38,'Status Thresholds'!$E:$AS,27,FALSE),""))))))))/IF(OR($Q$3=TRUE,AND($Q$2=TRUE,$Q$7=TRUE),AND($Q$3=TRUE,$Q$7=TRUE))=TRUE,'Shots and Status'!$F$5,IF((OR($Q$2,$Q$7)=TRUE),'Shots and Status'!$D$5,'Shots and Status'!$C$5)))),0),"-")</f>
        <v>-</v>
      </c>
      <c r="I38" s="36" t="str">
        <f>IFERROR(ROUNDUP(IF(AND($Q$1=FALSE,$S$3=FALSE),"-",IF(AND($Q$1=TRUE,$S$3=TRUE),"-",IF(AND($Q$1=TRUE,$S$1=TRUE,$S$4=FALSE),VLOOKUP($E38,'Status Thresholds'!$E:$AS,13,FALSE),IF(AND($Q$1=TRUE,$S$4=FALSE),VLOOKUP($E38,'Status Thresholds'!$E:$AS,3,FALSE), IF(AND($Q$1=TRUE,$S$1=TRUE,$S$4=TRUE),VLOOKUP($E38,'Status Thresholds'!$E:$AS,18,FALSE),IF(AND($Q$1=TRUE,$S$4=TRUE),VLOOKUP($E38,'Status Thresholds'!$E:$AS,8,FALSE),IF(AND($S$3=TRUE,$S$1=TRUE,$S$4=FALSE),VLOOKUP($E38,'Status Thresholds'!$E:$AS,33,FALSE),IF(AND($S$3=TRUE,$S$4=FALSE),VLOOKUP($E38,'Status Thresholds'!$E:$AS,23,FALSE),IF(AND($S$3=TRUE,$S$1=TRUE,$S$4=TRUE),VLOOKUP($E38,'Status Thresholds'!$E:$AS,38,FALSE),IF(AND($S$3=TRUE,$S$4=TRUE),VLOOKUP($E38,'Status Thresholds'!$E:$AS,28,FALSE),""))))))))/IF(OR($Q$3=TRUE,AND($Q$2=TRUE,$Q$7=TRUE),AND($Q$3=TRUE,$Q$7=TRUE))=TRUE,'Shots and Status'!$F$5,IF((OR($Q$2,$Q$7)=TRUE),'Shots and Status'!$D$5,'Shots and Status'!$C$5)))),0),"-")</f>
        <v>-</v>
      </c>
      <c r="J38" s="36" t="str">
        <f>IFERROR(ROUNDUP(IF(AND($Q$1=FALSE,$S$3=FALSE),"-",IF(AND($Q$1=TRUE,$S$3=TRUE),"-",IF(AND($Q$1=TRUE,$S$1=TRUE,$S$4=FALSE),VLOOKUP($E38,'Status Thresholds'!$E:$AS,14,FALSE),IF(AND($Q$1=TRUE,$S$4=FALSE),VLOOKUP($E38,'Status Thresholds'!$E:$AS,4,FALSE), IF(AND($Q$1=TRUE,$S$1=TRUE,$S$4=TRUE),VLOOKUP($E38,'Status Thresholds'!$E:$AS,19,FALSE),IF(AND($Q$1=TRUE,$S$4=TRUE),VLOOKUP($E38,'Status Thresholds'!$E:$AS,9,FALSE),IF(AND($S$3=TRUE,$S$1=TRUE,$S$4=FALSE),VLOOKUP($E38,'Status Thresholds'!$E:$AS,34,FALSE),IF(AND($S$3=TRUE,$S$4=FALSE),VLOOKUP($E38,'Status Thresholds'!$E:$AS,24,FALSE),IF(AND($S$3=TRUE,$S$1=TRUE,$S$4=TRUE),VLOOKUP($E38,'Status Thresholds'!$E:$AS,39,FALSE),IF(AND($S$3=TRUE,$S$4=TRUE),VLOOKUP($E38,'Status Thresholds'!$E:$AS,29,FALSE),""))))))))/IF(OR($Q$3=TRUE,AND($Q$2=TRUE,$Q$7=TRUE),AND($Q$3=TRUE,$Q$7=TRUE))=TRUE,'Shots and Status'!$F$5,IF((OR($Q$2,$Q$7)=TRUE),'Shots and Status'!$D$5,'Shots and Status'!$C$5)))),0),"-")</f>
        <v>-</v>
      </c>
      <c r="K38" s="36" t="str">
        <f>IFERROR(ROUNDUP(IF(AND($Q$1=FALSE,$S$3=FALSE),"-",IF(AND($Q$1=TRUE,$S$3=TRUE),"-",IF(AND($Q$1=TRUE,$S$1=TRUE,$S$4=FALSE),VLOOKUP($E38,'Status Thresholds'!$E:$AS,15,FALSE),IF(AND($Q$1=TRUE,$S$4=FALSE),VLOOKUP($E38,'Status Thresholds'!$E:$AS,5,FALSE), IF(AND($Q$1=TRUE,$S$1=TRUE,$S$4=TRUE),VLOOKUP($E38,'Status Thresholds'!$E:$AS,20,FALSE),IF(AND($Q$1=TRUE,$S$4=TRUE),VLOOKUP($E38,'Status Thresholds'!$E:$AS,10,FALSE),IF(AND($S$3=TRUE,$S$1=TRUE,$S$4=FALSE),VLOOKUP($E38,'Status Thresholds'!$E:$AS,35,FALSE),IF(AND($S$3=TRUE,$S$4=FALSE),VLOOKUP($E38,'Status Thresholds'!$E:$AS,25,FALSE),IF(AND($S$3=TRUE,$S$1=TRUE,$S$4=TRUE),VLOOKUP($E38,'Status Thresholds'!$E:$AS,40,FALSE),IF(AND($S$3=TRUE,$S$4=TRUE),VLOOKUP($E38,'Status Thresholds'!$E:$AS,30,FALSE),""))))))))/IF(OR($Q$3=TRUE,AND($Q$2=TRUE,$Q$7=TRUE),AND($Q$3=TRUE,$Q$7=TRUE))=TRUE,'Shots and Status'!$F$5,IF((OR($Q$2,$Q$7)=TRUE),'Shots and Status'!$D$5,'Shots and Status'!$C$5)))),0),"-")</f>
        <v>-</v>
      </c>
      <c r="L38" s="36" t="str">
        <f>IFERROR(IF(AND($Q$1=FALSE,$S$3=FALSE),"-",VLOOKUP($E38,'Status Thresholds'!$E:$AU,41,FALSE)),"-")</f>
        <v>-</v>
      </c>
      <c r="M38" s="36" t="str">
        <f>IFERROR(IF(AND($Q$1=FALSE,$S$3=FALSE),"-",VLOOKUP($E38,'Status Thresholds'!$E:$AU,42,FALSE)),"-")</f>
        <v>-</v>
      </c>
      <c r="N38" s="36" t="str">
        <f>IFERROR(IF(AND($Q$1=FALSE,$S$3=FALSE),"-",VLOOKUP($E38,'Status Thresholds'!$E:$AU,43,FALSE)),"-")</f>
        <v>-</v>
      </c>
    </row>
    <row r="39" spans="1:14" s="36" customFormat="1" x14ac:dyDescent="0.25">
      <c r="A39" s="46"/>
      <c r="B39" s="64" t="str">
        <f>VLOOKUP(C39,'Status Thresholds'!B:C,2,FALSE)</f>
        <v>MHGen</v>
      </c>
      <c r="C39" s="46" t="str">
        <f>IF(ISBLANK('KO Calc'!C35)=TRUE,"",'KO Calc'!C35)</f>
        <v>Akantor</v>
      </c>
      <c r="D39" s="57" t="s">
        <v>22</v>
      </c>
      <c r="E39" s="62" t="str">
        <f t="shared" si="1"/>
        <v>AkantorExhaust</v>
      </c>
      <c r="F39" s="36" t="s">
        <v>8</v>
      </c>
      <c r="G39" s="36" t="str">
        <f t="shared" si="2"/>
        <v>AkantorExhaust lvl 2</v>
      </c>
      <c r="H39" s="36" t="str">
        <f>IFERROR(ROUNDUP(IF(AND($Q$1=FALSE,$S$3=FALSE),"-",IF(AND($Q$1=TRUE,$S$3=TRUE),"-",IF(AND($Q$1=TRUE,$S$1=TRUE,$S$4=FALSE),VLOOKUP($E39,'Status Thresholds'!$E:$AS,12,FALSE),IF(AND($Q$1=TRUE,$S$4=FALSE),VLOOKUP($E39,'Status Thresholds'!$E:$AS,2,FALSE), IF(AND($Q$1=TRUE,$S$1=TRUE,$S$4=TRUE),VLOOKUP($E39,'Status Thresholds'!$E:$AS,17,FALSE),IF(AND($Q$1=TRUE,$S$4=TRUE),VLOOKUP($E39,'Status Thresholds'!$E:$AS,7,FALSE),IF(AND($S$3=TRUE,$S$1=TRUE,$S$4=FALSE),VLOOKUP($E39,'Status Thresholds'!$E:$AS,32,FALSE),IF(AND($S$3=TRUE,$S$4=FALSE),VLOOKUP($E39,'Status Thresholds'!$E:$AS,22,FALSE),IF(AND($S$3=TRUE,$S$1=TRUE,$S$4=TRUE),VLOOKUP($E39,'Status Thresholds'!$E:$AS,37,FALSE),IF(AND($S$3=TRUE,$S$4=TRUE),VLOOKUP($E39,'Status Thresholds'!$E:$AS,27,FALSE),""))))))))/IF(OR($Q$3=TRUE,AND($Q$2=TRUE,$Q$7=TRUE),AND($Q$3=TRUE,$Q$7=TRUE))=TRUE,'Shots and Status'!$F$5,IF((OR($Q$2,$Q$7)=TRUE),'Shots and Status'!$D$5,'Shots and Status'!$C$5)))),0),"-")</f>
        <v>-</v>
      </c>
      <c r="I39" s="36" t="str">
        <f>IFERROR(ROUNDUP(IF(AND($Q$1=FALSE,$S$3=FALSE),"-",IF(AND($Q$1=TRUE,$S$3=TRUE),"-",IF(AND($Q$1=TRUE,$S$1=TRUE,$S$4=FALSE),VLOOKUP($E39,'Status Thresholds'!$E:$AS,13,FALSE),IF(AND($Q$1=TRUE,$S$4=FALSE),VLOOKUP($E39,'Status Thresholds'!$E:$AS,3,FALSE), IF(AND($Q$1=TRUE,$S$1=TRUE,$S$4=TRUE),VLOOKUP($E39,'Status Thresholds'!$E:$AS,18,FALSE),IF(AND($Q$1=TRUE,$S$4=TRUE),VLOOKUP($E39,'Status Thresholds'!$E:$AS,8,FALSE),IF(AND($S$3=TRUE,$S$1=TRUE,$S$4=FALSE),VLOOKUP($E39,'Status Thresholds'!$E:$AS,33,FALSE),IF(AND($S$3=TRUE,$S$4=FALSE),VLOOKUP($E39,'Status Thresholds'!$E:$AS,23,FALSE),IF(AND($S$3=TRUE,$S$1=TRUE,$S$4=TRUE),VLOOKUP($E39,'Status Thresholds'!$E:$AS,38,FALSE),IF(AND($S$3=TRUE,$S$4=TRUE),VLOOKUP($E39,'Status Thresholds'!$E:$AS,28,FALSE),""))))))))/IF(OR($Q$3=TRUE,AND($Q$2=TRUE,$Q$7=TRUE),AND($Q$3=TRUE,$Q$7=TRUE))=TRUE,'Shots and Status'!$F$5,IF((OR($Q$2,$Q$7)=TRUE),'Shots and Status'!$D$5,'Shots and Status'!$C$5)))),0),"-")</f>
        <v>-</v>
      </c>
      <c r="J39" s="36" t="str">
        <f>IFERROR(ROUNDUP(IF(AND($Q$1=FALSE,$S$3=FALSE),"-",IF(AND($Q$1=TRUE,$S$3=TRUE),"-",IF(AND($Q$1=TRUE,$S$1=TRUE,$S$4=FALSE),VLOOKUP($E39,'Status Thresholds'!$E:$AS,14,FALSE),IF(AND($Q$1=TRUE,$S$4=FALSE),VLOOKUP($E39,'Status Thresholds'!$E:$AS,4,FALSE), IF(AND($Q$1=TRUE,$S$1=TRUE,$S$4=TRUE),VLOOKUP($E39,'Status Thresholds'!$E:$AS,19,FALSE),IF(AND($Q$1=TRUE,$S$4=TRUE),VLOOKUP($E39,'Status Thresholds'!$E:$AS,9,FALSE),IF(AND($S$3=TRUE,$S$1=TRUE,$S$4=FALSE),VLOOKUP($E39,'Status Thresholds'!$E:$AS,34,FALSE),IF(AND($S$3=TRUE,$S$4=FALSE),VLOOKUP($E39,'Status Thresholds'!$E:$AS,24,FALSE),IF(AND($S$3=TRUE,$S$1=TRUE,$S$4=TRUE),VLOOKUP($E39,'Status Thresholds'!$E:$AS,39,FALSE),IF(AND($S$3=TRUE,$S$4=TRUE),VLOOKUP($E39,'Status Thresholds'!$E:$AS,29,FALSE),""))))))))/IF(OR($Q$3=TRUE,AND($Q$2=TRUE,$Q$7=TRUE),AND($Q$3=TRUE,$Q$7=TRUE))=TRUE,'Shots and Status'!$F$5,IF((OR($Q$2,$Q$7)=TRUE),'Shots and Status'!$D$5,'Shots and Status'!$C$5)))),0),"-")</f>
        <v>-</v>
      </c>
      <c r="K39" s="36" t="str">
        <f>IFERROR(ROUNDUP(IF(AND($Q$1=FALSE,$S$3=FALSE),"-",IF(AND($Q$1=TRUE,$S$3=TRUE),"-",IF(AND($Q$1=TRUE,$S$1=TRUE,$S$4=FALSE),VLOOKUP($E39,'Status Thresholds'!$E:$AS,15,FALSE),IF(AND($Q$1=TRUE,$S$4=FALSE),VLOOKUP($E39,'Status Thresholds'!$E:$AS,5,FALSE), IF(AND($Q$1=TRUE,$S$1=TRUE,$S$4=TRUE),VLOOKUP($E39,'Status Thresholds'!$E:$AS,20,FALSE),IF(AND($Q$1=TRUE,$S$4=TRUE),VLOOKUP($E39,'Status Thresholds'!$E:$AS,10,FALSE),IF(AND($S$3=TRUE,$S$1=TRUE,$S$4=FALSE),VLOOKUP($E39,'Status Thresholds'!$E:$AS,35,FALSE),IF(AND($S$3=TRUE,$S$4=FALSE),VLOOKUP($E39,'Status Thresholds'!$E:$AS,25,FALSE),IF(AND($S$3=TRUE,$S$1=TRUE,$S$4=TRUE),VLOOKUP($E39,'Status Thresholds'!$E:$AS,40,FALSE),IF(AND($S$3=TRUE,$S$4=TRUE),VLOOKUP($E39,'Status Thresholds'!$E:$AS,30,FALSE),""))))))))/IF(OR($Q$3=TRUE,AND($Q$2=TRUE,$Q$7=TRUE),AND($Q$3=TRUE,$Q$7=TRUE))=TRUE,'Shots and Status'!$F$5,IF((OR($Q$2,$Q$7)=TRUE),'Shots and Status'!$D$5,'Shots and Status'!$C$5)))),0),"-")</f>
        <v>-</v>
      </c>
      <c r="L39" s="36" t="str">
        <f>IFERROR(IF(AND($Q$1=FALSE,$S$3=FALSE),"-",VLOOKUP($E39,'Status Thresholds'!$E:$AU,41,FALSE)),"-")</f>
        <v>-</v>
      </c>
      <c r="M39" s="36" t="str">
        <f>IFERROR(IF(AND($Q$1=FALSE,$S$3=FALSE),"-",VLOOKUP($E39,'Status Thresholds'!$E:$AU,42,FALSE)),"-")</f>
        <v>-</v>
      </c>
      <c r="N39" s="36" t="str">
        <f>IFERROR(IF(AND($Q$1=FALSE,$S$3=FALSE),"-",VLOOKUP($E39,'Status Thresholds'!$E:$AU,43,FALSE)),"-")</f>
        <v>-</v>
      </c>
    </row>
    <row r="40" spans="1:14" s="36" customFormat="1" x14ac:dyDescent="0.25">
      <c r="A40" s="46"/>
      <c r="B40" s="64" t="str">
        <f>VLOOKUP(C40,'Status Thresholds'!B:C,2,FALSE)</f>
        <v>MHGen</v>
      </c>
      <c r="C40" s="46" t="str">
        <f>IF(ISBLANK('KO Calc'!C36)=TRUE,"",'KO Calc'!C36)</f>
        <v>Akantor</v>
      </c>
      <c r="D40" s="67" t="s">
        <v>14</v>
      </c>
      <c r="E40" s="62" t="str">
        <f t="shared" si="1"/>
        <v>AkantorKO</v>
      </c>
      <c r="F40" s="36" t="s">
        <v>21</v>
      </c>
      <c r="G40" s="36" t="str">
        <f t="shared" si="2"/>
        <v>AkantorTriblast</v>
      </c>
      <c r="H40" s="36" t="str">
        <f>IF(AND($Q$1=FALSE,$S$3=FALSE),"-",IF(AND($Q$1=TRUE,$S$3=TRUE),"-",IF(AND($Q$1=FALSE,$S$3=FALSE),"-",IF(AND($Q$1=TRUE,$S$1=TRUE,$S$4=FALSE)=TRUE,IF(OR($Q$4=TRUE,$Q$5=TRUE,$S$2=TRUE),VLOOKUP($G40,'KO Calc'!$H:$AW,12,FALSE),VLOOKUP($G40,'KO Calc'!$H37:$AW37,12,FALSE)),IF(AND($Q$1=TRUE,$S$4=FALSE),IF(OR($Q$4=TRUE,$Q$5=TRUE,$S$2=TRUE),VLOOKUP($G40,'KO Calc'!$H:$AW,2,FALSE),VLOOKUP($G40,'KO Calc'!$H37:$AW37,2,FALSE)),
IF(AND($Q$1=TRUE,$S$1=TRUE,$S$4=TRUE)=TRUE,IF(OR($Q$4=TRUE,$Q$5=TRUE,$S$2=TRUE),VLOOKUP($G40,'KO Calc'!$H:$AW,17,FALSE),VLOOKUP($G40,'KO Calc'!$H37:$AW37,17,FALSE)),IF(AND($Q$1=TRUE,$S$4=TRUE),IF(OR($Q$4=TRUE,$Q$5=TRUE,$S$2=TRUE),VLOOKUP($G40,'KO Calc'!$H:$AW,7,FALSE),VLOOKUP($G40,'KO Calc'!$H37:$AW37,7,FALSE)),
IF(AND($S$3=TRUE,$S$1=TRUE,$S$4=FALSE)=TRUE,IF(OR($Q$4=TRUE,$Q$5=TRUE,$S$2=TRUE),VLOOKUP($G40,'KO Calc'!$H:$AW,32,FALSE),VLOOKUP($G40,'KO Calc'!$H37:$AW37,32,FALSE)),IF(AND($S$3=TRUE,$S$4=FALSE),IF(OR($Q$4=TRUE,$Q$5=TRUE,$S$2=TRUE),VLOOKUP($G40,'KO Calc'!$H:$AW,22,FALSE),VLOOKUP($G40,'KO Calc'!$H37:$AW37,22,FALSE)),
IF(AND($S$3=TRUE,$S$1=TRUE,$S$4=TRUE)=TRUE,IF(OR($Q$4=TRUE,$Q$5=TRUE,$S$2=TRUE),VLOOKUP($G40,'KO Calc'!$H:$AW,37,FALSE),VLOOKUP($G40,'KO Calc'!$H37:$AW37,37,FALSE)),IF(AND($S$3=TRUE,$S$4=TRUE),IF(OR($Q$4=TRUE,$Q$5=TRUE,$S$2=TRUE),VLOOKUP($G40,'KO Calc'!$H:$AW,27,FALSE),VLOOKUP($G40,'KO Calc'!$H37:$AW37,27,FALSE)))))))))))))</f>
        <v>-</v>
      </c>
      <c r="I40" s="36" t="str">
        <f>IF(AND($Q$1=FALSE,$S$3=FALSE),"-",IF(AND($Q$1=TRUE,$S$3=TRUE),"-",IF(AND($Q$1=FALSE,$S$3=FALSE),"-",IF(AND($Q$1=TRUE,$S$1=TRUE,$S$4=FALSE)=TRUE,IF(OR($Q$4=TRUE,$Q$5=TRUE,$S$2=TRUE),VLOOKUP($G40,'KO Calc'!$H:$AW,13,FALSE),VLOOKUP($G40,'KO Calc'!$H37:$AW37,13,FALSE)),IF(AND($Q$1=TRUE,$S$4=FALSE),IF(OR($Q$4=TRUE,$Q$5=TRUE,$S$2=TRUE),VLOOKUP($G40,'KO Calc'!$H:$AW,3,FALSE),VLOOKUP($G40,'KO Calc'!$H37:$AW37,3,FALSE)),
IF(AND($Q$1=TRUE,$S$1=TRUE,$S$4=TRUE)=TRUE,IF(OR($Q$4=TRUE,$Q$5=TRUE,$S$2=TRUE),VLOOKUP($G40,'KO Calc'!$H:$AW,18,FALSE),VLOOKUP($G40,'KO Calc'!$H37:$AW37,18,FALSE)),IF(AND($Q$1=TRUE,$S$4=TRUE),IF(OR($Q$4=TRUE,$Q$5=TRUE,$S$2=TRUE),VLOOKUP($G40,'KO Calc'!$H:$AW,8,FALSE),VLOOKUP($G40,'KO Calc'!$H37:$AW37,8,FALSE)),
IF(AND($S$3=TRUE,$S$1=TRUE,$S$4=FALSE)=TRUE,IF(OR($Q$4=TRUE,$Q$5=TRUE,$S$2=TRUE),VLOOKUP($G40,'KO Calc'!$H:$AW,33,FALSE),VLOOKUP($G40,'KO Calc'!$H37:$AW37,33,FALSE)),IF(AND($S$3=TRUE,$S$4=FALSE),IF(OR($Q$4=TRUE,$Q$5=TRUE,$S$2=TRUE),VLOOKUP($G40,'KO Calc'!$H:$AW,23,FALSE),VLOOKUP($G40,'KO Calc'!$H37:$AW37,23,FALSE)),
IF(AND($S$3=TRUE,$S$1=TRUE,$S$4=TRUE)=TRUE,IF(OR($Q$4=TRUE,$Q$5=TRUE,$S$2=TRUE),VLOOKUP($G40,'KO Calc'!$H:$AW,38,FALSE),VLOOKUP($G40,'KO Calc'!$H37:$AW37,38,FALSE)),IF(AND($S$3=TRUE,$S$4=TRUE),IF(OR($Q$4=TRUE,$Q$5=TRUE,$S$2=TRUE),VLOOKUP($G40,'KO Calc'!$H:$AW,28,FALSE),VLOOKUP($G40,'KO Calc'!$H37:$AW37,28,FALSE)))))))))))))</f>
        <v>-</v>
      </c>
      <c r="J40" s="36" t="str">
        <f>IF(AND($Q$1=FALSE,$S$3=FALSE),"-",IF(AND($Q$1=TRUE,$S$3=TRUE),"-",IF(AND($Q$1=FALSE,$S$3=FALSE),"-",IF(AND($Q$1=TRUE,$S$1=TRUE,$S$4=FALSE)=TRUE,IF(OR($Q$4=TRUE,$Q$5=TRUE,$S$2=TRUE),VLOOKUP($G40,'KO Calc'!$H:$AW,FALSE),VLOOKUP($G40,'KO Calc'!$H37:$AW37,14,FALSE)),IF(AND($Q$1=TRUE,$S$4=FALSE),IF(OR($Q$4=TRUE,$Q$5=TRUE,$S$2=TRUE),VLOOKUP($G40,'KO Calc'!$H:$AW,4,FALSE),VLOOKUP($G40,'KO Calc'!$H37:$AW37,4,FALSE)),
IF(AND($Q$1=TRUE,$S$1=TRUE,$S$4=TRUE)=TRUE,IF(OR($Q$4=TRUE,$Q$5=TRUE,$S$2=TRUE),VLOOKUP($G40,'KO Calc'!$H:$AW,19,FALSE),VLOOKUP($G40,'KO Calc'!$H37:$AW37,19,FALSE)),IF(AND($Q$1=TRUE,$S$4=TRUE),IF(OR($Q$4=TRUE,$Q$5=TRUE,$S$2=TRUE),VLOOKUP($G40,'KO Calc'!$H:$AW,9,FALSE),VLOOKUP($G40,'KO Calc'!$H37:$AW37,9,FALSE)),
IF(AND($S$3=TRUE,$S$1=TRUE,$S$4=FALSE)=TRUE,IF(OR($Q$4=TRUE,$Q$5=TRUE,$S$2=TRUE),VLOOKUP($G40,'KO Calc'!$H:$AW,34,FALSE),VLOOKUP($G40,'KO Calc'!$H37:$AW37,34,FALSE)),IF(AND($S$3=TRUE,$S$4=FALSE),IF(OR($Q$4=TRUE,$Q$5=TRUE,$S$2=TRUE),VLOOKUP($G40,'KO Calc'!$H:$AW,24,FALSE),VLOOKUP($G40,'KO Calc'!$H37:$AW37,24,FALSE)),
IF(AND($S$3=TRUE,$S$1=TRUE,$S$4=TRUE)=TRUE,IF(OR($Q$4=TRUE,$Q$5=TRUE,$S$2=TRUE),VLOOKUP($G40,'KO Calc'!$H:$AW,39,FALSE),VLOOKUP($G40,'KO Calc'!$H37:$AW37,39,FALSE)),IF(AND($S$3=TRUE,$S$4=TRUE),IF(OR($Q$4=TRUE,$Q$5=TRUE,$S$2=TRUE),VLOOKUP($G40,'KO Calc'!$H:$AW,29,FALSE),VLOOKUP($G40,'KO Calc'!$H37:$AW37,29,FALSE)))))))))))))</f>
        <v>-</v>
      </c>
      <c r="K40" s="36" t="str">
        <f>IF(AND($Q$1=FALSE,$S$3=FALSE),"-",IF(AND($Q$1=TRUE,$S$3=TRUE),"-",IF(AND($Q$1=FALSE,$S$3=FALSE),"-",IF(AND($Q$1=TRUE,$S$1=TRUE,$S$4=FALSE)=TRUE,IF(OR($Q$4=TRUE,$Q$5=TRUE,$S$2=TRUE),VLOOKUP($G40,'KO Calc'!$H:$AW,15,FALSE),VLOOKUP($G40,'KO Calc'!$H37:$AW37,15,FALSE)),IF(AND($Q$1=TRUE,$S$4=FALSE),IF(OR($Q$4=TRUE,$Q$5=TRUE,$S$2=TRUE),VLOOKUP($G40,'KO Calc'!$H:$AW,5,FALSE),VLOOKUP($G40,'KO Calc'!$H37:$AW37,5,FALSE)),
IF(AND($Q$1=TRUE,$S$1=TRUE,$S$4=TRUE)=TRUE,IF(OR($Q$4=TRUE,$Q$5=TRUE,$S$2=TRUE),VLOOKUP($G40,'KO Calc'!$H:$AW,20,FALSE),VLOOKUP($G40,'KO Calc'!$H37:$AW37,20,FALSE)),IF(AND($Q$1=TRUE,$S$4=TRUE),IF(OR($Q$4=TRUE,$Q$5=TRUE,$S$2=TRUE),VLOOKUP($G40,'KO Calc'!$H:$AW,10,FALSE),VLOOKUP($G40,'KO Calc'!$H37:$AW37,10,FALSE)),
IF(AND($S$3=TRUE,$S$1=TRUE,$S$4=FALSE)=TRUE,IF(OR($Q$4=TRUE,$Q$5=TRUE,$S$2=TRUE),VLOOKUP($G40,'KO Calc'!$H:$AW,35,FALSE),VLOOKUP($G40,'KO Calc'!$H37:$AW37,35,FALSE)),IF(AND($S$3=TRUE,$S$4=FALSE),IF(OR($Q$4=TRUE,$Q$5=TRUE,$S$2=TRUE),VLOOKUP($G40,'KO Calc'!$H:$AW,25,FALSE),VLOOKUP($G40,'KO Calc'!$H37:$AW37,25,FALSE)),
IF(AND($S$3=TRUE,$S$1=TRUE,$S$4=TRUE)=TRUE,IF(OR($Q$4=TRUE,$Q$5=TRUE,$S$2=TRUE),VLOOKUP($G40,'KO Calc'!$H:$AW,40,FALSE),VLOOKUP($G40,'KO Calc'!$H37:$AW37,40,FALSE)),IF(AND($S$3=TRUE,$S$4=TRUE),IF(OR($Q$4=TRUE,$Q$5=TRUE,$S$2=TRUE),VLOOKUP($G40,'KO Calc'!$H:$AW,30,FALSE),VLOOKUP($G40,'KO Calc'!$H37:$AW37,30,FALSE)))))))))))))</f>
        <v>-</v>
      </c>
      <c r="L40" s="36" t="str">
        <f>IFERROR(IF(AND($Q$1=FALSE,$S$3=FALSE),"-",VLOOKUP($E40,'Status Thresholds'!$E:$AU,41,FALSE)),"-")</f>
        <v>-</v>
      </c>
      <c r="M40" s="36" t="str">
        <f>IFERROR(IF(AND($Q$1=FALSE,$S$3=FALSE),"-",VLOOKUP($E40,'Status Thresholds'!$E:$AU,42,FALSE)),"-")</f>
        <v>-</v>
      </c>
      <c r="N40" s="36" t="str">
        <f>IFERROR(IF(AND($Q$1=FALSE,$S$3=FALSE),"-",VLOOKUP($E40,'Status Thresholds'!$E:$AU,43,FALSE)),"-")</f>
        <v>-</v>
      </c>
    </row>
    <row r="41" spans="1:14" x14ac:dyDescent="0.25">
      <c r="B41" s="64" t="str">
        <f>VLOOKUP(C41,'Status Thresholds'!B:C,2,FALSE)</f>
        <v>MHGen</v>
      </c>
      <c r="C41" s="46" t="str">
        <f>IF(ISBLANK('KO Calc'!C37)=TRUE,"",'KO Calc'!C37)</f>
        <v>Akantor</v>
      </c>
      <c r="D41" s="78" t="s">
        <v>207</v>
      </c>
      <c r="E41" s="62" t="str">
        <f t="shared" si="1"/>
        <v>AkantorShock Trap</v>
      </c>
      <c r="F41" t="s">
        <v>13</v>
      </c>
      <c r="G41" s="36" t="str">
        <f t="shared" si="2"/>
        <v>AkantorCrag 3</v>
      </c>
      <c r="H41" s="36" t="str">
        <f>IF(AND($Q$1=FALSE,$S$3=FALSE),"-",IF(AND($Q$1=TRUE,$S$3=TRUE),"-",IF(AND($Q$1=FALSE,$S$3=FALSE),"-",IF(AND($Q$1=TRUE,$S$1=TRUE,$S$4=FALSE)=TRUE,IF(OR($Q$4=TRUE,$Q$5=TRUE,$S$2=TRUE),VLOOKUP($G41,'KO Calc'!$H:$AW,12,FALSE),VLOOKUP($G41,'KO Calc'!$H38:$AW38,12,FALSE)),IF(AND($Q$1=TRUE,$S$4=FALSE),IF(OR($Q$4=TRUE,$Q$5=TRUE,$S$2=TRUE),VLOOKUP($G41,'KO Calc'!$H:$AW,2,FALSE),VLOOKUP($G41,'KO Calc'!$H38:$AW38,2,FALSE)),
IF(AND($Q$1=TRUE,$S$1=TRUE,$S$4=TRUE)=TRUE,IF(OR($Q$4=TRUE,$Q$5=TRUE,$S$2=TRUE),VLOOKUP($G41,'KO Calc'!$H:$AW,17,FALSE),VLOOKUP($G41,'KO Calc'!$H38:$AW38,17,FALSE)),IF(AND($Q$1=TRUE,$S$4=TRUE),IF(OR($Q$4=TRUE,$Q$5=TRUE,$S$2=TRUE),VLOOKUP($G41,'KO Calc'!$H:$AW,7,FALSE),VLOOKUP($G41,'KO Calc'!$H38:$AW38,7,FALSE)),
IF(AND($S$3=TRUE,$S$1=TRUE,$S$4=FALSE)=TRUE,IF(OR($Q$4=TRUE,$Q$5=TRUE,$S$2=TRUE),VLOOKUP($G41,'KO Calc'!$H:$AW,32,FALSE),VLOOKUP($G41,'KO Calc'!$H38:$AW38,32,FALSE)),IF(AND($S$3=TRUE,$S$4=FALSE),IF(OR($Q$4=TRUE,$Q$5=TRUE,$S$2=TRUE),VLOOKUP($G41,'KO Calc'!$H:$AW,22,FALSE),VLOOKUP($G41,'KO Calc'!$H38:$AW38,22,FALSE)),
IF(AND($S$3=TRUE,$S$1=TRUE,$S$4=TRUE)=TRUE,IF(OR($Q$4=TRUE,$Q$5=TRUE,$S$2=TRUE),VLOOKUP($G41,'KO Calc'!$H:$AW,37,FALSE),VLOOKUP($G41,'KO Calc'!$H38:$AW38,37,FALSE)),IF(AND($S$3=TRUE,$S$4=TRUE),IF(OR($Q$4=TRUE,$Q$5=TRUE,$S$2=TRUE),VLOOKUP($G41,'KO Calc'!$H:$AW,27,FALSE),VLOOKUP($G41,'KO Calc'!$H38:$AW38,27,FALSE)))))))))))))</f>
        <v>-</v>
      </c>
      <c r="I41" s="36" t="str">
        <f>IF(AND($Q$1=FALSE,$S$3=FALSE),"-",IF(AND($Q$1=TRUE,$S$3=TRUE),"-",IF(AND($Q$1=FALSE,$S$3=FALSE),"-",IF(AND($Q$1=TRUE,$S$1=TRUE,$S$4=FALSE)=TRUE,IF(OR($Q$4=TRUE,$Q$5=TRUE,$S$2=TRUE),VLOOKUP($G41,'KO Calc'!$H:$AW,13,FALSE),VLOOKUP($G41,'KO Calc'!$H38:$AW38,13,FALSE)),IF(AND($Q$1=TRUE,$S$4=FALSE),IF(OR($Q$4=TRUE,$Q$5=TRUE,$S$2=TRUE),VLOOKUP($G41,'KO Calc'!$H:$AW,3,FALSE),VLOOKUP($G41,'KO Calc'!$H38:$AW38,3,FALSE)),
IF(AND($Q$1=TRUE,$S$1=TRUE,$S$4=TRUE)=TRUE,IF(OR($Q$4=TRUE,$Q$5=TRUE,$S$2=TRUE),VLOOKUP($G41,'KO Calc'!$H:$AW,18,FALSE),VLOOKUP($G41,'KO Calc'!$H38:$AW38,18,FALSE)),IF(AND($Q$1=TRUE,$S$4=TRUE),IF(OR($Q$4=TRUE,$Q$5=TRUE,$S$2=TRUE),VLOOKUP($G41,'KO Calc'!$H:$AW,8,FALSE),VLOOKUP($G41,'KO Calc'!$H38:$AW38,8,FALSE)),
IF(AND($S$3=TRUE,$S$1=TRUE,$S$4=FALSE)=TRUE,IF(OR($Q$4=TRUE,$Q$5=TRUE,$S$2=TRUE),VLOOKUP($G41,'KO Calc'!$H:$AW,33,FALSE),VLOOKUP($G41,'KO Calc'!$H38:$AW38,33,FALSE)),IF(AND($S$3=TRUE,$S$4=FALSE),IF(OR($Q$4=TRUE,$Q$5=TRUE,$S$2=TRUE),VLOOKUP($G41,'KO Calc'!$H:$AW,23,FALSE),VLOOKUP($G41,'KO Calc'!$H38:$AW38,23,FALSE)),
IF(AND($S$3=TRUE,$S$1=TRUE,$S$4=TRUE)=TRUE,IF(OR($Q$4=TRUE,$Q$5=TRUE,$S$2=TRUE),VLOOKUP($G41,'KO Calc'!$H:$AW,38,FALSE),VLOOKUP($G41,'KO Calc'!$H38:$AW38,38,FALSE)),IF(AND($S$3=TRUE,$S$4=TRUE),IF(OR($Q$4=TRUE,$Q$5=TRUE,$S$2=TRUE),VLOOKUP($G41,'KO Calc'!$H:$AW,28,FALSE),VLOOKUP($G41,'KO Calc'!$H38:$AW38,28,FALSE)))))))))))))</f>
        <v>-</v>
      </c>
      <c r="J41" s="36" t="str">
        <f>IF(AND($Q$1=FALSE,$S$3=FALSE),"-",IF(AND($Q$1=TRUE,$S$3=TRUE),"-",IF(AND($Q$1=FALSE,$S$3=FALSE),"-",IF(AND($Q$1=TRUE,$S$1=TRUE,$S$4=FALSE)=TRUE,IF(OR($Q$4=TRUE,$Q$5=TRUE,$S$2=TRUE),VLOOKUP($G41,'KO Calc'!$H:$AW,FALSE),VLOOKUP($G41,'KO Calc'!$H38:$AW38,14,FALSE)),IF(AND($Q$1=TRUE,$S$4=FALSE),IF(OR($Q$4=TRUE,$Q$5=TRUE,$S$2=TRUE),VLOOKUP($G41,'KO Calc'!$H:$AW,4,FALSE),VLOOKUP($G41,'KO Calc'!$H38:$AW38,4,FALSE)),
IF(AND($Q$1=TRUE,$S$1=TRUE,$S$4=TRUE)=TRUE,IF(OR($Q$4=TRUE,$Q$5=TRUE,$S$2=TRUE),VLOOKUP($G41,'KO Calc'!$H:$AW,19,FALSE),VLOOKUP($G41,'KO Calc'!$H38:$AW38,19,FALSE)),IF(AND($Q$1=TRUE,$S$4=TRUE),IF(OR($Q$4=TRUE,$Q$5=TRUE,$S$2=TRUE),VLOOKUP($G41,'KO Calc'!$H:$AW,9,FALSE),VLOOKUP($G41,'KO Calc'!$H38:$AW38,9,FALSE)),
IF(AND($S$3=TRUE,$S$1=TRUE,$S$4=FALSE)=TRUE,IF(OR($Q$4=TRUE,$Q$5=TRUE,$S$2=TRUE),VLOOKUP($G41,'KO Calc'!$H:$AW,34,FALSE),VLOOKUP($G41,'KO Calc'!$H38:$AW38,34,FALSE)),IF(AND($S$3=TRUE,$S$4=FALSE),IF(OR($Q$4=TRUE,$Q$5=TRUE,$S$2=TRUE),VLOOKUP($G41,'KO Calc'!$H:$AW,24,FALSE),VLOOKUP($G41,'KO Calc'!$H38:$AW38,24,FALSE)),
IF(AND($S$3=TRUE,$S$1=TRUE,$S$4=TRUE)=TRUE,IF(OR($Q$4=TRUE,$Q$5=TRUE,$S$2=TRUE),VLOOKUP($G41,'KO Calc'!$H:$AW,39,FALSE),VLOOKUP($G41,'KO Calc'!$H38:$AW38,39,FALSE)),IF(AND($S$3=TRUE,$S$4=TRUE),IF(OR($Q$4=TRUE,$Q$5=TRUE,$S$2=TRUE),VLOOKUP($G41,'KO Calc'!$H:$AW,29,FALSE),VLOOKUP($G41,'KO Calc'!$H38:$AW38,29,FALSE)))))))))))))</f>
        <v>-</v>
      </c>
      <c r="K41" s="36" t="str">
        <f>IF(AND($Q$1=FALSE,$S$3=FALSE),"-",IF(AND($Q$1=TRUE,$S$3=TRUE),"-",IF(AND($Q$1=FALSE,$S$3=FALSE),"-",IF(AND($Q$1=TRUE,$S$1=TRUE,$S$4=FALSE)=TRUE,IF(OR($Q$4=TRUE,$Q$5=TRUE,$S$2=TRUE),VLOOKUP($G41,'KO Calc'!$H:$AW,15,FALSE),VLOOKUP($G41,'KO Calc'!$H38:$AW38,15,FALSE)),IF(AND($Q$1=TRUE,$S$4=FALSE),IF(OR($Q$4=TRUE,$Q$5=TRUE,$S$2=TRUE),VLOOKUP($G41,'KO Calc'!$H:$AW,5,FALSE),VLOOKUP($G41,'KO Calc'!$H38:$AW38,5,FALSE)),
IF(AND($Q$1=TRUE,$S$1=TRUE,$S$4=TRUE)=TRUE,IF(OR($Q$4=TRUE,$Q$5=TRUE,$S$2=TRUE),VLOOKUP($G41,'KO Calc'!$H:$AW,20,FALSE),VLOOKUP($G41,'KO Calc'!$H38:$AW38,20,FALSE)),IF(AND($Q$1=TRUE,$S$4=TRUE),IF(OR($Q$4=TRUE,$Q$5=TRUE,$S$2=TRUE),VLOOKUP($G41,'KO Calc'!$H:$AW,10,FALSE),VLOOKUP($G41,'KO Calc'!$H38:$AW38,10,FALSE)),
IF(AND($S$3=TRUE,$S$1=TRUE,$S$4=FALSE)=TRUE,IF(OR($Q$4=TRUE,$Q$5=TRUE,$S$2=TRUE),VLOOKUP($G41,'KO Calc'!$H:$AW,35,FALSE),VLOOKUP($G41,'KO Calc'!$H38:$AW38,35,FALSE)),IF(AND($S$3=TRUE,$S$4=FALSE),IF(OR($Q$4=TRUE,$Q$5=TRUE,$S$2=TRUE),VLOOKUP($G41,'KO Calc'!$H:$AW,25,FALSE),VLOOKUP($G41,'KO Calc'!$H38:$AW38,25,FALSE)),
IF(AND($S$3=TRUE,$S$1=TRUE,$S$4=TRUE)=TRUE,IF(OR($Q$4=TRUE,$Q$5=TRUE,$S$2=TRUE),VLOOKUP($G41,'KO Calc'!$H:$AW,40,FALSE),VLOOKUP($G41,'KO Calc'!$H38:$AW38,40,FALSE)),IF(AND($S$3=TRUE,$S$4=TRUE),IF(OR($Q$4=TRUE,$Q$5=TRUE,$S$2=TRUE),VLOOKUP($G41,'KO Calc'!$H:$AW,30,FALSE),VLOOKUP($G41,'KO Calc'!$H38:$AW38,30,FALSE)))))))))))))</f>
        <v>-</v>
      </c>
      <c r="L41" s="36" t="str">
        <f>IFERROR(IF(AND($Q$1=FALSE,$S$3=FALSE),"-",VLOOKUP($E41,'Status Thresholds'!$E:$AU,43,FALSE)),"-")</f>
        <v>-</v>
      </c>
      <c r="M41" s="36" t="str">
        <f>IFERROR(IF(AND($Q$1=FALSE,$S$3=FALSE),"-",VLOOKUP($E41,'Status Thresholds'!$E:$AU,41,FALSE)),"-")</f>
        <v>-</v>
      </c>
      <c r="N41" s="36" t="str">
        <f>IFERROR(IF(AND($Q$1=FALSE,$S$3=FALSE),"-",VLOOKUP($E41,'Status Thresholds'!$E:$AU,42,FALSE)),"-")</f>
        <v>-</v>
      </c>
    </row>
    <row r="42" spans="1:14" x14ac:dyDescent="0.25">
      <c r="B42" s="64" t="str">
        <f>VLOOKUP(C42,'Status Thresholds'!B:C,2,FALSE)</f>
        <v>MHGen</v>
      </c>
      <c r="C42" s="46" t="str">
        <f>IF(ISBLANK('KO Calc'!C38)=TRUE,"",'KO Calc'!C38)</f>
        <v>Akantor</v>
      </c>
      <c r="D42" s="78" t="s">
        <v>213</v>
      </c>
      <c r="E42" s="62" t="str">
        <f t="shared" si="1"/>
        <v>AkantorPitfall Trap</v>
      </c>
      <c r="F42" t="s">
        <v>12</v>
      </c>
      <c r="G42" s="36" t="str">
        <f t="shared" si="2"/>
        <v>AkantorCrag 2</v>
      </c>
      <c r="H42" s="36" t="str">
        <f>IF(AND($Q$1=FALSE,$S$3=FALSE),"-",IF(AND($Q$1=TRUE,$S$3=TRUE),"-",IF(AND($Q$1=FALSE,$S$3=FALSE),"-",IF(AND($Q$1=TRUE,$S$1=TRUE,$S$4=FALSE)=TRUE,IF(OR($Q$4=TRUE,$Q$5=TRUE,$S$2=TRUE),VLOOKUP($G42,'KO Calc'!$H:$AW,12,FALSE),VLOOKUP($G42,'KO Calc'!$H39:$AW39,12,FALSE)),IF(AND($Q$1=TRUE,$S$4=FALSE),IF(OR($Q$4=TRUE,$Q$5=TRUE,$S$2=TRUE),VLOOKUP($G42,'KO Calc'!$H:$AW,2,FALSE),VLOOKUP($G42,'KO Calc'!$H39:$AW39,2,FALSE)),
IF(AND($Q$1=TRUE,$S$1=TRUE,$S$4=TRUE)=TRUE,IF(OR($Q$4=TRUE,$Q$5=TRUE,$S$2=TRUE),VLOOKUP($G42,'KO Calc'!$H:$AW,17,FALSE),VLOOKUP($G42,'KO Calc'!$H39:$AW39,17,FALSE)),IF(AND($Q$1=TRUE,$S$4=TRUE),IF(OR($Q$4=TRUE,$Q$5=TRUE,$S$2=TRUE),VLOOKUP($G42,'KO Calc'!$H:$AW,7,FALSE),VLOOKUP($G42,'KO Calc'!$H39:$AW39,7,FALSE)),
IF(AND($S$3=TRUE,$S$1=TRUE,$S$4=FALSE)=TRUE,IF(OR($Q$4=TRUE,$Q$5=TRUE,$S$2=TRUE),VLOOKUP($G42,'KO Calc'!$H:$AW,32,FALSE),VLOOKUP($G42,'KO Calc'!$H39:$AW39,32,FALSE)),IF(AND($S$3=TRUE,$S$4=FALSE),IF(OR($Q$4=TRUE,$Q$5=TRUE,$S$2=TRUE),VLOOKUP($G42,'KO Calc'!$H:$AW,22,FALSE),VLOOKUP($G42,'KO Calc'!$H39:$AW39,22,FALSE)),
IF(AND($S$3=TRUE,$S$1=TRUE,$S$4=TRUE)=TRUE,IF(OR($Q$4=TRUE,$Q$5=TRUE,$S$2=TRUE),VLOOKUP($G42,'KO Calc'!$H:$AW,37,FALSE),VLOOKUP($G42,'KO Calc'!$H39:$AW39,37,FALSE)),IF(AND($S$3=TRUE,$S$4=TRUE),IF(OR($Q$4=TRUE,$Q$5=TRUE,$S$2=TRUE),VLOOKUP($G42,'KO Calc'!$H:$AW,27,FALSE),VLOOKUP($G42,'KO Calc'!$H39:$AW39,27,FALSE)))))))))))))</f>
        <v>-</v>
      </c>
      <c r="I42" s="36" t="str">
        <f>IF(AND($Q$1=FALSE,$S$3=FALSE),"-",IF(AND($Q$1=TRUE,$S$3=TRUE),"-",IF(AND($Q$1=FALSE,$S$3=FALSE),"-",IF(AND($Q$1=TRUE,$S$1=TRUE,$S$4=FALSE)=TRUE,IF(OR($Q$4=TRUE,$Q$5=TRUE,$S$2=TRUE),VLOOKUP($G42,'KO Calc'!$H:$AW,13,FALSE),VLOOKUP($G42,'KO Calc'!$H39:$AW39,13,FALSE)),IF(AND($Q$1=TRUE,$S$4=FALSE),IF(OR($Q$4=TRUE,$Q$5=TRUE,$S$2=TRUE),VLOOKUP($G42,'KO Calc'!$H:$AW,3,FALSE),VLOOKUP($G42,'KO Calc'!$H39:$AW39,3,FALSE)),
IF(AND($Q$1=TRUE,$S$1=TRUE,$S$4=TRUE)=TRUE,IF(OR($Q$4=TRUE,$Q$5=TRUE,$S$2=TRUE),VLOOKUP($G42,'KO Calc'!$H:$AW,18,FALSE),VLOOKUP($G42,'KO Calc'!$H39:$AW39,18,FALSE)),IF(AND($Q$1=TRUE,$S$4=TRUE),IF(OR($Q$4=TRUE,$Q$5=TRUE,$S$2=TRUE),VLOOKUP($G42,'KO Calc'!$H:$AW,8,FALSE),VLOOKUP($G42,'KO Calc'!$H39:$AW39,8,FALSE)),
IF(AND($S$3=TRUE,$S$1=TRUE,$S$4=FALSE)=TRUE,IF(OR($Q$4=TRUE,$Q$5=TRUE,$S$2=TRUE),VLOOKUP($G42,'KO Calc'!$H:$AW,33,FALSE),VLOOKUP($G42,'KO Calc'!$H39:$AW39,33,FALSE)),IF(AND($S$3=TRUE,$S$4=FALSE),IF(OR($Q$4=TRUE,$Q$5=TRUE,$S$2=TRUE),VLOOKUP($G42,'KO Calc'!$H:$AW,23,FALSE),VLOOKUP($G42,'KO Calc'!$H39:$AW39,23,FALSE)),
IF(AND($S$3=TRUE,$S$1=TRUE,$S$4=TRUE)=TRUE,IF(OR($Q$4=TRUE,$Q$5=TRUE,$S$2=TRUE),VLOOKUP($G42,'KO Calc'!$H:$AW,38,FALSE),VLOOKUP($G42,'KO Calc'!$H39:$AW39,38,FALSE)),IF(AND($S$3=TRUE,$S$4=TRUE),IF(OR($Q$4=TRUE,$Q$5=TRUE,$S$2=TRUE),VLOOKUP($G42,'KO Calc'!$H:$AW,28,FALSE),VLOOKUP($G42,'KO Calc'!$H39:$AW39,28,FALSE)))))))))))))</f>
        <v>-</v>
      </c>
      <c r="J42" s="36" t="str">
        <f>IF(AND($Q$1=FALSE,$S$3=FALSE),"-",IF(AND($Q$1=TRUE,$S$3=TRUE),"-",IF(AND($Q$1=FALSE,$S$3=FALSE),"-",IF(AND($Q$1=TRUE,$S$1=TRUE,$S$4=FALSE)=TRUE,IF(OR($Q$4=TRUE,$Q$5=TRUE,$S$2=TRUE),VLOOKUP($G42,'KO Calc'!$H:$AW,FALSE),VLOOKUP($G42,'KO Calc'!$H39:$AW39,14,FALSE)),IF(AND($Q$1=TRUE,$S$4=FALSE),IF(OR($Q$4=TRUE,$Q$5=TRUE,$S$2=TRUE),VLOOKUP($G42,'KO Calc'!$H:$AW,4,FALSE),VLOOKUP($G42,'KO Calc'!$H39:$AW39,4,FALSE)),
IF(AND($Q$1=TRUE,$S$1=TRUE,$S$4=TRUE)=TRUE,IF(OR($Q$4=TRUE,$Q$5=TRUE,$S$2=TRUE),VLOOKUP($G42,'KO Calc'!$H:$AW,19,FALSE),VLOOKUP($G42,'KO Calc'!$H39:$AW39,19,FALSE)),IF(AND($Q$1=TRUE,$S$4=TRUE),IF(OR($Q$4=TRUE,$Q$5=TRUE,$S$2=TRUE),VLOOKUP($G42,'KO Calc'!$H:$AW,9,FALSE),VLOOKUP($G42,'KO Calc'!$H39:$AW39,9,FALSE)),
IF(AND($S$3=TRUE,$S$1=TRUE,$S$4=FALSE)=TRUE,IF(OR($Q$4=TRUE,$Q$5=TRUE,$S$2=TRUE),VLOOKUP($G42,'KO Calc'!$H:$AW,34,FALSE),VLOOKUP($G42,'KO Calc'!$H39:$AW39,34,FALSE)),IF(AND($S$3=TRUE,$S$4=FALSE),IF(OR($Q$4=TRUE,$Q$5=TRUE,$S$2=TRUE),VLOOKUP($G42,'KO Calc'!$H:$AW,24,FALSE),VLOOKUP($G42,'KO Calc'!$H39:$AW39,24,FALSE)),
IF(AND($S$3=TRUE,$S$1=TRUE,$S$4=TRUE)=TRUE,IF(OR($Q$4=TRUE,$Q$5=TRUE,$S$2=TRUE),VLOOKUP($G42,'KO Calc'!$H:$AW,39,FALSE),VLOOKUP($G42,'KO Calc'!$H39:$AW39,39,FALSE)),IF(AND($S$3=TRUE,$S$4=TRUE),IF(OR($Q$4=TRUE,$Q$5=TRUE,$S$2=TRUE),VLOOKUP($G42,'KO Calc'!$H:$AW,29,FALSE),VLOOKUP($G42,'KO Calc'!$H39:$AW39,29,FALSE)))))))))))))</f>
        <v>-</v>
      </c>
      <c r="K42" s="36" t="str">
        <f>IF(AND($Q$1=FALSE,$S$3=FALSE),"-",IF(AND($Q$1=TRUE,$S$3=TRUE),"-",IF(AND($Q$1=FALSE,$S$3=FALSE),"-",IF(AND($Q$1=TRUE,$S$1=TRUE,$S$4=FALSE)=TRUE,IF(OR($Q$4=TRUE,$Q$5=TRUE,$S$2=TRUE),VLOOKUP($G42,'KO Calc'!$H:$AW,15,FALSE),VLOOKUP($G42,'KO Calc'!$H39:$AW39,15,FALSE)),IF(AND($Q$1=TRUE,$S$4=FALSE),IF(OR($Q$4=TRUE,$Q$5=TRUE,$S$2=TRUE),VLOOKUP($G42,'KO Calc'!$H:$AW,5,FALSE),VLOOKUP($G42,'KO Calc'!$H39:$AW39,5,FALSE)),
IF(AND($Q$1=TRUE,$S$1=TRUE,$S$4=TRUE)=TRUE,IF(OR($Q$4=TRUE,$Q$5=TRUE,$S$2=TRUE),VLOOKUP($G42,'KO Calc'!$H:$AW,20,FALSE),VLOOKUP($G42,'KO Calc'!$H39:$AW39,20,FALSE)),IF(AND($Q$1=TRUE,$S$4=TRUE),IF(OR($Q$4=TRUE,$Q$5=TRUE,$S$2=TRUE),VLOOKUP($G42,'KO Calc'!$H:$AW,10,FALSE),VLOOKUP($G42,'KO Calc'!$H39:$AW39,10,FALSE)),
IF(AND($S$3=TRUE,$S$1=TRUE,$S$4=FALSE)=TRUE,IF(OR($Q$4=TRUE,$Q$5=TRUE,$S$2=TRUE),VLOOKUP($G42,'KO Calc'!$H:$AW,35,FALSE),VLOOKUP($G42,'KO Calc'!$H39:$AW39,35,FALSE)),IF(AND($S$3=TRUE,$S$4=FALSE),IF(OR($Q$4=TRUE,$Q$5=TRUE,$S$2=TRUE),VLOOKUP($G42,'KO Calc'!$H:$AW,25,FALSE),VLOOKUP($G42,'KO Calc'!$H39:$AW39,25,FALSE)),
IF(AND($S$3=TRUE,$S$1=TRUE,$S$4=TRUE)=TRUE,IF(OR($Q$4=TRUE,$Q$5=TRUE,$S$2=TRUE),VLOOKUP($G42,'KO Calc'!$H:$AW,40,FALSE),VLOOKUP($G42,'KO Calc'!$H39:$AW39,40,FALSE)),IF(AND($S$3=TRUE,$S$4=TRUE),IF(OR($Q$4=TRUE,$Q$5=TRUE,$S$2=TRUE),VLOOKUP($G42,'KO Calc'!$H:$AW,30,FALSE),VLOOKUP($G42,'KO Calc'!$H39:$AW39,30,FALSE)))))))))))))</f>
        <v>-</v>
      </c>
      <c r="L42" s="36" t="str">
        <f>IFERROR(IF(AND($Q$1=FALSE,$S$3=FALSE),"-",VLOOKUP($E42,'Status Thresholds'!$E:$AU,43,FALSE)),"-")</f>
        <v>-</v>
      </c>
      <c r="M42" s="36" t="str">
        <f>IFERROR(IF(AND($Q$1=FALSE,$S$3=FALSE),"-",VLOOKUP($E42,'Status Thresholds'!$E:$AU,41,FALSE)),"-")</f>
        <v>-</v>
      </c>
      <c r="N42" s="36" t="str">
        <f>IFERROR(IF(AND($Q$1=FALSE,$S$3=FALSE),"-",VLOOKUP($E42,'Status Thresholds'!$E:$AU,42,FALSE)),"-")</f>
        <v>-</v>
      </c>
    </row>
    <row r="43" spans="1:14" x14ac:dyDescent="0.25">
      <c r="B43" s="64" t="str">
        <f>VLOOKUP(C43,'Status Thresholds'!B:C,2,FALSE)</f>
        <v>MHGen</v>
      </c>
      <c r="C43" s="46" t="str">
        <f>IF(ISBLANK('KO Calc'!C39)=TRUE,"",'KO Calc'!C39)</f>
        <v>Akantor</v>
      </c>
      <c r="D43" s="78"/>
      <c r="E43" s="62" t="str">
        <f t="shared" si="1"/>
        <v>Akantor</v>
      </c>
      <c r="F43" t="s">
        <v>11</v>
      </c>
      <c r="G43" s="36" t="str">
        <f t="shared" si="2"/>
        <v>AkantorCrag 1</v>
      </c>
      <c r="H43" s="36" t="str">
        <f>IF(AND($Q$1=FALSE,$S$3=FALSE),"-",IF(AND($Q$1=TRUE,$S$3=TRUE),"-",IF(AND($Q$1=FALSE,$S$3=FALSE),"-",IF(AND($Q$1=TRUE,$S$1=TRUE,$S$4=FALSE)=TRUE,IF(OR($Q$4=TRUE,$Q$5=TRUE,$S$2=TRUE),VLOOKUP($G43,'KO Calc'!$H:$AW,12,FALSE),VLOOKUP($G43,'KO Calc'!$H40:$AW40,12,FALSE)),IF(AND($Q$1=TRUE,$S$4=FALSE),IF(OR($Q$4=TRUE,$Q$5=TRUE,$S$2=TRUE),VLOOKUP($G43,'KO Calc'!$H:$AW,2,FALSE),VLOOKUP($G43,'KO Calc'!$H40:$AW40,2,FALSE)),
IF(AND($Q$1=TRUE,$S$1=TRUE,$S$4=TRUE)=TRUE,IF(OR($Q$4=TRUE,$Q$5=TRUE,$S$2=TRUE),VLOOKUP($G43,'KO Calc'!$H:$AW,17,FALSE),VLOOKUP($G43,'KO Calc'!$H40:$AW40,17,FALSE)),IF(AND($Q$1=TRUE,$S$4=TRUE),IF(OR($Q$4=TRUE,$Q$5=TRUE,$S$2=TRUE),VLOOKUP($G43,'KO Calc'!$H:$AW,7,FALSE),VLOOKUP($G43,'KO Calc'!$H40:$AW40,7,FALSE)),
IF(AND($S$3=TRUE,$S$1=TRUE,$S$4=FALSE)=TRUE,IF(OR($Q$4=TRUE,$Q$5=TRUE,$S$2=TRUE),VLOOKUP($G43,'KO Calc'!$H:$AW,32,FALSE),VLOOKUP($G43,'KO Calc'!$H40:$AW40,32,FALSE)),IF(AND($S$3=TRUE,$S$4=FALSE),IF(OR($Q$4=TRUE,$Q$5=TRUE,$S$2=TRUE),VLOOKUP($G43,'KO Calc'!$H:$AW,22,FALSE),VLOOKUP($G43,'KO Calc'!$H40:$AW40,22,FALSE)),
IF(AND($S$3=TRUE,$S$1=TRUE,$S$4=TRUE)=TRUE,IF(OR($Q$4=TRUE,$Q$5=TRUE,$S$2=TRUE),VLOOKUP($G43,'KO Calc'!$H:$AW,37,FALSE),VLOOKUP($G43,'KO Calc'!$H40:$AW40,37,FALSE)),IF(AND($S$3=TRUE,$S$4=TRUE),IF(OR($Q$4=TRUE,$Q$5=TRUE,$S$2=TRUE),VLOOKUP($G43,'KO Calc'!$H:$AW,27,FALSE),VLOOKUP($G43,'KO Calc'!$H40:$AW40,27,FALSE)))))))))))))</f>
        <v>-</v>
      </c>
      <c r="I43" s="36" t="str">
        <f>IF(AND($Q$1=FALSE,$S$3=FALSE),"-",IF(AND($Q$1=TRUE,$S$3=TRUE),"-",IF(AND($Q$1=FALSE,$S$3=FALSE),"-",IF(AND($Q$1=TRUE,$S$1=TRUE,$S$4=FALSE)=TRUE,IF(OR($Q$4=TRUE,$Q$5=TRUE,$S$2=TRUE),VLOOKUP($G43,'KO Calc'!$H:$AW,13,FALSE),VLOOKUP($G43,'KO Calc'!$H40:$AW40,13,FALSE)),IF(AND($Q$1=TRUE,$S$4=FALSE),IF(OR($Q$4=TRUE,$Q$5=TRUE,$S$2=TRUE),VLOOKUP($G43,'KO Calc'!$H:$AW,3,FALSE),VLOOKUP($G43,'KO Calc'!$H40:$AW40,3,FALSE)),
IF(AND($Q$1=TRUE,$S$1=TRUE,$S$4=TRUE)=TRUE,IF(OR($Q$4=TRUE,$Q$5=TRUE,$S$2=TRUE),VLOOKUP($G43,'KO Calc'!$H:$AW,18,FALSE),VLOOKUP($G43,'KO Calc'!$H40:$AW40,18,FALSE)),IF(AND($Q$1=TRUE,$S$4=TRUE),IF(OR($Q$4=TRUE,$Q$5=TRUE,$S$2=TRUE),VLOOKUP($G43,'KO Calc'!$H:$AW,8,FALSE),VLOOKUP($G43,'KO Calc'!$H40:$AW40,8,FALSE)),
IF(AND($S$3=TRUE,$S$1=TRUE,$S$4=FALSE)=TRUE,IF(OR($Q$4=TRUE,$Q$5=TRUE,$S$2=TRUE),VLOOKUP($G43,'KO Calc'!$H:$AW,33,FALSE),VLOOKUP($G43,'KO Calc'!$H40:$AW40,33,FALSE)),IF(AND($S$3=TRUE,$S$4=FALSE),IF(OR($Q$4=TRUE,$Q$5=TRUE,$S$2=TRUE),VLOOKUP($G43,'KO Calc'!$H:$AW,23,FALSE),VLOOKUP($G43,'KO Calc'!$H40:$AW40,23,FALSE)),
IF(AND($S$3=TRUE,$S$1=TRUE,$S$4=TRUE)=TRUE,IF(OR($Q$4=TRUE,$Q$5=TRUE,$S$2=TRUE),VLOOKUP($G43,'KO Calc'!$H:$AW,38,FALSE),VLOOKUP($G43,'KO Calc'!$H40:$AW40,38,FALSE)),IF(AND($S$3=TRUE,$S$4=TRUE),IF(OR($Q$4=TRUE,$Q$5=TRUE,$S$2=TRUE),VLOOKUP($G43,'KO Calc'!$H:$AW,28,FALSE),VLOOKUP($G43,'KO Calc'!$H40:$AW40,28,FALSE)))))))))))))</f>
        <v>-</v>
      </c>
      <c r="J43" s="36" t="str">
        <f>IF(AND($Q$1=FALSE,$S$3=FALSE),"-",IF(AND($Q$1=TRUE,$S$3=TRUE),"-",IF(AND($Q$1=FALSE,$S$3=FALSE),"-",IF(AND($Q$1=TRUE,$S$1=TRUE,$S$4=FALSE)=TRUE,IF(OR($Q$4=TRUE,$Q$5=TRUE,$S$2=TRUE),VLOOKUP($G43,'KO Calc'!$H:$AW,FALSE),VLOOKUP($G43,'KO Calc'!$H40:$AW40,14,FALSE)),IF(AND($Q$1=TRUE,$S$4=FALSE),IF(OR($Q$4=TRUE,$Q$5=TRUE,$S$2=TRUE),VLOOKUP($G43,'KO Calc'!$H:$AW,4,FALSE),VLOOKUP($G43,'KO Calc'!$H40:$AW40,4,FALSE)),
IF(AND($Q$1=TRUE,$S$1=TRUE,$S$4=TRUE)=TRUE,IF(OR($Q$4=TRUE,$Q$5=TRUE,$S$2=TRUE),VLOOKUP($G43,'KO Calc'!$H:$AW,19,FALSE),VLOOKUP($G43,'KO Calc'!$H40:$AW40,19,FALSE)),IF(AND($Q$1=TRUE,$S$4=TRUE),IF(OR($Q$4=TRUE,$Q$5=TRUE,$S$2=TRUE),VLOOKUP($G43,'KO Calc'!$H:$AW,9,FALSE),VLOOKUP($G43,'KO Calc'!$H40:$AW40,9,FALSE)),
IF(AND($S$3=TRUE,$S$1=TRUE,$S$4=FALSE)=TRUE,IF(OR($Q$4=TRUE,$Q$5=TRUE,$S$2=TRUE),VLOOKUP($G43,'KO Calc'!$H:$AW,34,FALSE),VLOOKUP($G43,'KO Calc'!$H40:$AW40,34,FALSE)),IF(AND($S$3=TRUE,$S$4=FALSE),IF(OR($Q$4=TRUE,$Q$5=TRUE,$S$2=TRUE),VLOOKUP($G43,'KO Calc'!$H:$AW,24,FALSE),VLOOKUP($G43,'KO Calc'!$H40:$AW40,24,FALSE)),
IF(AND($S$3=TRUE,$S$1=TRUE,$S$4=TRUE)=TRUE,IF(OR($Q$4=TRUE,$Q$5=TRUE,$S$2=TRUE),VLOOKUP($G43,'KO Calc'!$H:$AW,39,FALSE),VLOOKUP($G43,'KO Calc'!$H40:$AW40,39,FALSE)),IF(AND($S$3=TRUE,$S$4=TRUE),IF(OR($Q$4=TRUE,$Q$5=TRUE,$S$2=TRUE),VLOOKUP($G43,'KO Calc'!$H:$AW,29,FALSE),VLOOKUP($G43,'KO Calc'!$H40:$AW40,29,FALSE)))))))))))))</f>
        <v>-</v>
      </c>
      <c r="K43" s="36" t="str">
        <f>IF(AND($Q$1=FALSE,$S$3=FALSE),"-",IF(AND($Q$1=TRUE,$S$3=TRUE),"-",IF(AND($Q$1=FALSE,$S$3=FALSE),"-",IF(AND($Q$1=TRUE,$S$1=TRUE,$S$4=FALSE)=TRUE,IF(OR($Q$4=TRUE,$Q$5=TRUE,$S$2=TRUE),VLOOKUP($G43,'KO Calc'!$H:$AW,15,FALSE),VLOOKUP($G43,'KO Calc'!$H40:$AW40,15,FALSE)),IF(AND($Q$1=TRUE,$S$4=FALSE),IF(OR($Q$4=TRUE,$Q$5=TRUE,$S$2=TRUE),VLOOKUP($G43,'KO Calc'!$H:$AW,5,FALSE),VLOOKUP($G43,'KO Calc'!$H40:$AW40,5,FALSE)),
IF(AND($Q$1=TRUE,$S$1=TRUE,$S$4=TRUE)=TRUE,IF(OR($Q$4=TRUE,$Q$5=TRUE,$S$2=TRUE),VLOOKUP($G43,'KO Calc'!$H:$AW,20,FALSE),VLOOKUP($G43,'KO Calc'!$H40:$AW40,20,FALSE)),IF(AND($Q$1=TRUE,$S$4=TRUE),IF(OR($Q$4=TRUE,$Q$5=TRUE,$S$2=TRUE),VLOOKUP($G43,'KO Calc'!$H:$AW,10,FALSE),VLOOKUP($G43,'KO Calc'!$H40:$AW40,10,FALSE)),
IF(AND($S$3=TRUE,$S$1=TRUE,$S$4=FALSE)=TRUE,IF(OR($Q$4=TRUE,$Q$5=TRUE,$S$2=TRUE),VLOOKUP($G43,'KO Calc'!$H:$AW,35,FALSE),VLOOKUP($G43,'KO Calc'!$H40:$AW40,35,FALSE)),IF(AND($S$3=TRUE,$S$4=FALSE),IF(OR($Q$4=TRUE,$Q$5=TRUE,$S$2=TRUE),VLOOKUP($G43,'KO Calc'!$H:$AW,25,FALSE),VLOOKUP($G43,'KO Calc'!$H40:$AW40,25,FALSE)),
IF(AND($S$3=TRUE,$S$1=TRUE,$S$4=TRUE)=TRUE,IF(OR($Q$4=TRUE,$Q$5=TRUE,$S$2=TRUE),VLOOKUP($G43,'KO Calc'!$H:$AW,40,FALSE),VLOOKUP($G43,'KO Calc'!$H40:$AW40,40,FALSE)),IF(AND($S$3=TRUE,$S$4=TRUE),IF(OR($Q$4=TRUE,$Q$5=TRUE,$S$2=TRUE),VLOOKUP($G43,'KO Calc'!$H:$AW,30,FALSE),VLOOKUP($G43,'KO Calc'!$H40:$AW40,30,FALSE)))))))))))))</f>
        <v>-</v>
      </c>
      <c r="L43" s="36" t="str">
        <f>IFERROR(VLOOKUP($E43,'Status Thresholds'!$E:$AS,41,FALSE),"-")</f>
        <v>-</v>
      </c>
    </row>
    <row r="44" spans="1:14" x14ac:dyDescent="0.25">
      <c r="B44" s="64" t="str">
        <f>VLOOKUP(C44,'Status Thresholds'!B:C,2,FALSE)</f>
        <v>MHGen</v>
      </c>
      <c r="C44" s="46" t="str">
        <f>IF(ISBLANK('KO Calc'!C40)=TRUE,"",'KO Calc'!C40)</f>
        <v>Akantor</v>
      </c>
      <c r="D44" s="78"/>
      <c r="E44" s="62"/>
      <c r="G44" s="36"/>
      <c r="H44" s="36"/>
      <c r="I44" s="36"/>
      <c r="J44" s="36"/>
      <c r="K44" s="36"/>
      <c r="L44" s="36" t="str">
        <f>IFERROR(VLOOKUP($E44,'Status Thresholds'!$E:$AS,41,FALSE),"-")</f>
        <v>-</v>
      </c>
    </row>
    <row r="45" spans="1:14" s="36" customFormat="1" x14ac:dyDescent="0.25">
      <c r="B45" s="64" t="str">
        <f>VLOOKUP(C45,'Status Thresholds'!B:C,2,FALSE)</f>
        <v>MHGen</v>
      </c>
      <c r="C45" s="46" t="str">
        <f>IF(ISBLANK('KO Calc'!C41)=TRUE,"",'KO Calc'!C41)</f>
        <v>Alatron</v>
      </c>
      <c r="D45" s="65" t="s">
        <v>0</v>
      </c>
      <c r="E45" s="62" t="str">
        <f t="shared" si="1"/>
        <v>AlatronPara</v>
      </c>
      <c r="F45" s="36" t="s">
        <v>2</v>
      </c>
      <c r="G45" s="36" t="str">
        <f t="shared" si="2"/>
        <v>AlatronPara lvl 2</v>
      </c>
      <c r="H45" s="36" t="str">
        <f>IFERROR(ROUNDUP(IF(AND($Q$1=FALSE,$S$3=FALSE),"-",IF(AND($Q$1=TRUE,$S$3=TRUE),"-",IF(AND($Q$1=TRUE,$S$1=TRUE,$S$4=FALSE),VLOOKUP($E45,'Status Thresholds'!$E:$AS,12,FALSE),IF(AND($Q$1=TRUE,$S$4=FALSE),VLOOKUP($E45,'Status Thresholds'!$E:$AS,2,FALSE), IF(AND($Q$1=TRUE,$S$1=TRUE,$S$4=TRUE),VLOOKUP($E45,'Status Thresholds'!$E:$AS,17,FALSE),IF(AND($Q$1=TRUE,$S$4=TRUE),VLOOKUP($E45,'Status Thresholds'!$E:$AS,7,FALSE),IF(AND($S$3=TRUE,$S$1=TRUE,$S$4=FALSE),VLOOKUP($E45,'Status Thresholds'!$E:$AS,32,FALSE),IF(AND($S$3=TRUE,$S$4=FALSE),VLOOKUP($E45,'Status Thresholds'!$E:$AS,22,FALSE),IF(AND($S$3=TRUE,$S$1=TRUE,$S$4=TRUE),VLOOKUP($E45,'Status Thresholds'!$E:$AS,37,FALSE),IF(AND($S$3=TRUE,$S$4=TRUE),VLOOKUP($E45,'Status Thresholds'!$E:$AS,27,FALSE),""))))))))/IF(OR($Q$3=TRUE,AND($Q$2=TRUE,$Q$7=TRUE),AND($Q$3=TRUE,$Q$7=TRUE))=TRUE,'Shots and Status'!$F$5,IF((OR($Q$2,$Q$7)=TRUE),'Shots and Status'!$D$5,'Shots and Status'!$C$5)))),0),"-")</f>
        <v>-</v>
      </c>
      <c r="I45" s="36" t="str">
        <f>IFERROR(ROUNDUP(IF(AND($Q$1=FALSE,$S$3=FALSE),"-",IF(AND($Q$1=TRUE,$S$3=TRUE),"-",IF(AND($Q$1=TRUE,$S$1=TRUE,$S$4=FALSE),VLOOKUP($E45,'Status Thresholds'!$E:$AS,13,FALSE),IF(AND($Q$1=TRUE,$S$4=FALSE),VLOOKUP($E45,'Status Thresholds'!$E:$AS,3,FALSE), IF(AND($Q$1=TRUE,$S$1=TRUE,$S$4=TRUE),VLOOKUP($E45,'Status Thresholds'!$E:$AS,18,FALSE),IF(AND($Q$1=TRUE,$S$4=TRUE),VLOOKUP($E45,'Status Thresholds'!$E:$AS,8,FALSE),IF(AND($S$3=TRUE,$S$1=TRUE,$S$4=FALSE),VLOOKUP($E45,'Status Thresholds'!$E:$AS,33,FALSE),IF(AND($S$3=TRUE,$S$4=FALSE),VLOOKUP($E45,'Status Thresholds'!$E:$AS,23,FALSE),IF(AND($S$3=TRUE,$S$1=TRUE,$S$4=TRUE),VLOOKUP($E45,'Status Thresholds'!$E:$AS,38,FALSE),IF(AND($S$3=TRUE,$S$4=TRUE),VLOOKUP($E45,'Status Thresholds'!$E:$AS,28,FALSE),""))))))))/IF(OR($Q$3=TRUE,AND($Q$2=TRUE,$Q$7=TRUE),AND($Q$3=TRUE,$Q$7=TRUE))=TRUE,'Shots and Status'!$F$5,IF((OR($Q$2,$Q$7)=TRUE),'Shots and Status'!$D$5,'Shots and Status'!$C$5)))),0),"-")</f>
        <v>-</v>
      </c>
      <c r="J45" s="36" t="str">
        <f>IFERROR(ROUNDUP(IF(AND($Q$1=FALSE,$S$3=FALSE),"-",IF(AND($Q$1=TRUE,$S$3=TRUE),"-",IF(AND($Q$1=TRUE,$S$1=TRUE,$S$4=FALSE),VLOOKUP($E45,'Status Thresholds'!$E:$AS,14,FALSE),IF(AND($Q$1=TRUE,$S$4=FALSE),VLOOKUP($E45,'Status Thresholds'!$E:$AS,4,FALSE), IF(AND($Q$1=TRUE,$S$1=TRUE,$S$4=TRUE),VLOOKUP($E45,'Status Thresholds'!$E:$AS,19,FALSE),IF(AND($Q$1=TRUE,$S$4=TRUE),VLOOKUP($E45,'Status Thresholds'!$E:$AS,9,FALSE),IF(AND($S$3=TRUE,$S$1=TRUE,$S$4=FALSE),VLOOKUP($E45,'Status Thresholds'!$E:$AS,34,FALSE),IF(AND($S$3=TRUE,$S$4=FALSE),VLOOKUP($E45,'Status Thresholds'!$E:$AS,24,FALSE),IF(AND($S$3=TRUE,$S$1=TRUE,$S$4=TRUE),VLOOKUP($E45,'Status Thresholds'!$E:$AS,39,FALSE),IF(AND($S$3=TRUE,$S$4=TRUE),VLOOKUP($E45,'Status Thresholds'!$E:$AS,29,FALSE),""))))))))/IF(OR($Q$3=TRUE,AND($Q$2=TRUE,$Q$7=TRUE),AND($Q$3=TRUE,$Q$7=TRUE))=TRUE,'Shots and Status'!$F$5,IF((OR($Q$2,$Q$7)=TRUE),'Shots and Status'!$D$5,'Shots and Status'!$C$5)))),0),"-")</f>
        <v>-</v>
      </c>
      <c r="K45" s="36" t="str">
        <f>IFERROR(ROUNDUP(IF(AND($Q$1=FALSE,$S$3=FALSE),"-",IF(AND($Q$1=TRUE,$S$3=TRUE),"-",IF(AND($Q$1=TRUE,$S$1=TRUE,$S$4=FALSE),VLOOKUP($E45,'Status Thresholds'!$E:$AS,15,FALSE),IF(AND($Q$1=TRUE,$S$4=FALSE),VLOOKUP($E45,'Status Thresholds'!$E:$AS,5,FALSE), IF(AND($Q$1=TRUE,$S$1=TRUE,$S$4=TRUE),VLOOKUP($E45,'Status Thresholds'!$E:$AS,20,FALSE),IF(AND($Q$1=TRUE,$S$4=TRUE),VLOOKUP($E45,'Status Thresholds'!$E:$AS,10,FALSE),IF(AND($S$3=TRUE,$S$1=TRUE,$S$4=FALSE),VLOOKUP($E45,'Status Thresholds'!$E:$AS,35,FALSE),IF(AND($S$3=TRUE,$S$4=FALSE),VLOOKUP($E45,'Status Thresholds'!$E:$AS,25,FALSE),IF(AND($S$3=TRUE,$S$1=TRUE,$S$4=TRUE),VLOOKUP($E45,'Status Thresholds'!$E:$AS,40,FALSE),IF(AND($S$3=TRUE,$S$4=TRUE),VLOOKUP($E45,'Status Thresholds'!$E:$AS,30,FALSE),""))))))))/IF(OR($Q$3=TRUE,AND($Q$2=TRUE,$Q$7=TRUE),AND($Q$3=TRUE,$Q$7=TRUE))=TRUE,'Shots and Status'!$F$5,IF((OR($Q$2,$Q$7)=TRUE),'Shots and Status'!$D$5,'Shots and Status'!$C$5)))),0),"-")</f>
        <v>-</v>
      </c>
      <c r="L45" s="36" t="str">
        <f>IFERROR(IF(AND($Q$1=FALSE,$S$3=FALSE),"-",VLOOKUP($E45,'Status Thresholds'!$E:$AU,41,FALSE)),"-")</f>
        <v>-</v>
      </c>
      <c r="M45" s="36" t="str">
        <f>IFERROR(IF(AND($Q$1=FALSE,$S$3=FALSE),"-",VLOOKUP($E45,'Status Thresholds'!$E:$AU,42,FALSE)),"-")</f>
        <v>-</v>
      </c>
      <c r="N45" s="36" t="str">
        <f>IFERROR(IF(AND($Q$1=FALSE,$S$3=FALSE),"-",VLOOKUP($E45,'Status Thresholds'!$E:$AU,43,FALSE)),"-")</f>
        <v>-</v>
      </c>
    </row>
    <row r="46" spans="1:14" s="59" customFormat="1" x14ac:dyDescent="0.25">
      <c r="A46" s="46"/>
      <c r="B46" s="64" t="str">
        <f>VLOOKUP(C46,'Status Thresholds'!B:C,2,FALSE)</f>
        <v>MHGen</v>
      </c>
      <c r="C46" s="46" t="str">
        <f>IF(ISBLANK('KO Calc'!C42)=TRUE,"",'KO Calc'!C42)</f>
        <v>Alatron</v>
      </c>
      <c r="D46" s="60" t="s">
        <v>32</v>
      </c>
      <c r="E46" s="62" t="str">
        <f t="shared" si="1"/>
        <v>AlatronSleep</v>
      </c>
      <c r="F46" s="59" t="s">
        <v>5</v>
      </c>
      <c r="G46" s="36" t="str">
        <f t="shared" si="2"/>
        <v>AlatronSleep lvl 2</v>
      </c>
      <c r="H46" s="36" t="str">
        <f>IFERROR(ROUNDUP(IF(AND($Q$1=FALSE,$S$3=FALSE),"-",IF(AND($Q$1=TRUE,$S$3=TRUE),"-",IF(AND($Q$1=TRUE,$S$1=TRUE,$S$4=FALSE),VLOOKUP($E46,'Status Thresholds'!$E:$AS,12,FALSE),IF(AND($Q$1=TRUE,$S$4=FALSE),VLOOKUP($E46,'Status Thresholds'!$E:$AS,2,FALSE), IF(AND($Q$1=TRUE,$S$1=TRUE,$S$4=TRUE),VLOOKUP($E46,'Status Thresholds'!$E:$AS,17,FALSE),IF(AND($Q$1=TRUE,$S$4=TRUE),VLOOKUP($E46,'Status Thresholds'!$E:$AS,7,FALSE),IF(AND($S$3=TRUE,$S$1=TRUE,$S$4=FALSE),VLOOKUP($E46,'Status Thresholds'!$E:$AS,32,FALSE),IF(AND($S$3=TRUE,$S$4=FALSE),VLOOKUP($E46,'Status Thresholds'!$E:$AS,22,FALSE),IF(AND($S$3=TRUE,$S$1=TRUE,$S$4=TRUE),VLOOKUP($E46,'Status Thresholds'!$E:$AS,37,FALSE),IF(AND($S$3=TRUE,$S$4=TRUE),VLOOKUP($E46,'Status Thresholds'!$E:$AS,27,FALSE),""))))))))/IF(OR($Q$3=TRUE,AND($Q$2=TRUE,$Q$7=TRUE),AND($Q$3=TRUE,$Q$7=TRUE))=TRUE,'Shots and Status'!$F$5,IF((OR($Q$2,$Q$7)=TRUE),'Shots and Status'!$D$5,'Shots and Status'!$C$5)))),0),"-")</f>
        <v>-</v>
      </c>
      <c r="I46" s="36" t="str">
        <f>IFERROR(ROUNDUP(IF(AND($Q$1=FALSE,$S$3=FALSE),"-",IF(AND($Q$1=TRUE,$S$3=TRUE),"-",IF(AND($Q$1=TRUE,$S$1=TRUE,$S$4=FALSE),VLOOKUP($E46,'Status Thresholds'!$E:$AS,13,FALSE),IF(AND($Q$1=TRUE,$S$4=FALSE),VLOOKUP($E46,'Status Thresholds'!$E:$AS,3,FALSE), IF(AND($Q$1=TRUE,$S$1=TRUE,$S$4=TRUE),VLOOKUP($E46,'Status Thresholds'!$E:$AS,18,FALSE),IF(AND($Q$1=TRUE,$S$4=TRUE),VLOOKUP($E46,'Status Thresholds'!$E:$AS,8,FALSE),IF(AND($S$3=TRUE,$S$1=TRUE,$S$4=FALSE),VLOOKUP($E46,'Status Thresholds'!$E:$AS,33,FALSE),IF(AND($S$3=TRUE,$S$4=FALSE),VLOOKUP($E46,'Status Thresholds'!$E:$AS,23,FALSE),IF(AND($S$3=TRUE,$S$1=TRUE,$S$4=TRUE),VLOOKUP($E46,'Status Thresholds'!$E:$AS,38,FALSE),IF(AND($S$3=TRUE,$S$4=TRUE),VLOOKUP($E46,'Status Thresholds'!$E:$AS,28,FALSE),""))))))))/IF(OR($Q$3=TRUE,AND($Q$2=TRUE,$Q$7=TRUE),AND($Q$3=TRUE,$Q$7=TRUE))=TRUE,'Shots and Status'!$F$5,IF((OR($Q$2,$Q$7)=TRUE),'Shots and Status'!$D$5,'Shots and Status'!$C$5)))),0),"-")</f>
        <v>-</v>
      </c>
      <c r="J46" s="36" t="str">
        <f>IFERROR(ROUNDUP(IF(AND($Q$1=FALSE,$S$3=FALSE),"-",IF(AND($Q$1=TRUE,$S$3=TRUE),"-",IF(AND($Q$1=TRUE,$S$1=TRUE,$S$4=FALSE),VLOOKUP($E46,'Status Thresholds'!$E:$AS,14,FALSE),IF(AND($Q$1=TRUE,$S$4=FALSE),VLOOKUP($E46,'Status Thresholds'!$E:$AS,4,FALSE), IF(AND($Q$1=TRUE,$S$1=TRUE,$S$4=TRUE),VLOOKUP($E46,'Status Thresholds'!$E:$AS,19,FALSE),IF(AND($Q$1=TRUE,$S$4=TRUE),VLOOKUP($E46,'Status Thresholds'!$E:$AS,9,FALSE),IF(AND($S$3=TRUE,$S$1=TRUE,$S$4=FALSE),VLOOKUP($E46,'Status Thresholds'!$E:$AS,34,FALSE),IF(AND($S$3=TRUE,$S$4=FALSE),VLOOKUP($E46,'Status Thresholds'!$E:$AS,24,FALSE),IF(AND($S$3=TRUE,$S$1=TRUE,$S$4=TRUE),VLOOKUP($E46,'Status Thresholds'!$E:$AS,39,FALSE),IF(AND($S$3=TRUE,$S$4=TRUE),VLOOKUP($E46,'Status Thresholds'!$E:$AS,29,FALSE),""))))))))/IF(OR($Q$3=TRUE,AND($Q$2=TRUE,$Q$7=TRUE),AND($Q$3=TRUE,$Q$7=TRUE))=TRUE,'Shots and Status'!$F$5,IF((OR($Q$2,$Q$7)=TRUE),'Shots and Status'!$D$5,'Shots and Status'!$C$5)))),0),"-")</f>
        <v>-</v>
      </c>
      <c r="K46" s="36" t="str">
        <f>IFERROR(ROUNDUP(IF(AND($Q$1=FALSE,$S$3=FALSE),"-",IF(AND($Q$1=TRUE,$S$3=TRUE),"-",IF(AND($Q$1=TRUE,$S$1=TRUE,$S$4=FALSE),VLOOKUP($E46,'Status Thresholds'!$E:$AS,15,FALSE),IF(AND($Q$1=TRUE,$S$4=FALSE),VLOOKUP($E46,'Status Thresholds'!$E:$AS,5,FALSE), IF(AND($Q$1=TRUE,$S$1=TRUE,$S$4=TRUE),VLOOKUP($E46,'Status Thresholds'!$E:$AS,20,FALSE),IF(AND($Q$1=TRUE,$S$4=TRUE),VLOOKUP($E46,'Status Thresholds'!$E:$AS,10,FALSE),IF(AND($S$3=TRUE,$S$1=TRUE,$S$4=FALSE),VLOOKUP($E46,'Status Thresholds'!$E:$AS,35,FALSE),IF(AND($S$3=TRUE,$S$4=FALSE),VLOOKUP($E46,'Status Thresholds'!$E:$AS,25,FALSE),IF(AND($S$3=TRUE,$S$1=TRUE,$S$4=TRUE),VLOOKUP($E46,'Status Thresholds'!$E:$AS,40,FALSE),IF(AND($S$3=TRUE,$S$4=TRUE),VLOOKUP($E46,'Status Thresholds'!$E:$AS,30,FALSE),""))))))))/IF(OR($Q$3=TRUE,AND($Q$2=TRUE,$Q$7=TRUE),AND($Q$3=TRUE,$Q$7=TRUE))=TRUE,'Shots and Status'!$F$5,IF((OR($Q$2,$Q$7)=TRUE),'Shots and Status'!$D$5,'Shots and Status'!$C$5)))),0),"-")</f>
        <v>-</v>
      </c>
      <c r="L46" s="36" t="str">
        <f>IFERROR(IF(AND($Q$1=FALSE,$S$3=FALSE),"-",VLOOKUP($E46,'Status Thresholds'!$E:$AU,41,FALSE)),"-")</f>
        <v>-</v>
      </c>
      <c r="M46" s="36" t="str">
        <f>IFERROR(IF(AND($Q$1=FALSE,$S$3=FALSE),"-",VLOOKUP($E46,'Status Thresholds'!$E:$AU,42,FALSE)),"-")</f>
        <v>-</v>
      </c>
      <c r="N46" s="36" t="str">
        <f>IFERROR(IF(AND($Q$1=FALSE,$S$3=FALSE),"-",VLOOKUP($E46,'Status Thresholds'!$E:$AU,43,FALSE)),"-")</f>
        <v>-</v>
      </c>
    </row>
    <row r="47" spans="1:14" s="59" customFormat="1" x14ac:dyDescent="0.25">
      <c r="A47" s="46"/>
      <c r="B47" s="64" t="str">
        <f>VLOOKUP(C47,'Status Thresholds'!B:C,2,FALSE)</f>
        <v>MHGen</v>
      </c>
      <c r="C47" s="46" t="str">
        <f>IF(ISBLANK('KO Calc'!C43)=TRUE,"",'KO Calc'!C43)</f>
        <v>Alatron</v>
      </c>
      <c r="D47" s="58" t="s">
        <v>33</v>
      </c>
      <c r="E47" s="62" t="str">
        <f t="shared" si="1"/>
        <v>AlatronPoison</v>
      </c>
      <c r="F47" s="59" t="s">
        <v>6</v>
      </c>
      <c r="G47" s="36" t="str">
        <f t="shared" si="2"/>
        <v>AlatronPoison lvl 2</v>
      </c>
      <c r="H47" s="36" t="str">
        <f>IFERROR(ROUNDUP(IF(AND($Q$1=FALSE,$S$3=FALSE),"-",IF(AND($Q$1=TRUE,$S$3=TRUE),"-",IF(AND($Q$1=TRUE,$S$1=TRUE,$S$4=FALSE),VLOOKUP($E47,'Status Thresholds'!$E:$AS,12,FALSE),IF(AND($Q$1=TRUE,$S$4=FALSE),VLOOKUP($E47,'Status Thresholds'!$E:$AS,2,FALSE), IF(AND($Q$1=TRUE,$S$1=TRUE,$S$4=TRUE),VLOOKUP($E47,'Status Thresholds'!$E:$AS,17,FALSE),IF(AND($Q$1=TRUE,$S$4=TRUE),VLOOKUP($E47,'Status Thresholds'!$E:$AS,7,FALSE),IF(AND($S$3=TRUE,$S$1=TRUE,$S$4=FALSE),VLOOKUP($E47,'Status Thresholds'!$E:$AS,32,FALSE),IF(AND($S$3=TRUE,$S$4=FALSE),VLOOKUP($E47,'Status Thresholds'!$E:$AS,22,FALSE),IF(AND($S$3=TRUE,$S$1=TRUE,$S$4=TRUE),VLOOKUP($E47,'Status Thresholds'!$E:$AS,37,FALSE),IF(AND($S$3=TRUE,$S$4=TRUE),VLOOKUP($E47,'Status Thresholds'!$E:$AS,27,FALSE),""))))))))/IF(OR($Q$3=TRUE,AND($Q$2=TRUE,$Q$7=TRUE),AND($Q$3=TRUE,$Q$7=TRUE))=TRUE,'Shots and Status'!$F$5,IF((OR($Q$2,$Q$7)=TRUE),'Shots and Status'!$D$5,'Shots and Status'!$C$5)))),0),"-")</f>
        <v>-</v>
      </c>
      <c r="I47" s="36" t="str">
        <f>IFERROR(ROUNDUP(IF(AND($Q$1=FALSE,$S$3=FALSE),"-",IF(AND($Q$1=TRUE,$S$3=TRUE),"-",IF(AND($Q$1=TRUE,$S$1=TRUE,$S$4=FALSE),VLOOKUP($E47,'Status Thresholds'!$E:$AS,13,FALSE),IF(AND($Q$1=TRUE,$S$4=FALSE),VLOOKUP($E47,'Status Thresholds'!$E:$AS,3,FALSE), IF(AND($Q$1=TRUE,$S$1=TRUE,$S$4=TRUE),VLOOKUP($E47,'Status Thresholds'!$E:$AS,18,FALSE),IF(AND($Q$1=TRUE,$S$4=TRUE),VLOOKUP($E47,'Status Thresholds'!$E:$AS,8,FALSE),IF(AND($S$3=TRUE,$S$1=TRUE,$S$4=FALSE),VLOOKUP($E47,'Status Thresholds'!$E:$AS,33,FALSE),IF(AND($S$3=TRUE,$S$4=FALSE),VLOOKUP($E47,'Status Thresholds'!$E:$AS,23,FALSE),IF(AND($S$3=TRUE,$S$1=TRUE,$S$4=TRUE),VLOOKUP($E47,'Status Thresholds'!$E:$AS,38,FALSE),IF(AND($S$3=TRUE,$S$4=TRUE),VLOOKUP($E47,'Status Thresholds'!$E:$AS,28,FALSE),""))))))))/IF(OR($Q$3=TRUE,AND($Q$2=TRUE,$Q$7=TRUE),AND($Q$3=TRUE,$Q$7=TRUE))=TRUE,'Shots and Status'!$F$5,IF((OR($Q$2,$Q$7)=TRUE),'Shots and Status'!$D$5,'Shots and Status'!$C$5)))),0),"-")</f>
        <v>-</v>
      </c>
      <c r="J47" s="36" t="str">
        <f>IFERROR(ROUNDUP(IF(AND($Q$1=FALSE,$S$3=FALSE),"-",IF(AND($Q$1=TRUE,$S$3=TRUE),"-",IF(AND($Q$1=TRUE,$S$1=TRUE,$S$4=FALSE),VLOOKUP($E47,'Status Thresholds'!$E:$AS,14,FALSE),IF(AND($Q$1=TRUE,$S$4=FALSE),VLOOKUP($E47,'Status Thresholds'!$E:$AS,4,FALSE), IF(AND($Q$1=TRUE,$S$1=TRUE,$S$4=TRUE),VLOOKUP($E47,'Status Thresholds'!$E:$AS,19,FALSE),IF(AND($Q$1=TRUE,$S$4=TRUE),VLOOKUP($E47,'Status Thresholds'!$E:$AS,9,FALSE),IF(AND($S$3=TRUE,$S$1=TRUE,$S$4=FALSE),VLOOKUP($E47,'Status Thresholds'!$E:$AS,34,FALSE),IF(AND($S$3=TRUE,$S$4=FALSE),VLOOKUP($E47,'Status Thresholds'!$E:$AS,24,FALSE),IF(AND($S$3=TRUE,$S$1=TRUE,$S$4=TRUE),VLOOKUP($E47,'Status Thresholds'!$E:$AS,39,FALSE),IF(AND($S$3=TRUE,$S$4=TRUE),VLOOKUP($E47,'Status Thresholds'!$E:$AS,29,FALSE),""))))))))/IF(OR($Q$3=TRUE,AND($Q$2=TRUE,$Q$7=TRUE),AND($Q$3=TRUE,$Q$7=TRUE))=TRUE,'Shots and Status'!$F$5,IF((OR($Q$2,$Q$7)=TRUE),'Shots and Status'!$D$5,'Shots and Status'!$C$5)))),0),"-")</f>
        <v>-</v>
      </c>
      <c r="K47" s="36" t="str">
        <f>IFERROR(ROUNDUP(IF(AND($Q$1=FALSE,$S$3=FALSE),"-",IF(AND($Q$1=TRUE,$S$3=TRUE),"-",IF(AND($Q$1=TRUE,$S$1=TRUE,$S$4=FALSE),VLOOKUP($E47,'Status Thresholds'!$E:$AS,15,FALSE),IF(AND($Q$1=TRUE,$S$4=FALSE),VLOOKUP($E47,'Status Thresholds'!$E:$AS,5,FALSE), IF(AND($Q$1=TRUE,$S$1=TRUE,$S$4=TRUE),VLOOKUP($E47,'Status Thresholds'!$E:$AS,20,FALSE),IF(AND($Q$1=TRUE,$S$4=TRUE),VLOOKUP($E47,'Status Thresholds'!$E:$AS,10,FALSE),IF(AND($S$3=TRUE,$S$1=TRUE,$S$4=FALSE),VLOOKUP($E47,'Status Thresholds'!$E:$AS,35,FALSE),IF(AND($S$3=TRUE,$S$4=FALSE),VLOOKUP($E47,'Status Thresholds'!$E:$AS,25,FALSE),IF(AND($S$3=TRUE,$S$1=TRUE,$S$4=TRUE),VLOOKUP($E47,'Status Thresholds'!$E:$AS,40,FALSE),IF(AND($S$3=TRUE,$S$4=TRUE),VLOOKUP($E47,'Status Thresholds'!$E:$AS,30,FALSE),""))))))))/IF(OR($Q$3=TRUE,AND($Q$2=TRUE,$Q$7=TRUE),AND($Q$3=TRUE,$Q$7=TRUE))=TRUE,'Shots and Status'!$F$5,IF((OR($Q$2,$Q$7)=TRUE),'Shots and Status'!$D$5,'Shots and Status'!$C$5)))),0),"-")</f>
        <v>-</v>
      </c>
      <c r="L47" s="36" t="str">
        <f>IFERROR(IF(AND($Q$1=FALSE,$S$3=FALSE),"-",VLOOKUP($E47,'Status Thresholds'!$E:$AU,41,FALSE)),"-")</f>
        <v>-</v>
      </c>
      <c r="M47" s="36" t="str">
        <f>IFERROR(IF(AND($Q$1=FALSE,$S$3=FALSE),"-",VLOOKUP($E47,'Status Thresholds'!$E:$AU,42,FALSE)),"-")</f>
        <v>-</v>
      </c>
      <c r="N47" s="36" t="str">
        <f>IFERROR(IF(AND($Q$1=FALSE,$S$3=FALSE),"-",VLOOKUP($E47,'Status Thresholds'!$E:$AU,43,FALSE)),"-")</f>
        <v>-</v>
      </c>
    </row>
    <row r="48" spans="1:14" s="36" customFormat="1" x14ac:dyDescent="0.25">
      <c r="A48" s="46"/>
      <c r="B48" s="64" t="str">
        <f>VLOOKUP(C48,'Status Thresholds'!B:C,2,FALSE)</f>
        <v>MHGen</v>
      </c>
      <c r="C48" s="46" t="str">
        <f>IF(ISBLANK('KO Calc'!C44)=TRUE,"",'KO Calc'!C44)</f>
        <v>Alatron</v>
      </c>
      <c r="D48" s="57" t="s">
        <v>22</v>
      </c>
      <c r="E48" s="62" t="str">
        <f t="shared" si="1"/>
        <v>AlatronExhaust</v>
      </c>
      <c r="F48" s="36" t="s">
        <v>8</v>
      </c>
      <c r="G48" s="36" t="str">
        <f t="shared" si="2"/>
        <v>AlatronExhaust lvl 2</v>
      </c>
      <c r="H48" s="36" t="str">
        <f>IFERROR(ROUNDUP(IF(AND($Q$1=FALSE,$S$3=FALSE),"-",IF(AND($Q$1=TRUE,$S$3=TRUE),"-",IF(AND($Q$1=TRUE,$S$1=TRUE,$S$4=FALSE),VLOOKUP($E48,'Status Thresholds'!$E:$AS,12,FALSE),IF(AND($Q$1=TRUE,$S$4=FALSE),VLOOKUP($E48,'Status Thresholds'!$E:$AS,2,FALSE), IF(AND($Q$1=TRUE,$S$1=TRUE,$S$4=TRUE),VLOOKUP($E48,'Status Thresholds'!$E:$AS,17,FALSE),IF(AND($Q$1=TRUE,$S$4=TRUE),VLOOKUP($E48,'Status Thresholds'!$E:$AS,7,FALSE),IF(AND($S$3=TRUE,$S$1=TRUE,$S$4=FALSE),VLOOKUP($E48,'Status Thresholds'!$E:$AS,32,FALSE),IF(AND($S$3=TRUE,$S$4=FALSE),VLOOKUP($E48,'Status Thresholds'!$E:$AS,22,FALSE),IF(AND($S$3=TRUE,$S$1=TRUE,$S$4=TRUE),VLOOKUP($E48,'Status Thresholds'!$E:$AS,37,FALSE),IF(AND($S$3=TRUE,$S$4=TRUE),VLOOKUP($E48,'Status Thresholds'!$E:$AS,27,FALSE),""))))))))/IF(OR($Q$3=TRUE,AND($Q$2=TRUE,$Q$7=TRUE),AND($Q$3=TRUE,$Q$7=TRUE))=TRUE,'Shots and Status'!$F$5,IF((OR($Q$2,$Q$7)=TRUE),'Shots and Status'!$D$5,'Shots and Status'!$C$5)))),0),"-")</f>
        <v>-</v>
      </c>
      <c r="I48" s="36" t="str">
        <f>IFERROR(ROUNDUP(IF(AND($Q$1=FALSE,$S$3=FALSE),"-",IF(AND($Q$1=TRUE,$S$3=TRUE),"-",IF(AND($Q$1=TRUE,$S$1=TRUE,$S$4=FALSE),VLOOKUP($E48,'Status Thresholds'!$E:$AS,13,FALSE),IF(AND($Q$1=TRUE,$S$4=FALSE),VLOOKUP($E48,'Status Thresholds'!$E:$AS,3,FALSE), IF(AND($Q$1=TRUE,$S$1=TRUE,$S$4=TRUE),VLOOKUP($E48,'Status Thresholds'!$E:$AS,18,FALSE),IF(AND($Q$1=TRUE,$S$4=TRUE),VLOOKUP($E48,'Status Thresholds'!$E:$AS,8,FALSE),IF(AND($S$3=TRUE,$S$1=TRUE,$S$4=FALSE),VLOOKUP($E48,'Status Thresholds'!$E:$AS,33,FALSE),IF(AND($S$3=TRUE,$S$4=FALSE),VLOOKUP($E48,'Status Thresholds'!$E:$AS,23,FALSE),IF(AND($S$3=TRUE,$S$1=TRUE,$S$4=TRUE),VLOOKUP($E48,'Status Thresholds'!$E:$AS,38,FALSE),IF(AND($S$3=TRUE,$S$4=TRUE),VLOOKUP($E48,'Status Thresholds'!$E:$AS,28,FALSE),""))))))))/IF(OR($Q$3=TRUE,AND($Q$2=TRUE,$Q$7=TRUE),AND($Q$3=TRUE,$Q$7=TRUE))=TRUE,'Shots and Status'!$F$5,IF((OR($Q$2,$Q$7)=TRUE),'Shots and Status'!$D$5,'Shots and Status'!$C$5)))),0),"-")</f>
        <v>-</v>
      </c>
      <c r="J48" s="36" t="str">
        <f>IFERROR(ROUNDUP(IF(AND($Q$1=FALSE,$S$3=FALSE),"-",IF(AND($Q$1=TRUE,$S$3=TRUE),"-",IF(AND($Q$1=TRUE,$S$1=TRUE,$S$4=FALSE),VLOOKUP($E48,'Status Thresholds'!$E:$AS,14,FALSE),IF(AND($Q$1=TRUE,$S$4=FALSE),VLOOKUP($E48,'Status Thresholds'!$E:$AS,4,FALSE), IF(AND($Q$1=TRUE,$S$1=TRUE,$S$4=TRUE),VLOOKUP($E48,'Status Thresholds'!$E:$AS,19,FALSE),IF(AND($Q$1=TRUE,$S$4=TRUE),VLOOKUP($E48,'Status Thresholds'!$E:$AS,9,FALSE),IF(AND($S$3=TRUE,$S$1=TRUE,$S$4=FALSE),VLOOKUP($E48,'Status Thresholds'!$E:$AS,34,FALSE),IF(AND($S$3=TRUE,$S$4=FALSE),VLOOKUP($E48,'Status Thresholds'!$E:$AS,24,FALSE),IF(AND($S$3=TRUE,$S$1=TRUE,$S$4=TRUE),VLOOKUP($E48,'Status Thresholds'!$E:$AS,39,FALSE),IF(AND($S$3=TRUE,$S$4=TRUE),VLOOKUP($E48,'Status Thresholds'!$E:$AS,29,FALSE),""))))))))/IF(OR($Q$3=TRUE,AND($Q$2=TRUE,$Q$7=TRUE),AND($Q$3=TRUE,$Q$7=TRUE))=TRUE,'Shots and Status'!$F$5,IF((OR($Q$2,$Q$7)=TRUE),'Shots and Status'!$D$5,'Shots and Status'!$C$5)))),0),"-")</f>
        <v>-</v>
      </c>
      <c r="K48" s="36" t="str">
        <f>IFERROR(ROUNDUP(IF(AND($Q$1=FALSE,$S$3=FALSE),"-",IF(AND($Q$1=TRUE,$S$3=TRUE),"-",IF(AND($Q$1=TRUE,$S$1=TRUE,$S$4=FALSE),VLOOKUP($E48,'Status Thresholds'!$E:$AS,15,FALSE),IF(AND($Q$1=TRUE,$S$4=FALSE),VLOOKUP($E48,'Status Thresholds'!$E:$AS,5,FALSE), IF(AND($Q$1=TRUE,$S$1=TRUE,$S$4=TRUE),VLOOKUP($E48,'Status Thresholds'!$E:$AS,20,FALSE),IF(AND($Q$1=TRUE,$S$4=TRUE),VLOOKUP($E48,'Status Thresholds'!$E:$AS,10,FALSE),IF(AND($S$3=TRUE,$S$1=TRUE,$S$4=FALSE),VLOOKUP($E48,'Status Thresholds'!$E:$AS,35,FALSE),IF(AND($S$3=TRUE,$S$4=FALSE),VLOOKUP($E48,'Status Thresholds'!$E:$AS,25,FALSE),IF(AND($S$3=TRUE,$S$1=TRUE,$S$4=TRUE),VLOOKUP($E48,'Status Thresholds'!$E:$AS,40,FALSE),IF(AND($S$3=TRUE,$S$4=TRUE),VLOOKUP($E48,'Status Thresholds'!$E:$AS,30,FALSE),""))))))))/IF(OR($Q$3=TRUE,AND($Q$2=TRUE,$Q$7=TRUE),AND($Q$3=TRUE,$Q$7=TRUE))=TRUE,'Shots and Status'!$F$5,IF((OR($Q$2,$Q$7)=TRUE),'Shots and Status'!$D$5,'Shots and Status'!$C$5)))),0),"-")</f>
        <v>-</v>
      </c>
      <c r="L48" s="36" t="str">
        <f>IFERROR(IF(AND($Q$1=FALSE,$S$3=FALSE),"-",VLOOKUP($E48,'Status Thresholds'!$E:$AU,41,FALSE)),"-")</f>
        <v>-</v>
      </c>
      <c r="M48" s="36" t="str">
        <f>IFERROR(IF(AND($Q$1=FALSE,$S$3=FALSE),"-",VLOOKUP($E48,'Status Thresholds'!$E:$AU,42,FALSE)),"-")</f>
        <v>-</v>
      </c>
      <c r="N48" s="36" t="str">
        <f>IFERROR(IF(AND($Q$1=FALSE,$S$3=FALSE),"-",VLOOKUP($E48,'Status Thresholds'!$E:$AU,43,FALSE)),"-")</f>
        <v>-</v>
      </c>
    </row>
    <row r="49" spans="1:14" s="36" customFormat="1" x14ac:dyDescent="0.25">
      <c r="A49" s="46"/>
      <c r="B49" s="64" t="str">
        <f>VLOOKUP(C49,'Status Thresholds'!B:C,2,FALSE)</f>
        <v>MHGen</v>
      </c>
      <c r="C49" s="46" t="str">
        <f>IF(ISBLANK('KO Calc'!C45)=TRUE,"",'KO Calc'!C45)</f>
        <v>Alatron</v>
      </c>
      <c r="D49" s="67" t="s">
        <v>14</v>
      </c>
      <c r="E49" s="62" t="str">
        <f t="shared" si="1"/>
        <v>AlatronKO</v>
      </c>
      <c r="F49" s="36" t="s">
        <v>21</v>
      </c>
      <c r="G49" s="36" t="str">
        <f t="shared" si="2"/>
        <v>AlatronTriblast</v>
      </c>
      <c r="H49" s="36" t="str">
        <f>IF(AND($Q$1=FALSE,$S$3=FALSE),"-",IF(AND($Q$1=TRUE,$S$3=TRUE),"-",IF(AND($Q$1=FALSE,$S$3=FALSE),"-",IF(AND($Q$1=TRUE,$S$1=TRUE,$S$4=FALSE)=TRUE,IF(OR($Q$4=TRUE,$Q$5=TRUE,$S$2=TRUE),VLOOKUP($G49,'KO Calc'!$H:$AW,12,FALSE),VLOOKUP($G49,'KO Calc'!$H46:$AW46,12,FALSE)),IF(AND($Q$1=TRUE,$S$4=FALSE),IF(OR($Q$4=TRUE,$Q$5=TRUE,$S$2=TRUE),VLOOKUP($G49,'KO Calc'!$H:$AW,2,FALSE),VLOOKUP($G49,'KO Calc'!$H46:$AW46,2,FALSE)),
IF(AND($Q$1=TRUE,$S$1=TRUE,$S$4=TRUE)=TRUE,IF(OR($Q$4=TRUE,$Q$5=TRUE,$S$2=TRUE),VLOOKUP($G49,'KO Calc'!$H:$AW,17,FALSE),VLOOKUP($G49,'KO Calc'!$H46:$AW46,17,FALSE)),IF(AND($Q$1=TRUE,$S$4=TRUE),IF(OR($Q$4=TRUE,$Q$5=TRUE,$S$2=TRUE),VLOOKUP($G49,'KO Calc'!$H:$AW,7,FALSE),VLOOKUP($G49,'KO Calc'!$H46:$AW46,7,FALSE)),
IF(AND($S$3=TRUE,$S$1=TRUE,$S$4=FALSE)=TRUE,IF(OR($Q$4=TRUE,$Q$5=TRUE,$S$2=TRUE),VLOOKUP($G49,'KO Calc'!$H:$AW,32,FALSE),VLOOKUP($G49,'KO Calc'!$H46:$AW46,32,FALSE)),IF(AND($S$3=TRUE,$S$4=FALSE),IF(OR($Q$4=TRUE,$Q$5=TRUE,$S$2=TRUE),VLOOKUP($G49,'KO Calc'!$H:$AW,22,FALSE),VLOOKUP($G49,'KO Calc'!$H46:$AW46,22,FALSE)),
IF(AND($S$3=TRUE,$S$1=TRUE,$S$4=TRUE)=TRUE,IF(OR($Q$4=TRUE,$Q$5=TRUE,$S$2=TRUE),VLOOKUP($G49,'KO Calc'!$H:$AW,37,FALSE),VLOOKUP($G49,'KO Calc'!$H46:$AW46,37,FALSE)),IF(AND($S$3=TRUE,$S$4=TRUE),IF(OR($Q$4=TRUE,$Q$5=TRUE,$S$2=TRUE),VLOOKUP($G49,'KO Calc'!$H:$AW,27,FALSE),VLOOKUP($G49,'KO Calc'!$H46:$AW46,27,FALSE)))))))))))))</f>
        <v>-</v>
      </c>
      <c r="I49" s="36" t="str">
        <f>IF(AND($Q$1=FALSE,$S$3=FALSE),"-",IF(AND($Q$1=TRUE,$S$3=TRUE),"-",IF(AND($Q$1=FALSE,$S$3=FALSE),"-",IF(AND($Q$1=TRUE,$S$1=TRUE,$S$4=FALSE)=TRUE,IF(OR($Q$4=TRUE,$Q$5=TRUE,$S$2=TRUE),VLOOKUP($G49,'KO Calc'!$H:$AW,13,FALSE),VLOOKUP($G49,'KO Calc'!$H46:$AW46,13,FALSE)),IF(AND($Q$1=TRUE,$S$4=FALSE),IF(OR($Q$4=TRUE,$Q$5=TRUE,$S$2=TRUE),VLOOKUP($G49,'KO Calc'!$H:$AW,3,FALSE),VLOOKUP($G49,'KO Calc'!$H46:$AW46,3,FALSE)),
IF(AND($Q$1=TRUE,$S$1=TRUE,$S$4=TRUE)=TRUE,IF(OR($Q$4=TRUE,$Q$5=TRUE,$S$2=TRUE),VLOOKUP($G49,'KO Calc'!$H:$AW,18,FALSE),VLOOKUP($G49,'KO Calc'!$H46:$AW46,18,FALSE)),IF(AND($Q$1=TRUE,$S$4=TRUE),IF(OR($Q$4=TRUE,$Q$5=TRUE,$S$2=TRUE),VLOOKUP($G49,'KO Calc'!$H:$AW,8,FALSE),VLOOKUP($G49,'KO Calc'!$H46:$AW46,8,FALSE)),
IF(AND($S$3=TRUE,$S$1=TRUE,$S$4=FALSE)=TRUE,IF(OR($Q$4=TRUE,$Q$5=TRUE,$S$2=TRUE),VLOOKUP($G49,'KO Calc'!$H:$AW,33,FALSE),VLOOKUP($G49,'KO Calc'!$H46:$AW46,33,FALSE)),IF(AND($S$3=TRUE,$S$4=FALSE),IF(OR($Q$4=TRUE,$Q$5=TRUE,$S$2=TRUE),VLOOKUP($G49,'KO Calc'!$H:$AW,23,FALSE),VLOOKUP($G49,'KO Calc'!$H46:$AW46,23,FALSE)),
IF(AND($S$3=TRUE,$S$1=TRUE,$S$4=TRUE)=TRUE,IF(OR($Q$4=TRUE,$Q$5=TRUE,$S$2=TRUE),VLOOKUP($G49,'KO Calc'!$H:$AW,38,FALSE),VLOOKUP($G49,'KO Calc'!$H46:$AW46,38,FALSE)),IF(AND($S$3=TRUE,$S$4=TRUE),IF(OR($Q$4=TRUE,$Q$5=TRUE,$S$2=TRUE),VLOOKUP($G49,'KO Calc'!$H:$AW,28,FALSE),VLOOKUP($G49,'KO Calc'!$H46:$AW46,28,FALSE)))))))))))))</f>
        <v>-</v>
      </c>
      <c r="J49" s="36" t="str">
        <f>IF(AND($Q$1=FALSE,$S$3=FALSE),"-",IF(AND($Q$1=TRUE,$S$3=TRUE),"-",IF(AND($Q$1=FALSE,$S$3=FALSE),"-",IF(AND($Q$1=TRUE,$S$1=TRUE,$S$4=FALSE)=TRUE,IF(OR($Q$4=TRUE,$Q$5=TRUE,$S$2=TRUE),VLOOKUP($G49,'KO Calc'!$H:$AW,FALSE),VLOOKUP($G49,'KO Calc'!$H46:$AW46,14,FALSE)),IF(AND($Q$1=TRUE,$S$4=FALSE),IF(OR($Q$4=TRUE,$Q$5=TRUE,$S$2=TRUE),VLOOKUP($G49,'KO Calc'!$H:$AW,4,FALSE),VLOOKUP($G49,'KO Calc'!$H46:$AW46,4,FALSE)),
IF(AND($Q$1=TRUE,$S$1=TRUE,$S$4=TRUE)=TRUE,IF(OR($Q$4=TRUE,$Q$5=TRUE,$S$2=TRUE),VLOOKUP($G49,'KO Calc'!$H:$AW,19,FALSE),VLOOKUP($G49,'KO Calc'!$H46:$AW46,19,FALSE)),IF(AND($Q$1=TRUE,$S$4=TRUE),IF(OR($Q$4=TRUE,$Q$5=TRUE,$S$2=TRUE),VLOOKUP($G49,'KO Calc'!$H:$AW,9,FALSE),VLOOKUP($G49,'KO Calc'!$H46:$AW46,9,FALSE)),
IF(AND($S$3=TRUE,$S$1=TRUE,$S$4=FALSE)=TRUE,IF(OR($Q$4=TRUE,$Q$5=TRUE,$S$2=TRUE),VLOOKUP($G49,'KO Calc'!$H:$AW,34,FALSE),VLOOKUP($G49,'KO Calc'!$H46:$AW46,34,FALSE)),IF(AND($S$3=TRUE,$S$4=FALSE),IF(OR($Q$4=TRUE,$Q$5=TRUE,$S$2=TRUE),VLOOKUP($G49,'KO Calc'!$H:$AW,24,FALSE),VLOOKUP($G49,'KO Calc'!$H46:$AW46,24,FALSE)),
IF(AND($S$3=TRUE,$S$1=TRUE,$S$4=TRUE)=TRUE,IF(OR($Q$4=TRUE,$Q$5=TRUE,$S$2=TRUE),VLOOKUP($G49,'KO Calc'!$H:$AW,39,FALSE),VLOOKUP($G49,'KO Calc'!$H46:$AW46,39,FALSE)),IF(AND($S$3=TRUE,$S$4=TRUE),IF(OR($Q$4=TRUE,$Q$5=TRUE,$S$2=TRUE),VLOOKUP($G49,'KO Calc'!$H:$AW,29,FALSE),VLOOKUP($G49,'KO Calc'!$H46:$AW46,29,FALSE)))))))))))))</f>
        <v>-</v>
      </c>
      <c r="K49" s="36" t="str">
        <f>IF(AND($Q$1=FALSE,$S$3=FALSE),"-",IF(AND($Q$1=TRUE,$S$3=TRUE),"-",IF(AND($Q$1=FALSE,$S$3=FALSE),"-",IF(AND($Q$1=TRUE,$S$1=TRUE,$S$4=FALSE)=TRUE,IF(OR($Q$4=TRUE,$Q$5=TRUE,$S$2=TRUE),VLOOKUP($G49,'KO Calc'!$H:$AW,15,FALSE),VLOOKUP($G49,'KO Calc'!$H46:$AW46,15,FALSE)),IF(AND($Q$1=TRUE,$S$4=FALSE),IF(OR($Q$4=TRUE,$Q$5=TRUE,$S$2=TRUE),VLOOKUP($G49,'KO Calc'!$H:$AW,5,FALSE),VLOOKUP($G49,'KO Calc'!$H46:$AW46,5,FALSE)),
IF(AND($Q$1=TRUE,$S$1=TRUE,$S$4=TRUE)=TRUE,IF(OR($Q$4=TRUE,$Q$5=TRUE,$S$2=TRUE),VLOOKUP($G49,'KO Calc'!$H:$AW,20,FALSE),VLOOKUP($G49,'KO Calc'!$H46:$AW46,20,FALSE)),IF(AND($Q$1=TRUE,$S$4=TRUE),IF(OR($Q$4=TRUE,$Q$5=TRUE,$S$2=TRUE),VLOOKUP($G49,'KO Calc'!$H:$AW,10,FALSE),VLOOKUP($G49,'KO Calc'!$H46:$AW46,10,FALSE)),
IF(AND($S$3=TRUE,$S$1=TRUE,$S$4=FALSE)=TRUE,IF(OR($Q$4=TRUE,$Q$5=TRUE,$S$2=TRUE),VLOOKUP($G49,'KO Calc'!$H:$AW,35,FALSE),VLOOKUP($G49,'KO Calc'!$H46:$AW46,35,FALSE)),IF(AND($S$3=TRUE,$S$4=FALSE),IF(OR($Q$4=TRUE,$Q$5=TRUE,$S$2=TRUE),VLOOKUP($G49,'KO Calc'!$H:$AW,25,FALSE),VLOOKUP($G49,'KO Calc'!$H46:$AW46,25,FALSE)),
IF(AND($S$3=TRUE,$S$1=TRUE,$S$4=TRUE)=TRUE,IF(OR($Q$4=TRUE,$Q$5=TRUE,$S$2=TRUE),VLOOKUP($G49,'KO Calc'!$H:$AW,40,FALSE),VLOOKUP($G49,'KO Calc'!$H46:$AW46,40,FALSE)),IF(AND($S$3=TRUE,$S$4=TRUE),IF(OR($Q$4=TRUE,$Q$5=TRUE,$S$2=TRUE),VLOOKUP($G49,'KO Calc'!$H:$AW,30,FALSE),VLOOKUP($G49,'KO Calc'!$H46:$AW46,30,FALSE)))))))))))))</f>
        <v>-</v>
      </c>
      <c r="L49" s="36" t="str">
        <f>IFERROR(IF(AND($Q$1=FALSE,$S$3=FALSE),"-",VLOOKUP($E49,'Status Thresholds'!$E:$AU,41,FALSE)),"-")</f>
        <v>-</v>
      </c>
      <c r="M49" s="36" t="str">
        <f>IFERROR(IF(AND($Q$1=FALSE,$S$3=FALSE),"-",VLOOKUP($E49,'Status Thresholds'!$E:$AU,42,FALSE)),"-")</f>
        <v>-</v>
      </c>
      <c r="N49" s="36" t="str">
        <f>IFERROR(IF(AND($Q$1=FALSE,$S$3=FALSE),"-",VLOOKUP($E49,'Status Thresholds'!$E:$AU,43,FALSE)),"-")</f>
        <v>-</v>
      </c>
    </row>
    <row r="50" spans="1:14" x14ac:dyDescent="0.25">
      <c r="B50" s="64" t="str">
        <f>VLOOKUP(C50,'Status Thresholds'!B:C,2,FALSE)</f>
        <v>MHGen</v>
      </c>
      <c r="C50" s="46" t="str">
        <f>IF(ISBLANK('KO Calc'!C46)=TRUE,"",'KO Calc'!C46)</f>
        <v>Alatron</v>
      </c>
      <c r="D50" s="78" t="s">
        <v>207</v>
      </c>
      <c r="E50" s="62" t="str">
        <f t="shared" si="1"/>
        <v>AlatronShock Trap</v>
      </c>
      <c r="F50" t="s">
        <v>13</v>
      </c>
      <c r="G50" s="36" t="str">
        <f t="shared" si="2"/>
        <v>AlatronCrag 3</v>
      </c>
      <c r="H50" s="36" t="str">
        <f>IF(AND($Q$1=FALSE,$S$3=FALSE),"-",IF(AND($Q$1=TRUE,$S$3=TRUE),"-",IF(AND($Q$1=FALSE,$S$3=FALSE),"-",IF(AND($Q$1=TRUE,$S$1=TRUE,$S$4=FALSE)=TRUE,IF(OR($Q$4=TRUE,$Q$5=TRUE,$S$2=TRUE),VLOOKUP($G50,'KO Calc'!$H:$AW,12,FALSE),VLOOKUP($G50,'KO Calc'!$H47:$AW47,12,FALSE)),IF(AND($Q$1=TRUE,$S$4=FALSE),IF(OR($Q$4=TRUE,$Q$5=TRUE,$S$2=TRUE),VLOOKUP($G50,'KO Calc'!$H:$AW,2,FALSE),VLOOKUP($G50,'KO Calc'!$H47:$AW47,2,FALSE)),
IF(AND($Q$1=TRUE,$S$1=TRUE,$S$4=TRUE)=TRUE,IF(OR($Q$4=TRUE,$Q$5=TRUE,$S$2=TRUE),VLOOKUP($G50,'KO Calc'!$H:$AW,17,FALSE),VLOOKUP($G50,'KO Calc'!$H47:$AW47,17,FALSE)),IF(AND($Q$1=TRUE,$S$4=TRUE),IF(OR($Q$4=TRUE,$Q$5=TRUE,$S$2=TRUE),VLOOKUP($G50,'KO Calc'!$H:$AW,7,FALSE),VLOOKUP($G50,'KO Calc'!$H47:$AW47,7,FALSE)),
IF(AND($S$3=TRUE,$S$1=TRUE,$S$4=FALSE)=TRUE,IF(OR($Q$4=TRUE,$Q$5=TRUE,$S$2=TRUE),VLOOKUP($G50,'KO Calc'!$H:$AW,32,FALSE),VLOOKUP($G50,'KO Calc'!$H47:$AW47,32,FALSE)),IF(AND($S$3=TRUE,$S$4=FALSE),IF(OR($Q$4=TRUE,$Q$5=TRUE,$S$2=TRUE),VLOOKUP($G50,'KO Calc'!$H:$AW,22,FALSE),VLOOKUP($G50,'KO Calc'!$H47:$AW47,22,FALSE)),
IF(AND($S$3=TRUE,$S$1=TRUE,$S$4=TRUE)=TRUE,IF(OR($Q$4=TRUE,$Q$5=TRUE,$S$2=TRUE),VLOOKUP($G50,'KO Calc'!$H:$AW,37,FALSE),VLOOKUP($G50,'KO Calc'!$H47:$AW47,37,FALSE)),IF(AND($S$3=TRUE,$S$4=TRUE),IF(OR($Q$4=TRUE,$Q$5=TRUE,$S$2=TRUE),VLOOKUP($G50,'KO Calc'!$H:$AW,27,FALSE),VLOOKUP($G50,'KO Calc'!$H47:$AW47,27,FALSE)))))))))))))</f>
        <v>-</v>
      </c>
      <c r="I50" s="36" t="str">
        <f>IF(AND($Q$1=FALSE,$S$3=FALSE),"-",IF(AND($Q$1=TRUE,$S$3=TRUE),"-",IF(AND($Q$1=FALSE,$S$3=FALSE),"-",IF(AND($Q$1=TRUE,$S$1=TRUE,$S$4=FALSE)=TRUE,IF(OR($Q$4=TRUE,$Q$5=TRUE,$S$2=TRUE),VLOOKUP($G50,'KO Calc'!$H:$AW,13,FALSE),VLOOKUP($G50,'KO Calc'!$H47:$AW47,13,FALSE)),IF(AND($Q$1=TRUE,$S$4=FALSE),IF(OR($Q$4=TRUE,$Q$5=TRUE,$S$2=TRUE),VLOOKUP($G50,'KO Calc'!$H:$AW,3,FALSE),VLOOKUP($G50,'KO Calc'!$H47:$AW47,3,FALSE)),
IF(AND($Q$1=TRUE,$S$1=TRUE,$S$4=TRUE)=TRUE,IF(OR($Q$4=TRUE,$Q$5=TRUE,$S$2=TRUE),VLOOKUP($G50,'KO Calc'!$H:$AW,18,FALSE),VLOOKUP($G50,'KO Calc'!$H47:$AW47,18,FALSE)),IF(AND($Q$1=TRUE,$S$4=TRUE),IF(OR($Q$4=TRUE,$Q$5=TRUE,$S$2=TRUE),VLOOKUP($G50,'KO Calc'!$H:$AW,8,FALSE),VLOOKUP($G50,'KO Calc'!$H47:$AW47,8,FALSE)),
IF(AND($S$3=TRUE,$S$1=TRUE,$S$4=FALSE)=TRUE,IF(OR($Q$4=TRUE,$Q$5=TRUE,$S$2=TRUE),VLOOKUP($G50,'KO Calc'!$H:$AW,33,FALSE),VLOOKUP($G50,'KO Calc'!$H47:$AW47,33,FALSE)),IF(AND($S$3=TRUE,$S$4=FALSE),IF(OR($Q$4=TRUE,$Q$5=TRUE,$S$2=TRUE),VLOOKUP($G50,'KO Calc'!$H:$AW,23,FALSE),VLOOKUP($G50,'KO Calc'!$H47:$AW47,23,FALSE)),
IF(AND($S$3=TRUE,$S$1=TRUE,$S$4=TRUE)=TRUE,IF(OR($Q$4=TRUE,$Q$5=TRUE,$S$2=TRUE),VLOOKUP($G50,'KO Calc'!$H:$AW,38,FALSE),VLOOKUP($G50,'KO Calc'!$H47:$AW47,38,FALSE)),IF(AND($S$3=TRUE,$S$4=TRUE),IF(OR($Q$4=TRUE,$Q$5=TRUE,$S$2=TRUE),VLOOKUP($G50,'KO Calc'!$H:$AW,28,FALSE),VLOOKUP($G50,'KO Calc'!$H47:$AW47,28,FALSE)))))))))))))</f>
        <v>-</v>
      </c>
      <c r="J50" s="36" t="str">
        <f>IF(AND($Q$1=FALSE,$S$3=FALSE),"-",IF(AND($Q$1=TRUE,$S$3=TRUE),"-",IF(AND($Q$1=FALSE,$S$3=FALSE),"-",IF(AND($Q$1=TRUE,$S$1=TRUE,$S$4=FALSE)=TRUE,IF(OR($Q$4=TRUE,$Q$5=TRUE,$S$2=TRUE),VLOOKUP($G50,'KO Calc'!$H:$AW,FALSE),VLOOKUP($G50,'KO Calc'!$H47:$AW47,14,FALSE)),IF(AND($Q$1=TRUE,$S$4=FALSE),IF(OR($Q$4=TRUE,$Q$5=TRUE,$S$2=TRUE),VLOOKUP($G50,'KO Calc'!$H:$AW,4,FALSE),VLOOKUP($G50,'KO Calc'!$H47:$AW47,4,FALSE)),
IF(AND($Q$1=TRUE,$S$1=TRUE,$S$4=TRUE)=TRUE,IF(OR($Q$4=TRUE,$Q$5=TRUE,$S$2=TRUE),VLOOKUP($G50,'KO Calc'!$H:$AW,19,FALSE),VLOOKUP($G50,'KO Calc'!$H47:$AW47,19,FALSE)),IF(AND($Q$1=TRUE,$S$4=TRUE),IF(OR($Q$4=TRUE,$Q$5=TRUE,$S$2=TRUE),VLOOKUP($G50,'KO Calc'!$H:$AW,9,FALSE),VLOOKUP($G50,'KO Calc'!$H47:$AW47,9,FALSE)),
IF(AND($S$3=TRUE,$S$1=TRUE,$S$4=FALSE)=TRUE,IF(OR($Q$4=TRUE,$Q$5=TRUE,$S$2=TRUE),VLOOKUP($G50,'KO Calc'!$H:$AW,34,FALSE),VLOOKUP($G50,'KO Calc'!$H47:$AW47,34,FALSE)),IF(AND($S$3=TRUE,$S$4=FALSE),IF(OR($Q$4=TRUE,$Q$5=TRUE,$S$2=TRUE),VLOOKUP($G50,'KO Calc'!$H:$AW,24,FALSE),VLOOKUP($G50,'KO Calc'!$H47:$AW47,24,FALSE)),
IF(AND($S$3=TRUE,$S$1=TRUE,$S$4=TRUE)=TRUE,IF(OR($Q$4=TRUE,$Q$5=TRUE,$S$2=TRUE),VLOOKUP($G50,'KO Calc'!$H:$AW,39,FALSE),VLOOKUP($G50,'KO Calc'!$H47:$AW47,39,FALSE)),IF(AND($S$3=TRUE,$S$4=TRUE),IF(OR($Q$4=TRUE,$Q$5=TRUE,$S$2=TRUE),VLOOKUP($G50,'KO Calc'!$H:$AW,29,FALSE),VLOOKUP($G50,'KO Calc'!$H47:$AW47,29,FALSE)))))))))))))</f>
        <v>-</v>
      </c>
      <c r="K50" s="36" t="str">
        <f>IF(AND($Q$1=FALSE,$S$3=FALSE),"-",IF(AND($Q$1=TRUE,$S$3=TRUE),"-",IF(AND($Q$1=FALSE,$S$3=FALSE),"-",IF(AND($Q$1=TRUE,$S$1=TRUE,$S$4=FALSE)=TRUE,IF(OR($Q$4=TRUE,$Q$5=TRUE,$S$2=TRUE),VLOOKUP($G50,'KO Calc'!$H:$AW,15,FALSE),VLOOKUP($G50,'KO Calc'!$H47:$AW47,15,FALSE)),IF(AND($Q$1=TRUE,$S$4=FALSE),IF(OR($Q$4=TRUE,$Q$5=TRUE,$S$2=TRUE),VLOOKUP($G50,'KO Calc'!$H:$AW,5,FALSE),VLOOKUP($G50,'KO Calc'!$H47:$AW47,5,FALSE)),
IF(AND($Q$1=TRUE,$S$1=TRUE,$S$4=TRUE)=TRUE,IF(OR($Q$4=TRUE,$Q$5=TRUE,$S$2=TRUE),VLOOKUP($G50,'KO Calc'!$H:$AW,20,FALSE),VLOOKUP($G50,'KO Calc'!$H47:$AW47,20,FALSE)),IF(AND($Q$1=TRUE,$S$4=TRUE),IF(OR($Q$4=TRUE,$Q$5=TRUE,$S$2=TRUE),VLOOKUP($G50,'KO Calc'!$H:$AW,10,FALSE),VLOOKUP($G50,'KO Calc'!$H47:$AW47,10,FALSE)),
IF(AND($S$3=TRUE,$S$1=TRUE,$S$4=FALSE)=TRUE,IF(OR($Q$4=TRUE,$Q$5=TRUE,$S$2=TRUE),VLOOKUP($G50,'KO Calc'!$H:$AW,35,FALSE),VLOOKUP($G50,'KO Calc'!$H47:$AW47,35,FALSE)),IF(AND($S$3=TRUE,$S$4=FALSE),IF(OR($Q$4=TRUE,$Q$5=TRUE,$S$2=TRUE),VLOOKUP($G50,'KO Calc'!$H:$AW,25,FALSE),VLOOKUP($G50,'KO Calc'!$H47:$AW47,25,FALSE)),
IF(AND($S$3=TRUE,$S$1=TRUE,$S$4=TRUE)=TRUE,IF(OR($Q$4=TRUE,$Q$5=TRUE,$S$2=TRUE),VLOOKUP($G50,'KO Calc'!$H:$AW,40,FALSE),VLOOKUP($G50,'KO Calc'!$H47:$AW47,40,FALSE)),IF(AND($S$3=TRUE,$S$4=TRUE),IF(OR($Q$4=TRUE,$Q$5=TRUE,$S$2=TRUE),VLOOKUP($G50,'KO Calc'!$H:$AW,30,FALSE),VLOOKUP($G50,'KO Calc'!$H47:$AW47,30,FALSE)))))))))))))</f>
        <v>-</v>
      </c>
      <c r="L50" s="36" t="str">
        <f>IFERROR(IF(AND($Q$1=FALSE,$S$3=FALSE),"-",VLOOKUP($E50,'Status Thresholds'!$E:$AU,43,FALSE)),"-")</f>
        <v>-</v>
      </c>
      <c r="M50" s="36" t="str">
        <f>IFERROR(IF(AND($Q$1=FALSE,$S$3=FALSE),"-",VLOOKUP($E50,'Status Thresholds'!$E:$AU,41,FALSE)),"-")</f>
        <v>-</v>
      </c>
      <c r="N50" s="36" t="str">
        <f>IFERROR(IF(AND($Q$1=FALSE,$S$3=FALSE),"-",VLOOKUP($E50,'Status Thresholds'!$E:$AU,42,FALSE)),"-")</f>
        <v>-</v>
      </c>
    </row>
    <row r="51" spans="1:14" x14ac:dyDescent="0.25">
      <c r="B51" s="64" t="str">
        <f>VLOOKUP(C51,'Status Thresholds'!B:C,2,FALSE)</f>
        <v>MHGen</v>
      </c>
      <c r="C51" s="46" t="str">
        <f>IF(ISBLANK('KO Calc'!C47)=TRUE,"",'KO Calc'!C47)</f>
        <v>Alatron</v>
      </c>
      <c r="D51" s="78" t="s">
        <v>213</v>
      </c>
      <c r="E51" s="62" t="str">
        <f t="shared" si="1"/>
        <v>AlatronPitfall Trap</v>
      </c>
      <c r="F51" t="s">
        <v>12</v>
      </c>
      <c r="G51" s="36" t="str">
        <f t="shared" si="2"/>
        <v>AlatronCrag 2</v>
      </c>
      <c r="H51" s="36" t="str">
        <f>IF(AND($Q$1=FALSE,$S$3=FALSE),"-",IF(AND($Q$1=TRUE,$S$3=TRUE),"-",IF(AND($Q$1=FALSE,$S$3=FALSE),"-",IF(AND($Q$1=TRUE,$S$1=TRUE,$S$4=FALSE)=TRUE,IF(OR($Q$4=TRUE,$Q$5=TRUE,$S$2=TRUE),VLOOKUP($G51,'KO Calc'!$H:$AW,12,FALSE),VLOOKUP($G51,'KO Calc'!$H48:$AW48,12,FALSE)),IF(AND($Q$1=TRUE,$S$4=FALSE),IF(OR($Q$4=TRUE,$Q$5=TRUE,$S$2=TRUE),VLOOKUP($G51,'KO Calc'!$H:$AW,2,FALSE),VLOOKUP($G51,'KO Calc'!$H48:$AW48,2,FALSE)),
IF(AND($Q$1=TRUE,$S$1=TRUE,$S$4=TRUE)=TRUE,IF(OR($Q$4=TRUE,$Q$5=TRUE,$S$2=TRUE),VLOOKUP($G51,'KO Calc'!$H:$AW,17,FALSE),VLOOKUP($G51,'KO Calc'!$H48:$AW48,17,FALSE)),IF(AND($Q$1=TRUE,$S$4=TRUE),IF(OR($Q$4=TRUE,$Q$5=TRUE,$S$2=TRUE),VLOOKUP($G51,'KO Calc'!$H:$AW,7,FALSE),VLOOKUP($G51,'KO Calc'!$H48:$AW48,7,FALSE)),
IF(AND($S$3=TRUE,$S$1=TRUE,$S$4=FALSE)=TRUE,IF(OR($Q$4=TRUE,$Q$5=TRUE,$S$2=TRUE),VLOOKUP($G51,'KO Calc'!$H:$AW,32,FALSE),VLOOKUP($G51,'KO Calc'!$H48:$AW48,32,FALSE)),IF(AND($S$3=TRUE,$S$4=FALSE),IF(OR($Q$4=TRUE,$Q$5=TRUE,$S$2=TRUE),VLOOKUP($G51,'KO Calc'!$H:$AW,22,FALSE),VLOOKUP($G51,'KO Calc'!$H48:$AW48,22,FALSE)),
IF(AND($S$3=TRUE,$S$1=TRUE,$S$4=TRUE)=TRUE,IF(OR($Q$4=TRUE,$Q$5=TRUE,$S$2=TRUE),VLOOKUP($G51,'KO Calc'!$H:$AW,37,FALSE),VLOOKUP($G51,'KO Calc'!$H48:$AW48,37,FALSE)),IF(AND($S$3=TRUE,$S$4=TRUE),IF(OR($Q$4=TRUE,$Q$5=TRUE,$S$2=TRUE),VLOOKUP($G51,'KO Calc'!$H:$AW,27,FALSE),VLOOKUP($G51,'KO Calc'!$H48:$AW48,27,FALSE)))))))))))))</f>
        <v>-</v>
      </c>
      <c r="I51" s="36" t="str">
        <f>IF(AND($Q$1=FALSE,$S$3=FALSE),"-",IF(AND($Q$1=TRUE,$S$3=TRUE),"-",IF(AND($Q$1=FALSE,$S$3=FALSE),"-",IF(AND($Q$1=TRUE,$S$1=TRUE,$S$4=FALSE)=TRUE,IF(OR($Q$4=TRUE,$Q$5=TRUE,$S$2=TRUE),VLOOKUP($G51,'KO Calc'!$H:$AW,13,FALSE),VLOOKUP($G51,'KO Calc'!$H48:$AW48,13,FALSE)),IF(AND($Q$1=TRUE,$S$4=FALSE),IF(OR($Q$4=TRUE,$Q$5=TRUE,$S$2=TRUE),VLOOKUP($G51,'KO Calc'!$H:$AW,3,FALSE),VLOOKUP($G51,'KO Calc'!$H48:$AW48,3,FALSE)),
IF(AND($Q$1=TRUE,$S$1=TRUE,$S$4=TRUE)=TRUE,IF(OR($Q$4=TRUE,$Q$5=TRUE,$S$2=TRUE),VLOOKUP($G51,'KO Calc'!$H:$AW,18,FALSE),VLOOKUP($G51,'KO Calc'!$H48:$AW48,18,FALSE)),IF(AND($Q$1=TRUE,$S$4=TRUE),IF(OR($Q$4=TRUE,$Q$5=TRUE,$S$2=TRUE),VLOOKUP($G51,'KO Calc'!$H:$AW,8,FALSE),VLOOKUP($G51,'KO Calc'!$H48:$AW48,8,FALSE)),
IF(AND($S$3=TRUE,$S$1=TRUE,$S$4=FALSE)=TRUE,IF(OR($Q$4=TRUE,$Q$5=TRUE,$S$2=TRUE),VLOOKUP($G51,'KO Calc'!$H:$AW,33,FALSE),VLOOKUP($G51,'KO Calc'!$H48:$AW48,33,FALSE)),IF(AND($S$3=TRUE,$S$4=FALSE),IF(OR($Q$4=TRUE,$Q$5=TRUE,$S$2=TRUE),VLOOKUP($G51,'KO Calc'!$H:$AW,23,FALSE),VLOOKUP($G51,'KO Calc'!$H48:$AW48,23,FALSE)),
IF(AND($S$3=TRUE,$S$1=TRUE,$S$4=TRUE)=TRUE,IF(OR($Q$4=TRUE,$Q$5=TRUE,$S$2=TRUE),VLOOKUP($G51,'KO Calc'!$H:$AW,38,FALSE),VLOOKUP($G51,'KO Calc'!$H48:$AW48,38,FALSE)),IF(AND($S$3=TRUE,$S$4=TRUE),IF(OR($Q$4=TRUE,$Q$5=TRUE,$S$2=TRUE),VLOOKUP($G51,'KO Calc'!$H:$AW,28,FALSE),VLOOKUP($G51,'KO Calc'!$H48:$AW48,28,FALSE)))))))))))))</f>
        <v>-</v>
      </c>
      <c r="J51" s="36" t="str">
        <f>IF(AND($Q$1=FALSE,$S$3=FALSE),"-",IF(AND($Q$1=TRUE,$S$3=TRUE),"-",IF(AND($Q$1=FALSE,$S$3=FALSE),"-",IF(AND($Q$1=TRUE,$S$1=TRUE,$S$4=FALSE)=TRUE,IF(OR($Q$4=TRUE,$Q$5=TRUE,$S$2=TRUE),VLOOKUP($G51,'KO Calc'!$H:$AW,FALSE),VLOOKUP($G51,'KO Calc'!$H48:$AW48,14,FALSE)),IF(AND($Q$1=TRUE,$S$4=FALSE),IF(OR($Q$4=TRUE,$Q$5=TRUE,$S$2=TRUE),VLOOKUP($G51,'KO Calc'!$H:$AW,4,FALSE),VLOOKUP($G51,'KO Calc'!$H48:$AW48,4,FALSE)),
IF(AND($Q$1=TRUE,$S$1=TRUE,$S$4=TRUE)=TRUE,IF(OR($Q$4=TRUE,$Q$5=TRUE,$S$2=TRUE),VLOOKUP($G51,'KO Calc'!$H:$AW,19,FALSE),VLOOKUP($G51,'KO Calc'!$H48:$AW48,19,FALSE)),IF(AND($Q$1=TRUE,$S$4=TRUE),IF(OR($Q$4=TRUE,$Q$5=TRUE,$S$2=TRUE),VLOOKUP($G51,'KO Calc'!$H:$AW,9,FALSE),VLOOKUP($G51,'KO Calc'!$H48:$AW48,9,FALSE)),
IF(AND($S$3=TRUE,$S$1=TRUE,$S$4=FALSE)=TRUE,IF(OR($Q$4=TRUE,$Q$5=TRUE,$S$2=TRUE),VLOOKUP($G51,'KO Calc'!$H:$AW,34,FALSE),VLOOKUP($G51,'KO Calc'!$H48:$AW48,34,FALSE)),IF(AND($S$3=TRUE,$S$4=FALSE),IF(OR($Q$4=TRUE,$Q$5=TRUE,$S$2=TRUE),VLOOKUP($G51,'KO Calc'!$H:$AW,24,FALSE),VLOOKUP($G51,'KO Calc'!$H48:$AW48,24,FALSE)),
IF(AND($S$3=TRUE,$S$1=TRUE,$S$4=TRUE)=TRUE,IF(OR($Q$4=TRUE,$Q$5=TRUE,$S$2=TRUE),VLOOKUP($G51,'KO Calc'!$H:$AW,39,FALSE),VLOOKUP($G51,'KO Calc'!$H48:$AW48,39,FALSE)),IF(AND($S$3=TRUE,$S$4=TRUE),IF(OR($Q$4=TRUE,$Q$5=TRUE,$S$2=TRUE),VLOOKUP($G51,'KO Calc'!$H:$AW,29,FALSE),VLOOKUP($G51,'KO Calc'!$H48:$AW48,29,FALSE)))))))))))))</f>
        <v>-</v>
      </c>
      <c r="K51" s="36" t="str">
        <f>IF(AND($Q$1=FALSE,$S$3=FALSE),"-",IF(AND($Q$1=TRUE,$S$3=TRUE),"-",IF(AND($Q$1=FALSE,$S$3=FALSE),"-",IF(AND($Q$1=TRUE,$S$1=TRUE,$S$4=FALSE)=TRUE,IF(OR($Q$4=TRUE,$Q$5=TRUE,$S$2=TRUE),VLOOKUP($G51,'KO Calc'!$H:$AW,15,FALSE),VLOOKUP($G51,'KO Calc'!$H48:$AW48,15,FALSE)),IF(AND($Q$1=TRUE,$S$4=FALSE),IF(OR($Q$4=TRUE,$Q$5=TRUE,$S$2=TRUE),VLOOKUP($G51,'KO Calc'!$H:$AW,5,FALSE),VLOOKUP($G51,'KO Calc'!$H48:$AW48,5,FALSE)),
IF(AND($Q$1=TRUE,$S$1=TRUE,$S$4=TRUE)=TRUE,IF(OR($Q$4=TRUE,$Q$5=TRUE,$S$2=TRUE),VLOOKUP($G51,'KO Calc'!$H:$AW,20,FALSE),VLOOKUP($G51,'KO Calc'!$H48:$AW48,20,FALSE)),IF(AND($Q$1=TRUE,$S$4=TRUE),IF(OR($Q$4=TRUE,$Q$5=TRUE,$S$2=TRUE),VLOOKUP($G51,'KO Calc'!$H:$AW,10,FALSE),VLOOKUP($G51,'KO Calc'!$H48:$AW48,10,FALSE)),
IF(AND($S$3=TRUE,$S$1=TRUE,$S$4=FALSE)=TRUE,IF(OR($Q$4=TRUE,$Q$5=TRUE,$S$2=TRUE),VLOOKUP($G51,'KO Calc'!$H:$AW,35,FALSE),VLOOKUP($G51,'KO Calc'!$H48:$AW48,35,FALSE)),IF(AND($S$3=TRUE,$S$4=FALSE),IF(OR($Q$4=TRUE,$Q$5=TRUE,$S$2=TRUE),VLOOKUP($G51,'KO Calc'!$H:$AW,25,FALSE),VLOOKUP($G51,'KO Calc'!$H48:$AW48,25,FALSE)),
IF(AND($S$3=TRUE,$S$1=TRUE,$S$4=TRUE)=TRUE,IF(OR($Q$4=TRUE,$Q$5=TRUE,$S$2=TRUE),VLOOKUP($G51,'KO Calc'!$H:$AW,40,FALSE),VLOOKUP($G51,'KO Calc'!$H48:$AW48,40,FALSE)),IF(AND($S$3=TRUE,$S$4=TRUE),IF(OR($Q$4=TRUE,$Q$5=TRUE,$S$2=TRUE),VLOOKUP($G51,'KO Calc'!$H:$AW,30,FALSE),VLOOKUP($G51,'KO Calc'!$H48:$AW48,30,FALSE)))))))))))))</f>
        <v>-</v>
      </c>
      <c r="L51" s="36" t="str">
        <f>IFERROR(IF(AND($Q$1=FALSE,$S$3=FALSE),"-",VLOOKUP($E51,'Status Thresholds'!$E:$AU,43,FALSE)),"-")</f>
        <v>-</v>
      </c>
      <c r="M51" s="36" t="str">
        <f>IFERROR(IF(AND($Q$1=FALSE,$S$3=FALSE),"-",VLOOKUP($E51,'Status Thresholds'!$E:$AU,41,FALSE)),"-")</f>
        <v>-</v>
      </c>
      <c r="N51" s="36" t="str">
        <f>IFERROR(IF(AND($Q$1=FALSE,$S$3=FALSE),"-",VLOOKUP($E51,'Status Thresholds'!$E:$AU,42,FALSE)),"-")</f>
        <v>-</v>
      </c>
    </row>
    <row r="52" spans="1:14" x14ac:dyDescent="0.25">
      <c r="B52" s="64" t="str">
        <f>VLOOKUP(C52,'Status Thresholds'!B:C,2,FALSE)</f>
        <v>MHGen</v>
      </c>
      <c r="C52" s="46" t="str">
        <f>IF(ISBLANK('KO Calc'!C48)=TRUE,"",'KO Calc'!C48)</f>
        <v>Alatron</v>
      </c>
      <c r="D52" s="78"/>
      <c r="E52" s="62" t="str">
        <f t="shared" si="1"/>
        <v>Alatron</v>
      </c>
      <c r="F52" t="s">
        <v>11</v>
      </c>
      <c r="G52" s="36" t="str">
        <f t="shared" si="2"/>
        <v>AlatronCrag 1</v>
      </c>
      <c r="H52" s="36" t="str">
        <f>IF(AND($Q$1=FALSE,$S$3=FALSE),"-",IF(AND($Q$1=TRUE,$S$3=TRUE),"-",IF(AND($Q$1=FALSE,$S$3=FALSE),"-",IF(AND($Q$1=TRUE,$S$1=TRUE,$S$4=FALSE)=TRUE,IF(OR($Q$4=TRUE,$Q$5=TRUE,$S$2=TRUE),VLOOKUP($G52,'KO Calc'!$H:$AW,12,FALSE),VLOOKUP($G52,'KO Calc'!$H49:$AW49,12,FALSE)),IF(AND($Q$1=TRUE,$S$4=FALSE),IF(OR($Q$4=TRUE,$Q$5=TRUE,$S$2=TRUE),VLOOKUP($G52,'KO Calc'!$H:$AW,2,FALSE),VLOOKUP($G52,'KO Calc'!$H49:$AW49,2,FALSE)),
IF(AND($Q$1=TRUE,$S$1=TRUE,$S$4=TRUE)=TRUE,IF(OR($Q$4=TRUE,$Q$5=TRUE,$S$2=TRUE),VLOOKUP($G52,'KO Calc'!$H:$AW,17,FALSE),VLOOKUP($G52,'KO Calc'!$H49:$AW49,17,FALSE)),IF(AND($Q$1=TRUE,$S$4=TRUE),IF(OR($Q$4=TRUE,$Q$5=TRUE,$S$2=TRUE),VLOOKUP($G52,'KO Calc'!$H:$AW,7,FALSE),VLOOKUP($G52,'KO Calc'!$H49:$AW49,7,FALSE)),
IF(AND($S$3=TRUE,$S$1=TRUE,$S$4=FALSE)=TRUE,IF(OR($Q$4=TRUE,$Q$5=TRUE,$S$2=TRUE),VLOOKUP($G52,'KO Calc'!$H:$AW,32,FALSE),VLOOKUP($G52,'KO Calc'!$H49:$AW49,32,FALSE)),IF(AND($S$3=TRUE,$S$4=FALSE),IF(OR($Q$4=TRUE,$Q$5=TRUE,$S$2=TRUE),VLOOKUP($G52,'KO Calc'!$H:$AW,22,FALSE),VLOOKUP($G52,'KO Calc'!$H49:$AW49,22,FALSE)),
IF(AND($S$3=TRUE,$S$1=TRUE,$S$4=TRUE)=TRUE,IF(OR($Q$4=TRUE,$Q$5=TRUE,$S$2=TRUE),VLOOKUP($G52,'KO Calc'!$H:$AW,37,FALSE),VLOOKUP($G52,'KO Calc'!$H49:$AW49,37,FALSE)),IF(AND($S$3=TRUE,$S$4=TRUE),IF(OR($Q$4=TRUE,$Q$5=TRUE,$S$2=TRUE),VLOOKUP($G52,'KO Calc'!$H:$AW,27,FALSE),VLOOKUP($G52,'KO Calc'!$H49:$AW49,27,FALSE)))))))))))))</f>
        <v>-</v>
      </c>
      <c r="I52" s="36" t="str">
        <f>IF(AND($Q$1=FALSE,$S$3=FALSE),"-",IF(AND($Q$1=TRUE,$S$3=TRUE),"-",IF(AND($Q$1=FALSE,$S$3=FALSE),"-",IF(AND($Q$1=TRUE,$S$1=TRUE,$S$4=FALSE)=TRUE,IF(OR($Q$4=TRUE,$Q$5=TRUE,$S$2=TRUE),VLOOKUP($G52,'KO Calc'!$H:$AW,13,FALSE),VLOOKUP($G52,'KO Calc'!$H49:$AW49,13,FALSE)),IF(AND($Q$1=TRUE,$S$4=FALSE),IF(OR($Q$4=TRUE,$Q$5=TRUE,$S$2=TRUE),VLOOKUP($G52,'KO Calc'!$H:$AW,3,FALSE),VLOOKUP($G52,'KO Calc'!$H49:$AW49,3,FALSE)),
IF(AND($Q$1=TRUE,$S$1=TRUE,$S$4=TRUE)=TRUE,IF(OR($Q$4=TRUE,$Q$5=TRUE,$S$2=TRUE),VLOOKUP($G52,'KO Calc'!$H:$AW,18,FALSE),VLOOKUP($G52,'KO Calc'!$H49:$AW49,18,FALSE)),IF(AND($Q$1=TRUE,$S$4=TRUE),IF(OR($Q$4=TRUE,$Q$5=TRUE,$S$2=TRUE),VLOOKUP($G52,'KO Calc'!$H:$AW,8,FALSE),VLOOKUP($G52,'KO Calc'!$H49:$AW49,8,FALSE)),
IF(AND($S$3=TRUE,$S$1=TRUE,$S$4=FALSE)=TRUE,IF(OR($Q$4=TRUE,$Q$5=TRUE,$S$2=TRUE),VLOOKUP($G52,'KO Calc'!$H:$AW,33,FALSE),VLOOKUP($G52,'KO Calc'!$H49:$AW49,33,FALSE)),IF(AND($S$3=TRUE,$S$4=FALSE),IF(OR($Q$4=TRUE,$Q$5=TRUE,$S$2=TRUE),VLOOKUP($G52,'KO Calc'!$H:$AW,23,FALSE),VLOOKUP($G52,'KO Calc'!$H49:$AW49,23,FALSE)),
IF(AND($S$3=TRUE,$S$1=TRUE,$S$4=TRUE)=TRUE,IF(OR($Q$4=TRUE,$Q$5=TRUE,$S$2=TRUE),VLOOKUP($G52,'KO Calc'!$H:$AW,38,FALSE),VLOOKUP($G52,'KO Calc'!$H49:$AW49,38,FALSE)),IF(AND($S$3=TRUE,$S$4=TRUE),IF(OR($Q$4=TRUE,$Q$5=TRUE,$S$2=TRUE),VLOOKUP($G52,'KO Calc'!$H:$AW,28,FALSE),VLOOKUP($G52,'KO Calc'!$H49:$AW49,28,FALSE)))))))))))))</f>
        <v>-</v>
      </c>
      <c r="J52" s="36" t="str">
        <f>IF(AND($Q$1=FALSE,$S$3=FALSE),"-",IF(AND($Q$1=TRUE,$S$3=TRUE),"-",IF(AND($Q$1=FALSE,$S$3=FALSE),"-",IF(AND($Q$1=TRUE,$S$1=TRUE,$S$4=FALSE)=TRUE,IF(OR($Q$4=TRUE,$Q$5=TRUE,$S$2=TRUE),VLOOKUP($G52,'KO Calc'!$H:$AW,FALSE),VLOOKUP($G52,'KO Calc'!$H49:$AW49,14,FALSE)),IF(AND($Q$1=TRUE,$S$4=FALSE),IF(OR($Q$4=TRUE,$Q$5=TRUE,$S$2=TRUE),VLOOKUP($G52,'KO Calc'!$H:$AW,4,FALSE),VLOOKUP($G52,'KO Calc'!$H49:$AW49,4,FALSE)),
IF(AND($Q$1=TRUE,$S$1=TRUE,$S$4=TRUE)=TRUE,IF(OR($Q$4=TRUE,$Q$5=TRUE,$S$2=TRUE),VLOOKUP($G52,'KO Calc'!$H:$AW,19,FALSE),VLOOKUP($G52,'KO Calc'!$H49:$AW49,19,FALSE)),IF(AND($Q$1=TRUE,$S$4=TRUE),IF(OR($Q$4=TRUE,$Q$5=TRUE,$S$2=TRUE),VLOOKUP($G52,'KO Calc'!$H:$AW,9,FALSE),VLOOKUP($G52,'KO Calc'!$H49:$AW49,9,FALSE)),
IF(AND($S$3=TRUE,$S$1=TRUE,$S$4=FALSE)=TRUE,IF(OR($Q$4=TRUE,$Q$5=TRUE,$S$2=TRUE),VLOOKUP($G52,'KO Calc'!$H:$AW,34,FALSE),VLOOKUP($G52,'KO Calc'!$H49:$AW49,34,FALSE)),IF(AND($S$3=TRUE,$S$4=FALSE),IF(OR($Q$4=TRUE,$Q$5=TRUE,$S$2=TRUE),VLOOKUP($G52,'KO Calc'!$H:$AW,24,FALSE),VLOOKUP($G52,'KO Calc'!$H49:$AW49,24,FALSE)),
IF(AND($S$3=TRUE,$S$1=TRUE,$S$4=TRUE)=TRUE,IF(OR($Q$4=TRUE,$Q$5=TRUE,$S$2=TRUE),VLOOKUP($G52,'KO Calc'!$H:$AW,39,FALSE),VLOOKUP($G52,'KO Calc'!$H49:$AW49,39,FALSE)),IF(AND($S$3=TRUE,$S$4=TRUE),IF(OR($Q$4=TRUE,$Q$5=TRUE,$S$2=TRUE),VLOOKUP($G52,'KO Calc'!$H:$AW,29,FALSE),VLOOKUP($G52,'KO Calc'!$H49:$AW49,29,FALSE)))))))))))))</f>
        <v>-</v>
      </c>
      <c r="K52" s="36" t="str">
        <f>IF(AND($Q$1=FALSE,$S$3=FALSE),"-",IF(AND($Q$1=TRUE,$S$3=TRUE),"-",IF(AND($Q$1=FALSE,$S$3=FALSE),"-",IF(AND($Q$1=TRUE,$S$1=TRUE,$S$4=FALSE)=TRUE,IF(OR($Q$4=TRUE,$Q$5=TRUE,$S$2=TRUE),VLOOKUP($G52,'KO Calc'!$H:$AW,15,FALSE),VLOOKUP($G52,'KO Calc'!$H49:$AW49,15,FALSE)),IF(AND($Q$1=TRUE,$S$4=FALSE),IF(OR($Q$4=TRUE,$Q$5=TRUE,$S$2=TRUE),VLOOKUP($G52,'KO Calc'!$H:$AW,5,FALSE),VLOOKUP($G52,'KO Calc'!$H49:$AW49,5,FALSE)),
IF(AND($Q$1=TRUE,$S$1=TRUE,$S$4=TRUE)=TRUE,IF(OR($Q$4=TRUE,$Q$5=TRUE,$S$2=TRUE),VLOOKUP($G52,'KO Calc'!$H:$AW,20,FALSE),VLOOKUP($G52,'KO Calc'!$H49:$AW49,20,FALSE)),IF(AND($Q$1=TRUE,$S$4=TRUE),IF(OR($Q$4=TRUE,$Q$5=TRUE,$S$2=TRUE),VLOOKUP($G52,'KO Calc'!$H:$AW,10,FALSE),VLOOKUP($G52,'KO Calc'!$H49:$AW49,10,FALSE)),
IF(AND($S$3=TRUE,$S$1=TRUE,$S$4=FALSE)=TRUE,IF(OR($Q$4=TRUE,$Q$5=TRUE,$S$2=TRUE),VLOOKUP($G52,'KO Calc'!$H:$AW,35,FALSE),VLOOKUP($G52,'KO Calc'!$H49:$AW49,35,FALSE)),IF(AND($S$3=TRUE,$S$4=FALSE),IF(OR($Q$4=TRUE,$Q$5=TRUE,$S$2=TRUE),VLOOKUP($G52,'KO Calc'!$H:$AW,25,FALSE),VLOOKUP($G52,'KO Calc'!$H49:$AW49,25,FALSE)),
IF(AND($S$3=TRUE,$S$1=TRUE,$S$4=TRUE)=TRUE,IF(OR($Q$4=TRUE,$Q$5=TRUE,$S$2=TRUE),VLOOKUP($G52,'KO Calc'!$H:$AW,40,FALSE),VLOOKUP($G52,'KO Calc'!$H49:$AW49,40,FALSE)),IF(AND($S$3=TRUE,$S$4=TRUE),IF(OR($Q$4=TRUE,$Q$5=TRUE,$S$2=TRUE),VLOOKUP($G52,'KO Calc'!$H:$AW,30,FALSE),VLOOKUP($G52,'KO Calc'!$H49:$AW49,30,FALSE)))))))))))))</f>
        <v>-</v>
      </c>
      <c r="L52" s="36" t="str">
        <f>IFERROR(VLOOKUP($E52,'Status Thresholds'!$E:$AS,41,FALSE),"-")</f>
        <v>-</v>
      </c>
    </row>
    <row r="53" spans="1:14" x14ac:dyDescent="0.25">
      <c r="B53" s="64" t="str">
        <f>VLOOKUP(C53,'Status Thresholds'!B:C,2,FALSE)</f>
        <v>MHGen</v>
      </c>
      <c r="C53" s="46" t="str">
        <f>IF(ISBLANK('KO Calc'!C49)=TRUE,"",'KO Calc'!C49)</f>
        <v>Alatron</v>
      </c>
      <c r="D53" s="78"/>
      <c r="E53" s="62"/>
      <c r="G53" s="36"/>
      <c r="H53" s="36"/>
      <c r="I53" s="36"/>
      <c r="J53" s="36"/>
      <c r="K53" s="36"/>
      <c r="L53" s="36" t="str">
        <f>IFERROR(VLOOKUP($E53,'Status Thresholds'!$E:$AS,41,FALSE),"-")</f>
        <v>-</v>
      </c>
    </row>
    <row r="54" spans="1:14" s="36" customFormat="1" x14ac:dyDescent="0.25">
      <c r="B54" s="64" t="str">
        <f>VLOOKUP(C54,'Status Thresholds'!B:C,2,FALSE)</f>
        <v>MHGen</v>
      </c>
      <c r="C54" s="46" t="str">
        <f>IF(ISBLANK('KO Calc'!C50)=TRUE,"",'KO Calc'!C50)</f>
        <v>Amatsu</v>
      </c>
      <c r="D54" s="65" t="s">
        <v>0</v>
      </c>
      <c r="E54" s="62" t="str">
        <f t="shared" si="1"/>
        <v>AmatsuPara</v>
      </c>
      <c r="F54" s="36" t="s">
        <v>2</v>
      </c>
      <c r="G54" s="36" t="str">
        <f t="shared" si="2"/>
        <v>AmatsuPara lvl 2</v>
      </c>
      <c r="H54" s="36" t="str">
        <f>IFERROR(ROUNDUP(IF(AND($Q$1=FALSE,$S$3=FALSE),"-",IF(AND($Q$1=TRUE,$S$3=TRUE),"-",IF(AND($Q$1=TRUE,$S$1=TRUE,$S$4=FALSE),VLOOKUP($E54,'Status Thresholds'!$E:$AS,12,FALSE),IF(AND($Q$1=TRUE,$S$4=FALSE),VLOOKUP($E54,'Status Thresholds'!$E:$AS,2,FALSE), IF(AND($Q$1=TRUE,$S$1=TRUE,$S$4=TRUE),VLOOKUP($E54,'Status Thresholds'!$E:$AS,17,FALSE),IF(AND($Q$1=TRUE,$S$4=TRUE),VLOOKUP($E54,'Status Thresholds'!$E:$AS,7,FALSE),IF(AND($S$3=TRUE,$S$1=TRUE,$S$4=FALSE),VLOOKUP($E54,'Status Thresholds'!$E:$AS,32,FALSE),IF(AND($S$3=TRUE,$S$4=FALSE),VLOOKUP($E54,'Status Thresholds'!$E:$AS,22,FALSE),IF(AND($S$3=TRUE,$S$1=TRUE,$S$4=TRUE),VLOOKUP($E54,'Status Thresholds'!$E:$AS,37,FALSE),IF(AND($S$3=TRUE,$S$4=TRUE),VLOOKUP($E54,'Status Thresholds'!$E:$AS,27,FALSE),""))))))))/IF(OR($Q$3=TRUE,AND($Q$2=TRUE,$Q$7=TRUE),AND($Q$3=TRUE,$Q$7=TRUE))=TRUE,'Shots and Status'!$F$5,IF((OR($Q$2,$Q$7)=TRUE),'Shots and Status'!$D$5,'Shots and Status'!$C$5)))),0),"-")</f>
        <v>-</v>
      </c>
      <c r="I54" s="36" t="str">
        <f>IFERROR(ROUNDUP(IF(AND($Q$1=FALSE,$S$3=FALSE),"-",IF(AND($Q$1=TRUE,$S$3=TRUE),"-",IF(AND($Q$1=TRUE,$S$1=TRUE,$S$4=FALSE),VLOOKUP($E54,'Status Thresholds'!$E:$AS,13,FALSE),IF(AND($Q$1=TRUE,$S$4=FALSE),VLOOKUP($E54,'Status Thresholds'!$E:$AS,3,FALSE), IF(AND($Q$1=TRUE,$S$1=TRUE,$S$4=TRUE),VLOOKUP($E54,'Status Thresholds'!$E:$AS,18,FALSE),IF(AND($Q$1=TRUE,$S$4=TRUE),VLOOKUP($E54,'Status Thresholds'!$E:$AS,8,FALSE),IF(AND($S$3=TRUE,$S$1=TRUE,$S$4=FALSE),VLOOKUP($E54,'Status Thresholds'!$E:$AS,33,FALSE),IF(AND($S$3=TRUE,$S$4=FALSE),VLOOKUP($E54,'Status Thresholds'!$E:$AS,23,FALSE),IF(AND($S$3=TRUE,$S$1=TRUE,$S$4=TRUE),VLOOKUP($E54,'Status Thresholds'!$E:$AS,38,FALSE),IF(AND($S$3=TRUE,$S$4=TRUE),VLOOKUP($E54,'Status Thresholds'!$E:$AS,28,FALSE),""))))))))/IF(OR($Q$3=TRUE,AND($Q$2=TRUE,$Q$7=TRUE),AND($Q$3=TRUE,$Q$7=TRUE))=TRUE,'Shots and Status'!$F$5,IF((OR($Q$2,$Q$7)=TRUE),'Shots and Status'!$D$5,'Shots and Status'!$C$5)))),0),"-")</f>
        <v>-</v>
      </c>
      <c r="J54" s="36" t="str">
        <f>IFERROR(ROUNDUP(IF(AND($Q$1=FALSE,$S$3=FALSE),"-",IF(AND($Q$1=TRUE,$S$3=TRUE),"-",IF(AND($Q$1=TRUE,$S$1=TRUE,$S$4=FALSE),VLOOKUP($E54,'Status Thresholds'!$E:$AS,14,FALSE),IF(AND($Q$1=TRUE,$S$4=FALSE),VLOOKUP($E54,'Status Thresholds'!$E:$AS,4,FALSE), IF(AND($Q$1=TRUE,$S$1=TRUE,$S$4=TRUE),VLOOKUP($E54,'Status Thresholds'!$E:$AS,19,FALSE),IF(AND($Q$1=TRUE,$S$4=TRUE),VLOOKUP($E54,'Status Thresholds'!$E:$AS,9,FALSE),IF(AND($S$3=TRUE,$S$1=TRUE,$S$4=FALSE),VLOOKUP($E54,'Status Thresholds'!$E:$AS,34,FALSE),IF(AND($S$3=TRUE,$S$4=FALSE),VLOOKUP($E54,'Status Thresholds'!$E:$AS,24,FALSE),IF(AND($S$3=TRUE,$S$1=TRUE,$S$4=TRUE),VLOOKUP($E54,'Status Thresholds'!$E:$AS,39,FALSE),IF(AND($S$3=TRUE,$S$4=TRUE),VLOOKUP($E54,'Status Thresholds'!$E:$AS,29,FALSE),""))))))))/IF(OR($Q$3=TRUE,AND($Q$2=TRUE,$Q$7=TRUE),AND($Q$3=TRUE,$Q$7=TRUE))=TRUE,'Shots and Status'!$F$5,IF((OR($Q$2,$Q$7)=TRUE),'Shots and Status'!$D$5,'Shots and Status'!$C$5)))),0),"-")</f>
        <v>-</v>
      </c>
      <c r="K54" s="36" t="str">
        <f>IFERROR(ROUNDUP(IF(AND($Q$1=FALSE,$S$3=FALSE),"-",IF(AND($Q$1=TRUE,$S$3=TRUE),"-",IF(AND($Q$1=TRUE,$S$1=TRUE,$S$4=FALSE),VLOOKUP($E54,'Status Thresholds'!$E:$AS,15,FALSE),IF(AND($Q$1=TRUE,$S$4=FALSE),VLOOKUP($E54,'Status Thresholds'!$E:$AS,5,FALSE), IF(AND($Q$1=TRUE,$S$1=TRUE,$S$4=TRUE),VLOOKUP($E54,'Status Thresholds'!$E:$AS,20,FALSE),IF(AND($Q$1=TRUE,$S$4=TRUE),VLOOKUP($E54,'Status Thresholds'!$E:$AS,10,FALSE),IF(AND($S$3=TRUE,$S$1=TRUE,$S$4=FALSE),VLOOKUP($E54,'Status Thresholds'!$E:$AS,35,FALSE),IF(AND($S$3=TRUE,$S$4=FALSE),VLOOKUP($E54,'Status Thresholds'!$E:$AS,25,FALSE),IF(AND($S$3=TRUE,$S$1=TRUE,$S$4=TRUE),VLOOKUP($E54,'Status Thresholds'!$E:$AS,40,FALSE),IF(AND($S$3=TRUE,$S$4=TRUE),VLOOKUP($E54,'Status Thresholds'!$E:$AS,30,FALSE),""))))))))/IF(OR($Q$3=TRUE,AND($Q$2=TRUE,$Q$7=TRUE),AND($Q$3=TRUE,$Q$7=TRUE))=TRUE,'Shots and Status'!$F$5,IF((OR($Q$2,$Q$7)=TRUE),'Shots and Status'!$D$5,'Shots and Status'!$C$5)))),0),"-")</f>
        <v>-</v>
      </c>
      <c r="L54" s="36" t="str">
        <f>IFERROR(IF(AND($Q$1=FALSE,$S$3=FALSE),"-",VLOOKUP($E54,'Status Thresholds'!$E:$AU,41,FALSE)),"-")</f>
        <v>-</v>
      </c>
      <c r="M54" s="36" t="str">
        <f>IFERROR(IF(AND($Q$1=FALSE,$S$3=FALSE),"-",VLOOKUP($E54,'Status Thresholds'!$E:$AU,42,FALSE)),"-")</f>
        <v>-</v>
      </c>
      <c r="N54" s="36" t="str">
        <f>IFERROR(IF(AND($Q$1=FALSE,$S$3=FALSE),"-",VLOOKUP($E54,'Status Thresholds'!$E:$AU,43,FALSE)),"-")</f>
        <v>-</v>
      </c>
    </row>
    <row r="55" spans="1:14" s="59" customFormat="1" x14ac:dyDescent="0.25">
      <c r="A55" s="46"/>
      <c r="B55" s="64" t="str">
        <f>VLOOKUP(C55,'Status Thresholds'!B:C,2,FALSE)</f>
        <v>MHGen</v>
      </c>
      <c r="C55" s="46" t="str">
        <f>IF(ISBLANK('KO Calc'!C51)=TRUE,"",'KO Calc'!C51)</f>
        <v>Amatsu</v>
      </c>
      <c r="D55" s="60" t="s">
        <v>32</v>
      </c>
      <c r="E55" s="62" t="str">
        <f t="shared" si="1"/>
        <v>AmatsuSleep</v>
      </c>
      <c r="F55" s="59" t="s">
        <v>5</v>
      </c>
      <c r="G55" s="36" t="str">
        <f t="shared" si="2"/>
        <v>AmatsuSleep lvl 2</v>
      </c>
      <c r="H55" s="36" t="str">
        <f>IFERROR(ROUNDUP(IF(AND($Q$1=FALSE,$S$3=FALSE),"-",IF(AND($Q$1=TRUE,$S$3=TRUE),"-",IF(AND($Q$1=TRUE,$S$1=TRUE,$S$4=FALSE),VLOOKUP($E55,'Status Thresholds'!$E:$AS,12,FALSE),IF(AND($Q$1=TRUE,$S$4=FALSE),VLOOKUP($E55,'Status Thresholds'!$E:$AS,2,FALSE), IF(AND($Q$1=TRUE,$S$1=TRUE,$S$4=TRUE),VLOOKUP($E55,'Status Thresholds'!$E:$AS,17,FALSE),IF(AND($Q$1=TRUE,$S$4=TRUE),VLOOKUP($E55,'Status Thresholds'!$E:$AS,7,FALSE),IF(AND($S$3=TRUE,$S$1=TRUE,$S$4=FALSE),VLOOKUP($E55,'Status Thresholds'!$E:$AS,32,FALSE),IF(AND($S$3=TRUE,$S$4=FALSE),VLOOKUP($E55,'Status Thresholds'!$E:$AS,22,FALSE),IF(AND($S$3=TRUE,$S$1=TRUE,$S$4=TRUE),VLOOKUP($E55,'Status Thresholds'!$E:$AS,37,FALSE),IF(AND($S$3=TRUE,$S$4=TRUE),VLOOKUP($E55,'Status Thresholds'!$E:$AS,27,FALSE),""))))))))/IF(OR($Q$3=TRUE,AND($Q$2=TRUE,$Q$7=TRUE),AND($Q$3=TRUE,$Q$7=TRUE))=TRUE,'Shots and Status'!$F$5,IF((OR($Q$2,$Q$7)=TRUE),'Shots and Status'!$D$5,'Shots and Status'!$C$5)))),0),"-")</f>
        <v>-</v>
      </c>
      <c r="I55" s="36" t="str">
        <f>IFERROR(ROUNDUP(IF(AND($Q$1=FALSE,$S$3=FALSE),"-",IF(AND($Q$1=TRUE,$S$3=TRUE),"-",IF(AND($Q$1=TRUE,$S$1=TRUE,$S$4=FALSE),VLOOKUP($E55,'Status Thresholds'!$E:$AS,13,FALSE),IF(AND($Q$1=TRUE,$S$4=FALSE),VLOOKUP($E55,'Status Thresholds'!$E:$AS,3,FALSE), IF(AND($Q$1=TRUE,$S$1=TRUE,$S$4=TRUE),VLOOKUP($E55,'Status Thresholds'!$E:$AS,18,FALSE),IF(AND($Q$1=TRUE,$S$4=TRUE),VLOOKUP($E55,'Status Thresholds'!$E:$AS,8,FALSE),IF(AND($S$3=TRUE,$S$1=TRUE,$S$4=FALSE),VLOOKUP($E55,'Status Thresholds'!$E:$AS,33,FALSE),IF(AND($S$3=TRUE,$S$4=FALSE),VLOOKUP($E55,'Status Thresholds'!$E:$AS,23,FALSE),IF(AND($S$3=TRUE,$S$1=TRUE,$S$4=TRUE),VLOOKUP($E55,'Status Thresholds'!$E:$AS,38,FALSE),IF(AND($S$3=TRUE,$S$4=TRUE),VLOOKUP($E55,'Status Thresholds'!$E:$AS,28,FALSE),""))))))))/IF(OR($Q$3=TRUE,AND($Q$2=TRUE,$Q$7=TRUE),AND($Q$3=TRUE,$Q$7=TRUE))=TRUE,'Shots and Status'!$F$5,IF((OR($Q$2,$Q$7)=TRUE),'Shots and Status'!$D$5,'Shots and Status'!$C$5)))),0),"-")</f>
        <v>-</v>
      </c>
      <c r="J55" s="36" t="str">
        <f>IFERROR(ROUNDUP(IF(AND($Q$1=FALSE,$S$3=FALSE),"-",IF(AND($Q$1=TRUE,$S$3=TRUE),"-",IF(AND($Q$1=TRUE,$S$1=TRUE,$S$4=FALSE),VLOOKUP($E55,'Status Thresholds'!$E:$AS,14,FALSE),IF(AND($Q$1=TRUE,$S$4=FALSE),VLOOKUP($E55,'Status Thresholds'!$E:$AS,4,FALSE), IF(AND($Q$1=TRUE,$S$1=TRUE,$S$4=TRUE),VLOOKUP($E55,'Status Thresholds'!$E:$AS,19,FALSE),IF(AND($Q$1=TRUE,$S$4=TRUE),VLOOKUP($E55,'Status Thresholds'!$E:$AS,9,FALSE),IF(AND($S$3=TRUE,$S$1=TRUE,$S$4=FALSE),VLOOKUP($E55,'Status Thresholds'!$E:$AS,34,FALSE),IF(AND($S$3=TRUE,$S$4=FALSE),VLOOKUP($E55,'Status Thresholds'!$E:$AS,24,FALSE),IF(AND($S$3=TRUE,$S$1=TRUE,$S$4=TRUE),VLOOKUP($E55,'Status Thresholds'!$E:$AS,39,FALSE),IF(AND($S$3=TRUE,$S$4=TRUE),VLOOKUP($E55,'Status Thresholds'!$E:$AS,29,FALSE),""))))))))/IF(OR($Q$3=TRUE,AND($Q$2=TRUE,$Q$7=TRUE),AND($Q$3=TRUE,$Q$7=TRUE))=TRUE,'Shots and Status'!$F$5,IF((OR($Q$2,$Q$7)=TRUE),'Shots and Status'!$D$5,'Shots and Status'!$C$5)))),0),"-")</f>
        <v>-</v>
      </c>
      <c r="K55" s="36" t="str">
        <f>IFERROR(ROUNDUP(IF(AND($Q$1=FALSE,$S$3=FALSE),"-",IF(AND($Q$1=TRUE,$S$3=TRUE),"-",IF(AND($Q$1=TRUE,$S$1=TRUE,$S$4=FALSE),VLOOKUP($E55,'Status Thresholds'!$E:$AS,15,FALSE),IF(AND($Q$1=TRUE,$S$4=FALSE),VLOOKUP($E55,'Status Thresholds'!$E:$AS,5,FALSE), IF(AND($Q$1=TRUE,$S$1=TRUE,$S$4=TRUE),VLOOKUP($E55,'Status Thresholds'!$E:$AS,20,FALSE),IF(AND($Q$1=TRUE,$S$4=TRUE),VLOOKUP($E55,'Status Thresholds'!$E:$AS,10,FALSE),IF(AND($S$3=TRUE,$S$1=TRUE,$S$4=FALSE),VLOOKUP($E55,'Status Thresholds'!$E:$AS,35,FALSE),IF(AND($S$3=TRUE,$S$4=FALSE),VLOOKUP($E55,'Status Thresholds'!$E:$AS,25,FALSE),IF(AND($S$3=TRUE,$S$1=TRUE,$S$4=TRUE),VLOOKUP($E55,'Status Thresholds'!$E:$AS,40,FALSE),IF(AND($S$3=TRUE,$S$4=TRUE),VLOOKUP($E55,'Status Thresholds'!$E:$AS,30,FALSE),""))))))))/IF(OR($Q$3=TRUE,AND($Q$2=TRUE,$Q$7=TRUE),AND($Q$3=TRUE,$Q$7=TRUE))=TRUE,'Shots and Status'!$F$5,IF((OR($Q$2,$Q$7)=TRUE),'Shots and Status'!$D$5,'Shots and Status'!$C$5)))),0),"-")</f>
        <v>-</v>
      </c>
      <c r="L55" s="36" t="str">
        <f>IFERROR(IF(AND($Q$1=FALSE,$S$3=FALSE),"-",VLOOKUP($E55,'Status Thresholds'!$E:$AU,41,FALSE)),"-")</f>
        <v>-</v>
      </c>
      <c r="M55" s="36" t="str">
        <f>IFERROR(IF(AND($Q$1=FALSE,$S$3=FALSE),"-",VLOOKUP($E55,'Status Thresholds'!$E:$AU,42,FALSE)),"-")</f>
        <v>-</v>
      </c>
      <c r="N55" s="36" t="str">
        <f>IFERROR(IF(AND($Q$1=FALSE,$S$3=FALSE),"-",VLOOKUP($E55,'Status Thresholds'!$E:$AU,43,FALSE)),"-")</f>
        <v>-</v>
      </c>
    </row>
    <row r="56" spans="1:14" s="59" customFormat="1" x14ac:dyDescent="0.25">
      <c r="A56" s="46"/>
      <c r="B56" s="64" t="str">
        <f>VLOOKUP(C56,'Status Thresholds'!B:C,2,FALSE)</f>
        <v>MHGen</v>
      </c>
      <c r="C56" s="46" t="str">
        <f>IF(ISBLANK('KO Calc'!C52)=TRUE,"",'KO Calc'!C52)</f>
        <v>Amatsu</v>
      </c>
      <c r="D56" s="58" t="s">
        <v>33</v>
      </c>
      <c r="E56" s="62" t="str">
        <f t="shared" si="1"/>
        <v>AmatsuPoison</v>
      </c>
      <c r="F56" s="59" t="s">
        <v>6</v>
      </c>
      <c r="G56" s="36" t="str">
        <f t="shared" si="2"/>
        <v>AmatsuPoison lvl 2</v>
      </c>
      <c r="H56" s="36" t="str">
        <f>IFERROR(ROUNDUP(IF(AND($Q$1=FALSE,$S$3=FALSE),"-",IF(AND($Q$1=TRUE,$S$3=TRUE),"-",IF(AND($Q$1=TRUE,$S$1=TRUE,$S$4=FALSE),VLOOKUP($E56,'Status Thresholds'!$E:$AS,12,FALSE),IF(AND($Q$1=TRUE,$S$4=FALSE),VLOOKUP($E56,'Status Thresholds'!$E:$AS,2,FALSE), IF(AND($Q$1=TRUE,$S$1=TRUE,$S$4=TRUE),VLOOKUP($E56,'Status Thresholds'!$E:$AS,17,FALSE),IF(AND($Q$1=TRUE,$S$4=TRUE),VLOOKUP($E56,'Status Thresholds'!$E:$AS,7,FALSE),IF(AND($S$3=TRUE,$S$1=TRUE,$S$4=FALSE),VLOOKUP($E56,'Status Thresholds'!$E:$AS,32,FALSE),IF(AND($S$3=TRUE,$S$4=FALSE),VLOOKUP($E56,'Status Thresholds'!$E:$AS,22,FALSE),IF(AND($S$3=TRUE,$S$1=TRUE,$S$4=TRUE),VLOOKUP($E56,'Status Thresholds'!$E:$AS,37,FALSE),IF(AND($S$3=TRUE,$S$4=TRUE),VLOOKUP($E56,'Status Thresholds'!$E:$AS,27,FALSE),""))))))))/IF(OR($Q$3=TRUE,AND($Q$2=TRUE,$Q$7=TRUE),AND($Q$3=TRUE,$Q$7=TRUE))=TRUE,'Shots and Status'!$F$5,IF((OR($Q$2,$Q$7)=TRUE),'Shots and Status'!$D$5,'Shots and Status'!$C$5)))),0),"-")</f>
        <v>-</v>
      </c>
      <c r="I56" s="36" t="str">
        <f>IFERROR(ROUNDUP(IF(AND($Q$1=FALSE,$S$3=FALSE),"-",IF(AND($Q$1=TRUE,$S$3=TRUE),"-",IF(AND($Q$1=TRUE,$S$1=TRUE,$S$4=FALSE),VLOOKUP($E56,'Status Thresholds'!$E:$AS,13,FALSE),IF(AND($Q$1=TRUE,$S$4=FALSE),VLOOKUP($E56,'Status Thresholds'!$E:$AS,3,FALSE), IF(AND($Q$1=TRUE,$S$1=TRUE,$S$4=TRUE),VLOOKUP($E56,'Status Thresholds'!$E:$AS,18,FALSE),IF(AND($Q$1=TRUE,$S$4=TRUE),VLOOKUP($E56,'Status Thresholds'!$E:$AS,8,FALSE),IF(AND($S$3=TRUE,$S$1=TRUE,$S$4=FALSE),VLOOKUP($E56,'Status Thresholds'!$E:$AS,33,FALSE),IF(AND($S$3=TRUE,$S$4=FALSE),VLOOKUP($E56,'Status Thresholds'!$E:$AS,23,FALSE),IF(AND($S$3=TRUE,$S$1=TRUE,$S$4=TRUE),VLOOKUP($E56,'Status Thresholds'!$E:$AS,38,FALSE),IF(AND($S$3=TRUE,$S$4=TRUE),VLOOKUP($E56,'Status Thresholds'!$E:$AS,28,FALSE),""))))))))/IF(OR($Q$3=TRUE,AND($Q$2=TRUE,$Q$7=TRUE),AND($Q$3=TRUE,$Q$7=TRUE))=TRUE,'Shots and Status'!$F$5,IF((OR($Q$2,$Q$7)=TRUE),'Shots and Status'!$D$5,'Shots and Status'!$C$5)))),0),"-")</f>
        <v>-</v>
      </c>
      <c r="J56" s="36" t="str">
        <f>IFERROR(ROUNDUP(IF(AND($Q$1=FALSE,$S$3=FALSE),"-",IF(AND($Q$1=TRUE,$S$3=TRUE),"-",IF(AND($Q$1=TRUE,$S$1=TRUE,$S$4=FALSE),VLOOKUP($E56,'Status Thresholds'!$E:$AS,14,FALSE),IF(AND($Q$1=TRUE,$S$4=FALSE),VLOOKUP($E56,'Status Thresholds'!$E:$AS,4,FALSE), IF(AND($Q$1=TRUE,$S$1=TRUE,$S$4=TRUE),VLOOKUP($E56,'Status Thresholds'!$E:$AS,19,FALSE),IF(AND($Q$1=TRUE,$S$4=TRUE),VLOOKUP($E56,'Status Thresholds'!$E:$AS,9,FALSE),IF(AND($S$3=TRUE,$S$1=TRUE,$S$4=FALSE),VLOOKUP($E56,'Status Thresholds'!$E:$AS,34,FALSE),IF(AND($S$3=TRUE,$S$4=FALSE),VLOOKUP($E56,'Status Thresholds'!$E:$AS,24,FALSE),IF(AND($S$3=TRUE,$S$1=TRUE,$S$4=TRUE),VLOOKUP($E56,'Status Thresholds'!$E:$AS,39,FALSE),IF(AND($S$3=TRUE,$S$4=TRUE),VLOOKUP($E56,'Status Thresholds'!$E:$AS,29,FALSE),""))))))))/IF(OR($Q$3=TRUE,AND($Q$2=TRUE,$Q$7=TRUE),AND($Q$3=TRUE,$Q$7=TRUE))=TRUE,'Shots and Status'!$F$5,IF((OR($Q$2,$Q$7)=TRUE),'Shots and Status'!$D$5,'Shots and Status'!$C$5)))),0),"-")</f>
        <v>-</v>
      </c>
      <c r="K56" s="36" t="str">
        <f>IFERROR(ROUNDUP(IF(AND($Q$1=FALSE,$S$3=FALSE),"-",IF(AND($Q$1=TRUE,$S$3=TRUE),"-",IF(AND($Q$1=TRUE,$S$1=TRUE,$S$4=FALSE),VLOOKUP($E56,'Status Thresholds'!$E:$AS,15,FALSE),IF(AND($Q$1=TRUE,$S$4=FALSE),VLOOKUP($E56,'Status Thresholds'!$E:$AS,5,FALSE), IF(AND($Q$1=TRUE,$S$1=TRUE,$S$4=TRUE),VLOOKUP($E56,'Status Thresholds'!$E:$AS,20,FALSE),IF(AND($Q$1=TRUE,$S$4=TRUE),VLOOKUP($E56,'Status Thresholds'!$E:$AS,10,FALSE),IF(AND($S$3=TRUE,$S$1=TRUE,$S$4=FALSE),VLOOKUP($E56,'Status Thresholds'!$E:$AS,35,FALSE),IF(AND($S$3=TRUE,$S$4=FALSE),VLOOKUP($E56,'Status Thresholds'!$E:$AS,25,FALSE),IF(AND($S$3=TRUE,$S$1=TRUE,$S$4=TRUE),VLOOKUP($E56,'Status Thresholds'!$E:$AS,40,FALSE),IF(AND($S$3=TRUE,$S$4=TRUE),VLOOKUP($E56,'Status Thresholds'!$E:$AS,30,FALSE),""))))))))/IF(OR($Q$3=TRUE,AND($Q$2=TRUE,$Q$7=TRUE),AND($Q$3=TRUE,$Q$7=TRUE))=TRUE,'Shots and Status'!$F$5,IF((OR($Q$2,$Q$7)=TRUE),'Shots and Status'!$D$5,'Shots and Status'!$C$5)))),0),"-")</f>
        <v>-</v>
      </c>
      <c r="L56" s="36" t="str">
        <f>IFERROR(IF(AND($Q$1=FALSE,$S$3=FALSE),"-",VLOOKUP($E56,'Status Thresholds'!$E:$AU,41,FALSE)),"-")</f>
        <v>-</v>
      </c>
      <c r="M56" s="36" t="str">
        <f>IFERROR(IF(AND($Q$1=FALSE,$S$3=FALSE),"-",VLOOKUP($E56,'Status Thresholds'!$E:$AU,42,FALSE)),"-")</f>
        <v>-</v>
      </c>
      <c r="N56" s="36" t="str">
        <f>IFERROR(IF(AND($Q$1=FALSE,$S$3=FALSE),"-",VLOOKUP($E56,'Status Thresholds'!$E:$AU,43,FALSE)),"-")</f>
        <v>-</v>
      </c>
    </row>
    <row r="57" spans="1:14" s="36" customFormat="1" x14ac:dyDescent="0.25">
      <c r="A57" s="46"/>
      <c r="B57" s="64" t="str">
        <f>VLOOKUP(C57,'Status Thresholds'!B:C,2,FALSE)</f>
        <v>MHGen</v>
      </c>
      <c r="C57" s="46" t="str">
        <f>IF(ISBLANK('KO Calc'!C53)=TRUE,"",'KO Calc'!C53)</f>
        <v>Amatsu</v>
      </c>
      <c r="D57" s="57" t="s">
        <v>22</v>
      </c>
      <c r="E57" s="62" t="str">
        <f t="shared" si="1"/>
        <v>AmatsuExhaust</v>
      </c>
      <c r="F57" s="36" t="s">
        <v>8</v>
      </c>
      <c r="G57" s="36" t="str">
        <f t="shared" si="2"/>
        <v>AmatsuExhaust lvl 2</v>
      </c>
      <c r="H57" s="36" t="str">
        <f>IFERROR(ROUNDUP(IF(AND($Q$1=FALSE,$S$3=FALSE),"-",IF(AND($Q$1=TRUE,$S$3=TRUE),"-",IF(AND($Q$1=TRUE,$S$1=TRUE,$S$4=FALSE),VLOOKUP($E57,'Status Thresholds'!$E:$AS,12,FALSE),IF(AND($Q$1=TRUE,$S$4=FALSE),VLOOKUP($E57,'Status Thresholds'!$E:$AS,2,FALSE), IF(AND($Q$1=TRUE,$S$1=TRUE,$S$4=TRUE),VLOOKUP($E57,'Status Thresholds'!$E:$AS,17,FALSE),IF(AND($Q$1=TRUE,$S$4=TRUE),VLOOKUP($E57,'Status Thresholds'!$E:$AS,7,FALSE),IF(AND($S$3=TRUE,$S$1=TRUE,$S$4=FALSE),VLOOKUP($E57,'Status Thresholds'!$E:$AS,32,FALSE),IF(AND($S$3=TRUE,$S$4=FALSE),VLOOKUP($E57,'Status Thresholds'!$E:$AS,22,FALSE),IF(AND($S$3=TRUE,$S$1=TRUE,$S$4=TRUE),VLOOKUP($E57,'Status Thresholds'!$E:$AS,37,FALSE),IF(AND($S$3=TRUE,$S$4=TRUE),VLOOKUP($E57,'Status Thresholds'!$E:$AS,27,FALSE),""))))))))/IF(OR($Q$3=TRUE,AND($Q$2=TRUE,$Q$7=TRUE),AND($Q$3=TRUE,$Q$7=TRUE))=TRUE,'Shots and Status'!$F$5,IF((OR($Q$2,$Q$7)=TRUE),'Shots and Status'!$D$5,'Shots and Status'!$C$5)))),0),"-")</f>
        <v>-</v>
      </c>
      <c r="I57" s="36" t="str">
        <f>IFERROR(ROUNDUP(IF(AND($Q$1=FALSE,$S$3=FALSE),"-",IF(AND($Q$1=TRUE,$S$3=TRUE),"-",IF(AND($Q$1=TRUE,$S$1=TRUE,$S$4=FALSE),VLOOKUP($E57,'Status Thresholds'!$E:$AS,13,FALSE),IF(AND($Q$1=TRUE,$S$4=FALSE),VLOOKUP($E57,'Status Thresholds'!$E:$AS,3,FALSE), IF(AND($Q$1=TRUE,$S$1=TRUE,$S$4=TRUE),VLOOKUP($E57,'Status Thresholds'!$E:$AS,18,FALSE),IF(AND($Q$1=TRUE,$S$4=TRUE),VLOOKUP($E57,'Status Thresholds'!$E:$AS,8,FALSE),IF(AND($S$3=TRUE,$S$1=TRUE,$S$4=FALSE),VLOOKUP($E57,'Status Thresholds'!$E:$AS,33,FALSE),IF(AND($S$3=TRUE,$S$4=FALSE),VLOOKUP($E57,'Status Thresholds'!$E:$AS,23,FALSE),IF(AND($S$3=TRUE,$S$1=TRUE,$S$4=TRUE),VLOOKUP($E57,'Status Thresholds'!$E:$AS,38,FALSE),IF(AND($S$3=TRUE,$S$4=TRUE),VLOOKUP($E57,'Status Thresholds'!$E:$AS,28,FALSE),""))))))))/IF(OR($Q$3=TRUE,AND($Q$2=TRUE,$Q$7=TRUE),AND($Q$3=TRUE,$Q$7=TRUE))=TRUE,'Shots and Status'!$F$5,IF((OR($Q$2,$Q$7)=TRUE),'Shots and Status'!$D$5,'Shots and Status'!$C$5)))),0),"-")</f>
        <v>-</v>
      </c>
      <c r="J57" s="36" t="str">
        <f>IFERROR(ROUNDUP(IF(AND($Q$1=FALSE,$S$3=FALSE),"-",IF(AND($Q$1=TRUE,$S$3=TRUE),"-",IF(AND($Q$1=TRUE,$S$1=TRUE,$S$4=FALSE),VLOOKUP($E57,'Status Thresholds'!$E:$AS,14,FALSE),IF(AND($Q$1=TRUE,$S$4=FALSE),VLOOKUP($E57,'Status Thresholds'!$E:$AS,4,FALSE), IF(AND($Q$1=TRUE,$S$1=TRUE,$S$4=TRUE),VLOOKUP($E57,'Status Thresholds'!$E:$AS,19,FALSE),IF(AND($Q$1=TRUE,$S$4=TRUE),VLOOKUP($E57,'Status Thresholds'!$E:$AS,9,FALSE),IF(AND($S$3=TRUE,$S$1=TRUE,$S$4=FALSE),VLOOKUP($E57,'Status Thresholds'!$E:$AS,34,FALSE),IF(AND($S$3=TRUE,$S$4=FALSE),VLOOKUP($E57,'Status Thresholds'!$E:$AS,24,FALSE),IF(AND($S$3=TRUE,$S$1=TRUE,$S$4=TRUE),VLOOKUP($E57,'Status Thresholds'!$E:$AS,39,FALSE),IF(AND($S$3=TRUE,$S$4=TRUE),VLOOKUP($E57,'Status Thresholds'!$E:$AS,29,FALSE),""))))))))/IF(OR($Q$3=TRUE,AND($Q$2=TRUE,$Q$7=TRUE),AND($Q$3=TRUE,$Q$7=TRUE))=TRUE,'Shots and Status'!$F$5,IF((OR($Q$2,$Q$7)=TRUE),'Shots and Status'!$D$5,'Shots and Status'!$C$5)))),0),"-")</f>
        <v>-</v>
      </c>
      <c r="K57" s="36" t="str">
        <f>IFERROR(ROUNDUP(IF(AND($Q$1=FALSE,$S$3=FALSE),"-",IF(AND($Q$1=TRUE,$S$3=TRUE),"-",IF(AND($Q$1=TRUE,$S$1=TRUE,$S$4=FALSE),VLOOKUP($E57,'Status Thresholds'!$E:$AS,15,FALSE),IF(AND($Q$1=TRUE,$S$4=FALSE),VLOOKUP($E57,'Status Thresholds'!$E:$AS,5,FALSE), IF(AND($Q$1=TRUE,$S$1=TRUE,$S$4=TRUE),VLOOKUP($E57,'Status Thresholds'!$E:$AS,20,FALSE),IF(AND($Q$1=TRUE,$S$4=TRUE),VLOOKUP($E57,'Status Thresholds'!$E:$AS,10,FALSE),IF(AND($S$3=TRUE,$S$1=TRUE,$S$4=FALSE),VLOOKUP($E57,'Status Thresholds'!$E:$AS,35,FALSE),IF(AND($S$3=TRUE,$S$4=FALSE),VLOOKUP($E57,'Status Thresholds'!$E:$AS,25,FALSE),IF(AND($S$3=TRUE,$S$1=TRUE,$S$4=TRUE),VLOOKUP($E57,'Status Thresholds'!$E:$AS,40,FALSE),IF(AND($S$3=TRUE,$S$4=TRUE),VLOOKUP($E57,'Status Thresholds'!$E:$AS,30,FALSE),""))))))))/IF(OR($Q$3=TRUE,AND($Q$2=TRUE,$Q$7=TRUE),AND($Q$3=TRUE,$Q$7=TRUE))=TRUE,'Shots and Status'!$F$5,IF((OR($Q$2,$Q$7)=TRUE),'Shots and Status'!$D$5,'Shots and Status'!$C$5)))),0),"-")</f>
        <v>-</v>
      </c>
      <c r="L57" s="36" t="str">
        <f>IFERROR(IF(AND($Q$1=FALSE,$S$3=FALSE),"-",VLOOKUP($E57,'Status Thresholds'!$E:$AU,41,FALSE)),"-")</f>
        <v>-</v>
      </c>
      <c r="M57" s="36" t="str">
        <f>IFERROR(IF(AND($Q$1=FALSE,$S$3=FALSE),"-",VLOOKUP($E57,'Status Thresholds'!$E:$AU,42,FALSE)),"-")</f>
        <v>-</v>
      </c>
      <c r="N57" s="36" t="str">
        <f>IFERROR(IF(AND($Q$1=FALSE,$S$3=FALSE),"-",VLOOKUP($E57,'Status Thresholds'!$E:$AU,43,FALSE)),"-")</f>
        <v>-</v>
      </c>
    </row>
    <row r="58" spans="1:14" s="36" customFormat="1" x14ac:dyDescent="0.25">
      <c r="A58" s="46"/>
      <c r="B58" s="64" t="str">
        <f>VLOOKUP(C58,'Status Thresholds'!B:C,2,FALSE)</f>
        <v>MHGen</v>
      </c>
      <c r="C58" s="46" t="str">
        <f>IF(ISBLANK('KO Calc'!C54)=TRUE,"",'KO Calc'!C54)</f>
        <v>Amatsu</v>
      </c>
      <c r="D58" s="67" t="s">
        <v>14</v>
      </c>
      <c r="E58" s="62" t="str">
        <f t="shared" si="1"/>
        <v>AmatsuKO</v>
      </c>
      <c r="F58" s="36" t="s">
        <v>21</v>
      </c>
      <c r="G58" s="36" t="str">
        <f t="shared" si="2"/>
        <v>AmatsuTriblast</v>
      </c>
      <c r="H58" s="36" t="str">
        <f>IF(AND($Q$1=FALSE,$S$3=FALSE),"-",IF(AND($Q$1=TRUE,$S$3=TRUE),"-",IF(AND($Q$1=FALSE,$S$3=FALSE),"-",IF(AND($Q$1=TRUE,$S$1=TRUE,$S$4=FALSE)=TRUE,IF(OR($Q$4=TRUE,$Q$5=TRUE,$S$2=TRUE),VLOOKUP($G58,'KO Calc'!$H:$AW,12,FALSE),VLOOKUP($G58,'KO Calc'!$H55:$AW55,12,FALSE)),IF(AND($Q$1=TRUE,$S$4=FALSE),IF(OR($Q$4=TRUE,$Q$5=TRUE,$S$2=TRUE),VLOOKUP($G58,'KO Calc'!$H:$AW,2,FALSE),VLOOKUP($G58,'KO Calc'!$H55:$AW55,2,FALSE)),
IF(AND($Q$1=TRUE,$S$1=TRUE,$S$4=TRUE)=TRUE,IF(OR($Q$4=TRUE,$Q$5=TRUE,$S$2=TRUE),VLOOKUP($G58,'KO Calc'!$H:$AW,17,FALSE),VLOOKUP($G58,'KO Calc'!$H55:$AW55,17,FALSE)),IF(AND($Q$1=TRUE,$S$4=TRUE),IF(OR($Q$4=TRUE,$Q$5=TRUE,$S$2=TRUE),VLOOKUP($G58,'KO Calc'!$H:$AW,7,FALSE),VLOOKUP($G58,'KO Calc'!$H55:$AW55,7,FALSE)),
IF(AND($S$3=TRUE,$S$1=TRUE,$S$4=FALSE)=TRUE,IF(OR($Q$4=TRUE,$Q$5=TRUE,$S$2=TRUE),VLOOKUP($G58,'KO Calc'!$H:$AW,32,FALSE),VLOOKUP($G58,'KO Calc'!$H55:$AW55,32,FALSE)),IF(AND($S$3=TRUE,$S$4=FALSE),IF(OR($Q$4=TRUE,$Q$5=TRUE,$S$2=TRUE),VLOOKUP($G58,'KO Calc'!$H:$AW,22,FALSE),VLOOKUP($G58,'KO Calc'!$H55:$AW55,22,FALSE)),
IF(AND($S$3=TRUE,$S$1=TRUE,$S$4=TRUE)=TRUE,IF(OR($Q$4=TRUE,$Q$5=TRUE,$S$2=TRUE),VLOOKUP($G58,'KO Calc'!$H:$AW,37,FALSE),VLOOKUP($G58,'KO Calc'!$H55:$AW55,37,FALSE)),IF(AND($S$3=TRUE,$S$4=TRUE),IF(OR($Q$4=TRUE,$Q$5=TRUE,$S$2=TRUE),VLOOKUP($G58,'KO Calc'!$H:$AW,27,FALSE),VLOOKUP($G58,'KO Calc'!$H55:$AW55,27,FALSE)))))))))))))</f>
        <v>-</v>
      </c>
      <c r="I58" s="36" t="str">
        <f>IF(AND($Q$1=FALSE,$S$3=FALSE),"-",IF(AND($Q$1=TRUE,$S$3=TRUE),"-",IF(AND($Q$1=FALSE,$S$3=FALSE),"-",IF(AND($Q$1=TRUE,$S$1=TRUE,$S$4=FALSE)=TRUE,IF(OR($Q$4=TRUE,$Q$5=TRUE,$S$2=TRUE),VLOOKUP($G58,'KO Calc'!$H:$AW,13,FALSE),VLOOKUP($G58,'KO Calc'!$H55:$AW55,13,FALSE)),IF(AND($Q$1=TRUE,$S$4=FALSE),IF(OR($Q$4=TRUE,$Q$5=TRUE,$S$2=TRUE),VLOOKUP($G58,'KO Calc'!$H:$AW,3,FALSE),VLOOKUP($G58,'KO Calc'!$H55:$AW55,3,FALSE)),
IF(AND($Q$1=TRUE,$S$1=TRUE,$S$4=TRUE)=TRUE,IF(OR($Q$4=TRUE,$Q$5=TRUE,$S$2=TRUE),VLOOKUP($G58,'KO Calc'!$H:$AW,18,FALSE),VLOOKUP($G58,'KO Calc'!$H55:$AW55,18,FALSE)),IF(AND($Q$1=TRUE,$S$4=TRUE),IF(OR($Q$4=TRUE,$Q$5=TRUE,$S$2=TRUE),VLOOKUP($G58,'KO Calc'!$H:$AW,8,FALSE),VLOOKUP($G58,'KO Calc'!$H55:$AW55,8,FALSE)),
IF(AND($S$3=TRUE,$S$1=TRUE,$S$4=FALSE)=TRUE,IF(OR($Q$4=TRUE,$Q$5=TRUE,$S$2=TRUE),VLOOKUP($G58,'KO Calc'!$H:$AW,33,FALSE),VLOOKUP($G58,'KO Calc'!$H55:$AW55,33,FALSE)),IF(AND($S$3=TRUE,$S$4=FALSE),IF(OR($Q$4=TRUE,$Q$5=TRUE,$S$2=TRUE),VLOOKUP($G58,'KO Calc'!$H:$AW,23,FALSE),VLOOKUP($G58,'KO Calc'!$H55:$AW55,23,FALSE)),
IF(AND($S$3=TRUE,$S$1=TRUE,$S$4=TRUE)=TRUE,IF(OR($Q$4=TRUE,$Q$5=TRUE,$S$2=TRUE),VLOOKUP($G58,'KO Calc'!$H:$AW,38,FALSE),VLOOKUP($G58,'KO Calc'!$H55:$AW55,38,FALSE)),IF(AND($S$3=TRUE,$S$4=TRUE),IF(OR($Q$4=TRUE,$Q$5=TRUE,$S$2=TRUE),VLOOKUP($G58,'KO Calc'!$H:$AW,28,FALSE),VLOOKUP($G58,'KO Calc'!$H55:$AW55,28,FALSE)))))))))))))</f>
        <v>-</v>
      </c>
      <c r="J58" s="36" t="str">
        <f>IF(AND($Q$1=FALSE,$S$3=FALSE),"-",IF(AND($Q$1=TRUE,$S$3=TRUE),"-",IF(AND($Q$1=FALSE,$S$3=FALSE),"-",IF(AND($Q$1=TRUE,$S$1=TRUE,$S$4=FALSE)=TRUE,IF(OR($Q$4=TRUE,$Q$5=TRUE,$S$2=TRUE),VLOOKUP($G58,'KO Calc'!$H:$AW,FALSE),VLOOKUP($G58,'KO Calc'!$H55:$AW55,14,FALSE)),IF(AND($Q$1=TRUE,$S$4=FALSE),IF(OR($Q$4=TRUE,$Q$5=TRUE,$S$2=TRUE),VLOOKUP($G58,'KO Calc'!$H:$AW,4,FALSE),VLOOKUP($G58,'KO Calc'!$H55:$AW55,4,FALSE)),
IF(AND($Q$1=TRUE,$S$1=TRUE,$S$4=TRUE)=TRUE,IF(OR($Q$4=TRUE,$Q$5=TRUE,$S$2=TRUE),VLOOKUP($G58,'KO Calc'!$H:$AW,19,FALSE),VLOOKUP($G58,'KO Calc'!$H55:$AW55,19,FALSE)),IF(AND($Q$1=TRUE,$S$4=TRUE),IF(OR($Q$4=TRUE,$Q$5=TRUE,$S$2=TRUE),VLOOKUP($G58,'KO Calc'!$H:$AW,9,FALSE),VLOOKUP($G58,'KO Calc'!$H55:$AW55,9,FALSE)),
IF(AND($S$3=TRUE,$S$1=TRUE,$S$4=FALSE)=TRUE,IF(OR($Q$4=TRUE,$Q$5=TRUE,$S$2=TRUE),VLOOKUP($G58,'KO Calc'!$H:$AW,34,FALSE),VLOOKUP($G58,'KO Calc'!$H55:$AW55,34,FALSE)),IF(AND($S$3=TRUE,$S$4=FALSE),IF(OR($Q$4=TRUE,$Q$5=TRUE,$S$2=TRUE),VLOOKUP($G58,'KO Calc'!$H:$AW,24,FALSE),VLOOKUP($G58,'KO Calc'!$H55:$AW55,24,FALSE)),
IF(AND($S$3=TRUE,$S$1=TRUE,$S$4=TRUE)=TRUE,IF(OR($Q$4=TRUE,$Q$5=TRUE,$S$2=TRUE),VLOOKUP($G58,'KO Calc'!$H:$AW,39,FALSE),VLOOKUP($G58,'KO Calc'!$H55:$AW55,39,FALSE)),IF(AND($S$3=TRUE,$S$4=TRUE),IF(OR($Q$4=TRUE,$Q$5=TRUE,$S$2=TRUE),VLOOKUP($G58,'KO Calc'!$H:$AW,29,FALSE),VLOOKUP($G58,'KO Calc'!$H55:$AW55,29,FALSE)))))))))))))</f>
        <v>-</v>
      </c>
      <c r="K58" s="36" t="str">
        <f>IF(AND($Q$1=FALSE,$S$3=FALSE),"-",IF(AND($Q$1=TRUE,$S$3=TRUE),"-",IF(AND($Q$1=FALSE,$S$3=FALSE),"-",IF(AND($Q$1=TRUE,$S$1=TRUE,$S$4=FALSE)=TRUE,IF(OR($Q$4=TRUE,$Q$5=TRUE,$S$2=TRUE),VLOOKUP($G58,'KO Calc'!$H:$AW,15,FALSE),VLOOKUP($G58,'KO Calc'!$H55:$AW55,15,FALSE)),IF(AND($Q$1=TRUE,$S$4=FALSE),IF(OR($Q$4=TRUE,$Q$5=TRUE,$S$2=TRUE),VLOOKUP($G58,'KO Calc'!$H:$AW,5,FALSE),VLOOKUP($G58,'KO Calc'!$H55:$AW55,5,FALSE)),
IF(AND($Q$1=TRUE,$S$1=TRUE,$S$4=TRUE)=TRUE,IF(OR($Q$4=TRUE,$Q$5=TRUE,$S$2=TRUE),VLOOKUP($G58,'KO Calc'!$H:$AW,20,FALSE),VLOOKUP($G58,'KO Calc'!$H55:$AW55,20,FALSE)),IF(AND($Q$1=TRUE,$S$4=TRUE),IF(OR($Q$4=TRUE,$Q$5=TRUE,$S$2=TRUE),VLOOKUP($G58,'KO Calc'!$H:$AW,10,FALSE),VLOOKUP($G58,'KO Calc'!$H55:$AW55,10,FALSE)),
IF(AND($S$3=TRUE,$S$1=TRUE,$S$4=FALSE)=TRUE,IF(OR($Q$4=TRUE,$Q$5=TRUE,$S$2=TRUE),VLOOKUP($G58,'KO Calc'!$H:$AW,35,FALSE),VLOOKUP($G58,'KO Calc'!$H55:$AW55,35,FALSE)),IF(AND($S$3=TRUE,$S$4=FALSE),IF(OR($Q$4=TRUE,$Q$5=TRUE,$S$2=TRUE),VLOOKUP($G58,'KO Calc'!$H:$AW,25,FALSE),VLOOKUP($G58,'KO Calc'!$H55:$AW55,25,FALSE)),
IF(AND($S$3=TRUE,$S$1=TRUE,$S$4=TRUE)=TRUE,IF(OR($Q$4=TRUE,$Q$5=TRUE,$S$2=TRUE),VLOOKUP($G58,'KO Calc'!$H:$AW,40,FALSE),VLOOKUP($G58,'KO Calc'!$H55:$AW55,40,FALSE)),IF(AND($S$3=TRUE,$S$4=TRUE),IF(OR($Q$4=TRUE,$Q$5=TRUE,$S$2=TRUE),VLOOKUP($G58,'KO Calc'!$H:$AW,30,FALSE),VLOOKUP($G58,'KO Calc'!$H55:$AW55,30,FALSE)))))))))))))</f>
        <v>-</v>
      </c>
      <c r="L58" s="36" t="str">
        <f>IFERROR(IF(AND($Q$1=FALSE,$S$3=FALSE),"-",VLOOKUP($E58,'Status Thresholds'!$E:$AU,41,FALSE)),"-")</f>
        <v>-</v>
      </c>
      <c r="M58" s="36" t="str">
        <f>IFERROR(IF(AND($Q$1=FALSE,$S$3=FALSE),"-",VLOOKUP($E58,'Status Thresholds'!$E:$AU,42,FALSE)),"-")</f>
        <v>-</v>
      </c>
      <c r="N58" s="36" t="str">
        <f>IFERROR(IF(AND($Q$1=FALSE,$S$3=FALSE),"-",VLOOKUP($E58,'Status Thresholds'!$E:$AU,43,FALSE)),"-")</f>
        <v>-</v>
      </c>
    </row>
    <row r="59" spans="1:14" x14ac:dyDescent="0.25">
      <c r="B59" s="64" t="str">
        <f>VLOOKUP(C59,'Status Thresholds'!B:C,2,FALSE)</f>
        <v>MHGen</v>
      </c>
      <c r="C59" s="46" t="str">
        <f>IF(ISBLANK('KO Calc'!C55)=TRUE,"",'KO Calc'!C55)</f>
        <v>Amatsu</v>
      </c>
      <c r="D59" s="78" t="s">
        <v>207</v>
      </c>
      <c r="E59" s="62" t="str">
        <f t="shared" si="1"/>
        <v>AmatsuShock Trap</v>
      </c>
      <c r="F59" t="s">
        <v>13</v>
      </c>
      <c r="G59" s="36" t="str">
        <f t="shared" si="2"/>
        <v>AmatsuCrag 3</v>
      </c>
      <c r="H59" s="36" t="str">
        <f>IF(AND($Q$1=FALSE,$S$3=FALSE),"-",IF(AND($Q$1=TRUE,$S$3=TRUE),"-",IF(AND($Q$1=FALSE,$S$3=FALSE),"-",IF(AND($Q$1=TRUE,$S$1=TRUE,$S$4=FALSE)=TRUE,IF(OR($Q$4=TRUE,$Q$5=TRUE,$S$2=TRUE),VLOOKUP($G59,'KO Calc'!$H:$AW,12,FALSE),VLOOKUP($G59,'KO Calc'!$H56:$AW56,12,FALSE)),IF(AND($Q$1=TRUE,$S$4=FALSE),IF(OR($Q$4=TRUE,$Q$5=TRUE,$S$2=TRUE),VLOOKUP($G59,'KO Calc'!$H:$AW,2,FALSE),VLOOKUP($G59,'KO Calc'!$H56:$AW56,2,FALSE)),
IF(AND($Q$1=TRUE,$S$1=TRUE,$S$4=TRUE)=TRUE,IF(OR($Q$4=TRUE,$Q$5=TRUE,$S$2=TRUE),VLOOKUP($G59,'KO Calc'!$H:$AW,17,FALSE),VLOOKUP($G59,'KO Calc'!$H56:$AW56,17,FALSE)),IF(AND($Q$1=TRUE,$S$4=TRUE),IF(OR($Q$4=TRUE,$Q$5=TRUE,$S$2=TRUE),VLOOKUP($G59,'KO Calc'!$H:$AW,7,FALSE),VLOOKUP($G59,'KO Calc'!$H56:$AW56,7,FALSE)),
IF(AND($S$3=TRUE,$S$1=TRUE,$S$4=FALSE)=TRUE,IF(OR($Q$4=TRUE,$Q$5=TRUE,$S$2=TRUE),VLOOKUP($G59,'KO Calc'!$H:$AW,32,FALSE),VLOOKUP($G59,'KO Calc'!$H56:$AW56,32,FALSE)),IF(AND($S$3=TRUE,$S$4=FALSE),IF(OR($Q$4=TRUE,$Q$5=TRUE,$S$2=TRUE),VLOOKUP($G59,'KO Calc'!$H:$AW,22,FALSE),VLOOKUP($G59,'KO Calc'!$H56:$AW56,22,FALSE)),
IF(AND($S$3=TRUE,$S$1=TRUE,$S$4=TRUE)=TRUE,IF(OR($Q$4=TRUE,$Q$5=TRUE,$S$2=TRUE),VLOOKUP($G59,'KO Calc'!$H:$AW,37,FALSE),VLOOKUP($G59,'KO Calc'!$H56:$AW56,37,FALSE)),IF(AND($S$3=TRUE,$S$4=TRUE),IF(OR($Q$4=TRUE,$Q$5=TRUE,$S$2=TRUE),VLOOKUP($G59,'KO Calc'!$H:$AW,27,FALSE),VLOOKUP($G59,'KO Calc'!$H56:$AW56,27,FALSE)))))))))))))</f>
        <v>-</v>
      </c>
      <c r="I59" s="36" t="str">
        <f>IF(AND($Q$1=FALSE,$S$3=FALSE),"-",IF(AND($Q$1=TRUE,$S$3=TRUE),"-",IF(AND($Q$1=FALSE,$S$3=FALSE),"-",IF(AND($Q$1=TRUE,$S$1=TRUE,$S$4=FALSE)=TRUE,IF(OR($Q$4=TRUE,$Q$5=TRUE,$S$2=TRUE),VLOOKUP($G59,'KO Calc'!$H:$AW,13,FALSE),VLOOKUP($G59,'KO Calc'!$H56:$AW56,13,FALSE)),IF(AND($Q$1=TRUE,$S$4=FALSE),IF(OR($Q$4=TRUE,$Q$5=TRUE,$S$2=TRUE),VLOOKUP($G59,'KO Calc'!$H:$AW,3,FALSE),VLOOKUP($G59,'KO Calc'!$H56:$AW56,3,FALSE)),
IF(AND($Q$1=TRUE,$S$1=TRUE,$S$4=TRUE)=TRUE,IF(OR($Q$4=TRUE,$Q$5=TRUE,$S$2=TRUE),VLOOKUP($G59,'KO Calc'!$H:$AW,18,FALSE),VLOOKUP($G59,'KO Calc'!$H56:$AW56,18,FALSE)),IF(AND($Q$1=TRUE,$S$4=TRUE),IF(OR($Q$4=TRUE,$Q$5=TRUE,$S$2=TRUE),VLOOKUP($G59,'KO Calc'!$H:$AW,8,FALSE),VLOOKUP($G59,'KO Calc'!$H56:$AW56,8,FALSE)),
IF(AND($S$3=TRUE,$S$1=TRUE,$S$4=FALSE)=TRUE,IF(OR($Q$4=TRUE,$Q$5=TRUE,$S$2=TRUE),VLOOKUP($G59,'KO Calc'!$H:$AW,33,FALSE),VLOOKUP($G59,'KO Calc'!$H56:$AW56,33,FALSE)),IF(AND($S$3=TRUE,$S$4=FALSE),IF(OR($Q$4=TRUE,$Q$5=TRUE,$S$2=TRUE),VLOOKUP($G59,'KO Calc'!$H:$AW,23,FALSE),VLOOKUP($G59,'KO Calc'!$H56:$AW56,23,FALSE)),
IF(AND($S$3=TRUE,$S$1=TRUE,$S$4=TRUE)=TRUE,IF(OR($Q$4=TRUE,$Q$5=TRUE,$S$2=TRUE),VLOOKUP($G59,'KO Calc'!$H:$AW,38,FALSE),VLOOKUP($G59,'KO Calc'!$H56:$AW56,38,FALSE)),IF(AND($S$3=TRUE,$S$4=TRUE),IF(OR($Q$4=TRUE,$Q$5=TRUE,$S$2=TRUE),VLOOKUP($G59,'KO Calc'!$H:$AW,28,FALSE),VLOOKUP($G59,'KO Calc'!$H56:$AW56,28,FALSE)))))))))))))</f>
        <v>-</v>
      </c>
      <c r="J59" s="36" t="str">
        <f>IF(AND($Q$1=FALSE,$S$3=FALSE),"-",IF(AND($Q$1=TRUE,$S$3=TRUE),"-",IF(AND($Q$1=FALSE,$S$3=FALSE),"-",IF(AND($Q$1=TRUE,$S$1=TRUE,$S$4=FALSE)=TRUE,IF(OR($Q$4=TRUE,$Q$5=TRUE,$S$2=TRUE),VLOOKUP($G59,'KO Calc'!$H:$AW,FALSE),VLOOKUP($G59,'KO Calc'!$H56:$AW56,14,FALSE)),IF(AND($Q$1=TRUE,$S$4=FALSE),IF(OR($Q$4=TRUE,$Q$5=TRUE,$S$2=TRUE),VLOOKUP($G59,'KO Calc'!$H:$AW,4,FALSE),VLOOKUP($G59,'KO Calc'!$H56:$AW56,4,FALSE)),
IF(AND($Q$1=TRUE,$S$1=TRUE,$S$4=TRUE)=TRUE,IF(OR($Q$4=TRUE,$Q$5=TRUE,$S$2=TRUE),VLOOKUP($G59,'KO Calc'!$H:$AW,19,FALSE),VLOOKUP($G59,'KO Calc'!$H56:$AW56,19,FALSE)),IF(AND($Q$1=TRUE,$S$4=TRUE),IF(OR($Q$4=TRUE,$Q$5=TRUE,$S$2=TRUE),VLOOKUP($G59,'KO Calc'!$H:$AW,9,FALSE),VLOOKUP($G59,'KO Calc'!$H56:$AW56,9,FALSE)),
IF(AND($S$3=TRUE,$S$1=TRUE,$S$4=FALSE)=TRUE,IF(OR($Q$4=TRUE,$Q$5=TRUE,$S$2=TRUE),VLOOKUP($G59,'KO Calc'!$H:$AW,34,FALSE),VLOOKUP($G59,'KO Calc'!$H56:$AW56,34,FALSE)),IF(AND($S$3=TRUE,$S$4=FALSE),IF(OR($Q$4=TRUE,$Q$5=TRUE,$S$2=TRUE),VLOOKUP($G59,'KO Calc'!$H:$AW,24,FALSE),VLOOKUP($G59,'KO Calc'!$H56:$AW56,24,FALSE)),
IF(AND($S$3=TRUE,$S$1=TRUE,$S$4=TRUE)=TRUE,IF(OR($Q$4=TRUE,$Q$5=TRUE,$S$2=TRUE),VLOOKUP($G59,'KO Calc'!$H:$AW,39,FALSE),VLOOKUP($G59,'KO Calc'!$H56:$AW56,39,FALSE)),IF(AND($S$3=TRUE,$S$4=TRUE),IF(OR($Q$4=TRUE,$Q$5=TRUE,$S$2=TRUE),VLOOKUP($G59,'KO Calc'!$H:$AW,29,FALSE),VLOOKUP($G59,'KO Calc'!$H56:$AW56,29,FALSE)))))))))))))</f>
        <v>-</v>
      </c>
      <c r="K59" s="36" t="str">
        <f>IF(AND($Q$1=FALSE,$S$3=FALSE),"-",IF(AND($Q$1=TRUE,$S$3=TRUE),"-",IF(AND($Q$1=FALSE,$S$3=FALSE),"-",IF(AND($Q$1=TRUE,$S$1=TRUE,$S$4=FALSE)=TRUE,IF(OR($Q$4=TRUE,$Q$5=TRUE,$S$2=TRUE),VLOOKUP($G59,'KO Calc'!$H:$AW,15,FALSE),VLOOKUP($G59,'KO Calc'!$H56:$AW56,15,FALSE)),IF(AND($Q$1=TRUE,$S$4=FALSE),IF(OR($Q$4=TRUE,$Q$5=TRUE,$S$2=TRUE),VLOOKUP($G59,'KO Calc'!$H:$AW,5,FALSE),VLOOKUP($G59,'KO Calc'!$H56:$AW56,5,FALSE)),
IF(AND($Q$1=TRUE,$S$1=TRUE,$S$4=TRUE)=TRUE,IF(OR($Q$4=TRUE,$Q$5=TRUE,$S$2=TRUE),VLOOKUP($G59,'KO Calc'!$H:$AW,20,FALSE),VLOOKUP($G59,'KO Calc'!$H56:$AW56,20,FALSE)),IF(AND($Q$1=TRUE,$S$4=TRUE),IF(OR($Q$4=TRUE,$Q$5=TRUE,$S$2=TRUE),VLOOKUP($G59,'KO Calc'!$H:$AW,10,FALSE),VLOOKUP($G59,'KO Calc'!$H56:$AW56,10,FALSE)),
IF(AND($S$3=TRUE,$S$1=TRUE,$S$4=FALSE)=TRUE,IF(OR($Q$4=TRUE,$Q$5=TRUE,$S$2=TRUE),VLOOKUP($G59,'KO Calc'!$H:$AW,35,FALSE),VLOOKUP($G59,'KO Calc'!$H56:$AW56,35,FALSE)),IF(AND($S$3=TRUE,$S$4=FALSE),IF(OR($Q$4=TRUE,$Q$5=TRUE,$S$2=TRUE),VLOOKUP($G59,'KO Calc'!$H:$AW,25,FALSE),VLOOKUP($G59,'KO Calc'!$H56:$AW56,25,FALSE)),
IF(AND($S$3=TRUE,$S$1=TRUE,$S$4=TRUE)=TRUE,IF(OR($Q$4=TRUE,$Q$5=TRUE,$S$2=TRUE),VLOOKUP($G59,'KO Calc'!$H:$AW,40,FALSE),VLOOKUP($G59,'KO Calc'!$H56:$AW56,40,FALSE)),IF(AND($S$3=TRUE,$S$4=TRUE),IF(OR($Q$4=TRUE,$Q$5=TRUE,$S$2=TRUE),VLOOKUP($G59,'KO Calc'!$H:$AW,30,FALSE),VLOOKUP($G59,'KO Calc'!$H56:$AW56,30,FALSE)))))))))))))</f>
        <v>-</v>
      </c>
      <c r="L59" s="36" t="str">
        <f>IFERROR(IF(AND($Q$1=FALSE,$S$3=FALSE),"-",VLOOKUP($E59,'Status Thresholds'!$E:$AU,43,FALSE)),"-")</f>
        <v>-</v>
      </c>
      <c r="M59" s="36" t="str">
        <f>IFERROR(IF(AND($Q$1=FALSE,$S$3=FALSE),"-",VLOOKUP($E59,'Status Thresholds'!$E:$AU,41,FALSE)),"-")</f>
        <v>-</v>
      </c>
      <c r="N59" s="36" t="str">
        <f>IFERROR(IF(AND($Q$1=FALSE,$S$3=FALSE),"-",VLOOKUP($E59,'Status Thresholds'!$E:$AU,42,FALSE)),"-")</f>
        <v>-</v>
      </c>
    </row>
    <row r="60" spans="1:14" x14ac:dyDescent="0.25">
      <c r="B60" s="64" t="str">
        <f>VLOOKUP(C60,'Status Thresholds'!B:C,2,FALSE)</f>
        <v>MHGen</v>
      </c>
      <c r="C60" s="46" t="str">
        <f>IF(ISBLANK('KO Calc'!C56)=TRUE,"",'KO Calc'!C56)</f>
        <v>Amatsu</v>
      </c>
      <c r="D60" s="78" t="s">
        <v>213</v>
      </c>
      <c r="E60" s="62" t="str">
        <f t="shared" si="1"/>
        <v>AmatsuPitfall Trap</v>
      </c>
      <c r="F60" t="s">
        <v>12</v>
      </c>
      <c r="G60" s="36" t="str">
        <f t="shared" si="2"/>
        <v>AmatsuCrag 2</v>
      </c>
      <c r="H60" s="36" t="str">
        <f>IF(AND($Q$1=FALSE,$S$3=FALSE),"-",IF(AND($Q$1=TRUE,$S$3=TRUE),"-",IF(AND($Q$1=FALSE,$S$3=FALSE),"-",IF(AND($Q$1=TRUE,$S$1=TRUE,$S$4=FALSE)=TRUE,IF(OR($Q$4=TRUE,$Q$5=TRUE,$S$2=TRUE),VLOOKUP($G60,'KO Calc'!$H:$AW,12,FALSE),VLOOKUP($G60,'KO Calc'!$H57:$AW57,12,FALSE)),IF(AND($Q$1=TRUE,$S$4=FALSE),IF(OR($Q$4=TRUE,$Q$5=TRUE,$S$2=TRUE),VLOOKUP($G60,'KO Calc'!$H:$AW,2,FALSE),VLOOKUP($G60,'KO Calc'!$H57:$AW57,2,FALSE)),
IF(AND($Q$1=TRUE,$S$1=TRUE,$S$4=TRUE)=TRUE,IF(OR($Q$4=TRUE,$Q$5=TRUE,$S$2=TRUE),VLOOKUP($G60,'KO Calc'!$H:$AW,17,FALSE),VLOOKUP($G60,'KO Calc'!$H57:$AW57,17,FALSE)),IF(AND($Q$1=TRUE,$S$4=TRUE),IF(OR($Q$4=TRUE,$Q$5=TRUE,$S$2=TRUE),VLOOKUP($G60,'KO Calc'!$H:$AW,7,FALSE),VLOOKUP($G60,'KO Calc'!$H57:$AW57,7,FALSE)),
IF(AND($S$3=TRUE,$S$1=TRUE,$S$4=FALSE)=TRUE,IF(OR($Q$4=TRUE,$Q$5=TRUE,$S$2=TRUE),VLOOKUP($G60,'KO Calc'!$H:$AW,32,FALSE),VLOOKUP($G60,'KO Calc'!$H57:$AW57,32,FALSE)),IF(AND($S$3=TRUE,$S$4=FALSE),IF(OR($Q$4=TRUE,$Q$5=TRUE,$S$2=TRUE),VLOOKUP($G60,'KO Calc'!$H:$AW,22,FALSE),VLOOKUP($G60,'KO Calc'!$H57:$AW57,22,FALSE)),
IF(AND($S$3=TRUE,$S$1=TRUE,$S$4=TRUE)=TRUE,IF(OR($Q$4=TRUE,$Q$5=TRUE,$S$2=TRUE),VLOOKUP($G60,'KO Calc'!$H:$AW,37,FALSE),VLOOKUP($G60,'KO Calc'!$H57:$AW57,37,FALSE)),IF(AND($S$3=TRUE,$S$4=TRUE),IF(OR($Q$4=TRUE,$Q$5=TRUE,$S$2=TRUE),VLOOKUP($G60,'KO Calc'!$H:$AW,27,FALSE),VLOOKUP($G60,'KO Calc'!$H57:$AW57,27,FALSE)))))))))))))</f>
        <v>-</v>
      </c>
      <c r="I60" s="36" t="str">
        <f>IF(AND($Q$1=FALSE,$S$3=FALSE),"-",IF(AND($Q$1=TRUE,$S$3=TRUE),"-",IF(AND($Q$1=FALSE,$S$3=FALSE),"-",IF(AND($Q$1=TRUE,$S$1=TRUE,$S$4=FALSE)=TRUE,IF(OR($Q$4=TRUE,$Q$5=TRUE,$S$2=TRUE),VLOOKUP($G60,'KO Calc'!$H:$AW,13,FALSE),VLOOKUP($G60,'KO Calc'!$H57:$AW57,13,FALSE)),IF(AND($Q$1=TRUE,$S$4=FALSE),IF(OR($Q$4=TRUE,$Q$5=TRUE,$S$2=TRUE),VLOOKUP($G60,'KO Calc'!$H:$AW,3,FALSE),VLOOKUP($G60,'KO Calc'!$H57:$AW57,3,FALSE)),
IF(AND($Q$1=TRUE,$S$1=TRUE,$S$4=TRUE)=TRUE,IF(OR($Q$4=TRUE,$Q$5=TRUE,$S$2=TRUE),VLOOKUP($G60,'KO Calc'!$H:$AW,18,FALSE),VLOOKUP($G60,'KO Calc'!$H57:$AW57,18,FALSE)),IF(AND($Q$1=TRUE,$S$4=TRUE),IF(OR($Q$4=TRUE,$Q$5=TRUE,$S$2=TRUE),VLOOKUP($G60,'KO Calc'!$H:$AW,8,FALSE),VLOOKUP($G60,'KO Calc'!$H57:$AW57,8,FALSE)),
IF(AND($S$3=TRUE,$S$1=TRUE,$S$4=FALSE)=TRUE,IF(OR($Q$4=TRUE,$Q$5=TRUE,$S$2=TRUE),VLOOKUP($G60,'KO Calc'!$H:$AW,33,FALSE),VLOOKUP($G60,'KO Calc'!$H57:$AW57,33,FALSE)),IF(AND($S$3=TRUE,$S$4=FALSE),IF(OR($Q$4=TRUE,$Q$5=TRUE,$S$2=TRUE),VLOOKUP($G60,'KO Calc'!$H:$AW,23,FALSE),VLOOKUP($G60,'KO Calc'!$H57:$AW57,23,FALSE)),
IF(AND($S$3=TRUE,$S$1=TRUE,$S$4=TRUE)=TRUE,IF(OR($Q$4=TRUE,$Q$5=TRUE,$S$2=TRUE),VLOOKUP($G60,'KO Calc'!$H:$AW,38,FALSE),VLOOKUP($G60,'KO Calc'!$H57:$AW57,38,FALSE)),IF(AND($S$3=TRUE,$S$4=TRUE),IF(OR($Q$4=TRUE,$Q$5=TRUE,$S$2=TRUE),VLOOKUP($G60,'KO Calc'!$H:$AW,28,FALSE),VLOOKUP($G60,'KO Calc'!$H57:$AW57,28,FALSE)))))))))))))</f>
        <v>-</v>
      </c>
      <c r="J60" s="36" t="str">
        <f>IF(AND($Q$1=FALSE,$S$3=FALSE),"-",IF(AND($Q$1=TRUE,$S$3=TRUE),"-",IF(AND($Q$1=FALSE,$S$3=FALSE),"-",IF(AND($Q$1=TRUE,$S$1=TRUE,$S$4=FALSE)=TRUE,IF(OR($Q$4=TRUE,$Q$5=TRUE,$S$2=TRUE),VLOOKUP($G60,'KO Calc'!$H:$AW,FALSE),VLOOKUP($G60,'KO Calc'!$H57:$AW57,14,FALSE)),IF(AND($Q$1=TRUE,$S$4=FALSE),IF(OR($Q$4=TRUE,$Q$5=TRUE,$S$2=TRUE),VLOOKUP($G60,'KO Calc'!$H:$AW,4,FALSE),VLOOKUP($G60,'KO Calc'!$H57:$AW57,4,FALSE)),
IF(AND($Q$1=TRUE,$S$1=TRUE,$S$4=TRUE)=TRUE,IF(OR($Q$4=TRUE,$Q$5=TRUE,$S$2=TRUE),VLOOKUP($G60,'KO Calc'!$H:$AW,19,FALSE),VLOOKUP($G60,'KO Calc'!$H57:$AW57,19,FALSE)),IF(AND($Q$1=TRUE,$S$4=TRUE),IF(OR($Q$4=TRUE,$Q$5=TRUE,$S$2=TRUE),VLOOKUP($G60,'KO Calc'!$H:$AW,9,FALSE),VLOOKUP($G60,'KO Calc'!$H57:$AW57,9,FALSE)),
IF(AND($S$3=TRUE,$S$1=TRUE,$S$4=FALSE)=TRUE,IF(OR($Q$4=TRUE,$Q$5=TRUE,$S$2=TRUE),VLOOKUP($G60,'KO Calc'!$H:$AW,34,FALSE),VLOOKUP($G60,'KO Calc'!$H57:$AW57,34,FALSE)),IF(AND($S$3=TRUE,$S$4=FALSE),IF(OR($Q$4=TRUE,$Q$5=TRUE,$S$2=TRUE),VLOOKUP($G60,'KO Calc'!$H:$AW,24,FALSE),VLOOKUP($G60,'KO Calc'!$H57:$AW57,24,FALSE)),
IF(AND($S$3=TRUE,$S$1=TRUE,$S$4=TRUE)=TRUE,IF(OR($Q$4=TRUE,$Q$5=TRUE,$S$2=TRUE),VLOOKUP($G60,'KO Calc'!$H:$AW,39,FALSE),VLOOKUP($G60,'KO Calc'!$H57:$AW57,39,FALSE)),IF(AND($S$3=TRUE,$S$4=TRUE),IF(OR($Q$4=TRUE,$Q$5=TRUE,$S$2=TRUE),VLOOKUP($G60,'KO Calc'!$H:$AW,29,FALSE),VLOOKUP($G60,'KO Calc'!$H57:$AW57,29,FALSE)))))))))))))</f>
        <v>-</v>
      </c>
      <c r="K60" s="36" t="str">
        <f>IF(AND($Q$1=FALSE,$S$3=FALSE),"-",IF(AND($Q$1=TRUE,$S$3=TRUE),"-",IF(AND($Q$1=FALSE,$S$3=FALSE),"-",IF(AND($Q$1=TRUE,$S$1=TRUE,$S$4=FALSE)=TRUE,IF(OR($Q$4=TRUE,$Q$5=TRUE,$S$2=TRUE),VLOOKUP($G60,'KO Calc'!$H:$AW,15,FALSE),VLOOKUP($G60,'KO Calc'!$H57:$AW57,15,FALSE)),IF(AND($Q$1=TRUE,$S$4=FALSE),IF(OR($Q$4=TRUE,$Q$5=TRUE,$S$2=TRUE),VLOOKUP($G60,'KO Calc'!$H:$AW,5,FALSE),VLOOKUP($G60,'KO Calc'!$H57:$AW57,5,FALSE)),
IF(AND($Q$1=TRUE,$S$1=TRUE,$S$4=TRUE)=TRUE,IF(OR($Q$4=TRUE,$Q$5=TRUE,$S$2=TRUE),VLOOKUP($G60,'KO Calc'!$H:$AW,20,FALSE),VLOOKUP($G60,'KO Calc'!$H57:$AW57,20,FALSE)),IF(AND($Q$1=TRUE,$S$4=TRUE),IF(OR($Q$4=TRUE,$Q$5=TRUE,$S$2=TRUE),VLOOKUP($G60,'KO Calc'!$H:$AW,10,FALSE),VLOOKUP($G60,'KO Calc'!$H57:$AW57,10,FALSE)),
IF(AND($S$3=TRUE,$S$1=TRUE,$S$4=FALSE)=TRUE,IF(OR($Q$4=TRUE,$Q$5=TRUE,$S$2=TRUE),VLOOKUP($G60,'KO Calc'!$H:$AW,35,FALSE),VLOOKUP($G60,'KO Calc'!$H57:$AW57,35,FALSE)),IF(AND($S$3=TRUE,$S$4=FALSE),IF(OR($Q$4=TRUE,$Q$5=TRUE,$S$2=TRUE),VLOOKUP($G60,'KO Calc'!$H:$AW,25,FALSE),VLOOKUP($G60,'KO Calc'!$H57:$AW57,25,FALSE)),
IF(AND($S$3=TRUE,$S$1=TRUE,$S$4=TRUE)=TRUE,IF(OR($Q$4=TRUE,$Q$5=TRUE,$S$2=TRUE),VLOOKUP($G60,'KO Calc'!$H:$AW,40,FALSE),VLOOKUP($G60,'KO Calc'!$H57:$AW57,40,FALSE)),IF(AND($S$3=TRUE,$S$4=TRUE),IF(OR($Q$4=TRUE,$Q$5=TRUE,$S$2=TRUE),VLOOKUP($G60,'KO Calc'!$H:$AW,30,FALSE),VLOOKUP($G60,'KO Calc'!$H57:$AW57,30,FALSE)))))))))))))</f>
        <v>-</v>
      </c>
      <c r="L60" s="36" t="str">
        <f>IFERROR(IF(AND($Q$1=FALSE,$S$3=FALSE),"-",VLOOKUP($E60,'Status Thresholds'!$E:$AU,43,FALSE)),"-")</f>
        <v>-</v>
      </c>
      <c r="M60" s="36" t="str">
        <f>IFERROR(IF(AND($Q$1=FALSE,$S$3=FALSE),"-",VLOOKUP($E60,'Status Thresholds'!$E:$AU,41,FALSE)),"-")</f>
        <v>-</v>
      </c>
      <c r="N60" s="36" t="str">
        <f>IFERROR(IF(AND($Q$1=FALSE,$S$3=FALSE),"-",VLOOKUP($E60,'Status Thresholds'!$E:$AU,42,FALSE)),"-")</f>
        <v>-</v>
      </c>
    </row>
    <row r="61" spans="1:14" x14ac:dyDescent="0.25">
      <c r="B61" s="64" t="str">
        <f>VLOOKUP(C61,'Status Thresholds'!B:C,2,FALSE)</f>
        <v>MHGen</v>
      </c>
      <c r="C61" s="46" t="str">
        <f>IF(ISBLANK('KO Calc'!C57)=TRUE,"",'KO Calc'!C57)</f>
        <v>Amatsu</v>
      </c>
      <c r="D61" s="78"/>
      <c r="E61" s="62" t="str">
        <f t="shared" si="1"/>
        <v>Amatsu</v>
      </c>
      <c r="F61" t="s">
        <v>11</v>
      </c>
      <c r="G61" s="36" t="str">
        <f t="shared" si="2"/>
        <v>AmatsuCrag 1</v>
      </c>
      <c r="H61" s="36" t="str">
        <f>IF(AND($Q$1=FALSE,$S$3=FALSE),"-",IF(AND($Q$1=TRUE,$S$3=TRUE),"-",IF(AND($Q$1=FALSE,$S$3=FALSE),"-",IF(AND($Q$1=TRUE,$S$1=TRUE,$S$4=FALSE)=TRUE,IF(OR($Q$4=TRUE,$Q$5=TRUE,$S$2=TRUE),VLOOKUP($G61,'KO Calc'!$H:$AW,12,FALSE),VLOOKUP($G61,'KO Calc'!$H58:$AW58,12,FALSE)),IF(AND($Q$1=TRUE,$S$4=FALSE),IF(OR($Q$4=TRUE,$Q$5=TRUE,$S$2=TRUE),VLOOKUP($G61,'KO Calc'!$H:$AW,2,FALSE),VLOOKUP($G61,'KO Calc'!$H58:$AW58,2,FALSE)),
IF(AND($Q$1=TRUE,$S$1=TRUE,$S$4=TRUE)=TRUE,IF(OR($Q$4=TRUE,$Q$5=TRUE,$S$2=TRUE),VLOOKUP($G61,'KO Calc'!$H:$AW,17,FALSE),VLOOKUP($G61,'KO Calc'!$H58:$AW58,17,FALSE)),IF(AND($Q$1=TRUE,$S$4=TRUE),IF(OR($Q$4=TRUE,$Q$5=TRUE,$S$2=TRUE),VLOOKUP($G61,'KO Calc'!$H:$AW,7,FALSE),VLOOKUP($G61,'KO Calc'!$H58:$AW58,7,FALSE)),
IF(AND($S$3=TRUE,$S$1=TRUE,$S$4=FALSE)=TRUE,IF(OR($Q$4=TRUE,$Q$5=TRUE,$S$2=TRUE),VLOOKUP($G61,'KO Calc'!$H:$AW,32,FALSE),VLOOKUP($G61,'KO Calc'!$H58:$AW58,32,FALSE)),IF(AND($S$3=TRUE,$S$4=FALSE),IF(OR($Q$4=TRUE,$Q$5=TRUE,$S$2=TRUE),VLOOKUP($G61,'KO Calc'!$H:$AW,22,FALSE),VLOOKUP($G61,'KO Calc'!$H58:$AW58,22,FALSE)),
IF(AND($S$3=TRUE,$S$1=TRUE,$S$4=TRUE)=TRUE,IF(OR($Q$4=TRUE,$Q$5=TRUE,$S$2=TRUE),VLOOKUP($G61,'KO Calc'!$H:$AW,37,FALSE),VLOOKUP($G61,'KO Calc'!$H58:$AW58,37,FALSE)),IF(AND($S$3=TRUE,$S$4=TRUE),IF(OR($Q$4=TRUE,$Q$5=TRUE,$S$2=TRUE),VLOOKUP($G61,'KO Calc'!$H:$AW,27,FALSE),VLOOKUP($G61,'KO Calc'!$H58:$AW58,27,FALSE)))))))))))))</f>
        <v>-</v>
      </c>
      <c r="I61" s="36" t="str">
        <f>IF(AND($Q$1=FALSE,$S$3=FALSE),"-",IF(AND($Q$1=TRUE,$S$3=TRUE),"-",IF(AND($Q$1=FALSE,$S$3=FALSE),"-",IF(AND($Q$1=TRUE,$S$1=TRUE,$S$4=FALSE)=TRUE,IF(OR($Q$4=TRUE,$Q$5=TRUE,$S$2=TRUE),VLOOKUP($G61,'KO Calc'!$H:$AW,13,FALSE),VLOOKUP($G61,'KO Calc'!$H58:$AW58,13,FALSE)),IF(AND($Q$1=TRUE,$S$4=FALSE),IF(OR($Q$4=TRUE,$Q$5=TRUE,$S$2=TRUE),VLOOKUP($G61,'KO Calc'!$H:$AW,3,FALSE),VLOOKUP($G61,'KO Calc'!$H58:$AW58,3,FALSE)),
IF(AND($Q$1=TRUE,$S$1=TRUE,$S$4=TRUE)=TRUE,IF(OR($Q$4=TRUE,$Q$5=TRUE,$S$2=TRUE),VLOOKUP($G61,'KO Calc'!$H:$AW,18,FALSE),VLOOKUP($G61,'KO Calc'!$H58:$AW58,18,FALSE)),IF(AND($Q$1=TRUE,$S$4=TRUE),IF(OR($Q$4=TRUE,$Q$5=TRUE,$S$2=TRUE),VLOOKUP($G61,'KO Calc'!$H:$AW,8,FALSE),VLOOKUP($G61,'KO Calc'!$H58:$AW58,8,FALSE)),
IF(AND($S$3=TRUE,$S$1=TRUE,$S$4=FALSE)=TRUE,IF(OR($Q$4=TRUE,$Q$5=TRUE,$S$2=TRUE),VLOOKUP($G61,'KO Calc'!$H:$AW,33,FALSE),VLOOKUP($G61,'KO Calc'!$H58:$AW58,33,FALSE)),IF(AND($S$3=TRUE,$S$4=FALSE),IF(OR($Q$4=TRUE,$Q$5=TRUE,$S$2=TRUE),VLOOKUP($G61,'KO Calc'!$H:$AW,23,FALSE),VLOOKUP($G61,'KO Calc'!$H58:$AW58,23,FALSE)),
IF(AND($S$3=TRUE,$S$1=TRUE,$S$4=TRUE)=TRUE,IF(OR($Q$4=TRUE,$Q$5=TRUE,$S$2=TRUE),VLOOKUP($G61,'KO Calc'!$H:$AW,38,FALSE),VLOOKUP($G61,'KO Calc'!$H58:$AW58,38,FALSE)),IF(AND($S$3=TRUE,$S$4=TRUE),IF(OR($Q$4=TRUE,$Q$5=TRUE,$S$2=TRUE),VLOOKUP($G61,'KO Calc'!$H:$AW,28,FALSE),VLOOKUP($G61,'KO Calc'!$H58:$AW58,28,FALSE)))))))))))))</f>
        <v>-</v>
      </c>
      <c r="J61" s="36" t="str">
        <f>IF(AND($Q$1=FALSE,$S$3=FALSE),"-",IF(AND($Q$1=TRUE,$S$3=TRUE),"-",IF(AND($Q$1=FALSE,$S$3=FALSE),"-",IF(AND($Q$1=TRUE,$S$1=TRUE,$S$4=FALSE)=TRUE,IF(OR($Q$4=TRUE,$Q$5=TRUE,$S$2=TRUE),VLOOKUP($G61,'KO Calc'!$H:$AW,FALSE),VLOOKUP($G61,'KO Calc'!$H58:$AW58,14,FALSE)),IF(AND($Q$1=TRUE,$S$4=FALSE),IF(OR($Q$4=TRUE,$Q$5=TRUE,$S$2=TRUE),VLOOKUP($G61,'KO Calc'!$H:$AW,4,FALSE),VLOOKUP($G61,'KO Calc'!$H58:$AW58,4,FALSE)),
IF(AND($Q$1=TRUE,$S$1=TRUE,$S$4=TRUE)=TRUE,IF(OR($Q$4=TRUE,$Q$5=TRUE,$S$2=TRUE),VLOOKUP($G61,'KO Calc'!$H:$AW,19,FALSE),VLOOKUP($G61,'KO Calc'!$H58:$AW58,19,FALSE)),IF(AND($Q$1=TRUE,$S$4=TRUE),IF(OR($Q$4=TRUE,$Q$5=TRUE,$S$2=TRUE),VLOOKUP($G61,'KO Calc'!$H:$AW,9,FALSE),VLOOKUP($G61,'KO Calc'!$H58:$AW58,9,FALSE)),
IF(AND($S$3=TRUE,$S$1=TRUE,$S$4=FALSE)=TRUE,IF(OR($Q$4=TRUE,$Q$5=TRUE,$S$2=TRUE),VLOOKUP($G61,'KO Calc'!$H:$AW,34,FALSE),VLOOKUP($G61,'KO Calc'!$H58:$AW58,34,FALSE)),IF(AND($S$3=TRUE,$S$4=FALSE),IF(OR($Q$4=TRUE,$Q$5=TRUE,$S$2=TRUE),VLOOKUP($G61,'KO Calc'!$H:$AW,24,FALSE),VLOOKUP($G61,'KO Calc'!$H58:$AW58,24,FALSE)),
IF(AND($S$3=TRUE,$S$1=TRUE,$S$4=TRUE)=TRUE,IF(OR($Q$4=TRUE,$Q$5=TRUE,$S$2=TRUE),VLOOKUP($G61,'KO Calc'!$H:$AW,39,FALSE),VLOOKUP($G61,'KO Calc'!$H58:$AW58,39,FALSE)),IF(AND($S$3=TRUE,$S$4=TRUE),IF(OR($Q$4=TRUE,$Q$5=TRUE,$S$2=TRUE),VLOOKUP($G61,'KO Calc'!$H:$AW,29,FALSE),VLOOKUP($G61,'KO Calc'!$H58:$AW58,29,FALSE)))))))))))))</f>
        <v>-</v>
      </c>
      <c r="K61" s="36" t="str">
        <f>IF(AND($Q$1=FALSE,$S$3=FALSE),"-",IF(AND($Q$1=TRUE,$S$3=TRUE),"-",IF(AND($Q$1=FALSE,$S$3=FALSE),"-",IF(AND($Q$1=TRUE,$S$1=TRUE,$S$4=FALSE)=TRUE,IF(OR($Q$4=TRUE,$Q$5=TRUE,$S$2=TRUE),VLOOKUP($G61,'KO Calc'!$H:$AW,15,FALSE),VLOOKUP($G61,'KO Calc'!$H58:$AW58,15,FALSE)),IF(AND($Q$1=TRUE,$S$4=FALSE),IF(OR($Q$4=TRUE,$Q$5=TRUE,$S$2=TRUE),VLOOKUP($G61,'KO Calc'!$H:$AW,5,FALSE),VLOOKUP($G61,'KO Calc'!$H58:$AW58,5,FALSE)),
IF(AND($Q$1=TRUE,$S$1=TRUE,$S$4=TRUE)=TRUE,IF(OR($Q$4=TRUE,$Q$5=TRUE,$S$2=TRUE),VLOOKUP($G61,'KO Calc'!$H:$AW,20,FALSE),VLOOKUP($G61,'KO Calc'!$H58:$AW58,20,FALSE)),IF(AND($Q$1=TRUE,$S$4=TRUE),IF(OR($Q$4=TRUE,$Q$5=TRUE,$S$2=TRUE),VLOOKUP($G61,'KO Calc'!$H:$AW,10,FALSE),VLOOKUP($G61,'KO Calc'!$H58:$AW58,10,FALSE)),
IF(AND($S$3=TRUE,$S$1=TRUE,$S$4=FALSE)=TRUE,IF(OR($Q$4=TRUE,$Q$5=TRUE,$S$2=TRUE),VLOOKUP($G61,'KO Calc'!$H:$AW,35,FALSE),VLOOKUP($G61,'KO Calc'!$H58:$AW58,35,FALSE)),IF(AND($S$3=TRUE,$S$4=FALSE),IF(OR($Q$4=TRUE,$Q$5=TRUE,$S$2=TRUE),VLOOKUP($G61,'KO Calc'!$H:$AW,25,FALSE),VLOOKUP($G61,'KO Calc'!$H58:$AW58,25,FALSE)),
IF(AND($S$3=TRUE,$S$1=TRUE,$S$4=TRUE)=TRUE,IF(OR($Q$4=TRUE,$Q$5=TRUE,$S$2=TRUE),VLOOKUP($G61,'KO Calc'!$H:$AW,40,FALSE),VLOOKUP($G61,'KO Calc'!$H58:$AW58,40,FALSE)),IF(AND($S$3=TRUE,$S$4=TRUE),IF(OR($Q$4=TRUE,$Q$5=TRUE,$S$2=TRUE),VLOOKUP($G61,'KO Calc'!$H:$AW,30,FALSE),VLOOKUP($G61,'KO Calc'!$H58:$AW58,30,FALSE)))))))))))))</f>
        <v>-</v>
      </c>
      <c r="L61" s="36" t="str">
        <f>IFERROR(VLOOKUP($E61,'Status Thresholds'!$E:$AS,41,FALSE),"-")</f>
        <v>-</v>
      </c>
    </row>
    <row r="62" spans="1:14" x14ac:dyDescent="0.25">
      <c r="B62" s="64" t="str">
        <f>VLOOKUP(C62,'Status Thresholds'!B:C,2,FALSE)</f>
        <v>MHGen</v>
      </c>
      <c r="C62" s="46" t="str">
        <f>IF(ISBLANK('KO Calc'!C58)=TRUE,"",'KO Calc'!C58)</f>
        <v>Amatsu</v>
      </c>
      <c r="D62" s="78"/>
      <c r="E62" s="62"/>
      <c r="G62" s="36"/>
      <c r="H62" s="36"/>
      <c r="I62" s="36"/>
      <c r="J62" s="36"/>
      <c r="K62" s="36"/>
      <c r="L62" s="36" t="str">
        <f>IFERROR(VLOOKUP($E62,'Status Thresholds'!$E:$AS,41,FALSE),"-")</f>
        <v>-</v>
      </c>
    </row>
    <row r="63" spans="1:14" s="36" customFormat="1" x14ac:dyDescent="0.25">
      <c r="B63" s="64" t="str">
        <f>VLOOKUP(C63,'Status Thresholds'!B:C,2,FALSE)</f>
        <v>MHGen</v>
      </c>
      <c r="C63" s="46" t="str">
        <f>IF(ISBLANK('KO Calc'!C59)=TRUE,"",'KO Calc'!C59)</f>
        <v>Arzuros</v>
      </c>
      <c r="D63" s="65" t="s">
        <v>0</v>
      </c>
      <c r="E63" s="62" t="str">
        <f t="shared" si="1"/>
        <v>ArzurosPara</v>
      </c>
      <c r="F63" s="36" t="s">
        <v>2</v>
      </c>
      <c r="G63" s="36" t="str">
        <f t="shared" si="2"/>
        <v>ArzurosPara lvl 2</v>
      </c>
      <c r="H63" s="36" t="str">
        <f>IFERROR(ROUNDUP(IF(AND($Q$1=FALSE,$S$3=FALSE),"-",IF(AND($Q$1=TRUE,$S$3=TRUE),"-",IF(AND($Q$1=TRUE,$S$1=TRUE,$S$4=FALSE),VLOOKUP($E63,'Status Thresholds'!$E:$AS,12,FALSE),IF(AND($Q$1=TRUE,$S$4=FALSE),VLOOKUP($E63,'Status Thresholds'!$E:$AS,2,FALSE), IF(AND($Q$1=TRUE,$S$1=TRUE,$S$4=TRUE),VLOOKUP($E63,'Status Thresholds'!$E:$AS,17,FALSE),IF(AND($Q$1=TRUE,$S$4=TRUE),VLOOKUP($E63,'Status Thresholds'!$E:$AS,7,FALSE),IF(AND($S$3=TRUE,$S$1=TRUE,$S$4=FALSE),VLOOKUP($E63,'Status Thresholds'!$E:$AS,32,FALSE),IF(AND($S$3=TRUE,$S$4=FALSE),VLOOKUP($E63,'Status Thresholds'!$E:$AS,22,FALSE),IF(AND($S$3=TRUE,$S$1=TRUE,$S$4=TRUE),VLOOKUP($E63,'Status Thresholds'!$E:$AS,37,FALSE),IF(AND($S$3=TRUE,$S$4=TRUE),VLOOKUP($E63,'Status Thresholds'!$E:$AS,27,FALSE),""))))))))/IF(OR($Q$3=TRUE,AND($Q$2=TRUE,$Q$7=TRUE),AND($Q$3=TRUE,$Q$7=TRUE))=TRUE,'Shots and Status'!$F$5,IF((OR($Q$2,$Q$7)=TRUE),'Shots and Status'!$D$5,'Shots and Status'!$C$5)))),0),"-")</f>
        <v>-</v>
      </c>
      <c r="I63" s="36" t="str">
        <f>IFERROR(ROUNDUP(IF(AND($Q$1=FALSE,$S$3=FALSE),"-",IF(AND($Q$1=TRUE,$S$3=TRUE),"-",IF(AND($Q$1=TRUE,$S$1=TRUE,$S$4=FALSE),VLOOKUP($E63,'Status Thresholds'!$E:$AS,13,FALSE),IF(AND($Q$1=TRUE,$S$4=FALSE),VLOOKUP($E63,'Status Thresholds'!$E:$AS,3,FALSE), IF(AND($Q$1=TRUE,$S$1=TRUE,$S$4=TRUE),VLOOKUP($E63,'Status Thresholds'!$E:$AS,18,FALSE),IF(AND($Q$1=TRUE,$S$4=TRUE),VLOOKUP($E63,'Status Thresholds'!$E:$AS,8,FALSE),IF(AND($S$3=TRUE,$S$1=TRUE,$S$4=FALSE),VLOOKUP($E63,'Status Thresholds'!$E:$AS,33,FALSE),IF(AND($S$3=TRUE,$S$4=FALSE),VLOOKUP($E63,'Status Thresholds'!$E:$AS,23,FALSE),IF(AND($S$3=TRUE,$S$1=TRUE,$S$4=TRUE),VLOOKUP($E63,'Status Thresholds'!$E:$AS,38,FALSE),IF(AND($S$3=TRUE,$S$4=TRUE),VLOOKUP($E63,'Status Thresholds'!$E:$AS,28,FALSE),""))))))))/IF(OR($Q$3=TRUE,AND($Q$2=TRUE,$Q$7=TRUE),AND($Q$3=TRUE,$Q$7=TRUE))=TRUE,'Shots and Status'!$F$5,IF((OR($Q$2,$Q$7)=TRUE),'Shots and Status'!$D$5,'Shots and Status'!$C$5)))),0),"-")</f>
        <v>-</v>
      </c>
      <c r="J63" s="36" t="str">
        <f>IFERROR(ROUNDUP(IF(AND($Q$1=FALSE,$S$3=FALSE),"-",IF(AND($Q$1=TRUE,$S$3=TRUE),"-",IF(AND($Q$1=TRUE,$S$1=TRUE,$S$4=FALSE),VLOOKUP($E63,'Status Thresholds'!$E:$AS,14,FALSE),IF(AND($Q$1=TRUE,$S$4=FALSE),VLOOKUP($E63,'Status Thresholds'!$E:$AS,4,FALSE), IF(AND($Q$1=TRUE,$S$1=TRUE,$S$4=TRUE),VLOOKUP($E63,'Status Thresholds'!$E:$AS,19,FALSE),IF(AND($Q$1=TRUE,$S$4=TRUE),VLOOKUP($E63,'Status Thresholds'!$E:$AS,9,FALSE),IF(AND($S$3=TRUE,$S$1=TRUE,$S$4=FALSE),VLOOKUP($E63,'Status Thresholds'!$E:$AS,34,FALSE),IF(AND($S$3=TRUE,$S$4=FALSE),VLOOKUP($E63,'Status Thresholds'!$E:$AS,24,FALSE),IF(AND($S$3=TRUE,$S$1=TRUE,$S$4=TRUE),VLOOKUP($E63,'Status Thresholds'!$E:$AS,39,FALSE),IF(AND($S$3=TRUE,$S$4=TRUE),VLOOKUP($E63,'Status Thresholds'!$E:$AS,29,FALSE),""))))))))/IF(OR($Q$3=TRUE,AND($Q$2=TRUE,$Q$7=TRUE),AND($Q$3=TRUE,$Q$7=TRUE))=TRUE,'Shots and Status'!$F$5,IF((OR($Q$2,$Q$7)=TRUE),'Shots and Status'!$D$5,'Shots and Status'!$C$5)))),0),"-")</f>
        <v>-</v>
      </c>
      <c r="K63" s="36" t="str">
        <f>IFERROR(ROUNDUP(IF(AND($Q$1=FALSE,$S$3=FALSE),"-",IF(AND($Q$1=TRUE,$S$3=TRUE),"-",IF(AND($Q$1=TRUE,$S$1=TRUE,$S$4=FALSE),VLOOKUP($E63,'Status Thresholds'!$E:$AS,15,FALSE),IF(AND($Q$1=TRUE,$S$4=FALSE),VLOOKUP($E63,'Status Thresholds'!$E:$AS,5,FALSE), IF(AND($Q$1=TRUE,$S$1=TRUE,$S$4=TRUE),VLOOKUP($E63,'Status Thresholds'!$E:$AS,20,FALSE),IF(AND($Q$1=TRUE,$S$4=TRUE),VLOOKUP($E63,'Status Thresholds'!$E:$AS,10,FALSE),IF(AND($S$3=TRUE,$S$1=TRUE,$S$4=FALSE),VLOOKUP($E63,'Status Thresholds'!$E:$AS,35,FALSE),IF(AND($S$3=TRUE,$S$4=FALSE),VLOOKUP($E63,'Status Thresholds'!$E:$AS,25,FALSE),IF(AND($S$3=TRUE,$S$1=TRUE,$S$4=TRUE),VLOOKUP($E63,'Status Thresholds'!$E:$AS,40,FALSE),IF(AND($S$3=TRUE,$S$4=TRUE),VLOOKUP($E63,'Status Thresholds'!$E:$AS,30,FALSE),""))))))))/IF(OR($Q$3=TRUE,AND($Q$2=TRUE,$Q$7=TRUE),AND($Q$3=TRUE,$Q$7=TRUE))=TRUE,'Shots and Status'!$F$5,IF((OR($Q$2,$Q$7)=TRUE),'Shots and Status'!$D$5,'Shots and Status'!$C$5)))),0),"-")</f>
        <v>-</v>
      </c>
      <c r="L63" s="36" t="str">
        <f>IFERROR(IF(AND($Q$1=FALSE,$S$3=FALSE),"-",VLOOKUP($E63,'Status Thresholds'!$E:$AU,41,FALSE)),"-")</f>
        <v>-</v>
      </c>
      <c r="M63" s="36" t="str">
        <f>IFERROR(IF(AND($Q$1=FALSE,$S$3=FALSE),"-",VLOOKUP($E63,'Status Thresholds'!$E:$AU,42,FALSE)),"-")</f>
        <v>-</v>
      </c>
      <c r="N63" s="36" t="str">
        <f>IFERROR(IF(AND($Q$1=FALSE,$S$3=FALSE),"-",VLOOKUP($E63,'Status Thresholds'!$E:$AU,43,FALSE)),"-")</f>
        <v>-</v>
      </c>
    </row>
    <row r="64" spans="1:14" s="59" customFormat="1" x14ac:dyDescent="0.25">
      <c r="A64" s="46"/>
      <c r="B64" s="64" t="str">
        <f>VLOOKUP(C64,'Status Thresholds'!B:C,2,FALSE)</f>
        <v>MHGen</v>
      </c>
      <c r="C64" s="46" t="str">
        <f>IF(ISBLANK('KO Calc'!C60)=TRUE,"",'KO Calc'!C60)</f>
        <v>Arzuros</v>
      </c>
      <c r="D64" s="60" t="s">
        <v>32</v>
      </c>
      <c r="E64" s="62" t="str">
        <f t="shared" si="1"/>
        <v>ArzurosSleep</v>
      </c>
      <c r="F64" s="59" t="s">
        <v>5</v>
      </c>
      <c r="G64" s="36" t="str">
        <f t="shared" si="2"/>
        <v>ArzurosSleep lvl 2</v>
      </c>
      <c r="H64" s="36" t="str">
        <f>IFERROR(ROUNDUP(IF(AND($Q$1=FALSE,$S$3=FALSE),"-",IF(AND($Q$1=TRUE,$S$3=TRUE),"-",IF(AND($Q$1=TRUE,$S$1=TRUE,$S$4=FALSE),VLOOKUP($E64,'Status Thresholds'!$E:$AS,12,FALSE),IF(AND($Q$1=TRUE,$S$4=FALSE),VLOOKUP($E64,'Status Thresholds'!$E:$AS,2,FALSE), IF(AND($Q$1=TRUE,$S$1=TRUE,$S$4=TRUE),VLOOKUP($E64,'Status Thresholds'!$E:$AS,17,FALSE),IF(AND($Q$1=TRUE,$S$4=TRUE),VLOOKUP($E64,'Status Thresholds'!$E:$AS,7,FALSE),IF(AND($S$3=TRUE,$S$1=TRUE,$S$4=FALSE),VLOOKUP($E64,'Status Thresholds'!$E:$AS,32,FALSE),IF(AND($S$3=TRUE,$S$4=FALSE),VLOOKUP($E64,'Status Thresholds'!$E:$AS,22,FALSE),IF(AND($S$3=TRUE,$S$1=TRUE,$S$4=TRUE),VLOOKUP($E64,'Status Thresholds'!$E:$AS,37,FALSE),IF(AND($S$3=TRUE,$S$4=TRUE),VLOOKUP($E64,'Status Thresholds'!$E:$AS,27,FALSE),""))))))))/IF(OR($Q$3=TRUE,AND($Q$2=TRUE,$Q$7=TRUE),AND($Q$3=TRUE,$Q$7=TRUE))=TRUE,'Shots and Status'!$F$5,IF((OR($Q$2,$Q$7)=TRUE),'Shots and Status'!$D$5,'Shots and Status'!$C$5)))),0),"-")</f>
        <v>-</v>
      </c>
      <c r="I64" s="36" t="str">
        <f>IFERROR(ROUNDUP(IF(AND($Q$1=FALSE,$S$3=FALSE),"-",IF(AND($Q$1=TRUE,$S$3=TRUE),"-",IF(AND($Q$1=TRUE,$S$1=TRUE,$S$4=FALSE),VLOOKUP($E64,'Status Thresholds'!$E:$AS,13,FALSE),IF(AND($Q$1=TRUE,$S$4=FALSE),VLOOKUP($E64,'Status Thresholds'!$E:$AS,3,FALSE), IF(AND($Q$1=TRUE,$S$1=TRUE,$S$4=TRUE),VLOOKUP($E64,'Status Thresholds'!$E:$AS,18,FALSE),IF(AND($Q$1=TRUE,$S$4=TRUE),VLOOKUP($E64,'Status Thresholds'!$E:$AS,8,FALSE),IF(AND($S$3=TRUE,$S$1=TRUE,$S$4=FALSE),VLOOKUP($E64,'Status Thresholds'!$E:$AS,33,FALSE),IF(AND($S$3=TRUE,$S$4=FALSE),VLOOKUP($E64,'Status Thresholds'!$E:$AS,23,FALSE),IF(AND($S$3=TRUE,$S$1=TRUE,$S$4=TRUE),VLOOKUP($E64,'Status Thresholds'!$E:$AS,38,FALSE),IF(AND($S$3=TRUE,$S$4=TRUE),VLOOKUP($E64,'Status Thresholds'!$E:$AS,28,FALSE),""))))))))/IF(OR($Q$3=TRUE,AND($Q$2=TRUE,$Q$7=TRUE),AND($Q$3=TRUE,$Q$7=TRUE))=TRUE,'Shots and Status'!$F$5,IF((OR($Q$2,$Q$7)=TRUE),'Shots and Status'!$D$5,'Shots and Status'!$C$5)))),0),"-")</f>
        <v>-</v>
      </c>
      <c r="J64" s="36" t="str">
        <f>IFERROR(ROUNDUP(IF(AND($Q$1=FALSE,$S$3=FALSE),"-",IF(AND($Q$1=TRUE,$S$3=TRUE),"-",IF(AND($Q$1=TRUE,$S$1=TRUE,$S$4=FALSE),VLOOKUP($E64,'Status Thresholds'!$E:$AS,14,FALSE),IF(AND($Q$1=TRUE,$S$4=FALSE),VLOOKUP($E64,'Status Thresholds'!$E:$AS,4,FALSE), IF(AND($Q$1=TRUE,$S$1=TRUE,$S$4=TRUE),VLOOKUP($E64,'Status Thresholds'!$E:$AS,19,FALSE),IF(AND($Q$1=TRUE,$S$4=TRUE),VLOOKUP($E64,'Status Thresholds'!$E:$AS,9,FALSE),IF(AND($S$3=TRUE,$S$1=TRUE,$S$4=FALSE),VLOOKUP($E64,'Status Thresholds'!$E:$AS,34,FALSE),IF(AND($S$3=TRUE,$S$4=FALSE),VLOOKUP($E64,'Status Thresholds'!$E:$AS,24,FALSE),IF(AND($S$3=TRUE,$S$1=TRUE,$S$4=TRUE),VLOOKUP($E64,'Status Thresholds'!$E:$AS,39,FALSE),IF(AND($S$3=TRUE,$S$4=TRUE),VLOOKUP($E64,'Status Thresholds'!$E:$AS,29,FALSE),""))))))))/IF(OR($Q$3=TRUE,AND($Q$2=TRUE,$Q$7=TRUE),AND($Q$3=TRUE,$Q$7=TRUE))=TRUE,'Shots and Status'!$F$5,IF((OR($Q$2,$Q$7)=TRUE),'Shots and Status'!$D$5,'Shots and Status'!$C$5)))),0),"-")</f>
        <v>-</v>
      </c>
      <c r="K64" s="36" t="str">
        <f>IFERROR(ROUNDUP(IF(AND($Q$1=FALSE,$S$3=FALSE),"-",IF(AND($Q$1=TRUE,$S$3=TRUE),"-",IF(AND($Q$1=TRUE,$S$1=TRUE,$S$4=FALSE),VLOOKUP($E64,'Status Thresholds'!$E:$AS,15,FALSE),IF(AND($Q$1=TRUE,$S$4=FALSE),VLOOKUP($E64,'Status Thresholds'!$E:$AS,5,FALSE), IF(AND($Q$1=TRUE,$S$1=TRUE,$S$4=TRUE),VLOOKUP($E64,'Status Thresholds'!$E:$AS,20,FALSE),IF(AND($Q$1=TRUE,$S$4=TRUE),VLOOKUP($E64,'Status Thresholds'!$E:$AS,10,FALSE),IF(AND($S$3=TRUE,$S$1=TRUE,$S$4=FALSE),VLOOKUP($E64,'Status Thresholds'!$E:$AS,35,FALSE),IF(AND($S$3=TRUE,$S$4=FALSE),VLOOKUP($E64,'Status Thresholds'!$E:$AS,25,FALSE),IF(AND($S$3=TRUE,$S$1=TRUE,$S$4=TRUE),VLOOKUP($E64,'Status Thresholds'!$E:$AS,40,FALSE),IF(AND($S$3=TRUE,$S$4=TRUE),VLOOKUP($E64,'Status Thresholds'!$E:$AS,30,FALSE),""))))))))/IF(OR($Q$3=TRUE,AND($Q$2=TRUE,$Q$7=TRUE),AND($Q$3=TRUE,$Q$7=TRUE))=TRUE,'Shots and Status'!$F$5,IF((OR($Q$2,$Q$7)=TRUE),'Shots and Status'!$D$5,'Shots and Status'!$C$5)))),0),"-")</f>
        <v>-</v>
      </c>
      <c r="L64" s="36" t="str">
        <f>IFERROR(IF(AND($Q$1=FALSE,$S$3=FALSE),"-",VLOOKUP($E64,'Status Thresholds'!$E:$AU,41,FALSE)),"-")</f>
        <v>-</v>
      </c>
      <c r="M64" s="36" t="str">
        <f>IFERROR(IF(AND($Q$1=FALSE,$S$3=FALSE),"-",VLOOKUP($E64,'Status Thresholds'!$E:$AU,42,FALSE)),"-")</f>
        <v>-</v>
      </c>
      <c r="N64" s="36" t="str">
        <f>IFERROR(IF(AND($Q$1=FALSE,$S$3=FALSE),"-",VLOOKUP($E64,'Status Thresholds'!$E:$AU,43,FALSE)),"-")</f>
        <v>-</v>
      </c>
    </row>
    <row r="65" spans="1:14" s="59" customFormat="1" x14ac:dyDescent="0.25">
      <c r="A65" s="46"/>
      <c r="B65" s="64" t="str">
        <f>VLOOKUP(C65,'Status Thresholds'!B:C,2,FALSE)</f>
        <v>MHGen</v>
      </c>
      <c r="C65" s="46" t="str">
        <f>IF(ISBLANK('KO Calc'!C61)=TRUE,"",'KO Calc'!C61)</f>
        <v>Arzuros</v>
      </c>
      <c r="D65" s="58" t="s">
        <v>33</v>
      </c>
      <c r="E65" s="62" t="str">
        <f t="shared" si="1"/>
        <v>ArzurosPoison</v>
      </c>
      <c r="F65" s="59" t="s">
        <v>6</v>
      </c>
      <c r="G65" s="36" t="str">
        <f t="shared" si="2"/>
        <v>ArzurosPoison lvl 2</v>
      </c>
      <c r="H65" s="36" t="str">
        <f>IFERROR(ROUNDUP(IF(AND($Q$1=FALSE,$S$3=FALSE),"-",IF(AND($Q$1=TRUE,$S$3=TRUE),"-",IF(AND($Q$1=TRUE,$S$1=TRUE,$S$4=FALSE),VLOOKUP($E65,'Status Thresholds'!$E:$AS,12,FALSE),IF(AND($Q$1=TRUE,$S$4=FALSE),VLOOKUP($E65,'Status Thresholds'!$E:$AS,2,FALSE), IF(AND($Q$1=TRUE,$S$1=TRUE,$S$4=TRUE),VLOOKUP($E65,'Status Thresholds'!$E:$AS,17,FALSE),IF(AND($Q$1=TRUE,$S$4=TRUE),VLOOKUP($E65,'Status Thresholds'!$E:$AS,7,FALSE),IF(AND($S$3=TRUE,$S$1=TRUE,$S$4=FALSE),VLOOKUP($E65,'Status Thresholds'!$E:$AS,32,FALSE),IF(AND($S$3=TRUE,$S$4=FALSE),VLOOKUP($E65,'Status Thresholds'!$E:$AS,22,FALSE),IF(AND($S$3=TRUE,$S$1=TRUE,$S$4=TRUE),VLOOKUP($E65,'Status Thresholds'!$E:$AS,37,FALSE),IF(AND($S$3=TRUE,$S$4=TRUE),VLOOKUP($E65,'Status Thresholds'!$E:$AS,27,FALSE),""))))))))/IF(OR($Q$3=TRUE,AND($Q$2=TRUE,$Q$7=TRUE),AND($Q$3=TRUE,$Q$7=TRUE))=TRUE,'Shots and Status'!$F$5,IF((OR($Q$2,$Q$7)=TRUE),'Shots and Status'!$D$5,'Shots and Status'!$C$5)))),0),"-")</f>
        <v>-</v>
      </c>
      <c r="I65" s="36" t="str">
        <f>IFERROR(ROUNDUP(IF(AND($Q$1=FALSE,$S$3=FALSE),"-",IF(AND($Q$1=TRUE,$S$3=TRUE),"-",IF(AND($Q$1=TRUE,$S$1=TRUE,$S$4=FALSE),VLOOKUP($E65,'Status Thresholds'!$E:$AS,13,FALSE),IF(AND($Q$1=TRUE,$S$4=FALSE),VLOOKUP($E65,'Status Thresholds'!$E:$AS,3,FALSE), IF(AND($Q$1=TRUE,$S$1=TRUE,$S$4=TRUE),VLOOKUP($E65,'Status Thresholds'!$E:$AS,18,FALSE),IF(AND($Q$1=TRUE,$S$4=TRUE),VLOOKUP($E65,'Status Thresholds'!$E:$AS,8,FALSE),IF(AND($S$3=TRUE,$S$1=TRUE,$S$4=FALSE),VLOOKUP($E65,'Status Thresholds'!$E:$AS,33,FALSE),IF(AND($S$3=TRUE,$S$4=FALSE),VLOOKUP($E65,'Status Thresholds'!$E:$AS,23,FALSE),IF(AND($S$3=TRUE,$S$1=TRUE,$S$4=TRUE),VLOOKUP($E65,'Status Thresholds'!$E:$AS,38,FALSE),IF(AND($S$3=TRUE,$S$4=TRUE),VLOOKUP($E65,'Status Thresholds'!$E:$AS,28,FALSE),""))))))))/IF(OR($Q$3=TRUE,AND($Q$2=TRUE,$Q$7=TRUE),AND($Q$3=TRUE,$Q$7=TRUE))=TRUE,'Shots and Status'!$F$5,IF((OR($Q$2,$Q$7)=TRUE),'Shots and Status'!$D$5,'Shots and Status'!$C$5)))),0),"-")</f>
        <v>-</v>
      </c>
      <c r="J65" s="36" t="str">
        <f>IFERROR(ROUNDUP(IF(AND($Q$1=FALSE,$S$3=FALSE),"-",IF(AND($Q$1=TRUE,$S$3=TRUE),"-",IF(AND($Q$1=TRUE,$S$1=TRUE,$S$4=FALSE),VLOOKUP($E65,'Status Thresholds'!$E:$AS,14,FALSE),IF(AND($Q$1=TRUE,$S$4=FALSE),VLOOKUP($E65,'Status Thresholds'!$E:$AS,4,FALSE), IF(AND($Q$1=TRUE,$S$1=TRUE,$S$4=TRUE),VLOOKUP($E65,'Status Thresholds'!$E:$AS,19,FALSE),IF(AND($Q$1=TRUE,$S$4=TRUE),VLOOKUP($E65,'Status Thresholds'!$E:$AS,9,FALSE),IF(AND($S$3=TRUE,$S$1=TRUE,$S$4=FALSE),VLOOKUP($E65,'Status Thresholds'!$E:$AS,34,FALSE),IF(AND($S$3=TRUE,$S$4=FALSE),VLOOKUP($E65,'Status Thresholds'!$E:$AS,24,FALSE),IF(AND($S$3=TRUE,$S$1=TRUE,$S$4=TRUE),VLOOKUP($E65,'Status Thresholds'!$E:$AS,39,FALSE),IF(AND($S$3=TRUE,$S$4=TRUE),VLOOKUP($E65,'Status Thresholds'!$E:$AS,29,FALSE),""))))))))/IF(OR($Q$3=TRUE,AND($Q$2=TRUE,$Q$7=TRUE),AND($Q$3=TRUE,$Q$7=TRUE))=TRUE,'Shots and Status'!$F$5,IF((OR($Q$2,$Q$7)=TRUE),'Shots and Status'!$D$5,'Shots and Status'!$C$5)))),0),"-")</f>
        <v>-</v>
      </c>
      <c r="K65" s="36" t="str">
        <f>IFERROR(ROUNDUP(IF(AND($Q$1=FALSE,$S$3=FALSE),"-",IF(AND($Q$1=TRUE,$S$3=TRUE),"-",IF(AND($Q$1=TRUE,$S$1=TRUE,$S$4=FALSE),VLOOKUP($E65,'Status Thresholds'!$E:$AS,15,FALSE),IF(AND($Q$1=TRUE,$S$4=FALSE),VLOOKUP($E65,'Status Thresholds'!$E:$AS,5,FALSE), IF(AND($Q$1=TRUE,$S$1=TRUE,$S$4=TRUE),VLOOKUP($E65,'Status Thresholds'!$E:$AS,20,FALSE),IF(AND($Q$1=TRUE,$S$4=TRUE),VLOOKUP($E65,'Status Thresholds'!$E:$AS,10,FALSE),IF(AND($S$3=TRUE,$S$1=TRUE,$S$4=FALSE),VLOOKUP($E65,'Status Thresholds'!$E:$AS,35,FALSE),IF(AND($S$3=TRUE,$S$4=FALSE),VLOOKUP($E65,'Status Thresholds'!$E:$AS,25,FALSE),IF(AND($S$3=TRUE,$S$1=TRUE,$S$4=TRUE),VLOOKUP($E65,'Status Thresholds'!$E:$AS,40,FALSE),IF(AND($S$3=TRUE,$S$4=TRUE),VLOOKUP($E65,'Status Thresholds'!$E:$AS,30,FALSE),""))))))))/IF(OR($Q$3=TRUE,AND($Q$2=TRUE,$Q$7=TRUE),AND($Q$3=TRUE,$Q$7=TRUE))=TRUE,'Shots and Status'!$F$5,IF((OR($Q$2,$Q$7)=TRUE),'Shots and Status'!$D$5,'Shots and Status'!$C$5)))),0),"-")</f>
        <v>-</v>
      </c>
      <c r="L65" s="36" t="str">
        <f>IFERROR(IF(AND($Q$1=FALSE,$S$3=FALSE),"-",VLOOKUP($E65,'Status Thresholds'!$E:$AU,41,FALSE)),"-")</f>
        <v>-</v>
      </c>
      <c r="M65" s="36" t="str">
        <f>IFERROR(IF(AND($Q$1=FALSE,$S$3=FALSE),"-",VLOOKUP($E65,'Status Thresholds'!$E:$AU,42,FALSE)),"-")</f>
        <v>-</v>
      </c>
      <c r="N65" s="36" t="str">
        <f>IFERROR(IF(AND($Q$1=FALSE,$S$3=FALSE),"-",VLOOKUP($E65,'Status Thresholds'!$E:$AU,43,FALSE)),"-")</f>
        <v>-</v>
      </c>
    </row>
    <row r="66" spans="1:14" s="36" customFormat="1" x14ac:dyDescent="0.25">
      <c r="A66" s="46"/>
      <c r="B66" s="64" t="str">
        <f>VLOOKUP(C66,'Status Thresholds'!B:C,2,FALSE)</f>
        <v>MHGen</v>
      </c>
      <c r="C66" s="46" t="str">
        <f>IF(ISBLANK('KO Calc'!C62)=TRUE,"",'KO Calc'!C62)</f>
        <v>Arzuros</v>
      </c>
      <c r="D66" s="57" t="s">
        <v>22</v>
      </c>
      <c r="E66" s="62" t="str">
        <f t="shared" si="1"/>
        <v>ArzurosExhaust</v>
      </c>
      <c r="F66" s="36" t="s">
        <v>8</v>
      </c>
      <c r="G66" s="36" t="str">
        <f t="shared" si="2"/>
        <v>ArzurosExhaust lvl 2</v>
      </c>
      <c r="H66" s="36" t="str">
        <f>IFERROR(ROUNDUP(IF(AND($Q$1=FALSE,$S$3=FALSE),"-",IF(AND($Q$1=TRUE,$S$3=TRUE),"-",IF(AND($Q$1=TRUE,$S$1=TRUE,$S$4=FALSE),VLOOKUP($E66,'Status Thresholds'!$E:$AS,12,FALSE),IF(AND($Q$1=TRUE,$S$4=FALSE),VLOOKUP($E66,'Status Thresholds'!$E:$AS,2,FALSE), IF(AND($Q$1=TRUE,$S$1=TRUE,$S$4=TRUE),VLOOKUP($E66,'Status Thresholds'!$E:$AS,17,FALSE),IF(AND($Q$1=TRUE,$S$4=TRUE),VLOOKUP($E66,'Status Thresholds'!$E:$AS,7,FALSE),IF(AND($S$3=TRUE,$S$1=TRUE,$S$4=FALSE),VLOOKUP($E66,'Status Thresholds'!$E:$AS,32,FALSE),IF(AND($S$3=TRUE,$S$4=FALSE),VLOOKUP($E66,'Status Thresholds'!$E:$AS,22,FALSE),IF(AND($S$3=TRUE,$S$1=TRUE,$S$4=TRUE),VLOOKUP($E66,'Status Thresholds'!$E:$AS,37,FALSE),IF(AND($S$3=TRUE,$S$4=TRUE),VLOOKUP($E66,'Status Thresholds'!$E:$AS,27,FALSE),""))))))))/IF(OR($Q$3=TRUE,AND($Q$2=TRUE,$Q$7=TRUE),AND($Q$3=TRUE,$Q$7=TRUE))=TRUE,'Shots and Status'!$F$5,IF((OR($Q$2,$Q$7)=TRUE),'Shots and Status'!$D$5,'Shots and Status'!$C$5)))),0),"-")</f>
        <v>-</v>
      </c>
      <c r="I66" s="36" t="str">
        <f>IFERROR(ROUNDUP(IF(AND($Q$1=FALSE,$S$3=FALSE),"-",IF(AND($Q$1=TRUE,$S$3=TRUE),"-",IF(AND($Q$1=TRUE,$S$1=TRUE,$S$4=FALSE),VLOOKUP($E66,'Status Thresholds'!$E:$AS,13,FALSE),IF(AND($Q$1=TRUE,$S$4=FALSE),VLOOKUP($E66,'Status Thresholds'!$E:$AS,3,FALSE), IF(AND($Q$1=TRUE,$S$1=TRUE,$S$4=TRUE),VLOOKUP($E66,'Status Thresholds'!$E:$AS,18,FALSE),IF(AND($Q$1=TRUE,$S$4=TRUE),VLOOKUP($E66,'Status Thresholds'!$E:$AS,8,FALSE),IF(AND($S$3=TRUE,$S$1=TRUE,$S$4=FALSE),VLOOKUP($E66,'Status Thresholds'!$E:$AS,33,FALSE),IF(AND($S$3=TRUE,$S$4=FALSE),VLOOKUP($E66,'Status Thresholds'!$E:$AS,23,FALSE),IF(AND($S$3=TRUE,$S$1=TRUE,$S$4=TRUE),VLOOKUP($E66,'Status Thresholds'!$E:$AS,38,FALSE),IF(AND($S$3=TRUE,$S$4=TRUE),VLOOKUP($E66,'Status Thresholds'!$E:$AS,28,FALSE),""))))))))/IF(OR($Q$3=TRUE,AND($Q$2=TRUE,$Q$7=TRUE),AND($Q$3=TRUE,$Q$7=TRUE))=TRUE,'Shots and Status'!$F$5,IF((OR($Q$2,$Q$7)=TRUE),'Shots and Status'!$D$5,'Shots and Status'!$C$5)))),0),"-")</f>
        <v>-</v>
      </c>
      <c r="J66" s="36" t="str">
        <f>IFERROR(ROUNDUP(IF(AND($Q$1=FALSE,$S$3=FALSE),"-",IF(AND($Q$1=TRUE,$S$3=TRUE),"-",IF(AND($Q$1=TRUE,$S$1=TRUE,$S$4=FALSE),VLOOKUP($E66,'Status Thresholds'!$E:$AS,14,FALSE),IF(AND($Q$1=TRUE,$S$4=FALSE),VLOOKUP($E66,'Status Thresholds'!$E:$AS,4,FALSE), IF(AND($Q$1=TRUE,$S$1=TRUE,$S$4=TRUE),VLOOKUP($E66,'Status Thresholds'!$E:$AS,19,FALSE),IF(AND($Q$1=TRUE,$S$4=TRUE),VLOOKUP($E66,'Status Thresholds'!$E:$AS,9,FALSE),IF(AND($S$3=TRUE,$S$1=TRUE,$S$4=FALSE),VLOOKUP($E66,'Status Thresholds'!$E:$AS,34,FALSE),IF(AND($S$3=TRUE,$S$4=FALSE),VLOOKUP($E66,'Status Thresholds'!$E:$AS,24,FALSE),IF(AND($S$3=TRUE,$S$1=TRUE,$S$4=TRUE),VLOOKUP($E66,'Status Thresholds'!$E:$AS,39,FALSE),IF(AND($S$3=TRUE,$S$4=TRUE),VLOOKUP($E66,'Status Thresholds'!$E:$AS,29,FALSE),""))))))))/IF(OR($Q$3=TRUE,AND($Q$2=TRUE,$Q$7=TRUE),AND($Q$3=TRUE,$Q$7=TRUE))=TRUE,'Shots and Status'!$F$5,IF((OR($Q$2,$Q$7)=TRUE),'Shots and Status'!$D$5,'Shots and Status'!$C$5)))),0),"-")</f>
        <v>-</v>
      </c>
      <c r="K66" s="36" t="str">
        <f>IFERROR(ROUNDUP(IF(AND($Q$1=FALSE,$S$3=FALSE),"-",IF(AND($Q$1=TRUE,$S$3=TRUE),"-",IF(AND($Q$1=TRUE,$S$1=TRUE,$S$4=FALSE),VLOOKUP($E66,'Status Thresholds'!$E:$AS,15,FALSE),IF(AND($Q$1=TRUE,$S$4=FALSE),VLOOKUP($E66,'Status Thresholds'!$E:$AS,5,FALSE), IF(AND($Q$1=TRUE,$S$1=TRUE,$S$4=TRUE),VLOOKUP($E66,'Status Thresholds'!$E:$AS,20,FALSE),IF(AND($Q$1=TRUE,$S$4=TRUE),VLOOKUP($E66,'Status Thresholds'!$E:$AS,10,FALSE),IF(AND($S$3=TRUE,$S$1=TRUE,$S$4=FALSE),VLOOKUP($E66,'Status Thresholds'!$E:$AS,35,FALSE),IF(AND($S$3=TRUE,$S$4=FALSE),VLOOKUP($E66,'Status Thresholds'!$E:$AS,25,FALSE),IF(AND($S$3=TRUE,$S$1=TRUE,$S$4=TRUE),VLOOKUP($E66,'Status Thresholds'!$E:$AS,40,FALSE),IF(AND($S$3=TRUE,$S$4=TRUE),VLOOKUP($E66,'Status Thresholds'!$E:$AS,30,FALSE),""))))))))/IF(OR($Q$3=TRUE,AND($Q$2=TRUE,$Q$7=TRUE),AND($Q$3=TRUE,$Q$7=TRUE))=TRUE,'Shots and Status'!$F$5,IF((OR($Q$2,$Q$7)=TRUE),'Shots and Status'!$D$5,'Shots and Status'!$C$5)))),0),"-")</f>
        <v>-</v>
      </c>
      <c r="L66" s="36" t="str">
        <f>IFERROR(IF(AND($Q$1=FALSE,$S$3=FALSE),"-",VLOOKUP($E66,'Status Thresholds'!$E:$AU,41,FALSE)),"-")</f>
        <v>-</v>
      </c>
      <c r="M66" s="36" t="str">
        <f>IFERROR(IF(AND($Q$1=FALSE,$S$3=FALSE),"-",VLOOKUP($E66,'Status Thresholds'!$E:$AU,42,FALSE)),"-")</f>
        <v>-</v>
      </c>
      <c r="N66" s="36" t="str">
        <f>IFERROR(IF(AND($Q$1=FALSE,$S$3=FALSE),"-",VLOOKUP($E66,'Status Thresholds'!$E:$AU,43,FALSE)),"-")</f>
        <v>-</v>
      </c>
    </row>
    <row r="67" spans="1:14" s="36" customFormat="1" x14ac:dyDescent="0.25">
      <c r="A67" s="46"/>
      <c r="B67" s="64" t="str">
        <f>VLOOKUP(C67,'Status Thresholds'!B:C,2,FALSE)</f>
        <v>MHGen</v>
      </c>
      <c r="C67" s="46" t="str">
        <f>IF(ISBLANK('KO Calc'!C63)=TRUE,"",'KO Calc'!C63)</f>
        <v>Arzuros</v>
      </c>
      <c r="D67" s="67" t="s">
        <v>14</v>
      </c>
      <c r="E67" s="62" t="str">
        <f t="shared" si="1"/>
        <v>ArzurosKO</v>
      </c>
      <c r="F67" s="36" t="s">
        <v>21</v>
      </c>
      <c r="G67" s="36" t="str">
        <f t="shared" si="2"/>
        <v>ArzurosTriblast</v>
      </c>
      <c r="H67" s="36" t="str">
        <f>IF(AND($Q$1=FALSE,$S$3=FALSE),"-",IF(AND($Q$1=TRUE,$S$3=TRUE),"-",IF(AND($Q$1=FALSE,$S$3=FALSE),"-",IF(AND($Q$1=TRUE,$S$1=TRUE,$S$4=FALSE)=TRUE,IF(OR($Q$4=TRUE,$Q$5=TRUE,$S$2=TRUE),VLOOKUP($G67,'KO Calc'!$H:$AW,12,FALSE),VLOOKUP($G67,'KO Calc'!$H64:$AW64,12,FALSE)),IF(AND($Q$1=TRUE,$S$4=FALSE),IF(OR($Q$4=TRUE,$Q$5=TRUE,$S$2=TRUE),VLOOKUP($G67,'KO Calc'!$H:$AW,2,FALSE),VLOOKUP($G67,'KO Calc'!$H64:$AW64,2,FALSE)),
IF(AND($Q$1=TRUE,$S$1=TRUE,$S$4=TRUE)=TRUE,IF(OR($Q$4=TRUE,$Q$5=TRUE,$S$2=TRUE),VLOOKUP($G67,'KO Calc'!$H:$AW,17,FALSE),VLOOKUP($G67,'KO Calc'!$H64:$AW64,17,FALSE)),IF(AND($Q$1=TRUE,$S$4=TRUE),IF(OR($Q$4=TRUE,$Q$5=TRUE,$S$2=TRUE),VLOOKUP($G67,'KO Calc'!$H:$AW,7,FALSE),VLOOKUP($G67,'KO Calc'!$H64:$AW64,7,FALSE)),
IF(AND($S$3=TRUE,$S$1=TRUE,$S$4=FALSE)=TRUE,IF(OR($Q$4=TRUE,$Q$5=TRUE,$S$2=TRUE),VLOOKUP($G67,'KO Calc'!$H:$AW,32,FALSE),VLOOKUP($G67,'KO Calc'!$H64:$AW64,32,FALSE)),IF(AND($S$3=TRUE,$S$4=FALSE),IF(OR($Q$4=TRUE,$Q$5=TRUE,$S$2=TRUE),VLOOKUP($G67,'KO Calc'!$H:$AW,22,FALSE),VLOOKUP($G67,'KO Calc'!$H64:$AW64,22,FALSE)),
IF(AND($S$3=TRUE,$S$1=TRUE,$S$4=TRUE)=TRUE,IF(OR($Q$4=TRUE,$Q$5=TRUE,$S$2=TRUE),VLOOKUP($G67,'KO Calc'!$H:$AW,37,FALSE),VLOOKUP($G67,'KO Calc'!$H64:$AW64,37,FALSE)),IF(AND($S$3=TRUE,$S$4=TRUE),IF(OR($Q$4=TRUE,$Q$5=TRUE,$S$2=TRUE),VLOOKUP($G67,'KO Calc'!$H:$AW,27,FALSE),VLOOKUP($G67,'KO Calc'!$H64:$AW64,27,FALSE)))))))))))))</f>
        <v>-</v>
      </c>
      <c r="I67" s="36" t="str">
        <f>IF(AND($Q$1=FALSE,$S$3=FALSE),"-",IF(AND($Q$1=TRUE,$S$3=TRUE),"-",IF(AND($Q$1=FALSE,$S$3=FALSE),"-",IF(AND($Q$1=TRUE,$S$1=TRUE,$S$4=FALSE)=TRUE,IF(OR($Q$4=TRUE,$Q$5=TRUE,$S$2=TRUE),VLOOKUP($G67,'KO Calc'!$H:$AW,13,FALSE),VLOOKUP($G67,'KO Calc'!$H64:$AW64,13,FALSE)),IF(AND($Q$1=TRUE,$S$4=FALSE),IF(OR($Q$4=TRUE,$Q$5=TRUE,$S$2=TRUE),VLOOKUP($G67,'KO Calc'!$H:$AW,3,FALSE),VLOOKUP($G67,'KO Calc'!$H64:$AW64,3,FALSE)),
IF(AND($Q$1=TRUE,$S$1=TRUE,$S$4=TRUE)=TRUE,IF(OR($Q$4=TRUE,$Q$5=TRUE,$S$2=TRUE),VLOOKUP($G67,'KO Calc'!$H:$AW,18,FALSE),VLOOKUP($G67,'KO Calc'!$H64:$AW64,18,FALSE)),IF(AND($Q$1=TRUE,$S$4=TRUE),IF(OR($Q$4=TRUE,$Q$5=TRUE,$S$2=TRUE),VLOOKUP($G67,'KO Calc'!$H:$AW,8,FALSE),VLOOKUP($G67,'KO Calc'!$H64:$AW64,8,FALSE)),
IF(AND($S$3=TRUE,$S$1=TRUE,$S$4=FALSE)=TRUE,IF(OR($Q$4=TRUE,$Q$5=TRUE,$S$2=TRUE),VLOOKUP($G67,'KO Calc'!$H:$AW,33,FALSE),VLOOKUP($G67,'KO Calc'!$H64:$AW64,33,FALSE)),IF(AND($S$3=TRUE,$S$4=FALSE),IF(OR($Q$4=TRUE,$Q$5=TRUE,$S$2=TRUE),VLOOKUP($G67,'KO Calc'!$H:$AW,23,FALSE),VLOOKUP($G67,'KO Calc'!$H64:$AW64,23,FALSE)),
IF(AND($S$3=TRUE,$S$1=TRUE,$S$4=TRUE)=TRUE,IF(OR($Q$4=TRUE,$Q$5=TRUE,$S$2=TRUE),VLOOKUP($G67,'KO Calc'!$H:$AW,38,FALSE),VLOOKUP($G67,'KO Calc'!$H64:$AW64,38,FALSE)),IF(AND($S$3=TRUE,$S$4=TRUE),IF(OR($Q$4=TRUE,$Q$5=TRUE,$S$2=TRUE),VLOOKUP($G67,'KO Calc'!$H:$AW,28,FALSE),VLOOKUP($G67,'KO Calc'!$H64:$AW64,28,FALSE)))))))))))))</f>
        <v>-</v>
      </c>
      <c r="J67" s="36" t="str">
        <f>IF(AND($Q$1=FALSE,$S$3=FALSE),"-",IF(AND($Q$1=TRUE,$S$3=TRUE),"-",IF(AND($Q$1=FALSE,$S$3=FALSE),"-",IF(AND($Q$1=TRUE,$S$1=TRUE,$S$4=FALSE)=TRUE,IF(OR($Q$4=TRUE,$Q$5=TRUE,$S$2=TRUE),VLOOKUP($G67,'KO Calc'!$H:$AW,FALSE),VLOOKUP($G67,'KO Calc'!$H64:$AW64,14,FALSE)),IF(AND($Q$1=TRUE,$S$4=FALSE),IF(OR($Q$4=TRUE,$Q$5=TRUE,$S$2=TRUE),VLOOKUP($G67,'KO Calc'!$H:$AW,4,FALSE),VLOOKUP($G67,'KO Calc'!$H64:$AW64,4,FALSE)),
IF(AND($Q$1=TRUE,$S$1=TRUE,$S$4=TRUE)=TRUE,IF(OR($Q$4=TRUE,$Q$5=TRUE,$S$2=TRUE),VLOOKUP($G67,'KO Calc'!$H:$AW,19,FALSE),VLOOKUP($G67,'KO Calc'!$H64:$AW64,19,FALSE)),IF(AND($Q$1=TRUE,$S$4=TRUE),IF(OR($Q$4=TRUE,$Q$5=TRUE,$S$2=TRUE),VLOOKUP($G67,'KO Calc'!$H:$AW,9,FALSE),VLOOKUP($G67,'KO Calc'!$H64:$AW64,9,FALSE)),
IF(AND($S$3=TRUE,$S$1=TRUE,$S$4=FALSE)=TRUE,IF(OR($Q$4=TRUE,$Q$5=TRUE,$S$2=TRUE),VLOOKUP($G67,'KO Calc'!$H:$AW,34,FALSE),VLOOKUP($G67,'KO Calc'!$H64:$AW64,34,FALSE)),IF(AND($S$3=TRUE,$S$4=FALSE),IF(OR($Q$4=TRUE,$Q$5=TRUE,$S$2=TRUE),VLOOKUP($G67,'KO Calc'!$H:$AW,24,FALSE),VLOOKUP($G67,'KO Calc'!$H64:$AW64,24,FALSE)),
IF(AND($S$3=TRUE,$S$1=TRUE,$S$4=TRUE)=TRUE,IF(OR($Q$4=TRUE,$Q$5=TRUE,$S$2=TRUE),VLOOKUP($G67,'KO Calc'!$H:$AW,39,FALSE),VLOOKUP($G67,'KO Calc'!$H64:$AW64,39,FALSE)),IF(AND($S$3=TRUE,$S$4=TRUE),IF(OR($Q$4=TRUE,$Q$5=TRUE,$S$2=TRUE),VLOOKUP($G67,'KO Calc'!$H:$AW,29,FALSE),VLOOKUP($G67,'KO Calc'!$H64:$AW64,29,FALSE)))))))))))))</f>
        <v>-</v>
      </c>
      <c r="K67" s="36" t="str">
        <f>IF(AND($Q$1=FALSE,$S$3=FALSE),"-",IF(AND($Q$1=TRUE,$S$3=TRUE),"-",IF(AND($Q$1=FALSE,$S$3=FALSE),"-",IF(AND($Q$1=TRUE,$S$1=TRUE,$S$4=FALSE)=TRUE,IF(OR($Q$4=TRUE,$Q$5=TRUE,$S$2=TRUE),VLOOKUP($G67,'KO Calc'!$H:$AW,15,FALSE),VLOOKUP($G67,'KO Calc'!$H64:$AW64,15,FALSE)),IF(AND($Q$1=TRUE,$S$4=FALSE),IF(OR($Q$4=TRUE,$Q$5=TRUE,$S$2=TRUE),VLOOKUP($G67,'KO Calc'!$H:$AW,5,FALSE),VLOOKUP($G67,'KO Calc'!$H64:$AW64,5,FALSE)),
IF(AND($Q$1=TRUE,$S$1=TRUE,$S$4=TRUE)=TRUE,IF(OR($Q$4=TRUE,$Q$5=TRUE,$S$2=TRUE),VLOOKUP($G67,'KO Calc'!$H:$AW,20,FALSE),VLOOKUP($G67,'KO Calc'!$H64:$AW64,20,FALSE)),IF(AND($Q$1=TRUE,$S$4=TRUE),IF(OR($Q$4=TRUE,$Q$5=TRUE,$S$2=TRUE),VLOOKUP($G67,'KO Calc'!$H:$AW,10,FALSE),VLOOKUP($G67,'KO Calc'!$H64:$AW64,10,FALSE)),
IF(AND($S$3=TRUE,$S$1=TRUE,$S$4=FALSE)=TRUE,IF(OR($Q$4=TRUE,$Q$5=TRUE,$S$2=TRUE),VLOOKUP($G67,'KO Calc'!$H:$AW,35,FALSE),VLOOKUP($G67,'KO Calc'!$H64:$AW64,35,FALSE)),IF(AND($S$3=TRUE,$S$4=FALSE),IF(OR($Q$4=TRUE,$Q$5=TRUE,$S$2=TRUE),VLOOKUP($G67,'KO Calc'!$H:$AW,25,FALSE),VLOOKUP($G67,'KO Calc'!$H64:$AW64,25,FALSE)),
IF(AND($S$3=TRUE,$S$1=TRUE,$S$4=TRUE)=TRUE,IF(OR($Q$4=TRUE,$Q$5=TRUE,$S$2=TRUE),VLOOKUP($G67,'KO Calc'!$H:$AW,40,FALSE),VLOOKUP($G67,'KO Calc'!$H64:$AW64,40,FALSE)),IF(AND($S$3=TRUE,$S$4=TRUE),IF(OR($Q$4=TRUE,$Q$5=TRUE,$S$2=TRUE),VLOOKUP($G67,'KO Calc'!$H:$AW,30,FALSE),VLOOKUP($G67,'KO Calc'!$H64:$AW64,30,FALSE)))))))))))))</f>
        <v>-</v>
      </c>
      <c r="L67" s="36" t="str">
        <f>IFERROR(IF(AND($Q$1=FALSE,$S$3=FALSE),"-",VLOOKUP($E67,'Status Thresholds'!$E:$AU,41,FALSE)),"-")</f>
        <v>-</v>
      </c>
      <c r="M67" s="36" t="str">
        <f>IFERROR(IF(AND($Q$1=FALSE,$S$3=FALSE),"-",VLOOKUP($E67,'Status Thresholds'!$E:$AU,42,FALSE)),"-")</f>
        <v>-</v>
      </c>
      <c r="N67" s="36" t="str">
        <f>IFERROR(IF(AND($Q$1=FALSE,$S$3=FALSE),"-",VLOOKUP($E67,'Status Thresholds'!$E:$AU,43,FALSE)),"-")</f>
        <v>-</v>
      </c>
    </row>
    <row r="68" spans="1:14" x14ac:dyDescent="0.25">
      <c r="B68" s="64" t="str">
        <f>VLOOKUP(C68,'Status Thresholds'!B:C,2,FALSE)</f>
        <v>MHGen</v>
      </c>
      <c r="C68" s="46" t="str">
        <f>IF(ISBLANK('KO Calc'!C64)=TRUE,"",'KO Calc'!C64)</f>
        <v>Arzuros</v>
      </c>
      <c r="D68" s="78" t="s">
        <v>207</v>
      </c>
      <c r="E68" s="62" t="str">
        <f t="shared" si="1"/>
        <v>ArzurosShock Trap</v>
      </c>
      <c r="F68" t="s">
        <v>13</v>
      </c>
      <c r="G68" s="36" t="str">
        <f t="shared" si="2"/>
        <v>ArzurosCrag 3</v>
      </c>
      <c r="H68" s="36" t="str">
        <f>IF(AND($Q$1=FALSE,$S$3=FALSE),"-",IF(AND($Q$1=TRUE,$S$3=TRUE),"-",IF(AND($Q$1=FALSE,$S$3=FALSE),"-",IF(AND($Q$1=TRUE,$S$1=TRUE,$S$4=FALSE)=TRUE,IF(OR($Q$4=TRUE,$Q$5=TRUE,$S$2=TRUE),VLOOKUP($G68,'KO Calc'!$H:$AW,12,FALSE),VLOOKUP($G68,'KO Calc'!$H65:$AW65,12,FALSE)),IF(AND($Q$1=TRUE,$S$4=FALSE),IF(OR($Q$4=TRUE,$Q$5=TRUE,$S$2=TRUE),VLOOKUP($G68,'KO Calc'!$H:$AW,2,FALSE),VLOOKUP($G68,'KO Calc'!$H65:$AW65,2,FALSE)),
IF(AND($Q$1=TRUE,$S$1=TRUE,$S$4=TRUE)=TRUE,IF(OR($Q$4=TRUE,$Q$5=TRUE,$S$2=TRUE),VLOOKUP($G68,'KO Calc'!$H:$AW,17,FALSE),VLOOKUP($G68,'KO Calc'!$H65:$AW65,17,FALSE)),IF(AND($Q$1=TRUE,$S$4=TRUE),IF(OR($Q$4=TRUE,$Q$5=TRUE,$S$2=TRUE),VLOOKUP($G68,'KO Calc'!$H:$AW,7,FALSE),VLOOKUP($G68,'KO Calc'!$H65:$AW65,7,FALSE)),
IF(AND($S$3=TRUE,$S$1=TRUE,$S$4=FALSE)=TRUE,IF(OR($Q$4=TRUE,$Q$5=TRUE,$S$2=TRUE),VLOOKUP($G68,'KO Calc'!$H:$AW,32,FALSE),VLOOKUP($G68,'KO Calc'!$H65:$AW65,32,FALSE)),IF(AND($S$3=TRUE,$S$4=FALSE),IF(OR($Q$4=TRUE,$Q$5=TRUE,$S$2=TRUE),VLOOKUP($G68,'KO Calc'!$H:$AW,22,FALSE),VLOOKUP($G68,'KO Calc'!$H65:$AW65,22,FALSE)),
IF(AND($S$3=TRUE,$S$1=TRUE,$S$4=TRUE)=TRUE,IF(OR($Q$4=TRUE,$Q$5=TRUE,$S$2=TRUE),VLOOKUP($G68,'KO Calc'!$H:$AW,37,FALSE),VLOOKUP($G68,'KO Calc'!$H65:$AW65,37,FALSE)),IF(AND($S$3=TRUE,$S$4=TRUE),IF(OR($Q$4=TRUE,$Q$5=TRUE,$S$2=TRUE),VLOOKUP($G68,'KO Calc'!$H:$AW,27,FALSE),VLOOKUP($G68,'KO Calc'!$H65:$AW65,27,FALSE)))))))))))))</f>
        <v>-</v>
      </c>
      <c r="I68" s="36" t="str">
        <f>IF(AND($Q$1=FALSE,$S$3=FALSE),"-",IF(AND($Q$1=TRUE,$S$3=TRUE),"-",IF(AND($Q$1=FALSE,$S$3=FALSE),"-",IF(AND($Q$1=TRUE,$S$1=TRUE,$S$4=FALSE)=TRUE,IF(OR($Q$4=TRUE,$Q$5=TRUE,$S$2=TRUE),VLOOKUP($G68,'KO Calc'!$H:$AW,13,FALSE),VLOOKUP($G68,'KO Calc'!$H65:$AW65,13,FALSE)),IF(AND($Q$1=TRUE,$S$4=FALSE),IF(OR($Q$4=TRUE,$Q$5=TRUE,$S$2=TRUE),VLOOKUP($G68,'KO Calc'!$H:$AW,3,FALSE),VLOOKUP($G68,'KO Calc'!$H65:$AW65,3,FALSE)),
IF(AND($Q$1=TRUE,$S$1=TRUE,$S$4=TRUE)=TRUE,IF(OR($Q$4=TRUE,$Q$5=TRUE,$S$2=TRUE),VLOOKUP($G68,'KO Calc'!$H:$AW,18,FALSE),VLOOKUP($G68,'KO Calc'!$H65:$AW65,18,FALSE)),IF(AND($Q$1=TRUE,$S$4=TRUE),IF(OR($Q$4=TRUE,$Q$5=TRUE,$S$2=TRUE),VLOOKUP($G68,'KO Calc'!$H:$AW,8,FALSE),VLOOKUP($G68,'KO Calc'!$H65:$AW65,8,FALSE)),
IF(AND($S$3=TRUE,$S$1=TRUE,$S$4=FALSE)=TRUE,IF(OR($Q$4=TRUE,$Q$5=TRUE,$S$2=TRUE),VLOOKUP($G68,'KO Calc'!$H:$AW,33,FALSE),VLOOKUP($G68,'KO Calc'!$H65:$AW65,33,FALSE)),IF(AND($S$3=TRUE,$S$4=FALSE),IF(OR($Q$4=TRUE,$Q$5=TRUE,$S$2=TRUE),VLOOKUP($G68,'KO Calc'!$H:$AW,23,FALSE),VLOOKUP($G68,'KO Calc'!$H65:$AW65,23,FALSE)),
IF(AND($S$3=TRUE,$S$1=TRUE,$S$4=TRUE)=TRUE,IF(OR($Q$4=TRUE,$Q$5=TRUE,$S$2=TRUE),VLOOKUP($G68,'KO Calc'!$H:$AW,38,FALSE),VLOOKUP($G68,'KO Calc'!$H65:$AW65,38,FALSE)),IF(AND($S$3=TRUE,$S$4=TRUE),IF(OR($Q$4=TRUE,$Q$5=TRUE,$S$2=TRUE),VLOOKUP($G68,'KO Calc'!$H:$AW,28,FALSE),VLOOKUP($G68,'KO Calc'!$H65:$AW65,28,FALSE)))))))))))))</f>
        <v>-</v>
      </c>
      <c r="J68" s="36" t="str">
        <f>IF(AND($Q$1=FALSE,$S$3=FALSE),"-",IF(AND($Q$1=TRUE,$S$3=TRUE),"-",IF(AND($Q$1=FALSE,$S$3=FALSE),"-",IF(AND($Q$1=TRUE,$S$1=TRUE,$S$4=FALSE)=TRUE,IF(OR($Q$4=TRUE,$Q$5=TRUE,$S$2=TRUE),VLOOKUP($G68,'KO Calc'!$H:$AW,FALSE),VLOOKUP($G68,'KO Calc'!$H65:$AW65,14,FALSE)),IF(AND($Q$1=TRUE,$S$4=FALSE),IF(OR($Q$4=TRUE,$Q$5=TRUE,$S$2=TRUE),VLOOKUP($G68,'KO Calc'!$H:$AW,4,FALSE),VLOOKUP($G68,'KO Calc'!$H65:$AW65,4,FALSE)),
IF(AND($Q$1=TRUE,$S$1=TRUE,$S$4=TRUE)=TRUE,IF(OR($Q$4=TRUE,$Q$5=TRUE,$S$2=TRUE),VLOOKUP($G68,'KO Calc'!$H:$AW,19,FALSE),VLOOKUP($G68,'KO Calc'!$H65:$AW65,19,FALSE)),IF(AND($Q$1=TRUE,$S$4=TRUE),IF(OR($Q$4=TRUE,$Q$5=TRUE,$S$2=TRUE),VLOOKUP($G68,'KO Calc'!$H:$AW,9,FALSE),VLOOKUP($G68,'KO Calc'!$H65:$AW65,9,FALSE)),
IF(AND($S$3=TRUE,$S$1=TRUE,$S$4=FALSE)=TRUE,IF(OR($Q$4=TRUE,$Q$5=TRUE,$S$2=TRUE),VLOOKUP($G68,'KO Calc'!$H:$AW,34,FALSE),VLOOKUP($G68,'KO Calc'!$H65:$AW65,34,FALSE)),IF(AND($S$3=TRUE,$S$4=FALSE),IF(OR($Q$4=TRUE,$Q$5=TRUE,$S$2=TRUE),VLOOKUP($G68,'KO Calc'!$H:$AW,24,FALSE),VLOOKUP($G68,'KO Calc'!$H65:$AW65,24,FALSE)),
IF(AND($S$3=TRUE,$S$1=TRUE,$S$4=TRUE)=TRUE,IF(OR($Q$4=TRUE,$Q$5=TRUE,$S$2=TRUE),VLOOKUP($G68,'KO Calc'!$H:$AW,39,FALSE),VLOOKUP($G68,'KO Calc'!$H65:$AW65,39,FALSE)),IF(AND($S$3=TRUE,$S$4=TRUE),IF(OR($Q$4=TRUE,$Q$5=TRUE,$S$2=TRUE),VLOOKUP($G68,'KO Calc'!$H:$AW,29,FALSE),VLOOKUP($G68,'KO Calc'!$H65:$AW65,29,FALSE)))))))))))))</f>
        <v>-</v>
      </c>
      <c r="K68" s="36" t="str">
        <f>IF(AND($Q$1=FALSE,$S$3=FALSE),"-",IF(AND($Q$1=TRUE,$S$3=TRUE),"-",IF(AND($Q$1=FALSE,$S$3=FALSE),"-",IF(AND($Q$1=TRUE,$S$1=TRUE,$S$4=FALSE)=TRUE,IF(OR($Q$4=TRUE,$Q$5=TRUE,$S$2=TRUE),VLOOKUP($G68,'KO Calc'!$H:$AW,15,FALSE),VLOOKUP($G68,'KO Calc'!$H65:$AW65,15,FALSE)),IF(AND($Q$1=TRUE,$S$4=FALSE),IF(OR($Q$4=TRUE,$Q$5=TRUE,$S$2=TRUE),VLOOKUP($G68,'KO Calc'!$H:$AW,5,FALSE),VLOOKUP($G68,'KO Calc'!$H65:$AW65,5,FALSE)),
IF(AND($Q$1=TRUE,$S$1=TRUE,$S$4=TRUE)=TRUE,IF(OR($Q$4=TRUE,$Q$5=TRUE,$S$2=TRUE),VLOOKUP($G68,'KO Calc'!$H:$AW,20,FALSE),VLOOKUP($G68,'KO Calc'!$H65:$AW65,20,FALSE)),IF(AND($Q$1=TRUE,$S$4=TRUE),IF(OR($Q$4=TRUE,$Q$5=TRUE,$S$2=TRUE),VLOOKUP($G68,'KO Calc'!$H:$AW,10,FALSE),VLOOKUP($G68,'KO Calc'!$H65:$AW65,10,FALSE)),
IF(AND($S$3=TRUE,$S$1=TRUE,$S$4=FALSE)=TRUE,IF(OR($Q$4=TRUE,$Q$5=TRUE,$S$2=TRUE),VLOOKUP($G68,'KO Calc'!$H:$AW,35,FALSE),VLOOKUP($G68,'KO Calc'!$H65:$AW65,35,FALSE)),IF(AND($S$3=TRUE,$S$4=FALSE),IF(OR($Q$4=TRUE,$Q$5=TRUE,$S$2=TRUE),VLOOKUP($G68,'KO Calc'!$H:$AW,25,FALSE),VLOOKUP($G68,'KO Calc'!$H65:$AW65,25,FALSE)),
IF(AND($S$3=TRUE,$S$1=TRUE,$S$4=TRUE)=TRUE,IF(OR($Q$4=TRUE,$Q$5=TRUE,$S$2=TRUE),VLOOKUP($G68,'KO Calc'!$H:$AW,40,FALSE),VLOOKUP($G68,'KO Calc'!$H65:$AW65,40,FALSE)),IF(AND($S$3=TRUE,$S$4=TRUE),IF(OR($Q$4=TRUE,$Q$5=TRUE,$S$2=TRUE),VLOOKUP($G68,'KO Calc'!$H:$AW,30,FALSE),VLOOKUP($G68,'KO Calc'!$H65:$AW65,30,FALSE)))))))))))))</f>
        <v>-</v>
      </c>
      <c r="L68" s="36" t="str">
        <f>IFERROR(IF(AND($Q$1=FALSE,$S$3=FALSE),"-",VLOOKUP($E68,'Status Thresholds'!$E:$AU,43,FALSE)),"-")</f>
        <v>-</v>
      </c>
      <c r="M68" s="36" t="str">
        <f>IFERROR(IF(AND($Q$1=FALSE,$S$3=FALSE),"-",VLOOKUP($E68,'Status Thresholds'!$E:$AU,41,FALSE)),"-")</f>
        <v>-</v>
      </c>
      <c r="N68" s="36" t="str">
        <f>IFERROR(IF(AND($Q$1=FALSE,$S$3=FALSE),"-",VLOOKUP($E68,'Status Thresholds'!$E:$AU,42,FALSE)),"-")</f>
        <v>-</v>
      </c>
    </row>
    <row r="69" spans="1:14" x14ac:dyDescent="0.25">
      <c r="B69" s="64" t="str">
        <f>VLOOKUP(C69,'Status Thresholds'!B:C,2,FALSE)</f>
        <v>MHGen</v>
      </c>
      <c r="C69" s="46" t="str">
        <f>IF(ISBLANK('KO Calc'!C65)=TRUE,"",'KO Calc'!C65)</f>
        <v>Arzuros</v>
      </c>
      <c r="D69" s="78" t="s">
        <v>213</v>
      </c>
      <c r="E69" s="62" t="str">
        <f t="shared" si="1"/>
        <v>ArzurosPitfall Trap</v>
      </c>
      <c r="F69" t="s">
        <v>12</v>
      </c>
      <c r="G69" s="36" t="str">
        <f t="shared" si="2"/>
        <v>ArzurosCrag 2</v>
      </c>
      <c r="H69" s="36" t="str">
        <f>IF(AND($Q$1=FALSE,$S$3=FALSE),"-",IF(AND($Q$1=TRUE,$S$3=TRUE),"-",IF(AND($Q$1=FALSE,$S$3=FALSE),"-",IF(AND($Q$1=TRUE,$S$1=TRUE,$S$4=FALSE)=TRUE,IF(OR($Q$4=TRUE,$Q$5=TRUE,$S$2=TRUE),VLOOKUP($G69,'KO Calc'!$H:$AW,12,FALSE),VLOOKUP($G69,'KO Calc'!$H66:$AW66,12,FALSE)),IF(AND($Q$1=TRUE,$S$4=FALSE),IF(OR($Q$4=TRUE,$Q$5=TRUE,$S$2=TRUE),VLOOKUP($G69,'KO Calc'!$H:$AW,2,FALSE),VLOOKUP($G69,'KO Calc'!$H66:$AW66,2,FALSE)),
IF(AND($Q$1=TRUE,$S$1=TRUE,$S$4=TRUE)=TRUE,IF(OR($Q$4=TRUE,$Q$5=TRUE,$S$2=TRUE),VLOOKUP($G69,'KO Calc'!$H:$AW,17,FALSE),VLOOKUP($G69,'KO Calc'!$H66:$AW66,17,FALSE)),IF(AND($Q$1=TRUE,$S$4=TRUE),IF(OR($Q$4=TRUE,$Q$5=TRUE,$S$2=TRUE),VLOOKUP($G69,'KO Calc'!$H:$AW,7,FALSE),VLOOKUP($G69,'KO Calc'!$H66:$AW66,7,FALSE)),
IF(AND($S$3=TRUE,$S$1=TRUE,$S$4=FALSE)=TRUE,IF(OR($Q$4=TRUE,$Q$5=TRUE,$S$2=TRUE),VLOOKUP($G69,'KO Calc'!$H:$AW,32,FALSE),VLOOKUP($G69,'KO Calc'!$H66:$AW66,32,FALSE)),IF(AND($S$3=TRUE,$S$4=FALSE),IF(OR($Q$4=TRUE,$Q$5=TRUE,$S$2=TRUE),VLOOKUP($G69,'KO Calc'!$H:$AW,22,FALSE),VLOOKUP($G69,'KO Calc'!$H66:$AW66,22,FALSE)),
IF(AND($S$3=TRUE,$S$1=TRUE,$S$4=TRUE)=TRUE,IF(OR($Q$4=TRUE,$Q$5=TRUE,$S$2=TRUE),VLOOKUP($G69,'KO Calc'!$H:$AW,37,FALSE),VLOOKUP($G69,'KO Calc'!$H66:$AW66,37,FALSE)),IF(AND($S$3=TRUE,$S$4=TRUE),IF(OR($Q$4=TRUE,$Q$5=TRUE,$S$2=TRUE),VLOOKUP($G69,'KO Calc'!$H:$AW,27,FALSE),VLOOKUP($G69,'KO Calc'!$H66:$AW66,27,FALSE)))))))))))))</f>
        <v>-</v>
      </c>
      <c r="I69" s="36" t="str">
        <f>IF(AND($Q$1=FALSE,$S$3=FALSE),"-",IF(AND($Q$1=TRUE,$S$3=TRUE),"-",IF(AND($Q$1=FALSE,$S$3=FALSE),"-",IF(AND($Q$1=TRUE,$S$1=TRUE,$S$4=FALSE)=TRUE,IF(OR($Q$4=TRUE,$Q$5=TRUE,$S$2=TRUE),VLOOKUP($G69,'KO Calc'!$H:$AW,13,FALSE),VLOOKUP($G69,'KO Calc'!$H66:$AW66,13,FALSE)),IF(AND($Q$1=TRUE,$S$4=FALSE),IF(OR($Q$4=TRUE,$Q$5=TRUE,$S$2=TRUE),VLOOKUP($G69,'KO Calc'!$H:$AW,3,FALSE),VLOOKUP($G69,'KO Calc'!$H66:$AW66,3,FALSE)),
IF(AND($Q$1=TRUE,$S$1=TRUE,$S$4=TRUE)=TRUE,IF(OR($Q$4=TRUE,$Q$5=TRUE,$S$2=TRUE),VLOOKUP($G69,'KO Calc'!$H:$AW,18,FALSE),VLOOKUP($G69,'KO Calc'!$H66:$AW66,18,FALSE)),IF(AND($Q$1=TRUE,$S$4=TRUE),IF(OR($Q$4=TRUE,$Q$5=TRUE,$S$2=TRUE),VLOOKUP($G69,'KO Calc'!$H:$AW,8,FALSE),VLOOKUP($G69,'KO Calc'!$H66:$AW66,8,FALSE)),
IF(AND($S$3=TRUE,$S$1=TRUE,$S$4=FALSE)=TRUE,IF(OR($Q$4=TRUE,$Q$5=TRUE,$S$2=TRUE),VLOOKUP($G69,'KO Calc'!$H:$AW,33,FALSE),VLOOKUP($G69,'KO Calc'!$H66:$AW66,33,FALSE)),IF(AND($S$3=TRUE,$S$4=FALSE),IF(OR($Q$4=TRUE,$Q$5=TRUE,$S$2=TRUE),VLOOKUP($G69,'KO Calc'!$H:$AW,23,FALSE),VLOOKUP($G69,'KO Calc'!$H66:$AW66,23,FALSE)),
IF(AND($S$3=TRUE,$S$1=TRUE,$S$4=TRUE)=TRUE,IF(OR($Q$4=TRUE,$Q$5=TRUE,$S$2=TRUE),VLOOKUP($G69,'KO Calc'!$H:$AW,38,FALSE),VLOOKUP($G69,'KO Calc'!$H66:$AW66,38,FALSE)),IF(AND($S$3=TRUE,$S$4=TRUE),IF(OR($Q$4=TRUE,$Q$5=TRUE,$S$2=TRUE),VLOOKUP($G69,'KO Calc'!$H:$AW,28,FALSE),VLOOKUP($G69,'KO Calc'!$H66:$AW66,28,FALSE)))))))))))))</f>
        <v>-</v>
      </c>
      <c r="J69" s="36" t="str">
        <f>IF(AND($Q$1=FALSE,$S$3=FALSE),"-",IF(AND($Q$1=TRUE,$S$3=TRUE),"-",IF(AND($Q$1=FALSE,$S$3=FALSE),"-",IF(AND($Q$1=TRUE,$S$1=TRUE,$S$4=FALSE)=TRUE,IF(OR($Q$4=TRUE,$Q$5=TRUE,$S$2=TRUE),VLOOKUP($G69,'KO Calc'!$H:$AW,FALSE),VLOOKUP($G69,'KO Calc'!$H66:$AW66,14,FALSE)),IF(AND($Q$1=TRUE,$S$4=FALSE),IF(OR($Q$4=TRUE,$Q$5=TRUE,$S$2=TRUE),VLOOKUP($G69,'KO Calc'!$H:$AW,4,FALSE),VLOOKUP($G69,'KO Calc'!$H66:$AW66,4,FALSE)),
IF(AND($Q$1=TRUE,$S$1=TRUE,$S$4=TRUE)=TRUE,IF(OR($Q$4=TRUE,$Q$5=TRUE,$S$2=TRUE),VLOOKUP($G69,'KO Calc'!$H:$AW,19,FALSE),VLOOKUP($G69,'KO Calc'!$H66:$AW66,19,FALSE)),IF(AND($Q$1=TRUE,$S$4=TRUE),IF(OR($Q$4=TRUE,$Q$5=TRUE,$S$2=TRUE),VLOOKUP($G69,'KO Calc'!$H:$AW,9,FALSE),VLOOKUP($G69,'KO Calc'!$H66:$AW66,9,FALSE)),
IF(AND($S$3=TRUE,$S$1=TRUE,$S$4=FALSE)=TRUE,IF(OR($Q$4=TRUE,$Q$5=TRUE,$S$2=TRUE),VLOOKUP($G69,'KO Calc'!$H:$AW,34,FALSE),VLOOKUP($G69,'KO Calc'!$H66:$AW66,34,FALSE)),IF(AND($S$3=TRUE,$S$4=FALSE),IF(OR($Q$4=TRUE,$Q$5=TRUE,$S$2=TRUE),VLOOKUP($G69,'KO Calc'!$H:$AW,24,FALSE),VLOOKUP($G69,'KO Calc'!$H66:$AW66,24,FALSE)),
IF(AND($S$3=TRUE,$S$1=TRUE,$S$4=TRUE)=TRUE,IF(OR($Q$4=TRUE,$Q$5=TRUE,$S$2=TRUE),VLOOKUP($G69,'KO Calc'!$H:$AW,39,FALSE),VLOOKUP($G69,'KO Calc'!$H66:$AW66,39,FALSE)),IF(AND($S$3=TRUE,$S$4=TRUE),IF(OR($Q$4=TRUE,$Q$5=TRUE,$S$2=TRUE),VLOOKUP($G69,'KO Calc'!$H:$AW,29,FALSE),VLOOKUP($G69,'KO Calc'!$H66:$AW66,29,FALSE)))))))))))))</f>
        <v>-</v>
      </c>
      <c r="K69" s="36" t="str">
        <f>IF(AND($Q$1=FALSE,$S$3=FALSE),"-",IF(AND($Q$1=TRUE,$S$3=TRUE),"-",IF(AND($Q$1=FALSE,$S$3=FALSE),"-",IF(AND($Q$1=TRUE,$S$1=TRUE,$S$4=FALSE)=TRUE,IF(OR($Q$4=TRUE,$Q$5=TRUE,$S$2=TRUE),VLOOKUP($G69,'KO Calc'!$H:$AW,15,FALSE),VLOOKUP($G69,'KO Calc'!$H66:$AW66,15,FALSE)),IF(AND($Q$1=TRUE,$S$4=FALSE),IF(OR($Q$4=TRUE,$Q$5=TRUE,$S$2=TRUE),VLOOKUP($G69,'KO Calc'!$H:$AW,5,FALSE),VLOOKUP($G69,'KO Calc'!$H66:$AW66,5,FALSE)),
IF(AND($Q$1=TRUE,$S$1=TRUE,$S$4=TRUE)=TRUE,IF(OR($Q$4=TRUE,$Q$5=TRUE,$S$2=TRUE),VLOOKUP($G69,'KO Calc'!$H:$AW,20,FALSE),VLOOKUP($G69,'KO Calc'!$H66:$AW66,20,FALSE)),IF(AND($Q$1=TRUE,$S$4=TRUE),IF(OR($Q$4=TRUE,$Q$5=TRUE,$S$2=TRUE),VLOOKUP($G69,'KO Calc'!$H:$AW,10,FALSE),VLOOKUP($G69,'KO Calc'!$H66:$AW66,10,FALSE)),
IF(AND($S$3=TRUE,$S$1=TRUE,$S$4=FALSE)=TRUE,IF(OR($Q$4=TRUE,$Q$5=TRUE,$S$2=TRUE),VLOOKUP($G69,'KO Calc'!$H:$AW,35,FALSE),VLOOKUP($G69,'KO Calc'!$H66:$AW66,35,FALSE)),IF(AND($S$3=TRUE,$S$4=FALSE),IF(OR($Q$4=TRUE,$Q$5=TRUE,$S$2=TRUE),VLOOKUP($G69,'KO Calc'!$H:$AW,25,FALSE),VLOOKUP($G69,'KO Calc'!$H66:$AW66,25,FALSE)),
IF(AND($S$3=TRUE,$S$1=TRUE,$S$4=TRUE)=TRUE,IF(OR($Q$4=TRUE,$Q$5=TRUE,$S$2=TRUE),VLOOKUP($G69,'KO Calc'!$H:$AW,40,FALSE),VLOOKUP($G69,'KO Calc'!$H66:$AW66,40,FALSE)),IF(AND($S$3=TRUE,$S$4=TRUE),IF(OR($Q$4=TRUE,$Q$5=TRUE,$S$2=TRUE),VLOOKUP($G69,'KO Calc'!$H:$AW,30,FALSE),VLOOKUP($G69,'KO Calc'!$H66:$AW66,30,FALSE)))))))))))))</f>
        <v>-</v>
      </c>
      <c r="L69" s="36" t="str">
        <f>IFERROR(IF(AND($Q$1=FALSE,$S$3=FALSE),"-",VLOOKUP($E69,'Status Thresholds'!$E:$AU,43,FALSE)),"-")</f>
        <v>-</v>
      </c>
      <c r="M69" s="36" t="str">
        <f>IFERROR(IF(AND($Q$1=FALSE,$S$3=FALSE),"-",VLOOKUP($E69,'Status Thresholds'!$E:$AU,41,FALSE)),"-")</f>
        <v>-</v>
      </c>
      <c r="N69" s="36" t="str">
        <f>IFERROR(IF(AND($Q$1=FALSE,$S$3=FALSE),"-",VLOOKUP($E69,'Status Thresholds'!$E:$AU,42,FALSE)),"-")</f>
        <v>-</v>
      </c>
    </row>
    <row r="70" spans="1:14" x14ac:dyDescent="0.25">
      <c r="B70" s="64" t="str">
        <f>VLOOKUP(C70,'Status Thresholds'!B:C,2,FALSE)</f>
        <v>MHGen</v>
      </c>
      <c r="C70" s="46" t="str">
        <f>IF(ISBLANK('KO Calc'!C66)=TRUE,"",'KO Calc'!C66)</f>
        <v>Arzuros</v>
      </c>
      <c r="D70" s="78"/>
      <c r="E70" s="62" t="str">
        <f t="shared" si="1"/>
        <v>Arzuros</v>
      </c>
      <c r="F70" t="s">
        <v>11</v>
      </c>
      <c r="G70" s="36" t="str">
        <f t="shared" si="2"/>
        <v>ArzurosCrag 1</v>
      </c>
      <c r="H70" s="36" t="str">
        <f>IF(AND($Q$1=FALSE,$S$3=FALSE),"-",IF(AND($Q$1=TRUE,$S$3=TRUE),"-",IF(AND($Q$1=FALSE,$S$3=FALSE),"-",IF(AND($Q$1=TRUE,$S$1=TRUE,$S$4=FALSE)=TRUE,IF(OR($Q$4=TRUE,$Q$5=TRUE,$S$2=TRUE),VLOOKUP($G70,'KO Calc'!$H:$AW,12,FALSE),VLOOKUP($G70,'KO Calc'!$H67:$AW67,12,FALSE)),IF(AND($Q$1=TRUE,$S$4=FALSE),IF(OR($Q$4=TRUE,$Q$5=TRUE,$S$2=TRUE),VLOOKUP($G70,'KO Calc'!$H:$AW,2,FALSE),VLOOKUP($G70,'KO Calc'!$H67:$AW67,2,FALSE)),
IF(AND($Q$1=TRUE,$S$1=TRUE,$S$4=TRUE)=TRUE,IF(OR($Q$4=TRUE,$Q$5=TRUE,$S$2=TRUE),VLOOKUP($G70,'KO Calc'!$H:$AW,17,FALSE),VLOOKUP($G70,'KO Calc'!$H67:$AW67,17,FALSE)),IF(AND($Q$1=TRUE,$S$4=TRUE),IF(OR($Q$4=TRUE,$Q$5=TRUE,$S$2=TRUE),VLOOKUP($G70,'KO Calc'!$H:$AW,7,FALSE),VLOOKUP($G70,'KO Calc'!$H67:$AW67,7,FALSE)),
IF(AND($S$3=TRUE,$S$1=TRUE,$S$4=FALSE)=TRUE,IF(OR($Q$4=TRUE,$Q$5=TRUE,$S$2=TRUE),VLOOKUP($G70,'KO Calc'!$H:$AW,32,FALSE),VLOOKUP($G70,'KO Calc'!$H67:$AW67,32,FALSE)),IF(AND($S$3=TRUE,$S$4=FALSE),IF(OR($Q$4=TRUE,$Q$5=TRUE,$S$2=TRUE),VLOOKUP($G70,'KO Calc'!$H:$AW,22,FALSE),VLOOKUP($G70,'KO Calc'!$H67:$AW67,22,FALSE)),
IF(AND($S$3=TRUE,$S$1=TRUE,$S$4=TRUE)=TRUE,IF(OR($Q$4=TRUE,$Q$5=TRUE,$S$2=TRUE),VLOOKUP($G70,'KO Calc'!$H:$AW,37,FALSE),VLOOKUP($G70,'KO Calc'!$H67:$AW67,37,FALSE)),IF(AND($S$3=TRUE,$S$4=TRUE),IF(OR($Q$4=TRUE,$Q$5=TRUE,$S$2=TRUE),VLOOKUP($G70,'KO Calc'!$H:$AW,27,FALSE),VLOOKUP($G70,'KO Calc'!$H67:$AW67,27,FALSE)))))))))))))</f>
        <v>-</v>
      </c>
      <c r="I70" s="36" t="str">
        <f>IF(AND($Q$1=FALSE,$S$3=FALSE),"-",IF(AND($Q$1=TRUE,$S$3=TRUE),"-",IF(AND($Q$1=FALSE,$S$3=FALSE),"-",IF(AND($Q$1=TRUE,$S$1=TRUE,$S$4=FALSE)=TRUE,IF(OR($Q$4=TRUE,$Q$5=TRUE,$S$2=TRUE),VLOOKUP($G70,'KO Calc'!$H:$AW,13,FALSE),VLOOKUP($G70,'KO Calc'!$H67:$AW67,13,FALSE)),IF(AND($Q$1=TRUE,$S$4=FALSE),IF(OR($Q$4=TRUE,$Q$5=TRUE,$S$2=TRUE),VLOOKUP($G70,'KO Calc'!$H:$AW,3,FALSE),VLOOKUP($G70,'KO Calc'!$H67:$AW67,3,FALSE)),
IF(AND($Q$1=TRUE,$S$1=TRUE,$S$4=TRUE)=TRUE,IF(OR($Q$4=TRUE,$Q$5=TRUE,$S$2=TRUE),VLOOKUP($G70,'KO Calc'!$H:$AW,18,FALSE),VLOOKUP($G70,'KO Calc'!$H67:$AW67,18,FALSE)),IF(AND($Q$1=TRUE,$S$4=TRUE),IF(OR($Q$4=TRUE,$Q$5=TRUE,$S$2=TRUE),VLOOKUP($G70,'KO Calc'!$H:$AW,8,FALSE),VLOOKUP($G70,'KO Calc'!$H67:$AW67,8,FALSE)),
IF(AND($S$3=TRUE,$S$1=TRUE,$S$4=FALSE)=TRUE,IF(OR($Q$4=TRUE,$Q$5=TRUE,$S$2=TRUE),VLOOKUP($G70,'KO Calc'!$H:$AW,33,FALSE),VLOOKUP($G70,'KO Calc'!$H67:$AW67,33,FALSE)),IF(AND($S$3=TRUE,$S$4=FALSE),IF(OR($Q$4=TRUE,$Q$5=TRUE,$S$2=TRUE),VLOOKUP($G70,'KO Calc'!$H:$AW,23,FALSE),VLOOKUP($G70,'KO Calc'!$H67:$AW67,23,FALSE)),
IF(AND($S$3=TRUE,$S$1=TRUE,$S$4=TRUE)=TRUE,IF(OR($Q$4=TRUE,$Q$5=TRUE,$S$2=TRUE),VLOOKUP($G70,'KO Calc'!$H:$AW,38,FALSE),VLOOKUP($G70,'KO Calc'!$H67:$AW67,38,FALSE)),IF(AND($S$3=TRUE,$S$4=TRUE),IF(OR($Q$4=TRUE,$Q$5=TRUE,$S$2=TRUE),VLOOKUP($G70,'KO Calc'!$H:$AW,28,FALSE),VLOOKUP($G70,'KO Calc'!$H67:$AW67,28,FALSE)))))))))))))</f>
        <v>-</v>
      </c>
      <c r="J70" s="36" t="str">
        <f>IF(AND($Q$1=FALSE,$S$3=FALSE),"-",IF(AND($Q$1=TRUE,$S$3=TRUE),"-",IF(AND($Q$1=FALSE,$S$3=FALSE),"-",IF(AND($Q$1=TRUE,$S$1=TRUE,$S$4=FALSE)=TRUE,IF(OR($Q$4=TRUE,$Q$5=TRUE,$S$2=TRUE),VLOOKUP($G70,'KO Calc'!$H:$AW,FALSE),VLOOKUP($G70,'KO Calc'!$H67:$AW67,14,FALSE)),IF(AND($Q$1=TRUE,$S$4=FALSE),IF(OR($Q$4=TRUE,$Q$5=TRUE,$S$2=TRUE),VLOOKUP($G70,'KO Calc'!$H:$AW,4,FALSE),VLOOKUP($G70,'KO Calc'!$H67:$AW67,4,FALSE)),
IF(AND($Q$1=TRUE,$S$1=TRUE,$S$4=TRUE)=TRUE,IF(OR($Q$4=TRUE,$Q$5=TRUE,$S$2=TRUE),VLOOKUP($G70,'KO Calc'!$H:$AW,19,FALSE),VLOOKUP($G70,'KO Calc'!$H67:$AW67,19,FALSE)),IF(AND($Q$1=TRUE,$S$4=TRUE),IF(OR($Q$4=TRUE,$Q$5=TRUE,$S$2=TRUE),VLOOKUP($G70,'KO Calc'!$H:$AW,9,FALSE),VLOOKUP($G70,'KO Calc'!$H67:$AW67,9,FALSE)),
IF(AND($S$3=TRUE,$S$1=TRUE,$S$4=FALSE)=TRUE,IF(OR($Q$4=TRUE,$Q$5=TRUE,$S$2=TRUE),VLOOKUP($G70,'KO Calc'!$H:$AW,34,FALSE),VLOOKUP($G70,'KO Calc'!$H67:$AW67,34,FALSE)),IF(AND($S$3=TRUE,$S$4=FALSE),IF(OR($Q$4=TRUE,$Q$5=TRUE,$S$2=TRUE),VLOOKUP($G70,'KO Calc'!$H:$AW,24,FALSE),VLOOKUP($G70,'KO Calc'!$H67:$AW67,24,FALSE)),
IF(AND($S$3=TRUE,$S$1=TRUE,$S$4=TRUE)=TRUE,IF(OR($Q$4=TRUE,$Q$5=TRUE,$S$2=TRUE),VLOOKUP($G70,'KO Calc'!$H:$AW,39,FALSE),VLOOKUP($G70,'KO Calc'!$H67:$AW67,39,FALSE)),IF(AND($S$3=TRUE,$S$4=TRUE),IF(OR($Q$4=TRUE,$Q$5=TRUE,$S$2=TRUE),VLOOKUP($G70,'KO Calc'!$H:$AW,29,FALSE),VLOOKUP($G70,'KO Calc'!$H67:$AW67,29,FALSE)))))))))))))</f>
        <v>-</v>
      </c>
      <c r="K70" s="36" t="str">
        <f>IF(AND($Q$1=FALSE,$S$3=FALSE),"-",IF(AND($Q$1=TRUE,$S$3=TRUE),"-",IF(AND($Q$1=FALSE,$S$3=FALSE),"-",IF(AND($Q$1=TRUE,$S$1=TRUE,$S$4=FALSE)=TRUE,IF(OR($Q$4=TRUE,$Q$5=TRUE,$S$2=TRUE),VLOOKUP($G70,'KO Calc'!$H:$AW,15,FALSE),VLOOKUP($G70,'KO Calc'!$H67:$AW67,15,FALSE)),IF(AND($Q$1=TRUE,$S$4=FALSE),IF(OR($Q$4=TRUE,$Q$5=TRUE,$S$2=TRUE),VLOOKUP($G70,'KO Calc'!$H:$AW,5,FALSE),VLOOKUP($G70,'KO Calc'!$H67:$AW67,5,FALSE)),
IF(AND($Q$1=TRUE,$S$1=TRUE,$S$4=TRUE)=TRUE,IF(OR($Q$4=TRUE,$Q$5=TRUE,$S$2=TRUE),VLOOKUP($G70,'KO Calc'!$H:$AW,20,FALSE),VLOOKUP($G70,'KO Calc'!$H67:$AW67,20,FALSE)),IF(AND($Q$1=TRUE,$S$4=TRUE),IF(OR($Q$4=TRUE,$Q$5=TRUE,$S$2=TRUE),VLOOKUP($G70,'KO Calc'!$H:$AW,10,FALSE),VLOOKUP($G70,'KO Calc'!$H67:$AW67,10,FALSE)),
IF(AND($S$3=TRUE,$S$1=TRUE,$S$4=FALSE)=TRUE,IF(OR($Q$4=TRUE,$Q$5=TRUE,$S$2=TRUE),VLOOKUP($G70,'KO Calc'!$H:$AW,35,FALSE),VLOOKUP($G70,'KO Calc'!$H67:$AW67,35,FALSE)),IF(AND($S$3=TRUE,$S$4=FALSE),IF(OR($Q$4=TRUE,$Q$5=TRUE,$S$2=TRUE),VLOOKUP($G70,'KO Calc'!$H:$AW,25,FALSE),VLOOKUP($G70,'KO Calc'!$H67:$AW67,25,FALSE)),
IF(AND($S$3=TRUE,$S$1=TRUE,$S$4=TRUE)=TRUE,IF(OR($Q$4=TRUE,$Q$5=TRUE,$S$2=TRUE),VLOOKUP($G70,'KO Calc'!$H:$AW,40,FALSE),VLOOKUP($G70,'KO Calc'!$H67:$AW67,40,FALSE)),IF(AND($S$3=TRUE,$S$4=TRUE),IF(OR($Q$4=TRUE,$Q$5=TRUE,$S$2=TRUE),VLOOKUP($G70,'KO Calc'!$H:$AW,30,FALSE),VLOOKUP($G70,'KO Calc'!$H67:$AW67,30,FALSE)))))))))))))</f>
        <v>-</v>
      </c>
      <c r="L70" s="36" t="str">
        <f>IFERROR(VLOOKUP($E70,'Status Thresholds'!$E:$AS,41,FALSE),"-")</f>
        <v>-</v>
      </c>
    </row>
    <row r="71" spans="1:14" x14ac:dyDescent="0.25">
      <c r="B71" s="64" t="str">
        <f>VLOOKUP(C71,'Status Thresholds'!B:C,2,FALSE)</f>
        <v>MHGen</v>
      </c>
      <c r="C71" s="46" t="str">
        <f>IF(ISBLANK('KO Calc'!C67)=TRUE,"",'KO Calc'!C67)</f>
        <v>Arzuros</v>
      </c>
      <c r="D71" s="78"/>
      <c r="E71" s="62"/>
      <c r="G71" s="36"/>
      <c r="H71" s="36"/>
      <c r="I71" s="36"/>
      <c r="J71" s="36"/>
      <c r="K71" s="36"/>
      <c r="L71" s="36" t="str">
        <f>IFERROR(VLOOKUP($E71,'Status Thresholds'!$E:$AS,41,FALSE),"-")</f>
        <v>-</v>
      </c>
    </row>
    <row r="72" spans="1:14" s="36" customFormat="1" x14ac:dyDescent="0.25">
      <c r="B72" s="64" t="str">
        <f>VLOOKUP(C72,'Status Thresholds'!B:C,2,FALSE)</f>
        <v>MHGen</v>
      </c>
      <c r="C72" s="46" t="str">
        <f>IF(ISBLANK('KO Calc'!C68)=TRUE,"",'KO Calc'!C68)</f>
        <v>Astalos</v>
      </c>
      <c r="D72" s="65" t="s">
        <v>0</v>
      </c>
      <c r="E72" s="62" t="str">
        <f t="shared" si="1"/>
        <v>AstalosPara</v>
      </c>
      <c r="F72" s="36" t="s">
        <v>2</v>
      </c>
      <c r="G72" s="36" t="str">
        <f t="shared" si="2"/>
        <v>AstalosPara lvl 2</v>
      </c>
      <c r="H72" s="36" t="str">
        <f>IFERROR(ROUNDUP(IF(AND($Q$1=FALSE,$S$3=FALSE),"-",IF(AND($Q$1=TRUE,$S$3=TRUE),"-",IF(AND($Q$1=TRUE,$S$1=TRUE,$S$4=FALSE),VLOOKUP($E72,'Status Thresholds'!$E:$AS,12,FALSE),IF(AND($Q$1=TRUE,$S$4=FALSE),VLOOKUP($E72,'Status Thresholds'!$E:$AS,2,FALSE), IF(AND($Q$1=TRUE,$S$1=TRUE,$S$4=TRUE),VLOOKUP($E72,'Status Thresholds'!$E:$AS,17,FALSE),IF(AND($Q$1=TRUE,$S$4=TRUE),VLOOKUP($E72,'Status Thresholds'!$E:$AS,7,FALSE),IF(AND($S$3=TRUE,$S$1=TRUE,$S$4=FALSE),VLOOKUP($E72,'Status Thresholds'!$E:$AS,32,FALSE),IF(AND($S$3=TRUE,$S$4=FALSE),VLOOKUP($E72,'Status Thresholds'!$E:$AS,22,FALSE),IF(AND($S$3=TRUE,$S$1=TRUE,$S$4=TRUE),VLOOKUP($E72,'Status Thresholds'!$E:$AS,37,FALSE),IF(AND($S$3=TRUE,$S$4=TRUE),VLOOKUP($E72,'Status Thresholds'!$E:$AS,27,FALSE),""))))))))/IF(OR($Q$3=TRUE,AND($Q$2=TRUE,$Q$7=TRUE),AND($Q$3=TRUE,$Q$7=TRUE))=TRUE,'Shots and Status'!$F$5,IF((OR($Q$2,$Q$7)=TRUE),'Shots and Status'!$D$5,'Shots and Status'!$C$5)))),0),"-")</f>
        <v>-</v>
      </c>
      <c r="I72" s="36" t="str">
        <f>IFERROR(ROUNDUP(IF(AND($Q$1=FALSE,$S$3=FALSE),"-",IF(AND($Q$1=TRUE,$S$3=TRUE),"-",IF(AND($Q$1=TRUE,$S$1=TRUE,$S$4=FALSE),VLOOKUP($E72,'Status Thresholds'!$E:$AS,13,FALSE),IF(AND($Q$1=TRUE,$S$4=FALSE),VLOOKUP($E72,'Status Thresholds'!$E:$AS,3,FALSE), IF(AND($Q$1=TRUE,$S$1=TRUE,$S$4=TRUE),VLOOKUP($E72,'Status Thresholds'!$E:$AS,18,FALSE),IF(AND($Q$1=TRUE,$S$4=TRUE),VLOOKUP($E72,'Status Thresholds'!$E:$AS,8,FALSE),IF(AND($S$3=TRUE,$S$1=TRUE,$S$4=FALSE),VLOOKUP($E72,'Status Thresholds'!$E:$AS,33,FALSE),IF(AND($S$3=TRUE,$S$4=FALSE),VLOOKUP($E72,'Status Thresholds'!$E:$AS,23,FALSE),IF(AND($S$3=TRUE,$S$1=TRUE,$S$4=TRUE),VLOOKUP($E72,'Status Thresholds'!$E:$AS,38,FALSE),IF(AND($S$3=TRUE,$S$4=TRUE),VLOOKUP($E72,'Status Thresholds'!$E:$AS,28,FALSE),""))))))))/IF(OR($Q$3=TRUE,AND($Q$2=TRUE,$Q$7=TRUE),AND($Q$3=TRUE,$Q$7=TRUE))=TRUE,'Shots and Status'!$F$5,IF((OR($Q$2,$Q$7)=TRUE),'Shots and Status'!$D$5,'Shots and Status'!$C$5)))),0),"-")</f>
        <v>-</v>
      </c>
      <c r="J72" s="36" t="str">
        <f>IFERROR(ROUNDUP(IF(AND($Q$1=FALSE,$S$3=FALSE),"-",IF(AND($Q$1=TRUE,$S$3=TRUE),"-",IF(AND($Q$1=TRUE,$S$1=TRUE,$S$4=FALSE),VLOOKUP($E72,'Status Thresholds'!$E:$AS,14,FALSE),IF(AND($Q$1=TRUE,$S$4=FALSE),VLOOKUP($E72,'Status Thresholds'!$E:$AS,4,FALSE), IF(AND($Q$1=TRUE,$S$1=TRUE,$S$4=TRUE),VLOOKUP($E72,'Status Thresholds'!$E:$AS,19,FALSE),IF(AND($Q$1=TRUE,$S$4=TRUE),VLOOKUP($E72,'Status Thresholds'!$E:$AS,9,FALSE),IF(AND($S$3=TRUE,$S$1=TRUE,$S$4=FALSE),VLOOKUP($E72,'Status Thresholds'!$E:$AS,34,FALSE),IF(AND($S$3=TRUE,$S$4=FALSE),VLOOKUP($E72,'Status Thresholds'!$E:$AS,24,FALSE),IF(AND($S$3=TRUE,$S$1=TRUE,$S$4=TRUE),VLOOKUP($E72,'Status Thresholds'!$E:$AS,39,FALSE),IF(AND($S$3=TRUE,$S$4=TRUE),VLOOKUP($E72,'Status Thresholds'!$E:$AS,29,FALSE),""))))))))/IF(OR($Q$3=TRUE,AND($Q$2=TRUE,$Q$7=TRUE),AND($Q$3=TRUE,$Q$7=TRUE))=TRUE,'Shots and Status'!$F$5,IF((OR($Q$2,$Q$7)=TRUE),'Shots and Status'!$D$5,'Shots and Status'!$C$5)))),0),"-")</f>
        <v>-</v>
      </c>
      <c r="K72" s="36" t="str">
        <f>IFERROR(ROUNDUP(IF(AND($Q$1=FALSE,$S$3=FALSE),"-",IF(AND($Q$1=TRUE,$S$3=TRUE),"-",IF(AND($Q$1=TRUE,$S$1=TRUE,$S$4=FALSE),VLOOKUP($E72,'Status Thresholds'!$E:$AS,15,FALSE),IF(AND($Q$1=TRUE,$S$4=FALSE),VLOOKUP($E72,'Status Thresholds'!$E:$AS,5,FALSE), IF(AND($Q$1=TRUE,$S$1=TRUE,$S$4=TRUE),VLOOKUP($E72,'Status Thresholds'!$E:$AS,20,FALSE),IF(AND($Q$1=TRUE,$S$4=TRUE),VLOOKUP($E72,'Status Thresholds'!$E:$AS,10,FALSE),IF(AND($S$3=TRUE,$S$1=TRUE,$S$4=FALSE),VLOOKUP($E72,'Status Thresholds'!$E:$AS,35,FALSE),IF(AND($S$3=TRUE,$S$4=FALSE),VLOOKUP($E72,'Status Thresholds'!$E:$AS,25,FALSE),IF(AND($S$3=TRUE,$S$1=TRUE,$S$4=TRUE),VLOOKUP($E72,'Status Thresholds'!$E:$AS,40,FALSE),IF(AND($S$3=TRUE,$S$4=TRUE),VLOOKUP($E72,'Status Thresholds'!$E:$AS,30,FALSE),""))))))))/IF(OR($Q$3=TRUE,AND($Q$2=TRUE,$Q$7=TRUE),AND($Q$3=TRUE,$Q$7=TRUE))=TRUE,'Shots and Status'!$F$5,IF((OR($Q$2,$Q$7)=TRUE),'Shots and Status'!$D$5,'Shots and Status'!$C$5)))),0),"-")</f>
        <v>-</v>
      </c>
      <c r="L72" s="36" t="str">
        <f>IFERROR(IF(AND($Q$1=FALSE,$S$3=FALSE),"-",VLOOKUP($E72,'Status Thresholds'!$E:$AU,41,FALSE)),"-")</f>
        <v>-</v>
      </c>
      <c r="M72" s="36" t="str">
        <f>IFERROR(IF(AND($Q$1=FALSE,$S$3=FALSE),"-",VLOOKUP($E72,'Status Thresholds'!$E:$AU,42,FALSE)),"-")</f>
        <v>-</v>
      </c>
      <c r="N72" s="36" t="str">
        <f>IFERROR(IF(AND($Q$1=FALSE,$S$3=FALSE),"-",VLOOKUP($E72,'Status Thresholds'!$E:$AU,43,FALSE)),"-")</f>
        <v>-</v>
      </c>
    </row>
    <row r="73" spans="1:14" s="59" customFormat="1" x14ac:dyDescent="0.25">
      <c r="A73" s="46"/>
      <c r="B73" s="64" t="str">
        <f>VLOOKUP(C73,'Status Thresholds'!B:C,2,FALSE)</f>
        <v>MHGen</v>
      </c>
      <c r="C73" s="46" t="str">
        <f>IF(ISBLANK('KO Calc'!C69)=TRUE,"",'KO Calc'!C69)</f>
        <v>Astalos</v>
      </c>
      <c r="D73" s="60" t="s">
        <v>32</v>
      </c>
      <c r="E73" s="62" t="str">
        <f t="shared" si="1"/>
        <v>AstalosSleep</v>
      </c>
      <c r="F73" s="59" t="s">
        <v>5</v>
      </c>
      <c r="G73" s="36" t="str">
        <f t="shared" si="2"/>
        <v>AstalosSleep lvl 2</v>
      </c>
      <c r="H73" s="36" t="str">
        <f>IFERROR(ROUNDUP(IF(AND($Q$1=FALSE,$S$3=FALSE),"-",IF(AND($Q$1=TRUE,$S$3=TRUE),"-",IF(AND($Q$1=TRUE,$S$1=TRUE,$S$4=FALSE),VLOOKUP($E73,'Status Thresholds'!$E:$AS,12,FALSE),IF(AND($Q$1=TRUE,$S$4=FALSE),VLOOKUP($E73,'Status Thresholds'!$E:$AS,2,FALSE), IF(AND($Q$1=TRUE,$S$1=TRUE,$S$4=TRUE),VLOOKUP($E73,'Status Thresholds'!$E:$AS,17,FALSE),IF(AND($Q$1=TRUE,$S$4=TRUE),VLOOKUP($E73,'Status Thresholds'!$E:$AS,7,FALSE),IF(AND($S$3=TRUE,$S$1=TRUE,$S$4=FALSE),VLOOKUP($E73,'Status Thresholds'!$E:$AS,32,FALSE),IF(AND($S$3=TRUE,$S$4=FALSE),VLOOKUP($E73,'Status Thresholds'!$E:$AS,22,FALSE),IF(AND($S$3=TRUE,$S$1=TRUE,$S$4=TRUE),VLOOKUP($E73,'Status Thresholds'!$E:$AS,37,FALSE),IF(AND($S$3=TRUE,$S$4=TRUE),VLOOKUP($E73,'Status Thresholds'!$E:$AS,27,FALSE),""))))))))/IF(OR($Q$3=TRUE,AND($Q$2=TRUE,$Q$7=TRUE),AND($Q$3=TRUE,$Q$7=TRUE))=TRUE,'Shots and Status'!$F$5,IF((OR($Q$2,$Q$7)=TRUE),'Shots and Status'!$D$5,'Shots and Status'!$C$5)))),0),"-")</f>
        <v>-</v>
      </c>
      <c r="I73" s="36" t="str">
        <f>IFERROR(ROUNDUP(IF(AND($Q$1=FALSE,$S$3=FALSE),"-",IF(AND($Q$1=TRUE,$S$3=TRUE),"-",IF(AND($Q$1=TRUE,$S$1=TRUE,$S$4=FALSE),VLOOKUP($E73,'Status Thresholds'!$E:$AS,13,FALSE),IF(AND($Q$1=TRUE,$S$4=FALSE),VLOOKUP($E73,'Status Thresholds'!$E:$AS,3,FALSE), IF(AND($Q$1=TRUE,$S$1=TRUE,$S$4=TRUE),VLOOKUP($E73,'Status Thresholds'!$E:$AS,18,FALSE),IF(AND($Q$1=TRUE,$S$4=TRUE),VLOOKUP($E73,'Status Thresholds'!$E:$AS,8,FALSE),IF(AND($S$3=TRUE,$S$1=TRUE,$S$4=FALSE),VLOOKUP($E73,'Status Thresholds'!$E:$AS,33,FALSE),IF(AND($S$3=TRUE,$S$4=FALSE),VLOOKUP($E73,'Status Thresholds'!$E:$AS,23,FALSE),IF(AND($S$3=TRUE,$S$1=TRUE,$S$4=TRUE),VLOOKUP($E73,'Status Thresholds'!$E:$AS,38,FALSE),IF(AND($S$3=TRUE,$S$4=TRUE),VLOOKUP($E73,'Status Thresholds'!$E:$AS,28,FALSE),""))))))))/IF(OR($Q$3=TRUE,AND($Q$2=TRUE,$Q$7=TRUE),AND($Q$3=TRUE,$Q$7=TRUE))=TRUE,'Shots and Status'!$F$5,IF((OR($Q$2,$Q$7)=TRUE),'Shots and Status'!$D$5,'Shots and Status'!$C$5)))),0),"-")</f>
        <v>-</v>
      </c>
      <c r="J73" s="36" t="str">
        <f>IFERROR(ROUNDUP(IF(AND($Q$1=FALSE,$S$3=FALSE),"-",IF(AND($Q$1=TRUE,$S$3=TRUE),"-",IF(AND($Q$1=TRUE,$S$1=TRUE,$S$4=FALSE),VLOOKUP($E73,'Status Thresholds'!$E:$AS,14,FALSE),IF(AND($Q$1=TRUE,$S$4=FALSE),VLOOKUP($E73,'Status Thresholds'!$E:$AS,4,FALSE), IF(AND($Q$1=TRUE,$S$1=TRUE,$S$4=TRUE),VLOOKUP($E73,'Status Thresholds'!$E:$AS,19,FALSE),IF(AND($Q$1=TRUE,$S$4=TRUE),VLOOKUP($E73,'Status Thresholds'!$E:$AS,9,FALSE),IF(AND($S$3=TRUE,$S$1=TRUE,$S$4=FALSE),VLOOKUP($E73,'Status Thresholds'!$E:$AS,34,FALSE),IF(AND($S$3=TRUE,$S$4=FALSE),VLOOKUP($E73,'Status Thresholds'!$E:$AS,24,FALSE),IF(AND($S$3=TRUE,$S$1=TRUE,$S$4=TRUE),VLOOKUP($E73,'Status Thresholds'!$E:$AS,39,FALSE),IF(AND($S$3=TRUE,$S$4=TRUE),VLOOKUP($E73,'Status Thresholds'!$E:$AS,29,FALSE),""))))))))/IF(OR($Q$3=TRUE,AND($Q$2=TRUE,$Q$7=TRUE),AND($Q$3=TRUE,$Q$7=TRUE))=TRUE,'Shots and Status'!$F$5,IF((OR($Q$2,$Q$7)=TRUE),'Shots and Status'!$D$5,'Shots and Status'!$C$5)))),0),"-")</f>
        <v>-</v>
      </c>
      <c r="K73" s="36" t="str">
        <f>IFERROR(ROUNDUP(IF(AND($Q$1=FALSE,$S$3=FALSE),"-",IF(AND($Q$1=TRUE,$S$3=TRUE),"-",IF(AND($Q$1=TRUE,$S$1=TRUE,$S$4=FALSE),VLOOKUP($E73,'Status Thresholds'!$E:$AS,15,FALSE),IF(AND($Q$1=TRUE,$S$4=FALSE),VLOOKUP($E73,'Status Thresholds'!$E:$AS,5,FALSE), IF(AND($Q$1=TRUE,$S$1=TRUE,$S$4=TRUE),VLOOKUP($E73,'Status Thresholds'!$E:$AS,20,FALSE),IF(AND($Q$1=TRUE,$S$4=TRUE),VLOOKUP($E73,'Status Thresholds'!$E:$AS,10,FALSE),IF(AND($S$3=TRUE,$S$1=TRUE,$S$4=FALSE),VLOOKUP($E73,'Status Thresholds'!$E:$AS,35,FALSE),IF(AND($S$3=TRUE,$S$4=FALSE),VLOOKUP($E73,'Status Thresholds'!$E:$AS,25,FALSE),IF(AND($S$3=TRUE,$S$1=TRUE,$S$4=TRUE),VLOOKUP($E73,'Status Thresholds'!$E:$AS,40,FALSE),IF(AND($S$3=TRUE,$S$4=TRUE),VLOOKUP($E73,'Status Thresholds'!$E:$AS,30,FALSE),""))))))))/IF(OR($Q$3=TRUE,AND($Q$2=TRUE,$Q$7=TRUE),AND($Q$3=TRUE,$Q$7=TRUE))=TRUE,'Shots and Status'!$F$5,IF((OR($Q$2,$Q$7)=TRUE),'Shots and Status'!$D$5,'Shots and Status'!$C$5)))),0),"-")</f>
        <v>-</v>
      </c>
      <c r="L73" s="36" t="str">
        <f>IFERROR(IF(AND($Q$1=FALSE,$S$3=FALSE),"-",VLOOKUP($E73,'Status Thresholds'!$E:$AU,41,FALSE)),"-")</f>
        <v>-</v>
      </c>
      <c r="M73" s="36" t="str">
        <f>IFERROR(IF(AND($Q$1=FALSE,$S$3=FALSE),"-",VLOOKUP($E73,'Status Thresholds'!$E:$AU,42,FALSE)),"-")</f>
        <v>-</v>
      </c>
      <c r="N73" s="36" t="str">
        <f>IFERROR(IF(AND($Q$1=FALSE,$S$3=FALSE),"-",VLOOKUP($E73,'Status Thresholds'!$E:$AU,43,FALSE)),"-")</f>
        <v>-</v>
      </c>
    </row>
    <row r="74" spans="1:14" s="59" customFormat="1" x14ac:dyDescent="0.25">
      <c r="A74" s="46"/>
      <c r="B74" s="64" t="str">
        <f>VLOOKUP(C74,'Status Thresholds'!B:C,2,FALSE)</f>
        <v>MHGen</v>
      </c>
      <c r="C74" s="46" t="str">
        <f>IF(ISBLANK('KO Calc'!C70)=TRUE,"",'KO Calc'!C70)</f>
        <v>Astalos</v>
      </c>
      <c r="D74" s="58" t="s">
        <v>33</v>
      </c>
      <c r="E74" s="62" t="str">
        <f t="shared" si="1"/>
        <v>AstalosPoison</v>
      </c>
      <c r="F74" s="59" t="s">
        <v>6</v>
      </c>
      <c r="G74" s="36" t="str">
        <f t="shared" si="2"/>
        <v>AstalosPoison lvl 2</v>
      </c>
      <c r="H74" s="36" t="str">
        <f>IFERROR(ROUNDUP(IF(AND($Q$1=FALSE,$S$3=FALSE),"-",IF(AND($Q$1=TRUE,$S$3=TRUE),"-",IF(AND($Q$1=TRUE,$S$1=TRUE,$S$4=FALSE),VLOOKUP($E74,'Status Thresholds'!$E:$AS,12,FALSE),IF(AND($Q$1=TRUE,$S$4=FALSE),VLOOKUP($E74,'Status Thresholds'!$E:$AS,2,FALSE), IF(AND($Q$1=TRUE,$S$1=TRUE,$S$4=TRUE),VLOOKUP($E74,'Status Thresholds'!$E:$AS,17,FALSE),IF(AND($Q$1=TRUE,$S$4=TRUE),VLOOKUP($E74,'Status Thresholds'!$E:$AS,7,FALSE),IF(AND($S$3=TRUE,$S$1=TRUE,$S$4=FALSE),VLOOKUP($E74,'Status Thresholds'!$E:$AS,32,FALSE),IF(AND($S$3=TRUE,$S$4=FALSE),VLOOKUP($E74,'Status Thresholds'!$E:$AS,22,FALSE),IF(AND($S$3=TRUE,$S$1=TRUE,$S$4=TRUE),VLOOKUP($E74,'Status Thresholds'!$E:$AS,37,FALSE),IF(AND($S$3=TRUE,$S$4=TRUE),VLOOKUP($E74,'Status Thresholds'!$E:$AS,27,FALSE),""))))))))/IF(OR($Q$3=TRUE,AND($Q$2=TRUE,$Q$7=TRUE),AND($Q$3=TRUE,$Q$7=TRUE))=TRUE,'Shots and Status'!$F$5,IF((OR($Q$2,$Q$7)=TRUE),'Shots and Status'!$D$5,'Shots and Status'!$C$5)))),0),"-")</f>
        <v>-</v>
      </c>
      <c r="I74" s="36" t="str">
        <f>IFERROR(ROUNDUP(IF(AND($Q$1=FALSE,$S$3=FALSE),"-",IF(AND($Q$1=TRUE,$S$3=TRUE),"-",IF(AND($Q$1=TRUE,$S$1=TRUE,$S$4=FALSE),VLOOKUP($E74,'Status Thresholds'!$E:$AS,13,FALSE),IF(AND($Q$1=TRUE,$S$4=FALSE),VLOOKUP($E74,'Status Thresholds'!$E:$AS,3,FALSE), IF(AND($Q$1=TRUE,$S$1=TRUE,$S$4=TRUE),VLOOKUP($E74,'Status Thresholds'!$E:$AS,18,FALSE),IF(AND($Q$1=TRUE,$S$4=TRUE),VLOOKUP($E74,'Status Thresholds'!$E:$AS,8,FALSE),IF(AND($S$3=TRUE,$S$1=TRUE,$S$4=FALSE),VLOOKUP($E74,'Status Thresholds'!$E:$AS,33,FALSE),IF(AND($S$3=TRUE,$S$4=FALSE),VLOOKUP($E74,'Status Thresholds'!$E:$AS,23,FALSE),IF(AND($S$3=TRUE,$S$1=TRUE,$S$4=TRUE),VLOOKUP($E74,'Status Thresholds'!$E:$AS,38,FALSE),IF(AND($S$3=TRUE,$S$4=TRUE),VLOOKUP($E74,'Status Thresholds'!$E:$AS,28,FALSE),""))))))))/IF(OR($Q$3=TRUE,AND($Q$2=TRUE,$Q$7=TRUE),AND($Q$3=TRUE,$Q$7=TRUE))=TRUE,'Shots and Status'!$F$5,IF((OR($Q$2,$Q$7)=TRUE),'Shots and Status'!$D$5,'Shots and Status'!$C$5)))),0),"-")</f>
        <v>-</v>
      </c>
      <c r="J74" s="36" t="str">
        <f>IFERROR(ROUNDUP(IF(AND($Q$1=FALSE,$S$3=FALSE),"-",IF(AND($Q$1=TRUE,$S$3=TRUE),"-",IF(AND($Q$1=TRUE,$S$1=TRUE,$S$4=FALSE),VLOOKUP($E74,'Status Thresholds'!$E:$AS,14,FALSE),IF(AND($Q$1=TRUE,$S$4=FALSE),VLOOKUP($E74,'Status Thresholds'!$E:$AS,4,FALSE), IF(AND($Q$1=TRUE,$S$1=TRUE,$S$4=TRUE),VLOOKUP($E74,'Status Thresholds'!$E:$AS,19,FALSE),IF(AND($Q$1=TRUE,$S$4=TRUE),VLOOKUP($E74,'Status Thresholds'!$E:$AS,9,FALSE),IF(AND($S$3=TRUE,$S$1=TRUE,$S$4=FALSE),VLOOKUP($E74,'Status Thresholds'!$E:$AS,34,FALSE),IF(AND($S$3=TRUE,$S$4=FALSE),VLOOKUP($E74,'Status Thresholds'!$E:$AS,24,FALSE),IF(AND($S$3=TRUE,$S$1=TRUE,$S$4=TRUE),VLOOKUP($E74,'Status Thresholds'!$E:$AS,39,FALSE),IF(AND($S$3=TRUE,$S$4=TRUE),VLOOKUP($E74,'Status Thresholds'!$E:$AS,29,FALSE),""))))))))/IF(OR($Q$3=TRUE,AND($Q$2=TRUE,$Q$7=TRUE),AND($Q$3=TRUE,$Q$7=TRUE))=TRUE,'Shots and Status'!$F$5,IF((OR($Q$2,$Q$7)=TRUE),'Shots and Status'!$D$5,'Shots and Status'!$C$5)))),0),"-")</f>
        <v>-</v>
      </c>
      <c r="K74" s="36" t="str">
        <f>IFERROR(ROUNDUP(IF(AND($Q$1=FALSE,$S$3=FALSE),"-",IF(AND($Q$1=TRUE,$S$3=TRUE),"-",IF(AND($Q$1=TRUE,$S$1=TRUE,$S$4=FALSE),VLOOKUP($E74,'Status Thresholds'!$E:$AS,15,FALSE),IF(AND($Q$1=TRUE,$S$4=FALSE),VLOOKUP($E74,'Status Thresholds'!$E:$AS,5,FALSE), IF(AND($Q$1=TRUE,$S$1=TRUE,$S$4=TRUE),VLOOKUP($E74,'Status Thresholds'!$E:$AS,20,FALSE),IF(AND($Q$1=TRUE,$S$4=TRUE),VLOOKUP($E74,'Status Thresholds'!$E:$AS,10,FALSE),IF(AND($S$3=TRUE,$S$1=TRUE,$S$4=FALSE),VLOOKUP($E74,'Status Thresholds'!$E:$AS,35,FALSE),IF(AND($S$3=TRUE,$S$4=FALSE),VLOOKUP($E74,'Status Thresholds'!$E:$AS,25,FALSE),IF(AND($S$3=TRUE,$S$1=TRUE,$S$4=TRUE),VLOOKUP($E74,'Status Thresholds'!$E:$AS,40,FALSE),IF(AND($S$3=TRUE,$S$4=TRUE),VLOOKUP($E74,'Status Thresholds'!$E:$AS,30,FALSE),""))))))))/IF(OR($Q$3=TRUE,AND($Q$2=TRUE,$Q$7=TRUE),AND($Q$3=TRUE,$Q$7=TRUE))=TRUE,'Shots and Status'!$F$5,IF((OR($Q$2,$Q$7)=TRUE),'Shots and Status'!$D$5,'Shots and Status'!$C$5)))),0),"-")</f>
        <v>-</v>
      </c>
      <c r="L74" s="36" t="str">
        <f>IFERROR(IF(AND($Q$1=FALSE,$S$3=FALSE),"-",VLOOKUP($E74,'Status Thresholds'!$E:$AU,41,FALSE)),"-")</f>
        <v>-</v>
      </c>
      <c r="M74" s="36" t="str">
        <f>IFERROR(IF(AND($Q$1=FALSE,$S$3=FALSE),"-",VLOOKUP($E74,'Status Thresholds'!$E:$AU,42,FALSE)),"-")</f>
        <v>-</v>
      </c>
      <c r="N74" s="36" t="str">
        <f>IFERROR(IF(AND($Q$1=FALSE,$S$3=FALSE),"-",VLOOKUP($E74,'Status Thresholds'!$E:$AU,43,FALSE)),"-")</f>
        <v>-</v>
      </c>
    </row>
    <row r="75" spans="1:14" s="36" customFormat="1" x14ac:dyDescent="0.25">
      <c r="A75" s="46"/>
      <c r="B75" s="64" t="str">
        <f>VLOOKUP(C75,'Status Thresholds'!B:C,2,FALSE)</f>
        <v>MHGen</v>
      </c>
      <c r="C75" s="46" t="str">
        <f>IF(ISBLANK('KO Calc'!C71)=TRUE,"",'KO Calc'!C71)</f>
        <v>Astalos</v>
      </c>
      <c r="D75" s="57" t="s">
        <v>22</v>
      </c>
      <c r="E75" s="62" t="str">
        <f t="shared" si="1"/>
        <v>AstalosExhaust</v>
      </c>
      <c r="F75" s="36" t="s">
        <v>8</v>
      </c>
      <c r="G75" s="36" t="str">
        <f t="shared" si="2"/>
        <v>AstalosExhaust lvl 2</v>
      </c>
      <c r="H75" s="36" t="str">
        <f>IFERROR(ROUNDUP(IF(AND($Q$1=FALSE,$S$3=FALSE),"-",IF(AND($Q$1=TRUE,$S$3=TRUE),"-",IF(AND($Q$1=TRUE,$S$1=TRUE,$S$4=FALSE),VLOOKUP($E75,'Status Thresholds'!$E:$AS,12,FALSE),IF(AND($Q$1=TRUE,$S$4=FALSE),VLOOKUP($E75,'Status Thresholds'!$E:$AS,2,FALSE), IF(AND($Q$1=TRUE,$S$1=TRUE,$S$4=TRUE),VLOOKUP($E75,'Status Thresholds'!$E:$AS,17,FALSE),IF(AND($Q$1=TRUE,$S$4=TRUE),VLOOKUP($E75,'Status Thresholds'!$E:$AS,7,FALSE),IF(AND($S$3=TRUE,$S$1=TRUE,$S$4=FALSE),VLOOKUP($E75,'Status Thresholds'!$E:$AS,32,FALSE),IF(AND($S$3=TRUE,$S$4=FALSE),VLOOKUP($E75,'Status Thresholds'!$E:$AS,22,FALSE),IF(AND($S$3=TRUE,$S$1=TRUE,$S$4=TRUE),VLOOKUP($E75,'Status Thresholds'!$E:$AS,37,FALSE),IF(AND($S$3=TRUE,$S$4=TRUE),VLOOKUP($E75,'Status Thresholds'!$E:$AS,27,FALSE),""))))))))/IF(OR($Q$3=TRUE,AND($Q$2=TRUE,$Q$7=TRUE),AND($Q$3=TRUE,$Q$7=TRUE))=TRUE,'Shots and Status'!$F$5,IF((OR($Q$2,$Q$7)=TRUE),'Shots and Status'!$D$5,'Shots and Status'!$C$5)))),0),"-")</f>
        <v>-</v>
      </c>
      <c r="I75" s="36" t="str">
        <f>IFERROR(ROUNDUP(IF(AND($Q$1=FALSE,$S$3=FALSE),"-",IF(AND($Q$1=TRUE,$S$3=TRUE),"-",IF(AND($Q$1=TRUE,$S$1=TRUE,$S$4=FALSE),VLOOKUP($E75,'Status Thresholds'!$E:$AS,13,FALSE),IF(AND($Q$1=TRUE,$S$4=FALSE),VLOOKUP($E75,'Status Thresholds'!$E:$AS,3,FALSE), IF(AND($Q$1=TRUE,$S$1=TRUE,$S$4=TRUE),VLOOKUP($E75,'Status Thresholds'!$E:$AS,18,FALSE),IF(AND($Q$1=TRUE,$S$4=TRUE),VLOOKUP($E75,'Status Thresholds'!$E:$AS,8,FALSE),IF(AND($S$3=TRUE,$S$1=TRUE,$S$4=FALSE),VLOOKUP($E75,'Status Thresholds'!$E:$AS,33,FALSE),IF(AND($S$3=TRUE,$S$4=FALSE),VLOOKUP($E75,'Status Thresholds'!$E:$AS,23,FALSE),IF(AND($S$3=TRUE,$S$1=TRUE,$S$4=TRUE),VLOOKUP($E75,'Status Thresholds'!$E:$AS,38,FALSE),IF(AND($S$3=TRUE,$S$4=TRUE),VLOOKUP($E75,'Status Thresholds'!$E:$AS,28,FALSE),""))))))))/IF(OR($Q$3=TRUE,AND($Q$2=TRUE,$Q$7=TRUE),AND($Q$3=TRUE,$Q$7=TRUE))=TRUE,'Shots and Status'!$F$5,IF((OR($Q$2,$Q$7)=TRUE),'Shots and Status'!$D$5,'Shots and Status'!$C$5)))),0),"-")</f>
        <v>-</v>
      </c>
      <c r="J75" s="36" t="str">
        <f>IFERROR(ROUNDUP(IF(AND($Q$1=FALSE,$S$3=FALSE),"-",IF(AND($Q$1=TRUE,$S$3=TRUE),"-",IF(AND($Q$1=TRUE,$S$1=TRUE,$S$4=FALSE),VLOOKUP($E75,'Status Thresholds'!$E:$AS,14,FALSE),IF(AND($Q$1=TRUE,$S$4=FALSE),VLOOKUP($E75,'Status Thresholds'!$E:$AS,4,FALSE), IF(AND($Q$1=TRUE,$S$1=TRUE,$S$4=TRUE),VLOOKUP($E75,'Status Thresholds'!$E:$AS,19,FALSE),IF(AND($Q$1=TRUE,$S$4=TRUE),VLOOKUP($E75,'Status Thresholds'!$E:$AS,9,FALSE),IF(AND($S$3=TRUE,$S$1=TRUE,$S$4=FALSE),VLOOKUP($E75,'Status Thresholds'!$E:$AS,34,FALSE),IF(AND($S$3=TRUE,$S$4=FALSE),VLOOKUP($E75,'Status Thresholds'!$E:$AS,24,FALSE),IF(AND($S$3=TRUE,$S$1=TRUE,$S$4=TRUE),VLOOKUP($E75,'Status Thresholds'!$E:$AS,39,FALSE),IF(AND($S$3=TRUE,$S$4=TRUE),VLOOKUP($E75,'Status Thresholds'!$E:$AS,29,FALSE),""))))))))/IF(OR($Q$3=TRUE,AND($Q$2=TRUE,$Q$7=TRUE),AND($Q$3=TRUE,$Q$7=TRUE))=TRUE,'Shots and Status'!$F$5,IF((OR($Q$2,$Q$7)=TRUE),'Shots and Status'!$D$5,'Shots and Status'!$C$5)))),0),"-")</f>
        <v>-</v>
      </c>
      <c r="K75" s="36" t="str">
        <f>IFERROR(ROUNDUP(IF(AND($Q$1=FALSE,$S$3=FALSE),"-",IF(AND($Q$1=TRUE,$S$3=TRUE),"-",IF(AND($Q$1=TRUE,$S$1=TRUE,$S$4=FALSE),VLOOKUP($E75,'Status Thresholds'!$E:$AS,15,FALSE),IF(AND($Q$1=TRUE,$S$4=FALSE),VLOOKUP($E75,'Status Thresholds'!$E:$AS,5,FALSE), IF(AND($Q$1=TRUE,$S$1=TRUE,$S$4=TRUE),VLOOKUP($E75,'Status Thresholds'!$E:$AS,20,FALSE),IF(AND($Q$1=TRUE,$S$4=TRUE),VLOOKUP($E75,'Status Thresholds'!$E:$AS,10,FALSE),IF(AND($S$3=TRUE,$S$1=TRUE,$S$4=FALSE),VLOOKUP($E75,'Status Thresholds'!$E:$AS,35,FALSE),IF(AND($S$3=TRUE,$S$4=FALSE),VLOOKUP($E75,'Status Thresholds'!$E:$AS,25,FALSE),IF(AND($S$3=TRUE,$S$1=TRUE,$S$4=TRUE),VLOOKUP($E75,'Status Thresholds'!$E:$AS,40,FALSE),IF(AND($S$3=TRUE,$S$4=TRUE),VLOOKUP($E75,'Status Thresholds'!$E:$AS,30,FALSE),""))))))))/IF(OR($Q$3=TRUE,AND($Q$2=TRUE,$Q$7=TRUE),AND($Q$3=TRUE,$Q$7=TRUE))=TRUE,'Shots and Status'!$F$5,IF((OR($Q$2,$Q$7)=TRUE),'Shots and Status'!$D$5,'Shots and Status'!$C$5)))),0),"-")</f>
        <v>-</v>
      </c>
      <c r="L75" s="36" t="str">
        <f>IFERROR(IF(AND($Q$1=FALSE,$S$3=FALSE),"-",VLOOKUP($E75,'Status Thresholds'!$E:$AU,41,FALSE)),"-")</f>
        <v>-</v>
      </c>
      <c r="M75" s="36" t="str">
        <f>IFERROR(IF(AND($Q$1=FALSE,$S$3=FALSE),"-",VLOOKUP($E75,'Status Thresholds'!$E:$AU,42,FALSE)),"-")</f>
        <v>-</v>
      </c>
      <c r="N75" s="36" t="str">
        <f>IFERROR(IF(AND($Q$1=FALSE,$S$3=FALSE),"-",VLOOKUP($E75,'Status Thresholds'!$E:$AU,43,FALSE)),"-")</f>
        <v>-</v>
      </c>
    </row>
    <row r="76" spans="1:14" s="36" customFormat="1" x14ac:dyDescent="0.25">
      <c r="A76" s="46"/>
      <c r="B76" s="64" t="str">
        <f>VLOOKUP(C76,'Status Thresholds'!B:C,2,FALSE)</f>
        <v>MHGen</v>
      </c>
      <c r="C76" s="46" t="str">
        <f>IF(ISBLANK('KO Calc'!C72)=TRUE,"",'KO Calc'!C72)</f>
        <v>Astalos</v>
      </c>
      <c r="D76" s="67" t="s">
        <v>14</v>
      </c>
      <c r="E76" s="62" t="str">
        <f t="shared" si="1"/>
        <v>AstalosKO</v>
      </c>
      <c r="F76" s="36" t="s">
        <v>21</v>
      </c>
      <c r="G76" s="36" t="str">
        <f t="shared" si="2"/>
        <v>AstalosTriblast</v>
      </c>
      <c r="H76" s="36" t="str">
        <f>IF(AND($Q$1=FALSE,$S$3=FALSE),"-",IF(AND($Q$1=TRUE,$S$3=TRUE),"-",IF(AND($Q$1=FALSE,$S$3=FALSE),"-",IF(AND($Q$1=TRUE,$S$1=TRUE,$S$4=FALSE)=TRUE,IF(OR($Q$4=TRUE,$Q$5=TRUE,$S$2=TRUE),VLOOKUP($G76,'KO Calc'!$H:$AW,12,FALSE),VLOOKUP($G76,'KO Calc'!$H73:$AW73,12,FALSE)),IF(AND($Q$1=TRUE,$S$4=FALSE),IF(OR($Q$4=TRUE,$Q$5=TRUE,$S$2=TRUE),VLOOKUP($G76,'KO Calc'!$H:$AW,2,FALSE),VLOOKUP($G76,'KO Calc'!$H73:$AW73,2,FALSE)),
IF(AND($Q$1=TRUE,$S$1=TRUE,$S$4=TRUE)=TRUE,IF(OR($Q$4=TRUE,$Q$5=TRUE,$S$2=TRUE),VLOOKUP($G76,'KO Calc'!$H:$AW,17,FALSE),VLOOKUP($G76,'KO Calc'!$H73:$AW73,17,FALSE)),IF(AND($Q$1=TRUE,$S$4=TRUE),IF(OR($Q$4=TRUE,$Q$5=TRUE,$S$2=TRUE),VLOOKUP($G76,'KO Calc'!$H:$AW,7,FALSE),VLOOKUP($G76,'KO Calc'!$H73:$AW73,7,FALSE)),
IF(AND($S$3=TRUE,$S$1=TRUE,$S$4=FALSE)=TRUE,IF(OR($Q$4=TRUE,$Q$5=TRUE,$S$2=TRUE),VLOOKUP($G76,'KO Calc'!$H:$AW,32,FALSE),VLOOKUP($G76,'KO Calc'!$H73:$AW73,32,FALSE)),IF(AND($S$3=TRUE,$S$4=FALSE),IF(OR($Q$4=TRUE,$Q$5=TRUE,$S$2=TRUE),VLOOKUP($G76,'KO Calc'!$H:$AW,22,FALSE),VLOOKUP($G76,'KO Calc'!$H73:$AW73,22,FALSE)),
IF(AND($S$3=TRUE,$S$1=TRUE,$S$4=TRUE)=TRUE,IF(OR($Q$4=TRUE,$Q$5=TRUE,$S$2=TRUE),VLOOKUP($G76,'KO Calc'!$H:$AW,37,FALSE),VLOOKUP($G76,'KO Calc'!$H73:$AW73,37,FALSE)),IF(AND($S$3=TRUE,$S$4=TRUE),IF(OR($Q$4=TRUE,$Q$5=TRUE,$S$2=TRUE),VLOOKUP($G76,'KO Calc'!$H:$AW,27,FALSE),VLOOKUP($G76,'KO Calc'!$H73:$AW73,27,FALSE)))))))))))))</f>
        <v>-</v>
      </c>
      <c r="I76" s="36" t="str">
        <f>IF(AND($Q$1=FALSE,$S$3=FALSE),"-",IF(AND($Q$1=TRUE,$S$3=TRUE),"-",IF(AND($Q$1=FALSE,$S$3=FALSE),"-",IF(AND($Q$1=TRUE,$S$1=TRUE,$S$4=FALSE)=TRUE,IF(OR($Q$4=TRUE,$Q$5=TRUE,$S$2=TRUE),VLOOKUP($G76,'KO Calc'!$H:$AW,13,FALSE),VLOOKUP($G76,'KO Calc'!$H73:$AW73,13,FALSE)),IF(AND($Q$1=TRUE,$S$4=FALSE),IF(OR($Q$4=TRUE,$Q$5=TRUE,$S$2=TRUE),VLOOKUP($G76,'KO Calc'!$H:$AW,3,FALSE),VLOOKUP($G76,'KO Calc'!$H73:$AW73,3,FALSE)),
IF(AND($Q$1=TRUE,$S$1=TRUE,$S$4=TRUE)=TRUE,IF(OR($Q$4=TRUE,$Q$5=TRUE,$S$2=TRUE),VLOOKUP($G76,'KO Calc'!$H:$AW,18,FALSE),VLOOKUP($G76,'KO Calc'!$H73:$AW73,18,FALSE)),IF(AND($Q$1=TRUE,$S$4=TRUE),IF(OR($Q$4=TRUE,$Q$5=TRUE,$S$2=TRUE),VLOOKUP($G76,'KO Calc'!$H:$AW,8,FALSE),VLOOKUP($G76,'KO Calc'!$H73:$AW73,8,FALSE)),
IF(AND($S$3=TRUE,$S$1=TRUE,$S$4=FALSE)=TRUE,IF(OR($Q$4=TRUE,$Q$5=TRUE,$S$2=TRUE),VLOOKUP($G76,'KO Calc'!$H:$AW,33,FALSE),VLOOKUP($G76,'KO Calc'!$H73:$AW73,33,FALSE)),IF(AND($S$3=TRUE,$S$4=FALSE),IF(OR($Q$4=TRUE,$Q$5=TRUE,$S$2=TRUE),VLOOKUP($G76,'KO Calc'!$H:$AW,23,FALSE),VLOOKUP($G76,'KO Calc'!$H73:$AW73,23,FALSE)),
IF(AND($S$3=TRUE,$S$1=TRUE,$S$4=TRUE)=TRUE,IF(OR($Q$4=TRUE,$Q$5=TRUE,$S$2=TRUE),VLOOKUP($G76,'KO Calc'!$H:$AW,38,FALSE),VLOOKUP($G76,'KO Calc'!$H73:$AW73,38,FALSE)),IF(AND($S$3=TRUE,$S$4=TRUE),IF(OR($Q$4=TRUE,$Q$5=TRUE,$S$2=TRUE),VLOOKUP($G76,'KO Calc'!$H:$AW,28,FALSE),VLOOKUP($G76,'KO Calc'!$H73:$AW73,28,FALSE)))))))))))))</f>
        <v>-</v>
      </c>
      <c r="J76" s="36" t="str">
        <f>IF(AND($Q$1=FALSE,$S$3=FALSE),"-",IF(AND($Q$1=TRUE,$S$3=TRUE),"-",IF(AND($Q$1=FALSE,$S$3=FALSE),"-",IF(AND($Q$1=TRUE,$S$1=TRUE,$S$4=FALSE)=TRUE,IF(OR($Q$4=TRUE,$Q$5=TRUE,$S$2=TRUE),VLOOKUP($G76,'KO Calc'!$H:$AW,FALSE),VLOOKUP($G76,'KO Calc'!$H73:$AW73,14,FALSE)),IF(AND($Q$1=TRUE,$S$4=FALSE),IF(OR($Q$4=TRUE,$Q$5=TRUE,$S$2=TRUE),VLOOKUP($G76,'KO Calc'!$H:$AW,4,FALSE),VLOOKUP($G76,'KO Calc'!$H73:$AW73,4,FALSE)),
IF(AND($Q$1=TRUE,$S$1=TRUE,$S$4=TRUE)=TRUE,IF(OR($Q$4=TRUE,$Q$5=TRUE,$S$2=TRUE),VLOOKUP($G76,'KO Calc'!$H:$AW,19,FALSE),VLOOKUP($G76,'KO Calc'!$H73:$AW73,19,FALSE)),IF(AND($Q$1=TRUE,$S$4=TRUE),IF(OR($Q$4=TRUE,$Q$5=TRUE,$S$2=TRUE),VLOOKUP($G76,'KO Calc'!$H:$AW,9,FALSE),VLOOKUP($G76,'KO Calc'!$H73:$AW73,9,FALSE)),
IF(AND($S$3=TRUE,$S$1=TRUE,$S$4=FALSE)=TRUE,IF(OR($Q$4=TRUE,$Q$5=TRUE,$S$2=TRUE),VLOOKUP($G76,'KO Calc'!$H:$AW,34,FALSE),VLOOKUP($G76,'KO Calc'!$H73:$AW73,34,FALSE)),IF(AND($S$3=TRUE,$S$4=FALSE),IF(OR($Q$4=TRUE,$Q$5=TRUE,$S$2=TRUE),VLOOKUP($G76,'KO Calc'!$H:$AW,24,FALSE),VLOOKUP($G76,'KO Calc'!$H73:$AW73,24,FALSE)),
IF(AND($S$3=TRUE,$S$1=TRUE,$S$4=TRUE)=TRUE,IF(OR($Q$4=TRUE,$Q$5=TRUE,$S$2=TRUE),VLOOKUP($G76,'KO Calc'!$H:$AW,39,FALSE),VLOOKUP($G76,'KO Calc'!$H73:$AW73,39,FALSE)),IF(AND($S$3=TRUE,$S$4=TRUE),IF(OR($Q$4=TRUE,$Q$5=TRUE,$S$2=TRUE),VLOOKUP($G76,'KO Calc'!$H:$AW,29,FALSE),VLOOKUP($G76,'KO Calc'!$H73:$AW73,29,FALSE)))))))))))))</f>
        <v>-</v>
      </c>
      <c r="K76" s="36" t="str">
        <f>IF(AND($Q$1=FALSE,$S$3=FALSE),"-",IF(AND($Q$1=TRUE,$S$3=TRUE),"-",IF(AND($Q$1=FALSE,$S$3=FALSE),"-",IF(AND($Q$1=TRUE,$S$1=TRUE,$S$4=FALSE)=TRUE,IF(OR($Q$4=TRUE,$Q$5=TRUE,$S$2=TRUE),VLOOKUP($G76,'KO Calc'!$H:$AW,15,FALSE),VLOOKUP($G76,'KO Calc'!$H73:$AW73,15,FALSE)),IF(AND($Q$1=TRUE,$S$4=FALSE),IF(OR($Q$4=TRUE,$Q$5=TRUE,$S$2=TRUE),VLOOKUP($G76,'KO Calc'!$H:$AW,5,FALSE),VLOOKUP($G76,'KO Calc'!$H73:$AW73,5,FALSE)),
IF(AND($Q$1=TRUE,$S$1=TRUE,$S$4=TRUE)=TRUE,IF(OR($Q$4=TRUE,$Q$5=TRUE,$S$2=TRUE),VLOOKUP($G76,'KO Calc'!$H:$AW,20,FALSE),VLOOKUP($G76,'KO Calc'!$H73:$AW73,20,FALSE)),IF(AND($Q$1=TRUE,$S$4=TRUE),IF(OR($Q$4=TRUE,$Q$5=TRUE,$S$2=TRUE),VLOOKUP($G76,'KO Calc'!$H:$AW,10,FALSE),VLOOKUP($G76,'KO Calc'!$H73:$AW73,10,FALSE)),
IF(AND($S$3=TRUE,$S$1=TRUE,$S$4=FALSE)=TRUE,IF(OR($Q$4=TRUE,$Q$5=TRUE,$S$2=TRUE),VLOOKUP($G76,'KO Calc'!$H:$AW,35,FALSE),VLOOKUP($G76,'KO Calc'!$H73:$AW73,35,FALSE)),IF(AND($S$3=TRUE,$S$4=FALSE),IF(OR($Q$4=TRUE,$Q$5=TRUE,$S$2=TRUE),VLOOKUP($G76,'KO Calc'!$H:$AW,25,FALSE),VLOOKUP($G76,'KO Calc'!$H73:$AW73,25,FALSE)),
IF(AND($S$3=TRUE,$S$1=TRUE,$S$4=TRUE)=TRUE,IF(OR($Q$4=TRUE,$Q$5=TRUE,$S$2=TRUE),VLOOKUP($G76,'KO Calc'!$H:$AW,40,FALSE),VLOOKUP($G76,'KO Calc'!$H73:$AW73,40,FALSE)),IF(AND($S$3=TRUE,$S$4=TRUE),IF(OR($Q$4=TRUE,$Q$5=TRUE,$S$2=TRUE),VLOOKUP($G76,'KO Calc'!$H:$AW,30,FALSE),VLOOKUP($G76,'KO Calc'!$H73:$AW73,30,FALSE)))))))))))))</f>
        <v>-</v>
      </c>
      <c r="L76" s="36" t="str">
        <f>IFERROR(IF(AND($Q$1=FALSE,$S$3=FALSE),"-",VLOOKUP($E76,'Status Thresholds'!$E:$AU,41,FALSE)),"-")</f>
        <v>-</v>
      </c>
      <c r="M76" s="36" t="str">
        <f>IFERROR(IF(AND($Q$1=FALSE,$S$3=FALSE),"-",VLOOKUP($E76,'Status Thresholds'!$E:$AU,42,FALSE)),"-")</f>
        <v>-</v>
      </c>
      <c r="N76" s="36" t="str">
        <f>IFERROR(IF(AND($Q$1=FALSE,$S$3=FALSE),"-",VLOOKUP($E76,'Status Thresholds'!$E:$AU,43,FALSE)),"-")</f>
        <v>-</v>
      </c>
    </row>
    <row r="77" spans="1:14" x14ac:dyDescent="0.25">
      <c r="B77" s="64" t="str">
        <f>VLOOKUP(C77,'Status Thresholds'!B:C,2,FALSE)</f>
        <v>MHGen</v>
      </c>
      <c r="C77" s="46" t="str">
        <f>IF(ISBLANK('KO Calc'!C73)=TRUE,"",'KO Calc'!C73)</f>
        <v>Astalos</v>
      </c>
      <c r="D77" s="78" t="s">
        <v>207</v>
      </c>
      <c r="E77" s="62" t="str">
        <f t="shared" si="1"/>
        <v>AstalosShock Trap</v>
      </c>
      <c r="F77" t="s">
        <v>13</v>
      </c>
      <c r="G77" s="36" t="str">
        <f t="shared" si="2"/>
        <v>AstalosCrag 3</v>
      </c>
      <c r="H77" s="36" t="str">
        <f>IF(AND($Q$1=FALSE,$S$3=FALSE),"-",IF(AND($Q$1=TRUE,$S$3=TRUE),"-",IF(AND($Q$1=FALSE,$S$3=FALSE),"-",IF(AND($Q$1=TRUE,$S$1=TRUE,$S$4=FALSE)=TRUE,IF(OR($Q$4=TRUE,$Q$5=TRUE,$S$2=TRUE),VLOOKUP($G77,'KO Calc'!$H:$AW,12,FALSE),VLOOKUP($G77,'KO Calc'!$H74:$AW74,12,FALSE)),IF(AND($Q$1=TRUE,$S$4=FALSE),IF(OR($Q$4=TRUE,$Q$5=TRUE,$S$2=TRUE),VLOOKUP($G77,'KO Calc'!$H:$AW,2,FALSE),VLOOKUP($G77,'KO Calc'!$H74:$AW74,2,FALSE)),
IF(AND($Q$1=TRUE,$S$1=TRUE,$S$4=TRUE)=TRUE,IF(OR($Q$4=TRUE,$Q$5=TRUE,$S$2=TRUE),VLOOKUP($G77,'KO Calc'!$H:$AW,17,FALSE),VLOOKUP($G77,'KO Calc'!$H74:$AW74,17,FALSE)),IF(AND($Q$1=TRUE,$S$4=TRUE),IF(OR($Q$4=TRUE,$Q$5=TRUE,$S$2=TRUE),VLOOKUP($G77,'KO Calc'!$H:$AW,7,FALSE),VLOOKUP($G77,'KO Calc'!$H74:$AW74,7,FALSE)),
IF(AND($S$3=TRUE,$S$1=TRUE,$S$4=FALSE)=TRUE,IF(OR($Q$4=TRUE,$Q$5=TRUE,$S$2=TRUE),VLOOKUP($G77,'KO Calc'!$H:$AW,32,FALSE),VLOOKUP($G77,'KO Calc'!$H74:$AW74,32,FALSE)),IF(AND($S$3=TRUE,$S$4=FALSE),IF(OR($Q$4=TRUE,$Q$5=TRUE,$S$2=TRUE),VLOOKUP($G77,'KO Calc'!$H:$AW,22,FALSE),VLOOKUP($G77,'KO Calc'!$H74:$AW74,22,FALSE)),
IF(AND($S$3=TRUE,$S$1=TRUE,$S$4=TRUE)=TRUE,IF(OR($Q$4=TRUE,$Q$5=TRUE,$S$2=TRUE),VLOOKUP($G77,'KO Calc'!$H:$AW,37,FALSE),VLOOKUP($G77,'KO Calc'!$H74:$AW74,37,FALSE)),IF(AND($S$3=TRUE,$S$4=TRUE),IF(OR($Q$4=TRUE,$Q$5=TRUE,$S$2=TRUE),VLOOKUP($G77,'KO Calc'!$H:$AW,27,FALSE),VLOOKUP($G77,'KO Calc'!$H74:$AW74,27,FALSE)))))))))))))</f>
        <v>-</v>
      </c>
      <c r="I77" s="36" t="str">
        <f>IF(AND($Q$1=FALSE,$S$3=FALSE),"-",IF(AND($Q$1=TRUE,$S$3=TRUE),"-",IF(AND($Q$1=FALSE,$S$3=FALSE),"-",IF(AND($Q$1=TRUE,$S$1=TRUE,$S$4=FALSE)=TRUE,IF(OR($Q$4=TRUE,$Q$5=TRUE,$S$2=TRUE),VLOOKUP($G77,'KO Calc'!$H:$AW,13,FALSE),VLOOKUP($G77,'KO Calc'!$H74:$AW74,13,FALSE)),IF(AND($Q$1=TRUE,$S$4=FALSE),IF(OR($Q$4=TRUE,$Q$5=TRUE,$S$2=TRUE),VLOOKUP($G77,'KO Calc'!$H:$AW,3,FALSE),VLOOKUP($G77,'KO Calc'!$H74:$AW74,3,FALSE)),
IF(AND($Q$1=TRUE,$S$1=TRUE,$S$4=TRUE)=TRUE,IF(OR($Q$4=TRUE,$Q$5=TRUE,$S$2=TRUE),VLOOKUP($G77,'KO Calc'!$H:$AW,18,FALSE),VLOOKUP($G77,'KO Calc'!$H74:$AW74,18,FALSE)),IF(AND($Q$1=TRUE,$S$4=TRUE),IF(OR($Q$4=TRUE,$Q$5=TRUE,$S$2=TRUE),VLOOKUP($G77,'KO Calc'!$H:$AW,8,FALSE),VLOOKUP($G77,'KO Calc'!$H74:$AW74,8,FALSE)),
IF(AND($S$3=TRUE,$S$1=TRUE,$S$4=FALSE)=TRUE,IF(OR($Q$4=TRUE,$Q$5=TRUE,$S$2=TRUE),VLOOKUP($G77,'KO Calc'!$H:$AW,33,FALSE),VLOOKUP($G77,'KO Calc'!$H74:$AW74,33,FALSE)),IF(AND($S$3=TRUE,$S$4=FALSE),IF(OR($Q$4=TRUE,$Q$5=TRUE,$S$2=TRUE),VLOOKUP($G77,'KO Calc'!$H:$AW,23,FALSE),VLOOKUP($G77,'KO Calc'!$H74:$AW74,23,FALSE)),
IF(AND($S$3=TRUE,$S$1=TRUE,$S$4=TRUE)=TRUE,IF(OR($Q$4=TRUE,$Q$5=TRUE,$S$2=TRUE),VLOOKUP($G77,'KO Calc'!$H:$AW,38,FALSE),VLOOKUP($G77,'KO Calc'!$H74:$AW74,38,FALSE)),IF(AND($S$3=TRUE,$S$4=TRUE),IF(OR($Q$4=TRUE,$Q$5=TRUE,$S$2=TRUE),VLOOKUP($G77,'KO Calc'!$H:$AW,28,FALSE),VLOOKUP($G77,'KO Calc'!$H74:$AW74,28,FALSE)))))))))))))</f>
        <v>-</v>
      </c>
      <c r="J77" s="36" t="str">
        <f>IF(AND($Q$1=FALSE,$S$3=FALSE),"-",IF(AND($Q$1=TRUE,$S$3=TRUE),"-",IF(AND($Q$1=FALSE,$S$3=FALSE),"-",IF(AND($Q$1=TRUE,$S$1=TRUE,$S$4=FALSE)=TRUE,IF(OR($Q$4=TRUE,$Q$5=TRUE,$S$2=TRUE),VLOOKUP($G77,'KO Calc'!$H:$AW,FALSE),VLOOKUP($G77,'KO Calc'!$H74:$AW74,14,FALSE)),IF(AND($Q$1=TRUE,$S$4=FALSE),IF(OR($Q$4=TRUE,$Q$5=TRUE,$S$2=TRUE),VLOOKUP($G77,'KO Calc'!$H:$AW,4,FALSE),VLOOKUP($G77,'KO Calc'!$H74:$AW74,4,FALSE)),
IF(AND($Q$1=TRUE,$S$1=TRUE,$S$4=TRUE)=TRUE,IF(OR($Q$4=TRUE,$Q$5=TRUE,$S$2=TRUE),VLOOKUP($G77,'KO Calc'!$H:$AW,19,FALSE),VLOOKUP($G77,'KO Calc'!$H74:$AW74,19,FALSE)),IF(AND($Q$1=TRUE,$S$4=TRUE),IF(OR($Q$4=TRUE,$Q$5=TRUE,$S$2=TRUE),VLOOKUP($G77,'KO Calc'!$H:$AW,9,FALSE),VLOOKUP($G77,'KO Calc'!$H74:$AW74,9,FALSE)),
IF(AND($S$3=TRUE,$S$1=TRUE,$S$4=FALSE)=TRUE,IF(OR($Q$4=TRUE,$Q$5=TRUE,$S$2=TRUE),VLOOKUP($G77,'KO Calc'!$H:$AW,34,FALSE),VLOOKUP($G77,'KO Calc'!$H74:$AW74,34,FALSE)),IF(AND($S$3=TRUE,$S$4=FALSE),IF(OR($Q$4=TRUE,$Q$5=TRUE,$S$2=TRUE),VLOOKUP($G77,'KO Calc'!$H:$AW,24,FALSE),VLOOKUP($G77,'KO Calc'!$H74:$AW74,24,FALSE)),
IF(AND($S$3=TRUE,$S$1=TRUE,$S$4=TRUE)=TRUE,IF(OR($Q$4=TRUE,$Q$5=TRUE,$S$2=TRUE),VLOOKUP($G77,'KO Calc'!$H:$AW,39,FALSE),VLOOKUP($G77,'KO Calc'!$H74:$AW74,39,FALSE)),IF(AND($S$3=TRUE,$S$4=TRUE),IF(OR($Q$4=TRUE,$Q$5=TRUE,$S$2=TRUE),VLOOKUP($G77,'KO Calc'!$H:$AW,29,FALSE),VLOOKUP($G77,'KO Calc'!$H74:$AW74,29,FALSE)))))))))))))</f>
        <v>-</v>
      </c>
      <c r="K77" s="36" t="str">
        <f>IF(AND($Q$1=FALSE,$S$3=FALSE),"-",IF(AND($Q$1=TRUE,$S$3=TRUE),"-",IF(AND($Q$1=FALSE,$S$3=FALSE),"-",IF(AND($Q$1=TRUE,$S$1=TRUE,$S$4=FALSE)=TRUE,IF(OR($Q$4=TRUE,$Q$5=TRUE,$S$2=TRUE),VLOOKUP($G77,'KO Calc'!$H:$AW,15,FALSE),VLOOKUP($G77,'KO Calc'!$H74:$AW74,15,FALSE)),IF(AND($Q$1=TRUE,$S$4=FALSE),IF(OR($Q$4=TRUE,$Q$5=TRUE,$S$2=TRUE),VLOOKUP($G77,'KO Calc'!$H:$AW,5,FALSE),VLOOKUP($G77,'KO Calc'!$H74:$AW74,5,FALSE)),
IF(AND($Q$1=TRUE,$S$1=TRUE,$S$4=TRUE)=TRUE,IF(OR($Q$4=TRUE,$Q$5=TRUE,$S$2=TRUE),VLOOKUP($G77,'KO Calc'!$H:$AW,20,FALSE),VLOOKUP($G77,'KO Calc'!$H74:$AW74,20,FALSE)),IF(AND($Q$1=TRUE,$S$4=TRUE),IF(OR($Q$4=TRUE,$Q$5=TRUE,$S$2=TRUE),VLOOKUP($G77,'KO Calc'!$H:$AW,10,FALSE),VLOOKUP($G77,'KO Calc'!$H74:$AW74,10,FALSE)),
IF(AND($S$3=TRUE,$S$1=TRUE,$S$4=FALSE)=TRUE,IF(OR($Q$4=TRUE,$Q$5=TRUE,$S$2=TRUE),VLOOKUP($G77,'KO Calc'!$H:$AW,35,FALSE),VLOOKUP($G77,'KO Calc'!$H74:$AW74,35,FALSE)),IF(AND($S$3=TRUE,$S$4=FALSE),IF(OR($Q$4=TRUE,$Q$5=TRUE,$S$2=TRUE),VLOOKUP($G77,'KO Calc'!$H:$AW,25,FALSE),VLOOKUP($G77,'KO Calc'!$H74:$AW74,25,FALSE)),
IF(AND($S$3=TRUE,$S$1=TRUE,$S$4=TRUE)=TRUE,IF(OR($Q$4=TRUE,$Q$5=TRUE,$S$2=TRUE),VLOOKUP($G77,'KO Calc'!$H:$AW,40,FALSE),VLOOKUP($G77,'KO Calc'!$H74:$AW74,40,FALSE)),IF(AND($S$3=TRUE,$S$4=TRUE),IF(OR($Q$4=TRUE,$Q$5=TRUE,$S$2=TRUE),VLOOKUP($G77,'KO Calc'!$H:$AW,30,FALSE),VLOOKUP($G77,'KO Calc'!$H74:$AW74,30,FALSE)))))))))))))</f>
        <v>-</v>
      </c>
      <c r="L77" s="36" t="str">
        <f>IFERROR(IF(AND($Q$1=FALSE,$S$3=FALSE),"-",VLOOKUP($E77,'Status Thresholds'!$E:$AU,43,FALSE)),"-")</f>
        <v>-</v>
      </c>
      <c r="M77" s="36" t="str">
        <f>IFERROR(IF(AND($Q$1=FALSE,$S$3=FALSE),"-",VLOOKUP($E77,'Status Thresholds'!$E:$AU,41,FALSE)),"-")</f>
        <v>-</v>
      </c>
      <c r="N77" s="36" t="str">
        <f>IFERROR(IF(AND($Q$1=FALSE,$S$3=FALSE),"-",VLOOKUP($E77,'Status Thresholds'!$E:$AU,42,FALSE)),"-")</f>
        <v>-</v>
      </c>
    </row>
    <row r="78" spans="1:14" x14ac:dyDescent="0.25">
      <c r="B78" s="64" t="str">
        <f>VLOOKUP(C78,'Status Thresholds'!B:C,2,FALSE)</f>
        <v>MHGen</v>
      </c>
      <c r="C78" s="46" t="str">
        <f>IF(ISBLANK('KO Calc'!C74)=TRUE,"",'KO Calc'!C74)</f>
        <v>Astalos</v>
      </c>
      <c r="D78" s="78" t="s">
        <v>213</v>
      </c>
      <c r="E78" s="62" t="str">
        <f t="shared" si="1"/>
        <v>AstalosPitfall Trap</v>
      </c>
      <c r="F78" t="s">
        <v>12</v>
      </c>
      <c r="G78" s="36" t="str">
        <f t="shared" si="2"/>
        <v>AstalosCrag 2</v>
      </c>
      <c r="H78" s="36" t="str">
        <f>IF(AND($Q$1=FALSE,$S$3=FALSE),"-",IF(AND($Q$1=TRUE,$S$3=TRUE),"-",IF(AND($Q$1=FALSE,$S$3=FALSE),"-",IF(AND($Q$1=TRUE,$S$1=TRUE,$S$4=FALSE)=TRUE,IF(OR($Q$4=TRUE,$Q$5=TRUE,$S$2=TRUE),VLOOKUP($G78,'KO Calc'!$H:$AW,12,FALSE),VLOOKUP($G78,'KO Calc'!$H75:$AW75,12,FALSE)),IF(AND($Q$1=TRUE,$S$4=FALSE),IF(OR($Q$4=TRUE,$Q$5=TRUE,$S$2=TRUE),VLOOKUP($G78,'KO Calc'!$H:$AW,2,FALSE),VLOOKUP($G78,'KO Calc'!$H75:$AW75,2,FALSE)),
IF(AND($Q$1=TRUE,$S$1=TRUE,$S$4=TRUE)=TRUE,IF(OR($Q$4=TRUE,$Q$5=TRUE,$S$2=TRUE),VLOOKUP($G78,'KO Calc'!$H:$AW,17,FALSE),VLOOKUP($G78,'KO Calc'!$H75:$AW75,17,FALSE)),IF(AND($Q$1=TRUE,$S$4=TRUE),IF(OR($Q$4=TRUE,$Q$5=TRUE,$S$2=TRUE),VLOOKUP($G78,'KO Calc'!$H:$AW,7,FALSE),VLOOKUP($G78,'KO Calc'!$H75:$AW75,7,FALSE)),
IF(AND($S$3=TRUE,$S$1=TRUE,$S$4=FALSE)=TRUE,IF(OR($Q$4=TRUE,$Q$5=TRUE,$S$2=TRUE),VLOOKUP($G78,'KO Calc'!$H:$AW,32,FALSE),VLOOKUP($G78,'KO Calc'!$H75:$AW75,32,FALSE)),IF(AND($S$3=TRUE,$S$4=FALSE),IF(OR($Q$4=TRUE,$Q$5=TRUE,$S$2=TRUE),VLOOKUP($G78,'KO Calc'!$H:$AW,22,FALSE),VLOOKUP($G78,'KO Calc'!$H75:$AW75,22,FALSE)),
IF(AND($S$3=TRUE,$S$1=TRUE,$S$4=TRUE)=TRUE,IF(OR($Q$4=TRUE,$Q$5=TRUE,$S$2=TRUE),VLOOKUP($G78,'KO Calc'!$H:$AW,37,FALSE),VLOOKUP($G78,'KO Calc'!$H75:$AW75,37,FALSE)),IF(AND($S$3=TRUE,$S$4=TRUE),IF(OR($Q$4=TRUE,$Q$5=TRUE,$S$2=TRUE),VLOOKUP($G78,'KO Calc'!$H:$AW,27,FALSE),VLOOKUP($G78,'KO Calc'!$H75:$AW75,27,FALSE)))))))))))))</f>
        <v>-</v>
      </c>
      <c r="I78" s="36" t="str">
        <f>IF(AND($Q$1=FALSE,$S$3=FALSE),"-",IF(AND($Q$1=TRUE,$S$3=TRUE),"-",IF(AND($Q$1=FALSE,$S$3=FALSE),"-",IF(AND($Q$1=TRUE,$S$1=TRUE,$S$4=FALSE)=TRUE,IF(OR($Q$4=TRUE,$Q$5=TRUE,$S$2=TRUE),VLOOKUP($G78,'KO Calc'!$H:$AW,13,FALSE),VLOOKUP($G78,'KO Calc'!$H75:$AW75,13,FALSE)),IF(AND($Q$1=TRUE,$S$4=FALSE),IF(OR($Q$4=TRUE,$Q$5=TRUE,$S$2=TRUE),VLOOKUP($G78,'KO Calc'!$H:$AW,3,FALSE),VLOOKUP($G78,'KO Calc'!$H75:$AW75,3,FALSE)),
IF(AND($Q$1=TRUE,$S$1=TRUE,$S$4=TRUE)=TRUE,IF(OR($Q$4=TRUE,$Q$5=TRUE,$S$2=TRUE),VLOOKUP($G78,'KO Calc'!$H:$AW,18,FALSE),VLOOKUP($G78,'KO Calc'!$H75:$AW75,18,FALSE)),IF(AND($Q$1=TRUE,$S$4=TRUE),IF(OR($Q$4=TRUE,$Q$5=TRUE,$S$2=TRUE),VLOOKUP($G78,'KO Calc'!$H:$AW,8,FALSE),VLOOKUP($G78,'KO Calc'!$H75:$AW75,8,FALSE)),
IF(AND($S$3=TRUE,$S$1=TRUE,$S$4=FALSE)=TRUE,IF(OR($Q$4=TRUE,$Q$5=TRUE,$S$2=TRUE),VLOOKUP($G78,'KO Calc'!$H:$AW,33,FALSE),VLOOKUP($G78,'KO Calc'!$H75:$AW75,33,FALSE)),IF(AND($S$3=TRUE,$S$4=FALSE),IF(OR($Q$4=TRUE,$Q$5=TRUE,$S$2=TRUE),VLOOKUP($G78,'KO Calc'!$H:$AW,23,FALSE),VLOOKUP($G78,'KO Calc'!$H75:$AW75,23,FALSE)),
IF(AND($S$3=TRUE,$S$1=TRUE,$S$4=TRUE)=TRUE,IF(OR($Q$4=TRUE,$Q$5=TRUE,$S$2=TRUE),VLOOKUP($G78,'KO Calc'!$H:$AW,38,FALSE),VLOOKUP($G78,'KO Calc'!$H75:$AW75,38,FALSE)),IF(AND($S$3=TRUE,$S$4=TRUE),IF(OR($Q$4=TRUE,$Q$5=TRUE,$S$2=TRUE),VLOOKUP($G78,'KO Calc'!$H:$AW,28,FALSE),VLOOKUP($G78,'KO Calc'!$H75:$AW75,28,FALSE)))))))))))))</f>
        <v>-</v>
      </c>
      <c r="J78" s="36" t="str">
        <f>IF(AND($Q$1=FALSE,$S$3=FALSE),"-",IF(AND($Q$1=TRUE,$S$3=TRUE),"-",IF(AND($Q$1=FALSE,$S$3=FALSE),"-",IF(AND($Q$1=TRUE,$S$1=TRUE,$S$4=FALSE)=TRUE,IF(OR($Q$4=TRUE,$Q$5=TRUE,$S$2=TRUE),VLOOKUP($G78,'KO Calc'!$H:$AW,FALSE),VLOOKUP($G78,'KO Calc'!$H75:$AW75,14,FALSE)),IF(AND($Q$1=TRUE,$S$4=FALSE),IF(OR($Q$4=TRUE,$Q$5=TRUE,$S$2=TRUE),VLOOKUP($G78,'KO Calc'!$H:$AW,4,FALSE),VLOOKUP($G78,'KO Calc'!$H75:$AW75,4,FALSE)),
IF(AND($Q$1=TRUE,$S$1=TRUE,$S$4=TRUE)=TRUE,IF(OR($Q$4=TRUE,$Q$5=TRUE,$S$2=TRUE),VLOOKUP($G78,'KO Calc'!$H:$AW,19,FALSE),VLOOKUP($G78,'KO Calc'!$H75:$AW75,19,FALSE)),IF(AND($Q$1=TRUE,$S$4=TRUE),IF(OR($Q$4=TRUE,$Q$5=TRUE,$S$2=TRUE),VLOOKUP($G78,'KO Calc'!$H:$AW,9,FALSE),VLOOKUP($G78,'KO Calc'!$H75:$AW75,9,FALSE)),
IF(AND($S$3=TRUE,$S$1=TRUE,$S$4=FALSE)=TRUE,IF(OR($Q$4=TRUE,$Q$5=TRUE,$S$2=TRUE),VLOOKUP($G78,'KO Calc'!$H:$AW,34,FALSE),VLOOKUP($G78,'KO Calc'!$H75:$AW75,34,FALSE)),IF(AND($S$3=TRUE,$S$4=FALSE),IF(OR($Q$4=TRUE,$Q$5=TRUE,$S$2=TRUE),VLOOKUP($G78,'KO Calc'!$H:$AW,24,FALSE),VLOOKUP($G78,'KO Calc'!$H75:$AW75,24,FALSE)),
IF(AND($S$3=TRUE,$S$1=TRUE,$S$4=TRUE)=TRUE,IF(OR($Q$4=TRUE,$Q$5=TRUE,$S$2=TRUE),VLOOKUP($G78,'KO Calc'!$H:$AW,39,FALSE),VLOOKUP($G78,'KO Calc'!$H75:$AW75,39,FALSE)),IF(AND($S$3=TRUE,$S$4=TRUE),IF(OR($Q$4=TRUE,$Q$5=TRUE,$S$2=TRUE),VLOOKUP($G78,'KO Calc'!$H:$AW,29,FALSE),VLOOKUP($G78,'KO Calc'!$H75:$AW75,29,FALSE)))))))))))))</f>
        <v>-</v>
      </c>
      <c r="K78" s="36" t="str">
        <f>IF(AND($Q$1=FALSE,$S$3=FALSE),"-",IF(AND($Q$1=TRUE,$S$3=TRUE),"-",IF(AND($Q$1=FALSE,$S$3=FALSE),"-",IF(AND($Q$1=TRUE,$S$1=TRUE,$S$4=FALSE)=TRUE,IF(OR($Q$4=TRUE,$Q$5=TRUE,$S$2=TRUE),VLOOKUP($G78,'KO Calc'!$H:$AW,15,FALSE),VLOOKUP($G78,'KO Calc'!$H75:$AW75,15,FALSE)),IF(AND($Q$1=TRUE,$S$4=FALSE),IF(OR($Q$4=TRUE,$Q$5=TRUE,$S$2=TRUE),VLOOKUP($G78,'KO Calc'!$H:$AW,5,FALSE),VLOOKUP($G78,'KO Calc'!$H75:$AW75,5,FALSE)),
IF(AND($Q$1=TRUE,$S$1=TRUE,$S$4=TRUE)=TRUE,IF(OR($Q$4=TRUE,$Q$5=TRUE,$S$2=TRUE),VLOOKUP($G78,'KO Calc'!$H:$AW,20,FALSE),VLOOKUP($G78,'KO Calc'!$H75:$AW75,20,FALSE)),IF(AND($Q$1=TRUE,$S$4=TRUE),IF(OR($Q$4=TRUE,$Q$5=TRUE,$S$2=TRUE),VLOOKUP($G78,'KO Calc'!$H:$AW,10,FALSE),VLOOKUP($G78,'KO Calc'!$H75:$AW75,10,FALSE)),
IF(AND($S$3=TRUE,$S$1=TRUE,$S$4=FALSE)=TRUE,IF(OR($Q$4=TRUE,$Q$5=TRUE,$S$2=TRUE),VLOOKUP($G78,'KO Calc'!$H:$AW,35,FALSE),VLOOKUP($G78,'KO Calc'!$H75:$AW75,35,FALSE)),IF(AND($S$3=TRUE,$S$4=FALSE),IF(OR($Q$4=TRUE,$Q$5=TRUE,$S$2=TRUE),VLOOKUP($G78,'KO Calc'!$H:$AW,25,FALSE),VLOOKUP($G78,'KO Calc'!$H75:$AW75,25,FALSE)),
IF(AND($S$3=TRUE,$S$1=TRUE,$S$4=TRUE)=TRUE,IF(OR($Q$4=TRUE,$Q$5=TRUE,$S$2=TRUE),VLOOKUP($G78,'KO Calc'!$H:$AW,40,FALSE),VLOOKUP($G78,'KO Calc'!$H75:$AW75,40,FALSE)),IF(AND($S$3=TRUE,$S$4=TRUE),IF(OR($Q$4=TRUE,$Q$5=TRUE,$S$2=TRUE),VLOOKUP($G78,'KO Calc'!$H:$AW,30,FALSE),VLOOKUP($G78,'KO Calc'!$H75:$AW75,30,FALSE)))))))))))))</f>
        <v>-</v>
      </c>
      <c r="L78" s="36" t="str">
        <f>IFERROR(IF(AND($Q$1=FALSE,$S$3=FALSE),"-",VLOOKUP($E78,'Status Thresholds'!$E:$AU,43,FALSE)),"-")</f>
        <v>-</v>
      </c>
      <c r="M78" s="36" t="str">
        <f>IFERROR(IF(AND($Q$1=FALSE,$S$3=FALSE),"-",VLOOKUP($E78,'Status Thresholds'!$E:$AU,41,FALSE)),"-")</f>
        <v>-</v>
      </c>
      <c r="N78" s="36" t="str">
        <f>IFERROR(IF(AND($Q$1=FALSE,$S$3=FALSE),"-",VLOOKUP($E78,'Status Thresholds'!$E:$AU,42,FALSE)),"-")</f>
        <v>-</v>
      </c>
    </row>
    <row r="79" spans="1:14" x14ac:dyDescent="0.25">
      <c r="B79" s="64" t="str">
        <f>VLOOKUP(C79,'Status Thresholds'!B:C,2,FALSE)</f>
        <v>MHGen</v>
      </c>
      <c r="C79" s="46" t="str">
        <f>IF(ISBLANK('KO Calc'!C75)=TRUE,"",'KO Calc'!C75)</f>
        <v>Astalos</v>
      </c>
      <c r="D79" s="78"/>
      <c r="E79" s="62" t="str">
        <f t="shared" si="1"/>
        <v>Astalos</v>
      </c>
      <c r="F79" t="s">
        <v>11</v>
      </c>
      <c r="G79" s="36" t="str">
        <f t="shared" si="2"/>
        <v>AstalosCrag 1</v>
      </c>
      <c r="H79" s="36" t="str">
        <f>IF(AND($Q$1=FALSE,$S$3=FALSE),"-",IF(AND($Q$1=TRUE,$S$3=TRUE),"-",IF(AND($Q$1=FALSE,$S$3=FALSE),"-",IF(AND($Q$1=TRUE,$S$1=TRUE,$S$4=FALSE)=TRUE,IF(OR($Q$4=TRUE,$Q$5=TRUE,$S$2=TRUE),VLOOKUP($G79,'KO Calc'!$H:$AW,12,FALSE),VLOOKUP($G79,'KO Calc'!$H76:$AW76,12,FALSE)),IF(AND($Q$1=TRUE,$S$4=FALSE),IF(OR($Q$4=TRUE,$Q$5=TRUE,$S$2=TRUE),VLOOKUP($G79,'KO Calc'!$H:$AW,2,FALSE),VLOOKUP($G79,'KO Calc'!$H76:$AW76,2,FALSE)),
IF(AND($Q$1=TRUE,$S$1=TRUE,$S$4=TRUE)=TRUE,IF(OR($Q$4=TRUE,$Q$5=TRUE,$S$2=TRUE),VLOOKUP($G79,'KO Calc'!$H:$AW,17,FALSE),VLOOKUP($G79,'KO Calc'!$H76:$AW76,17,FALSE)),IF(AND($Q$1=TRUE,$S$4=TRUE),IF(OR($Q$4=TRUE,$Q$5=TRUE,$S$2=TRUE),VLOOKUP($G79,'KO Calc'!$H:$AW,7,FALSE),VLOOKUP($G79,'KO Calc'!$H76:$AW76,7,FALSE)),
IF(AND($S$3=TRUE,$S$1=TRUE,$S$4=FALSE)=TRUE,IF(OR($Q$4=TRUE,$Q$5=TRUE,$S$2=TRUE),VLOOKUP($G79,'KO Calc'!$H:$AW,32,FALSE),VLOOKUP($G79,'KO Calc'!$H76:$AW76,32,FALSE)),IF(AND($S$3=TRUE,$S$4=FALSE),IF(OR($Q$4=TRUE,$Q$5=TRUE,$S$2=TRUE),VLOOKUP($G79,'KO Calc'!$H:$AW,22,FALSE),VLOOKUP($G79,'KO Calc'!$H76:$AW76,22,FALSE)),
IF(AND($S$3=TRUE,$S$1=TRUE,$S$4=TRUE)=TRUE,IF(OR($Q$4=TRUE,$Q$5=TRUE,$S$2=TRUE),VLOOKUP($G79,'KO Calc'!$H:$AW,37,FALSE),VLOOKUP($G79,'KO Calc'!$H76:$AW76,37,FALSE)),IF(AND($S$3=TRUE,$S$4=TRUE),IF(OR($Q$4=TRUE,$Q$5=TRUE,$S$2=TRUE),VLOOKUP($G79,'KO Calc'!$H:$AW,27,FALSE),VLOOKUP($G79,'KO Calc'!$H76:$AW76,27,FALSE)))))))))))))</f>
        <v>-</v>
      </c>
      <c r="I79" s="36" t="str">
        <f>IF(AND($Q$1=FALSE,$S$3=FALSE),"-",IF(AND($Q$1=TRUE,$S$3=TRUE),"-",IF(AND($Q$1=FALSE,$S$3=FALSE),"-",IF(AND($Q$1=TRUE,$S$1=TRUE,$S$4=FALSE)=TRUE,IF(OR($Q$4=TRUE,$Q$5=TRUE,$S$2=TRUE),VLOOKUP($G79,'KO Calc'!$H:$AW,13,FALSE),VLOOKUP($G79,'KO Calc'!$H76:$AW76,13,FALSE)),IF(AND($Q$1=TRUE,$S$4=FALSE),IF(OR($Q$4=TRUE,$Q$5=TRUE,$S$2=TRUE),VLOOKUP($G79,'KO Calc'!$H:$AW,3,FALSE),VLOOKUP($G79,'KO Calc'!$H76:$AW76,3,FALSE)),
IF(AND($Q$1=TRUE,$S$1=TRUE,$S$4=TRUE)=TRUE,IF(OR($Q$4=TRUE,$Q$5=TRUE,$S$2=TRUE),VLOOKUP($G79,'KO Calc'!$H:$AW,18,FALSE),VLOOKUP($G79,'KO Calc'!$H76:$AW76,18,FALSE)),IF(AND($Q$1=TRUE,$S$4=TRUE),IF(OR($Q$4=TRUE,$Q$5=TRUE,$S$2=TRUE),VLOOKUP($G79,'KO Calc'!$H:$AW,8,FALSE),VLOOKUP($G79,'KO Calc'!$H76:$AW76,8,FALSE)),
IF(AND($S$3=TRUE,$S$1=TRUE,$S$4=FALSE)=TRUE,IF(OR($Q$4=TRUE,$Q$5=TRUE,$S$2=TRUE),VLOOKUP($G79,'KO Calc'!$H:$AW,33,FALSE),VLOOKUP($G79,'KO Calc'!$H76:$AW76,33,FALSE)),IF(AND($S$3=TRUE,$S$4=FALSE),IF(OR($Q$4=TRUE,$Q$5=TRUE,$S$2=TRUE),VLOOKUP($G79,'KO Calc'!$H:$AW,23,FALSE),VLOOKUP($G79,'KO Calc'!$H76:$AW76,23,FALSE)),
IF(AND($S$3=TRUE,$S$1=TRUE,$S$4=TRUE)=TRUE,IF(OR($Q$4=TRUE,$Q$5=TRUE,$S$2=TRUE),VLOOKUP($G79,'KO Calc'!$H:$AW,38,FALSE),VLOOKUP($G79,'KO Calc'!$H76:$AW76,38,FALSE)),IF(AND($S$3=TRUE,$S$4=TRUE),IF(OR($Q$4=TRUE,$Q$5=TRUE,$S$2=TRUE),VLOOKUP($G79,'KO Calc'!$H:$AW,28,FALSE),VLOOKUP($G79,'KO Calc'!$H76:$AW76,28,FALSE)))))))))))))</f>
        <v>-</v>
      </c>
      <c r="J79" s="36" t="str">
        <f>IF(AND($Q$1=FALSE,$S$3=FALSE),"-",IF(AND($Q$1=TRUE,$S$3=TRUE),"-",IF(AND($Q$1=FALSE,$S$3=FALSE),"-",IF(AND($Q$1=TRUE,$S$1=TRUE,$S$4=FALSE)=TRUE,IF(OR($Q$4=TRUE,$Q$5=TRUE,$S$2=TRUE),VLOOKUP($G79,'KO Calc'!$H:$AW,FALSE),VLOOKUP($G79,'KO Calc'!$H76:$AW76,14,FALSE)),IF(AND($Q$1=TRUE,$S$4=FALSE),IF(OR($Q$4=TRUE,$Q$5=TRUE,$S$2=TRUE),VLOOKUP($G79,'KO Calc'!$H:$AW,4,FALSE),VLOOKUP($G79,'KO Calc'!$H76:$AW76,4,FALSE)),
IF(AND($Q$1=TRUE,$S$1=TRUE,$S$4=TRUE)=TRUE,IF(OR($Q$4=TRUE,$Q$5=TRUE,$S$2=TRUE),VLOOKUP($G79,'KO Calc'!$H:$AW,19,FALSE),VLOOKUP($G79,'KO Calc'!$H76:$AW76,19,FALSE)),IF(AND($Q$1=TRUE,$S$4=TRUE),IF(OR($Q$4=TRUE,$Q$5=TRUE,$S$2=TRUE),VLOOKUP($G79,'KO Calc'!$H:$AW,9,FALSE),VLOOKUP($G79,'KO Calc'!$H76:$AW76,9,FALSE)),
IF(AND($S$3=TRUE,$S$1=TRUE,$S$4=FALSE)=TRUE,IF(OR($Q$4=TRUE,$Q$5=TRUE,$S$2=TRUE),VLOOKUP($G79,'KO Calc'!$H:$AW,34,FALSE),VLOOKUP($G79,'KO Calc'!$H76:$AW76,34,FALSE)),IF(AND($S$3=TRUE,$S$4=FALSE),IF(OR($Q$4=TRUE,$Q$5=TRUE,$S$2=TRUE),VLOOKUP($G79,'KO Calc'!$H:$AW,24,FALSE),VLOOKUP($G79,'KO Calc'!$H76:$AW76,24,FALSE)),
IF(AND($S$3=TRUE,$S$1=TRUE,$S$4=TRUE)=TRUE,IF(OR($Q$4=TRUE,$Q$5=TRUE,$S$2=TRUE),VLOOKUP($G79,'KO Calc'!$H:$AW,39,FALSE),VLOOKUP($G79,'KO Calc'!$H76:$AW76,39,FALSE)),IF(AND($S$3=TRUE,$S$4=TRUE),IF(OR($Q$4=TRUE,$Q$5=TRUE,$S$2=TRUE),VLOOKUP($G79,'KO Calc'!$H:$AW,29,FALSE),VLOOKUP($G79,'KO Calc'!$H76:$AW76,29,FALSE)))))))))))))</f>
        <v>-</v>
      </c>
      <c r="K79" s="36" t="str">
        <f>IF(AND($Q$1=FALSE,$S$3=FALSE),"-",IF(AND($Q$1=TRUE,$S$3=TRUE),"-",IF(AND($Q$1=FALSE,$S$3=FALSE),"-",IF(AND($Q$1=TRUE,$S$1=TRUE,$S$4=FALSE)=TRUE,IF(OR($Q$4=TRUE,$Q$5=TRUE,$S$2=TRUE),VLOOKUP($G79,'KO Calc'!$H:$AW,15,FALSE),VLOOKUP($G79,'KO Calc'!$H76:$AW76,15,FALSE)),IF(AND($Q$1=TRUE,$S$4=FALSE),IF(OR($Q$4=TRUE,$Q$5=TRUE,$S$2=TRUE),VLOOKUP($G79,'KO Calc'!$H:$AW,5,FALSE),VLOOKUP($G79,'KO Calc'!$H76:$AW76,5,FALSE)),
IF(AND($Q$1=TRUE,$S$1=TRUE,$S$4=TRUE)=TRUE,IF(OR($Q$4=TRUE,$Q$5=TRUE,$S$2=TRUE),VLOOKUP($G79,'KO Calc'!$H:$AW,20,FALSE),VLOOKUP($G79,'KO Calc'!$H76:$AW76,20,FALSE)),IF(AND($Q$1=TRUE,$S$4=TRUE),IF(OR($Q$4=TRUE,$Q$5=TRUE,$S$2=TRUE),VLOOKUP($G79,'KO Calc'!$H:$AW,10,FALSE),VLOOKUP($G79,'KO Calc'!$H76:$AW76,10,FALSE)),
IF(AND($S$3=TRUE,$S$1=TRUE,$S$4=FALSE)=TRUE,IF(OR($Q$4=TRUE,$Q$5=TRUE,$S$2=TRUE),VLOOKUP($G79,'KO Calc'!$H:$AW,35,FALSE),VLOOKUP($G79,'KO Calc'!$H76:$AW76,35,FALSE)),IF(AND($S$3=TRUE,$S$4=FALSE),IF(OR($Q$4=TRUE,$Q$5=TRUE,$S$2=TRUE),VLOOKUP($G79,'KO Calc'!$H:$AW,25,FALSE),VLOOKUP($G79,'KO Calc'!$H76:$AW76,25,FALSE)),
IF(AND($S$3=TRUE,$S$1=TRUE,$S$4=TRUE)=TRUE,IF(OR($Q$4=TRUE,$Q$5=TRUE,$S$2=TRUE),VLOOKUP($G79,'KO Calc'!$H:$AW,40,FALSE),VLOOKUP($G79,'KO Calc'!$H76:$AW76,40,FALSE)),IF(AND($S$3=TRUE,$S$4=TRUE),IF(OR($Q$4=TRUE,$Q$5=TRUE,$S$2=TRUE),VLOOKUP($G79,'KO Calc'!$H:$AW,30,FALSE),VLOOKUP($G79,'KO Calc'!$H76:$AW76,30,FALSE)))))))))))))</f>
        <v>-</v>
      </c>
      <c r="L79" s="36" t="str">
        <f>IFERROR(VLOOKUP($E79,'Status Thresholds'!$E:$AS,41,FALSE),"-")</f>
        <v>-</v>
      </c>
    </row>
    <row r="80" spans="1:14" x14ac:dyDescent="0.25">
      <c r="B80" s="64" t="str">
        <f>VLOOKUP(C80,'Status Thresholds'!B:C,2,FALSE)</f>
        <v>MHGen</v>
      </c>
      <c r="C80" s="46" t="str">
        <f>IF(ISBLANK('KO Calc'!C76)=TRUE,"",'KO Calc'!C76)</f>
        <v>Astalos</v>
      </c>
      <c r="D80" s="78"/>
      <c r="E80" s="62"/>
      <c r="G80" s="36"/>
      <c r="L80" s="36" t="str">
        <f>IFERROR(VLOOKUP($E80,'Status Thresholds'!$E:$AS,41,FALSE),"-")</f>
        <v>-</v>
      </c>
    </row>
    <row r="81" spans="1:14" s="36" customFormat="1" x14ac:dyDescent="0.25">
      <c r="B81" s="64" t="str">
        <f>VLOOKUP(C81,'Status Thresholds'!B:C,2,FALSE)</f>
        <v>MHGU</v>
      </c>
      <c r="C81" s="46" t="str">
        <f>IF(ISBLANK('KO Calc'!C77)=TRUE,"",'KO Calc'!C77)</f>
        <v>Barioth</v>
      </c>
      <c r="D81" s="65" t="s">
        <v>0</v>
      </c>
      <c r="E81" s="62" t="str">
        <f t="shared" si="1"/>
        <v>BariothPara</v>
      </c>
      <c r="F81" s="36" t="s">
        <v>2</v>
      </c>
      <c r="G81" s="36" t="str">
        <f t="shared" si="2"/>
        <v>BariothPara lvl 2</v>
      </c>
      <c r="H81" s="36" t="str">
        <f>IFERROR(ROUNDUP(IF(AND($Q$1=FALSE,$S$3=FALSE),"-",IF(AND($Q$1=TRUE,$S$3=TRUE),"-",IF(AND($Q$1=TRUE,$S$1=TRUE,$S$4=FALSE),VLOOKUP($E81,'Status Thresholds'!$E:$AS,12,FALSE),IF(AND($Q$1=TRUE,$S$4=FALSE),VLOOKUP($E81,'Status Thresholds'!$E:$AS,2,FALSE), IF(AND($Q$1=TRUE,$S$1=TRUE,$S$4=TRUE),VLOOKUP($E81,'Status Thresholds'!$E:$AS,17,FALSE),IF(AND($Q$1=TRUE,$S$4=TRUE),VLOOKUP($E81,'Status Thresholds'!$E:$AS,7,FALSE),IF(AND($S$3=TRUE,$S$1=TRUE,$S$4=FALSE),VLOOKUP($E81,'Status Thresholds'!$E:$AS,32,FALSE),IF(AND($S$3=TRUE,$S$4=FALSE),VLOOKUP($E81,'Status Thresholds'!$E:$AS,22,FALSE),IF(AND($S$3=TRUE,$S$1=TRUE,$S$4=TRUE),VLOOKUP($E81,'Status Thresholds'!$E:$AS,37,FALSE),IF(AND($S$3=TRUE,$S$4=TRUE),VLOOKUP($E81,'Status Thresholds'!$E:$AS,27,FALSE),""))))))))/IF(OR($Q$3=TRUE,AND($Q$2=TRUE,$Q$7=TRUE),AND($Q$3=TRUE,$Q$7=TRUE))=TRUE,'Shots and Status'!$F$5,IF((OR($Q$2,$Q$7)=TRUE),'Shots and Status'!$D$5,'Shots and Status'!$C$5)))),0),"-")</f>
        <v>-</v>
      </c>
      <c r="I81" s="36" t="str">
        <f>IFERROR(ROUNDUP(IF(AND($Q$1=FALSE,$S$3=FALSE),"-",IF(AND($Q$1=TRUE,$S$3=TRUE),"-",IF(AND($Q$1=TRUE,$S$1=TRUE,$S$4=FALSE),VLOOKUP($E81,'Status Thresholds'!$E:$AS,13,FALSE),IF(AND($Q$1=TRUE,$S$4=FALSE),VLOOKUP($E81,'Status Thresholds'!$E:$AS,3,FALSE), IF(AND($Q$1=TRUE,$S$1=TRUE,$S$4=TRUE),VLOOKUP($E81,'Status Thresholds'!$E:$AS,18,FALSE),IF(AND($Q$1=TRUE,$S$4=TRUE),VLOOKUP($E81,'Status Thresholds'!$E:$AS,8,FALSE),IF(AND($S$3=TRUE,$S$1=TRUE,$S$4=FALSE),VLOOKUP($E81,'Status Thresholds'!$E:$AS,33,FALSE),IF(AND($S$3=TRUE,$S$4=FALSE),VLOOKUP($E81,'Status Thresholds'!$E:$AS,23,FALSE),IF(AND($S$3=TRUE,$S$1=TRUE,$S$4=TRUE),VLOOKUP($E81,'Status Thresholds'!$E:$AS,38,FALSE),IF(AND($S$3=TRUE,$S$4=TRUE),VLOOKUP($E81,'Status Thresholds'!$E:$AS,28,FALSE),""))))))))/IF(OR($Q$3=TRUE,AND($Q$2=TRUE,$Q$7=TRUE),AND($Q$3=TRUE,$Q$7=TRUE))=TRUE,'Shots and Status'!$F$5,IF((OR($Q$2,$Q$7)=TRUE),'Shots and Status'!$D$5,'Shots and Status'!$C$5)))),0),"-")</f>
        <v>-</v>
      </c>
      <c r="J81" s="36" t="str">
        <f>IFERROR(ROUNDUP(IF(AND($Q$1=FALSE,$S$3=FALSE),"-",IF(AND($Q$1=TRUE,$S$3=TRUE),"-",IF(AND($Q$1=TRUE,$S$1=TRUE,$S$4=FALSE),VLOOKUP($E81,'Status Thresholds'!$E:$AS,14,FALSE),IF(AND($Q$1=TRUE,$S$4=FALSE),VLOOKUP($E81,'Status Thresholds'!$E:$AS,4,FALSE), IF(AND($Q$1=TRUE,$S$1=TRUE,$S$4=TRUE),VLOOKUP($E81,'Status Thresholds'!$E:$AS,19,FALSE),IF(AND($Q$1=TRUE,$S$4=TRUE),VLOOKUP($E81,'Status Thresholds'!$E:$AS,9,FALSE),IF(AND($S$3=TRUE,$S$1=TRUE,$S$4=FALSE),VLOOKUP($E81,'Status Thresholds'!$E:$AS,34,FALSE),IF(AND($S$3=TRUE,$S$4=FALSE),VLOOKUP($E81,'Status Thresholds'!$E:$AS,24,FALSE),IF(AND($S$3=TRUE,$S$1=TRUE,$S$4=TRUE),VLOOKUP($E81,'Status Thresholds'!$E:$AS,39,FALSE),IF(AND($S$3=TRUE,$S$4=TRUE),VLOOKUP($E81,'Status Thresholds'!$E:$AS,29,FALSE),""))))))))/IF(OR($Q$3=TRUE,AND($Q$2=TRUE,$Q$7=TRUE),AND($Q$3=TRUE,$Q$7=TRUE))=TRUE,'Shots and Status'!$F$5,IF((OR($Q$2,$Q$7)=TRUE),'Shots and Status'!$D$5,'Shots and Status'!$C$5)))),0),"-")</f>
        <v>-</v>
      </c>
      <c r="K81" s="36" t="str">
        <f>IFERROR(ROUNDUP(IF(AND($Q$1=FALSE,$S$3=FALSE),"-",IF(AND($Q$1=TRUE,$S$3=TRUE),"-",IF(AND($Q$1=TRUE,$S$1=TRUE,$S$4=FALSE),VLOOKUP($E81,'Status Thresholds'!$E:$AS,15,FALSE),IF(AND($Q$1=TRUE,$S$4=FALSE),VLOOKUP($E81,'Status Thresholds'!$E:$AS,5,FALSE), IF(AND($Q$1=TRUE,$S$1=TRUE,$S$4=TRUE),VLOOKUP($E81,'Status Thresholds'!$E:$AS,20,FALSE),IF(AND($Q$1=TRUE,$S$4=TRUE),VLOOKUP($E81,'Status Thresholds'!$E:$AS,10,FALSE),IF(AND($S$3=TRUE,$S$1=TRUE,$S$4=FALSE),VLOOKUP($E81,'Status Thresholds'!$E:$AS,35,FALSE),IF(AND($S$3=TRUE,$S$4=FALSE),VLOOKUP($E81,'Status Thresholds'!$E:$AS,25,FALSE),IF(AND($S$3=TRUE,$S$1=TRUE,$S$4=TRUE),VLOOKUP($E81,'Status Thresholds'!$E:$AS,40,FALSE),IF(AND($S$3=TRUE,$S$4=TRUE),VLOOKUP($E81,'Status Thresholds'!$E:$AS,30,FALSE),""))))))))/IF(OR($Q$3=TRUE,AND($Q$2=TRUE,$Q$7=TRUE),AND($Q$3=TRUE,$Q$7=TRUE))=TRUE,'Shots and Status'!$F$5,IF((OR($Q$2,$Q$7)=TRUE),'Shots and Status'!$D$5,'Shots and Status'!$C$5)))),0),"-")</f>
        <v>-</v>
      </c>
      <c r="L81" s="36" t="str">
        <f>IFERROR(IF(AND($Q$1=FALSE,$S$3=FALSE),"-",VLOOKUP($E81,'Status Thresholds'!$E:$AU,41,FALSE)),"-")</f>
        <v>-</v>
      </c>
      <c r="M81" s="36" t="str">
        <f>IFERROR(IF(AND($Q$1=FALSE,$S$3=FALSE),"-",VLOOKUP($E81,'Status Thresholds'!$E:$AU,42,FALSE)),"-")</f>
        <v>-</v>
      </c>
      <c r="N81" s="36" t="str">
        <f>IFERROR(IF(AND($Q$1=FALSE,$S$3=FALSE),"-",VLOOKUP($E81,'Status Thresholds'!$E:$AU,43,FALSE)),"-")</f>
        <v>-</v>
      </c>
    </row>
    <row r="82" spans="1:14" s="59" customFormat="1" x14ac:dyDescent="0.25">
      <c r="A82" s="46"/>
      <c r="B82" s="64" t="str">
        <f>VLOOKUP(C82,'Status Thresholds'!B:C,2,FALSE)</f>
        <v>MHGU</v>
      </c>
      <c r="C82" s="46" t="str">
        <f>IF(ISBLANK('KO Calc'!C78)=TRUE,"",'KO Calc'!C78)</f>
        <v>Barioth</v>
      </c>
      <c r="D82" s="60" t="s">
        <v>32</v>
      </c>
      <c r="E82" s="62" t="str">
        <f t="shared" ref="E82:E144" si="3">C82&amp;D82</f>
        <v>BariothSleep</v>
      </c>
      <c r="F82" s="59" t="s">
        <v>5</v>
      </c>
      <c r="G82" s="36" t="str">
        <f t="shared" si="2"/>
        <v>BariothSleep lvl 2</v>
      </c>
      <c r="H82" s="36" t="str">
        <f>IFERROR(ROUNDUP(IF(AND($Q$1=FALSE,$S$3=FALSE),"-",IF(AND($Q$1=TRUE,$S$3=TRUE),"-",IF(AND($Q$1=TRUE,$S$1=TRUE,$S$4=FALSE),VLOOKUP($E82,'Status Thresholds'!$E:$AS,12,FALSE),IF(AND($Q$1=TRUE,$S$4=FALSE),VLOOKUP($E82,'Status Thresholds'!$E:$AS,2,FALSE), IF(AND($Q$1=TRUE,$S$1=TRUE,$S$4=TRUE),VLOOKUP($E82,'Status Thresholds'!$E:$AS,17,FALSE),IF(AND($Q$1=TRUE,$S$4=TRUE),VLOOKUP($E82,'Status Thresholds'!$E:$AS,7,FALSE),IF(AND($S$3=TRUE,$S$1=TRUE,$S$4=FALSE),VLOOKUP($E82,'Status Thresholds'!$E:$AS,32,FALSE),IF(AND($S$3=TRUE,$S$4=FALSE),VLOOKUP($E82,'Status Thresholds'!$E:$AS,22,FALSE),IF(AND($S$3=TRUE,$S$1=TRUE,$S$4=TRUE),VLOOKUP($E82,'Status Thresholds'!$E:$AS,37,FALSE),IF(AND($S$3=TRUE,$S$4=TRUE),VLOOKUP($E82,'Status Thresholds'!$E:$AS,27,FALSE),""))))))))/IF(OR($Q$3=TRUE,AND($Q$2=TRUE,$Q$7=TRUE),AND($Q$3=TRUE,$Q$7=TRUE))=TRUE,'Shots and Status'!$F$5,IF((OR($Q$2,$Q$7)=TRUE),'Shots and Status'!$D$5,'Shots and Status'!$C$5)))),0),"-")</f>
        <v>-</v>
      </c>
      <c r="I82" s="36" t="str">
        <f>IFERROR(ROUNDUP(IF(AND($Q$1=FALSE,$S$3=FALSE),"-",IF(AND($Q$1=TRUE,$S$3=TRUE),"-",IF(AND($Q$1=TRUE,$S$1=TRUE,$S$4=FALSE),VLOOKUP($E82,'Status Thresholds'!$E:$AS,13,FALSE),IF(AND($Q$1=TRUE,$S$4=FALSE),VLOOKUP($E82,'Status Thresholds'!$E:$AS,3,FALSE), IF(AND($Q$1=TRUE,$S$1=TRUE,$S$4=TRUE),VLOOKUP($E82,'Status Thresholds'!$E:$AS,18,FALSE),IF(AND($Q$1=TRUE,$S$4=TRUE),VLOOKUP($E82,'Status Thresholds'!$E:$AS,8,FALSE),IF(AND($S$3=TRUE,$S$1=TRUE,$S$4=FALSE),VLOOKUP($E82,'Status Thresholds'!$E:$AS,33,FALSE),IF(AND($S$3=TRUE,$S$4=FALSE),VLOOKUP($E82,'Status Thresholds'!$E:$AS,23,FALSE),IF(AND($S$3=TRUE,$S$1=TRUE,$S$4=TRUE),VLOOKUP($E82,'Status Thresholds'!$E:$AS,38,FALSE),IF(AND($S$3=TRUE,$S$4=TRUE),VLOOKUP($E82,'Status Thresholds'!$E:$AS,28,FALSE),""))))))))/IF(OR($Q$3=TRUE,AND($Q$2=TRUE,$Q$7=TRUE),AND($Q$3=TRUE,$Q$7=TRUE))=TRUE,'Shots and Status'!$F$5,IF((OR($Q$2,$Q$7)=TRUE),'Shots and Status'!$D$5,'Shots and Status'!$C$5)))),0),"-")</f>
        <v>-</v>
      </c>
      <c r="J82" s="36" t="str">
        <f>IFERROR(ROUNDUP(IF(AND($Q$1=FALSE,$S$3=FALSE),"-",IF(AND($Q$1=TRUE,$S$3=TRUE),"-",IF(AND($Q$1=TRUE,$S$1=TRUE,$S$4=FALSE),VLOOKUP($E82,'Status Thresholds'!$E:$AS,14,FALSE),IF(AND($Q$1=TRUE,$S$4=FALSE),VLOOKUP($E82,'Status Thresholds'!$E:$AS,4,FALSE), IF(AND($Q$1=TRUE,$S$1=TRUE,$S$4=TRUE),VLOOKUP($E82,'Status Thresholds'!$E:$AS,19,FALSE),IF(AND($Q$1=TRUE,$S$4=TRUE),VLOOKUP($E82,'Status Thresholds'!$E:$AS,9,FALSE),IF(AND($S$3=TRUE,$S$1=TRUE,$S$4=FALSE),VLOOKUP($E82,'Status Thresholds'!$E:$AS,34,FALSE),IF(AND($S$3=TRUE,$S$4=FALSE),VLOOKUP($E82,'Status Thresholds'!$E:$AS,24,FALSE),IF(AND($S$3=TRUE,$S$1=TRUE,$S$4=TRUE),VLOOKUP($E82,'Status Thresholds'!$E:$AS,39,FALSE),IF(AND($S$3=TRUE,$S$4=TRUE),VLOOKUP($E82,'Status Thresholds'!$E:$AS,29,FALSE),""))))))))/IF(OR($Q$3=TRUE,AND($Q$2=TRUE,$Q$7=TRUE),AND($Q$3=TRUE,$Q$7=TRUE))=TRUE,'Shots and Status'!$F$5,IF((OR($Q$2,$Q$7)=TRUE),'Shots and Status'!$D$5,'Shots and Status'!$C$5)))),0),"-")</f>
        <v>-</v>
      </c>
      <c r="K82" s="36" t="str">
        <f>IFERROR(ROUNDUP(IF(AND($Q$1=FALSE,$S$3=FALSE),"-",IF(AND($Q$1=TRUE,$S$3=TRUE),"-",IF(AND($Q$1=TRUE,$S$1=TRUE,$S$4=FALSE),VLOOKUP($E82,'Status Thresholds'!$E:$AS,15,FALSE),IF(AND($Q$1=TRUE,$S$4=FALSE),VLOOKUP($E82,'Status Thresholds'!$E:$AS,5,FALSE), IF(AND($Q$1=TRUE,$S$1=TRUE,$S$4=TRUE),VLOOKUP($E82,'Status Thresholds'!$E:$AS,20,FALSE),IF(AND($Q$1=TRUE,$S$4=TRUE),VLOOKUP($E82,'Status Thresholds'!$E:$AS,10,FALSE),IF(AND($S$3=TRUE,$S$1=TRUE,$S$4=FALSE),VLOOKUP($E82,'Status Thresholds'!$E:$AS,35,FALSE),IF(AND($S$3=TRUE,$S$4=FALSE),VLOOKUP($E82,'Status Thresholds'!$E:$AS,25,FALSE),IF(AND($S$3=TRUE,$S$1=TRUE,$S$4=TRUE),VLOOKUP($E82,'Status Thresholds'!$E:$AS,40,FALSE),IF(AND($S$3=TRUE,$S$4=TRUE),VLOOKUP($E82,'Status Thresholds'!$E:$AS,30,FALSE),""))))))))/IF(OR($Q$3=TRUE,AND($Q$2=TRUE,$Q$7=TRUE),AND($Q$3=TRUE,$Q$7=TRUE))=TRUE,'Shots and Status'!$F$5,IF((OR($Q$2,$Q$7)=TRUE),'Shots and Status'!$D$5,'Shots and Status'!$C$5)))),0),"-")</f>
        <v>-</v>
      </c>
      <c r="L82" s="36" t="str">
        <f>IFERROR(IF(AND($Q$1=FALSE,$S$3=FALSE),"-",VLOOKUP($E82,'Status Thresholds'!$E:$AU,41,FALSE)),"-")</f>
        <v>-</v>
      </c>
      <c r="M82" s="36" t="str">
        <f>IFERROR(IF(AND($Q$1=FALSE,$S$3=FALSE),"-",VLOOKUP($E82,'Status Thresholds'!$E:$AU,42,FALSE)),"-")</f>
        <v>-</v>
      </c>
      <c r="N82" s="36" t="str">
        <f>IFERROR(IF(AND($Q$1=FALSE,$S$3=FALSE),"-",VLOOKUP($E82,'Status Thresholds'!$E:$AU,43,FALSE)),"-")</f>
        <v>-</v>
      </c>
    </row>
    <row r="83" spans="1:14" s="59" customFormat="1" x14ac:dyDescent="0.25">
      <c r="A83" s="46"/>
      <c r="B83" s="64" t="str">
        <f>VLOOKUP(C83,'Status Thresholds'!B:C,2,FALSE)</f>
        <v>MHGU</v>
      </c>
      <c r="C83" s="46" t="str">
        <f>IF(ISBLANK('KO Calc'!C79)=TRUE,"",'KO Calc'!C79)</f>
        <v>Barioth</v>
      </c>
      <c r="D83" s="58" t="s">
        <v>33</v>
      </c>
      <c r="E83" s="62" t="str">
        <f t="shared" si="3"/>
        <v>BariothPoison</v>
      </c>
      <c r="F83" s="59" t="s">
        <v>6</v>
      </c>
      <c r="G83" s="36" t="str">
        <f t="shared" si="2"/>
        <v>BariothPoison lvl 2</v>
      </c>
      <c r="H83" s="36" t="str">
        <f>IFERROR(ROUNDUP(IF(AND($Q$1=FALSE,$S$3=FALSE),"-",IF(AND($Q$1=TRUE,$S$3=TRUE),"-",IF(AND($Q$1=TRUE,$S$1=TRUE,$S$4=FALSE),VLOOKUP($E83,'Status Thresholds'!$E:$AS,12,FALSE),IF(AND($Q$1=TRUE,$S$4=FALSE),VLOOKUP($E83,'Status Thresholds'!$E:$AS,2,FALSE), IF(AND($Q$1=TRUE,$S$1=TRUE,$S$4=TRUE),VLOOKUP($E83,'Status Thresholds'!$E:$AS,17,FALSE),IF(AND($Q$1=TRUE,$S$4=TRUE),VLOOKUP($E83,'Status Thresholds'!$E:$AS,7,FALSE),IF(AND($S$3=TRUE,$S$1=TRUE,$S$4=FALSE),VLOOKUP($E83,'Status Thresholds'!$E:$AS,32,FALSE),IF(AND($S$3=TRUE,$S$4=FALSE),VLOOKUP($E83,'Status Thresholds'!$E:$AS,22,FALSE),IF(AND($S$3=TRUE,$S$1=TRUE,$S$4=TRUE),VLOOKUP($E83,'Status Thresholds'!$E:$AS,37,FALSE),IF(AND($S$3=TRUE,$S$4=TRUE),VLOOKUP($E83,'Status Thresholds'!$E:$AS,27,FALSE),""))))))))/IF(OR($Q$3=TRUE,AND($Q$2=TRUE,$Q$7=TRUE),AND($Q$3=TRUE,$Q$7=TRUE))=TRUE,'Shots and Status'!$F$5,IF((OR($Q$2,$Q$7)=TRUE),'Shots and Status'!$D$5,'Shots and Status'!$C$5)))),0),"-")</f>
        <v>-</v>
      </c>
      <c r="I83" s="36" t="str">
        <f>IFERROR(ROUNDUP(IF(AND($Q$1=FALSE,$S$3=FALSE),"-",IF(AND($Q$1=TRUE,$S$3=TRUE),"-",IF(AND($Q$1=TRUE,$S$1=TRUE,$S$4=FALSE),VLOOKUP($E83,'Status Thresholds'!$E:$AS,13,FALSE),IF(AND($Q$1=TRUE,$S$4=FALSE),VLOOKUP($E83,'Status Thresholds'!$E:$AS,3,FALSE), IF(AND($Q$1=TRUE,$S$1=TRUE,$S$4=TRUE),VLOOKUP($E83,'Status Thresholds'!$E:$AS,18,FALSE),IF(AND($Q$1=TRUE,$S$4=TRUE),VLOOKUP($E83,'Status Thresholds'!$E:$AS,8,FALSE),IF(AND($S$3=TRUE,$S$1=TRUE,$S$4=FALSE),VLOOKUP($E83,'Status Thresholds'!$E:$AS,33,FALSE),IF(AND($S$3=TRUE,$S$4=FALSE),VLOOKUP($E83,'Status Thresholds'!$E:$AS,23,FALSE),IF(AND($S$3=TRUE,$S$1=TRUE,$S$4=TRUE),VLOOKUP($E83,'Status Thresholds'!$E:$AS,38,FALSE),IF(AND($S$3=TRUE,$S$4=TRUE),VLOOKUP($E83,'Status Thresholds'!$E:$AS,28,FALSE),""))))))))/IF(OR($Q$3=TRUE,AND($Q$2=TRUE,$Q$7=TRUE),AND($Q$3=TRUE,$Q$7=TRUE))=TRUE,'Shots and Status'!$F$5,IF((OR($Q$2,$Q$7)=TRUE),'Shots and Status'!$D$5,'Shots and Status'!$C$5)))),0),"-")</f>
        <v>-</v>
      </c>
      <c r="J83" s="36" t="str">
        <f>IFERROR(ROUNDUP(IF(AND($Q$1=FALSE,$S$3=FALSE),"-",IF(AND($Q$1=TRUE,$S$3=TRUE),"-",IF(AND($Q$1=TRUE,$S$1=TRUE,$S$4=FALSE),VLOOKUP($E83,'Status Thresholds'!$E:$AS,14,FALSE),IF(AND($Q$1=TRUE,$S$4=FALSE),VLOOKUP($E83,'Status Thresholds'!$E:$AS,4,FALSE), IF(AND($Q$1=TRUE,$S$1=TRUE,$S$4=TRUE),VLOOKUP($E83,'Status Thresholds'!$E:$AS,19,FALSE),IF(AND($Q$1=TRUE,$S$4=TRUE),VLOOKUP($E83,'Status Thresholds'!$E:$AS,9,FALSE),IF(AND($S$3=TRUE,$S$1=TRUE,$S$4=FALSE),VLOOKUP($E83,'Status Thresholds'!$E:$AS,34,FALSE),IF(AND($S$3=TRUE,$S$4=FALSE),VLOOKUP($E83,'Status Thresholds'!$E:$AS,24,FALSE),IF(AND($S$3=TRUE,$S$1=TRUE,$S$4=TRUE),VLOOKUP($E83,'Status Thresholds'!$E:$AS,39,FALSE),IF(AND($S$3=TRUE,$S$4=TRUE),VLOOKUP($E83,'Status Thresholds'!$E:$AS,29,FALSE),""))))))))/IF(OR($Q$3=TRUE,AND($Q$2=TRUE,$Q$7=TRUE),AND($Q$3=TRUE,$Q$7=TRUE))=TRUE,'Shots and Status'!$F$5,IF((OR($Q$2,$Q$7)=TRUE),'Shots and Status'!$D$5,'Shots and Status'!$C$5)))),0),"-")</f>
        <v>-</v>
      </c>
      <c r="K83" s="36" t="str">
        <f>IFERROR(ROUNDUP(IF(AND($Q$1=FALSE,$S$3=FALSE),"-",IF(AND($Q$1=TRUE,$S$3=TRUE),"-",IF(AND($Q$1=TRUE,$S$1=TRUE,$S$4=FALSE),VLOOKUP($E83,'Status Thresholds'!$E:$AS,15,FALSE),IF(AND($Q$1=TRUE,$S$4=FALSE),VLOOKUP($E83,'Status Thresholds'!$E:$AS,5,FALSE), IF(AND($Q$1=TRUE,$S$1=TRUE,$S$4=TRUE),VLOOKUP($E83,'Status Thresholds'!$E:$AS,20,FALSE),IF(AND($Q$1=TRUE,$S$4=TRUE),VLOOKUP($E83,'Status Thresholds'!$E:$AS,10,FALSE),IF(AND($S$3=TRUE,$S$1=TRUE,$S$4=FALSE),VLOOKUP($E83,'Status Thresholds'!$E:$AS,35,FALSE),IF(AND($S$3=TRUE,$S$4=FALSE),VLOOKUP($E83,'Status Thresholds'!$E:$AS,25,FALSE),IF(AND($S$3=TRUE,$S$1=TRUE,$S$4=TRUE),VLOOKUP($E83,'Status Thresholds'!$E:$AS,40,FALSE),IF(AND($S$3=TRUE,$S$4=TRUE),VLOOKUP($E83,'Status Thresholds'!$E:$AS,30,FALSE),""))))))))/IF(OR($Q$3=TRUE,AND($Q$2=TRUE,$Q$7=TRUE),AND($Q$3=TRUE,$Q$7=TRUE))=TRUE,'Shots and Status'!$F$5,IF((OR($Q$2,$Q$7)=TRUE),'Shots and Status'!$D$5,'Shots and Status'!$C$5)))),0),"-")</f>
        <v>-</v>
      </c>
      <c r="L83" s="36" t="str">
        <f>IFERROR(IF(AND($Q$1=FALSE,$S$3=FALSE),"-",VLOOKUP($E83,'Status Thresholds'!$E:$AU,41,FALSE)),"-")</f>
        <v>-</v>
      </c>
      <c r="M83" s="36" t="str">
        <f>IFERROR(IF(AND($Q$1=FALSE,$S$3=FALSE),"-",VLOOKUP($E83,'Status Thresholds'!$E:$AU,42,FALSE)),"-")</f>
        <v>-</v>
      </c>
      <c r="N83" s="36" t="str">
        <f>IFERROR(IF(AND($Q$1=FALSE,$S$3=FALSE),"-",VLOOKUP($E83,'Status Thresholds'!$E:$AU,43,FALSE)),"-")</f>
        <v>-</v>
      </c>
    </row>
    <row r="84" spans="1:14" s="36" customFormat="1" x14ac:dyDescent="0.25">
      <c r="A84" s="46"/>
      <c r="B84" s="64" t="str">
        <f>VLOOKUP(C84,'Status Thresholds'!B:C,2,FALSE)</f>
        <v>MHGU</v>
      </c>
      <c r="C84" s="46" t="str">
        <f>IF(ISBLANK('KO Calc'!C80)=TRUE,"",'KO Calc'!C80)</f>
        <v>Barioth</v>
      </c>
      <c r="D84" s="57" t="s">
        <v>22</v>
      </c>
      <c r="E84" s="62" t="str">
        <f t="shared" si="3"/>
        <v>BariothExhaust</v>
      </c>
      <c r="F84" s="36" t="s">
        <v>8</v>
      </c>
      <c r="G84" s="36" t="str">
        <f t="shared" si="2"/>
        <v>BariothExhaust lvl 2</v>
      </c>
      <c r="H84" s="36" t="str">
        <f>IFERROR(ROUNDUP(IF(AND($Q$1=FALSE,$S$3=FALSE),"-",IF(AND($Q$1=TRUE,$S$3=TRUE),"-",IF(AND($Q$1=TRUE,$S$1=TRUE,$S$4=FALSE),VLOOKUP($E84,'Status Thresholds'!$E:$AS,12,FALSE),IF(AND($Q$1=TRUE,$S$4=FALSE),VLOOKUP($E84,'Status Thresholds'!$E:$AS,2,FALSE), IF(AND($Q$1=TRUE,$S$1=TRUE,$S$4=TRUE),VLOOKUP($E84,'Status Thresholds'!$E:$AS,17,FALSE),IF(AND($Q$1=TRUE,$S$4=TRUE),VLOOKUP($E84,'Status Thresholds'!$E:$AS,7,FALSE),IF(AND($S$3=TRUE,$S$1=TRUE,$S$4=FALSE),VLOOKUP($E84,'Status Thresholds'!$E:$AS,32,FALSE),IF(AND($S$3=TRUE,$S$4=FALSE),VLOOKUP($E84,'Status Thresholds'!$E:$AS,22,FALSE),IF(AND($S$3=TRUE,$S$1=TRUE,$S$4=TRUE),VLOOKUP($E84,'Status Thresholds'!$E:$AS,37,FALSE),IF(AND($S$3=TRUE,$S$4=TRUE),VLOOKUP($E84,'Status Thresholds'!$E:$AS,27,FALSE),""))))))))/IF(OR($Q$3=TRUE,AND($Q$2=TRUE,$Q$7=TRUE),AND($Q$3=TRUE,$Q$7=TRUE))=TRUE,'Shots and Status'!$F$5,IF((OR($Q$2,$Q$7)=TRUE),'Shots and Status'!$D$5,'Shots and Status'!$C$5)))),0),"-")</f>
        <v>-</v>
      </c>
      <c r="I84" s="36" t="str">
        <f>IFERROR(ROUNDUP(IF(AND($Q$1=FALSE,$S$3=FALSE),"-",IF(AND($Q$1=TRUE,$S$3=TRUE),"-",IF(AND($Q$1=TRUE,$S$1=TRUE,$S$4=FALSE),VLOOKUP($E84,'Status Thresholds'!$E:$AS,13,FALSE),IF(AND($Q$1=TRUE,$S$4=FALSE),VLOOKUP($E84,'Status Thresholds'!$E:$AS,3,FALSE), IF(AND($Q$1=TRUE,$S$1=TRUE,$S$4=TRUE),VLOOKUP($E84,'Status Thresholds'!$E:$AS,18,FALSE),IF(AND($Q$1=TRUE,$S$4=TRUE),VLOOKUP($E84,'Status Thresholds'!$E:$AS,8,FALSE),IF(AND($S$3=TRUE,$S$1=TRUE,$S$4=FALSE),VLOOKUP($E84,'Status Thresholds'!$E:$AS,33,FALSE),IF(AND($S$3=TRUE,$S$4=FALSE),VLOOKUP($E84,'Status Thresholds'!$E:$AS,23,FALSE),IF(AND($S$3=TRUE,$S$1=TRUE,$S$4=TRUE),VLOOKUP($E84,'Status Thresholds'!$E:$AS,38,FALSE),IF(AND($S$3=TRUE,$S$4=TRUE),VLOOKUP($E84,'Status Thresholds'!$E:$AS,28,FALSE),""))))))))/IF(OR($Q$3=TRUE,AND($Q$2=TRUE,$Q$7=TRUE),AND($Q$3=TRUE,$Q$7=TRUE))=TRUE,'Shots and Status'!$F$5,IF((OR($Q$2,$Q$7)=TRUE),'Shots and Status'!$D$5,'Shots and Status'!$C$5)))),0),"-")</f>
        <v>-</v>
      </c>
      <c r="J84" s="36" t="str">
        <f>IFERROR(ROUNDUP(IF(AND($Q$1=FALSE,$S$3=FALSE),"-",IF(AND($Q$1=TRUE,$S$3=TRUE),"-",IF(AND($Q$1=TRUE,$S$1=TRUE,$S$4=FALSE),VLOOKUP($E84,'Status Thresholds'!$E:$AS,14,FALSE),IF(AND($Q$1=TRUE,$S$4=FALSE),VLOOKUP($E84,'Status Thresholds'!$E:$AS,4,FALSE), IF(AND($Q$1=TRUE,$S$1=TRUE,$S$4=TRUE),VLOOKUP($E84,'Status Thresholds'!$E:$AS,19,FALSE),IF(AND($Q$1=TRUE,$S$4=TRUE),VLOOKUP($E84,'Status Thresholds'!$E:$AS,9,FALSE),IF(AND($S$3=TRUE,$S$1=TRUE,$S$4=FALSE),VLOOKUP($E84,'Status Thresholds'!$E:$AS,34,FALSE),IF(AND($S$3=TRUE,$S$4=FALSE),VLOOKUP($E84,'Status Thresholds'!$E:$AS,24,FALSE),IF(AND($S$3=TRUE,$S$1=TRUE,$S$4=TRUE),VLOOKUP($E84,'Status Thresholds'!$E:$AS,39,FALSE),IF(AND($S$3=TRUE,$S$4=TRUE),VLOOKUP($E84,'Status Thresholds'!$E:$AS,29,FALSE),""))))))))/IF(OR($Q$3=TRUE,AND($Q$2=TRUE,$Q$7=TRUE),AND($Q$3=TRUE,$Q$7=TRUE))=TRUE,'Shots and Status'!$F$5,IF((OR($Q$2,$Q$7)=TRUE),'Shots and Status'!$D$5,'Shots and Status'!$C$5)))),0),"-")</f>
        <v>-</v>
      </c>
      <c r="K84" s="36" t="str">
        <f>IFERROR(ROUNDUP(IF(AND($Q$1=FALSE,$S$3=FALSE),"-",IF(AND($Q$1=TRUE,$S$3=TRUE),"-",IF(AND($Q$1=TRUE,$S$1=TRUE,$S$4=FALSE),VLOOKUP($E84,'Status Thresholds'!$E:$AS,15,FALSE),IF(AND($Q$1=TRUE,$S$4=FALSE),VLOOKUP($E84,'Status Thresholds'!$E:$AS,5,FALSE), IF(AND($Q$1=TRUE,$S$1=TRUE,$S$4=TRUE),VLOOKUP($E84,'Status Thresholds'!$E:$AS,20,FALSE),IF(AND($Q$1=TRUE,$S$4=TRUE),VLOOKUP($E84,'Status Thresholds'!$E:$AS,10,FALSE),IF(AND($S$3=TRUE,$S$1=TRUE,$S$4=FALSE),VLOOKUP($E84,'Status Thresholds'!$E:$AS,35,FALSE),IF(AND($S$3=TRUE,$S$4=FALSE),VLOOKUP($E84,'Status Thresholds'!$E:$AS,25,FALSE),IF(AND($S$3=TRUE,$S$1=TRUE,$S$4=TRUE),VLOOKUP($E84,'Status Thresholds'!$E:$AS,40,FALSE),IF(AND($S$3=TRUE,$S$4=TRUE),VLOOKUP($E84,'Status Thresholds'!$E:$AS,30,FALSE),""))))))))/IF(OR($Q$3=TRUE,AND($Q$2=TRUE,$Q$7=TRUE),AND($Q$3=TRUE,$Q$7=TRUE))=TRUE,'Shots and Status'!$F$5,IF((OR($Q$2,$Q$7)=TRUE),'Shots and Status'!$D$5,'Shots and Status'!$C$5)))),0),"-")</f>
        <v>-</v>
      </c>
      <c r="L84" s="36" t="str">
        <f>IFERROR(IF(AND($Q$1=FALSE,$S$3=FALSE),"-",VLOOKUP($E84,'Status Thresholds'!$E:$AU,41,FALSE)),"-")</f>
        <v>-</v>
      </c>
      <c r="M84" s="36" t="str">
        <f>IFERROR(IF(AND($Q$1=FALSE,$S$3=FALSE),"-",VLOOKUP($E84,'Status Thresholds'!$E:$AU,42,FALSE)),"-")</f>
        <v>-</v>
      </c>
      <c r="N84" s="36" t="str">
        <f>IFERROR(IF(AND($Q$1=FALSE,$S$3=FALSE),"-",VLOOKUP($E84,'Status Thresholds'!$E:$AU,43,FALSE)),"-")</f>
        <v>-</v>
      </c>
    </row>
    <row r="85" spans="1:14" s="36" customFormat="1" x14ac:dyDescent="0.25">
      <c r="A85" s="46"/>
      <c r="B85" s="64" t="str">
        <f>VLOOKUP(C85,'Status Thresholds'!B:C,2,FALSE)</f>
        <v>MHGU</v>
      </c>
      <c r="C85" s="46" t="str">
        <f>IF(ISBLANK('KO Calc'!C81)=TRUE,"",'KO Calc'!C81)</f>
        <v>Barioth</v>
      </c>
      <c r="D85" s="67" t="s">
        <v>14</v>
      </c>
      <c r="E85" s="62" t="str">
        <f t="shared" si="3"/>
        <v>BariothKO</v>
      </c>
      <c r="F85" s="36" t="s">
        <v>21</v>
      </c>
      <c r="G85" s="36" t="str">
        <f t="shared" si="2"/>
        <v>BariothTriblast</v>
      </c>
      <c r="H85" s="36" t="str">
        <f>IF(AND($Q$1=FALSE,$S$3=FALSE),"-",IF(AND($Q$1=TRUE,$S$3=TRUE),"-",IF(AND($Q$1=FALSE,$S$3=FALSE),"-",IF(AND($Q$1=TRUE,$S$1=TRUE,$S$4=FALSE)=TRUE,IF(OR($Q$4=TRUE,$Q$5=TRUE,$S$2=TRUE),VLOOKUP($G85,'KO Calc'!$H:$AW,12,FALSE),VLOOKUP($G85,'KO Calc'!$H82:$AW82,12,FALSE)),IF(AND($Q$1=TRUE,$S$4=FALSE),IF(OR($Q$4=TRUE,$Q$5=TRUE,$S$2=TRUE),VLOOKUP($G85,'KO Calc'!$H:$AW,2,FALSE),VLOOKUP($G85,'KO Calc'!$H82:$AW82,2,FALSE)),
IF(AND($Q$1=TRUE,$S$1=TRUE,$S$4=TRUE)=TRUE,IF(OR($Q$4=TRUE,$Q$5=TRUE,$S$2=TRUE),VLOOKUP($G85,'KO Calc'!$H:$AW,17,FALSE),VLOOKUP($G85,'KO Calc'!$H82:$AW82,17,FALSE)),IF(AND($Q$1=TRUE,$S$4=TRUE),IF(OR($Q$4=TRUE,$Q$5=TRUE,$S$2=TRUE),VLOOKUP($G85,'KO Calc'!$H:$AW,7,FALSE),VLOOKUP($G85,'KO Calc'!$H82:$AW82,7,FALSE)),
IF(AND($S$3=TRUE,$S$1=TRUE,$S$4=FALSE)=TRUE,IF(OR($Q$4=TRUE,$Q$5=TRUE,$S$2=TRUE),VLOOKUP($G85,'KO Calc'!$H:$AW,32,FALSE),VLOOKUP($G85,'KO Calc'!$H82:$AW82,32,FALSE)),IF(AND($S$3=TRUE,$S$4=FALSE),IF(OR($Q$4=TRUE,$Q$5=TRUE,$S$2=TRUE),VLOOKUP($G85,'KO Calc'!$H:$AW,22,FALSE),VLOOKUP($G85,'KO Calc'!$H82:$AW82,22,FALSE)),
IF(AND($S$3=TRUE,$S$1=TRUE,$S$4=TRUE)=TRUE,IF(OR($Q$4=TRUE,$Q$5=TRUE,$S$2=TRUE),VLOOKUP($G85,'KO Calc'!$H:$AW,37,FALSE),VLOOKUP($G85,'KO Calc'!$H82:$AW82,37,FALSE)),IF(AND($S$3=TRUE,$S$4=TRUE),IF(OR($Q$4=TRUE,$Q$5=TRUE,$S$2=TRUE),VLOOKUP($G85,'KO Calc'!$H:$AW,27,FALSE),VLOOKUP($G85,'KO Calc'!$H82:$AW82,27,FALSE)))))))))))))</f>
        <v>-</v>
      </c>
      <c r="I85" s="36" t="str">
        <f>IF(AND($Q$1=FALSE,$S$3=FALSE),"-",IF(AND($Q$1=TRUE,$S$3=TRUE),"-",IF(AND($Q$1=FALSE,$S$3=FALSE),"-",IF(AND($Q$1=TRUE,$S$1=TRUE,$S$4=FALSE)=TRUE,IF(OR($Q$4=TRUE,$Q$5=TRUE,$S$2=TRUE),VLOOKUP($G85,'KO Calc'!$H:$AW,13,FALSE),VLOOKUP($G85,'KO Calc'!$H82:$AW82,13,FALSE)),IF(AND($Q$1=TRUE,$S$4=FALSE),IF(OR($Q$4=TRUE,$Q$5=TRUE,$S$2=TRUE),VLOOKUP($G85,'KO Calc'!$H:$AW,3,FALSE),VLOOKUP($G85,'KO Calc'!$H82:$AW82,3,FALSE)),
IF(AND($Q$1=TRUE,$S$1=TRUE,$S$4=TRUE)=TRUE,IF(OR($Q$4=TRUE,$Q$5=TRUE,$S$2=TRUE),VLOOKUP($G85,'KO Calc'!$H:$AW,18,FALSE),VLOOKUP($G85,'KO Calc'!$H82:$AW82,18,FALSE)),IF(AND($Q$1=TRUE,$S$4=TRUE),IF(OR($Q$4=TRUE,$Q$5=TRUE,$S$2=TRUE),VLOOKUP($G85,'KO Calc'!$H:$AW,8,FALSE),VLOOKUP($G85,'KO Calc'!$H82:$AW82,8,FALSE)),
IF(AND($S$3=TRUE,$S$1=TRUE,$S$4=FALSE)=TRUE,IF(OR($Q$4=TRUE,$Q$5=TRUE,$S$2=TRUE),VLOOKUP($G85,'KO Calc'!$H:$AW,33,FALSE),VLOOKUP($G85,'KO Calc'!$H82:$AW82,33,FALSE)),IF(AND($S$3=TRUE,$S$4=FALSE),IF(OR($Q$4=TRUE,$Q$5=TRUE,$S$2=TRUE),VLOOKUP($G85,'KO Calc'!$H:$AW,23,FALSE),VLOOKUP($G85,'KO Calc'!$H82:$AW82,23,FALSE)),
IF(AND($S$3=TRUE,$S$1=TRUE,$S$4=TRUE)=TRUE,IF(OR($Q$4=TRUE,$Q$5=TRUE,$S$2=TRUE),VLOOKUP($G85,'KO Calc'!$H:$AW,38,FALSE),VLOOKUP($G85,'KO Calc'!$H82:$AW82,38,FALSE)),IF(AND($S$3=TRUE,$S$4=TRUE),IF(OR($Q$4=TRUE,$Q$5=TRUE,$S$2=TRUE),VLOOKUP($G85,'KO Calc'!$H:$AW,28,FALSE),VLOOKUP($G85,'KO Calc'!$H82:$AW82,28,FALSE)))))))))))))</f>
        <v>-</v>
      </c>
      <c r="J85" s="36" t="str">
        <f>IF(AND($Q$1=FALSE,$S$3=FALSE),"-",IF(AND($Q$1=TRUE,$S$3=TRUE),"-",IF(AND($Q$1=FALSE,$S$3=FALSE),"-",IF(AND($Q$1=TRUE,$S$1=TRUE,$S$4=FALSE)=TRUE,IF(OR($Q$4=TRUE,$Q$5=TRUE,$S$2=TRUE),VLOOKUP($G85,'KO Calc'!$H:$AW,FALSE),VLOOKUP($G85,'KO Calc'!$H82:$AW82,14,FALSE)),IF(AND($Q$1=TRUE,$S$4=FALSE),IF(OR($Q$4=TRUE,$Q$5=TRUE,$S$2=TRUE),VLOOKUP($G85,'KO Calc'!$H:$AW,4,FALSE),VLOOKUP($G85,'KO Calc'!$H82:$AW82,4,FALSE)),
IF(AND($Q$1=TRUE,$S$1=TRUE,$S$4=TRUE)=TRUE,IF(OR($Q$4=TRUE,$Q$5=TRUE,$S$2=TRUE),VLOOKUP($G85,'KO Calc'!$H:$AW,19,FALSE),VLOOKUP($G85,'KO Calc'!$H82:$AW82,19,FALSE)),IF(AND($Q$1=TRUE,$S$4=TRUE),IF(OR($Q$4=TRUE,$Q$5=TRUE,$S$2=TRUE),VLOOKUP($G85,'KO Calc'!$H:$AW,9,FALSE),VLOOKUP($G85,'KO Calc'!$H82:$AW82,9,FALSE)),
IF(AND($S$3=TRUE,$S$1=TRUE,$S$4=FALSE)=TRUE,IF(OR($Q$4=TRUE,$Q$5=TRUE,$S$2=TRUE),VLOOKUP($G85,'KO Calc'!$H:$AW,34,FALSE),VLOOKUP($G85,'KO Calc'!$H82:$AW82,34,FALSE)),IF(AND($S$3=TRUE,$S$4=FALSE),IF(OR($Q$4=TRUE,$Q$5=TRUE,$S$2=TRUE),VLOOKUP($G85,'KO Calc'!$H:$AW,24,FALSE),VLOOKUP($G85,'KO Calc'!$H82:$AW82,24,FALSE)),
IF(AND($S$3=TRUE,$S$1=TRUE,$S$4=TRUE)=TRUE,IF(OR($Q$4=TRUE,$Q$5=TRUE,$S$2=TRUE),VLOOKUP($G85,'KO Calc'!$H:$AW,39,FALSE),VLOOKUP($G85,'KO Calc'!$H82:$AW82,39,FALSE)),IF(AND($S$3=TRUE,$S$4=TRUE),IF(OR($Q$4=TRUE,$Q$5=TRUE,$S$2=TRUE),VLOOKUP($G85,'KO Calc'!$H:$AW,29,FALSE),VLOOKUP($G85,'KO Calc'!$H82:$AW82,29,FALSE)))))))))))))</f>
        <v>-</v>
      </c>
      <c r="K85" s="36" t="str">
        <f>IF(AND($Q$1=FALSE,$S$3=FALSE),"-",IF(AND($Q$1=TRUE,$S$3=TRUE),"-",IF(AND($Q$1=FALSE,$S$3=FALSE),"-",IF(AND($Q$1=TRUE,$S$1=TRUE,$S$4=FALSE)=TRUE,IF(OR($Q$4=TRUE,$Q$5=TRUE,$S$2=TRUE),VLOOKUP($G85,'KO Calc'!$H:$AW,15,FALSE),VLOOKUP($G85,'KO Calc'!$H82:$AW82,15,FALSE)),IF(AND($Q$1=TRUE,$S$4=FALSE),IF(OR($Q$4=TRUE,$Q$5=TRUE,$S$2=TRUE),VLOOKUP($G85,'KO Calc'!$H:$AW,5,FALSE),VLOOKUP($G85,'KO Calc'!$H82:$AW82,5,FALSE)),
IF(AND($Q$1=TRUE,$S$1=TRUE,$S$4=TRUE)=TRUE,IF(OR($Q$4=TRUE,$Q$5=TRUE,$S$2=TRUE),VLOOKUP($G85,'KO Calc'!$H:$AW,20,FALSE),VLOOKUP($G85,'KO Calc'!$H82:$AW82,20,FALSE)),IF(AND($Q$1=TRUE,$S$4=TRUE),IF(OR($Q$4=TRUE,$Q$5=TRUE,$S$2=TRUE),VLOOKUP($G85,'KO Calc'!$H:$AW,10,FALSE),VLOOKUP($G85,'KO Calc'!$H82:$AW82,10,FALSE)),
IF(AND($S$3=TRUE,$S$1=TRUE,$S$4=FALSE)=TRUE,IF(OR($Q$4=TRUE,$Q$5=TRUE,$S$2=TRUE),VLOOKUP($G85,'KO Calc'!$H:$AW,35,FALSE),VLOOKUP($G85,'KO Calc'!$H82:$AW82,35,FALSE)),IF(AND($S$3=TRUE,$S$4=FALSE),IF(OR($Q$4=TRUE,$Q$5=TRUE,$S$2=TRUE),VLOOKUP($G85,'KO Calc'!$H:$AW,25,FALSE),VLOOKUP($G85,'KO Calc'!$H82:$AW82,25,FALSE)),
IF(AND($S$3=TRUE,$S$1=TRUE,$S$4=TRUE)=TRUE,IF(OR($Q$4=TRUE,$Q$5=TRUE,$S$2=TRUE),VLOOKUP($G85,'KO Calc'!$H:$AW,40,FALSE),VLOOKUP($G85,'KO Calc'!$H82:$AW82,40,FALSE)),IF(AND($S$3=TRUE,$S$4=TRUE),IF(OR($Q$4=TRUE,$Q$5=TRUE,$S$2=TRUE),VLOOKUP($G85,'KO Calc'!$H:$AW,30,FALSE),VLOOKUP($G85,'KO Calc'!$H82:$AW82,30,FALSE)))))))))))))</f>
        <v>-</v>
      </c>
      <c r="L85" s="36" t="str">
        <f>IFERROR(IF(AND($Q$1=FALSE,$S$3=FALSE),"-",VLOOKUP($E85,'Status Thresholds'!$E:$AU,41,FALSE)),"-")</f>
        <v>-</v>
      </c>
      <c r="M85" s="36" t="str">
        <f>IFERROR(IF(AND($Q$1=FALSE,$S$3=FALSE),"-",VLOOKUP($E85,'Status Thresholds'!$E:$AU,42,FALSE)),"-")</f>
        <v>-</v>
      </c>
      <c r="N85" s="36" t="str">
        <f>IFERROR(IF(AND($Q$1=FALSE,$S$3=FALSE),"-",VLOOKUP($E85,'Status Thresholds'!$E:$AU,43,FALSE)),"-")</f>
        <v>-</v>
      </c>
    </row>
    <row r="86" spans="1:14" x14ac:dyDescent="0.25">
      <c r="B86" s="64" t="str">
        <f>VLOOKUP(C86,'Status Thresholds'!B:C,2,FALSE)</f>
        <v>MHGU</v>
      </c>
      <c r="C86" s="46" t="str">
        <f>IF(ISBLANK('KO Calc'!C82)=TRUE,"",'KO Calc'!C82)</f>
        <v>Barioth</v>
      </c>
      <c r="D86" s="78" t="s">
        <v>207</v>
      </c>
      <c r="E86" s="62" t="str">
        <f t="shared" si="3"/>
        <v>BariothShock Trap</v>
      </c>
      <c r="F86" t="s">
        <v>13</v>
      </c>
      <c r="G86" s="36" t="str">
        <f t="shared" ref="G86:G148" si="4">C86&amp;F86</f>
        <v>BariothCrag 3</v>
      </c>
      <c r="H86" s="36" t="str">
        <f>IF(AND($Q$1=FALSE,$S$3=FALSE),"-",IF(AND($Q$1=TRUE,$S$3=TRUE),"-",IF(AND($Q$1=FALSE,$S$3=FALSE),"-",IF(AND($Q$1=TRUE,$S$1=TRUE,$S$4=FALSE)=TRUE,IF(OR($Q$4=TRUE,$Q$5=TRUE,$S$2=TRUE),VLOOKUP($G86,'KO Calc'!$H:$AW,12,FALSE),VLOOKUP($G86,'KO Calc'!$H83:$AW83,12,FALSE)),IF(AND($Q$1=TRUE,$S$4=FALSE),IF(OR($Q$4=TRUE,$Q$5=TRUE,$S$2=TRUE),VLOOKUP($G86,'KO Calc'!$H:$AW,2,FALSE),VLOOKUP($G86,'KO Calc'!$H83:$AW83,2,FALSE)),
IF(AND($Q$1=TRUE,$S$1=TRUE,$S$4=TRUE)=TRUE,IF(OR($Q$4=TRUE,$Q$5=TRUE,$S$2=TRUE),VLOOKUP($G86,'KO Calc'!$H:$AW,17,FALSE),VLOOKUP($G86,'KO Calc'!$H83:$AW83,17,FALSE)),IF(AND($Q$1=TRUE,$S$4=TRUE),IF(OR($Q$4=TRUE,$Q$5=TRUE,$S$2=TRUE),VLOOKUP($G86,'KO Calc'!$H:$AW,7,FALSE),VLOOKUP($G86,'KO Calc'!$H83:$AW83,7,FALSE)),
IF(AND($S$3=TRUE,$S$1=TRUE,$S$4=FALSE)=TRUE,IF(OR($Q$4=TRUE,$Q$5=TRUE,$S$2=TRUE),VLOOKUP($G86,'KO Calc'!$H:$AW,32,FALSE),VLOOKUP($G86,'KO Calc'!$H83:$AW83,32,FALSE)),IF(AND($S$3=TRUE,$S$4=FALSE),IF(OR($Q$4=TRUE,$Q$5=TRUE,$S$2=TRUE),VLOOKUP($G86,'KO Calc'!$H:$AW,22,FALSE),VLOOKUP($G86,'KO Calc'!$H83:$AW83,22,FALSE)),
IF(AND($S$3=TRUE,$S$1=TRUE,$S$4=TRUE)=TRUE,IF(OR($Q$4=TRUE,$Q$5=TRUE,$S$2=TRUE),VLOOKUP($G86,'KO Calc'!$H:$AW,37,FALSE),VLOOKUP($G86,'KO Calc'!$H83:$AW83,37,FALSE)),IF(AND($S$3=TRUE,$S$4=TRUE),IF(OR($Q$4=TRUE,$Q$5=TRUE,$S$2=TRUE),VLOOKUP($G86,'KO Calc'!$H:$AW,27,FALSE),VLOOKUP($G86,'KO Calc'!$H83:$AW83,27,FALSE)))))))))))))</f>
        <v>-</v>
      </c>
      <c r="I86" s="36" t="str">
        <f>IF(AND($Q$1=FALSE,$S$3=FALSE),"-",IF(AND($Q$1=TRUE,$S$3=TRUE),"-",IF(AND($Q$1=FALSE,$S$3=FALSE),"-",IF(AND($Q$1=TRUE,$S$1=TRUE,$S$4=FALSE)=TRUE,IF(OR($Q$4=TRUE,$Q$5=TRUE,$S$2=TRUE),VLOOKUP($G86,'KO Calc'!$H:$AW,13,FALSE),VLOOKUP($G86,'KO Calc'!$H83:$AW83,13,FALSE)),IF(AND($Q$1=TRUE,$S$4=FALSE),IF(OR($Q$4=TRUE,$Q$5=TRUE,$S$2=TRUE),VLOOKUP($G86,'KO Calc'!$H:$AW,3,FALSE),VLOOKUP($G86,'KO Calc'!$H83:$AW83,3,FALSE)),
IF(AND($Q$1=TRUE,$S$1=TRUE,$S$4=TRUE)=TRUE,IF(OR($Q$4=TRUE,$Q$5=TRUE,$S$2=TRUE),VLOOKUP($G86,'KO Calc'!$H:$AW,18,FALSE),VLOOKUP($G86,'KO Calc'!$H83:$AW83,18,FALSE)),IF(AND($Q$1=TRUE,$S$4=TRUE),IF(OR($Q$4=TRUE,$Q$5=TRUE,$S$2=TRUE),VLOOKUP($G86,'KO Calc'!$H:$AW,8,FALSE),VLOOKUP($G86,'KO Calc'!$H83:$AW83,8,FALSE)),
IF(AND($S$3=TRUE,$S$1=TRUE,$S$4=FALSE)=TRUE,IF(OR($Q$4=TRUE,$Q$5=TRUE,$S$2=TRUE),VLOOKUP($G86,'KO Calc'!$H:$AW,33,FALSE),VLOOKUP($G86,'KO Calc'!$H83:$AW83,33,FALSE)),IF(AND($S$3=TRUE,$S$4=FALSE),IF(OR($Q$4=TRUE,$Q$5=TRUE,$S$2=TRUE),VLOOKUP($G86,'KO Calc'!$H:$AW,23,FALSE),VLOOKUP($G86,'KO Calc'!$H83:$AW83,23,FALSE)),
IF(AND($S$3=TRUE,$S$1=TRUE,$S$4=TRUE)=TRUE,IF(OR($Q$4=TRUE,$Q$5=TRUE,$S$2=TRUE),VLOOKUP($G86,'KO Calc'!$H:$AW,38,FALSE),VLOOKUP($G86,'KO Calc'!$H83:$AW83,38,FALSE)),IF(AND($S$3=TRUE,$S$4=TRUE),IF(OR($Q$4=TRUE,$Q$5=TRUE,$S$2=TRUE),VLOOKUP($G86,'KO Calc'!$H:$AW,28,FALSE),VLOOKUP($G86,'KO Calc'!$H83:$AW83,28,FALSE)))))))))))))</f>
        <v>-</v>
      </c>
      <c r="J86" s="36" t="str">
        <f>IF(AND($Q$1=FALSE,$S$3=FALSE),"-",IF(AND($Q$1=TRUE,$S$3=TRUE),"-",IF(AND($Q$1=FALSE,$S$3=FALSE),"-",IF(AND($Q$1=TRUE,$S$1=TRUE,$S$4=FALSE)=TRUE,IF(OR($Q$4=TRUE,$Q$5=TRUE,$S$2=TRUE),VLOOKUP($G86,'KO Calc'!$H:$AW,FALSE),VLOOKUP($G86,'KO Calc'!$H83:$AW83,14,FALSE)),IF(AND($Q$1=TRUE,$S$4=FALSE),IF(OR($Q$4=TRUE,$Q$5=TRUE,$S$2=TRUE),VLOOKUP($G86,'KO Calc'!$H:$AW,4,FALSE),VLOOKUP($G86,'KO Calc'!$H83:$AW83,4,FALSE)),
IF(AND($Q$1=TRUE,$S$1=TRUE,$S$4=TRUE)=TRUE,IF(OR($Q$4=TRUE,$Q$5=TRUE,$S$2=TRUE),VLOOKUP($G86,'KO Calc'!$H:$AW,19,FALSE),VLOOKUP($G86,'KO Calc'!$H83:$AW83,19,FALSE)),IF(AND($Q$1=TRUE,$S$4=TRUE),IF(OR($Q$4=TRUE,$Q$5=TRUE,$S$2=TRUE),VLOOKUP($G86,'KO Calc'!$H:$AW,9,FALSE),VLOOKUP($G86,'KO Calc'!$H83:$AW83,9,FALSE)),
IF(AND($S$3=TRUE,$S$1=TRUE,$S$4=FALSE)=TRUE,IF(OR($Q$4=TRUE,$Q$5=TRUE,$S$2=TRUE),VLOOKUP($G86,'KO Calc'!$H:$AW,34,FALSE),VLOOKUP($G86,'KO Calc'!$H83:$AW83,34,FALSE)),IF(AND($S$3=TRUE,$S$4=FALSE),IF(OR($Q$4=TRUE,$Q$5=TRUE,$S$2=TRUE),VLOOKUP($G86,'KO Calc'!$H:$AW,24,FALSE),VLOOKUP($G86,'KO Calc'!$H83:$AW83,24,FALSE)),
IF(AND($S$3=TRUE,$S$1=TRUE,$S$4=TRUE)=TRUE,IF(OR($Q$4=TRUE,$Q$5=TRUE,$S$2=TRUE),VLOOKUP($G86,'KO Calc'!$H:$AW,39,FALSE),VLOOKUP($G86,'KO Calc'!$H83:$AW83,39,FALSE)),IF(AND($S$3=TRUE,$S$4=TRUE),IF(OR($Q$4=TRUE,$Q$5=TRUE,$S$2=TRUE),VLOOKUP($G86,'KO Calc'!$H:$AW,29,FALSE),VLOOKUP($G86,'KO Calc'!$H83:$AW83,29,FALSE)))))))))))))</f>
        <v>-</v>
      </c>
      <c r="K86" s="36" t="str">
        <f>IF(AND($Q$1=FALSE,$S$3=FALSE),"-",IF(AND($Q$1=TRUE,$S$3=TRUE),"-",IF(AND($Q$1=FALSE,$S$3=FALSE),"-",IF(AND($Q$1=TRUE,$S$1=TRUE,$S$4=FALSE)=TRUE,IF(OR($Q$4=TRUE,$Q$5=TRUE,$S$2=TRUE),VLOOKUP($G86,'KO Calc'!$H:$AW,15,FALSE),VLOOKUP($G86,'KO Calc'!$H83:$AW83,15,FALSE)),IF(AND($Q$1=TRUE,$S$4=FALSE),IF(OR($Q$4=TRUE,$Q$5=TRUE,$S$2=TRUE),VLOOKUP($G86,'KO Calc'!$H:$AW,5,FALSE),VLOOKUP($G86,'KO Calc'!$H83:$AW83,5,FALSE)),
IF(AND($Q$1=TRUE,$S$1=TRUE,$S$4=TRUE)=TRUE,IF(OR($Q$4=TRUE,$Q$5=TRUE,$S$2=TRUE),VLOOKUP($G86,'KO Calc'!$H:$AW,20,FALSE),VLOOKUP($G86,'KO Calc'!$H83:$AW83,20,FALSE)),IF(AND($Q$1=TRUE,$S$4=TRUE),IF(OR($Q$4=TRUE,$Q$5=TRUE,$S$2=TRUE),VLOOKUP($G86,'KO Calc'!$H:$AW,10,FALSE),VLOOKUP($G86,'KO Calc'!$H83:$AW83,10,FALSE)),
IF(AND($S$3=TRUE,$S$1=TRUE,$S$4=FALSE)=TRUE,IF(OR($Q$4=TRUE,$Q$5=TRUE,$S$2=TRUE),VLOOKUP($G86,'KO Calc'!$H:$AW,35,FALSE),VLOOKUP($G86,'KO Calc'!$H83:$AW83,35,FALSE)),IF(AND($S$3=TRUE,$S$4=FALSE),IF(OR($Q$4=TRUE,$Q$5=TRUE,$S$2=TRUE),VLOOKUP($G86,'KO Calc'!$H:$AW,25,FALSE),VLOOKUP($G86,'KO Calc'!$H83:$AW83,25,FALSE)),
IF(AND($S$3=TRUE,$S$1=TRUE,$S$4=TRUE)=TRUE,IF(OR($Q$4=TRUE,$Q$5=TRUE,$S$2=TRUE),VLOOKUP($G86,'KO Calc'!$H:$AW,40,FALSE),VLOOKUP($G86,'KO Calc'!$H83:$AW83,40,FALSE)),IF(AND($S$3=TRUE,$S$4=TRUE),IF(OR($Q$4=TRUE,$Q$5=TRUE,$S$2=TRUE),VLOOKUP($G86,'KO Calc'!$H:$AW,30,FALSE),VLOOKUP($G86,'KO Calc'!$H83:$AW83,30,FALSE)))))))))))))</f>
        <v>-</v>
      </c>
      <c r="L86" s="36" t="str">
        <f>IFERROR(IF(AND($Q$1=FALSE,$S$3=FALSE),"-",VLOOKUP($E86,'Status Thresholds'!$E:$AU,43,FALSE)),"-")</f>
        <v>-</v>
      </c>
      <c r="M86" s="36" t="str">
        <f>IFERROR(IF(AND($Q$1=FALSE,$S$3=FALSE),"-",VLOOKUP($E86,'Status Thresholds'!$E:$AU,41,FALSE)),"-")</f>
        <v>-</v>
      </c>
      <c r="N86" s="36" t="str">
        <f>IFERROR(IF(AND($Q$1=FALSE,$S$3=FALSE),"-",VLOOKUP($E86,'Status Thresholds'!$E:$AU,42,FALSE)),"-")</f>
        <v>-</v>
      </c>
    </row>
    <row r="87" spans="1:14" x14ac:dyDescent="0.25">
      <c r="B87" s="64" t="str">
        <f>VLOOKUP(C87,'Status Thresholds'!B:C,2,FALSE)</f>
        <v>MHGU</v>
      </c>
      <c r="C87" s="46" t="str">
        <f>IF(ISBLANK('KO Calc'!C83)=TRUE,"",'KO Calc'!C83)</f>
        <v>Barioth</v>
      </c>
      <c r="D87" s="78" t="s">
        <v>213</v>
      </c>
      <c r="E87" s="62" t="str">
        <f t="shared" si="3"/>
        <v>BariothPitfall Trap</v>
      </c>
      <c r="F87" t="s">
        <v>12</v>
      </c>
      <c r="G87" s="36" t="str">
        <f t="shared" si="4"/>
        <v>BariothCrag 2</v>
      </c>
      <c r="H87" s="36" t="str">
        <f>IF(AND($Q$1=FALSE,$S$3=FALSE),"-",IF(AND($Q$1=TRUE,$S$3=TRUE),"-",IF(AND($Q$1=FALSE,$S$3=FALSE),"-",IF(AND($Q$1=TRUE,$S$1=TRUE,$S$4=FALSE)=TRUE,IF(OR($Q$4=TRUE,$Q$5=TRUE,$S$2=TRUE),VLOOKUP($G87,'KO Calc'!$H:$AW,12,FALSE),VLOOKUP($G87,'KO Calc'!$H84:$AW84,12,FALSE)),IF(AND($Q$1=TRUE,$S$4=FALSE),IF(OR($Q$4=TRUE,$Q$5=TRUE,$S$2=TRUE),VLOOKUP($G87,'KO Calc'!$H:$AW,2,FALSE),VLOOKUP($G87,'KO Calc'!$H84:$AW84,2,FALSE)),
IF(AND($Q$1=TRUE,$S$1=TRUE,$S$4=TRUE)=TRUE,IF(OR($Q$4=TRUE,$Q$5=TRUE,$S$2=TRUE),VLOOKUP($G87,'KO Calc'!$H:$AW,17,FALSE),VLOOKUP($G87,'KO Calc'!$H84:$AW84,17,FALSE)),IF(AND($Q$1=TRUE,$S$4=TRUE),IF(OR($Q$4=TRUE,$Q$5=TRUE,$S$2=TRUE),VLOOKUP($G87,'KO Calc'!$H:$AW,7,FALSE),VLOOKUP($G87,'KO Calc'!$H84:$AW84,7,FALSE)),
IF(AND($S$3=TRUE,$S$1=TRUE,$S$4=FALSE)=TRUE,IF(OR($Q$4=TRUE,$Q$5=TRUE,$S$2=TRUE),VLOOKUP($G87,'KO Calc'!$H:$AW,32,FALSE),VLOOKUP($G87,'KO Calc'!$H84:$AW84,32,FALSE)),IF(AND($S$3=TRUE,$S$4=FALSE),IF(OR($Q$4=TRUE,$Q$5=TRUE,$S$2=TRUE),VLOOKUP($G87,'KO Calc'!$H:$AW,22,FALSE),VLOOKUP($G87,'KO Calc'!$H84:$AW84,22,FALSE)),
IF(AND($S$3=TRUE,$S$1=TRUE,$S$4=TRUE)=TRUE,IF(OR($Q$4=TRUE,$Q$5=TRUE,$S$2=TRUE),VLOOKUP($G87,'KO Calc'!$H:$AW,37,FALSE),VLOOKUP($G87,'KO Calc'!$H84:$AW84,37,FALSE)),IF(AND($S$3=TRUE,$S$4=TRUE),IF(OR($Q$4=TRUE,$Q$5=TRUE,$S$2=TRUE),VLOOKUP($G87,'KO Calc'!$H:$AW,27,FALSE),VLOOKUP($G87,'KO Calc'!$H84:$AW84,27,FALSE)))))))))))))</f>
        <v>-</v>
      </c>
      <c r="I87" s="36" t="str">
        <f>IF(AND($Q$1=FALSE,$S$3=FALSE),"-",IF(AND($Q$1=TRUE,$S$3=TRUE),"-",IF(AND($Q$1=FALSE,$S$3=FALSE),"-",IF(AND($Q$1=TRUE,$S$1=TRUE,$S$4=FALSE)=TRUE,IF(OR($Q$4=TRUE,$Q$5=TRUE,$S$2=TRUE),VLOOKUP($G87,'KO Calc'!$H:$AW,13,FALSE),VLOOKUP($G87,'KO Calc'!$H84:$AW84,13,FALSE)),IF(AND($Q$1=TRUE,$S$4=FALSE),IF(OR($Q$4=TRUE,$Q$5=TRUE,$S$2=TRUE),VLOOKUP($G87,'KO Calc'!$H:$AW,3,FALSE),VLOOKUP($G87,'KO Calc'!$H84:$AW84,3,FALSE)),
IF(AND($Q$1=TRUE,$S$1=TRUE,$S$4=TRUE)=TRUE,IF(OR($Q$4=TRUE,$Q$5=TRUE,$S$2=TRUE),VLOOKUP($G87,'KO Calc'!$H:$AW,18,FALSE),VLOOKUP($G87,'KO Calc'!$H84:$AW84,18,FALSE)),IF(AND($Q$1=TRUE,$S$4=TRUE),IF(OR($Q$4=TRUE,$Q$5=TRUE,$S$2=TRUE),VLOOKUP($G87,'KO Calc'!$H:$AW,8,FALSE),VLOOKUP($G87,'KO Calc'!$H84:$AW84,8,FALSE)),
IF(AND($S$3=TRUE,$S$1=TRUE,$S$4=FALSE)=TRUE,IF(OR($Q$4=TRUE,$Q$5=TRUE,$S$2=TRUE),VLOOKUP($G87,'KO Calc'!$H:$AW,33,FALSE),VLOOKUP($G87,'KO Calc'!$H84:$AW84,33,FALSE)),IF(AND($S$3=TRUE,$S$4=FALSE),IF(OR($Q$4=TRUE,$Q$5=TRUE,$S$2=TRUE),VLOOKUP($G87,'KO Calc'!$H:$AW,23,FALSE),VLOOKUP($G87,'KO Calc'!$H84:$AW84,23,FALSE)),
IF(AND($S$3=TRUE,$S$1=TRUE,$S$4=TRUE)=TRUE,IF(OR($Q$4=TRUE,$Q$5=TRUE,$S$2=TRUE),VLOOKUP($G87,'KO Calc'!$H:$AW,38,FALSE),VLOOKUP($G87,'KO Calc'!$H84:$AW84,38,FALSE)),IF(AND($S$3=TRUE,$S$4=TRUE),IF(OR($Q$4=TRUE,$Q$5=TRUE,$S$2=TRUE),VLOOKUP($G87,'KO Calc'!$H:$AW,28,FALSE),VLOOKUP($G87,'KO Calc'!$H84:$AW84,28,FALSE)))))))))))))</f>
        <v>-</v>
      </c>
      <c r="J87" s="36" t="str">
        <f>IF(AND($Q$1=FALSE,$S$3=FALSE),"-",IF(AND($Q$1=TRUE,$S$3=TRUE),"-",IF(AND($Q$1=FALSE,$S$3=FALSE),"-",IF(AND($Q$1=TRUE,$S$1=TRUE,$S$4=FALSE)=TRUE,IF(OR($Q$4=TRUE,$Q$5=TRUE,$S$2=TRUE),VLOOKUP($G87,'KO Calc'!$H:$AW,FALSE),VLOOKUP($G87,'KO Calc'!$H84:$AW84,14,FALSE)),IF(AND($Q$1=TRUE,$S$4=FALSE),IF(OR($Q$4=TRUE,$Q$5=TRUE,$S$2=TRUE),VLOOKUP($G87,'KO Calc'!$H:$AW,4,FALSE),VLOOKUP($G87,'KO Calc'!$H84:$AW84,4,FALSE)),
IF(AND($Q$1=TRUE,$S$1=TRUE,$S$4=TRUE)=TRUE,IF(OR($Q$4=TRUE,$Q$5=TRUE,$S$2=TRUE),VLOOKUP($G87,'KO Calc'!$H:$AW,19,FALSE),VLOOKUP($G87,'KO Calc'!$H84:$AW84,19,FALSE)),IF(AND($Q$1=TRUE,$S$4=TRUE),IF(OR($Q$4=TRUE,$Q$5=TRUE,$S$2=TRUE),VLOOKUP($G87,'KO Calc'!$H:$AW,9,FALSE),VLOOKUP($G87,'KO Calc'!$H84:$AW84,9,FALSE)),
IF(AND($S$3=TRUE,$S$1=TRUE,$S$4=FALSE)=TRUE,IF(OR($Q$4=TRUE,$Q$5=TRUE,$S$2=TRUE),VLOOKUP($G87,'KO Calc'!$H:$AW,34,FALSE),VLOOKUP($G87,'KO Calc'!$H84:$AW84,34,FALSE)),IF(AND($S$3=TRUE,$S$4=FALSE),IF(OR($Q$4=TRUE,$Q$5=TRUE,$S$2=TRUE),VLOOKUP($G87,'KO Calc'!$H:$AW,24,FALSE),VLOOKUP($G87,'KO Calc'!$H84:$AW84,24,FALSE)),
IF(AND($S$3=TRUE,$S$1=TRUE,$S$4=TRUE)=TRUE,IF(OR($Q$4=TRUE,$Q$5=TRUE,$S$2=TRUE),VLOOKUP($G87,'KO Calc'!$H:$AW,39,FALSE),VLOOKUP($G87,'KO Calc'!$H84:$AW84,39,FALSE)),IF(AND($S$3=TRUE,$S$4=TRUE),IF(OR($Q$4=TRUE,$Q$5=TRUE,$S$2=TRUE),VLOOKUP($G87,'KO Calc'!$H:$AW,29,FALSE),VLOOKUP($G87,'KO Calc'!$H84:$AW84,29,FALSE)))))))))))))</f>
        <v>-</v>
      </c>
      <c r="K87" s="36" t="str">
        <f>IF(AND($Q$1=FALSE,$S$3=FALSE),"-",IF(AND($Q$1=TRUE,$S$3=TRUE),"-",IF(AND($Q$1=FALSE,$S$3=FALSE),"-",IF(AND($Q$1=TRUE,$S$1=TRUE,$S$4=FALSE)=TRUE,IF(OR($Q$4=TRUE,$Q$5=TRUE,$S$2=TRUE),VLOOKUP($G87,'KO Calc'!$H:$AW,15,FALSE),VLOOKUP($G87,'KO Calc'!$H84:$AW84,15,FALSE)),IF(AND($Q$1=TRUE,$S$4=FALSE),IF(OR($Q$4=TRUE,$Q$5=TRUE,$S$2=TRUE),VLOOKUP($G87,'KO Calc'!$H:$AW,5,FALSE),VLOOKUP($G87,'KO Calc'!$H84:$AW84,5,FALSE)),
IF(AND($Q$1=TRUE,$S$1=TRUE,$S$4=TRUE)=TRUE,IF(OR($Q$4=TRUE,$Q$5=TRUE,$S$2=TRUE),VLOOKUP($G87,'KO Calc'!$H:$AW,20,FALSE),VLOOKUP($G87,'KO Calc'!$H84:$AW84,20,FALSE)),IF(AND($Q$1=TRUE,$S$4=TRUE),IF(OR($Q$4=TRUE,$Q$5=TRUE,$S$2=TRUE),VLOOKUP($G87,'KO Calc'!$H:$AW,10,FALSE),VLOOKUP($G87,'KO Calc'!$H84:$AW84,10,FALSE)),
IF(AND($S$3=TRUE,$S$1=TRUE,$S$4=FALSE)=TRUE,IF(OR($Q$4=TRUE,$Q$5=TRUE,$S$2=TRUE),VLOOKUP($G87,'KO Calc'!$H:$AW,35,FALSE),VLOOKUP($G87,'KO Calc'!$H84:$AW84,35,FALSE)),IF(AND($S$3=TRUE,$S$4=FALSE),IF(OR($Q$4=TRUE,$Q$5=TRUE,$S$2=TRUE),VLOOKUP($G87,'KO Calc'!$H:$AW,25,FALSE),VLOOKUP($G87,'KO Calc'!$H84:$AW84,25,FALSE)),
IF(AND($S$3=TRUE,$S$1=TRUE,$S$4=TRUE)=TRUE,IF(OR($Q$4=TRUE,$Q$5=TRUE,$S$2=TRUE),VLOOKUP($G87,'KO Calc'!$H:$AW,40,FALSE),VLOOKUP($G87,'KO Calc'!$H84:$AW84,40,FALSE)),IF(AND($S$3=TRUE,$S$4=TRUE),IF(OR($Q$4=TRUE,$Q$5=TRUE,$S$2=TRUE),VLOOKUP($G87,'KO Calc'!$H:$AW,30,FALSE),VLOOKUP($G87,'KO Calc'!$H84:$AW84,30,FALSE)))))))))))))</f>
        <v>-</v>
      </c>
      <c r="L87" s="36" t="str">
        <f>IFERROR(IF(AND($Q$1=FALSE,$S$3=FALSE),"-",VLOOKUP($E87,'Status Thresholds'!$E:$AU,43,FALSE)),"-")</f>
        <v>-</v>
      </c>
      <c r="M87" s="36" t="str">
        <f>IFERROR(IF(AND($Q$1=FALSE,$S$3=FALSE),"-",VLOOKUP($E87,'Status Thresholds'!$E:$AU,41,FALSE)),"-")</f>
        <v>-</v>
      </c>
      <c r="N87" s="36" t="str">
        <f>IFERROR(IF(AND($Q$1=FALSE,$S$3=FALSE),"-",VLOOKUP($E87,'Status Thresholds'!$E:$AU,42,FALSE)),"-")</f>
        <v>-</v>
      </c>
    </row>
    <row r="88" spans="1:14" x14ac:dyDescent="0.25">
      <c r="B88" s="64" t="str">
        <f>VLOOKUP(C88,'Status Thresholds'!B:C,2,FALSE)</f>
        <v>MHGU</v>
      </c>
      <c r="C88" s="46" t="str">
        <f>IF(ISBLANK('KO Calc'!C84)=TRUE,"",'KO Calc'!C84)</f>
        <v>Barioth</v>
      </c>
      <c r="D88" s="78"/>
      <c r="E88" s="62" t="str">
        <f t="shared" si="3"/>
        <v>Barioth</v>
      </c>
      <c r="F88" t="s">
        <v>11</v>
      </c>
      <c r="G88" s="36" t="str">
        <f t="shared" si="4"/>
        <v>BariothCrag 1</v>
      </c>
      <c r="H88" s="36" t="str">
        <f>IF(AND($Q$1=FALSE,$S$3=FALSE),"-",IF(AND($Q$1=TRUE,$S$3=TRUE),"-",IF(AND($Q$1=FALSE,$S$3=FALSE),"-",IF(AND($Q$1=TRUE,$S$1=TRUE,$S$4=FALSE)=TRUE,IF(OR($Q$4=TRUE,$Q$5=TRUE,$S$2=TRUE),VLOOKUP($G88,'KO Calc'!$H:$AW,12,FALSE),VLOOKUP($G88,'KO Calc'!$H85:$AW85,12,FALSE)),IF(AND($Q$1=TRUE,$S$4=FALSE),IF(OR($Q$4=TRUE,$Q$5=TRUE,$S$2=TRUE),VLOOKUP($G88,'KO Calc'!$H:$AW,2,FALSE),VLOOKUP($G88,'KO Calc'!$H85:$AW85,2,FALSE)),
IF(AND($Q$1=TRUE,$S$1=TRUE,$S$4=TRUE)=TRUE,IF(OR($Q$4=TRUE,$Q$5=TRUE,$S$2=TRUE),VLOOKUP($G88,'KO Calc'!$H:$AW,17,FALSE),VLOOKUP($G88,'KO Calc'!$H85:$AW85,17,FALSE)),IF(AND($Q$1=TRUE,$S$4=TRUE),IF(OR($Q$4=TRUE,$Q$5=TRUE,$S$2=TRUE),VLOOKUP($G88,'KO Calc'!$H:$AW,7,FALSE),VLOOKUP($G88,'KO Calc'!$H85:$AW85,7,FALSE)),
IF(AND($S$3=TRUE,$S$1=TRUE,$S$4=FALSE)=TRUE,IF(OR($Q$4=TRUE,$Q$5=TRUE,$S$2=TRUE),VLOOKUP($G88,'KO Calc'!$H:$AW,32,FALSE),VLOOKUP($G88,'KO Calc'!$H85:$AW85,32,FALSE)),IF(AND($S$3=TRUE,$S$4=FALSE),IF(OR($Q$4=TRUE,$Q$5=TRUE,$S$2=TRUE),VLOOKUP($G88,'KO Calc'!$H:$AW,22,FALSE),VLOOKUP($G88,'KO Calc'!$H85:$AW85,22,FALSE)),
IF(AND($S$3=TRUE,$S$1=TRUE,$S$4=TRUE)=TRUE,IF(OR($Q$4=TRUE,$Q$5=TRUE,$S$2=TRUE),VLOOKUP($G88,'KO Calc'!$H:$AW,37,FALSE),VLOOKUP($G88,'KO Calc'!$H85:$AW85,37,FALSE)),IF(AND($S$3=TRUE,$S$4=TRUE),IF(OR($Q$4=TRUE,$Q$5=TRUE,$S$2=TRUE),VLOOKUP($G88,'KO Calc'!$H:$AW,27,FALSE),VLOOKUP($G88,'KO Calc'!$H85:$AW85,27,FALSE)))))))))))))</f>
        <v>-</v>
      </c>
      <c r="I88" s="36" t="str">
        <f>IF(AND($Q$1=FALSE,$S$3=FALSE),"-",IF(AND($Q$1=TRUE,$S$3=TRUE),"-",IF(AND($Q$1=FALSE,$S$3=FALSE),"-",IF(AND($Q$1=TRUE,$S$1=TRUE,$S$4=FALSE)=TRUE,IF(OR($Q$4=TRUE,$Q$5=TRUE,$S$2=TRUE),VLOOKUP($G88,'KO Calc'!$H:$AW,13,FALSE),VLOOKUP($G88,'KO Calc'!$H85:$AW85,13,FALSE)),IF(AND($Q$1=TRUE,$S$4=FALSE),IF(OR($Q$4=TRUE,$Q$5=TRUE,$S$2=TRUE),VLOOKUP($G88,'KO Calc'!$H:$AW,3,FALSE),VLOOKUP($G88,'KO Calc'!$H85:$AW85,3,FALSE)),
IF(AND($Q$1=TRUE,$S$1=TRUE,$S$4=TRUE)=TRUE,IF(OR($Q$4=TRUE,$Q$5=TRUE,$S$2=TRUE),VLOOKUP($G88,'KO Calc'!$H:$AW,18,FALSE),VLOOKUP($G88,'KO Calc'!$H85:$AW85,18,FALSE)),IF(AND($Q$1=TRUE,$S$4=TRUE),IF(OR($Q$4=TRUE,$Q$5=TRUE,$S$2=TRUE),VLOOKUP($G88,'KO Calc'!$H:$AW,8,FALSE),VLOOKUP($G88,'KO Calc'!$H85:$AW85,8,FALSE)),
IF(AND($S$3=TRUE,$S$1=TRUE,$S$4=FALSE)=TRUE,IF(OR($Q$4=TRUE,$Q$5=TRUE,$S$2=TRUE),VLOOKUP($G88,'KO Calc'!$H:$AW,33,FALSE),VLOOKUP($G88,'KO Calc'!$H85:$AW85,33,FALSE)),IF(AND($S$3=TRUE,$S$4=FALSE),IF(OR($Q$4=TRUE,$Q$5=TRUE,$S$2=TRUE),VLOOKUP($G88,'KO Calc'!$H:$AW,23,FALSE),VLOOKUP($G88,'KO Calc'!$H85:$AW85,23,FALSE)),
IF(AND($S$3=TRUE,$S$1=TRUE,$S$4=TRUE)=TRUE,IF(OR($Q$4=TRUE,$Q$5=TRUE,$S$2=TRUE),VLOOKUP($G88,'KO Calc'!$H:$AW,38,FALSE),VLOOKUP($G88,'KO Calc'!$H85:$AW85,38,FALSE)),IF(AND($S$3=TRUE,$S$4=TRUE),IF(OR($Q$4=TRUE,$Q$5=TRUE,$S$2=TRUE),VLOOKUP($G88,'KO Calc'!$H:$AW,28,FALSE),VLOOKUP($G88,'KO Calc'!$H85:$AW85,28,FALSE)))))))))))))</f>
        <v>-</v>
      </c>
      <c r="J88" s="36" t="str">
        <f>IF(AND($Q$1=FALSE,$S$3=FALSE),"-",IF(AND($Q$1=TRUE,$S$3=TRUE),"-",IF(AND($Q$1=FALSE,$S$3=FALSE),"-",IF(AND($Q$1=TRUE,$S$1=TRUE,$S$4=FALSE)=TRUE,IF(OR($Q$4=TRUE,$Q$5=TRUE,$S$2=TRUE),VLOOKUP($G88,'KO Calc'!$H:$AW,FALSE),VLOOKUP($G88,'KO Calc'!$H85:$AW85,14,FALSE)),IF(AND($Q$1=TRUE,$S$4=FALSE),IF(OR($Q$4=TRUE,$Q$5=TRUE,$S$2=TRUE),VLOOKUP($G88,'KO Calc'!$H:$AW,4,FALSE),VLOOKUP($G88,'KO Calc'!$H85:$AW85,4,FALSE)),
IF(AND($Q$1=TRUE,$S$1=TRUE,$S$4=TRUE)=TRUE,IF(OR($Q$4=TRUE,$Q$5=TRUE,$S$2=TRUE),VLOOKUP($G88,'KO Calc'!$H:$AW,19,FALSE),VLOOKUP($G88,'KO Calc'!$H85:$AW85,19,FALSE)),IF(AND($Q$1=TRUE,$S$4=TRUE),IF(OR($Q$4=TRUE,$Q$5=TRUE,$S$2=TRUE),VLOOKUP($G88,'KO Calc'!$H:$AW,9,FALSE),VLOOKUP($G88,'KO Calc'!$H85:$AW85,9,FALSE)),
IF(AND($S$3=TRUE,$S$1=TRUE,$S$4=FALSE)=TRUE,IF(OR($Q$4=TRUE,$Q$5=TRUE,$S$2=TRUE),VLOOKUP($G88,'KO Calc'!$H:$AW,34,FALSE),VLOOKUP($G88,'KO Calc'!$H85:$AW85,34,FALSE)),IF(AND($S$3=TRUE,$S$4=FALSE),IF(OR($Q$4=TRUE,$Q$5=TRUE,$S$2=TRUE),VLOOKUP($G88,'KO Calc'!$H:$AW,24,FALSE),VLOOKUP($G88,'KO Calc'!$H85:$AW85,24,FALSE)),
IF(AND($S$3=TRUE,$S$1=TRUE,$S$4=TRUE)=TRUE,IF(OR($Q$4=TRUE,$Q$5=TRUE,$S$2=TRUE),VLOOKUP($G88,'KO Calc'!$H:$AW,39,FALSE),VLOOKUP($G88,'KO Calc'!$H85:$AW85,39,FALSE)),IF(AND($S$3=TRUE,$S$4=TRUE),IF(OR($Q$4=TRUE,$Q$5=TRUE,$S$2=TRUE),VLOOKUP($G88,'KO Calc'!$H:$AW,29,FALSE),VLOOKUP($G88,'KO Calc'!$H85:$AW85,29,FALSE)))))))))))))</f>
        <v>-</v>
      </c>
      <c r="K88" s="36" t="str">
        <f>IF(AND($Q$1=FALSE,$S$3=FALSE),"-",IF(AND($Q$1=TRUE,$S$3=TRUE),"-",IF(AND($Q$1=FALSE,$S$3=FALSE),"-",IF(AND($Q$1=TRUE,$S$1=TRUE,$S$4=FALSE)=TRUE,IF(OR($Q$4=TRUE,$Q$5=TRUE,$S$2=TRUE),VLOOKUP($G88,'KO Calc'!$H:$AW,15,FALSE),VLOOKUP($G88,'KO Calc'!$H85:$AW85,15,FALSE)),IF(AND($Q$1=TRUE,$S$4=FALSE),IF(OR($Q$4=TRUE,$Q$5=TRUE,$S$2=TRUE),VLOOKUP($G88,'KO Calc'!$H:$AW,5,FALSE),VLOOKUP($G88,'KO Calc'!$H85:$AW85,5,FALSE)),
IF(AND($Q$1=TRUE,$S$1=TRUE,$S$4=TRUE)=TRUE,IF(OR($Q$4=TRUE,$Q$5=TRUE,$S$2=TRUE),VLOOKUP($G88,'KO Calc'!$H:$AW,20,FALSE),VLOOKUP($G88,'KO Calc'!$H85:$AW85,20,FALSE)),IF(AND($Q$1=TRUE,$S$4=TRUE),IF(OR($Q$4=TRUE,$Q$5=TRUE,$S$2=TRUE),VLOOKUP($G88,'KO Calc'!$H:$AW,10,FALSE),VLOOKUP($G88,'KO Calc'!$H85:$AW85,10,FALSE)),
IF(AND($S$3=TRUE,$S$1=TRUE,$S$4=FALSE)=TRUE,IF(OR($Q$4=TRUE,$Q$5=TRUE,$S$2=TRUE),VLOOKUP($G88,'KO Calc'!$H:$AW,35,FALSE),VLOOKUP($G88,'KO Calc'!$H85:$AW85,35,FALSE)),IF(AND($S$3=TRUE,$S$4=FALSE),IF(OR($Q$4=TRUE,$Q$5=TRUE,$S$2=TRUE),VLOOKUP($G88,'KO Calc'!$H:$AW,25,FALSE),VLOOKUP($G88,'KO Calc'!$H85:$AW85,25,FALSE)),
IF(AND($S$3=TRUE,$S$1=TRUE,$S$4=TRUE)=TRUE,IF(OR($Q$4=TRUE,$Q$5=TRUE,$S$2=TRUE),VLOOKUP($G88,'KO Calc'!$H:$AW,40,FALSE),VLOOKUP($G88,'KO Calc'!$H85:$AW85,40,FALSE)),IF(AND($S$3=TRUE,$S$4=TRUE),IF(OR($Q$4=TRUE,$Q$5=TRUE,$S$2=TRUE),VLOOKUP($G88,'KO Calc'!$H:$AW,30,FALSE),VLOOKUP($G88,'KO Calc'!$H85:$AW85,30,FALSE)))))))))))))</f>
        <v>-</v>
      </c>
      <c r="L88" s="36" t="str">
        <f>IFERROR(VLOOKUP($E88,'Status Thresholds'!$E:$AS,41,FALSE),"-")</f>
        <v>-</v>
      </c>
    </row>
    <row r="89" spans="1:14" x14ac:dyDescent="0.25">
      <c r="B89" s="64" t="str">
        <f>VLOOKUP(C89,'Status Thresholds'!B:C,2,FALSE)</f>
        <v>MHGU</v>
      </c>
      <c r="C89" s="46" t="str">
        <f>IF(ISBLANK('KO Calc'!C85)=TRUE,"",'KO Calc'!C85)</f>
        <v>Barioth</v>
      </c>
      <c r="D89" s="78"/>
      <c r="E89" s="62"/>
      <c r="G89" s="36"/>
      <c r="L89" s="36" t="str">
        <f>IFERROR(VLOOKUP($E89,'Status Thresholds'!$E:$AS,41,FALSE),"-")</f>
        <v>-</v>
      </c>
    </row>
    <row r="90" spans="1:14" s="36" customFormat="1" x14ac:dyDescent="0.25">
      <c r="B90" s="64" t="str">
        <f>VLOOKUP(C90,'Status Thresholds'!B:C,2,FALSE)</f>
        <v>MHGU</v>
      </c>
      <c r="C90" s="46" t="str">
        <f>IF(ISBLANK('KO Calc'!C86)=TRUE,"",'KO Calc'!C86)</f>
        <v>Barroth</v>
      </c>
      <c r="D90" s="65" t="s">
        <v>0</v>
      </c>
      <c r="E90" s="62" t="str">
        <f t="shared" si="3"/>
        <v>BarrothPara</v>
      </c>
      <c r="F90" s="36" t="s">
        <v>2</v>
      </c>
      <c r="G90" s="36" t="str">
        <f t="shared" si="4"/>
        <v>BarrothPara lvl 2</v>
      </c>
      <c r="H90" s="36" t="str">
        <f>IFERROR(ROUNDUP(IF(AND($Q$1=FALSE,$S$3=FALSE),"-",IF(AND($Q$1=TRUE,$S$3=TRUE),"-",IF(AND($Q$1=TRUE,$S$1=TRUE,$S$4=FALSE),VLOOKUP($E90,'Status Thresholds'!$E:$AS,12,FALSE),IF(AND($Q$1=TRUE,$S$4=FALSE),VLOOKUP($E90,'Status Thresholds'!$E:$AS,2,FALSE), IF(AND($Q$1=TRUE,$S$1=TRUE,$S$4=TRUE),VLOOKUP($E90,'Status Thresholds'!$E:$AS,17,FALSE),IF(AND($Q$1=TRUE,$S$4=TRUE),VLOOKUP($E90,'Status Thresholds'!$E:$AS,7,FALSE),IF(AND($S$3=TRUE,$S$1=TRUE,$S$4=FALSE),VLOOKUP($E90,'Status Thresholds'!$E:$AS,32,FALSE),IF(AND($S$3=TRUE,$S$4=FALSE),VLOOKUP($E90,'Status Thresholds'!$E:$AS,22,FALSE),IF(AND($S$3=TRUE,$S$1=TRUE,$S$4=TRUE),VLOOKUP($E90,'Status Thresholds'!$E:$AS,37,FALSE),IF(AND($S$3=TRUE,$S$4=TRUE),VLOOKUP($E90,'Status Thresholds'!$E:$AS,27,FALSE),""))))))))/IF(OR($Q$3=TRUE,AND($Q$2=TRUE,$Q$7=TRUE),AND($Q$3=TRUE,$Q$7=TRUE))=TRUE,'Shots and Status'!$F$5,IF((OR($Q$2,$Q$7)=TRUE),'Shots and Status'!$D$5,'Shots and Status'!$C$5)))),0),"-")</f>
        <v>-</v>
      </c>
      <c r="I90" s="36" t="str">
        <f>IFERROR(ROUNDUP(IF(AND($Q$1=FALSE,$S$3=FALSE),"-",IF(AND($Q$1=TRUE,$S$3=TRUE),"-",IF(AND($Q$1=TRUE,$S$1=TRUE,$S$4=FALSE),VLOOKUP($E90,'Status Thresholds'!$E:$AS,13,FALSE),IF(AND($Q$1=TRUE,$S$4=FALSE),VLOOKUP($E90,'Status Thresholds'!$E:$AS,3,FALSE), IF(AND($Q$1=TRUE,$S$1=TRUE,$S$4=TRUE),VLOOKUP($E90,'Status Thresholds'!$E:$AS,18,FALSE),IF(AND($Q$1=TRUE,$S$4=TRUE),VLOOKUP($E90,'Status Thresholds'!$E:$AS,8,FALSE),IF(AND($S$3=TRUE,$S$1=TRUE,$S$4=FALSE),VLOOKUP($E90,'Status Thresholds'!$E:$AS,33,FALSE),IF(AND($S$3=TRUE,$S$4=FALSE),VLOOKUP($E90,'Status Thresholds'!$E:$AS,23,FALSE),IF(AND($S$3=TRUE,$S$1=TRUE,$S$4=TRUE),VLOOKUP($E90,'Status Thresholds'!$E:$AS,38,FALSE),IF(AND($S$3=TRUE,$S$4=TRUE),VLOOKUP($E90,'Status Thresholds'!$E:$AS,28,FALSE),""))))))))/IF(OR($Q$3=TRUE,AND($Q$2=TRUE,$Q$7=TRUE),AND($Q$3=TRUE,$Q$7=TRUE))=TRUE,'Shots and Status'!$F$5,IF((OR($Q$2,$Q$7)=TRUE),'Shots and Status'!$D$5,'Shots and Status'!$C$5)))),0),"-")</f>
        <v>-</v>
      </c>
      <c r="J90" s="36" t="str">
        <f>IFERROR(ROUNDUP(IF(AND($Q$1=FALSE,$S$3=FALSE),"-",IF(AND($Q$1=TRUE,$S$3=TRUE),"-",IF(AND($Q$1=TRUE,$S$1=TRUE,$S$4=FALSE),VLOOKUP($E90,'Status Thresholds'!$E:$AS,14,FALSE),IF(AND($Q$1=TRUE,$S$4=FALSE),VLOOKUP($E90,'Status Thresholds'!$E:$AS,4,FALSE), IF(AND($Q$1=TRUE,$S$1=TRUE,$S$4=TRUE),VLOOKUP($E90,'Status Thresholds'!$E:$AS,19,FALSE),IF(AND($Q$1=TRUE,$S$4=TRUE),VLOOKUP($E90,'Status Thresholds'!$E:$AS,9,FALSE),IF(AND($S$3=TRUE,$S$1=TRUE,$S$4=FALSE),VLOOKUP($E90,'Status Thresholds'!$E:$AS,34,FALSE),IF(AND($S$3=TRUE,$S$4=FALSE),VLOOKUP($E90,'Status Thresholds'!$E:$AS,24,FALSE),IF(AND($S$3=TRUE,$S$1=TRUE,$S$4=TRUE),VLOOKUP($E90,'Status Thresholds'!$E:$AS,39,FALSE),IF(AND($S$3=TRUE,$S$4=TRUE),VLOOKUP($E90,'Status Thresholds'!$E:$AS,29,FALSE),""))))))))/IF(OR($Q$3=TRUE,AND($Q$2=TRUE,$Q$7=TRUE),AND($Q$3=TRUE,$Q$7=TRUE))=TRUE,'Shots and Status'!$F$5,IF((OR($Q$2,$Q$7)=TRUE),'Shots and Status'!$D$5,'Shots and Status'!$C$5)))),0),"-")</f>
        <v>-</v>
      </c>
      <c r="K90" s="36" t="str">
        <f>IFERROR(ROUNDUP(IF(AND($Q$1=FALSE,$S$3=FALSE),"-",IF(AND($Q$1=TRUE,$S$3=TRUE),"-",IF(AND($Q$1=TRUE,$S$1=TRUE,$S$4=FALSE),VLOOKUP($E90,'Status Thresholds'!$E:$AS,15,FALSE),IF(AND($Q$1=TRUE,$S$4=FALSE),VLOOKUP($E90,'Status Thresholds'!$E:$AS,5,FALSE), IF(AND($Q$1=TRUE,$S$1=TRUE,$S$4=TRUE),VLOOKUP($E90,'Status Thresholds'!$E:$AS,20,FALSE),IF(AND($Q$1=TRUE,$S$4=TRUE),VLOOKUP($E90,'Status Thresholds'!$E:$AS,10,FALSE),IF(AND($S$3=TRUE,$S$1=TRUE,$S$4=FALSE),VLOOKUP($E90,'Status Thresholds'!$E:$AS,35,FALSE),IF(AND($S$3=TRUE,$S$4=FALSE),VLOOKUP($E90,'Status Thresholds'!$E:$AS,25,FALSE),IF(AND($S$3=TRUE,$S$1=TRUE,$S$4=TRUE),VLOOKUP($E90,'Status Thresholds'!$E:$AS,40,FALSE),IF(AND($S$3=TRUE,$S$4=TRUE),VLOOKUP($E90,'Status Thresholds'!$E:$AS,30,FALSE),""))))))))/IF(OR($Q$3=TRUE,AND($Q$2=TRUE,$Q$7=TRUE),AND($Q$3=TRUE,$Q$7=TRUE))=TRUE,'Shots and Status'!$F$5,IF((OR($Q$2,$Q$7)=TRUE),'Shots and Status'!$D$5,'Shots and Status'!$C$5)))),0),"-")</f>
        <v>-</v>
      </c>
      <c r="L90" s="36" t="str">
        <f>IFERROR(IF(AND($Q$1=FALSE,$S$3=FALSE),"-",VLOOKUP($E90,'Status Thresholds'!$E:$AU,41,FALSE)),"-")</f>
        <v>-</v>
      </c>
      <c r="M90" s="36" t="str">
        <f>IFERROR(IF(AND($Q$1=FALSE,$S$3=FALSE),"-",VLOOKUP($E90,'Status Thresholds'!$E:$AU,42,FALSE)),"-")</f>
        <v>-</v>
      </c>
      <c r="N90" s="36" t="str">
        <f>IFERROR(IF(AND($Q$1=FALSE,$S$3=FALSE),"-",VLOOKUP($E90,'Status Thresholds'!$E:$AU,43,FALSE)),"-")</f>
        <v>-</v>
      </c>
    </row>
    <row r="91" spans="1:14" s="59" customFormat="1" x14ac:dyDescent="0.25">
      <c r="A91" s="46"/>
      <c r="B91" s="64" t="str">
        <f>VLOOKUP(C91,'Status Thresholds'!B:C,2,FALSE)</f>
        <v>MHGU</v>
      </c>
      <c r="C91" s="46" t="str">
        <f>IF(ISBLANK('KO Calc'!C87)=TRUE,"",'KO Calc'!C87)</f>
        <v>Barroth</v>
      </c>
      <c r="D91" s="60" t="s">
        <v>32</v>
      </c>
      <c r="E91" s="62" t="str">
        <f t="shared" si="3"/>
        <v>BarrothSleep</v>
      </c>
      <c r="F91" s="59" t="s">
        <v>5</v>
      </c>
      <c r="G91" s="36" t="str">
        <f t="shared" si="4"/>
        <v>BarrothSleep lvl 2</v>
      </c>
      <c r="H91" s="36" t="str">
        <f>IFERROR(ROUNDUP(IF(AND($Q$1=FALSE,$S$3=FALSE),"-",IF(AND($Q$1=TRUE,$S$3=TRUE),"-",IF(AND($Q$1=TRUE,$S$1=TRUE,$S$4=FALSE),VLOOKUP($E91,'Status Thresholds'!$E:$AS,12,FALSE),IF(AND($Q$1=TRUE,$S$4=FALSE),VLOOKUP($E91,'Status Thresholds'!$E:$AS,2,FALSE), IF(AND($Q$1=TRUE,$S$1=TRUE,$S$4=TRUE),VLOOKUP($E91,'Status Thresholds'!$E:$AS,17,FALSE),IF(AND($Q$1=TRUE,$S$4=TRUE),VLOOKUP($E91,'Status Thresholds'!$E:$AS,7,FALSE),IF(AND($S$3=TRUE,$S$1=TRUE,$S$4=FALSE),VLOOKUP($E91,'Status Thresholds'!$E:$AS,32,FALSE),IF(AND($S$3=TRUE,$S$4=FALSE),VLOOKUP($E91,'Status Thresholds'!$E:$AS,22,FALSE),IF(AND($S$3=TRUE,$S$1=TRUE,$S$4=TRUE),VLOOKUP($E91,'Status Thresholds'!$E:$AS,37,FALSE),IF(AND($S$3=TRUE,$S$4=TRUE),VLOOKUP($E91,'Status Thresholds'!$E:$AS,27,FALSE),""))))))))/IF(OR($Q$3=TRUE,AND($Q$2=TRUE,$Q$7=TRUE),AND($Q$3=TRUE,$Q$7=TRUE))=TRUE,'Shots and Status'!$F$5,IF((OR($Q$2,$Q$7)=TRUE),'Shots and Status'!$D$5,'Shots and Status'!$C$5)))),0),"-")</f>
        <v>-</v>
      </c>
      <c r="I91" s="36" t="str">
        <f>IFERROR(ROUNDUP(IF(AND($Q$1=FALSE,$S$3=FALSE),"-",IF(AND($Q$1=TRUE,$S$3=TRUE),"-",IF(AND($Q$1=TRUE,$S$1=TRUE,$S$4=FALSE),VLOOKUP($E91,'Status Thresholds'!$E:$AS,13,FALSE),IF(AND($Q$1=TRUE,$S$4=FALSE),VLOOKUP($E91,'Status Thresholds'!$E:$AS,3,FALSE), IF(AND($Q$1=TRUE,$S$1=TRUE,$S$4=TRUE),VLOOKUP($E91,'Status Thresholds'!$E:$AS,18,FALSE),IF(AND($Q$1=TRUE,$S$4=TRUE),VLOOKUP($E91,'Status Thresholds'!$E:$AS,8,FALSE),IF(AND($S$3=TRUE,$S$1=TRUE,$S$4=FALSE),VLOOKUP($E91,'Status Thresholds'!$E:$AS,33,FALSE),IF(AND($S$3=TRUE,$S$4=FALSE),VLOOKUP($E91,'Status Thresholds'!$E:$AS,23,FALSE),IF(AND($S$3=TRUE,$S$1=TRUE,$S$4=TRUE),VLOOKUP($E91,'Status Thresholds'!$E:$AS,38,FALSE),IF(AND($S$3=TRUE,$S$4=TRUE),VLOOKUP($E91,'Status Thresholds'!$E:$AS,28,FALSE),""))))))))/IF(OR($Q$3=TRUE,AND($Q$2=TRUE,$Q$7=TRUE),AND($Q$3=TRUE,$Q$7=TRUE))=TRUE,'Shots and Status'!$F$5,IF((OR($Q$2,$Q$7)=TRUE),'Shots and Status'!$D$5,'Shots and Status'!$C$5)))),0),"-")</f>
        <v>-</v>
      </c>
      <c r="J91" s="36" t="str">
        <f>IFERROR(ROUNDUP(IF(AND($Q$1=FALSE,$S$3=FALSE),"-",IF(AND($Q$1=TRUE,$S$3=TRUE),"-",IF(AND($Q$1=TRUE,$S$1=TRUE,$S$4=FALSE),VLOOKUP($E91,'Status Thresholds'!$E:$AS,14,FALSE),IF(AND($Q$1=TRUE,$S$4=FALSE),VLOOKUP($E91,'Status Thresholds'!$E:$AS,4,FALSE), IF(AND($Q$1=TRUE,$S$1=TRUE,$S$4=TRUE),VLOOKUP($E91,'Status Thresholds'!$E:$AS,19,FALSE),IF(AND($Q$1=TRUE,$S$4=TRUE),VLOOKUP($E91,'Status Thresholds'!$E:$AS,9,FALSE),IF(AND($S$3=TRUE,$S$1=TRUE,$S$4=FALSE),VLOOKUP($E91,'Status Thresholds'!$E:$AS,34,FALSE),IF(AND($S$3=TRUE,$S$4=FALSE),VLOOKUP($E91,'Status Thresholds'!$E:$AS,24,FALSE),IF(AND($S$3=TRUE,$S$1=TRUE,$S$4=TRUE),VLOOKUP($E91,'Status Thresholds'!$E:$AS,39,FALSE),IF(AND($S$3=TRUE,$S$4=TRUE),VLOOKUP($E91,'Status Thresholds'!$E:$AS,29,FALSE),""))))))))/IF(OR($Q$3=TRUE,AND($Q$2=TRUE,$Q$7=TRUE),AND($Q$3=TRUE,$Q$7=TRUE))=TRUE,'Shots and Status'!$F$5,IF((OR($Q$2,$Q$7)=TRUE),'Shots and Status'!$D$5,'Shots and Status'!$C$5)))),0),"-")</f>
        <v>-</v>
      </c>
      <c r="K91" s="36" t="str">
        <f>IFERROR(ROUNDUP(IF(AND($Q$1=FALSE,$S$3=FALSE),"-",IF(AND($Q$1=TRUE,$S$3=TRUE),"-",IF(AND($Q$1=TRUE,$S$1=TRUE,$S$4=FALSE),VLOOKUP($E91,'Status Thresholds'!$E:$AS,15,FALSE),IF(AND($Q$1=TRUE,$S$4=FALSE),VLOOKUP($E91,'Status Thresholds'!$E:$AS,5,FALSE), IF(AND($Q$1=TRUE,$S$1=TRUE,$S$4=TRUE),VLOOKUP($E91,'Status Thresholds'!$E:$AS,20,FALSE),IF(AND($Q$1=TRUE,$S$4=TRUE),VLOOKUP($E91,'Status Thresholds'!$E:$AS,10,FALSE),IF(AND($S$3=TRUE,$S$1=TRUE,$S$4=FALSE),VLOOKUP($E91,'Status Thresholds'!$E:$AS,35,FALSE),IF(AND($S$3=TRUE,$S$4=FALSE),VLOOKUP($E91,'Status Thresholds'!$E:$AS,25,FALSE),IF(AND($S$3=TRUE,$S$1=TRUE,$S$4=TRUE),VLOOKUP($E91,'Status Thresholds'!$E:$AS,40,FALSE),IF(AND($S$3=TRUE,$S$4=TRUE),VLOOKUP($E91,'Status Thresholds'!$E:$AS,30,FALSE),""))))))))/IF(OR($Q$3=TRUE,AND($Q$2=TRUE,$Q$7=TRUE),AND($Q$3=TRUE,$Q$7=TRUE))=TRUE,'Shots and Status'!$F$5,IF((OR($Q$2,$Q$7)=TRUE),'Shots and Status'!$D$5,'Shots and Status'!$C$5)))),0),"-")</f>
        <v>-</v>
      </c>
      <c r="L91" s="36" t="str">
        <f>IFERROR(IF(AND($Q$1=FALSE,$S$3=FALSE),"-",VLOOKUP($E91,'Status Thresholds'!$E:$AU,41,FALSE)),"-")</f>
        <v>-</v>
      </c>
      <c r="M91" s="36" t="str">
        <f>IFERROR(IF(AND($Q$1=FALSE,$S$3=FALSE),"-",VLOOKUP($E91,'Status Thresholds'!$E:$AU,42,FALSE)),"-")</f>
        <v>-</v>
      </c>
      <c r="N91" s="36" t="str">
        <f>IFERROR(IF(AND($Q$1=FALSE,$S$3=FALSE),"-",VLOOKUP($E91,'Status Thresholds'!$E:$AU,43,FALSE)),"-")</f>
        <v>-</v>
      </c>
    </row>
    <row r="92" spans="1:14" s="59" customFormat="1" x14ac:dyDescent="0.25">
      <c r="A92" s="46"/>
      <c r="B92" s="64" t="str">
        <f>VLOOKUP(C92,'Status Thresholds'!B:C,2,FALSE)</f>
        <v>MHGU</v>
      </c>
      <c r="C92" s="46" t="str">
        <f>IF(ISBLANK('KO Calc'!C88)=TRUE,"",'KO Calc'!C88)</f>
        <v>Barroth</v>
      </c>
      <c r="D92" s="58" t="s">
        <v>33</v>
      </c>
      <c r="E92" s="62" t="str">
        <f t="shared" si="3"/>
        <v>BarrothPoison</v>
      </c>
      <c r="F92" s="59" t="s">
        <v>6</v>
      </c>
      <c r="G92" s="36" t="str">
        <f t="shared" si="4"/>
        <v>BarrothPoison lvl 2</v>
      </c>
      <c r="H92" s="36" t="str">
        <f>IFERROR(ROUNDUP(IF(AND($Q$1=FALSE,$S$3=FALSE),"-",IF(AND($Q$1=TRUE,$S$3=TRUE),"-",IF(AND($Q$1=TRUE,$S$1=TRUE,$S$4=FALSE),VLOOKUP($E92,'Status Thresholds'!$E:$AS,12,FALSE),IF(AND($Q$1=TRUE,$S$4=FALSE),VLOOKUP($E92,'Status Thresholds'!$E:$AS,2,FALSE), IF(AND($Q$1=TRUE,$S$1=TRUE,$S$4=TRUE),VLOOKUP($E92,'Status Thresholds'!$E:$AS,17,FALSE),IF(AND($Q$1=TRUE,$S$4=TRUE),VLOOKUP($E92,'Status Thresholds'!$E:$AS,7,FALSE),IF(AND($S$3=TRUE,$S$1=TRUE,$S$4=FALSE),VLOOKUP($E92,'Status Thresholds'!$E:$AS,32,FALSE),IF(AND($S$3=TRUE,$S$4=FALSE),VLOOKUP($E92,'Status Thresholds'!$E:$AS,22,FALSE),IF(AND($S$3=TRUE,$S$1=TRUE,$S$4=TRUE),VLOOKUP($E92,'Status Thresholds'!$E:$AS,37,FALSE),IF(AND($S$3=TRUE,$S$4=TRUE),VLOOKUP($E92,'Status Thresholds'!$E:$AS,27,FALSE),""))))))))/IF(OR($Q$3=TRUE,AND($Q$2=TRUE,$Q$7=TRUE),AND($Q$3=TRUE,$Q$7=TRUE))=TRUE,'Shots and Status'!$F$5,IF((OR($Q$2,$Q$7)=TRUE),'Shots and Status'!$D$5,'Shots and Status'!$C$5)))),0),"-")</f>
        <v>-</v>
      </c>
      <c r="I92" s="36" t="str">
        <f>IFERROR(ROUNDUP(IF(AND($Q$1=FALSE,$S$3=FALSE),"-",IF(AND($Q$1=TRUE,$S$3=TRUE),"-",IF(AND($Q$1=TRUE,$S$1=TRUE,$S$4=FALSE),VLOOKUP($E92,'Status Thresholds'!$E:$AS,13,FALSE),IF(AND($Q$1=TRUE,$S$4=FALSE),VLOOKUP($E92,'Status Thresholds'!$E:$AS,3,FALSE), IF(AND($Q$1=TRUE,$S$1=TRUE,$S$4=TRUE),VLOOKUP($E92,'Status Thresholds'!$E:$AS,18,FALSE),IF(AND($Q$1=TRUE,$S$4=TRUE),VLOOKUP($E92,'Status Thresholds'!$E:$AS,8,FALSE),IF(AND($S$3=TRUE,$S$1=TRUE,$S$4=FALSE),VLOOKUP($E92,'Status Thresholds'!$E:$AS,33,FALSE),IF(AND($S$3=TRUE,$S$4=FALSE),VLOOKUP($E92,'Status Thresholds'!$E:$AS,23,FALSE),IF(AND($S$3=TRUE,$S$1=TRUE,$S$4=TRUE),VLOOKUP($E92,'Status Thresholds'!$E:$AS,38,FALSE),IF(AND($S$3=TRUE,$S$4=TRUE),VLOOKUP($E92,'Status Thresholds'!$E:$AS,28,FALSE),""))))))))/IF(OR($Q$3=TRUE,AND($Q$2=TRUE,$Q$7=TRUE),AND($Q$3=TRUE,$Q$7=TRUE))=TRUE,'Shots and Status'!$F$5,IF((OR($Q$2,$Q$7)=TRUE),'Shots and Status'!$D$5,'Shots and Status'!$C$5)))),0),"-")</f>
        <v>-</v>
      </c>
      <c r="J92" s="36" t="str">
        <f>IFERROR(ROUNDUP(IF(AND($Q$1=FALSE,$S$3=FALSE),"-",IF(AND($Q$1=TRUE,$S$3=TRUE),"-",IF(AND($Q$1=TRUE,$S$1=TRUE,$S$4=FALSE),VLOOKUP($E92,'Status Thresholds'!$E:$AS,14,FALSE),IF(AND($Q$1=TRUE,$S$4=FALSE),VLOOKUP($E92,'Status Thresholds'!$E:$AS,4,FALSE), IF(AND($Q$1=TRUE,$S$1=TRUE,$S$4=TRUE),VLOOKUP($E92,'Status Thresholds'!$E:$AS,19,FALSE),IF(AND($Q$1=TRUE,$S$4=TRUE),VLOOKUP($E92,'Status Thresholds'!$E:$AS,9,FALSE),IF(AND($S$3=TRUE,$S$1=TRUE,$S$4=FALSE),VLOOKUP($E92,'Status Thresholds'!$E:$AS,34,FALSE),IF(AND($S$3=TRUE,$S$4=FALSE),VLOOKUP($E92,'Status Thresholds'!$E:$AS,24,FALSE),IF(AND($S$3=TRUE,$S$1=TRUE,$S$4=TRUE),VLOOKUP($E92,'Status Thresholds'!$E:$AS,39,FALSE),IF(AND($S$3=TRUE,$S$4=TRUE),VLOOKUP($E92,'Status Thresholds'!$E:$AS,29,FALSE),""))))))))/IF(OR($Q$3=TRUE,AND($Q$2=TRUE,$Q$7=TRUE),AND($Q$3=TRUE,$Q$7=TRUE))=TRUE,'Shots and Status'!$F$5,IF((OR($Q$2,$Q$7)=TRUE),'Shots and Status'!$D$5,'Shots and Status'!$C$5)))),0),"-")</f>
        <v>-</v>
      </c>
      <c r="K92" s="36" t="str">
        <f>IFERROR(ROUNDUP(IF(AND($Q$1=FALSE,$S$3=FALSE),"-",IF(AND($Q$1=TRUE,$S$3=TRUE),"-",IF(AND($Q$1=TRUE,$S$1=TRUE,$S$4=FALSE),VLOOKUP($E92,'Status Thresholds'!$E:$AS,15,FALSE),IF(AND($Q$1=TRUE,$S$4=FALSE),VLOOKUP($E92,'Status Thresholds'!$E:$AS,5,FALSE), IF(AND($Q$1=TRUE,$S$1=TRUE,$S$4=TRUE),VLOOKUP($E92,'Status Thresholds'!$E:$AS,20,FALSE),IF(AND($Q$1=TRUE,$S$4=TRUE),VLOOKUP($E92,'Status Thresholds'!$E:$AS,10,FALSE),IF(AND($S$3=TRUE,$S$1=TRUE,$S$4=FALSE),VLOOKUP($E92,'Status Thresholds'!$E:$AS,35,FALSE),IF(AND($S$3=TRUE,$S$4=FALSE),VLOOKUP($E92,'Status Thresholds'!$E:$AS,25,FALSE),IF(AND($S$3=TRUE,$S$1=TRUE,$S$4=TRUE),VLOOKUP($E92,'Status Thresholds'!$E:$AS,40,FALSE),IF(AND($S$3=TRUE,$S$4=TRUE),VLOOKUP($E92,'Status Thresholds'!$E:$AS,30,FALSE),""))))))))/IF(OR($Q$3=TRUE,AND($Q$2=TRUE,$Q$7=TRUE),AND($Q$3=TRUE,$Q$7=TRUE))=TRUE,'Shots and Status'!$F$5,IF((OR($Q$2,$Q$7)=TRUE),'Shots and Status'!$D$5,'Shots and Status'!$C$5)))),0),"-")</f>
        <v>-</v>
      </c>
      <c r="L92" s="36" t="str">
        <f>IFERROR(IF(AND($Q$1=FALSE,$S$3=FALSE),"-",VLOOKUP($E92,'Status Thresholds'!$E:$AU,41,FALSE)),"-")</f>
        <v>-</v>
      </c>
      <c r="M92" s="36" t="str">
        <f>IFERROR(IF(AND($Q$1=FALSE,$S$3=FALSE),"-",VLOOKUP($E92,'Status Thresholds'!$E:$AU,42,FALSE)),"-")</f>
        <v>-</v>
      </c>
      <c r="N92" s="36" t="str">
        <f>IFERROR(IF(AND($Q$1=FALSE,$S$3=FALSE),"-",VLOOKUP($E92,'Status Thresholds'!$E:$AU,43,FALSE)),"-")</f>
        <v>-</v>
      </c>
    </row>
    <row r="93" spans="1:14" s="36" customFormat="1" x14ac:dyDescent="0.25">
      <c r="A93" s="46"/>
      <c r="B93" s="64" t="str">
        <f>VLOOKUP(C93,'Status Thresholds'!B:C,2,FALSE)</f>
        <v>MHGU</v>
      </c>
      <c r="C93" s="46" t="str">
        <f>IF(ISBLANK('KO Calc'!C89)=TRUE,"",'KO Calc'!C89)</f>
        <v>Barroth</v>
      </c>
      <c r="D93" s="57" t="s">
        <v>22</v>
      </c>
      <c r="E93" s="62" t="str">
        <f t="shared" si="3"/>
        <v>BarrothExhaust</v>
      </c>
      <c r="F93" s="36" t="s">
        <v>8</v>
      </c>
      <c r="G93" s="36" t="str">
        <f t="shared" si="4"/>
        <v>BarrothExhaust lvl 2</v>
      </c>
      <c r="H93" s="36" t="str">
        <f>IFERROR(ROUNDUP(IF(AND($Q$1=FALSE,$S$3=FALSE),"-",IF(AND($Q$1=TRUE,$S$3=TRUE),"-",IF(AND($Q$1=TRUE,$S$1=TRUE,$S$4=FALSE),VLOOKUP($E93,'Status Thresholds'!$E:$AS,12,FALSE),IF(AND($Q$1=TRUE,$S$4=FALSE),VLOOKUP($E93,'Status Thresholds'!$E:$AS,2,FALSE), IF(AND($Q$1=TRUE,$S$1=TRUE,$S$4=TRUE),VLOOKUP($E93,'Status Thresholds'!$E:$AS,17,FALSE),IF(AND($Q$1=TRUE,$S$4=TRUE),VLOOKUP($E93,'Status Thresholds'!$E:$AS,7,FALSE),IF(AND($S$3=TRUE,$S$1=TRUE,$S$4=FALSE),VLOOKUP($E93,'Status Thresholds'!$E:$AS,32,FALSE),IF(AND($S$3=TRUE,$S$4=FALSE),VLOOKUP($E93,'Status Thresholds'!$E:$AS,22,FALSE),IF(AND($S$3=TRUE,$S$1=TRUE,$S$4=TRUE),VLOOKUP($E93,'Status Thresholds'!$E:$AS,37,FALSE),IF(AND($S$3=TRUE,$S$4=TRUE),VLOOKUP($E93,'Status Thresholds'!$E:$AS,27,FALSE),""))))))))/IF(OR($Q$3=TRUE,AND($Q$2=TRUE,$Q$7=TRUE),AND($Q$3=TRUE,$Q$7=TRUE))=TRUE,'Shots and Status'!$F$5,IF((OR($Q$2,$Q$7)=TRUE),'Shots and Status'!$D$5,'Shots and Status'!$C$5)))),0),"-")</f>
        <v>-</v>
      </c>
      <c r="I93" s="36" t="str">
        <f>IFERROR(ROUNDUP(IF(AND($Q$1=FALSE,$S$3=FALSE),"-",IF(AND($Q$1=TRUE,$S$3=TRUE),"-",IF(AND($Q$1=TRUE,$S$1=TRUE,$S$4=FALSE),VLOOKUP($E93,'Status Thresholds'!$E:$AS,13,FALSE),IF(AND($Q$1=TRUE,$S$4=FALSE),VLOOKUP($E93,'Status Thresholds'!$E:$AS,3,FALSE), IF(AND($Q$1=TRUE,$S$1=TRUE,$S$4=TRUE),VLOOKUP($E93,'Status Thresholds'!$E:$AS,18,FALSE),IF(AND($Q$1=TRUE,$S$4=TRUE),VLOOKUP($E93,'Status Thresholds'!$E:$AS,8,FALSE),IF(AND($S$3=TRUE,$S$1=TRUE,$S$4=FALSE),VLOOKUP($E93,'Status Thresholds'!$E:$AS,33,FALSE),IF(AND($S$3=TRUE,$S$4=FALSE),VLOOKUP($E93,'Status Thresholds'!$E:$AS,23,FALSE),IF(AND($S$3=TRUE,$S$1=TRUE,$S$4=TRUE),VLOOKUP($E93,'Status Thresholds'!$E:$AS,38,FALSE),IF(AND($S$3=TRUE,$S$4=TRUE),VLOOKUP($E93,'Status Thresholds'!$E:$AS,28,FALSE),""))))))))/IF(OR($Q$3=TRUE,AND($Q$2=TRUE,$Q$7=TRUE),AND($Q$3=TRUE,$Q$7=TRUE))=TRUE,'Shots and Status'!$F$5,IF((OR($Q$2,$Q$7)=TRUE),'Shots and Status'!$D$5,'Shots and Status'!$C$5)))),0),"-")</f>
        <v>-</v>
      </c>
      <c r="J93" s="36" t="str">
        <f>IFERROR(ROUNDUP(IF(AND($Q$1=FALSE,$S$3=FALSE),"-",IF(AND($Q$1=TRUE,$S$3=TRUE),"-",IF(AND($Q$1=TRUE,$S$1=TRUE,$S$4=FALSE),VLOOKUP($E93,'Status Thresholds'!$E:$AS,14,FALSE),IF(AND($Q$1=TRUE,$S$4=FALSE),VLOOKUP($E93,'Status Thresholds'!$E:$AS,4,FALSE), IF(AND($Q$1=TRUE,$S$1=TRUE,$S$4=TRUE),VLOOKUP($E93,'Status Thresholds'!$E:$AS,19,FALSE),IF(AND($Q$1=TRUE,$S$4=TRUE),VLOOKUP($E93,'Status Thresholds'!$E:$AS,9,FALSE),IF(AND($S$3=TRUE,$S$1=TRUE,$S$4=FALSE),VLOOKUP($E93,'Status Thresholds'!$E:$AS,34,FALSE),IF(AND($S$3=TRUE,$S$4=FALSE),VLOOKUP($E93,'Status Thresholds'!$E:$AS,24,FALSE),IF(AND($S$3=TRUE,$S$1=TRUE,$S$4=TRUE),VLOOKUP($E93,'Status Thresholds'!$E:$AS,39,FALSE),IF(AND($S$3=TRUE,$S$4=TRUE),VLOOKUP($E93,'Status Thresholds'!$E:$AS,29,FALSE),""))))))))/IF(OR($Q$3=TRUE,AND($Q$2=TRUE,$Q$7=TRUE),AND($Q$3=TRUE,$Q$7=TRUE))=TRUE,'Shots and Status'!$F$5,IF((OR($Q$2,$Q$7)=TRUE),'Shots and Status'!$D$5,'Shots and Status'!$C$5)))),0),"-")</f>
        <v>-</v>
      </c>
      <c r="K93" s="36" t="str">
        <f>IFERROR(ROUNDUP(IF(AND($Q$1=FALSE,$S$3=FALSE),"-",IF(AND($Q$1=TRUE,$S$3=TRUE),"-",IF(AND($Q$1=TRUE,$S$1=TRUE,$S$4=FALSE),VLOOKUP($E93,'Status Thresholds'!$E:$AS,15,FALSE),IF(AND($Q$1=TRUE,$S$4=FALSE),VLOOKUP($E93,'Status Thresholds'!$E:$AS,5,FALSE), IF(AND($Q$1=TRUE,$S$1=TRUE,$S$4=TRUE),VLOOKUP($E93,'Status Thresholds'!$E:$AS,20,FALSE),IF(AND($Q$1=TRUE,$S$4=TRUE),VLOOKUP($E93,'Status Thresholds'!$E:$AS,10,FALSE),IF(AND($S$3=TRUE,$S$1=TRUE,$S$4=FALSE),VLOOKUP($E93,'Status Thresholds'!$E:$AS,35,FALSE),IF(AND($S$3=TRUE,$S$4=FALSE),VLOOKUP($E93,'Status Thresholds'!$E:$AS,25,FALSE),IF(AND($S$3=TRUE,$S$1=TRUE,$S$4=TRUE),VLOOKUP($E93,'Status Thresholds'!$E:$AS,40,FALSE),IF(AND($S$3=TRUE,$S$4=TRUE),VLOOKUP($E93,'Status Thresholds'!$E:$AS,30,FALSE),""))))))))/IF(OR($Q$3=TRUE,AND($Q$2=TRUE,$Q$7=TRUE),AND($Q$3=TRUE,$Q$7=TRUE))=TRUE,'Shots and Status'!$F$5,IF((OR($Q$2,$Q$7)=TRUE),'Shots and Status'!$D$5,'Shots and Status'!$C$5)))),0),"-")</f>
        <v>-</v>
      </c>
      <c r="L93" s="36" t="str">
        <f>IFERROR(IF(AND($Q$1=FALSE,$S$3=FALSE),"-",VLOOKUP($E93,'Status Thresholds'!$E:$AU,41,FALSE)),"-")</f>
        <v>-</v>
      </c>
      <c r="M93" s="36" t="str">
        <f>IFERROR(IF(AND($Q$1=FALSE,$S$3=FALSE),"-",VLOOKUP($E93,'Status Thresholds'!$E:$AU,42,FALSE)),"-")</f>
        <v>-</v>
      </c>
      <c r="N93" s="36" t="str">
        <f>IFERROR(IF(AND($Q$1=FALSE,$S$3=FALSE),"-",VLOOKUP($E93,'Status Thresholds'!$E:$AU,43,FALSE)),"-")</f>
        <v>-</v>
      </c>
    </row>
    <row r="94" spans="1:14" s="36" customFormat="1" x14ac:dyDescent="0.25">
      <c r="A94" s="46"/>
      <c r="B94" s="64" t="str">
        <f>VLOOKUP(C94,'Status Thresholds'!B:C,2,FALSE)</f>
        <v>MHGU</v>
      </c>
      <c r="C94" s="46" t="str">
        <f>IF(ISBLANK('KO Calc'!C90)=TRUE,"",'KO Calc'!C90)</f>
        <v>Barroth</v>
      </c>
      <c r="D94" s="67" t="s">
        <v>14</v>
      </c>
      <c r="E94" s="62" t="str">
        <f t="shared" si="3"/>
        <v>BarrothKO</v>
      </c>
      <c r="F94" s="36" t="s">
        <v>21</v>
      </c>
      <c r="G94" s="36" t="str">
        <f t="shared" si="4"/>
        <v>BarrothTriblast</v>
      </c>
      <c r="H94" s="36" t="str">
        <f>IF(AND($Q$1=FALSE,$S$3=FALSE),"-",IF(AND($Q$1=TRUE,$S$3=TRUE),"-",IF(AND($Q$1=FALSE,$S$3=FALSE),"-",IF(AND($Q$1=TRUE,$S$1=TRUE,$S$4=FALSE)=TRUE,IF(OR($Q$4=TRUE,$Q$5=TRUE,$S$2=TRUE),VLOOKUP($G94,'KO Calc'!$H:$AW,12,FALSE),VLOOKUP($G94,'KO Calc'!$H91:$AW91,12,FALSE)),IF(AND($Q$1=TRUE,$S$4=FALSE),IF(OR($Q$4=TRUE,$Q$5=TRUE,$S$2=TRUE),VLOOKUP($G94,'KO Calc'!$H:$AW,2,FALSE),VLOOKUP($G94,'KO Calc'!$H91:$AW91,2,FALSE)),
IF(AND($Q$1=TRUE,$S$1=TRUE,$S$4=TRUE)=TRUE,IF(OR($Q$4=TRUE,$Q$5=TRUE,$S$2=TRUE),VLOOKUP($G94,'KO Calc'!$H:$AW,17,FALSE),VLOOKUP($G94,'KO Calc'!$H91:$AW91,17,FALSE)),IF(AND($Q$1=TRUE,$S$4=TRUE),IF(OR($Q$4=TRUE,$Q$5=TRUE,$S$2=TRUE),VLOOKUP($G94,'KO Calc'!$H:$AW,7,FALSE),VLOOKUP($G94,'KO Calc'!$H91:$AW91,7,FALSE)),
IF(AND($S$3=TRUE,$S$1=TRUE,$S$4=FALSE)=TRUE,IF(OR($Q$4=TRUE,$Q$5=TRUE,$S$2=TRUE),VLOOKUP($G94,'KO Calc'!$H:$AW,32,FALSE),VLOOKUP($G94,'KO Calc'!$H91:$AW91,32,FALSE)),IF(AND($S$3=TRUE,$S$4=FALSE),IF(OR($Q$4=TRUE,$Q$5=TRUE,$S$2=TRUE),VLOOKUP($G94,'KO Calc'!$H:$AW,22,FALSE),VLOOKUP($G94,'KO Calc'!$H91:$AW91,22,FALSE)),
IF(AND($S$3=TRUE,$S$1=TRUE,$S$4=TRUE)=TRUE,IF(OR($Q$4=TRUE,$Q$5=TRUE,$S$2=TRUE),VLOOKUP($G94,'KO Calc'!$H:$AW,37,FALSE),VLOOKUP($G94,'KO Calc'!$H91:$AW91,37,FALSE)),IF(AND($S$3=TRUE,$S$4=TRUE),IF(OR($Q$4=TRUE,$Q$5=TRUE,$S$2=TRUE),VLOOKUP($G94,'KO Calc'!$H:$AW,27,FALSE),VLOOKUP($G94,'KO Calc'!$H91:$AW91,27,FALSE)))))))))))))</f>
        <v>-</v>
      </c>
      <c r="I94" s="36" t="str">
        <f>IF(AND($Q$1=FALSE,$S$3=FALSE),"-",IF(AND($Q$1=TRUE,$S$3=TRUE),"-",IF(AND($Q$1=FALSE,$S$3=FALSE),"-",IF(AND($Q$1=TRUE,$S$1=TRUE,$S$4=FALSE)=TRUE,IF(OR($Q$4=TRUE,$Q$5=TRUE,$S$2=TRUE),VLOOKUP($G94,'KO Calc'!$H:$AW,13,FALSE),VLOOKUP($G94,'KO Calc'!$H91:$AW91,13,FALSE)),IF(AND($Q$1=TRUE,$S$4=FALSE),IF(OR($Q$4=TRUE,$Q$5=TRUE,$S$2=TRUE),VLOOKUP($G94,'KO Calc'!$H:$AW,3,FALSE),VLOOKUP($G94,'KO Calc'!$H91:$AW91,3,FALSE)),
IF(AND($Q$1=TRUE,$S$1=TRUE,$S$4=TRUE)=TRUE,IF(OR($Q$4=TRUE,$Q$5=TRUE,$S$2=TRUE),VLOOKUP($G94,'KO Calc'!$H:$AW,18,FALSE),VLOOKUP($G94,'KO Calc'!$H91:$AW91,18,FALSE)),IF(AND($Q$1=TRUE,$S$4=TRUE),IF(OR($Q$4=TRUE,$Q$5=TRUE,$S$2=TRUE),VLOOKUP($G94,'KO Calc'!$H:$AW,8,FALSE),VLOOKUP($G94,'KO Calc'!$H91:$AW91,8,FALSE)),
IF(AND($S$3=TRUE,$S$1=TRUE,$S$4=FALSE)=TRUE,IF(OR($Q$4=TRUE,$Q$5=TRUE,$S$2=TRUE),VLOOKUP($G94,'KO Calc'!$H:$AW,33,FALSE),VLOOKUP($G94,'KO Calc'!$H91:$AW91,33,FALSE)),IF(AND($S$3=TRUE,$S$4=FALSE),IF(OR($Q$4=TRUE,$Q$5=TRUE,$S$2=TRUE),VLOOKUP($G94,'KO Calc'!$H:$AW,23,FALSE),VLOOKUP($G94,'KO Calc'!$H91:$AW91,23,FALSE)),
IF(AND($S$3=TRUE,$S$1=TRUE,$S$4=TRUE)=TRUE,IF(OR($Q$4=TRUE,$Q$5=TRUE,$S$2=TRUE),VLOOKUP($G94,'KO Calc'!$H:$AW,38,FALSE),VLOOKUP($G94,'KO Calc'!$H91:$AW91,38,FALSE)),IF(AND($S$3=TRUE,$S$4=TRUE),IF(OR($Q$4=TRUE,$Q$5=TRUE,$S$2=TRUE),VLOOKUP($G94,'KO Calc'!$H:$AW,28,FALSE),VLOOKUP($G94,'KO Calc'!$H91:$AW91,28,FALSE)))))))))))))</f>
        <v>-</v>
      </c>
      <c r="J94" s="36" t="str">
        <f>IF(AND($Q$1=FALSE,$S$3=FALSE),"-",IF(AND($Q$1=TRUE,$S$3=TRUE),"-",IF(AND($Q$1=FALSE,$S$3=FALSE),"-",IF(AND($Q$1=TRUE,$S$1=TRUE,$S$4=FALSE)=TRUE,IF(OR($Q$4=TRUE,$Q$5=TRUE,$S$2=TRUE),VLOOKUP($G94,'KO Calc'!$H:$AW,FALSE),VLOOKUP($G94,'KO Calc'!$H91:$AW91,14,FALSE)),IF(AND($Q$1=TRUE,$S$4=FALSE),IF(OR($Q$4=TRUE,$Q$5=TRUE,$S$2=TRUE),VLOOKUP($G94,'KO Calc'!$H:$AW,4,FALSE),VLOOKUP($G94,'KO Calc'!$H91:$AW91,4,FALSE)),
IF(AND($Q$1=TRUE,$S$1=TRUE,$S$4=TRUE)=TRUE,IF(OR($Q$4=TRUE,$Q$5=TRUE,$S$2=TRUE),VLOOKUP($G94,'KO Calc'!$H:$AW,19,FALSE),VLOOKUP($G94,'KO Calc'!$H91:$AW91,19,FALSE)),IF(AND($Q$1=TRUE,$S$4=TRUE),IF(OR($Q$4=TRUE,$Q$5=TRUE,$S$2=TRUE),VLOOKUP($G94,'KO Calc'!$H:$AW,9,FALSE),VLOOKUP($G94,'KO Calc'!$H91:$AW91,9,FALSE)),
IF(AND($S$3=TRUE,$S$1=TRUE,$S$4=FALSE)=TRUE,IF(OR($Q$4=TRUE,$Q$5=TRUE,$S$2=TRUE),VLOOKUP($G94,'KO Calc'!$H:$AW,34,FALSE),VLOOKUP($G94,'KO Calc'!$H91:$AW91,34,FALSE)),IF(AND($S$3=TRUE,$S$4=FALSE),IF(OR($Q$4=TRUE,$Q$5=TRUE,$S$2=TRUE),VLOOKUP($G94,'KO Calc'!$H:$AW,24,FALSE),VLOOKUP($G94,'KO Calc'!$H91:$AW91,24,FALSE)),
IF(AND($S$3=TRUE,$S$1=TRUE,$S$4=TRUE)=TRUE,IF(OR($Q$4=TRUE,$Q$5=TRUE,$S$2=TRUE),VLOOKUP($G94,'KO Calc'!$H:$AW,39,FALSE),VLOOKUP($G94,'KO Calc'!$H91:$AW91,39,FALSE)),IF(AND($S$3=TRUE,$S$4=TRUE),IF(OR($Q$4=TRUE,$Q$5=TRUE,$S$2=TRUE),VLOOKUP($G94,'KO Calc'!$H:$AW,29,FALSE),VLOOKUP($G94,'KO Calc'!$H91:$AW91,29,FALSE)))))))))))))</f>
        <v>-</v>
      </c>
      <c r="K94" s="36" t="str">
        <f>IF(AND($Q$1=FALSE,$S$3=FALSE),"-",IF(AND($Q$1=TRUE,$S$3=TRUE),"-",IF(AND($Q$1=FALSE,$S$3=FALSE),"-",IF(AND($Q$1=TRUE,$S$1=TRUE,$S$4=FALSE)=TRUE,IF(OR($Q$4=TRUE,$Q$5=TRUE,$S$2=TRUE),VLOOKUP($G94,'KO Calc'!$H:$AW,15,FALSE),VLOOKUP($G94,'KO Calc'!$H91:$AW91,15,FALSE)),IF(AND($Q$1=TRUE,$S$4=FALSE),IF(OR($Q$4=TRUE,$Q$5=TRUE,$S$2=TRUE),VLOOKUP($G94,'KO Calc'!$H:$AW,5,FALSE),VLOOKUP($G94,'KO Calc'!$H91:$AW91,5,FALSE)),
IF(AND($Q$1=TRUE,$S$1=TRUE,$S$4=TRUE)=TRUE,IF(OR($Q$4=TRUE,$Q$5=TRUE,$S$2=TRUE),VLOOKUP($G94,'KO Calc'!$H:$AW,20,FALSE),VLOOKUP($G94,'KO Calc'!$H91:$AW91,20,FALSE)),IF(AND($Q$1=TRUE,$S$4=TRUE),IF(OR($Q$4=TRUE,$Q$5=TRUE,$S$2=TRUE),VLOOKUP($G94,'KO Calc'!$H:$AW,10,FALSE),VLOOKUP($G94,'KO Calc'!$H91:$AW91,10,FALSE)),
IF(AND($S$3=TRUE,$S$1=TRUE,$S$4=FALSE)=TRUE,IF(OR($Q$4=TRUE,$Q$5=TRUE,$S$2=TRUE),VLOOKUP($G94,'KO Calc'!$H:$AW,35,FALSE),VLOOKUP($G94,'KO Calc'!$H91:$AW91,35,FALSE)),IF(AND($S$3=TRUE,$S$4=FALSE),IF(OR($Q$4=TRUE,$Q$5=TRUE,$S$2=TRUE),VLOOKUP($G94,'KO Calc'!$H:$AW,25,FALSE),VLOOKUP($G94,'KO Calc'!$H91:$AW91,25,FALSE)),
IF(AND($S$3=TRUE,$S$1=TRUE,$S$4=TRUE)=TRUE,IF(OR($Q$4=TRUE,$Q$5=TRUE,$S$2=TRUE),VLOOKUP($G94,'KO Calc'!$H:$AW,40,FALSE),VLOOKUP($G94,'KO Calc'!$H91:$AW91,40,FALSE)),IF(AND($S$3=TRUE,$S$4=TRUE),IF(OR($Q$4=TRUE,$Q$5=TRUE,$S$2=TRUE),VLOOKUP($G94,'KO Calc'!$H:$AW,30,FALSE),VLOOKUP($G94,'KO Calc'!$H91:$AW91,30,FALSE)))))))))))))</f>
        <v>-</v>
      </c>
      <c r="L94" s="36" t="str">
        <f>IFERROR(IF(AND($Q$1=FALSE,$S$3=FALSE),"-",VLOOKUP($E94,'Status Thresholds'!$E:$AU,41,FALSE)),"-")</f>
        <v>-</v>
      </c>
      <c r="M94" s="36" t="str">
        <f>IFERROR(IF(AND($Q$1=FALSE,$S$3=FALSE),"-",VLOOKUP($E94,'Status Thresholds'!$E:$AU,42,FALSE)),"-")</f>
        <v>-</v>
      </c>
      <c r="N94" s="36" t="str">
        <f>IFERROR(IF(AND($Q$1=FALSE,$S$3=FALSE),"-",VLOOKUP($E94,'Status Thresholds'!$E:$AU,43,FALSE)),"-")</f>
        <v>-</v>
      </c>
    </row>
    <row r="95" spans="1:14" x14ac:dyDescent="0.25">
      <c r="B95" s="64" t="str">
        <f>VLOOKUP(C95,'Status Thresholds'!B:C,2,FALSE)</f>
        <v>MHGU</v>
      </c>
      <c r="C95" s="46" t="str">
        <f>IF(ISBLANK('KO Calc'!C91)=TRUE,"",'KO Calc'!C91)</f>
        <v>Barroth</v>
      </c>
      <c r="D95" s="78" t="s">
        <v>207</v>
      </c>
      <c r="E95" s="62" t="str">
        <f t="shared" si="3"/>
        <v>BarrothShock Trap</v>
      </c>
      <c r="F95" t="s">
        <v>13</v>
      </c>
      <c r="G95" s="36" t="str">
        <f t="shared" si="4"/>
        <v>BarrothCrag 3</v>
      </c>
      <c r="H95" s="36" t="str">
        <f>IF(AND($Q$1=FALSE,$S$3=FALSE),"-",IF(AND($Q$1=TRUE,$S$3=TRUE),"-",IF(AND($Q$1=FALSE,$S$3=FALSE),"-",IF(AND($Q$1=TRUE,$S$1=TRUE,$S$4=FALSE)=TRUE,IF(OR($Q$4=TRUE,$Q$5=TRUE,$S$2=TRUE),VLOOKUP($G95,'KO Calc'!$H:$AW,12,FALSE),VLOOKUP($G95,'KO Calc'!$H92:$AW92,12,FALSE)),IF(AND($Q$1=TRUE,$S$4=FALSE),IF(OR($Q$4=TRUE,$Q$5=TRUE,$S$2=TRUE),VLOOKUP($G95,'KO Calc'!$H:$AW,2,FALSE),VLOOKUP($G95,'KO Calc'!$H92:$AW92,2,FALSE)),
IF(AND($Q$1=TRUE,$S$1=TRUE,$S$4=TRUE)=TRUE,IF(OR($Q$4=TRUE,$Q$5=TRUE,$S$2=TRUE),VLOOKUP($G95,'KO Calc'!$H:$AW,17,FALSE),VLOOKUP($G95,'KO Calc'!$H92:$AW92,17,FALSE)),IF(AND($Q$1=TRUE,$S$4=TRUE),IF(OR($Q$4=TRUE,$Q$5=TRUE,$S$2=TRUE),VLOOKUP($G95,'KO Calc'!$H:$AW,7,FALSE),VLOOKUP($G95,'KO Calc'!$H92:$AW92,7,FALSE)),
IF(AND($S$3=TRUE,$S$1=TRUE,$S$4=FALSE)=TRUE,IF(OR($Q$4=TRUE,$Q$5=TRUE,$S$2=TRUE),VLOOKUP($G95,'KO Calc'!$H:$AW,32,FALSE),VLOOKUP($G95,'KO Calc'!$H92:$AW92,32,FALSE)),IF(AND($S$3=TRUE,$S$4=FALSE),IF(OR($Q$4=TRUE,$Q$5=TRUE,$S$2=TRUE),VLOOKUP($G95,'KO Calc'!$H:$AW,22,FALSE),VLOOKUP($G95,'KO Calc'!$H92:$AW92,22,FALSE)),
IF(AND($S$3=TRUE,$S$1=TRUE,$S$4=TRUE)=TRUE,IF(OR($Q$4=TRUE,$Q$5=TRUE,$S$2=TRUE),VLOOKUP($G95,'KO Calc'!$H:$AW,37,FALSE),VLOOKUP($G95,'KO Calc'!$H92:$AW92,37,FALSE)),IF(AND($S$3=TRUE,$S$4=TRUE),IF(OR($Q$4=TRUE,$Q$5=TRUE,$S$2=TRUE),VLOOKUP($G95,'KO Calc'!$H:$AW,27,FALSE),VLOOKUP($G95,'KO Calc'!$H92:$AW92,27,FALSE)))))))))))))</f>
        <v>-</v>
      </c>
      <c r="I95" s="36" t="str">
        <f>IF(AND($Q$1=FALSE,$S$3=FALSE),"-",IF(AND($Q$1=TRUE,$S$3=TRUE),"-",IF(AND($Q$1=FALSE,$S$3=FALSE),"-",IF(AND($Q$1=TRUE,$S$1=TRUE,$S$4=FALSE)=TRUE,IF(OR($Q$4=TRUE,$Q$5=TRUE,$S$2=TRUE),VLOOKUP($G95,'KO Calc'!$H:$AW,13,FALSE),VLOOKUP($G95,'KO Calc'!$H92:$AW92,13,FALSE)),IF(AND($Q$1=TRUE,$S$4=FALSE),IF(OR($Q$4=TRUE,$Q$5=TRUE,$S$2=TRUE),VLOOKUP($G95,'KO Calc'!$H:$AW,3,FALSE),VLOOKUP($G95,'KO Calc'!$H92:$AW92,3,FALSE)),
IF(AND($Q$1=TRUE,$S$1=TRUE,$S$4=TRUE)=TRUE,IF(OR($Q$4=TRUE,$Q$5=TRUE,$S$2=TRUE),VLOOKUP($G95,'KO Calc'!$H:$AW,18,FALSE),VLOOKUP($G95,'KO Calc'!$H92:$AW92,18,FALSE)),IF(AND($Q$1=TRUE,$S$4=TRUE),IF(OR($Q$4=TRUE,$Q$5=TRUE,$S$2=TRUE),VLOOKUP($G95,'KO Calc'!$H:$AW,8,FALSE),VLOOKUP($G95,'KO Calc'!$H92:$AW92,8,FALSE)),
IF(AND($S$3=TRUE,$S$1=TRUE,$S$4=FALSE)=TRUE,IF(OR($Q$4=TRUE,$Q$5=TRUE,$S$2=TRUE),VLOOKUP($G95,'KO Calc'!$H:$AW,33,FALSE),VLOOKUP($G95,'KO Calc'!$H92:$AW92,33,FALSE)),IF(AND($S$3=TRUE,$S$4=FALSE),IF(OR($Q$4=TRUE,$Q$5=TRUE,$S$2=TRUE),VLOOKUP($G95,'KO Calc'!$H:$AW,23,FALSE),VLOOKUP($G95,'KO Calc'!$H92:$AW92,23,FALSE)),
IF(AND($S$3=TRUE,$S$1=TRUE,$S$4=TRUE)=TRUE,IF(OR($Q$4=TRUE,$Q$5=TRUE,$S$2=TRUE),VLOOKUP($G95,'KO Calc'!$H:$AW,38,FALSE),VLOOKUP($G95,'KO Calc'!$H92:$AW92,38,FALSE)),IF(AND($S$3=TRUE,$S$4=TRUE),IF(OR($Q$4=TRUE,$Q$5=TRUE,$S$2=TRUE),VLOOKUP($G95,'KO Calc'!$H:$AW,28,FALSE),VLOOKUP($G95,'KO Calc'!$H92:$AW92,28,FALSE)))))))))))))</f>
        <v>-</v>
      </c>
      <c r="J95" s="36" t="str">
        <f>IF(AND($Q$1=FALSE,$S$3=FALSE),"-",IF(AND($Q$1=TRUE,$S$3=TRUE),"-",IF(AND($Q$1=FALSE,$S$3=FALSE),"-",IF(AND($Q$1=TRUE,$S$1=TRUE,$S$4=FALSE)=TRUE,IF(OR($Q$4=TRUE,$Q$5=TRUE,$S$2=TRUE),VLOOKUP($G95,'KO Calc'!$H:$AW,FALSE),VLOOKUP($G95,'KO Calc'!$H92:$AW92,14,FALSE)),IF(AND($Q$1=TRUE,$S$4=FALSE),IF(OR($Q$4=TRUE,$Q$5=TRUE,$S$2=TRUE),VLOOKUP($G95,'KO Calc'!$H:$AW,4,FALSE),VLOOKUP($G95,'KO Calc'!$H92:$AW92,4,FALSE)),
IF(AND($Q$1=TRUE,$S$1=TRUE,$S$4=TRUE)=TRUE,IF(OR($Q$4=TRUE,$Q$5=TRUE,$S$2=TRUE),VLOOKUP($G95,'KO Calc'!$H:$AW,19,FALSE),VLOOKUP($G95,'KO Calc'!$H92:$AW92,19,FALSE)),IF(AND($Q$1=TRUE,$S$4=TRUE),IF(OR($Q$4=TRUE,$Q$5=TRUE,$S$2=TRUE),VLOOKUP($G95,'KO Calc'!$H:$AW,9,FALSE),VLOOKUP($G95,'KO Calc'!$H92:$AW92,9,FALSE)),
IF(AND($S$3=TRUE,$S$1=TRUE,$S$4=FALSE)=TRUE,IF(OR($Q$4=TRUE,$Q$5=TRUE,$S$2=TRUE),VLOOKUP($G95,'KO Calc'!$H:$AW,34,FALSE),VLOOKUP($G95,'KO Calc'!$H92:$AW92,34,FALSE)),IF(AND($S$3=TRUE,$S$4=FALSE),IF(OR($Q$4=TRUE,$Q$5=TRUE,$S$2=TRUE),VLOOKUP($G95,'KO Calc'!$H:$AW,24,FALSE),VLOOKUP($G95,'KO Calc'!$H92:$AW92,24,FALSE)),
IF(AND($S$3=TRUE,$S$1=TRUE,$S$4=TRUE)=TRUE,IF(OR($Q$4=TRUE,$Q$5=TRUE,$S$2=TRUE),VLOOKUP($G95,'KO Calc'!$H:$AW,39,FALSE),VLOOKUP($G95,'KO Calc'!$H92:$AW92,39,FALSE)),IF(AND($S$3=TRUE,$S$4=TRUE),IF(OR($Q$4=TRUE,$Q$5=TRUE,$S$2=TRUE),VLOOKUP($G95,'KO Calc'!$H:$AW,29,FALSE),VLOOKUP($G95,'KO Calc'!$H92:$AW92,29,FALSE)))))))))))))</f>
        <v>-</v>
      </c>
      <c r="K95" s="36" t="str">
        <f>IF(AND($Q$1=FALSE,$S$3=FALSE),"-",IF(AND($Q$1=TRUE,$S$3=TRUE),"-",IF(AND($Q$1=FALSE,$S$3=FALSE),"-",IF(AND($Q$1=TRUE,$S$1=TRUE,$S$4=FALSE)=TRUE,IF(OR($Q$4=TRUE,$Q$5=TRUE,$S$2=TRUE),VLOOKUP($G95,'KO Calc'!$H:$AW,15,FALSE),VLOOKUP($G95,'KO Calc'!$H92:$AW92,15,FALSE)),IF(AND($Q$1=TRUE,$S$4=FALSE),IF(OR($Q$4=TRUE,$Q$5=TRUE,$S$2=TRUE),VLOOKUP($G95,'KO Calc'!$H:$AW,5,FALSE),VLOOKUP($G95,'KO Calc'!$H92:$AW92,5,FALSE)),
IF(AND($Q$1=TRUE,$S$1=TRUE,$S$4=TRUE)=TRUE,IF(OR($Q$4=TRUE,$Q$5=TRUE,$S$2=TRUE),VLOOKUP($G95,'KO Calc'!$H:$AW,20,FALSE),VLOOKUP($G95,'KO Calc'!$H92:$AW92,20,FALSE)),IF(AND($Q$1=TRUE,$S$4=TRUE),IF(OR($Q$4=TRUE,$Q$5=TRUE,$S$2=TRUE),VLOOKUP($G95,'KO Calc'!$H:$AW,10,FALSE),VLOOKUP($G95,'KO Calc'!$H92:$AW92,10,FALSE)),
IF(AND($S$3=TRUE,$S$1=TRUE,$S$4=FALSE)=TRUE,IF(OR($Q$4=TRUE,$Q$5=TRUE,$S$2=TRUE),VLOOKUP($G95,'KO Calc'!$H:$AW,35,FALSE),VLOOKUP($G95,'KO Calc'!$H92:$AW92,35,FALSE)),IF(AND($S$3=TRUE,$S$4=FALSE),IF(OR($Q$4=TRUE,$Q$5=TRUE,$S$2=TRUE),VLOOKUP($G95,'KO Calc'!$H:$AW,25,FALSE),VLOOKUP($G95,'KO Calc'!$H92:$AW92,25,FALSE)),
IF(AND($S$3=TRUE,$S$1=TRUE,$S$4=TRUE)=TRUE,IF(OR($Q$4=TRUE,$Q$5=TRUE,$S$2=TRUE),VLOOKUP($G95,'KO Calc'!$H:$AW,40,FALSE),VLOOKUP($G95,'KO Calc'!$H92:$AW92,40,FALSE)),IF(AND($S$3=TRUE,$S$4=TRUE),IF(OR($Q$4=TRUE,$Q$5=TRUE,$S$2=TRUE),VLOOKUP($G95,'KO Calc'!$H:$AW,30,FALSE),VLOOKUP($G95,'KO Calc'!$H92:$AW92,30,FALSE)))))))))))))</f>
        <v>-</v>
      </c>
      <c r="L95" s="36" t="str">
        <f>IFERROR(IF(AND($Q$1=FALSE,$S$3=FALSE),"-",VLOOKUP($E95,'Status Thresholds'!$E:$AU,43,FALSE)),"-")</f>
        <v>-</v>
      </c>
      <c r="M95" s="36" t="str">
        <f>IFERROR(IF(AND($Q$1=FALSE,$S$3=FALSE),"-",VLOOKUP($E95,'Status Thresholds'!$E:$AU,41,FALSE)),"-")</f>
        <v>-</v>
      </c>
      <c r="N95" s="36" t="str">
        <f>IFERROR(IF(AND($Q$1=FALSE,$S$3=FALSE),"-",VLOOKUP($E95,'Status Thresholds'!$E:$AU,42,FALSE)),"-")</f>
        <v>-</v>
      </c>
    </row>
    <row r="96" spans="1:14" x14ac:dyDescent="0.25">
      <c r="B96" s="64" t="str">
        <f>VLOOKUP(C96,'Status Thresholds'!B:C,2,FALSE)</f>
        <v>MHGU</v>
      </c>
      <c r="C96" s="46" t="str">
        <f>IF(ISBLANK('KO Calc'!C92)=TRUE,"",'KO Calc'!C92)</f>
        <v>Barroth</v>
      </c>
      <c r="D96" s="78" t="s">
        <v>213</v>
      </c>
      <c r="E96" s="62" t="str">
        <f t="shared" si="3"/>
        <v>BarrothPitfall Trap</v>
      </c>
      <c r="F96" t="s">
        <v>12</v>
      </c>
      <c r="G96" s="36" t="str">
        <f t="shared" si="4"/>
        <v>BarrothCrag 2</v>
      </c>
      <c r="H96" s="36" t="str">
        <f>IF(AND($Q$1=FALSE,$S$3=FALSE),"-",IF(AND($Q$1=TRUE,$S$3=TRUE),"-",IF(AND($Q$1=FALSE,$S$3=FALSE),"-",IF(AND($Q$1=TRUE,$S$1=TRUE,$S$4=FALSE)=TRUE,IF(OR($Q$4=TRUE,$Q$5=TRUE,$S$2=TRUE),VLOOKUP($G96,'KO Calc'!$H:$AW,12,FALSE),VLOOKUP($G96,'KO Calc'!$H93:$AW93,12,FALSE)),IF(AND($Q$1=TRUE,$S$4=FALSE),IF(OR($Q$4=TRUE,$Q$5=TRUE,$S$2=TRUE),VLOOKUP($G96,'KO Calc'!$H:$AW,2,FALSE),VLOOKUP($G96,'KO Calc'!$H93:$AW93,2,FALSE)),
IF(AND($Q$1=TRUE,$S$1=TRUE,$S$4=TRUE)=TRUE,IF(OR($Q$4=TRUE,$Q$5=TRUE,$S$2=TRUE),VLOOKUP($G96,'KO Calc'!$H:$AW,17,FALSE),VLOOKUP($G96,'KO Calc'!$H93:$AW93,17,FALSE)),IF(AND($Q$1=TRUE,$S$4=TRUE),IF(OR($Q$4=TRUE,$Q$5=TRUE,$S$2=TRUE),VLOOKUP($G96,'KO Calc'!$H:$AW,7,FALSE),VLOOKUP($G96,'KO Calc'!$H93:$AW93,7,FALSE)),
IF(AND($S$3=TRUE,$S$1=TRUE,$S$4=FALSE)=TRUE,IF(OR($Q$4=TRUE,$Q$5=TRUE,$S$2=TRUE),VLOOKUP($G96,'KO Calc'!$H:$AW,32,FALSE),VLOOKUP($G96,'KO Calc'!$H93:$AW93,32,FALSE)),IF(AND($S$3=TRUE,$S$4=FALSE),IF(OR($Q$4=TRUE,$Q$5=TRUE,$S$2=TRUE),VLOOKUP($G96,'KO Calc'!$H:$AW,22,FALSE),VLOOKUP($G96,'KO Calc'!$H93:$AW93,22,FALSE)),
IF(AND($S$3=TRUE,$S$1=TRUE,$S$4=TRUE)=TRUE,IF(OR($Q$4=TRUE,$Q$5=TRUE,$S$2=TRUE),VLOOKUP($G96,'KO Calc'!$H:$AW,37,FALSE),VLOOKUP($G96,'KO Calc'!$H93:$AW93,37,FALSE)),IF(AND($S$3=TRUE,$S$4=TRUE),IF(OR($Q$4=TRUE,$Q$5=TRUE,$S$2=TRUE),VLOOKUP($G96,'KO Calc'!$H:$AW,27,FALSE),VLOOKUP($G96,'KO Calc'!$H93:$AW93,27,FALSE)))))))))))))</f>
        <v>-</v>
      </c>
      <c r="I96" s="36" t="str">
        <f>IF(AND($Q$1=FALSE,$S$3=FALSE),"-",IF(AND($Q$1=TRUE,$S$3=TRUE),"-",IF(AND($Q$1=FALSE,$S$3=FALSE),"-",IF(AND($Q$1=TRUE,$S$1=TRUE,$S$4=FALSE)=TRUE,IF(OR($Q$4=TRUE,$Q$5=TRUE,$S$2=TRUE),VLOOKUP($G96,'KO Calc'!$H:$AW,13,FALSE),VLOOKUP($G96,'KO Calc'!$H93:$AW93,13,FALSE)),IF(AND($Q$1=TRUE,$S$4=FALSE),IF(OR($Q$4=TRUE,$Q$5=TRUE,$S$2=TRUE),VLOOKUP($G96,'KO Calc'!$H:$AW,3,FALSE),VLOOKUP($G96,'KO Calc'!$H93:$AW93,3,FALSE)),
IF(AND($Q$1=TRUE,$S$1=TRUE,$S$4=TRUE)=TRUE,IF(OR($Q$4=TRUE,$Q$5=TRUE,$S$2=TRUE),VLOOKUP($G96,'KO Calc'!$H:$AW,18,FALSE),VLOOKUP($G96,'KO Calc'!$H93:$AW93,18,FALSE)),IF(AND($Q$1=TRUE,$S$4=TRUE),IF(OR($Q$4=TRUE,$Q$5=TRUE,$S$2=TRUE),VLOOKUP($G96,'KO Calc'!$H:$AW,8,FALSE),VLOOKUP($G96,'KO Calc'!$H93:$AW93,8,FALSE)),
IF(AND($S$3=TRUE,$S$1=TRUE,$S$4=FALSE)=TRUE,IF(OR($Q$4=TRUE,$Q$5=TRUE,$S$2=TRUE),VLOOKUP($G96,'KO Calc'!$H:$AW,33,FALSE),VLOOKUP($G96,'KO Calc'!$H93:$AW93,33,FALSE)),IF(AND($S$3=TRUE,$S$4=FALSE),IF(OR($Q$4=TRUE,$Q$5=TRUE,$S$2=TRUE),VLOOKUP($G96,'KO Calc'!$H:$AW,23,FALSE),VLOOKUP($G96,'KO Calc'!$H93:$AW93,23,FALSE)),
IF(AND($S$3=TRUE,$S$1=TRUE,$S$4=TRUE)=TRUE,IF(OR($Q$4=TRUE,$Q$5=TRUE,$S$2=TRUE),VLOOKUP($G96,'KO Calc'!$H:$AW,38,FALSE),VLOOKUP($G96,'KO Calc'!$H93:$AW93,38,FALSE)),IF(AND($S$3=TRUE,$S$4=TRUE),IF(OR($Q$4=TRUE,$Q$5=TRUE,$S$2=TRUE),VLOOKUP($G96,'KO Calc'!$H:$AW,28,FALSE),VLOOKUP($G96,'KO Calc'!$H93:$AW93,28,FALSE)))))))))))))</f>
        <v>-</v>
      </c>
      <c r="J96" s="36" t="str">
        <f>IF(AND($Q$1=FALSE,$S$3=FALSE),"-",IF(AND($Q$1=TRUE,$S$3=TRUE),"-",IF(AND($Q$1=FALSE,$S$3=FALSE),"-",IF(AND($Q$1=TRUE,$S$1=TRUE,$S$4=FALSE)=TRUE,IF(OR($Q$4=TRUE,$Q$5=TRUE,$S$2=TRUE),VLOOKUP($G96,'KO Calc'!$H:$AW,FALSE),VLOOKUP($G96,'KO Calc'!$H93:$AW93,14,FALSE)),IF(AND($Q$1=TRUE,$S$4=FALSE),IF(OR($Q$4=TRUE,$Q$5=TRUE,$S$2=TRUE),VLOOKUP($G96,'KO Calc'!$H:$AW,4,FALSE),VLOOKUP($G96,'KO Calc'!$H93:$AW93,4,FALSE)),
IF(AND($Q$1=TRUE,$S$1=TRUE,$S$4=TRUE)=TRUE,IF(OR($Q$4=TRUE,$Q$5=TRUE,$S$2=TRUE),VLOOKUP($G96,'KO Calc'!$H:$AW,19,FALSE),VLOOKUP($G96,'KO Calc'!$H93:$AW93,19,FALSE)),IF(AND($Q$1=TRUE,$S$4=TRUE),IF(OR($Q$4=TRUE,$Q$5=TRUE,$S$2=TRUE),VLOOKUP($G96,'KO Calc'!$H:$AW,9,FALSE),VLOOKUP($G96,'KO Calc'!$H93:$AW93,9,FALSE)),
IF(AND($S$3=TRUE,$S$1=TRUE,$S$4=FALSE)=TRUE,IF(OR($Q$4=TRUE,$Q$5=TRUE,$S$2=TRUE),VLOOKUP($G96,'KO Calc'!$H:$AW,34,FALSE),VLOOKUP($G96,'KO Calc'!$H93:$AW93,34,FALSE)),IF(AND($S$3=TRUE,$S$4=FALSE),IF(OR($Q$4=TRUE,$Q$5=TRUE,$S$2=TRUE),VLOOKUP($G96,'KO Calc'!$H:$AW,24,FALSE),VLOOKUP($G96,'KO Calc'!$H93:$AW93,24,FALSE)),
IF(AND($S$3=TRUE,$S$1=TRUE,$S$4=TRUE)=TRUE,IF(OR($Q$4=TRUE,$Q$5=TRUE,$S$2=TRUE),VLOOKUP($G96,'KO Calc'!$H:$AW,39,FALSE),VLOOKUP($G96,'KO Calc'!$H93:$AW93,39,FALSE)),IF(AND($S$3=TRUE,$S$4=TRUE),IF(OR($Q$4=TRUE,$Q$5=TRUE,$S$2=TRUE),VLOOKUP($G96,'KO Calc'!$H:$AW,29,FALSE),VLOOKUP($G96,'KO Calc'!$H93:$AW93,29,FALSE)))))))))))))</f>
        <v>-</v>
      </c>
      <c r="K96" s="36" t="str">
        <f>IF(AND($Q$1=FALSE,$S$3=FALSE),"-",IF(AND($Q$1=TRUE,$S$3=TRUE),"-",IF(AND($Q$1=FALSE,$S$3=FALSE),"-",IF(AND($Q$1=TRUE,$S$1=TRUE,$S$4=FALSE)=TRUE,IF(OR($Q$4=TRUE,$Q$5=TRUE,$S$2=TRUE),VLOOKUP($G96,'KO Calc'!$H:$AW,15,FALSE),VLOOKUP($G96,'KO Calc'!$H93:$AW93,15,FALSE)),IF(AND($Q$1=TRUE,$S$4=FALSE),IF(OR($Q$4=TRUE,$Q$5=TRUE,$S$2=TRUE),VLOOKUP($G96,'KO Calc'!$H:$AW,5,FALSE),VLOOKUP($G96,'KO Calc'!$H93:$AW93,5,FALSE)),
IF(AND($Q$1=TRUE,$S$1=TRUE,$S$4=TRUE)=TRUE,IF(OR($Q$4=TRUE,$Q$5=TRUE,$S$2=TRUE),VLOOKUP($G96,'KO Calc'!$H:$AW,20,FALSE),VLOOKUP($G96,'KO Calc'!$H93:$AW93,20,FALSE)),IF(AND($Q$1=TRUE,$S$4=TRUE),IF(OR($Q$4=TRUE,$Q$5=TRUE,$S$2=TRUE),VLOOKUP($G96,'KO Calc'!$H:$AW,10,FALSE),VLOOKUP($G96,'KO Calc'!$H93:$AW93,10,FALSE)),
IF(AND($S$3=TRUE,$S$1=TRUE,$S$4=FALSE)=TRUE,IF(OR($Q$4=TRUE,$Q$5=TRUE,$S$2=TRUE),VLOOKUP($G96,'KO Calc'!$H:$AW,35,FALSE),VLOOKUP($G96,'KO Calc'!$H93:$AW93,35,FALSE)),IF(AND($S$3=TRUE,$S$4=FALSE),IF(OR($Q$4=TRUE,$Q$5=TRUE,$S$2=TRUE),VLOOKUP($G96,'KO Calc'!$H:$AW,25,FALSE),VLOOKUP($G96,'KO Calc'!$H93:$AW93,25,FALSE)),
IF(AND($S$3=TRUE,$S$1=TRUE,$S$4=TRUE)=TRUE,IF(OR($Q$4=TRUE,$Q$5=TRUE,$S$2=TRUE),VLOOKUP($G96,'KO Calc'!$H:$AW,40,FALSE),VLOOKUP($G96,'KO Calc'!$H93:$AW93,40,FALSE)),IF(AND($S$3=TRUE,$S$4=TRUE),IF(OR($Q$4=TRUE,$Q$5=TRUE,$S$2=TRUE),VLOOKUP($G96,'KO Calc'!$H:$AW,30,FALSE),VLOOKUP($G96,'KO Calc'!$H93:$AW93,30,FALSE)))))))))))))</f>
        <v>-</v>
      </c>
      <c r="L96" s="36" t="str">
        <f>IFERROR(IF(AND($Q$1=FALSE,$S$3=FALSE),"-",VLOOKUP($E96,'Status Thresholds'!$E:$AU,43,FALSE)),"-")</f>
        <v>-</v>
      </c>
      <c r="M96" s="36" t="str">
        <f>IFERROR(IF(AND($Q$1=FALSE,$S$3=FALSE),"-",VLOOKUP($E96,'Status Thresholds'!$E:$AU,41,FALSE)),"-")</f>
        <v>-</v>
      </c>
      <c r="N96" s="36" t="str">
        <f>IFERROR(IF(AND($Q$1=FALSE,$S$3=FALSE),"-",VLOOKUP($E96,'Status Thresholds'!$E:$AU,42,FALSE)),"-")</f>
        <v>-</v>
      </c>
    </row>
    <row r="97" spans="1:14" x14ac:dyDescent="0.25">
      <c r="B97" s="64" t="str">
        <f>VLOOKUP(C97,'Status Thresholds'!B:C,2,FALSE)</f>
        <v>MHGU</v>
      </c>
      <c r="C97" s="46" t="str">
        <f>IF(ISBLANK('KO Calc'!C93)=TRUE,"",'KO Calc'!C93)</f>
        <v>Barroth</v>
      </c>
      <c r="D97" s="78"/>
      <c r="E97" s="62" t="str">
        <f t="shared" si="3"/>
        <v>Barroth</v>
      </c>
      <c r="F97" t="s">
        <v>11</v>
      </c>
      <c r="G97" s="36" t="str">
        <f t="shared" si="4"/>
        <v>BarrothCrag 1</v>
      </c>
      <c r="H97" s="36" t="str">
        <f>IF(AND($Q$1=FALSE,$S$3=FALSE),"-",IF(AND($Q$1=TRUE,$S$3=TRUE),"-",IF(AND($Q$1=FALSE,$S$3=FALSE),"-",IF(AND($Q$1=TRUE,$S$1=TRUE,$S$4=FALSE)=TRUE,IF(OR($Q$4=TRUE,$Q$5=TRUE,$S$2=TRUE),VLOOKUP($G97,'KO Calc'!$H:$AW,12,FALSE),VLOOKUP($G97,'KO Calc'!$H94:$AW94,12,FALSE)),IF(AND($Q$1=TRUE,$S$4=FALSE),IF(OR($Q$4=TRUE,$Q$5=TRUE,$S$2=TRUE),VLOOKUP($G97,'KO Calc'!$H:$AW,2,FALSE),VLOOKUP($G97,'KO Calc'!$H94:$AW94,2,FALSE)),
IF(AND($Q$1=TRUE,$S$1=TRUE,$S$4=TRUE)=TRUE,IF(OR($Q$4=TRUE,$Q$5=TRUE,$S$2=TRUE),VLOOKUP($G97,'KO Calc'!$H:$AW,17,FALSE),VLOOKUP($G97,'KO Calc'!$H94:$AW94,17,FALSE)),IF(AND($Q$1=TRUE,$S$4=TRUE),IF(OR($Q$4=TRUE,$Q$5=TRUE,$S$2=TRUE),VLOOKUP($G97,'KO Calc'!$H:$AW,7,FALSE),VLOOKUP($G97,'KO Calc'!$H94:$AW94,7,FALSE)),
IF(AND($S$3=TRUE,$S$1=TRUE,$S$4=FALSE)=TRUE,IF(OR($Q$4=TRUE,$Q$5=TRUE,$S$2=TRUE),VLOOKUP($G97,'KO Calc'!$H:$AW,32,FALSE),VLOOKUP($G97,'KO Calc'!$H94:$AW94,32,FALSE)),IF(AND($S$3=TRUE,$S$4=FALSE),IF(OR($Q$4=TRUE,$Q$5=TRUE,$S$2=TRUE),VLOOKUP($G97,'KO Calc'!$H:$AW,22,FALSE),VLOOKUP($G97,'KO Calc'!$H94:$AW94,22,FALSE)),
IF(AND($S$3=TRUE,$S$1=TRUE,$S$4=TRUE)=TRUE,IF(OR($Q$4=TRUE,$Q$5=TRUE,$S$2=TRUE),VLOOKUP($G97,'KO Calc'!$H:$AW,37,FALSE),VLOOKUP($G97,'KO Calc'!$H94:$AW94,37,FALSE)),IF(AND($S$3=TRUE,$S$4=TRUE),IF(OR($Q$4=TRUE,$Q$5=TRUE,$S$2=TRUE),VLOOKUP($G97,'KO Calc'!$H:$AW,27,FALSE),VLOOKUP($G97,'KO Calc'!$H94:$AW94,27,FALSE)))))))))))))</f>
        <v>-</v>
      </c>
      <c r="I97" s="36" t="str">
        <f>IF(AND($Q$1=FALSE,$S$3=FALSE),"-",IF(AND($Q$1=TRUE,$S$3=TRUE),"-",IF(AND($Q$1=FALSE,$S$3=FALSE),"-",IF(AND($Q$1=TRUE,$S$1=TRUE,$S$4=FALSE)=TRUE,IF(OR($Q$4=TRUE,$Q$5=TRUE,$S$2=TRUE),VLOOKUP($G97,'KO Calc'!$H:$AW,13,FALSE),VLOOKUP($G97,'KO Calc'!$H94:$AW94,13,FALSE)),IF(AND($Q$1=TRUE,$S$4=FALSE),IF(OR($Q$4=TRUE,$Q$5=TRUE,$S$2=TRUE),VLOOKUP($G97,'KO Calc'!$H:$AW,3,FALSE),VLOOKUP($G97,'KO Calc'!$H94:$AW94,3,FALSE)),
IF(AND($Q$1=TRUE,$S$1=TRUE,$S$4=TRUE)=TRUE,IF(OR($Q$4=TRUE,$Q$5=TRUE,$S$2=TRUE),VLOOKUP($G97,'KO Calc'!$H:$AW,18,FALSE),VLOOKUP($G97,'KO Calc'!$H94:$AW94,18,FALSE)),IF(AND($Q$1=TRUE,$S$4=TRUE),IF(OR($Q$4=TRUE,$Q$5=TRUE,$S$2=TRUE),VLOOKUP($G97,'KO Calc'!$H:$AW,8,FALSE),VLOOKUP($G97,'KO Calc'!$H94:$AW94,8,FALSE)),
IF(AND($S$3=TRUE,$S$1=TRUE,$S$4=FALSE)=TRUE,IF(OR($Q$4=TRUE,$Q$5=TRUE,$S$2=TRUE),VLOOKUP($G97,'KO Calc'!$H:$AW,33,FALSE),VLOOKUP($G97,'KO Calc'!$H94:$AW94,33,FALSE)),IF(AND($S$3=TRUE,$S$4=FALSE),IF(OR($Q$4=TRUE,$Q$5=TRUE,$S$2=TRUE),VLOOKUP($G97,'KO Calc'!$H:$AW,23,FALSE),VLOOKUP($G97,'KO Calc'!$H94:$AW94,23,FALSE)),
IF(AND($S$3=TRUE,$S$1=TRUE,$S$4=TRUE)=TRUE,IF(OR($Q$4=TRUE,$Q$5=TRUE,$S$2=TRUE),VLOOKUP($G97,'KO Calc'!$H:$AW,38,FALSE),VLOOKUP($G97,'KO Calc'!$H94:$AW94,38,FALSE)),IF(AND($S$3=TRUE,$S$4=TRUE),IF(OR($Q$4=TRUE,$Q$5=TRUE,$S$2=TRUE),VLOOKUP($G97,'KO Calc'!$H:$AW,28,FALSE),VLOOKUP($G97,'KO Calc'!$H94:$AW94,28,FALSE)))))))))))))</f>
        <v>-</v>
      </c>
      <c r="J97" s="36" t="str">
        <f>IF(AND($Q$1=FALSE,$S$3=FALSE),"-",IF(AND($Q$1=TRUE,$S$3=TRUE),"-",IF(AND($Q$1=FALSE,$S$3=FALSE),"-",IF(AND($Q$1=TRUE,$S$1=TRUE,$S$4=FALSE)=TRUE,IF(OR($Q$4=TRUE,$Q$5=TRUE,$S$2=TRUE),VLOOKUP($G97,'KO Calc'!$H:$AW,FALSE),VLOOKUP($G97,'KO Calc'!$H94:$AW94,14,FALSE)),IF(AND($Q$1=TRUE,$S$4=FALSE),IF(OR($Q$4=TRUE,$Q$5=TRUE,$S$2=TRUE),VLOOKUP($G97,'KO Calc'!$H:$AW,4,FALSE),VLOOKUP($G97,'KO Calc'!$H94:$AW94,4,FALSE)),
IF(AND($Q$1=TRUE,$S$1=TRUE,$S$4=TRUE)=TRUE,IF(OR($Q$4=TRUE,$Q$5=TRUE,$S$2=TRUE),VLOOKUP($G97,'KO Calc'!$H:$AW,19,FALSE),VLOOKUP($G97,'KO Calc'!$H94:$AW94,19,FALSE)),IF(AND($Q$1=TRUE,$S$4=TRUE),IF(OR($Q$4=TRUE,$Q$5=TRUE,$S$2=TRUE),VLOOKUP($G97,'KO Calc'!$H:$AW,9,FALSE),VLOOKUP($G97,'KO Calc'!$H94:$AW94,9,FALSE)),
IF(AND($S$3=TRUE,$S$1=TRUE,$S$4=FALSE)=TRUE,IF(OR($Q$4=TRUE,$Q$5=TRUE,$S$2=TRUE),VLOOKUP($G97,'KO Calc'!$H:$AW,34,FALSE),VLOOKUP($G97,'KO Calc'!$H94:$AW94,34,FALSE)),IF(AND($S$3=TRUE,$S$4=FALSE),IF(OR($Q$4=TRUE,$Q$5=TRUE,$S$2=TRUE),VLOOKUP($G97,'KO Calc'!$H:$AW,24,FALSE),VLOOKUP($G97,'KO Calc'!$H94:$AW94,24,FALSE)),
IF(AND($S$3=TRUE,$S$1=TRUE,$S$4=TRUE)=TRUE,IF(OR($Q$4=TRUE,$Q$5=TRUE,$S$2=TRUE),VLOOKUP($G97,'KO Calc'!$H:$AW,39,FALSE),VLOOKUP($G97,'KO Calc'!$H94:$AW94,39,FALSE)),IF(AND($S$3=TRUE,$S$4=TRUE),IF(OR($Q$4=TRUE,$Q$5=TRUE,$S$2=TRUE),VLOOKUP($G97,'KO Calc'!$H:$AW,29,FALSE),VLOOKUP($G97,'KO Calc'!$H94:$AW94,29,FALSE)))))))))))))</f>
        <v>-</v>
      </c>
      <c r="K97" s="36" t="str">
        <f>IF(AND($Q$1=FALSE,$S$3=FALSE),"-",IF(AND($Q$1=TRUE,$S$3=TRUE),"-",IF(AND($Q$1=FALSE,$S$3=FALSE),"-",IF(AND($Q$1=TRUE,$S$1=TRUE,$S$4=FALSE)=TRUE,IF(OR($Q$4=TRUE,$Q$5=TRUE,$S$2=TRUE),VLOOKUP($G97,'KO Calc'!$H:$AW,15,FALSE),VLOOKUP($G97,'KO Calc'!$H94:$AW94,15,FALSE)),IF(AND($Q$1=TRUE,$S$4=FALSE),IF(OR($Q$4=TRUE,$Q$5=TRUE,$S$2=TRUE),VLOOKUP($G97,'KO Calc'!$H:$AW,5,FALSE),VLOOKUP($G97,'KO Calc'!$H94:$AW94,5,FALSE)),
IF(AND($Q$1=TRUE,$S$1=TRUE,$S$4=TRUE)=TRUE,IF(OR($Q$4=TRUE,$Q$5=TRUE,$S$2=TRUE),VLOOKUP($G97,'KO Calc'!$H:$AW,20,FALSE),VLOOKUP($G97,'KO Calc'!$H94:$AW94,20,FALSE)),IF(AND($Q$1=TRUE,$S$4=TRUE),IF(OR($Q$4=TRUE,$Q$5=TRUE,$S$2=TRUE),VLOOKUP($G97,'KO Calc'!$H:$AW,10,FALSE),VLOOKUP($G97,'KO Calc'!$H94:$AW94,10,FALSE)),
IF(AND($S$3=TRUE,$S$1=TRUE,$S$4=FALSE)=TRUE,IF(OR($Q$4=TRUE,$Q$5=TRUE,$S$2=TRUE),VLOOKUP($G97,'KO Calc'!$H:$AW,35,FALSE),VLOOKUP($G97,'KO Calc'!$H94:$AW94,35,FALSE)),IF(AND($S$3=TRUE,$S$4=FALSE),IF(OR($Q$4=TRUE,$Q$5=TRUE,$S$2=TRUE),VLOOKUP($G97,'KO Calc'!$H:$AW,25,FALSE),VLOOKUP($G97,'KO Calc'!$H94:$AW94,25,FALSE)),
IF(AND($S$3=TRUE,$S$1=TRUE,$S$4=TRUE)=TRUE,IF(OR($Q$4=TRUE,$Q$5=TRUE,$S$2=TRUE),VLOOKUP($G97,'KO Calc'!$H:$AW,40,FALSE),VLOOKUP($G97,'KO Calc'!$H94:$AW94,40,FALSE)),IF(AND($S$3=TRUE,$S$4=TRUE),IF(OR($Q$4=TRUE,$Q$5=TRUE,$S$2=TRUE),VLOOKUP($G97,'KO Calc'!$H:$AW,30,FALSE),VLOOKUP($G97,'KO Calc'!$H94:$AW94,30,FALSE)))))))))))))</f>
        <v>-</v>
      </c>
      <c r="L97" s="36" t="str">
        <f>IFERROR(VLOOKUP($E97,'Status Thresholds'!$E:$AS,41,FALSE),"-")</f>
        <v>-</v>
      </c>
    </row>
    <row r="98" spans="1:14" x14ac:dyDescent="0.25">
      <c r="B98" s="64" t="str">
        <f>VLOOKUP(C98,'Status Thresholds'!B:C,2,FALSE)</f>
        <v>MHGU</v>
      </c>
      <c r="C98" s="46" t="str">
        <f>IF(ISBLANK('KO Calc'!C94)=TRUE,"",'KO Calc'!C94)</f>
        <v>Barroth</v>
      </c>
      <c r="D98" s="78"/>
      <c r="E98" s="62"/>
      <c r="G98" s="36"/>
      <c r="L98" s="36" t="str">
        <f>IFERROR(VLOOKUP($E98,'Status Thresholds'!$E:$AS,41,FALSE),"-")</f>
        <v>-</v>
      </c>
    </row>
    <row r="99" spans="1:14" s="36" customFormat="1" x14ac:dyDescent="0.25">
      <c r="B99" s="64" t="str">
        <f>VLOOKUP(C99,'Status Thresholds'!B:C,2,FALSE)</f>
        <v>MHGU</v>
      </c>
      <c r="C99" s="46" t="str">
        <f>IF(ISBLANK('KO Calc'!C95)=TRUE,"",'KO Calc'!C95)</f>
        <v>Basarios</v>
      </c>
      <c r="D99" s="65" t="s">
        <v>0</v>
      </c>
      <c r="E99" s="62" t="str">
        <f t="shared" si="3"/>
        <v>BasariosPara</v>
      </c>
      <c r="F99" s="36" t="s">
        <v>2</v>
      </c>
      <c r="G99" s="36" t="str">
        <f t="shared" si="4"/>
        <v>BasariosPara lvl 2</v>
      </c>
      <c r="H99" s="36" t="str">
        <f>IFERROR(ROUNDUP(IF(AND($Q$1=FALSE,$S$3=FALSE),"-",IF(AND($Q$1=TRUE,$S$3=TRUE),"-",IF(AND($Q$1=TRUE,$S$1=TRUE,$S$4=FALSE),VLOOKUP($E99,'Status Thresholds'!$E:$AS,12,FALSE),IF(AND($Q$1=TRUE,$S$4=FALSE),VLOOKUP($E99,'Status Thresholds'!$E:$AS,2,FALSE), IF(AND($Q$1=TRUE,$S$1=TRUE,$S$4=TRUE),VLOOKUP($E99,'Status Thresholds'!$E:$AS,17,FALSE),IF(AND($Q$1=TRUE,$S$4=TRUE),VLOOKUP($E99,'Status Thresholds'!$E:$AS,7,FALSE),IF(AND($S$3=TRUE,$S$1=TRUE,$S$4=FALSE),VLOOKUP($E99,'Status Thresholds'!$E:$AS,32,FALSE),IF(AND($S$3=TRUE,$S$4=FALSE),VLOOKUP($E99,'Status Thresholds'!$E:$AS,22,FALSE),IF(AND($S$3=TRUE,$S$1=TRUE,$S$4=TRUE),VLOOKUP($E99,'Status Thresholds'!$E:$AS,37,FALSE),IF(AND($S$3=TRUE,$S$4=TRUE),VLOOKUP($E99,'Status Thresholds'!$E:$AS,27,FALSE),""))))))))/IF(OR($Q$3=TRUE,AND($Q$2=TRUE,$Q$7=TRUE),AND($Q$3=TRUE,$Q$7=TRUE))=TRUE,'Shots and Status'!$F$5,IF((OR($Q$2,$Q$7)=TRUE),'Shots and Status'!$D$5,'Shots and Status'!$C$5)))),0),"-")</f>
        <v>-</v>
      </c>
      <c r="I99" s="36" t="str">
        <f>IFERROR(ROUNDUP(IF(AND($Q$1=FALSE,$S$3=FALSE),"-",IF(AND($Q$1=TRUE,$S$3=TRUE),"-",IF(AND($Q$1=TRUE,$S$1=TRUE,$S$4=FALSE),VLOOKUP($E99,'Status Thresholds'!$E:$AS,13,FALSE),IF(AND($Q$1=TRUE,$S$4=FALSE),VLOOKUP($E99,'Status Thresholds'!$E:$AS,3,FALSE), IF(AND($Q$1=TRUE,$S$1=TRUE,$S$4=TRUE),VLOOKUP($E99,'Status Thresholds'!$E:$AS,18,FALSE),IF(AND($Q$1=TRUE,$S$4=TRUE),VLOOKUP($E99,'Status Thresholds'!$E:$AS,8,FALSE),IF(AND($S$3=TRUE,$S$1=TRUE,$S$4=FALSE),VLOOKUP($E99,'Status Thresholds'!$E:$AS,33,FALSE),IF(AND($S$3=TRUE,$S$4=FALSE),VLOOKUP($E99,'Status Thresholds'!$E:$AS,23,FALSE),IF(AND($S$3=TRUE,$S$1=TRUE,$S$4=TRUE),VLOOKUP($E99,'Status Thresholds'!$E:$AS,38,FALSE),IF(AND($S$3=TRUE,$S$4=TRUE),VLOOKUP($E99,'Status Thresholds'!$E:$AS,28,FALSE),""))))))))/IF(OR($Q$3=TRUE,AND($Q$2=TRUE,$Q$7=TRUE),AND($Q$3=TRUE,$Q$7=TRUE))=TRUE,'Shots and Status'!$F$5,IF((OR($Q$2,$Q$7)=TRUE),'Shots and Status'!$D$5,'Shots and Status'!$C$5)))),0),"-")</f>
        <v>-</v>
      </c>
      <c r="J99" s="36" t="str">
        <f>IFERROR(ROUNDUP(IF(AND($Q$1=FALSE,$S$3=FALSE),"-",IF(AND($Q$1=TRUE,$S$3=TRUE),"-",IF(AND($Q$1=TRUE,$S$1=TRUE,$S$4=FALSE),VLOOKUP($E99,'Status Thresholds'!$E:$AS,14,FALSE),IF(AND($Q$1=TRUE,$S$4=FALSE),VLOOKUP($E99,'Status Thresholds'!$E:$AS,4,FALSE), IF(AND($Q$1=TRUE,$S$1=TRUE,$S$4=TRUE),VLOOKUP($E99,'Status Thresholds'!$E:$AS,19,FALSE),IF(AND($Q$1=TRUE,$S$4=TRUE),VLOOKUP($E99,'Status Thresholds'!$E:$AS,9,FALSE),IF(AND($S$3=TRUE,$S$1=TRUE,$S$4=FALSE),VLOOKUP($E99,'Status Thresholds'!$E:$AS,34,FALSE),IF(AND($S$3=TRUE,$S$4=FALSE),VLOOKUP($E99,'Status Thresholds'!$E:$AS,24,FALSE),IF(AND($S$3=TRUE,$S$1=TRUE,$S$4=TRUE),VLOOKUP($E99,'Status Thresholds'!$E:$AS,39,FALSE),IF(AND($S$3=TRUE,$S$4=TRUE),VLOOKUP($E99,'Status Thresholds'!$E:$AS,29,FALSE),""))))))))/IF(OR($Q$3=TRUE,AND($Q$2=TRUE,$Q$7=TRUE),AND($Q$3=TRUE,$Q$7=TRUE))=TRUE,'Shots and Status'!$F$5,IF((OR($Q$2,$Q$7)=TRUE),'Shots and Status'!$D$5,'Shots and Status'!$C$5)))),0),"-")</f>
        <v>-</v>
      </c>
      <c r="K99" s="36" t="str">
        <f>IFERROR(ROUNDUP(IF(AND($Q$1=FALSE,$S$3=FALSE),"-",IF(AND($Q$1=TRUE,$S$3=TRUE),"-",IF(AND($Q$1=TRUE,$S$1=TRUE,$S$4=FALSE),VLOOKUP($E99,'Status Thresholds'!$E:$AS,15,FALSE),IF(AND($Q$1=TRUE,$S$4=FALSE),VLOOKUP($E99,'Status Thresholds'!$E:$AS,5,FALSE), IF(AND($Q$1=TRUE,$S$1=TRUE,$S$4=TRUE),VLOOKUP($E99,'Status Thresholds'!$E:$AS,20,FALSE),IF(AND($Q$1=TRUE,$S$4=TRUE),VLOOKUP($E99,'Status Thresholds'!$E:$AS,10,FALSE),IF(AND($S$3=TRUE,$S$1=TRUE,$S$4=FALSE),VLOOKUP($E99,'Status Thresholds'!$E:$AS,35,FALSE),IF(AND($S$3=TRUE,$S$4=FALSE),VLOOKUP($E99,'Status Thresholds'!$E:$AS,25,FALSE),IF(AND($S$3=TRUE,$S$1=TRUE,$S$4=TRUE),VLOOKUP($E99,'Status Thresholds'!$E:$AS,40,FALSE),IF(AND($S$3=TRUE,$S$4=TRUE),VLOOKUP($E99,'Status Thresholds'!$E:$AS,30,FALSE),""))))))))/IF(OR($Q$3=TRUE,AND($Q$2=TRUE,$Q$7=TRUE),AND($Q$3=TRUE,$Q$7=TRUE))=TRUE,'Shots and Status'!$F$5,IF((OR($Q$2,$Q$7)=TRUE),'Shots and Status'!$D$5,'Shots and Status'!$C$5)))),0),"-")</f>
        <v>-</v>
      </c>
      <c r="L99" s="36" t="str">
        <f>IFERROR(IF(AND($Q$1=FALSE,$S$3=FALSE),"-",VLOOKUP($E99,'Status Thresholds'!$E:$AU,41,FALSE)),"-")</f>
        <v>-</v>
      </c>
      <c r="M99" s="36" t="str">
        <f>IFERROR(IF(AND($Q$1=FALSE,$S$3=FALSE),"-",VLOOKUP($E99,'Status Thresholds'!$E:$AU,42,FALSE)),"-")</f>
        <v>-</v>
      </c>
      <c r="N99" s="36" t="str">
        <f>IFERROR(IF(AND($Q$1=FALSE,$S$3=FALSE),"-",VLOOKUP($E99,'Status Thresholds'!$E:$AU,43,FALSE)),"-")</f>
        <v>-</v>
      </c>
    </row>
    <row r="100" spans="1:14" s="59" customFormat="1" x14ac:dyDescent="0.25">
      <c r="A100" s="46"/>
      <c r="B100" s="64" t="str">
        <f>VLOOKUP(C100,'Status Thresholds'!B:C,2,FALSE)</f>
        <v>MHGU</v>
      </c>
      <c r="C100" s="46" t="str">
        <f>IF(ISBLANK('KO Calc'!C96)=TRUE,"",'KO Calc'!C96)</f>
        <v>Basarios</v>
      </c>
      <c r="D100" s="60" t="s">
        <v>32</v>
      </c>
      <c r="E100" s="62" t="str">
        <f t="shared" si="3"/>
        <v>BasariosSleep</v>
      </c>
      <c r="F100" s="59" t="s">
        <v>5</v>
      </c>
      <c r="G100" s="36" t="str">
        <f t="shared" si="4"/>
        <v>BasariosSleep lvl 2</v>
      </c>
      <c r="H100" s="36" t="str">
        <f>IFERROR(ROUNDUP(IF(AND($Q$1=FALSE,$S$3=FALSE),"-",IF(AND($Q$1=TRUE,$S$3=TRUE),"-",IF(AND($Q$1=TRUE,$S$1=TRUE,$S$4=FALSE),VLOOKUP($E100,'Status Thresholds'!$E:$AS,12,FALSE),IF(AND($Q$1=TRUE,$S$4=FALSE),VLOOKUP($E100,'Status Thresholds'!$E:$AS,2,FALSE), IF(AND($Q$1=TRUE,$S$1=TRUE,$S$4=TRUE),VLOOKUP($E100,'Status Thresholds'!$E:$AS,17,FALSE),IF(AND($Q$1=TRUE,$S$4=TRUE),VLOOKUP($E100,'Status Thresholds'!$E:$AS,7,FALSE),IF(AND($S$3=TRUE,$S$1=TRUE,$S$4=FALSE),VLOOKUP($E100,'Status Thresholds'!$E:$AS,32,FALSE),IF(AND($S$3=TRUE,$S$4=FALSE),VLOOKUP($E100,'Status Thresholds'!$E:$AS,22,FALSE),IF(AND($S$3=TRUE,$S$1=TRUE,$S$4=TRUE),VLOOKUP($E100,'Status Thresholds'!$E:$AS,37,FALSE),IF(AND($S$3=TRUE,$S$4=TRUE),VLOOKUP($E100,'Status Thresholds'!$E:$AS,27,FALSE),""))))))))/IF(OR($Q$3=TRUE,AND($Q$2=TRUE,$Q$7=TRUE),AND($Q$3=TRUE,$Q$7=TRUE))=TRUE,'Shots and Status'!$F$5,IF((OR($Q$2,$Q$7)=TRUE),'Shots and Status'!$D$5,'Shots and Status'!$C$5)))),0),"-")</f>
        <v>-</v>
      </c>
      <c r="I100" s="36" t="str">
        <f>IFERROR(ROUNDUP(IF(AND($Q$1=FALSE,$S$3=FALSE),"-",IF(AND($Q$1=TRUE,$S$3=TRUE),"-",IF(AND($Q$1=TRUE,$S$1=TRUE,$S$4=FALSE),VLOOKUP($E100,'Status Thresholds'!$E:$AS,13,FALSE),IF(AND($Q$1=TRUE,$S$4=FALSE),VLOOKUP($E100,'Status Thresholds'!$E:$AS,3,FALSE), IF(AND($Q$1=TRUE,$S$1=TRUE,$S$4=TRUE),VLOOKUP($E100,'Status Thresholds'!$E:$AS,18,FALSE),IF(AND($Q$1=TRUE,$S$4=TRUE),VLOOKUP($E100,'Status Thresholds'!$E:$AS,8,FALSE),IF(AND($S$3=TRUE,$S$1=TRUE,$S$4=FALSE),VLOOKUP($E100,'Status Thresholds'!$E:$AS,33,FALSE),IF(AND($S$3=TRUE,$S$4=FALSE),VLOOKUP($E100,'Status Thresholds'!$E:$AS,23,FALSE),IF(AND($S$3=TRUE,$S$1=TRUE,$S$4=TRUE),VLOOKUP($E100,'Status Thresholds'!$E:$AS,38,FALSE),IF(AND($S$3=TRUE,$S$4=TRUE),VLOOKUP($E100,'Status Thresholds'!$E:$AS,28,FALSE),""))))))))/IF(OR($Q$3=TRUE,AND($Q$2=TRUE,$Q$7=TRUE),AND($Q$3=TRUE,$Q$7=TRUE))=TRUE,'Shots and Status'!$F$5,IF((OR($Q$2,$Q$7)=TRUE),'Shots and Status'!$D$5,'Shots and Status'!$C$5)))),0),"-")</f>
        <v>-</v>
      </c>
      <c r="J100" s="36" t="str">
        <f>IFERROR(ROUNDUP(IF(AND($Q$1=FALSE,$S$3=FALSE),"-",IF(AND($Q$1=TRUE,$S$3=TRUE),"-",IF(AND($Q$1=TRUE,$S$1=TRUE,$S$4=FALSE),VLOOKUP($E100,'Status Thresholds'!$E:$AS,14,FALSE),IF(AND($Q$1=TRUE,$S$4=FALSE),VLOOKUP($E100,'Status Thresholds'!$E:$AS,4,FALSE), IF(AND($Q$1=TRUE,$S$1=TRUE,$S$4=TRUE),VLOOKUP($E100,'Status Thresholds'!$E:$AS,19,FALSE),IF(AND($Q$1=TRUE,$S$4=TRUE),VLOOKUP($E100,'Status Thresholds'!$E:$AS,9,FALSE),IF(AND($S$3=TRUE,$S$1=TRUE,$S$4=FALSE),VLOOKUP($E100,'Status Thresholds'!$E:$AS,34,FALSE),IF(AND($S$3=TRUE,$S$4=FALSE),VLOOKUP($E100,'Status Thresholds'!$E:$AS,24,FALSE),IF(AND($S$3=TRUE,$S$1=TRUE,$S$4=TRUE),VLOOKUP($E100,'Status Thresholds'!$E:$AS,39,FALSE),IF(AND($S$3=TRUE,$S$4=TRUE),VLOOKUP($E100,'Status Thresholds'!$E:$AS,29,FALSE),""))))))))/IF(OR($Q$3=TRUE,AND($Q$2=TRUE,$Q$7=TRUE),AND($Q$3=TRUE,$Q$7=TRUE))=TRUE,'Shots and Status'!$F$5,IF((OR($Q$2,$Q$7)=TRUE),'Shots and Status'!$D$5,'Shots and Status'!$C$5)))),0),"-")</f>
        <v>-</v>
      </c>
      <c r="K100" s="36" t="str">
        <f>IFERROR(ROUNDUP(IF(AND($Q$1=FALSE,$S$3=FALSE),"-",IF(AND($Q$1=TRUE,$S$3=TRUE),"-",IF(AND($Q$1=TRUE,$S$1=TRUE,$S$4=FALSE),VLOOKUP($E100,'Status Thresholds'!$E:$AS,15,FALSE),IF(AND($Q$1=TRUE,$S$4=FALSE),VLOOKUP($E100,'Status Thresholds'!$E:$AS,5,FALSE), IF(AND($Q$1=TRUE,$S$1=TRUE,$S$4=TRUE),VLOOKUP($E100,'Status Thresholds'!$E:$AS,20,FALSE),IF(AND($Q$1=TRUE,$S$4=TRUE),VLOOKUP($E100,'Status Thresholds'!$E:$AS,10,FALSE),IF(AND($S$3=TRUE,$S$1=TRUE,$S$4=FALSE),VLOOKUP($E100,'Status Thresholds'!$E:$AS,35,FALSE),IF(AND($S$3=TRUE,$S$4=FALSE),VLOOKUP($E100,'Status Thresholds'!$E:$AS,25,FALSE),IF(AND($S$3=TRUE,$S$1=TRUE,$S$4=TRUE),VLOOKUP($E100,'Status Thresholds'!$E:$AS,40,FALSE),IF(AND($S$3=TRUE,$S$4=TRUE),VLOOKUP($E100,'Status Thresholds'!$E:$AS,30,FALSE),""))))))))/IF(OR($Q$3=TRUE,AND($Q$2=TRUE,$Q$7=TRUE),AND($Q$3=TRUE,$Q$7=TRUE))=TRUE,'Shots and Status'!$F$5,IF((OR($Q$2,$Q$7)=TRUE),'Shots and Status'!$D$5,'Shots and Status'!$C$5)))),0),"-")</f>
        <v>-</v>
      </c>
      <c r="L100" s="36" t="str">
        <f>IFERROR(IF(AND($Q$1=FALSE,$S$3=FALSE),"-",VLOOKUP($E100,'Status Thresholds'!$E:$AU,41,FALSE)),"-")</f>
        <v>-</v>
      </c>
      <c r="M100" s="36" t="str">
        <f>IFERROR(IF(AND($Q$1=FALSE,$S$3=FALSE),"-",VLOOKUP($E100,'Status Thresholds'!$E:$AU,42,FALSE)),"-")</f>
        <v>-</v>
      </c>
      <c r="N100" s="36" t="str">
        <f>IFERROR(IF(AND($Q$1=FALSE,$S$3=FALSE),"-",VLOOKUP($E100,'Status Thresholds'!$E:$AU,43,FALSE)),"-")</f>
        <v>-</v>
      </c>
    </row>
    <row r="101" spans="1:14" s="59" customFormat="1" x14ac:dyDescent="0.25">
      <c r="A101" s="46"/>
      <c r="B101" s="64" t="str">
        <f>VLOOKUP(C101,'Status Thresholds'!B:C,2,FALSE)</f>
        <v>MHGU</v>
      </c>
      <c r="C101" s="46" t="str">
        <f>IF(ISBLANK('KO Calc'!C97)=TRUE,"",'KO Calc'!C97)</f>
        <v>Basarios</v>
      </c>
      <c r="D101" s="58" t="s">
        <v>33</v>
      </c>
      <c r="E101" s="62" t="str">
        <f t="shared" si="3"/>
        <v>BasariosPoison</v>
      </c>
      <c r="F101" s="59" t="s">
        <v>6</v>
      </c>
      <c r="G101" s="36" t="str">
        <f t="shared" si="4"/>
        <v>BasariosPoison lvl 2</v>
      </c>
      <c r="H101" s="36" t="str">
        <f>IFERROR(ROUNDUP(IF(AND($Q$1=FALSE,$S$3=FALSE),"-",IF(AND($Q$1=TRUE,$S$3=TRUE),"-",IF(AND($Q$1=TRUE,$S$1=TRUE,$S$4=FALSE),VLOOKUP($E101,'Status Thresholds'!$E:$AS,12,FALSE),IF(AND($Q$1=TRUE,$S$4=FALSE),VLOOKUP($E101,'Status Thresholds'!$E:$AS,2,FALSE), IF(AND($Q$1=TRUE,$S$1=TRUE,$S$4=TRUE),VLOOKUP($E101,'Status Thresholds'!$E:$AS,17,FALSE),IF(AND($Q$1=TRUE,$S$4=TRUE),VLOOKUP($E101,'Status Thresholds'!$E:$AS,7,FALSE),IF(AND($S$3=TRUE,$S$1=TRUE,$S$4=FALSE),VLOOKUP($E101,'Status Thresholds'!$E:$AS,32,FALSE),IF(AND($S$3=TRUE,$S$4=FALSE),VLOOKUP($E101,'Status Thresholds'!$E:$AS,22,FALSE),IF(AND($S$3=TRUE,$S$1=TRUE,$S$4=TRUE),VLOOKUP($E101,'Status Thresholds'!$E:$AS,37,FALSE),IF(AND($S$3=TRUE,$S$4=TRUE),VLOOKUP($E101,'Status Thresholds'!$E:$AS,27,FALSE),""))))))))/IF(OR($Q$3=TRUE,AND($Q$2=TRUE,$Q$7=TRUE),AND($Q$3=TRUE,$Q$7=TRUE))=TRUE,'Shots and Status'!$F$5,IF((OR($Q$2,$Q$7)=TRUE),'Shots and Status'!$D$5,'Shots and Status'!$C$5)))),0),"-")</f>
        <v>-</v>
      </c>
      <c r="I101" s="36" t="str">
        <f>IFERROR(ROUNDUP(IF(AND($Q$1=FALSE,$S$3=FALSE),"-",IF(AND($Q$1=TRUE,$S$3=TRUE),"-",IF(AND($Q$1=TRUE,$S$1=TRUE,$S$4=FALSE),VLOOKUP($E101,'Status Thresholds'!$E:$AS,13,FALSE),IF(AND($Q$1=TRUE,$S$4=FALSE),VLOOKUP($E101,'Status Thresholds'!$E:$AS,3,FALSE), IF(AND($Q$1=TRUE,$S$1=TRUE,$S$4=TRUE),VLOOKUP($E101,'Status Thresholds'!$E:$AS,18,FALSE),IF(AND($Q$1=TRUE,$S$4=TRUE),VLOOKUP($E101,'Status Thresholds'!$E:$AS,8,FALSE),IF(AND($S$3=TRUE,$S$1=TRUE,$S$4=FALSE),VLOOKUP($E101,'Status Thresholds'!$E:$AS,33,FALSE),IF(AND($S$3=TRUE,$S$4=FALSE),VLOOKUP($E101,'Status Thresholds'!$E:$AS,23,FALSE),IF(AND($S$3=TRUE,$S$1=TRUE,$S$4=TRUE),VLOOKUP($E101,'Status Thresholds'!$E:$AS,38,FALSE),IF(AND($S$3=TRUE,$S$4=TRUE),VLOOKUP($E101,'Status Thresholds'!$E:$AS,28,FALSE),""))))))))/IF(OR($Q$3=TRUE,AND($Q$2=TRUE,$Q$7=TRUE),AND($Q$3=TRUE,$Q$7=TRUE))=TRUE,'Shots and Status'!$F$5,IF((OR($Q$2,$Q$7)=TRUE),'Shots and Status'!$D$5,'Shots and Status'!$C$5)))),0),"-")</f>
        <v>-</v>
      </c>
      <c r="J101" s="36" t="str">
        <f>IFERROR(ROUNDUP(IF(AND($Q$1=FALSE,$S$3=FALSE),"-",IF(AND($Q$1=TRUE,$S$3=TRUE),"-",IF(AND($Q$1=TRUE,$S$1=TRUE,$S$4=FALSE),VLOOKUP($E101,'Status Thresholds'!$E:$AS,14,FALSE),IF(AND($Q$1=TRUE,$S$4=FALSE),VLOOKUP($E101,'Status Thresholds'!$E:$AS,4,FALSE), IF(AND($Q$1=TRUE,$S$1=TRUE,$S$4=TRUE),VLOOKUP($E101,'Status Thresholds'!$E:$AS,19,FALSE),IF(AND($Q$1=TRUE,$S$4=TRUE),VLOOKUP($E101,'Status Thresholds'!$E:$AS,9,FALSE),IF(AND($S$3=TRUE,$S$1=TRUE,$S$4=FALSE),VLOOKUP($E101,'Status Thresholds'!$E:$AS,34,FALSE),IF(AND($S$3=TRUE,$S$4=FALSE),VLOOKUP($E101,'Status Thresholds'!$E:$AS,24,FALSE),IF(AND($S$3=TRUE,$S$1=TRUE,$S$4=TRUE),VLOOKUP($E101,'Status Thresholds'!$E:$AS,39,FALSE),IF(AND($S$3=TRUE,$S$4=TRUE),VLOOKUP($E101,'Status Thresholds'!$E:$AS,29,FALSE),""))))))))/IF(OR($Q$3=TRUE,AND($Q$2=TRUE,$Q$7=TRUE),AND($Q$3=TRUE,$Q$7=TRUE))=TRUE,'Shots and Status'!$F$5,IF((OR($Q$2,$Q$7)=TRUE),'Shots and Status'!$D$5,'Shots and Status'!$C$5)))),0),"-")</f>
        <v>-</v>
      </c>
      <c r="K101" s="36" t="str">
        <f>IFERROR(ROUNDUP(IF(AND($Q$1=FALSE,$S$3=FALSE),"-",IF(AND($Q$1=TRUE,$S$3=TRUE),"-",IF(AND($Q$1=TRUE,$S$1=TRUE,$S$4=FALSE),VLOOKUP($E101,'Status Thresholds'!$E:$AS,15,FALSE),IF(AND($Q$1=TRUE,$S$4=FALSE),VLOOKUP($E101,'Status Thresholds'!$E:$AS,5,FALSE), IF(AND($Q$1=TRUE,$S$1=TRUE,$S$4=TRUE),VLOOKUP($E101,'Status Thresholds'!$E:$AS,20,FALSE),IF(AND($Q$1=TRUE,$S$4=TRUE),VLOOKUP($E101,'Status Thresholds'!$E:$AS,10,FALSE),IF(AND($S$3=TRUE,$S$1=TRUE,$S$4=FALSE),VLOOKUP($E101,'Status Thresholds'!$E:$AS,35,FALSE),IF(AND($S$3=TRUE,$S$4=FALSE),VLOOKUP($E101,'Status Thresholds'!$E:$AS,25,FALSE),IF(AND($S$3=TRUE,$S$1=TRUE,$S$4=TRUE),VLOOKUP($E101,'Status Thresholds'!$E:$AS,40,FALSE),IF(AND($S$3=TRUE,$S$4=TRUE),VLOOKUP($E101,'Status Thresholds'!$E:$AS,30,FALSE),""))))))))/IF(OR($Q$3=TRUE,AND($Q$2=TRUE,$Q$7=TRUE),AND($Q$3=TRUE,$Q$7=TRUE))=TRUE,'Shots and Status'!$F$5,IF((OR($Q$2,$Q$7)=TRUE),'Shots and Status'!$D$5,'Shots and Status'!$C$5)))),0),"-")</f>
        <v>-</v>
      </c>
      <c r="L101" s="36" t="str">
        <f>IFERROR(IF(AND($Q$1=FALSE,$S$3=FALSE),"-",VLOOKUP($E101,'Status Thresholds'!$E:$AU,41,FALSE)),"-")</f>
        <v>-</v>
      </c>
      <c r="M101" s="36" t="str">
        <f>IFERROR(IF(AND($Q$1=FALSE,$S$3=FALSE),"-",VLOOKUP($E101,'Status Thresholds'!$E:$AU,42,FALSE)),"-")</f>
        <v>-</v>
      </c>
      <c r="N101" s="36" t="str">
        <f>IFERROR(IF(AND($Q$1=FALSE,$S$3=FALSE),"-",VLOOKUP($E101,'Status Thresholds'!$E:$AU,43,FALSE)),"-")</f>
        <v>-</v>
      </c>
    </row>
    <row r="102" spans="1:14" s="36" customFormat="1" x14ac:dyDescent="0.25">
      <c r="A102" s="46"/>
      <c r="B102" s="64" t="str">
        <f>VLOOKUP(C102,'Status Thresholds'!B:C,2,FALSE)</f>
        <v>MHGU</v>
      </c>
      <c r="C102" s="46" t="str">
        <f>IF(ISBLANK('KO Calc'!C98)=TRUE,"",'KO Calc'!C98)</f>
        <v>Basarios</v>
      </c>
      <c r="D102" s="57" t="s">
        <v>22</v>
      </c>
      <c r="E102" s="62" t="str">
        <f t="shared" si="3"/>
        <v>BasariosExhaust</v>
      </c>
      <c r="F102" s="36" t="s">
        <v>8</v>
      </c>
      <c r="G102" s="36" t="str">
        <f t="shared" si="4"/>
        <v>BasariosExhaust lvl 2</v>
      </c>
      <c r="H102" s="36" t="str">
        <f>IFERROR(ROUNDUP(IF(AND($Q$1=FALSE,$S$3=FALSE),"-",IF(AND($Q$1=TRUE,$S$3=TRUE),"-",IF(AND($Q$1=TRUE,$S$1=TRUE,$S$4=FALSE),VLOOKUP($E102,'Status Thresholds'!$E:$AS,12,FALSE),IF(AND($Q$1=TRUE,$S$4=FALSE),VLOOKUP($E102,'Status Thresholds'!$E:$AS,2,FALSE), IF(AND($Q$1=TRUE,$S$1=TRUE,$S$4=TRUE),VLOOKUP($E102,'Status Thresholds'!$E:$AS,17,FALSE),IF(AND($Q$1=TRUE,$S$4=TRUE),VLOOKUP($E102,'Status Thresholds'!$E:$AS,7,FALSE),IF(AND($S$3=TRUE,$S$1=TRUE,$S$4=FALSE),VLOOKUP($E102,'Status Thresholds'!$E:$AS,32,FALSE),IF(AND($S$3=TRUE,$S$4=FALSE),VLOOKUP($E102,'Status Thresholds'!$E:$AS,22,FALSE),IF(AND($S$3=TRUE,$S$1=TRUE,$S$4=TRUE),VLOOKUP($E102,'Status Thresholds'!$E:$AS,37,FALSE),IF(AND($S$3=TRUE,$S$4=TRUE),VLOOKUP($E102,'Status Thresholds'!$E:$AS,27,FALSE),""))))))))/IF(OR($Q$3=TRUE,AND($Q$2=TRUE,$Q$7=TRUE),AND($Q$3=TRUE,$Q$7=TRUE))=TRUE,'Shots and Status'!$F$5,IF((OR($Q$2,$Q$7)=TRUE),'Shots and Status'!$D$5,'Shots and Status'!$C$5)))),0),"-")</f>
        <v>-</v>
      </c>
      <c r="I102" s="36" t="str">
        <f>IFERROR(ROUNDUP(IF(AND($Q$1=FALSE,$S$3=FALSE),"-",IF(AND($Q$1=TRUE,$S$3=TRUE),"-",IF(AND($Q$1=TRUE,$S$1=TRUE,$S$4=FALSE),VLOOKUP($E102,'Status Thresholds'!$E:$AS,13,FALSE),IF(AND($Q$1=TRUE,$S$4=FALSE),VLOOKUP($E102,'Status Thresholds'!$E:$AS,3,FALSE), IF(AND($Q$1=TRUE,$S$1=TRUE,$S$4=TRUE),VLOOKUP($E102,'Status Thresholds'!$E:$AS,18,FALSE),IF(AND($Q$1=TRUE,$S$4=TRUE),VLOOKUP($E102,'Status Thresholds'!$E:$AS,8,FALSE),IF(AND($S$3=TRUE,$S$1=TRUE,$S$4=FALSE),VLOOKUP($E102,'Status Thresholds'!$E:$AS,33,FALSE),IF(AND($S$3=TRUE,$S$4=FALSE),VLOOKUP($E102,'Status Thresholds'!$E:$AS,23,FALSE),IF(AND($S$3=TRUE,$S$1=TRUE,$S$4=TRUE),VLOOKUP($E102,'Status Thresholds'!$E:$AS,38,FALSE),IF(AND($S$3=TRUE,$S$4=TRUE),VLOOKUP($E102,'Status Thresholds'!$E:$AS,28,FALSE),""))))))))/IF(OR($Q$3=TRUE,AND($Q$2=TRUE,$Q$7=TRUE),AND($Q$3=TRUE,$Q$7=TRUE))=TRUE,'Shots and Status'!$F$5,IF((OR($Q$2,$Q$7)=TRUE),'Shots and Status'!$D$5,'Shots and Status'!$C$5)))),0),"-")</f>
        <v>-</v>
      </c>
      <c r="J102" s="36" t="str">
        <f>IFERROR(ROUNDUP(IF(AND($Q$1=FALSE,$S$3=FALSE),"-",IF(AND($Q$1=TRUE,$S$3=TRUE),"-",IF(AND($Q$1=TRUE,$S$1=TRUE,$S$4=FALSE),VLOOKUP($E102,'Status Thresholds'!$E:$AS,14,FALSE),IF(AND($Q$1=TRUE,$S$4=FALSE),VLOOKUP($E102,'Status Thresholds'!$E:$AS,4,FALSE), IF(AND($Q$1=TRUE,$S$1=TRUE,$S$4=TRUE),VLOOKUP($E102,'Status Thresholds'!$E:$AS,19,FALSE),IF(AND($Q$1=TRUE,$S$4=TRUE),VLOOKUP($E102,'Status Thresholds'!$E:$AS,9,FALSE),IF(AND($S$3=TRUE,$S$1=TRUE,$S$4=FALSE),VLOOKUP($E102,'Status Thresholds'!$E:$AS,34,FALSE),IF(AND($S$3=TRUE,$S$4=FALSE),VLOOKUP($E102,'Status Thresholds'!$E:$AS,24,FALSE),IF(AND($S$3=TRUE,$S$1=TRUE,$S$4=TRUE),VLOOKUP($E102,'Status Thresholds'!$E:$AS,39,FALSE),IF(AND($S$3=TRUE,$S$4=TRUE),VLOOKUP($E102,'Status Thresholds'!$E:$AS,29,FALSE),""))))))))/IF(OR($Q$3=TRUE,AND($Q$2=TRUE,$Q$7=TRUE),AND($Q$3=TRUE,$Q$7=TRUE))=TRUE,'Shots and Status'!$F$5,IF((OR($Q$2,$Q$7)=TRUE),'Shots and Status'!$D$5,'Shots and Status'!$C$5)))),0),"-")</f>
        <v>-</v>
      </c>
      <c r="K102" s="36" t="str">
        <f>IFERROR(ROUNDUP(IF(AND($Q$1=FALSE,$S$3=FALSE),"-",IF(AND($Q$1=TRUE,$S$3=TRUE),"-",IF(AND($Q$1=TRUE,$S$1=TRUE,$S$4=FALSE),VLOOKUP($E102,'Status Thresholds'!$E:$AS,15,FALSE),IF(AND($Q$1=TRUE,$S$4=FALSE),VLOOKUP($E102,'Status Thresholds'!$E:$AS,5,FALSE), IF(AND($Q$1=TRUE,$S$1=TRUE,$S$4=TRUE),VLOOKUP($E102,'Status Thresholds'!$E:$AS,20,FALSE),IF(AND($Q$1=TRUE,$S$4=TRUE),VLOOKUP($E102,'Status Thresholds'!$E:$AS,10,FALSE),IF(AND($S$3=TRUE,$S$1=TRUE,$S$4=FALSE),VLOOKUP($E102,'Status Thresholds'!$E:$AS,35,FALSE),IF(AND($S$3=TRUE,$S$4=FALSE),VLOOKUP($E102,'Status Thresholds'!$E:$AS,25,FALSE),IF(AND($S$3=TRUE,$S$1=TRUE,$S$4=TRUE),VLOOKUP($E102,'Status Thresholds'!$E:$AS,40,FALSE),IF(AND($S$3=TRUE,$S$4=TRUE),VLOOKUP($E102,'Status Thresholds'!$E:$AS,30,FALSE),""))))))))/IF(OR($Q$3=TRUE,AND($Q$2=TRUE,$Q$7=TRUE),AND($Q$3=TRUE,$Q$7=TRUE))=TRUE,'Shots and Status'!$F$5,IF((OR($Q$2,$Q$7)=TRUE),'Shots and Status'!$D$5,'Shots and Status'!$C$5)))),0),"-")</f>
        <v>-</v>
      </c>
      <c r="L102" s="36" t="str">
        <f>IFERROR(IF(AND($Q$1=FALSE,$S$3=FALSE),"-",VLOOKUP($E102,'Status Thresholds'!$E:$AU,41,FALSE)),"-")</f>
        <v>-</v>
      </c>
      <c r="M102" s="36" t="str">
        <f>IFERROR(IF(AND($Q$1=FALSE,$S$3=FALSE),"-",VLOOKUP($E102,'Status Thresholds'!$E:$AU,42,FALSE)),"-")</f>
        <v>-</v>
      </c>
      <c r="N102" s="36" t="str">
        <f>IFERROR(IF(AND($Q$1=FALSE,$S$3=FALSE),"-",VLOOKUP($E102,'Status Thresholds'!$E:$AU,43,FALSE)),"-")</f>
        <v>-</v>
      </c>
    </row>
    <row r="103" spans="1:14" s="36" customFormat="1" x14ac:dyDescent="0.25">
      <c r="A103" s="46"/>
      <c r="B103" s="64" t="str">
        <f>VLOOKUP(C103,'Status Thresholds'!B:C,2,FALSE)</f>
        <v>MHGU</v>
      </c>
      <c r="C103" s="46" t="str">
        <f>IF(ISBLANK('KO Calc'!C99)=TRUE,"",'KO Calc'!C99)</f>
        <v>Basarios</v>
      </c>
      <c r="D103" s="67" t="s">
        <v>14</v>
      </c>
      <c r="E103" s="62" t="str">
        <f t="shared" si="3"/>
        <v>BasariosKO</v>
      </c>
      <c r="F103" s="36" t="s">
        <v>21</v>
      </c>
      <c r="G103" s="36" t="str">
        <f t="shared" si="4"/>
        <v>BasariosTriblast</v>
      </c>
      <c r="H103" s="36" t="str">
        <f>IF(AND($Q$1=FALSE,$S$3=FALSE),"-",IF(AND($Q$1=TRUE,$S$3=TRUE),"-",IF(AND($Q$1=FALSE,$S$3=FALSE),"-",IF(AND($Q$1=TRUE,$S$1=TRUE,$S$4=FALSE)=TRUE,IF(OR($Q$4=TRUE,$Q$5=TRUE,$S$2=TRUE),VLOOKUP($G103,'KO Calc'!$H:$AW,12,FALSE),VLOOKUP($G103,'KO Calc'!$H100:$AW100,12,FALSE)),IF(AND($Q$1=TRUE,$S$4=FALSE),IF(OR($Q$4=TRUE,$Q$5=TRUE,$S$2=TRUE),VLOOKUP($G103,'KO Calc'!$H:$AW,2,FALSE),VLOOKUP($G103,'KO Calc'!$H100:$AW100,2,FALSE)),
IF(AND($Q$1=TRUE,$S$1=TRUE,$S$4=TRUE)=TRUE,IF(OR($Q$4=TRUE,$Q$5=TRUE,$S$2=TRUE),VLOOKUP($G103,'KO Calc'!$H:$AW,17,FALSE),VLOOKUP($G103,'KO Calc'!$H100:$AW100,17,FALSE)),IF(AND($Q$1=TRUE,$S$4=TRUE),IF(OR($Q$4=TRUE,$Q$5=TRUE,$S$2=TRUE),VLOOKUP($G103,'KO Calc'!$H:$AW,7,FALSE),VLOOKUP($G103,'KO Calc'!$H100:$AW100,7,FALSE)),
IF(AND($S$3=TRUE,$S$1=TRUE,$S$4=FALSE)=TRUE,IF(OR($Q$4=TRUE,$Q$5=TRUE,$S$2=TRUE),VLOOKUP($G103,'KO Calc'!$H:$AW,32,FALSE),VLOOKUP($G103,'KO Calc'!$H100:$AW100,32,FALSE)),IF(AND($S$3=TRUE,$S$4=FALSE),IF(OR($Q$4=TRUE,$Q$5=TRUE,$S$2=TRUE),VLOOKUP($G103,'KO Calc'!$H:$AW,22,FALSE),VLOOKUP($G103,'KO Calc'!$H100:$AW100,22,FALSE)),
IF(AND($S$3=TRUE,$S$1=TRUE,$S$4=TRUE)=TRUE,IF(OR($Q$4=TRUE,$Q$5=TRUE,$S$2=TRUE),VLOOKUP($G103,'KO Calc'!$H:$AW,37,FALSE),VLOOKUP($G103,'KO Calc'!$H100:$AW100,37,FALSE)),IF(AND($S$3=TRUE,$S$4=TRUE),IF(OR($Q$4=TRUE,$Q$5=TRUE,$S$2=TRUE),VLOOKUP($G103,'KO Calc'!$H:$AW,27,FALSE),VLOOKUP($G103,'KO Calc'!$H100:$AW100,27,FALSE)))))))))))))</f>
        <v>-</v>
      </c>
      <c r="I103" s="36" t="str">
        <f>IF(AND($Q$1=FALSE,$S$3=FALSE),"-",IF(AND($Q$1=TRUE,$S$3=TRUE),"-",IF(AND($Q$1=FALSE,$S$3=FALSE),"-",IF(AND($Q$1=TRUE,$S$1=TRUE,$S$4=FALSE)=TRUE,IF(OR($Q$4=TRUE,$Q$5=TRUE,$S$2=TRUE),VLOOKUP($G103,'KO Calc'!$H:$AW,13,FALSE),VLOOKUP($G103,'KO Calc'!$H100:$AW100,13,FALSE)),IF(AND($Q$1=TRUE,$S$4=FALSE),IF(OR($Q$4=TRUE,$Q$5=TRUE,$S$2=TRUE),VLOOKUP($G103,'KO Calc'!$H:$AW,3,FALSE),VLOOKUP($G103,'KO Calc'!$H100:$AW100,3,FALSE)),
IF(AND($Q$1=TRUE,$S$1=TRUE,$S$4=TRUE)=TRUE,IF(OR($Q$4=TRUE,$Q$5=TRUE,$S$2=TRUE),VLOOKUP($G103,'KO Calc'!$H:$AW,18,FALSE),VLOOKUP($G103,'KO Calc'!$H100:$AW100,18,FALSE)),IF(AND($Q$1=TRUE,$S$4=TRUE),IF(OR($Q$4=TRUE,$Q$5=TRUE,$S$2=TRUE),VLOOKUP($G103,'KO Calc'!$H:$AW,8,FALSE),VLOOKUP($G103,'KO Calc'!$H100:$AW100,8,FALSE)),
IF(AND($S$3=TRUE,$S$1=TRUE,$S$4=FALSE)=TRUE,IF(OR($Q$4=TRUE,$Q$5=TRUE,$S$2=TRUE),VLOOKUP($G103,'KO Calc'!$H:$AW,33,FALSE),VLOOKUP($G103,'KO Calc'!$H100:$AW100,33,FALSE)),IF(AND($S$3=TRUE,$S$4=FALSE),IF(OR($Q$4=TRUE,$Q$5=TRUE,$S$2=TRUE),VLOOKUP($G103,'KO Calc'!$H:$AW,23,FALSE),VLOOKUP($G103,'KO Calc'!$H100:$AW100,23,FALSE)),
IF(AND($S$3=TRUE,$S$1=TRUE,$S$4=TRUE)=TRUE,IF(OR($Q$4=TRUE,$Q$5=TRUE,$S$2=TRUE),VLOOKUP($G103,'KO Calc'!$H:$AW,38,FALSE),VLOOKUP($G103,'KO Calc'!$H100:$AW100,38,FALSE)),IF(AND($S$3=TRUE,$S$4=TRUE),IF(OR($Q$4=TRUE,$Q$5=TRUE,$S$2=TRUE),VLOOKUP($G103,'KO Calc'!$H:$AW,28,FALSE),VLOOKUP($G103,'KO Calc'!$H100:$AW100,28,FALSE)))))))))))))</f>
        <v>-</v>
      </c>
      <c r="J103" s="36" t="str">
        <f>IF(AND($Q$1=FALSE,$S$3=FALSE),"-",IF(AND($Q$1=TRUE,$S$3=TRUE),"-",IF(AND($Q$1=FALSE,$S$3=FALSE),"-",IF(AND($Q$1=TRUE,$S$1=TRUE,$S$4=FALSE)=TRUE,IF(OR($Q$4=TRUE,$Q$5=TRUE,$S$2=TRUE),VLOOKUP($G103,'KO Calc'!$H:$AW,FALSE),VLOOKUP($G103,'KO Calc'!$H100:$AW100,14,FALSE)),IF(AND($Q$1=TRUE,$S$4=FALSE),IF(OR($Q$4=TRUE,$Q$5=TRUE,$S$2=TRUE),VLOOKUP($G103,'KO Calc'!$H:$AW,4,FALSE),VLOOKUP($G103,'KO Calc'!$H100:$AW100,4,FALSE)),
IF(AND($Q$1=TRUE,$S$1=TRUE,$S$4=TRUE)=TRUE,IF(OR($Q$4=TRUE,$Q$5=TRUE,$S$2=TRUE),VLOOKUP($G103,'KO Calc'!$H:$AW,19,FALSE),VLOOKUP($G103,'KO Calc'!$H100:$AW100,19,FALSE)),IF(AND($Q$1=TRUE,$S$4=TRUE),IF(OR($Q$4=TRUE,$Q$5=TRUE,$S$2=TRUE),VLOOKUP($G103,'KO Calc'!$H:$AW,9,FALSE),VLOOKUP($G103,'KO Calc'!$H100:$AW100,9,FALSE)),
IF(AND($S$3=TRUE,$S$1=TRUE,$S$4=FALSE)=TRUE,IF(OR($Q$4=TRUE,$Q$5=TRUE,$S$2=TRUE),VLOOKUP($G103,'KO Calc'!$H:$AW,34,FALSE),VLOOKUP($G103,'KO Calc'!$H100:$AW100,34,FALSE)),IF(AND($S$3=TRUE,$S$4=FALSE),IF(OR($Q$4=TRUE,$Q$5=TRUE,$S$2=TRUE),VLOOKUP($G103,'KO Calc'!$H:$AW,24,FALSE),VLOOKUP($G103,'KO Calc'!$H100:$AW100,24,FALSE)),
IF(AND($S$3=TRUE,$S$1=TRUE,$S$4=TRUE)=TRUE,IF(OR($Q$4=TRUE,$Q$5=TRUE,$S$2=TRUE),VLOOKUP($G103,'KO Calc'!$H:$AW,39,FALSE),VLOOKUP($G103,'KO Calc'!$H100:$AW100,39,FALSE)),IF(AND($S$3=TRUE,$S$4=TRUE),IF(OR($Q$4=TRUE,$Q$5=TRUE,$S$2=TRUE),VLOOKUP($G103,'KO Calc'!$H:$AW,29,FALSE),VLOOKUP($G103,'KO Calc'!$H100:$AW100,29,FALSE)))))))))))))</f>
        <v>-</v>
      </c>
      <c r="K103" s="36" t="str">
        <f>IF(AND($Q$1=FALSE,$S$3=FALSE),"-",IF(AND($Q$1=TRUE,$S$3=TRUE),"-",IF(AND($Q$1=FALSE,$S$3=FALSE),"-",IF(AND($Q$1=TRUE,$S$1=TRUE,$S$4=FALSE)=TRUE,IF(OR($Q$4=TRUE,$Q$5=TRUE,$S$2=TRUE),VLOOKUP($G103,'KO Calc'!$H:$AW,15,FALSE),VLOOKUP($G103,'KO Calc'!$H100:$AW100,15,FALSE)),IF(AND($Q$1=TRUE,$S$4=FALSE),IF(OR($Q$4=TRUE,$Q$5=TRUE,$S$2=TRUE),VLOOKUP($G103,'KO Calc'!$H:$AW,5,FALSE),VLOOKUP($G103,'KO Calc'!$H100:$AW100,5,FALSE)),
IF(AND($Q$1=TRUE,$S$1=TRUE,$S$4=TRUE)=TRUE,IF(OR($Q$4=TRUE,$Q$5=TRUE,$S$2=TRUE),VLOOKUP($G103,'KO Calc'!$H:$AW,20,FALSE),VLOOKUP($G103,'KO Calc'!$H100:$AW100,20,FALSE)),IF(AND($Q$1=TRUE,$S$4=TRUE),IF(OR($Q$4=TRUE,$Q$5=TRUE,$S$2=TRUE),VLOOKUP($G103,'KO Calc'!$H:$AW,10,FALSE),VLOOKUP($G103,'KO Calc'!$H100:$AW100,10,FALSE)),
IF(AND($S$3=TRUE,$S$1=TRUE,$S$4=FALSE)=TRUE,IF(OR($Q$4=TRUE,$Q$5=TRUE,$S$2=TRUE),VLOOKUP($G103,'KO Calc'!$H:$AW,35,FALSE),VLOOKUP($G103,'KO Calc'!$H100:$AW100,35,FALSE)),IF(AND($S$3=TRUE,$S$4=FALSE),IF(OR($Q$4=TRUE,$Q$5=TRUE,$S$2=TRUE),VLOOKUP($G103,'KO Calc'!$H:$AW,25,FALSE),VLOOKUP($G103,'KO Calc'!$H100:$AW100,25,FALSE)),
IF(AND($S$3=TRUE,$S$1=TRUE,$S$4=TRUE)=TRUE,IF(OR($Q$4=TRUE,$Q$5=TRUE,$S$2=TRUE),VLOOKUP($G103,'KO Calc'!$H:$AW,40,FALSE),VLOOKUP($G103,'KO Calc'!$H100:$AW100,40,FALSE)),IF(AND($S$3=TRUE,$S$4=TRUE),IF(OR($Q$4=TRUE,$Q$5=TRUE,$S$2=TRUE),VLOOKUP($G103,'KO Calc'!$H:$AW,30,FALSE),VLOOKUP($G103,'KO Calc'!$H100:$AW100,30,FALSE)))))))))))))</f>
        <v>-</v>
      </c>
      <c r="L103" s="36" t="str">
        <f>IFERROR(IF(AND($Q$1=FALSE,$S$3=FALSE),"-",VLOOKUP($E103,'Status Thresholds'!$E:$AU,41,FALSE)),"-")</f>
        <v>-</v>
      </c>
      <c r="M103" s="36" t="str">
        <f>IFERROR(IF(AND($Q$1=FALSE,$S$3=FALSE),"-",VLOOKUP($E103,'Status Thresholds'!$E:$AU,42,FALSE)),"-")</f>
        <v>-</v>
      </c>
      <c r="N103" s="36" t="str">
        <f>IFERROR(IF(AND($Q$1=FALSE,$S$3=FALSE),"-",VLOOKUP($E103,'Status Thresholds'!$E:$AU,43,FALSE)),"-")</f>
        <v>-</v>
      </c>
    </row>
    <row r="104" spans="1:14" x14ac:dyDescent="0.25">
      <c r="B104" s="64" t="str">
        <f>VLOOKUP(C104,'Status Thresholds'!B:C,2,FALSE)</f>
        <v>MHGU</v>
      </c>
      <c r="C104" s="46" t="str">
        <f>IF(ISBLANK('KO Calc'!C100)=TRUE,"",'KO Calc'!C100)</f>
        <v>Basarios</v>
      </c>
      <c r="D104" s="78" t="s">
        <v>207</v>
      </c>
      <c r="E104" s="62" t="str">
        <f t="shared" si="3"/>
        <v>BasariosShock Trap</v>
      </c>
      <c r="F104" t="s">
        <v>13</v>
      </c>
      <c r="G104" s="36" t="str">
        <f t="shared" si="4"/>
        <v>BasariosCrag 3</v>
      </c>
      <c r="H104" s="36" t="str">
        <f>IF(AND($Q$1=FALSE,$S$3=FALSE),"-",IF(AND($Q$1=TRUE,$S$3=TRUE),"-",IF(AND($Q$1=FALSE,$S$3=FALSE),"-",IF(AND($Q$1=TRUE,$S$1=TRUE,$S$4=FALSE)=TRUE,IF(OR($Q$4=TRUE,$Q$5=TRUE,$S$2=TRUE),VLOOKUP($G104,'KO Calc'!$H:$AW,12,FALSE),VLOOKUP($G104,'KO Calc'!$H101:$AW101,12,FALSE)),IF(AND($Q$1=TRUE,$S$4=FALSE),IF(OR($Q$4=TRUE,$Q$5=TRUE,$S$2=TRUE),VLOOKUP($G104,'KO Calc'!$H:$AW,2,FALSE),VLOOKUP($G104,'KO Calc'!$H101:$AW101,2,FALSE)),
IF(AND($Q$1=TRUE,$S$1=TRUE,$S$4=TRUE)=TRUE,IF(OR($Q$4=TRUE,$Q$5=TRUE,$S$2=TRUE),VLOOKUP($G104,'KO Calc'!$H:$AW,17,FALSE),VLOOKUP($G104,'KO Calc'!$H101:$AW101,17,FALSE)),IF(AND($Q$1=TRUE,$S$4=TRUE),IF(OR($Q$4=TRUE,$Q$5=TRUE,$S$2=TRUE),VLOOKUP($G104,'KO Calc'!$H:$AW,7,FALSE),VLOOKUP($G104,'KO Calc'!$H101:$AW101,7,FALSE)),
IF(AND($S$3=TRUE,$S$1=TRUE,$S$4=FALSE)=TRUE,IF(OR($Q$4=TRUE,$Q$5=TRUE,$S$2=TRUE),VLOOKUP($G104,'KO Calc'!$H:$AW,32,FALSE),VLOOKUP($G104,'KO Calc'!$H101:$AW101,32,FALSE)),IF(AND($S$3=TRUE,$S$4=FALSE),IF(OR($Q$4=TRUE,$Q$5=TRUE,$S$2=TRUE),VLOOKUP($G104,'KO Calc'!$H:$AW,22,FALSE),VLOOKUP($G104,'KO Calc'!$H101:$AW101,22,FALSE)),
IF(AND($S$3=TRUE,$S$1=TRUE,$S$4=TRUE)=TRUE,IF(OR($Q$4=TRUE,$Q$5=TRUE,$S$2=TRUE),VLOOKUP($G104,'KO Calc'!$H:$AW,37,FALSE),VLOOKUP($G104,'KO Calc'!$H101:$AW101,37,FALSE)),IF(AND($S$3=TRUE,$S$4=TRUE),IF(OR($Q$4=TRUE,$Q$5=TRUE,$S$2=TRUE),VLOOKUP($G104,'KO Calc'!$H:$AW,27,FALSE),VLOOKUP($G104,'KO Calc'!$H101:$AW101,27,FALSE)))))))))))))</f>
        <v>-</v>
      </c>
      <c r="I104" s="36" t="str">
        <f>IF(AND($Q$1=FALSE,$S$3=FALSE),"-",IF(AND($Q$1=TRUE,$S$3=TRUE),"-",IF(AND($Q$1=FALSE,$S$3=FALSE),"-",IF(AND($Q$1=TRUE,$S$1=TRUE,$S$4=FALSE)=TRUE,IF(OR($Q$4=TRUE,$Q$5=TRUE,$S$2=TRUE),VLOOKUP($G104,'KO Calc'!$H:$AW,13,FALSE),VLOOKUP($G104,'KO Calc'!$H101:$AW101,13,FALSE)),IF(AND($Q$1=TRUE,$S$4=FALSE),IF(OR($Q$4=TRUE,$Q$5=TRUE,$S$2=TRUE),VLOOKUP($G104,'KO Calc'!$H:$AW,3,FALSE),VLOOKUP($G104,'KO Calc'!$H101:$AW101,3,FALSE)),
IF(AND($Q$1=TRUE,$S$1=TRUE,$S$4=TRUE)=TRUE,IF(OR($Q$4=TRUE,$Q$5=TRUE,$S$2=TRUE),VLOOKUP($G104,'KO Calc'!$H:$AW,18,FALSE),VLOOKUP($G104,'KO Calc'!$H101:$AW101,18,FALSE)),IF(AND($Q$1=TRUE,$S$4=TRUE),IF(OR($Q$4=TRUE,$Q$5=TRUE,$S$2=TRUE),VLOOKUP($G104,'KO Calc'!$H:$AW,8,FALSE),VLOOKUP($G104,'KO Calc'!$H101:$AW101,8,FALSE)),
IF(AND($S$3=TRUE,$S$1=TRUE,$S$4=FALSE)=TRUE,IF(OR($Q$4=TRUE,$Q$5=TRUE,$S$2=TRUE),VLOOKUP($G104,'KO Calc'!$H:$AW,33,FALSE),VLOOKUP($G104,'KO Calc'!$H101:$AW101,33,FALSE)),IF(AND($S$3=TRUE,$S$4=FALSE),IF(OR($Q$4=TRUE,$Q$5=TRUE,$S$2=TRUE),VLOOKUP($G104,'KO Calc'!$H:$AW,23,FALSE),VLOOKUP($G104,'KO Calc'!$H101:$AW101,23,FALSE)),
IF(AND($S$3=TRUE,$S$1=TRUE,$S$4=TRUE)=TRUE,IF(OR($Q$4=TRUE,$Q$5=TRUE,$S$2=TRUE),VLOOKUP($G104,'KO Calc'!$H:$AW,38,FALSE),VLOOKUP($G104,'KO Calc'!$H101:$AW101,38,FALSE)),IF(AND($S$3=TRUE,$S$4=TRUE),IF(OR($Q$4=TRUE,$Q$5=TRUE,$S$2=TRUE),VLOOKUP($G104,'KO Calc'!$H:$AW,28,FALSE),VLOOKUP($G104,'KO Calc'!$H101:$AW101,28,FALSE)))))))))))))</f>
        <v>-</v>
      </c>
      <c r="J104" s="36" t="str">
        <f>IF(AND($Q$1=FALSE,$S$3=FALSE),"-",IF(AND($Q$1=TRUE,$S$3=TRUE),"-",IF(AND($Q$1=FALSE,$S$3=FALSE),"-",IF(AND($Q$1=TRUE,$S$1=TRUE,$S$4=FALSE)=TRUE,IF(OR($Q$4=TRUE,$Q$5=TRUE,$S$2=TRUE),VLOOKUP($G104,'KO Calc'!$H:$AW,FALSE),VLOOKUP($G104,'KO Calc'!$H101:$AW101,14,FALSE)),IF(AND($Q$1=TRUE,$S$4=FALSE),IF(OR($Q$4=TRUE,$Q$5=TRUE,$S$2=TRUE),VLOOKUP($G104,'KO Calc'!$H:$AW,4,FALSE),VLOOKUP($G104,'KO Calc'!$H101:$AW101,4,FALSE)),
IF(AND($Q$1=TRUE,$S$1=TRUE,$S$4=TRUE)=TRUE,IF(OR($Q$4=TRUE,$Q$5=TRUE,$S$2=TRUE),VLOOKUP($G104,'KO Calc'!$H:$AW,19,FALSE),VLOOKUP($G104,'KO Calc'!$H101:$AW101,19,FALSE)),IF(AND($Q$1=TRUE,$S$4=TRUE),IF(OR($Q$4=TRUE,$Q$5=TRUE,$S$2=TRUE),VLOOKUP($G104,'KO Calc'!$H:$AW,9,FALSE),VLOOKUP($G104,'KO Calc'!$H101:$AW101,9,FALSE)),
IF(AND($S$3=TRUE,$S$1=TRUE,$S$4=FALSE)=TRUE,IF(OR($Q$4=TRUE,$Q$5=TRUE,$S$2=TRUE),VLOOKUP($G104,'KO Calc'!$H:$AW,34,FALSE),VLOOKUP($G104,'KO Calc'!$H101:$AW101,34,FALSE)),IF(AND($S$3=TRUE,$S$4=FALSE),IF(OR($Q$4=TRUE,$Q$5=TRUE,$S$2=TRUE),VLOOKUP($G104,'KO Calc'!$H:$AW,24,FALSE),VLOOKUP($G104,'KO Calc'!$H101:$AW101,24,FALSE)),
IF(AND($S$3=TRUE,$S$1=TRUE,$S$4=TRUE)=TRUE,IF(OR($Q$4=TRUE,$Q$5=TRUE,$S$2=TRUE),VLOOKUP($G104,'KO Calc'!$H:$AW,39,FALSE),VLOOKUP($G104,'KO Calc'!$H101:$AW101,39,FALSE)),IF(AND($S$3=TRUE,$S$4=TRUE),IF(OR($Q$4=TRUE,$Q$5=TRUE,$S$2=TRUE),VLOOKUP($G104,'KO Calc'!$H:$AW,29,FALSE),VLOOKUP($G104,'KO Calc'!$H101:$AW101,29,FALSE)))))))))))))</f>
        <v>-</v>
      </c>
      <c r="K104" s="36" t="str">
        <f>IF(AND($Q$1=FALSE,$S$3=FALSE),"-",IF(AND($Q$1=TRUE,$S$3=TRUE),"-",IF(AND($Q$1=FALSE,$S$3=FALSE),"-",IF(AND($Q$1=TRUE,$S$1=TRUE,$S$4=FALSE)=TRUE,IF(OR($Q$4=TRUE,$Q$5=TRUE,$S$2=TRUE),VLOOKUP($G104,'KO Calc'!$H:$AW,15,FALSE),VLOOKUP($G104,'KO Calc'!$H101:$AW101,15,FALSE)),IF(AND($Q$1=TRUE,$S$4=FALSE),IF(OR($Q$4=TRUE,$Q$5=TRUE,$S$2=TRUE),VLOOKUP($G104,'KO Calc'!$H:$AW,5,FALSE),VLOOKUP($G104,'KO Calc'!$H101:$AW101,5,FALSE)),
IF(AND($Q$1=TRUE,$S$1=TRUE,$S$4=TRUE)=TRUE,IF(OR($Q$4=TRUE,$Q$5=TRUE,$S$2=TRUE),VLOOKUP($G104,'KO Calc'!$H:$AW,20,FALSE),VLOOKUP($G104,'KO Calc'!$H101:$AW101,20,FALSE)),IF(AND($Q$1=TRUE,$S$4=TRUE),IF(OR($Q$4=TRUE,$Q$5=TRUE,$S$2=TRUE),VLOOKUP($G104,'KO Calc'!$H:$AW,10,FALSE),VLOOKUP($G104,'KO Calc'!$H101:$AW101,10,FALSE)),
IF(AND($S$3=TRUE,$S$1=TRUE,$S$4=FALSE)=TRUE,IF(OR($Q$4=TRUE,$Q$5=TRUE,$S$2=TRUE),VLOOKUP($G104,'KO Calc'!$H:$AW,35,FALSE),VLOOKUP($G104,'KO Calc'!$H101:$AW101,35,FALSE)),IF(AND($S$3=TRUE,$S$4=FALSE),IF(OR($Q$4=TRUE,$Q$5=TRUE,$S$2=TRUE),VLOOKUP($G104,'KO Calc'!$H:$AW,25,FALSE),VLOOKUP($G104,'KO Calc'!$H101:$AW101,25,FALSE)),
IF(AND($S$3=TRUE,$S$1=TRUE,$S$4=TRUE)=TRUE,IF(OR($Q$4=TRUE,$Q$5=TRUE,$S$2=TRUE),VLOOKUP($G104,'KO Calc'!$H:$AW,40,FALSE),VLOOKUP($G104,'KO Calc'!$H101:$AW101,40,FALSE)),IF(AND($S$3=TRUE,$S$4=TRUE),IF(OR($Q$4=TRUE,$Q$5=TRUE,$S$2=TRUE),VLOOKUP($G104,'KO Calc'!$H:$AW,30,FALSE),VLOOKUP($G104,'KO Calc'!$H101:$AW101,30,FALSE)))))))))))))</f>
        <v>-</v>
      </c>
      <c r="L104" s="36" t="str">
        <f>IFERROR(IF(AND($Q$1=FALSE,$S$3=FALSE),"-",VLOOKUP($E104,'Status Thresholds'!$E:$AU,43,FALSE)),"-")</f>
        <v>-</v>
      </c>
      <c r="M104" s="36" t="str">
        <f>IFERROR(IF(AND($Q$1=FALSE,$S$3=FALSE),"-",VLOOKUP($E104,'Status Thresholds'!$E:$AU,41,FALSE)),"-")</f>
        <v>-</v>
      </c>
      <c r="N104" s="36" t="str">
        <f>IFERROR(IF(AND($Q$1=FALSE,$S$3=FALSE),"-",VLOOKUP($E104,'Status Thresholds'!$E:$AU,42,FALSE)),"-")</f>
        <v>-</v>
      </c>
    </row>
    <row r="105" spans="1:14" x14ac:dyDescent="0.25">
      <c r="B105" s="64" t="str">
        <f>VLOOKUP(C105,'Status Thresholds'!B:C,2,FALSE)</f>
        <v>MHGU</v>
      </c>
      <c r="C105" s="46" t="str">
        <f>IF(ISBLANK('KO Calc'!C101)=TRUE,"",'KO Calc'!C101)</f>
        <v>Basarios</v>
      </c>
      <c r="D105" s="78" t="s">
        <v>213</v>
      </c>
      <c r="E105" s="62" t="str">
        <f t="shared" si="3"/>
        <v>BasariosPitfall Trap</v>
      </c>
      <c r="F105" t="s">
        <v>12</v>
      </c>
      <c r="G105" s="36" t="str">
        <f t="shared" si="4"/>
        <v>BasariosCrag 2</v>
      </c>
      <c r="H105" s="36" t="str">
        <f>IF(AND($Q$1=FALSE,$S$3=FALSE),"-",IF(AND($Q$1=TRUE,$S$3=TRUE),"-",IF(AND($Q$1=FALSE,$S$3=FALSE),"-",IF(AND($Q$1=TRUE,$S$1=TRUE,$S$4=FALSE)=TRUE,IF(OR($Q$4=TRUE,$Q$5=TRUE,$S$2=TRUE),VLOOKUP($G105,'KO Calc'!$H:$AW,12,FALSE),VLOOKUP($G105,'KO Calc'!$H102:$AW102,12,FALSE)),IF(AND($Q$1=TRUE,$S$4=FALSE),IF(OR($Q$4=TRUE,$Q$5=TRUE,$S$2=TRUE),VLOOKUP($G105,'KO Calc'!$H:$AW,2,FALSE),VLOOKUP($G105,'KO Calc'!$H102:$AW102,2,FALSE)),
IF(AND($Q$1=TRUE,$S$1=TRUE,$S$4=TRUE)=TRUE,IF(OR($Q$4=TRUE,$Q$5=TRUE,$S$2=TRUE),VLOOKUP($G105,'KO Calc'!$H:$AW,17,FALSE),VLOOKUP($G105,'KO Calc'!$H102:$AW102,17,FALSE)),IF(AND($Q$1=TRUE,$S$4=TRUE),IF(OR($Q$4=TRUE,$Q$5=TRUE,$S$2=TRUE),VLOOKUP($G105,'KO Calc'!$H:$AW,7,FALSE),VLOOKUP($G105,'KO Calc'!$H102:$AW102,7,FALSE)),
IF(AND($S$3=TRUE,$S$1=TRUE,$S$4=FALSE)=TRUE,IF(OR($Q$4=TRUE,$Q$5=TRUE,$S$2=TRUE),VLOOKUP($G105,'KO Calc'!$H:$AW,32,FALSE),VLOOKUP($G105,'KO Calc'!$H102:$AW102,32,FALSE)),IF(AND($S$3=TRUE,$S$4=FALSE),IF(OR($Q$4=TRUE,$Q$5=TRUE,$S$2=TRUE),VLOOKUP($G105,'KO Calc'!$H:$AW,22,FALSE),VLOOKUP($G105,'KO Calc'!$H102:$AW102,22,FALSE)),
IF(AND($S$3=TRUE,$S$1=TRUE,$S$4=TRUE)=TRUE,IF(OR($Q$4=TRUE,$Q$5=TRUE,$S$2=TRUE),VLOOKUP($G105,'KO Calc'!$H:$AW,37,FALSE),VLOOKUP($G105,'KO Calc'!$H102:$AW102,37,FALSE)),IF(AND($S$3=TRUE,$S$4=TRUE),IF(OR($Q$4=TRUE,$Q$5=TRUE,$S$2=TRUE),VLOOKUP($G105,'KO Calc'!$H:$AW,27,FALSE),VLOOKUP($G105,'KO Calc'!$H102:$AW102,27,FALSE)))))))))))))</f>
        <v>-</v>
      </c>
      <c r="I105" s="36" t="str">
        <f>IF(AND($Q$1=FALSE,$S$3=FALSE),"-",IF(AND($Q$1=TRUE,$S$3=TRUE),"-",IF(AND($Q$1=FALSE,$S$3=FALSE),"-",IF(AND($Q$1=TRUE,$S$1=TRUE,$S$4=FALSE)=TRUE,IF(OR($Q$4=TRUE,$Q$5=TRUE,$S$2=TRUE),VLOOKUP($G105,'KO Calc'!$H:$AW,13,FALSE),VLOOKUP($G105,'KO Calc'!$H102:$AW102,13,FALSE)),IF(AND($Q$1=TRUE,$S$4=FALSE),IF(OR($Q$4=TRUE,$Q$5=TRUE,$S$2=TRUE),VLOOKUP($G105,'KO Calc'!$H:$AW,3,FALSE),VLOOKUP($G105,'KO Calc'!$H102:$AW102,3,FALSE)),
IF(AND($Q$1=TRUE,$S$1=TRUE,$S$4=TRUE)=TRUE,IF(OR($Q$4=TRUE,$Q$5=TRUE,$S$2=TRUE),VLOOKUP($G105,'KO Calc'!$H:$AW,18,FALSE),VLOOKUP($G105,'KO Calc'!$H102:$AW102,18,FALSE)),IF(AND($Q$1=TRUE,$S$4=TRUE),IF(OR($Q$4=TRUE,$Q$5=TRUE,$S$2=TRUE),VLOOKUP($G105,'KO Calc'!$H:$AW,8,FALSE),VLOOKUP($G105,'KO Calc'!$H102:$AW102,8,FALSE)),
IF(AND($S$3=TRUE,$S$1=TRUE,$S$4=FALSE)=TRUE,IF(OR($Q$4=TRUE,$Q$5=TRUE,$S$2=TRUE),VLOOKUP($G105,'KO Calc'!$H:$AW,33,FALSE),VLOOKUP($G105,'KO Calc'!$H102:$AW102,33,FALSE)),IF(AND($S$3=TRUE,$S$4=FALSE),IF(OR($Q$4=TRUE,$Q$5=TRUE,$S$2=TRUE),VLOOKUP($G105,'KO Calc'!$H:$AW,23,FALSE),VLOOKUP($G105,'KO Calc'!$H102:$AW102,23,FALSE)),
IF(AND($S$3=TRUE,$S$1=TRUE,$S$4=TRUE)=TRUE,IF(OR($Q$4=TRUE,$Q$5=TRUE,$S$2=TRUE),VLOOKUP($G105,'KO Calc'!$H:$AW,38,FALSE),VLOOKUP($G105,'KO Calc'!$H102:$AW102,38,FALSE)),IF(AND($S$3=TRUE,$S$4=TRUE),IF(OR($Q$4=TRUE,$Q$5=TRUE,$S$2=TRUE),VLOOKUP($G105,'KO Calc'!$H:$AW,28,FALSE),VLOOKUP($G105,'KO Calc'!$H102:$AW102,28,FALSE)))))))))))))</f>
        <v>-</v>
      </c>
      <c r="J105" s="36" t="str">
        <f>IF(AND($Q$1=FALSE,$S$3=FALSE),"-",IF(AND($Q$1=TRUE,$S$3=TRUE),"-",IF(AND($Q$1=FALSE,$S$3=FALSE),"-",IF(AND($Q$1=TRUE,$S$1=TRUE,$S$4=FALSE)=TRUE,IF(OR($Q$4=TRUE,$Q$5=TRUE,$S$2=TRUE),VLOOKUP($G105,'KO Calc'!$H:$AW,FALSE),VLOOKUP($G105,'KO Calc'!$H102:$AW102,14,FALSE)),IF(AND($Q$1=TRUE,$S$4=FALSE),IF(OR($Q$4=TRUE,$Q$5=TRUE,$S$2=TRUE),VLOOKUP($G105,'KO Calc'!$H:$AW,4,FALSE),VLOOKUP($G105,'KO Calc'!$H102:$AW102,4,FALSE)),
IF(AND($Q$1=TRUE,$S$1=TRUE,$S$4=TRUE)=TRUE,IF(OR($Q$4=TRUE,$Q$5=TRUE,$S$2=TRUE),VLOOKUP($G105,'KO Calc'!$H:$AW,19,FALSE),VLOOKUP($G105,'KO Calc'!$H102:$AW102,19,FALSE)),IF(AND($Q$1=TRUE,$S$4=TRUE),IF(OR($Q$4=TRUE,$Q$5=TRUE,$S$2=TRUE),VLOOKUP($G105,'KO Calc'!$H:$AW,9,FALSE),VLOOKUP($G105,'KO Calc'!$H102:$AW102,9,FALSE)),
IF(AND($S$3=TRUE,$S$1=TRUE,$S$4=FALSE)=TRUE,IF(OR($Q$4=TRUE,$Q$5=TRUE,$S$2=TRUE),VLOOKUP($G105,'KO Calc'!$H:$AW,34,FALSE),VLOOKUP($G105,'KO Calc'!$H102:$AW102,34,FALSE)),IF(AND($S$3=TRUE,$S$4=FALSE),IF(OR($Q$4=TRUE,$Q$5=TRUE,$S$2=TRUE),VLOOKUP($G105,'KO Calc'!$H:$AW,24,FALSE),VLOOKUP($G105,'KO Calc'!$H102:$AW102,24,FALSE)),
IF(AND($S$3=TRUE,$S$1=TRUE,$S$4=TRUE)=TRUE,IF(OR($Q$4=TRUE,$Q$5=TRUE,$S$2=TRUE),VLOOKUP($G105,'KO Calc'!$H:$AW,39,FALSE),VLOOKUP($G105,'KO Calc'!$H102:$AW102,39,FALSE)),IF(AND($S$3=TRUE,$S$4=TRUE),IF(OR($Q$4=TRUE,$Q$5=TRUE,$S$2=TRUE),VLOOKUP($G105,'KO Calc'!$H:$AW,29,FALSE),VLOOKUP($G105,'KO Calc'!$H102:$AW102,29,FALSE)))))))))))))</f>
        <v>-</v>
      </c>
      <c r="K105" s="36" t="str">
        <f>IF(AND($Q$1=FALSE,$S$3=FALSE),"-",IF(AND($Q$1=TRUE,$S$3=TRUE),"-",IF(AND($Q$1=FALSE,$S$3=FALSE),"-",IF(AND($Q$1=TRUE,$S$1=TRUE,$S$4=FALSE)=TRUE,IF(OR($Q$4=TRUE,$Q$5=TRUE,$S$2=TRUE),VLOOKUP($G105,'KO Calc'!$H:$AW,15,FALSE),VLOOKUP($G105,'KO Calc'!$H102:$AW102,15,FALSE)),IF(AND($Q$1=TRUE,$S$4=FALSE),IF(OR($Q$4=TRUE,$Q$5=TRUE,$S$2=TRUE),VLOOKUP($G105,'KO Calc'!$H:$AW,5,FALSE),VLOOKUP($G105,'KO Calc'!$H102:$AW102,5,FALSE)),
IF(AND($Q$1=TRUE,$S$1=TRUE,$S$4=TRUE)=TRUE,IF(OR($Q$4=TRUE,$Q$5=TRUE,$S$2=TRUE),VLOOKUP($G105,'KO Calc'!$H:$AW,20,FALSE),VLOOKUP($G105,'KO Calc'!$H102:$AW102,20,FALSE)),IF(AND($Q$1=TRUE,$S$4=TRUE),IF(OR($Q$4=TRUE,$Q$5=TRUE,$S$2=TRUE),VLOOKUP($G105,'KO Calc'!$H:$AW,10,FALSE),VLOOKUP($G105,'KO Calc'!$H102:$AW102,10,FALSE)),
IF(AND($S$3=TRUE,$S$1=TRUE,$S$4=FALSE)=TRUE,IF(OR($Q$4=TRUE,$Q$5=TRUE,$S$2=TRUE),VLOOKUP($G105,'KO Calc'!$H:$AW,35,FALSE),VLOOKUP($G105,'KO Calc'!$H102:$AW102,35,FALSE)),IF(AND($S$3=TRUE,$S$4=FALSE),IF(OR($Q$4=TRUE,$Q$5=TRUE,$S$2=TRUE),VLOOKUP($G105,'KO Calc'!$H:$AW,25,FALSE),VLOOKUP($G105,'KO Calc'!$H102:$AW102,25,FALSE)),
IF(AND($S$3=TRUE,$S$1=TRUE,$S$4=TRUE)=TRUE,IF(OR($Q$4=TRUE,$Q$5=TRUE,$S$2=TRUE),VLOOKUP($G105,'KO Calc'!$H:$AW,40,FALSE),VLOOKUP($G105,'KO Calc'!$H102:$AW102,40,FALSE)),IF(AND($S$3=TRUE,$S$4=TRUE),IF(OR($Q$4=TRUE,$Q$5=TRUE,$S$2=TRUE),VLOOKUP($G105,'KO Calc'!$H:$AW,30,FALSE),VLOOKUP($G105,'KO Calc'!$H102:$AW102,30,FALSE)))))))))))))</f>
        <v>-</v>
      </c>
      <c r="L105" s="36" t="str">
        <f>IFERROR(IF(AND($Q$1=FALSE,$S$3=FALSE),"-",VLOOKUP($E105,'Status Thresholds'!$E:$AU,43,FALSE)),"-")</f>
        <v>-</v>
      </c>
      <c r="M105" s="36" t="str">
        <f>IFERROR(IF(AND($Q$1=FALSE,$S$3=FALSE),"-",VLOOKUP($E105,'Status Thresholds'!$E:$AU,41,FALSE)),"-")</f>
        <v>-</v>
      </c>
      <c r="N105" s="36" t="str">
        <f>IFERROR(IF(AND($Q$1=FALSE,$S$3=FALSE),"-",VLOOKUP($E105,'Status Thresholds'!$E:$AU,42,FALSE)),"-")</f>
        <v>-</v>
      </c>
    </row>
    <row r="106" spans="1:14" x14ac:dyDescent="0.25">
      <c r="B106" s="64" t="str">
        <f>VLOOKUP(C106,'Status Thresholds'!B:C,2,FALSE)</f>
        <v>MHGU</v>
      </c>
      <c r="C106" s="46" t="str">
        <f>IF(ISBLANK('KO Calc'!C102)=TRUE,"",'KO Calc'!C102)</f>
        <v>Basarios</v>
      </c>
      <c r="D106" s="78"/>
      <c r="E106" s="62" t="str">
        <f t="shared" si="3"/>
        <v>Basarios</v>
      </c>
      <c r="F106" t="s">
        <v>11</v>
      </c>
      <c r="G106" s="36" t="str">
        <f t="shared" si="4"/>
        <v>BasariosCrag 1</v>
      </c>
      <c r="H106" s="36" t="str">
        <f>IF(AND($Q$1=FALSE,$S$3=FALSE),"-",IF(AND($Q$1=TRUE,$S$3=TRUE),"-",IF(AND($Q$1=FALSE,$S$3=FALSE),"-",IF(AND($Q$1=TRUE,$S$1=TRUE,$S$4=FALSE)=TRUE,IF(OR($Q$4=TRUE,$Q$5=TRUE,$S$2=TRUE),VLOOKUP($G106,'KO Calc'!$H:$AW,12,FALSE),VLOOKUP($G106,'KO Calc'!$H103:$AW103,12,FALSE)),IF(AND($Q$1=TRUE,$S$4=FALSE),IF(OR($Q$4=TRUE,$Q$5=TRUE,$S$2=TRUE),VLOOKUP($G106,'KO Calc'!$H:$AW,2,FALSE),VLOOKUP($G106,'KO Calc'!$H103:$AW103,2,FALSE)),
IF(AND($Q$1=TRUE,$S$1=TRUE,$S$4=TRUE)=TRUE,IF(OR($Q$4=TRUE,$Q$5=TRUE,$S$2=TRUE),VLOOKUP($G106,'KO Calc'!$H:$AW,17,FALSE),VLOOKUP($G106,'KO Calc'!$H103:$AW103,17,FALSE)),IF(AND($Q$1=TRUE,$S$4=TRUE),IF(OR($Q$4=TRUE,$Q$5=TRUE,$S$2=TRUE),VLOOKUP($G106,'KO Calc'!$H:$AW,7,FALSE),VLOOKUP($G106,'KO Calc'!$H103:$AW103,7,FALSE)),
IF(AND($S$3=TRUE,$S$1=TRUE,$S$4=FALSE)=TRUE,IF(OR($Q$4=TRUE,$Q$5=TRUE,$S$2=TRUE),VLOOKUP($G106,'KO Calc'!$H:$AW,32,FALSE),VLOOKUP($G106,'KO Calc'!$H103:$AW103,32,FALSE)),IF(AND($S$3=TRUE,$S$4=FALSE),IF(OR($Q$4=TRUE,$Q$5=TRUE,$S$2=TRUE),VLOOKUP($G106,'KO Calc'!$H:$AW,22,FALSE),VLOOKUP($G106,'KO Calc'!$H103:$AW103,22,FALSE)),
IF(AND($S$3=TRUE,$S$1=TRUE,$S$4=TRUE)=TRUE,IF(OR($Q$4=TRUE,$Q$5=TRUE,$S$2=TRUE),VLOOKUP($G106,'KO Calc'!$H:$AW,37,FALSE),VLOOKUP($G106,'KO Calc'!$H103:$AW103,37,FALSE)),IF(AND($S$3=TRUE,$S$4=TRUE),IF(OR($Q$4=TRUE,$Q$5=TRUE,$S$2=TRUE),VLOOKUP($G106,'KO Calc'!$H:$AW,27,FALSE),VLOOKUP($G106,'KO Calc'!$H103:$AW103,27,FALSE)))))))))))))</f>
        <v>-</v>
      </c>
      <c r="I106" s="36" t="str">
        <f>IF(AND($Q$1=FALSE,$S$3=FALSE),"-",IF(AND($Q$1=TRUE,$S$3=TRUE),"-",IF(AND($Q$1=FALSE,$S$3=FALSE),"-",IF(AND($Q$1=TRUE,$S$1=TRUE,$S$4=FALSE)=TRUE,IF(OR($Q$4=TRUE,$Q$5=TRUE,$S$2=TRUE),VLOOKUP($G106,'KO Calc'!$H:$AW,13,FALSE),VLOOKUP($G106,'KO Calc'!$H103:$AW103,13,FALSE)),IF(AND($Q$1=TRUE,$S$4=FALSE),IF(OR($Q$4=TRUE,$Q$5=TRUE,$S$2=TRUE),VLOOKUP($G106,'KO Calc'!$H:$AW,3,FALSE),VLOOKUP($G106,'KO Calc'!$H103:$AW103,3,FALSE)),
IF(AND($Q$1=TRUE,$S$1=TRUE,$S$4=TRUE)=TRUE,IF(OR($Q$4=TRUE,$Q$5=TRUE,$S$2=TRUE),VLOOKUP($G106,'KO Calc'!$H:$AW,18,FALSE),VLOOKUP($G106,'KO Calc'!$H103:$AW103,18,FALSE)),IF(AND($Q$1=TRUE,$S$4=TRUE),IF(OR($Q$4=TRUE,$Q$5=TRUE,$S$2=TRUE),VLOOKUP($G106,'KO Calc'!$H:$AW,8,FALSE),VLOOKUP($G106,'KO Calc'!$H103:$AW103,8,FALSE)),
IF(AND($S$3=TRUE,$S$1=TRUE,$S$4=FALSE)=TRUE,IF(OR($Q$4=TRUE,$Q$5=TRUE,$S$2=TRUE),VLOOKUP($G106,'KO Calc'!$H:$AW,33,FALSE),VLOOKUP($G106,'KO Calc'!$H103:$AW103,33,FALSE)),IF(AND($S$3=TRUE,$S$4=FALSE),IF(OR($Q$4=TRUE,$Q$5=TRUE,$S$2=TRUE),VLOOKUP($G106,'KO Calc'!$H:$AW,23,FALSE),VLOOKUP($G106,'KO Calc'!$H103:$AW103,23,FALSE)),
IF(AND($S$3=TRUE,$S$1=TRUE,$S$4=TRUE)=TRUE,IF(OR($Q$4=TRUE,$Q$5=TRUE,$S$2=TRUE),VLOOKUP($G106,'KO Calc'!$H:$AW,38,FALSE),VLOOKUP($G106,'KO Calc'!$H103:$AW103,38,FALSE)),IF(AND($S$3=TRUE,$S$4=TRUE),IF(OR($Q$4=TRUE,$Q$5=TRUE,$S$2=TRUE),VLOOKUP($G106,'KO Calc'!$H:$AW,28,FALSE),VLOOKUP($G106,'KO Calc'!$H103:$AW103,28,FALSE)))))))))))))</f>
        <v>-</v>
      </c>
      <c r="J106" s="36" t="str">
        <f>IF(AND($Q$1=FALSE,$S$3=FALSE),"-",IF(AND($Q$1=TRUE,$S$3=TRUE),"-",IF(AND($Q$1=FALSE,$S$3=FALSE),"-",IF(AND($Q$1=TRUE,$S$1=TRUE,$S$4=FALSE)=TRUE,IF(OR($Q$4=TRUE,$Q$5=TRUE,$S$2=TRUE),VLOOKUP($G106,'KO Calc'!$H:$AW,FALSE),VLOOKUP($G106,'KO Calc'!$H103:$AW103,14,FALSE)),IF(AND($Q$1=TRUE,$S$4=FALSE),IF(OR($Q$4=TRUE,$Q$5=TRUE,$S$2=TRUE),VLOOKUP($G106,'KO Calc'!$H:$AW,4,FALSE),VLOOKUP($G106,'KO Calc'!$H103:$AW103,4,FALSE)),
IF(AND($Q$1=TRUE,$S$1=TRUE,$S$4=TRUE)=TRUE,IF(OR($Q$4=TRUE,$Q$5=TRUE,$S$2=TRUE),VLOOKUP($G106,'KO Calc'!$H:$AW,19,FALSE),VLOOKUP($G106,'KO Calc'!$H103:$AW103,19,FALSE)),IF(AND($Q$1=TRUE,$S$4=TRUE),IF(OR($Q$4=TRUE,$Q$5=TRUE,$S$2=TRUE),VLOOKUP($G106,'KO Calc'!$H:$AW,9,FALSE),VLOOKUP($G106,'KO Calc'!$H103:$AW103,9,FALSE)),
IF(AND($S$3=TRUE,$S$1=TRUE,$S$4=FALSE)=TRUE,IF(OR($Q$4=TRUE,$Q$5=TRUE,$S$2=TRUE),VLOOKUP($G106,'KO Calc'!$H:$AW,34,FALSE),VLOOKUP($G106,'KO Calc'!$H103:$AW103,34,FALSE)),IF(AND($S$3=TRUE,$S$4=FALSE),IF(OR($Q$4=TRUE,$Q$5=TRUE,$S$2=TRUE),VLOOKUP($G106,'KO Calc'!$H:$AW,24,FALSE),VLOOKUP($G106,'KO Calc'!$H103:$AW103,24,FALSE)),
IF(AND($S$3=TRUE,$S$1=TRUE,$S$4=TRUE)=TRUE,IF(OR($Q$4=TRUE,$Q$5=TRUE,$S$2=TRUE),VLOOKUP($G106,'KO Calc'!$H:$AW,39,FALSE),VLOOKUP($G106,'KO Calc'!$H103:$AW103,39,FALSE)),IF(AND($S$3=TRUE,$S$4=TRUE),IF(OR($Q$4=TRUE,$Q$5=TRUE,$S$2=TRUE),VLOOKUP($G106,'KO Calc'!$H:$AW,29,FALSE),VLOOKUP($G106,'KO Calc'!$H103:$AW103,29,FALSE)))))))))))))</f>
        <v>-</v>
      </c>
      <c r="K106" s="36" t="str">
        <f>IF(AND($Q$1=FALSE,$S$3=FALSE),"-",IF(AND($Q$1=TRUE,$S$3=TRUE),"-",IF(AND($Q$1=FALSE,$S$3=FALSE),"-",IF(AND($Q$1=TRUE,$S$1=TRUE,$S$4=FALSE)=TRUE,IF(OR($Q$4=TRUE,$Q$5=TRUE,$S$2=TRUE),VLOOKUP($G106,'KO Calc'!$H:$AW,15,FALSE),VLOOKUP($G106,'KO Calc'!$H103:$AW103,15,FALSE)),IF(AND($Q$1=TRUE,$S$4=FALSE),IF(OR($Q$4=TRUE,$Q$5=TRUE,$S$2=TRUE),VLOOKUP($G106,'KO Calc'!$H:$AW,5,FALSE),VLOOKUP($G106,'KO Calc'!$H103:$AW103,5,FALSE)),
IF(AND($Q$1=TRUE,$S$1=TRUE,$S$4=TRUE)=TRUE,IF(OR($Q$4=TRUE,$Q$5=TRUE,$S$2=TRUE),VLOOKUP($G106,'KO Calc'!$H:$AW,20,FALSE),VLOOKUP($G106,'KO Calc'!$H103:$AW103,20,FALSE)),IF(AND($Q$1=TRUE,$S$4=TRUE),IF(OR($Q$4=TRUE,$Q$5=TRUE,$S$2=TRUE),VLOOKUP($G106,'KO Calc'!$H:$AW,10,FALSE),VLOOKUP($G106,'KO Calc'!$H103:$AW103,10,FALSE)),
IF(AND($S$3=TRUE,$S$1=TRUE,$S$4=FALSE)=TRUE,IF(OR($Q$4=TRUE,$Q$5=TRUE,$S$2=TRUE),VLOOKUP($G106,'KO Calc'!$H:$AW,35,FALSE),VLOOKUP($G106,'KO Calc'!$H103:$AW103,35,FALSE)),IF(AND($S$3=TRUE,$S$4=FALSE),IF(OR($Q$4=TRUE,$Q$5=TRUE,$S$2=TRUE),VLOOKUP($G106,'KO Calc'!$H:$AW,25,FALSE),VLOOKUP($G106,'KO Calc'!$H103:$AW103,25,FALSE)),
IF(AND($S$3=TRUE,$S$1=TRUE,$S$4=TRUE)=TRUE,IF(OR($Q$4=TRUE,$Q$5=TRUE,$S$2=TRUE),VLOOKUP($G106,'KO Calc'!$H:$AW,40,FALSE),VLOOKUP($G106,'KO Calc'!$H103:$AW103,40,FALSE)),IF(AND($S$3=TRUE,$S$4=TRUE),IF(OR($Q$4=TRUE,$Q$5=TRUE,$S$2=TRUE),VLOOKUP($G106,'KO Calc'!$H:$AW,30,FALSE),VLOOKUP($G106,'KO Calc'!$H103:$AW103,30,FALSE)))))))))))))</f>
        <v>-</v>
      </c>
      <c r="L106" s="36" t="str">
        <f>IFERROR(VLOOKUP($E106,'Status Thresholds'!$E:$AS,41,FALSE),"-")</f>
        <v>-</v>
      </c>
    </row>
    <row r="107" spans="1:14" x14ac:dyDescent="0.25">
      <c r="B107" s="64" t="str">
        <f>VLOOKUP(C107,'Status Thresholds'!B:C,2,FALSE)</f>
        <v>MHGU</v>
      </c>
      <c r="C107" s="46" t="str">
        <f>IF(ISBLANK('KO Calc'!C103)=TRUE,"",'KO Calc'!C103)</f>
        <v>Basarios</v>
      </c>
      <c r="D107" s="78"/>
      <c r="E107" s="62"/>
      <c r="G107" s="36"/>
      <c r="L107" s="36" t="str">
        <f>IFERROR(VLOOKUP($E107,'Status Thresholds'!$E:$AS,41,FALSE),"-")</f>
        <v>-</v>
      </c>
    </row>
    <row r="108" spans="1:14" s="36" customFormat="1" x14ac:dyDescent="0.25">
      <c r="B108" s="64" t="str">
        <f>VLOOKUP(C108,'Status Thresholds'!B:C,2,FALSE)</f>
        <v>MHGen</v>
      </c>
      <c r="C108" s="46" t="str">
        <f>IF(ISBLANK('KO Calc'!C104)=TRUE,"",'KO Calc'!C104)</f>
        <v>Blangonga</v>
      </c>
      <c r="D108" s="65" t="s">
        <v>0</v>
      </c>
      <c r="E108" s="62" t="str">
        <f t="shared" si="3"/>
        <v>BlangongaPara</v>
      </c>
      <c r="F108" s="36" t="s">
        <v>2</v>
      </c>
      <c r="G108" s="36" t="str">
        <f t="shared" si="4"/>
        <v>BlangongaPara lvl 2</v>
      </c>
      <c r="H108" s="36" t="str">
        <f>IFERROR(ROUNDUP(IF(AND($Q$1=FALSE,$S$3=FALSE),"-",IF(AND($Q$1=TRUE,$S$3=TRUE),"-",IF(AND($Q$1=TRUE,$S$1=TRUE,$S$4=FALSE),VLOOKUP($E108,'Status Thresholds'!$E:$AS,12,FALSE),IF(AND($Q$1=TRUE,$S$4=FALSE),VLOOKUP($E108,'Status Thresholds'!$E:$AS,2,FALSE), IF(AND($Q$1=TRUE,$S$1=TRUE,$S$4=TRUE),VLOOKUP($E108,'Status Thresholds'!$E:$AS,17,FALSE),IF(AND($Q$1=TRUE,$S$4=TRUE),VLOOKUP($E108,'Status Thresholds'!$E:$AS,7,FALSE),IF(AND($S$3=TRUE,$S$1=TRUE,$S$4=FALSE),VLOOKUP($E108,'Status Thresholds'!$E:$AS,32,FALSE),IF(AND($S$3=TRUE,$S$4=FALSE),VLOOKUP($E108,'Status Thresholds'!$E:$AS,22,FALSE),IF(AND($S$3=TRUE,$S$1=TRUE,$S$4=TRUE),VLOOKUP($E108,'Status Thresholds'!$E:$AS,37,FALSE),IF(AND($S$3=TRUE,$S$4=TRUE),VLOOKUP($E108,'Status Thresholds'!$E:$AS,27,FALSE),""))))))))/IF(OR($Q$3=TRUE,AND($Q$2=TRUE,$Q$7=TRUE),AND($Q$3=TRUE,$Q$7=TRUE))=TRUE,'Shots and Status'!$F$5,IF((OR($Q$2,$Q$7)=TRUE),'Shots and Status'!$D$5,'Shots and Status'!$C$5)))),0),"-")</f>
        <v>-</v>
      </c>
      <c r="I108" s="36" t="str">
        <f>IFERROR(ROUNDUP(IF(AND($Q$1=FALSE,$S$3=FALSE),"-",IF(AND($Q$1=TRUE,$S$3=TRUE),"-",IF(AND($Q$1=TRUE,$S$1=TRUE,$S$4=FALSE),VLOOKUP($E108,'Status Thresholds'!$E:$AS,13,FALSE),IF(AND($Q$1=TRUE,$S$4=FALSE),VLOOKUP($E108,'Status Thresholds'!$E:$AS,3,FALSE), IF(AND($Q$1=TRUE,$S$1=TRUE,$S$4=TRUE),VLOOKUP($E108,'Status Thresholds'!$E:$AS,18,FALSE),IF(AND($Q$1=TRUE,$S$4=TRUE),VLOOKUP($E108,'Status Thresholds'!$E:$AS,8,FALSE),IF(AND($S$3=TRUE,$S$1=TRUE,$S$4=FALSE),VLOOKUP($E108,'Status Thresholds'!$E:$AS,33,FALSE),IF(AND($S$3=TRUE,$S$4=FALSE),VLOOKUP($E108,'Status Thresholds'!$E:$AS,23,FALSE),IF(AND($S$3=TRUE,$S$1=TRUE,$S$4=TRUE),VLOOKUP($E108,'Status Thresholds'!$E:$AS,38,FALSE),IF(AND($S$3=TRUE,$S$4=TRUE),VLOOKUP($E108,'Status Thresholds'!$E:$AS,28,FALSE),""))))))))/IF(OR($Q$3=TRUE,AND($Q$2=TRUE,$Q$7=TRUE),AND($Q$3=TRUE,$Q$7=TRUE))=TRUE,'Shots and Status'!$F$5,IF((OR($Q$2,$Q$7)=TRUE),'Shots and Status'!$D$5,'Shots and Status'!$C$5)))),0),"-")</f>
        <v>-</v>
      </c>
      <c r="J108" s="36" t="str">
        <f>IFERROR(ROUNDUP(IF(AND($Q$1=FALSE,$S$3=FALSE),"-",IF(AND($Q$1=TRUE,$S$3=TRUE),"-",IF(AND($Q$1=TRUE,$S$1=TRUE,$S$4=FALSE),VLOOKUP($E108,'Status Thresholds'!$E:$AS,14,FALSE),IF(AND($Q$1=TRUE,$S$4=FALSE),VLOOKUP($E108,'Status Thresholds'!$E:$AS,4,FALSE), IF(AND($Q$1=TRUE,$S$1=TRUE,$S$4=TRUE),VLOOKUP($E108,'Status Thresholds'!$E:$AS,19,FALSE),IF(AND($Q$1=TRUE,$S$4=TRUE),VLOOKUP($E108,'Status Thresholds'!$E:$AS,9,FALSE),IF(AND($S$3=TRUE,$S$1=TRUE,$S$4=FALSE),VLOOKUP($E108,'Status Thresholds'!$E:$AS,34,FALSE),IF(AND($S$3=TRUE,$S$4=FALSE),VLOOKUP($E108,'Status Thresholds'!$E:$AS,24,FALSE),IF(AND($S$3=TRUE,$S$1=TRUE,$S$4=TRUE),VLOOKUP($E108,'Status Thresholds'!$E:$AS,39,FALSE),IF(AND($S$3=TRUE,$S$4=TRUE),VLOOKUP($E108,'Status Thresholds'!$E:$AS,29,FALSE),""))))))))/IF(OR($Q$3=TRUE,AND($Q$2=TRUE,$Q$7=TRUE),AND($Q$3=TRUE,$Q$7=TRUE))=TRUE,'Shots and Status'!$F$5,IF((OR($Q$2,$Q$7)=TRUE),'Shots and Status'!$D$5,'Shots and Status'!$C$5)))),0),"-")</f>
        <v>-</v>
      </c>
      <c r="K108" s="36" t="str">
        <f>IFERROR(ROUNDUP(IF(AND($Q$1=FALSE,$S$3=FALSE),"-",IF(AND($Q$1=TRUE,$S$3=TRUE),"-",IF(AND($Q$1=TRUE,$S$1=TRUE,$S$4=FALSE),VLOOKUP($E108,'Status Thresholds'!$E:$AS,15,FALSE),IF(AND($Q$1=TRUE,$S$4=FALSE),VLOOKUP($E108,'Status Thresholds'!$E:$AS,5,FALSE), IF(AND($Q$1=TRUE,$S$1=TRUE,$S$4=TRUE),VLOOKUP($E108,'Status Thresholds'!$E:$AS,20,FALSE),IF(AND($Q$1=TRUE,$S$4=TRUE),VLOOKUP($E108,'Status Thresholds'!$E:$AS,10,FALSE),IF(AND($S$3=TRUE,$S$1=TRUE,$S$4=FALSE),VLOOKUP($E108,'Status Thresholds'!$E:$AS,35,FALSE),IF(AND($S$3=TRUE,$S$4=FALSE),VLOOKUP($E108,'Status Thresholds'!$E:$AS,25,FALSE),IF(AND($S$3=TRUE,$S$1=TRUE,$S$4=TRUE),VLOOKUP($E108,'Status Thresholds'!$E:$AS,40,FALSE),IF(AND($S$3=TRUE,$S$4=TRUE),VLOOKUP($E108,'Status Thresholds'!$E:$AS,30,FALSE),""))))))))/IF(OR($Q$3=TRUE,AND($Q$2=TRUE,$Q$7=TRUE),AND($Q$3=TRUE,$Q$7=TRUE))=TRUE,'Shots and Status'!$F$5,IF((OR($Q$2,$Q$7)=TRUE),'Shots and Status'!$D$5,'Shots and Status'!$C$5)))),0),"-")</f>
        <v>-</v>
      </c>
      <c r="L108" s="36" t="str">
        <f>IFERROR(IF(AND($Q$1=FALSE,$S$3=FALSE),"-",VLOOKUP($E108,'Status Thresholds'!$E:$AU,41,FALSE)),"-")</f>
        <v>-</v>
      </c>
      <c r="M108" s="36" t="str">
        <f>IFERROR(IF(AND($Q$1=FALSE,$S$3=FALSE),"-",VLOOKUP($E108,'Status Thresholds'!$E:$AU,42,FALSE)),"-")</f>
        <v>-</v>
      </c>
      <c r="N108" s="36" t="str">
        <f>IFERROR(IF(AND($Q$1=FALSE,$S$3=FALSE),"-",VLOOKUP($E108,'Status Thresholds'!$E:$AU,43,FALSE)),"-")</f>
        <v>-</v>
      </c>
    </row>
    <row r="109" spans="1:14" s="59" customFormat="1" x14ac:dyDescent="0.25">
      <c r="A109" s="46"/>
      <c r="B109" s="64" t="str">
        <f>VLOOKUP(C109,'Status Thresholds'!B:C,2,FALSE)</f>
        <v>MHGen</v>
      </c>
      <c r="C109" s="46" t="str">
        <f>IF(ISBLANK('KO Calc'!C105)=TRUE,"",'KO Calc'!C105)</f>
        <v>Blangonga</v>
      </c>
      <c r="D109" s="60" t="s">
        <v>32</v>
      </c>
      <c r="E109" s="62" t="str">
        <f t="shared" si="3"/>
        <v>BlangongaSleep</v>
      </c>
      <c r="F109" s="59" t="s">
        <v>5</v>
      </c>
      <c r="G109" s="36" t="str">
        <f t="shared" si="4"/>
        <v>BlangongaSleep lvl 2</v>
      </c>
      <c r="H109" s="36" t="str">
        <f>IFERROR(ROUNDUP(IF(AND($Q$1=FALSE,$S$3=FALSE),"-",IF(AND($Q$1=TRUE,$S$3=TRUE),"-",IF(AND($Q$1=TRUE,$S$1=TRUE,$S$4=FALSE),VLOOKUP($E109,'Status Thresholds'!$E:$AS,12,FALSE),IF(AND($Q$1=TRUE,$S$4=FALSE),VLOOKUP($E109,'Status Thresholds'!$E:$AS,2,FALSE), IF(AND($Q$1=TRUE,$S$1=TRUE,$S$4=TRUE),VLOOKUP($E109,'Status Thresholds'!$E:$AS,17,FALSE),IF(AND($Q$1=TRUE,$S$4=TRUE),VLOOKUP($E109,'Status Thresholds'!$E:$AS,7,FALSE),IF(AND($S$3=TRUE,$S$1=TRUE,$S$4=FALSE),VLOOKUP($E109,'Status Thresholds'!$E:$AS,32,FALSE),IF(AND($S$3=TRUE,$S$4=FALSE),VLOOKUP($E109,'Status Thresholds'!$E:$AS,22,FALSE),IF(AND($S$3=TRUE,$S$1=TRUE,$S$4=TRUE),VLOOKUP($E109,'Status Thresholds'!$E:$AS,37,FALSE),IF(AND($S$3=TRUE,$S$4=TRUE),VLOOKUP($E109,'Status Thresholds'!$E:$AS,27,FALSE),""))))))))/IF(OR($Q$3=TRUE,AND($Q$2=TRUE,$Q$7=TRUE),AND($Q$3=TRUE,$Q$7=TRUE))=TRUE,'Shots and Status'!$F$5,IF((OR($Q$2,$Q$7)=TRUE),'Shots and Status'!$D$5,'Shots and Status'!$C$5)))),0),"-")</f>
        <v>-</v>
      </c>
      <c r="I109" s="36" t="str">
        <f>IFERROR(ROUNDUP(IF(AND($Q$1=FALSE,$S$3=FALSE),"-",IF(AND($Q$1=TRUE,$S$3=TRUE),"-",IF(AND($Q$1=TRUE,$S$1=TRUE,$S$4=FALSE),VLOOKUP($E109,'Status Thresholds'!$E:$AS,13,FALSE),IF(AND($Q$1=TRUE,$S$4=FALSE),VLOOKUP($E109,'Status Thresholds'!$E:$AS,3,FALSE), IF(AND($Q$1=TRUE,$S$1=TRUE,$S$4=TRUE),VLOOKUP($E109,'Status Thresholds'!$E:$AS,18,FALSE),IF(AND($Q$1=TRUE,$S$4=TRUE),VLOOKUP($E109,'Status Thresholds'!$E:$AS,8,FALSE),IF(AND($S$3=TRUE,$S$1=TRUE,$S$4=FALSE),VLOOKUP($E109,'Status Thresholds'!$E:$AS,33,FALSE),IF(AND($S$3=TRUE,$S$4=FALSE),VLOOKUP($E109,'Status Thresholds'!$E:$AS,23,FALSE),IF(AND($S$3=TRUE,$S$1=TRUE,$S$4=TRUE),VLOOKUP($E109,'Status Thresholds'!$E:$AS,38,FALSE),IF(AND($S$3=TRUE,$S$4=TRUE),VLOOKUP($E109,'Status Thresholds'!$E:$AS,28,FALSE),""))))))))/IF(OR($Q$3=TRUE,AND($Q$2=TRUE,$Q$7=TRUE),AND($Q$3=TRUE,$Q$7=TRUE))=TRUE,'Shots and Status'!$F$5,IF((OR($Q$2,$Q$7)=TRUE),'Shots and Status'!$D$5,'Shots and Status'!$C$5)))),0),"-")</f>
        <v>-</v>
      </c>
      <c r="J109" s="36" t="str">
        <f>IFERROR(ROUNDUP(IF(AND($Q$1=FALSE,$S$3=FALSE),"-",IF(AND($Q$1=TRUE,$S$3=TRUE),"-",IF(AND($Q$1=TRUE,$S$1=TRUE,$S$4=FALSE),VLOOKUP($E109,'Status Thresholds'!$E:$AS,14,FALSE),IF(AND($Q$1=TRUE,$S$4=FALSE),VLOOKUP($E109,'Status Thresholds'!$E:$AS,4,FALSE), IF(AND($Q$1=TRUE,$S$1=TRUE,$S$4=TRUE),VLOOKUP($E109,'Status Thresholds'!$E:$AS,19,FALSE),IF(AND($Q$1=TRUE,$S$4=TRUE),VLOOKUP($E109,'Status Thresholds'!$E:$AS,9,FALSE),IF(AND($S$3=TRUE,$S$1=TRUE,$S$4=FALSE),VLOOKUP($E109,'Status Thresholds'!$E:$AS,34,FALSE),IF(AND($S$3=TRUE,$S$4=FALSE),VLOOKUP($E109,'Status Thresholds'!$E:$AS,24,FALSE),IF(AND($S$3=TRUE,$S$1=TRUE,$S$4=TRUE),VLOOKUP($E109,'Status Thresholds'!$E:$AS,39,FALSE),IF(AND($S$3=TRUE,$S$4=TRUE),VLOOKUP($E109,'Status Thresholds'!$E:$AS,29,FALSE),""))))))))/IF(OR($Q$3=TRUE,AND($Q$2=TRUE,$Q$7=TRUE),AND($Q$3=TRUE,$Q$7=TRUE))=TRUE,'Shots and Status'!$F$5,IF((OR($Q$2,$Q$7)=TRUE),'Shots and Status'!$D$5,'Shots and Status'!$C$5)))),0),"-")</f>
        <v>-</v>
      </c>
      <c r="K109" s="36" t="str">
        <f>IFERROR(ROUNDUP(IF(AND($Q$1=FALSE,$S$3=FALSE),"-",IF(AND($Q$1=TRUE,$S$3=TRUE),"-",IF(AND($Q$1=TRUE,$S$1=TRUE,$S$4=FALSE),VLOOKUP($E109,'Status Thresholds'!$E:$AS,15,FALSE),IF(AND($Q$1=TRUE,$S$4=FALSE),VLOOKUP($E109,'Status Thresholds'!$E:$AS,5,FALSE), IF(AND($Q$1=TRUE,$S$1=TRUE,$S$4=TRUE),VLOOKUP($E109,'Status Thresholds'!$E:$AS,20,FALSE),IF(AND($Q$1=TRUE,$S$4=TRUE),VLOOKUP($E109,'Status Thresholds'!$E:$AS,10,FALSE),IF(AND($S$3=TRUE,$S$1=TRUE,$S$4=FALSE),VLOOKUP($E109,'Status Thresholds'!$E:$AS,35,FALSE),IF(AND($S$3=TRUE,$S$4=FALSE),VLOOKUP($E109,'Status Thresholds'!$E:$AS,25,FALSE),IF(AND($S$3=TRUE,$S$1=TRUE,$S$4=TRUE),VLOOKUP($E109,'Status Thresholds'!$E:$AS,40,FALSE),IF(AND($S$3=TRUE,$S$4=TRUE),VLOOKUP($E109,'Status Thresholds'!$E:$AS,30,FALSE),""))))))))/IF(OR($Q$3=TRUE,AND($Q$2=TRUE,$Q$7=TRUE),AND($Q$3=TRUE,$Q$7=TRUE))=TRUE,'Shots and Status'!$F$5,IF((OR($Q$2,$Q$7)=TRUE),'Shots and Status'!$D$5,'Shots and Status'!$C$5)))),0),"-")</f>
        <v>-</v>
      </c>
      <c r="L109" s="36" t="str">
        <f>IFERROR(IF(AND($Q$1=FALSE,$S$3=FALSE),"-",VLOOKUP($E109,'Status Thresholds'!$E:$AU,41,FALSE)),"-")</f>
        <v>-</v>
      </c>
      <c r="M109" s="36" t="str">
        <f>IFERROR(IF(AND($Q$1=FALSE,$S$3=FALSE),"-",VLOOKUP($E109,'Status Thresholds'!$E:$AU,42,FALSE)),"-")</f>
        <v>-</v>
      </c>
      <c r="N109" s="36" t="str">
        <f>IFERROR(IF(AND($Q$1=FALSE,$S$3=FALSE),"-",VLOOKUP($E109,'Status Thresholds'!$E:$AU,43,FALSE)),"-")</f>
        <v>-</v>
      </c>
    </row>
    <row r="110" spans="1:14" s="59" customFormat="1" x14ac:dyDescent="0.25">
      <c r="A110" s="46"/>
      <c r="B110" s="64" t="str">
        <f>VLOOKUP(C110,'Status Thresholds'!B:C,2,FALSE)</f>
        <v>MHGen</v>
      </c>
      <c r="C110" s="46" t="str">
        <f>IF(ISBLANK('KO Calc'!C106)=TRUE,"",'KO Calc'!C106)</f>
        <v>Blangonga</v>
      </c>
      <c r="D110" s="58" t="s">
        <v>33</v>
      </c>
      <c r="E110" s="62" t="str">
        <f t="shared" si="3"/>
        <v>BlangongaPoison</v>
      </c>
      <c r="F110" s="59" t="s">
        <v>6</v>
      </c>
      <c r="G110" s="36" t="str">
        <f t="shared" si="4"/>
        <v>BlangongaPoison lvl 2</v>
      </c>
      <c r="H110" s="36" t="str">
        <f>IFERROR(ROUNDUP(IF(AND($Q$1=FALSE,$S$3=FALSE),"-",IF(AND($Q$1=TRUE,$S$3=TRUE),"-",IF(AND($Q$1=TRUE,$S$1=TRUE,$S$4=FALSE),VLOOKUP($E110,'Status Thresholds'!$E:$AS,12,FALSE),IF(AND($Q$1=TRUE,$S$4=FALSE),VLOOKUP($E110,'Status Thresholds'!$E:$AS,2,FALSE), IF(AND($Q$1=TRUE,$S$1=TRUE,$S$4=TRUE),VLOOKUP($E110,'Status Thresholds'!$E:$AS,17,FALSE),IF(AND($Q$1=TRUE,$S$4=TRUE),VLOOKUP($E110,'Status Thresholds'!$E:$AS,7,FALSE),IF(AND($S$3=TRUE,$S$1=TRUE,$S$4=FALSE),VLOOKUP($E110,'Status Thresholds'!$E:$AS,32,FALSE),IF(AND($S$3=TRUE,$S$4=FALSE),VLOOKUP($E110,'Status Thresholds'!$E:$AS,22,FALSE),IF(AND($S$3=TRUE,$S$1=TRUE,$S$4=TRUE),VLOOKUP($E110,'Status Thresholds'!$E:$AS,37,FALSE),IF(AND($S$3=TRUE,$S$4=TRUE),VLOOKUP($E110,'Status Thresholds'!$E:$AS,27,FALSE),""))))))))/IF(OR($Q$3=TRUE,AND($Q$2=TRUE,$Q$7=TRUE),AND($Q$3=TRUE,$Q$7=TRUE))=TRUE,'Shots and Status'!$F$5,IF((OR($Q$2,$Q$7)=TRUE),'Shots and Status'!$D$5,'Shots and Status'!$C$5)))),0),"-")</f>
        <v>-</v>
      </c>
      <c r="I110" s="36" t="str">
        <f>IFERROR(ROUNDUP(IF(AND($Q$1=FALSE,$S$3=FALSE),"-",IF(AND($Q$1=TRUE,$S$3=TRUE),"-",IF(AND($Q$1=TRUE,$S$1=TRUE,$S$4=FALSE),VLOOKUP($E110,'Status Thresholds'!$E:$AS,13,FALSE),IF(AND($Q$1=TRUE,$S$4=FALSE),VLOOKUP($E110,'Status Thresholds'!$E:$AS,3,FALSE), IF(AND($Q$1=TRUE,$S$1=TRUE,$S$4=TRUE),VLOOKUP($E110,'Status Thresholds'!$E:$AS,18,FALSE),IF(AND($Q$1=TRUE,$S$4=TRUE),VLOOKUP($E110,'Status Thresholds'!$E:$AS,8,FALSE),IF(AND($S$3=TRUE,$S$1=TRUE,$S$4=FALSE),VLOOKUP($E110,'Status Thresholds'!$E:$AS,33,FALSE),IF(AND($S$3=TRUE,$S$4=FALSE),VLOOKUP($E110,'Status Thresholds'!$E:$AS,23,FALSE),IF(AND($S$3=TRUE,$S$1=TRUE,$S$4=TRUE),VLOOKUP($E110,'Status Thresholds'!$E:$AS,38,FALSE),IF(AND($S$3=TRUE,$S$4=TRUE),VLOOKUP($E110,'Status Thresholds'!$E:$AS,28,FALSE),""))))))))/IF(OR($Q$3=TRUE,AND($Q$2=TRUE,$Q$7=TRUE),AND($Q$3=TRUE,$Q$7=TRUE))=TRUE,'Shots and Status'!$F$5,IF((OR($Q$2,$Q$7)=TRUE),'Shots and Status'!$D$5,'Shots and Status'!$C$5)))),0),"-")</f>
        <v>-</v>
      </c>
      <c r="J110" s="36" t="str">
        <f>IFERROR(ROUNDUP(IF(AND($Q$1=FALSE,$S$3=FALSE),"-",IF(AND($Q$1=TRUE,$S$3=TRUE),"-",IF(AND($Q$1=TRUE,$S$1=TRUE,$S$4=FALSE),VLOOKUP($E110,'Status Thresholds'!$E:$AS,14,FALSE),IF(AND($Q$1=TRUE,$S$4=FALSE),VLOOKUP($E110,'Status Thresholds'!$E:$AS,4,FALSE), IF(AND($Q$1=TRUE,$S$1=TRUE,$S$4=TRUE),VLOOKUP($E110,'Status Thresholds'!$E:$AS,19,FALSE),IF(AND($Q$1=TRUE,$S$4=TRUE),VLOOKUP($E110,'Status Thresholds'!$E:$AS,9,FALSE),IF(AND($S$3=TRUE,$S$1=TRUE,$S$4=FALSE),VLOOKUP($E110,'Status Thresholds'!$E:$AS,34,FALSE),IF(AND($S$3=TRUE,$S$4=FALSE),VLOOKUP($E110,'Status Thresholds'!$E:$AS,24,FALSE),IF(AND($S$3=TRUE,$S$1=TRUE,$S$4=TRUE),VLOOKUP($E110,'Status Thresholds'!$E:$AS,39,FALSE),IF(AND($S$3=TRUE,$S$4=TRUE),VLOOKUP($E110,'Status Thresholds'!$E:$AS,29,FALSE),""))))))))/IF(OR($Q$3=TRUE,AND($Q$2=TRUE,$Q$7=TRUE),AND($Q$3=TRUE,$Q$7=TRUE))=TRUE,'Shots and Status'!$F$5,IF((OR($Q$2,$Q$7)=TRUE),'Shots and Status'!$D$5,'Shots and Status'!$C$5)))),0),"-")</f>
        <v>-</v>
      </c>
      <c r="K110" s="36" t="str">
        <f>IFERROR(ROUNDUP(IF(AND($Q$1=FALSE,$S$3=FALSE),"-",IF(AND($Q$1=TRUE,$S$3=TRUE),"-",IF(AND($Q$1=TRUE,$S$1=TRUE,$S$4=FALSE),VLOOKUP($E110,'Status Thresholds'!$E:$AS,15,FALSE),IF(AND($Q$1=TRUE,$S$4=FALSE),VLOOKUP($E110,'Status Thresholds'!$E:$AS,5,FALSE), IF(AND($Q$1=TRUE,$S$1=TRUE,$S$4=TRUE),VLOOKUP($E110,'Status Thresholds'!$E:$AS,20,FALSE),IF(AND($Q$1=TRUE,$S$4=TRUE),VLOOKUP($E110,'Status Thresholds'!$E:$AS,10,FALSE),IF(AND($S$3=TRUE,$S$1=TRUE,$S$4=FALSE),VLOOKUP($E110,'Status Thresholds'!$E:$AS,35,FALSE),IF(AND($S$3=TRUE,$S$4=FALSE),VLOOKUP($E110,'Status Thresholds'!$E:$AS,25,FALSE),IF(AND($S$3=TRUE,$S$1=TRUE,$S$4=TRUE),VLOOKUP($E110,'Status Thresholds'!$E:$AS,40,FALSE),IF(AND($S$3=TRUE,$S$4=TRUE),VLOOKUP($E110,'Status Thresholds'!$E:$AS,30,FALSE),""))))))))/IF(OR($Q$3=TRUE,AND($Q$2=TRUE,$Q$7=TRUE),AND($Q$3=TRUE,$Q$7=TRUE))=TRUE,'Shots and Status'!$F$5,IF((OR($Q$2,$Q$7)=TRUE),'Shots and Status'!$D$5,'Shots and Status'!$C$5)))),0),"-")</f>
        <v>-</v>
      </c>
      <c r="L110" s="36" t="str">
        <f>IFERROR(IF(AND($Q$1=FALSE,$S$3=FALSE),"-",VLOOKUP($E110,'Status Thresholds'!$E:$AU,41,FALSE)),"-")</f>
        <v>-</v>
      </c>
      <c r="M110" s="36" t="str">
        <f>IFERROR(IF(AND($Q$1=FALSE,$S$3=FALSE),"-",VLOOKUP($E110,'Status Thresholds'!$E:$AU,42,FALSE)),"-")</f>
        <v>-</v>
      </c>
      <c r="N110" s="36" t="str">
        <f>IFERROR(IF(AND($Q$1=FALSE,$S$3=FALSE),"-",VLOOKUP($E110,'Status Thresholds'!$E:$AU,43,FALSE)),"-")</f>
        <v>-</v>
      </c>
    </row>
    <row r="111" spans="1:14" s="36" customFormat="1" x14ac:dyDescent="0.25">
      <c r="A111" s="46"/>
      <c r="B111" s="64" t="str">
        <f>VLOOKUP(C111,'Status Thresholds'!B:C,2,FALSE)</f>
        <v>MHGen</v>
      </c>
      <c r="C111" s="46" t="str">
        <f>IF(ISBLANK('KO Calc'!C107)=TRUE,"",'KO Calc'!C107)</f>
        <v>Blangonga</v>
      </c>
      <c r="D111" s="57" t="s">
        <v>22</v>
      </c>
      <c r="E111" s="62" t="str">
        <f t="shared" si="3"/>
        <v>BlangongaExhaust</v>
      </c>
      <c r="F111" s="36" t="s">
        <v>8</v>
      </c>
      <c r="G111" s="36" t="str">
        <f t="shared" si="4"/>
        <v>BlangongaExhaust lvl 2</v>
      </c>
      <c r="H111" s="36" t="str">
        <f>IFERROR(ROUNDUP(IF(AND($Q$1=FALSE,$S$3=FALSE),"-",IF(AND($Q$1=TRUE,$S$3=TRUE),"-",IF(AND($Q$1=TRUE,$S$1=TRUE,$S$4=FALSE),VLOOKUP($E111,'Status Thresholds'!$E:$AS,12,FALSE),IF(AND($Q$1=TRUE,$S$4=FALSE),VLOOKUP($E111,'Status Thresholds'!$E:$AS,2,FALSE), IF(AND($Q$1=TRUE,$S$1=TRUE,$S$4=TRUE),VLOOKUP($E111,'Status Thresholds'!$E:$AS,17,FALSE),IF(AND($Q$1=TRUE,$S$4=TRUE),VLOOKUP($E111,'Status Thresholds'!$E:$AS,7,FALSE),IF(AND($S$3=TRUE,$S$1=TRUE,$S$4=FALSE),VLOOKUP($E111,'Status Thresholds'!$E:$AS,32,FALSE),IF(AND($S$3=TRUE,$S$4=FALSE),VLOOKUP($E111,'Status Thresholds'!$E:$AS,22,FALSE),IF(AND($S$3=TRUE,$S$1=TRUE,$S$4=TRUE),VLOOKUP($E111,'Status Thresholds'!$E:$AS,37,FALSE),IF(AND($S$3=TRUE,$S$4=TRUE),VLOOKUP($E111,'Status Thresholds'!$E:$AS,27,FALSE),""))))))))/IF(OR($Q$3=TRUE,AND($Q$2=TRUE,$Q$7=TRUE),AND($Q$3=TRUE,$Q$7=TRUE))=TRUE,'Shots and Status'!$F$5,IF((OR($Q$2,$Q$7)=TRUE),'Shots and Status'!$D$5,'Shots and Status'!$C$5)))),0),"-")</f>
        <v>-</v>
      </c>
      <c r="I111" s="36" t="str">
        <f>IFERROR(ROUNDUP(IF(AND($Q$1=FALSE,$S$3=FALSE),"-",IF(AND($Q$1=TRUE,$S$3=TRUE),"-",IF(AND($Q$1=TRUE,$S$1=TRUE,$S$4=FALSE),VLOOKUP($E111,'Status Thresholds'!$E:$AS,13,FALSE),IF(AND($Q$1=TRUE,$S$4=FALSE),VLOOKUP($E111,'Status Thresholds'!$E:$AS,3,FALSE), IF(AND($Q$1=TRUE,$S$1=TRUE,$S$4=TRUE),VLOOKUP($E111,'Status Thresholds'!$E:$AS,18,FALSE),IF(AND($Q$1=TRUE,$S$4=TRUE),VLOOKUP($E111,'Status Thresholds'!$E:$AS,8,FALSE),IF(AND($S$3=TRUE,$S$1=TRUE,$S$4=FALSE),VLOOKUP($E111,'Status Thresholds'!$E:$AS,33,FALSE),IF(AND($S$3=TRUE,$S$4=FALSE),VLOOKUP($E111,'Status Thresholds'!$E:$AS,23,FALSE),IF(AND($S$3=TRUE,$S$1=TRUE,$S$4=TRUE),VLOOKUP($E111,'Status Thresholds'!$E:$AS,38,FALSE),IF(AND($S$3=TRUE,$S$4=TRUE),VLOOKUP($E111,'Status Thresholds'!$E:$AS,28,FALSE),""))))))))/IF(OR($Q$3=TRUE,AND($Q$2=TRUE,$Q$7=TRUE),AND($Q$3=TRUE,$Q$7=TRUE))=TRUE,'Shots and Status'!$F$5,IF((OR($Q$2,$Q$7)=TRUE),'Shots and Status'!$D$5,'Shots and Status'!$C$5)))),0),"-")</f>
        <v>-</v>
      </c>
      <c r="J111" s="36" t="str">
        <f>IFERROR(ROUNDUP(IF(AND($Q$1=FALSE,$S$3=FALSE),"-",IF(AND($Q$1=TRUE,$S$3=TRUE),"-",IF(AND($Q$1=TRUE,$S$1=TRUE,$S$4=FALSE),VLOOKUP($E111,'Status Thresholds'!$E:$AS,14,FALSE),IF(AND($Q$1=TRUE,$S$4=FALSE),VLOOKUP($E111,'Status Thresholds'!$E:$AS,4,FALSE), IF(AND($Q$1=TRUE,$S$1=TRUE,$S$4=TRUE),VLOOKUP($E111,'Status Thresholds'!$E:$AS,19,FALSE),IF(AND($Q$1=TRUE,$S$4=TRUE),VLOOKUP($E111,'Status Thresholds'!$E:$AS,9,FALSE),IF(AND($S$3=TRUE,$S$1=TRUE,$S$4=FALSE),VLOOKUP($E111,'Status Thresholds'!$E:$AS,34,FALSE),IF(AND($S$3=TRUE,$S$4=FALSE),VLOOKUP($E111,'Status Thresholds'!$E:$AS,24,FALSE),IF(AND($S$3=TRUE,$S$1=TRUE,$S$4=TRUE),VLOOKUP($E111,'Status Thresholds'!$E:$AS,39,FALSE),IF(AND($S$3=TRUE,$S$4=TRUE),VLOOKUP($E111,'Status Thresholds'!$E:$AS,29,FALSE),""))))))))/IF(OR($Q$3=TRUE,AND($Q$2=TRUE,$Q$7=TRUE),AND($Q$3=TRUE,$Q$7=TRUE))=TRUE,'Shots and Status'!$F$5,IF((OR($Q$2,$Q$7)=TRUE),'Shots and Status'!$D$5,'Shots and Status'!$C$5)))),0),"-")</f>
        <v>-</v>
      </c>
      <c r="K111" s="36" t="str">
        <f>IFERROR(ROUNDUP(IF(AND($Q$1=FALSE,$S$3=FALSE),"-",IF(AND($Q$1=TRUE,$S$3=TRUE),"-",IF(AND($Q$1=TRUE,$S$1=TRUE,$S$4=FALSE),VLOOKUP($E111,'Status Thresholds'!$E:$AS,15,FALSE),IF(AND($Q$1=TRUE,$S$4=FALSE),VLOOKUP($E111,'Status Thresholds'!$E:$AS,5,FALSE), IF(AND($Q$1=TRUE,$S$1=TRUE,$S$4=TRUE),VLOOKUP($E111,'Status Thresholds'!$E:$AS,20,FALSE),IF(AND($Q$1=TRUE,$S$4=TRUE),VLOOKUP($E111,'Status Thresholds'!$E:$AS,10,FALSE),IF(AND($S$3=TRUE,$S$1=TRUE,$S$4=FALSE),VLOOKUP($E111,'Status Thresholds'!$E:$AS,35,FALSE),IF(AND($S$3=TRUE,$S$4=FALSE),VLOOKUP($E111,'Status Thresholds'!$E:$AS,25,FALSE),IF(AND($S$3=TRUE,$S$1=TRUE,$S$4=TRUE),VLOOKUP($E111,'Status Thresholds'!$E:$AS,40,FALSE),IF(AND($S$3=TRUE,$S$4=TRUE),VLOOKUP($E111,'Status Thresholds'!$E:$AS,30,FALSE),""))))))))/IF(OR($Q$3=TRUE,AND($Q$2=TRUE,$Q$7=TRUE),AND($Q$3=TRUE,$Q$7=TRUE))=TRUE,'Shots and Status'!$F$5,IF((OR($Q$2,$Q$7)=TRUE),'Shots and Status'!$D$5,'Shots and Status'!$C$5)))),0),"-")</f>
        <v>-</v>
      </c>
      <c r="L111" s="36" t="str">
        <f>IFERROR(IF(AND($Q$1=FALSE,$S$3=FALSE),"-",VLOOKUP($E111,'Status Thresholds'!$E:$AU,41,FALSE)),"-")</f>
        <v>-</v>
      </c>
      <c r="M111" s="36" t="str">
        <f>IFERROR(IF(AND($Q$1=FALSE,$S$3=FALSE),"-",VLOOKUP($E111,'Status Thresholds'!$E:$AU,42,FALSE)),"-")</f>
        <v>-</v>
      </c>
      <c r="N111" s="36" t="str">
        <f>IFERROR(IF(AND($Q$1=FALSE,$S$3=FALSE),"-",VLOOKUP($E111,'Status Thresholds'!$E:$AU,43,FALSE)),"-")</f>
        <v>-</v>
      </c>
    </row>
    <row r="112" spans="1:14" s="36" customFormat="1" x14ac:dyDescent="0.25">
      <c r="A112" s="46"/>
      <c r="B112" s="64" t="str">
        <f>VLOOKUP(C112,'Status Thresholds'!B:C,2,FALSE)</f>
        <v>MHGen</v>
      </c>
      <c r="C112" s="46" t="str">
        <f>IF(ISBLANK('KO Calc'!C108)=TRUE,"",'KO Calc'!C108)</f>
        <v>Blangonga</v>
      </c>
      <c r="D112" s="67" t="s">
        <v>14</v>
      </c>
      <c r="E112" s="62" t="str">
        <f t="shared" si="3"/>
        <v>BlangongaKO</v>
      </c>
      <c r="F112" s="36" t="s">
        <v>21</v>
      </c>
      <c r="G112" s="36" t="str">
        <f t="shared" si="4"/>
        <v>BlangongaTriblast</v>
      </c>
      <c r="H112" s="36" t="str">
        <f>IF(AND($Q$1=FALSE,$S$3=FALSE),"-",IF(AND($Q$1=TRUE,$S$3=TRUE),"-",IF(AND($Q$1=FALSE,$S$3=FALSE),"-",IF(AND($Q$1=TRUE,$S$1=TRUE,$S$4=FALSE)=TRUE,IF(OR($Q$4=TRUE,$Q$5=TRUE,$S$2=TRUE),VLOOKUP($G112,'KO Calc'!$H:$AW,12,FALSE),VLOOKUP($G112,'KO Calc'!$H109:$AW109,12,FALSE)),IF(AND($Q$1=TRUE,$S$4=FALSE),IF(OR($Q$4=TRUE,$Q$5=TRUE,$S$2=TRUE),VLOOKUP($G112,'KO Calc'!$H:$AW,2,FALSE),VLOOKUP($G112,'KO Calc'!$H109:$AW109,2,FALSE)),
IF(AND($Q$1=TRUE,$S$1=TRUE,$S$4=TRUE)=TRUE,IF(OR($Q$4=TRUE,$Q$5=TRUE,$S$2=TRUE),VLOOKUP($G112,'KO Calc'!$H:$AW,17,FALSE),VLOOKUP($G112,'KO Calc'!$H109:$AW109,17,FALSE)),IF(AND($Q$1=TRUE,$S$4=TRUE),IF(OR($Q$4=TRUE,$Q$5=TRUE,$S$2=TRUE),VLOOKUP($G112,'KO Calc'!$H:$AW,7,FALSE),VLOOKUP($G112,'KO Calc'!$H109:$AW109,7,FALSE)),
IF(AND($S$3=TRUE,$S$1=TRUE,$S$4=FALSE)=TRUE,IF(OR($Q$4=TRUE,$Q$5=TRUE,$S$2=TRUE),VLOOKUP($G112,'KO Calc'!$H:$AW,32,FALSE),VLOOKUP($G112,'KO Calc'!$H109:$AW109,32,FALSE)),IF(AND($S$3=TRUE,$S$4=FALSE),IF(OR($Q$4=TRUE,$Q$5=TRUE,$S$2=TRUE),VLOOKUP($G112,'KO Calc'!$H:$AW,22,FALSE),VLOOKUP($G112,'KO Calc'!$H109:$AW109,22,FALSE)),
IF(AND($S$3=TRUE,$S$1=TRUE,$S$4=TRUE)=TRUE,IF(OR($Q$4=TRUE,$Q$5=TRUE,$S$2=TRUE),VLOOKUP($G112,'KO Calc'!$H:$AW,37,FALSE),VLOOKUP($G112,'KO Calc'!$H109:$AW109,37,FALSE)),IF(AND($S$3=TRUE,$S$4=TRUE),IF(OR($Q$4=TRUE,$Q$5=TRUE,$S$2=TRUE),VLOOKUP($G112,'KO Calc'!$H:$AW,27,FALSE),VLOOKUP($G112,'KO Calc'!$H109:$AW109,27,FALSE)))))))))))))</f>
        <v>-</v>
      </c>
      <c r="I112" s="36" t="str">
        <f>IF(AND($Q$1=FALSE,$S$3=FALSE),"-",IF(AND($Q$1=TRUE,$S$3=TRUE),"-",IF(AND($Q$1=FALSE,$S$3=FALSE),"-",IF(AND($Q$1=TRUE,$S$1=TRUE,$S$4=FALSE)=TRUE,IF(OR($Q$4=TRUE,$Q$5=TRUE,$S$2=TRUE),VLOOKUP($G112,'KO Calc'!$H:$AW,13,FALSE),VLOOKUP($G112,'KO Calc'!$H109:$AW109,13,FALSE)),IF(AND($Q$1=TRUE,$S$4=FALSE),IF(OR($Q$4=TRUE,$Q$5=TRUE,$S$2=TRUE),VLOOKUP($G112,'KO Calc'!$H:$AW,3,FALSE),VLOOKUP($G112,'KO Calc'!$H109:$AW109,3,FALSE)),
IF(AND($Q$1=TRUE,$S$1=TRUE,$S$4=TRUE)=TRUE,IF(OR($Q$4=TRUE,$Q$5=TRUE,$S$2=TRUE),VLOOKUP($G112,'KO Calc'!$H:$AW,18,FALSE),VLOOKUP($G112,'KO Calc'!$H109:$AW109,18,FALSE)),IF(AND($Q$1=TRUE,$S$4=TRUE),IF(OR($Q$4=TRUE,$Q$5=TRUE,$S$2=TRUE),VLOOKUP($G112,'KO Calc'!$H:$AW,8,FALSE),VLOOKUP($G112,'KO Calc'!$H109:$AW109,8,FALSE)),
IF(AND($S$3=TRUE,$S$1=TRUE,$S$4=FALSE)=TRUE,IF(OR($Q$4=TRUE,$Q$5=TRUE,$S$2=TRUE),VLOOKUP($G112,'KO Calc'!$H:$AW,33,FALSE),VLOOKUP($G112,'KO Calc'!$H109:$AW109,33,FALSE)),IF(AND($S$3=TRUE,$S$4=FALSE),IF(OR($Q$4=TRUE,$Q$5=TRUE,$S$2=TRUE),VLOOKUP($G112,'KO Calc'!$H:$AW,23,FALSE),VLOOKUP($G112,'KO Calc'!$H109:$AW109,23,FALSE)),
IF(AND($S$3=TRUE,$S$1=TRUE,$S$4=TRUE)=TRUE,IF(OR($Q$4=TRUE,$Q$5=TRUE,$S$2=TRUE),VLOOKUP($G112,'KO Calc'!$H:$AW,38,FALSE),VLOOKUP($G112,'KO Calc'!$H109:$AW109,38,FALSE)),IF(AND($S$3=TRUE,$S$4=TRUE),IF(OR($Q$4=TRUE,$Q$5=TRUE,$S$2=TRUE),VLOOKUP($G112,'KO Calc'!$H:$AW,28,FALSE),VLOOKUP($G112,'KO Calc'!$H109:$AW109,28,FALSE)))))))))))))</f>
        <v>-</v>
      </c>
      <c r="J112" s="36" t="str">
        <f>IF(AND($Q$1=FALSE,$S$3=FALSE),"-",IF(AND($Q$1=TRUE,$S$3=TRUE),"-",IF(AND($Q$1=FALSE,$S$3=FALSE),"-",IF(AND($Q$1=TRUE,$S$1=TRUE,$S$4=FALSE)=TRUE,IF(OR($Q$4=TRUE,$Q$5=TRUE,$S$2=TRUE),VLOOKUP($G112,'KO Calc'!$H:$AW,FALSE),VLOOKUP($G112,'KO Calc'!$H109:$AW109,14,FALSE)),IF(AND($Q$1=TRUE,$S$4=FALSE),IF(OR($Q$4=TRUE,$Q$5=TRUE,$S$2=TRUE),VLOOKUP($G112,'KO Calc'!$H:$AW,4,FALSE),VLOOKUP($G112,'KO Calc'!$H109:$AW109,4,FALSE)),
IF(AND($Q$1=TRUE,$S$1=TRUE,$S$4=TRUE)=TRUE,IF(OR($Q$4=TRUE,$Q$5=TRUE,$S$2=TRUE),VLOOKUP($G112,'KO Calc'!$H:$AW,19,FALSE),VLOOKUP($G112,'KO Calc'!$H109:$AW109,19,FALSE)),IF(AND($Q$1=TRUE,$S$4=TRUE),IF(OR($Q$4=TRUE,$Q$5=TRUE,$S$2=TRUE),VLOOKUP($G112,'KO Calc'!$H:$AW,9,FALSE),VLOOKUP($G112,'KO Calc'!$H109:$AW109,9,FALSE)),
IF(AND($S$3=TRUE,$S$1=TRUE,$S$4=FALSE)=TRUE,IF(OR($Q$4=TRUE,$Q$5=TRUE,$S$2=TRUE),VLOOKUP($G112,'KO Calc'!$H:$AW,34,FALSE),VLOOKUP($G112,'KO Calc'!$H109:$AW109,34,FALSE)),IF(AND($S$3=TRUE,$S$4=FALSE),IF(OR($Q$4=TRUE,$Q$5=TRUE,$S$2=TRUE),VLOOKUP($G112,'KO Calc'!$H:$AW,24,FALSE),VLOOKUP($G112,'KO Calc'!$H109:$AW109,24,FALSE)),
IF(AND($S$3=TRUE,$S$1=TRUE,$S$4=TRUE)=TRUE,IF(OR($Q$4=TRUE,$Q$5=TRUE,$S$2=TRUE),VLOOKUP($G112,'KO Calc'!$H:$AW,39,FALSE),VLOOKUP($G112,'KO Calc'!$H109:$AW109,39,FALSE)),IF(AND($S$3=TRUE,$S$4=TRUE),IF(OR($Q$4=TRUE,$Q$5=TRUE,$S$2=TRUE),VLOOKUP($G112,'KO Calc'!$H:$AW,29,FALSE),VLOOKUP($G112,'KO Calc'!$H109:$AW109,29,FALSE)))))))))))))</f>
        <v>-</v>
      </c>
      <c r="K112" s="36" t="str">
        <f>IF(AND($Q$1=FALSE,$S$3=FALSE),"-",IF(AND($Q$1=TRUE,$S$3=TRUE),"-",IF(AND($Q$1=FALSE,$S$3=FALSE),"-",IF(AND($Q$1=TRUE,$S$1=TRUE,$S$4=FALSE)=TRUE,IF(OR($Q$4=TRUE,$Q$5=TRUE,$S$2=TRUE),VLOOKUP($G112,'KO Calc'!$H:$AW,15,FALSE),VLOOKUP($G112,'KO Calc'!$H109:$AW109,15,FALSE)),IF(AND($Q$1=TRUE,$S$4=FALSE),IF(OR($Q$4=TRUE,$Q$5=TRUE,$S$2=TRUE),VLOOKUP($G112,'KO Calc'!$H:$AW,5,FALSE),VLOOKUP($G112,'KO Calc'!$H109:$AW109,5,FALSE)),
IF(AND($Q$1=TRUE,$S$1=TRUE,$S$4=TRUE)=TRUE,IF(OR($Q$4=TRUE,$Q$5=TRUE,$S$2=TRUE),VLOOKUP($G112,'KO Calc'!$H:$AW,20,FALSE),VLOOKUP($G112,'KO Calc'!$H109:$AW109,20,FALSE)),IF(AND($Q$1=TRUE,$S$4=TRUE),IF(OR($Q$4=TRUE,$Q$5=TRUE,$S$2=TRUE),VLOOKUP($G112,'KO Calc'!$H:$AW,10,FALSE),VLOOKUP($G112,'KO Calc'!$H109:$AW109,10,FALSE)),
IF(AND($S$3=TRUE,$S$1=TRUE,$S$4=FALSE)=TRUE,IF(OR($Q$4=TRUE,$Q$5=TRUE,$S$2=TRUE),VLOOKUP($G112,'KO Calc'!$H:$AW,35,FALSE),VLOOKUP($G112,'KO Calc'!$H109:$AW109,35,FALSE)),IF(AND($S$3=TRUE,$S$4=FALSE),IF(OR($Q$4=TRUE,$Q$5=TRUE,$S$2=TRUE),VLOOKUP($G112,'KO Calc'!$H:$AW,25,FALSE),VLOOKUP($G112,'KO Calc'!$H109:$AW109,25,FALSE)),
IF(AND($S$3=TRUE,$S$1=TRUE,$S$4=TRUE)=TRUE,IF(OR($Q$4=TRUE,$Q$5=TRUE,$S$2=TRUE),VLOOKUP($G112,'KO Calc'!$H:$AW,40,FALSE),VLOOKUP($G112,'KO Calc'!$H109:$AW109,40,FALSE)),IF(AND($S$3=TRUE,$S$4=TRUE),IF(OR($Q$4=TRUE,$Q$5=TRUE,$S$2=TRUE),VLOOKUP($G112,'KO Calc'!$H:$AW,30,FALSE),VLOOKUP($G112,'KO Calc'!$H109:$AW109,30,FALSE)))))))))))))</f>
        <v>-</v>
      </c>
      <c r="L112" s="36" t="str">
        <f>IFERROR(IF(AND($Q$1=FALSE,$S$3=FALSE),"-",VLOOKUP($E112,'Status Thresholds'!$E:$AU,41,FALSE)),"-")</f>
        <v>-</v>
      </c>
      <c r="M112" s="36" t="str">
        <f>IFERROR(IF(AND($Q$1=FALSE,$S$3=FALSE),"-",VLOOKUP($E112,'Status Thresholds'!$E:$AU,42,FALSE)),"-")</f>
        <v>-</v>
      </c>
      <c r="N112" s="36" t="str">
        <f>IFERROR(IF(AND($Q$1=FALSE,$S$3=FALSE),"-",VLOOKUP($E112,'Status Thresholds'!$E:$AU,43,FALSE)),"-")</f>
        <v>-</v>
      </c>
    </row>
    <row r="113" spans="1:14" x14ac:dyDescent="0.25">
      <c r="B113" s="64" t="str">
        <f>VLOOKUP(C113,'Status Thresholds'!B:C,2,FALSE)</f>
        <v>MHGen</v>
      </c>
      <c r="C113" s="46" t="str">
        <f>IF(ISBLANK('KO Calc'!C109)=TRUE,"",'KO Calc'!C109)</f>
        <v>Blangonga</v>
      </c>
      <c r="D113" s="78" t="s">
        <v>207</v>
      </c>
      <c r="E113" s="62" t="str">
        <f t="shared" si="3"/>
        <v>BlangongaShock Trap</v>
      </c>
      <c r="F113" t="s">
        <v>13</v>
      </c>
      <c r="G113" s="36" t="str">
        <f t="shared" si="4"/>
        <v>BlangongaCrag 3</v>
      </c>
      <c r="H113" s="36" t="str">
        <f>IF(AND($Q$1=FALSE,$S$3=FALSE),"-",IF(AND($Q$1=TRUE,$S$3=TRUE),"-",IF(AND($Q$1=FALSE,$S$3=FALSE),"-",IF(AND($Q$1=TRUE,$S$1=TRUE,$S$4=FALSE)=TRUE,IF(OR($Q$4=TRUE,$Q$5=TRUE,$S$2=TRUE),VLOOKUP($G113,'KO Calc'!$H:$AW,12,FALSE),VLOOKUP($G113,'KO Calc'!$H110:$AW110,12,FALSE)),IF(AND($Q$1=TRUE,$S$4=FALSE),IF(OR($Q$4=TRUE,$Q$5=TRUE,$S$2=TRUE),VLOOKUP($G113,'KO Calc'!$H:$AW,2,FALSE),VLOOKUP($G113,'KO Calc'!$H110:$AW110,2,FALSE)),
IF(AND($Q$1=TRUE,$S$1=TRUE,$S$4=TRUE)=TRUE,IF(OR($Q$4=TRUE,$Q$5=TRUE,$S$2=TRUE),VLOOKUP($G113,'KO Calc'!$H:$AW,17,FALSE),VLOOKUP($G113,'KO Calc'!$H110:$AW110,17,FALSE)),IF(AND($Q$1=TRUE,$S$4=TRUE),IF(OR($Q$4=TRUE,$Q$5=TRUE,$S$2=TRUE),VLOOKUP($G113,'KO Calc'!$H:$AW,7,FALSE),VLOOKUP($G113,'KO Calc'!$H110:$AW110,7,FALSE)),
IF(AND($S$3=TRUE,$S$1=TRUE,$S$4=FALSE)=TRUE,IF(OR($Q$4=TRUE,$Q$5=TRUE,$S$2=TRUE),VLOOKUP($G113,'KO Calc'!$H:$AW,32,FALSE),VLOOKUP($G113,'KO Calc'!$H110:$AW110,32,FALSE)),IF(AND($S$3=TRUE,$S$4=FALSE),IF(OR($Q$4=TRUE,$Q$5=TRUE,$S$2=TRUE),VLOOKUP($G113,'KO Calc'!$H:$AW,22,FALSE),VLOOKUP($G113,'KO Calc'!$H110:$AW110,22,FALSE)),
IF(AND($S$3=TRUE,$S$1=TRUE,$S$4=TRUE)=TRUE,IF(OR($Q$4=TRUE,$Q$5=TRUE,$S$2=TRUE),VLOOKUP($G113,'KO Calc'!$H:$AW,37,FALSE),VLOOKUP($G113,'KO Calc'!$H110:$AW110,37,FALSE)),IF(AND($S$3=TRUE,$S$4=TRUE),IF(OR($Q$4=TRUE,$Q$5=TRUE,$S$2=TRUE),VLOOKUP($G113,'KO Calc'!$H:$AW,27,FALSE),VLOOKUP($G113,'KO Calc'!$H110:$AW110,27,FALSE)))))))))))))</f>
        <v>-</v>
      </c>
      <c r="I113" s="36" t="str">
        <f>IF(AND($Q$1=FALSE,$S$3=FALSE),"-",IF(AND($Q$1=TRUE,$S$3=TRUE),"-",IF(AND($Q$1=FALSE,$S$3=FALSE),"-",IF(AND($Q$1=TRUE,$S$1=TRUE,$S$4=FALSE)=TRUE,IF(OR($Q$4=TRUE,$Q$5=TRUE,$S$2=TRUE),VLOOKUP($G113,'KO Calc'!$H:$AW,13,FALSE),VLOOKUP($G113,'KO Calc'!$H110:$AW110,13,FALSE)),IF(AND($Q$1=TRUE,$S$4=FALSE),IF(OR($Q$4=TRUE,$Q$5=TRUE,$S$2=TRUE),VLOOKUP($G113,'KO Calc'!$H:$AW,3,FALSE),VLOOKUP($G113,'KO Calc'!$H110:$AW110,3,FALSE)),
IF(AND($Q$1=TRUE,$S$1=TRUE,$S$4=TRUE)=TRUE,IF(OR($Q$4=TRUE,$Q$5=TRUE,$S$2=TRUE),VLOOKUP($G113,'KO Calc'!$H:$AW,18,FALSE),VLOOKUP($G113,'KO Calc'!$H110:$AW110,18,FALSE)),IF(AND($Q$1=TRUE,$S$4=TRUE),IF(OR($Q$4=TRUE,$Q$5=TRUE,$S$2=TRUE),VLOOKUP($G113,'KO Calc'!$H:$AW,8,FALSE),VLOOKUP($G113,'KO Calc'!$H110:$AW110,8,FALSE)),
IF(AND($S$3=TRUE,$S$1=TRUE,$S$4=FALSE)=TRUE,IF(OR($Q$4=TRUE,$Q$5=TRUE,$S$2=TRUE),VLOOKUP($G113,'KO Calc'!$H:$AW,33,FALSE),VLOOKUP($G113,'KO Calc'!$H110:$AW110,33,FALSE)),IF(AND($S$3=TRUE,$S$4=FALSE),IF(OR($Q$4=TRUE,$Q$5=TRUE,$S$2=TRUE),VLOOKUP($G113,'KO Calc'!$H:$AW,23,FALSE),VLOOKUP($G113,'KO Calc'!$H110:$AW110,23,FALSE)),
IF(AND($S$3=TRUE,$S$1=TRUE,$S$4=TRUE)=TRUE,IF(OR($Q$4=TRUE,$Q$5=TRUE,$S$2=TRUE),VLOOKUP($G113,'KO Calc'!$H:$AW,38,FALSE),VLOOKUP($G113,'KO Calc'!$H110:$AW110,38,FALSE)),IF(AND($S$3=TRUE,$S$4=TRUE),IF(OR($Q$4=TRUE,$Q$5=TRUE,$S$2=TRUE),VLOOKUP($G113,'KO Calc'!$H:$AW,28,FALSE),VLOOKUP($G113,'KO Calc'!$H110:$AW110,28,FALSE)))))))))))))</f>
        <v>-</v>
      </c>
      <c r="J113" s="36" t="str">
        <f>IF(AND($Q$1=FALSE,$S$3=FALSE),"-",IF(AND($Q$1=TRUE,$S$3=TRUE),"-",IF(AND($Q$1=FALSE,$S$3=FALSE),"-",IF(AND($Q$1=TRUE,$S$1=TRUE,$S$4=FALSE)=TRUE,IF(OR($Q$4=TRUE,$Q$5=TRUE,$S$2=TRUE),VLOOKUP($G113,'KO Calc'!$H:$AW,FALSE),VLOOKUP($G113,'KO Calc'!$H110:$AW110,14,FALSE)),IF(AND($Q$1=TRUE,$S$4=FALSE),IF(OR($Q$4=TRUE,$Q$5=TRUE,$S$2=TRUE),VLOOKUP($G113,'KO Calc'!$H:$AW,4,FALSE),VLOOKUP($G113,'KO Calc'!$H110:$AW110,4,FALSE)),
IF(AND($Q$1=TRUE,$S$1=TRUE,$S$4=TRUE)=TRUE,IF(OR($Q$4=TRUE,$Q$5=TRUE,$S$2=TRUE),VLOOKUP($G113,'KO Calc'!$H:$AW,19,FALSE),VLOOKUP($G113,'KO Calc'!$H110:$AW110,19,FALSE)),IF(AND($Q$1=TRUE,$S$4=TRUE),IF(OR($Q$4=TRUE,$Q$5=TRUE,$S$2=TRUE),VLOOKUP($G113,'KO Calc'!$H:$AW,9,FALSE),VLOOKUP($G113,'KO Calc'!$H110:$AW110,9,FALSE)),
IF(AND($S$3=TRUE,$S$1=TRUE,$S$4=FALSE)=TRUE,IF(OR($Q$4=TRUE,$Q$5=TRUE,$S$2=TRUE),VLOOKUP($G113,'KO Calc'!$H:$AW,34,FALSE),VLOOKUP($G113,'KO Calc'!$H110:$AW110,34,FALSE)),IF(AND($S$3=TRUE,$S$4=FALSE),IF(OR($Q$4=TRUE,$Q$5=TRUE,$S$2=TRUE),VLOOKUP($G113,'KO Calc'!$H:$AW,24,FALSE),VLOOKUP($G113,'KO Calc'!$H110:$AW110,24,FALSE)),
IF(AND($S$3=TRUE,$S$1=TRUE,$S$4=TRUE)=TRUE,IF(OR($Q$4=TRUE,$Q$5=TRUE,$S$2=TRUE),VLOOKUP($G113,'KO Calc'!$H:$AW,39,FALSE),VLOOKUP($G113,'KO Calc'!$H110:$AW110,39,FALSE)),IF(AND($S$3=TRUE,$S$4=TRUE),IF(OR($Q$4=TRUE,$Q$5=TRUE,$S$2=TRUE),VLOOKUP($G113,'KO Calc'!$H:$AW,29,FALSE),VLOOKUP($G113,'KO Calc'!$H110:$AW110,29,FALSE)))))))))))))</f>
        <v>-</v>
      </c>
      <c r="K113" s="36" t="str">
        <f>IF(AND($Q$1=FALSE,$S$3=FALSE),"-",IF(AND($Q$1=TRUE,$S$3=TRUE),"-",IF(AND($Q$1=FALSE,$S$3=FALSE),"-",IF(AND($Q$1=TRUE,$S$1=TRUE,$S$4=FALSE)=TRUE,IF(OR($Q$4=TRUE,$Q$5=TRUE,$S$2=TRUE),VLOOKUP($G113,'KO Calc'!$H:$AW,15,FALSE),VLOOKUP($G113,'KO Calc'!$H110:$AW110,15,FALSE)),IF(AND($Q$1=TRUE,$S$4=FALSE),IF(OR($Q$4=TRUE,$Q$5=TRUE,$S$2=TRUE),VLOOKUP($G113,'KO Calc'!$H:$AW,5,FALSE),VLOOKUP($G113,'KO Calc'!$H110:$AW110,5,FALSE)),
IF(AND($Q$1=TRUE,$S$1=TRUE,$S$4=TRUE)=TRUE,IF(OR($Q$4=TRUE,$Q$5=TRUE,$S$2=TRUE),VLOOKUP($G113,'KO Calc'!$H:$AW,20,FALSE),VLOOKUP($G113,'KO Calc'!$H110:$AW110,20,FALSE)),IF(AND($Q$1=TRUE,$S$4=TRUE),IF(OR($Q$4=TRUE,$Q$5=TRUE,$S$2=TRUE),VLOOKUP($G113,'KO Calc'!$H:$AW,10,FALSE),VLOOKUP($G113,'KO Calc'!$H110:$AW110,10,FALSE)),
IF(AND($S$3=TRUE,$S$1=TRUE,$S$4=FALSE)=TRUE,IF(OR($Q$4=TRUE,$Q$5=TRUE,$S$2=TRUE),VLOOKUP($G113,'KO Calc'!$H:$AW,35,FALSE),VLOOKUP($G113,'KO Calc'!$H110:$AW110,35,FALSE)),IF(AND($S$3=TRUE,$S$4=FALSE),IF(OR($Q$4=TRUE,$Q$5=TRUE,$S$2=TRUE),VLOOKUP($G113,'KO Calc'!$H:$AW,25,FALSE),VLOOKUP($G113,'KO Calc'!$H110:$AW110,25,FALSE)),
IF(AND($S$3=TRUE,$S$1=TRUE,$S$4=TRUE)=TRUE,IF(OR($Q$4=TRUE,$Q$5=TRUE,$S$2=TRUE),VLOOKUP($G113,'KO Calc'!$H:$AW,40,FALSE),VLOOKUP($G113,'KO Calc'!$H110:$AW110,40,FALSE)),IF(AND($S$3=TRUE,$S$4=TRUE),IF(OR($Q$4=TRUE,$Q$5=TRUE,$S$2=TRUE),VLOOKUP($G113,'KO Calc'!$H:$AW,30,FALSE),VLOOKUP($G113,'KO Calc'!$H110:$AW110,30,FALSE)))))))))))))</f>
        <v>-</v>
      </c>
      <c r="L113" s="36" t="str">
        <f>IFERROR(IF(AND($Q$1=FALSE,$S$3=FALSE),"-",VLOOKUP($E113,'Status Thresholds'!$E:$AU,43,FALSE)),"-")</f>
        <v>-</v>
      </c>
      <c r="M113" s="36" t="str">
        <f>IFERROR(IF(AND($Q$1=FALSE,$S$3=FALSE),"-",VLOOKUP($E113,'Status Thresholds'!$E:$AU,41,FALSE)),"-")</f>
        <v>-</v>
      </c>
      <c r="N113" s="36" t="str">
        <f>IFERROR(IF(AND($Q$1=FALSE,$S$3=FALSE),"-",VLOOKUP($E113,'Status Thresholds'!$E:$AU,42,FALSE)),"-")</f>
        <v>-</v>
      </c>
    </row>
    <row r="114" spans="1:14" x14ac:dyDescent="0.25">
      <c r="B114" s="64" t="str">
        <f>VLOOKUP(C114,'Status Thresholds'!B:C,2,FALSE)</f>
        <v>MHGen</v>
      </c>
      <c r="C114" s="46" t="str">
        <f>IF(ISBLANK('KO Calc'!C110)=TRUE,"",'KO Calc'!C110)</f>
        <v>Blangonga</v>
      </c>
      <c r="D114" s="78" t="s">
        <v>213</v>
      </c>
      <c r="E114" s="62" t="str">
        <f t="shared" si="3"/>
        <v>BlangongaPitfall Trap</v>
      </c>
      <c r="F114" t="s">
        <v>12</v>
      </c>
      <c r="G114" s="36" t="str">
        <f t="shared" si="4"/>
        <v>BlangongaCrag 2</v>
      </c>
      <c r="H114" s="36" t="str">
        <f>IF(AND($Q$1=FALSE,$S$3=FALSE),"-",IF(AND($Q$1=TRUE,$S$3=TRUE),"-",IF(AND($Q$1=FALSE,$S$3=FALSE),"-",IF(AND($Q$1=TRUE,$S$1=TRUE,$S$4=FALSE)=TRUE,IF(OR($Q$4=TRUE,$Q$5=TRUE,$S$2=TRUE),VLOOKUP($G114,'KO Calc'!$H:$AW,12,FALSE),VLOOKUP($G114,'KO Calc'!$H111:$AW111,12,FALSE)),IF(AND($Q$1=TRUE,$S$4=FALSE),IF(OR($Q$4=TRUE,$Q$5=TRUE,$S$2=TRUE),VLOOKUP($G114,'KO Calc'!$H:$AW,2,FALSE),VLOOKUP($G114,'KO Calc'!$H111:$AW111,2,FALSE)),
IF(AND($Q$1=TRUE,$S$1=TRUE,$S$4=TRUE)=TRUE,IF(OR($Q$4=TRUE,$Q$5=TRUE,$S$2=TRUE),VLOOKUP($G114,'KO Calc'!$H:$AW,17,FALSE),VLOOKUP($G114,'KO Calc'!$H111:$AW111,17,FALSE)),IF(AND($Q$1=TRUE,$S$4=TRUE),IF(OR($Q$4=TRUE,$Q$5=TRUE,$S$2=TRUE),VLOOKUP($G114,'KO Calc'!$H:$AW,7,FALSE),VLOOKUP($G114,'KO Calc'!$H111:$AW111,7,FALSE)),
IF(AND($S$3=TRUE,$S$1=TRUE,$S$4=FALSE)=TRUE,IF(OR($Q$4=TRUE,$Q$5=TRUE,$S$2=TRUE),VLOOKUP($G114,'KO Calc'!$H:$AW,32,FALSE),VLOOKUP($G114,'KO Calc'!$H111:$AW111,32,FALSE)),IF(AND($S$3=TRUE,$S$4=FALSE),IF(OR($Q$4=TRUE,$Q$5=TRUE,$S$2=TRUE),VLOOKUP($G114,'KO Calc'!$H:$AW,22,FALSE),VLOOKUP($G114,'KO Calc'!$H111:$AW111,22,FALSE)),
IF(AND($S$3=TRUE,$S$1=TRUE,$S$4=TRUE)=TRUE,IF(OR($Q$4=TRUE,$Q$5=TRUE,$S$2=TRUE),VLOOKUP($G114,'KO Calc'!$H:$AW,37,FALSE),VLOOKUP($G114,'KO Calc'!$H111:$AW111,37,FALSE)),IF(AND($S$3=TRUE,$S$4=TRUE),IF(OR($Q$4=TRUE,$Q$5=TRUE,$S$2=TRUE),VLOOKUP($G114,'KO Calc'!$H:$AW,27,FALSE),VLOOKUP($G114,'KO Calc'!$H111:$AW111,27,FALSE)))))))))))))</f>
        <v>-</v>
      </c>
      <c r="I114" s="36" t="str">
        <f>IF(AND($Q$1=FALSE,$S$3=FALSE),"-",IF(AND($Q$1=TRUE,$S$3=TRUE),"-",IF(AND($Q$1=FALSE,$S$3=FALSE),"-",IF(AND($Q$1=TRUE,$S$1=TRUE,$S$4=FALSE)=TRUE,IF(OR($Q$4=TRUE,$Q$5=TRUE,$S$2=TRUE),VLOOKUP($G114,'KO Calc'!$H:$AW,13,FALSE),VLOOKUP($G114,'KO Calc'!$H111:$AW111,13,FALSE)),IF(AND($Q$1=TRUE,$S$4=FALSE),IF(OR($Q$4=TRUE,$Q$5=TRUE,$S$2=TRUE),VLOOKUP($G114,'KO Calc'!$H:$AW,3,FALSE),VLOOKUP($G114,'KO Calc'!$H111:$AW111,3,FALSE)),
IF(AND($Q$1=TRUE,$S$1=TRUE,$S$4=TRUE)=TRUE,IF(OR($Q$4=TRUE,$Q$5=TRUE,$S$2=TRUE),VLOOKUP($G114,'KO Calc'!$H:$AW,18,FALSE),VLOOKUP($G114,'KO Calc'!$H111:$AW111,18,FALSE)),IF(AND($Q$1=TRUE,$S$4=TRUE),IF(OR($Q$4=TRUE,$Q$5=TRUE,$S$2=TRUE),VLOOKUP($G114,'KO Calc'!$H:$AW,8,FALSE),VLOOKUP($G114,'KO Calc'!$H111:$AW111,8,FALSE)),
IF(AND($S$3=TRUE,$S$1=TRUE,$S$4=FALSE)=TRUE,IF(OR($Q$4=TRUE,$Q$5=TRUE,$S$2=TRUE),VLOOKUP($G114,'KO Calc'!$H:$AW,33,FALSE),VLOOKUP($G114,'KO Calc'!$H111:$AW111,33,FALSE)),IF(AND($S$3=TRUE,$S$4=FALSE),IF(OR($Q$4=TRUE,$Q$5=TRUE,$S$2=TRUE),VLOOKUP($G114,'KO Calc'!$H:$AW,23,FALSE),VLOOKUP($G114,'KO Calc'!$H111:$AW111,23,FALSE)),
IF(AND($S$3=TRUE,$S$1=TRUE,$S$4=TRUE)=TRUE,IF(OR($Q$4=TRUE,$Q$5=TRUE,$S$2=TRUE),VLOOKUP($G114,'KO Calc'!$H:$AW,38,FALSE),VLOOKUP($G114,'KO Calc'!$H111:$AW111,38,FALSE)),IF(AND($S$3=TRUE,$S$4=TRUE),IF(OR($Q$4=TRUE,$Q$5=TRUE,$S$2=TRUE),VLOOKUP($G114,'KO Calc'!$H:$AW,28,FALSE),VLOOKUP($G114,'KO Calc'!$H111:$AW111,28,FALSE)))))))))))))</f>
        <v>-</v>
      </c>
      <c r="J114" s="36" t="str">
        <f>IF(AND($Q$1=FALSE,$S$3=FALSE),"-",IF(AND($Q$1=TRUE,$S$3=TRUE),"-",IF(AND($Q$1=FALSE,$S$3=FALSE),"-",IF(AND($Q$1=TRUE,$S$1=TRUE,$S$4=FALSE)=TRUE,IF(OR($Q$4=TRUE,$Q$5=TRUE,$S$2=TRUE),VLOOKUP($G114,'KO Calc'!$H:$AW,FALSE),VLOOKUP($G114,'KO Calc'!$H111:$AW111,14,FALSE)),IF(AND($Q$1=TRUE,$S$4=FALSE),IF(OR($Q$4=TRUE,$Q$5=TRUE,$S$2=TRUE),VLOOKUP($G114,'KO Calc'!$H:$AW,4,FALSE),VLOOKUP($G114,'KO Calc'!$H111:$AW111,4,FALSE)),
IF(AND($Q$1=TRUE,$S$1=TRUE,$S$4=TRUE)=TRUE,IF(OR($Q$4=TRUE,$Q$5=TRUE,$S$2=TRUE),VLOOKUP($G114,'KO Calc'!$H:$AW,19,FALSE),VLOOKUP($G114,'KO Calc'!$H111:$AW111,19,FALSE)),IF(AND($Q$1=TRUE,$S$4=TRUE),IF(OR($Q$4=TRUE,$Q$5=TRUE,$S$2=TRUE),VLOOKUP($G114,'KO Calc'!$H:$AW,9,FALSE),VLOOKUP($G114,'KO Calc'!$H111:$AW111,9,FALSE)),
IF(AND($S$3=TRUE,$S$1=TRUE,$S$4=FALSE)=TRUE,IF(OR($Q$4=TRUE,$Q$5=TRUE,$S$2=TRUE),VLOOKUP($G114,'KO Calc'!$H:$AW,34,FALSE),VLOOKUP($G114,'KO Calc'!$H111:$AW111,34,FALSE)),IF(AND($S$3=TRUE,$S$4=FALSE),IF(OR($Q$4=TRUE,$Q$5=TRUE,$S$2=TRUE),VLOOKUP($G114,'KO Calc'!$H:$AW,24,FALSE),VLOOKUP($G114,'KO Calc'!$H111:$AW111,24,FALSE)),
IF(AND($S$3=TRUE,$S$1=TRUE,$S$4=TRUE)=TRUE,IF(OR($Q$4=TRUE,$Q$5=TRUE,$S$2=TRUE),VLOOKUP($G114,'KO Calc'!$H:$AW,39,FALSE),VLOOKUP($G114,'KO Calc'!$H111:$AW111,39,FALSE)),IF(AND($S$3=TRUE,$S$4=TRUE),IF(OR($Q$4=TRUE,$Q$5=TRUE,$S$2=TRUE),VLOOKUP($G114,'KO Calc'!$H:$AW,29,FALSE),VLOOKUP($G114,'KO Calc'!$H111:$AW111,29,FALSE)))))))))))))</f>
        <v>-</v>
      </c>
      <c r="K114" s="36" t="str">
        <f>IF(AND($Q$1=FALSE,$S$3=FALSE),"-",IF(AND($Q$1=TRUE,$S$3=TRUE),"-",IF(AND($Q$1=FALSE,$S$3=FALSE),"-",IF(AND($Q$1=TRUE,$S$1=TRUE,$S$4=FALSE)=TRUE,IF(OR($Q$4=TRUE,$Q$5=TRUE,$S$2=TRUE),VLOOKUP($G114,'KO Calc'!$H:$AW,15,FALSE),VLOOKUP($G114,'KO Calc'!$H111:$AW111,15,FALSE)),IF(AND($Q$1=TRUE,$S$4=FALSE),IF(OR($Q$4=TRUE,$Q$5=TRUE,$S$2=TRUE),VLOOKUP($G114,'KO Calc'!$H:$AW,5,FALSE),VLOOKUP($G114,'KO Calc'!$H111:$AW111,5,FALSE)),
IF(AND($Q$1=TRUE,$S$1=TRUE,$S$4=TRUE)=TRUE,IF(OR($Q$4=TRUE,$Q$5=TRUE,$S$2=TRUE),VLOOKUP($G114,'KO Calc'!$H:$AW,20,FALSE),VLOOKUP($G114,'KO Calc'!$H111:$AW111,20,FALSE)),IF(AND($Q$1=TRUE,$S$4=TRUE),IF(OR($Q$4=TRUE,$Q$5=TRUE,$S$2=TRUE),VLOOKUP($G114,'KO Calc'!$H:$AW,10,FALSE),VLOOKUP($G114,'KO Calc'!$H111:$AW111,10,FALSE)),
IF(AND($S$3=TRUE,$S$1=TRUE,$S$4=FALSE)=TRUE,IF(OR($Q$4=TRUE,$Q$5=TRUE,$S$2=TRUE),VLOOKUP($G114,'KO Calc'!$H:$AW,35,FALSE),VLOOKUP($G114,'KO Calc'!$H111:$AW111,35,FALSE)),IF(AND($S$3=TRUE,$S$4=FALSE),IF(OR($Q$4=TRUE,$Q$5=TRUE,$S$2=TRUE),VLOOKUP($G114,'KO Calc'!$H:$AW,25,FALSE),VLOOKUP($G114,'KO Calc'!$H111:$AW111,25,FALSE)),
IF(AND($S$3=TRUE,$S$1=TRUE,$S$4=TRUE)=TRUE,IF(OR($Q$4=TRUE,$Q$5=TRUE,$S$2=TRUE),VLOOKUP($G114,'KO Calc'!$H:$AW,40,FALSE),VLOOKUP($G114,'KO Calc'!$H111:$AW111,40,FALSE)),IF(AND($S$3=TRUE,$S$4=TRUE),IF(OR($Q$4=TRUE,$Q$5=TRUE,$S$2=TRUE),VLOOKUP($G114,'KO Calc'!$H:$AW,30,FALSE),VLOOKUP($G114,'KO Calc'!$H111:$AW111,30,FALSE)))))))))))))</f>
        <v>-</v>
      </c>
      <c r="L114" s="36" t="str">
        <f>IFERROR(IF(AND($Q$1=FALSE,$S$3=FALSE),"-",VLOOKUP($E114,'Status Thresholds'!$E:$AU,43,FALSE)),"-")</f>
        <v>-</v>
      </c>
      <c r="M114" s="36" t="str">
        <f>IFERROR(IF(AND($Q$1=FALSE,$S$3=FALSE),"-",VLOOKUP($E114,'Status Thresholds'!$E:$AU,41,FALSE)),"-")</f>
        <v>-</v>
      </c>
      <c r="N114" s="36" t="str">
        <f>IFERROR(IF(AND($Q$1=FALSE,$S$3=FALSE),"-",VLOOKUP($E114,'Status Thresholds'!$E:$AU,42,FALSE)),"-")</f>
        <v>-</v>
      </c>
    </row>
    <row r="115" spans="1:14" x14ac:dyDescent="0.25">
      <c r="B115" s="64" t="str">
        <f>VLOOKUP(C115,'Status Thresholds'!B:C,2,FALSE)</f>
        <v>MHGen</v>
      </c>
      <c r="C115" s="46" t="str">
        <f>IF(ISBLANK('KO Calc'!C111)=TRUE,"",'KO Calc'!C111)</f>
        <v>Blangonga</v>
      </c>
      <c r="D115" s="78"/>
      <c r="E115" s="62" t="str">
        <f t="shared" si="3"/>
        <v>Blangonga</v>
      </c>
      <c r="F115" t="s">
        <v>11</v>
      </c>
      <c r="G115" s="36" t="str">
        <f t="shared" si="4"/>
        <v>BlangongaCrag 1</v>
      </c>
      <c r="H115" s="36" t="str">
        <f>IF(AND($Q$1=FALSE,$S$3=FALSE),"-",IF(AND($Q$1=TRUE,$S$3=TRUE),"-",IF(AND($Q$1=FALSE,$S$3=FALSE),"-",IF(AND($Q$1=TRUE,$S$1=TRUE,$S$4=FALSE)=TRUE,IF(OR($Q$4=TRUE,$Q$5=TRUE,$S$2=TRUE),VLOOKUP($G115,'KO Calc'!$H:$AW,12,FALSE),VLOOKUP($G115,'KO Calc'!$H112:$AW112,12,FALSE)),IF(AND($Q$1=TRUE,$S$4=FALSE),IF(OR($Q$4=TRUE,$Q$5=TRUE,$S$2=TRUE),VLOOKUP($G115,'KO Calc'!$H:$AW,2,FALSE),VLOOKUP($G115,'KO Calc'!$H112:$AW112,2,FALSE)),
IF(AND($Q$1=TRUE,$S$1=TRUE,$S$4=TRUE)=TRUE,IF(OR($Q$4=TRUE,$Q$5=TRUE,$S$2=TRUE),VLOOKUP($G115,'KO Calc'!$H:$AW,17,FALSE),VLOOKUP($G115,'KO Calc'!$H112:$AW112,17,FALSE)),IF(AND($Q$1=TRUE,$S$4=TRUE),IF(OR($Q$4=TRUE,$Q$5=TRUE,$S$2=TRUE),VLOOKUP($G115,'KO Calc'!$H:$AW,7,FALSE),VLOOKUP($G115,'KO Calc'!$H112:$AW112,7,FALSE)),
IF(AND($S$3=TRUE,$S$1=TRUE,$S$4=FALSE)=TRUE,IF(OR($Q$4=TRUE,$Q$5=TRUE,$S$2=TRUE),VLOOKUP($G115,'KO Calc'!$H:$AW,32,FALSE),VLOOKUP($G115,'KO Calc'!$H112:$AW112,32,FALSE)),IF(AND($S$3=TRUE,$S$4=FALSE),IF(OR($Q$4=TRUE,$Q$5=TRUE,$S$2=TRUE),VLOOKUP($G115,'KO Calc'!$H:$AW,22,FALSE),VLOOKUP($G115,'KO Calc'!$H112:$AW112,22,FALSE)),
IF(AND($S$3=TRUE,$S$1=TRUE,$S$4=TRUE)=TRUE,IF(OR($Q$4=TRUE,$Q$5=TRUE,$S$2=TRUE),VLOOKUP($G115,'KO Calc'!$H:$AW,37,FALSE),VLOOKUP($G115,'KO Calc'!$H112:$AW112,37,FALSE)),IF(AND($S$3=TRUE,$S$4=TRUE),IF(OR($Q$4=TRUE,$Q$5=TRUE,$S$2=TRUE),VLOOKUP($G115,'KO Calc'!$H:$AW,27,FALSE),VLOOKUP($G115,'KO Calc'!$H112:$AW112,27,FALSE)))))))))))))</f>
        <v>-</v>
      </c>
      <c r="I115" s="36" t="str">
        <f>IF(AND($Q$1=FALSE,$S$3=FALSE),"-",IF(AND($Q$1=TRUE,$S$3=TRUE),"-",IF(AND($Q$1=FALSE,$S$3=FALSE),"-",IF(AND($Q$1=TRUE,$S$1=TRUE,$S$4=FALSE)=TRUE,IF(OR($Q$4=TRUE,$Q$5=TRUE,$S$2=TRUE),VLOOKUP($G115,'KO Calc'!$H:$AW,13,FALSE),VLOOKUP($G115,'KO Calc'!$H112:$AW112,13,FALSE)),IF(AND($Q$1=TRUE,$S$4=FALSE),IF(OR($Q$4=TRUE,$Q$5=TRUE,$S$2=TRUE),VLOOKUP($G115,'KO Calc'!$H:$AW,3,FALSE),VLOOKUP($G115,'KO Calc'!$H112:$AW112,3,FALSE)),
IF(AND($Q$1=TRUE,$S$1=TRUE,$S$4=TRUE)=TRUE,IF(OR($Q$4=TRUE,$Q$5=TRUE,$S$2=TRUE),VLOOKUP($G115,'KO Calc'!$H:$AW,18,FALSE),VLOOKUP($G115,'KO Calc'!$H112:$AW112,18,FALSE)),IF(AND($Q$1=TRUE,$S$4=TRUE),IF(OR($Q$4=TRUE,$Q$5=TRUE,$S$2=TRUE),VLOOKUP($G115,'KO Calc'!$H:$AW,8,FALSE),VLOOKUP($G115,'KO Calc'!$H112:$AW112,8,FALSE)),
IF(AND($S$3=TRUE,$S$1=TRUE,$S$4=FALSE)=TRUE,IF(OR($Q$4=TRUE,$Q$5=TRUE,$S$2=TRUE),VLOOKUP($G115,'KO Calc'!$H:$AW,33,FALSE),VLOOKUP($G115,'KO Calc'!$H112:$AW112,33,FALSE)),IF(AND($S$3=TRUE,$S$4=FALSE),IF(OR($Q$4=TRUE,$Q$5=TRUE,$S$2=TRUE),VLOOKUP($G115,'KO Calc'!$H:$AW,23,FALSE),VLOOKUP($G115,'KO Calc'!$H112:$AW112,23,FALSE)),
IF(AND($S$3=TRUE,$S$1=TRUE,$S$4=TRUE)=TRUE,IF(OR($Q$4=TRUE,$Q$5=TRUE,$S$2=TRUE),VLOOKUP($G115,'KO Calc'!$H:$AW,38,FALSE),VLOOKUP($G115,'KO Calc'!$H112:$AW112,38,FALSE)),IF(AND($S$3=TRUE,$S$4=TRUE),IF(OR($Q$4=TRUE,$Q$5=TRUE,$S$2=TRUE),VLOOKUP($G115,'KO Calc'!$H:$AW,28,FALSE),VLOOKUP($G115,'KO Calc'!$H112:$AW112,28,FALSE)))))))))))))</f>
        <v>-</v>
      </c>
      <c r="J115" s="36" t="str">
        <f>IF(AND($Q$1=FALSE,$S$3=FALSE),"-",IF(AND($Q$1=TRUE,$S$3=TRUE),"-",IF(AND($Q$1=FALSE,$S$3=FALSE),"-",IF(AND($Q$1=TRUE,$S$1=TRUE,$S$4=FALSE)=TRUE,IF(OR($Q$4=TRUE,$Q$5=TRUE,$S$2=TRUE),VLOOKUP($G115,'KO Calc'!$H:$AW,FALSE),VLOOKUP($G115,'KO Calc'!$H112:$AW112,14,FALSE)),IF(AND($Q$1=TRUE,$S$4=FALSE),IF(OR($Q$4=TRUE,$Q$5=TRUE,$S$2=TRUE),VLOOKUP($G115,'KO Calc'!$H:$AW,4,FALSE),VLOOKUP($G115,'KO Calc'!$H112:$AW112,4,FALSE)),
IF(AND($Q$1=TRUE,$S$1=TRUE,$S$4=TRUE)=TRUE,IF(OR($Q$4=TRUE,$Q$5=TRUE,$S$2=TRUE),VLOOKUP($G115,'KO Calc'!$H:$AW,19,FALSE),VLOOKUP($G115,'KO Calc'!$H112:$AW112,19,FALSE)),IF(AND($Q$1=TRUE,$S$4=TRUE),IF(OR($Q$4=TRUE,$Q$5=TRUE,$S$2=TRUE),VLOOKUP($G115,'KO Calc'!$H:$AW,9,FALSE),VLOOKUP($G115,'KO Calc'!$H112:$AW112,9,FALSE)),
IF(AND($S$3=TRUE,$S$1=TRUE,$S$4=FALSE)=TRUE,IF(OR($Q$4=TRUE,$Q$5=TRUE,$S$2=TRUE),VLOOKUP($G115,'KO Calc'!$H:$AW,34,FALSE),VLOOKUP($G115,'KO Calc'!$H112:$AW112,34,FALSE)),IF(AND($S$3=TRUE,$S$4=FALSE),IF(OR($Q$4=TRUE,$Q$5=TRUE,$S$2=TRUE),VLOOKUP($G115,'KO Calc'!$H:$AW,24,FALSE),VLOOKUP($G115,'KO Calc'!$H112:$AW112,24,FALSE)),
IF(AND($S$3=TRUE,$S$1=TRUE,$S$4=TRUE)=TRUE,IF(OR($Q$4=TRUE,$Q$5=TRUE,$S$2=TRUE),VLOOKUP($G115,'KO Calc'!$H:$AW,39,FALSE),VLOOKUP($G115,'KO Calc'!$H112:$AW112,39,FALSE)),IF(AND($S$3=TRUE,$S$4=TRUE),IF(OR($Q$4=TRUE,$Q$5=TRUE,$S$2=TRUE),VLOOKUP($G115,'KO Calc'!$H:$AW,29,FALSE),VLOOKUP($G115,'KO Calc'!$H112:$AW112,29,FALSE)))))))))))))</f>
        <v>-</v>
      </c>
      <c r="K115" s="36" t="str">
        <f>IF(AND($Q$1=FALSE,$S$3=FALSE),"-",IF(AND($Q$1=TRUE,$S$3=TRUE),"-",IF(AND($Q$1=FALSE,$S$3=FALSE),"-",IF(AND($Q$1=TRUE,$S$1=TRUE,$S$4=FALSE)=TRUE,IF(OR($Q$4=TRUE,$Q$5=TRUE,$S$2=TRUE),VLOOKUP($G115,'KO Calc'!$H:$AW,15,FALSE),VLOOKUP($G115,'KO Calc'!$H112:$AW112,15,FALSE)),IF(AND($Q$1=TRUE,$S$4=FALSE),IF(OR($Q$4=TRUE,$Q$5=TRUE,$S$2=TRUE),VLOOKUP($G115,'KO Calc'!$H:$AW,5,FALSE),VLOOKUP($G115,'KO Calc'!$H112:$AW112,5,FALSE)),
IF(AND($Q$1=TRUE,$S$1=TRUE,$S$4=TRUE)=TRUE,IF(OR($Q$4=TRUE,$Q$5=TRUE,$S$2=TRUE),VLOOKUP($G115,'KO Calc'!$H:$AW,20,FALSE),VLOOKUP($G115,'KO Calc'!$H112:$AW112,20,FALSE)),IF(AND($Q$1=TRUE,$S$4=TRUE),IF(OR($Q$4=TRUE,$Q$5=TRUE,$S$2=TRUE),VLOOKUP($G115,'KO Calc'!$H:$AW,10,FALSE),VLOOKUP($G115,'KO Calc'!$H112:$AW112,10,FALSE)),
IF(AND($S$3=TRUE,$S$1=TRUE,$S$4=FALSE)=TRUE,IF(OR($Q$4=TRUE,$Q$5=TRUE,$S$2=TRUE),VLOOKUP($G115,'KO Calc'!$H:$AW,35,FALSE),VLOOKUP($G115,'KO Calc'!$H112:$AW112,35,FALSE)),IF(AND($S$3=TRUE,$S$4=FALSE),IF(OR($Q$4=TRUE,$Q$5=TRUE,$S$2=TRUE),VLOOKUP($G115,'KO Calc'!$H:$AW,25,FALSE),VLOOKUP($G115,'KO Calc'!$H112:$AW112,25,FALSE)),
IF(AND($S$3=TRUE,$S$1=TRUE,$S$4=TRUE)=TRUE,IF(OR($Q$4=TRUE,$Q$5=TRUE,$S$2=TRUE),VLOOKUP($G115,'KO Calc'!$H:$AW,40,FALSE),VLOOKUP($G115,'KO Calc'!$H112:$AW112,40,FALSE)),IF(AND($S$3=TRUE,$S$4=TRUE),IF(OR($Q$4=TRUE,$Q$5=TRUE,$S$2=TRUE),VLOOKUP($G115,'KO Calc'!$H:$AW,30,FALSE),VLOOKUP($G115,'KO Calc'!$H112:$AW112,30,FALSE)))))))))))))</f>
        <v>-</v>
      </c>
      <c r="L115" s="36" t="str">
        <f>IFERROR(VLOOKUP($E115,'Status Thresholds'!$E:$AS,41,FALSE),"-")</f>
        <v>-</v>
      </c>
    </row>
    <row r="116" spans="1:14" x14ac:dyDescent="0.25">
      <c r="B116" s="64" t="str">
        <f>VLOOKUP(C116,'Status Thresholds'!B:C,2,FALSE)</f>
        <v>MHGen</v>
      </c>
      <c r="C116" s="46" t="str">
        <f>IF(ISBLANK('KO Calc'!C112)=TRUE,"",'KO Calc'!C112)</f>
        <v>Blangonga</v>
      </c>
      <c r="D116" s="78"/>
      <c r="E116" s="62"/>
      <c r="G116" s="36"/>
      <c r="L116" s="36" t="str">
        <f>IFERROR(VLOOKUP($E116,'Status Thresholds'!$E:$AS,41,FALSE),"-")</f>
        <v>-</v>
      </c>
    </row>
    <row r="117" spans="1:14" s="36" customFormat="1" x14ac:dyDescent="0.25">
      <c r="B117" s="64" t="str">
        <f>VLOOKUP(C117,'Status Thresholds'!B:C,2,FALSE)</f>
        <v>Deviant</v>
      </c>
      <c r="C117" s="46" t="str">
        <f>IF(ISBLANK('KO Calc'!C113)=TRUE,"",'KO Calc'!C113)</f>
        <v>Bloodbath Diablos</v>
      </c>
      <c r="D117" s="65" t="s">
        <v>0</v>
      </c>
      <c r="E117" s="62" t="str">
        <f t="shared" si="3"/>
        <v>Bloodbath DiablosPara</v>
      </c>
      <c r="F117" s="36" t="s">
        <v>2</v>
      </c>
      <c r="G117" s="36" t="str">
        <f t="shared" si="4"/>
        <v>Bloodbath DiablosPara lvl 2</v>
      </c>
      <c r="H117" s="36" t="str">
        <f>IFERROR(ROUNDUP(IF(AND($Q$1=FALSE,$S$3=FALSE),"-",IF(AND($Q$1=TRUE,$S$3=TRUE),"-",IF(AND($Q$1=TRUE,$S$1=TRUE,$S$4=FALSE),VLOOKUP($E117,'Status Thresholds'!$E:$AS,12,FALSE),IF(AND($Q$1=TRUE,$S$4=FALSE),VLOOKUP($E117,'Status Thresholds'!$E:$AS,2,FALSE), IF(AND($Q$1=TRUE,$S$1=TRUE,$S$4=TRUE),VLOOKUP($E117,'Status Thresholds'!$E:$AS,17,FALSE),IF(AND($Q$1=TRUE,$S$4=TRUE),VLOOKUP($E117,'Status Thresholds'!$E:$AS,7,FALSE),IF(AND($S$3=TRUE,$S$1=TRUE,$S$4=FALSE),VLOOKUP($E117,'Status Thresholds'!$E:$AS,32,FALSE),IF(AND($S$3=TRUE,$S$4=FALSE),VLOOKUP($E117,'Status Thresholds'!$E:$AS,22,FALSE),IF(AND($S$3=TRUE,$S$1=TRUE,$S$4=TRUE),VLOOKUP($E117,'Status Thresholds'!$E:$AS,37,FALSE),IF(AND($S$3=TRUE,$S$4=TRUE),VLOOKUP($E117,'Status Thresholds'!$E:$AS,27,FALSE),""))))))))/IF(OR($Q$3=TRUE,AND($Q$2=TRUE,$Q$7=TRUE),AND($Q$3=TRUE,$Q$7=TRUE))=TRUE,'Shots and Status'!$F$5,IF((OR($Q$2,$Q$7)=TRUE),'Shots and Status'!$D$5,'Shots and Status'!$C$5)))),0),"-")</f>
        <v>-</v>
      </c>
      <c r="I117" s="36" t="str">
        <f>IFERROR(ROUNDUP(IF(AND($Q$1=FALSE,$S$3=FALSE),"-",IF(AND($Q$1=TRUE,$S$3=TRUE),"-",IF(AND($Q$1=TRUE,$S$1=TRUE,$S$4=FALSE),VLOOKUP($E117,'Status Thresholds'!$E:$AS,13,FALSE),IF(AND($Q$1=TRUE,$S$4=FALSE),VLOOKUP($E117,'Status Thresholds'!$E:$AS,3,FALSE), IF(AND($Q$1=TRUE,$S$1=TRUE,$S$4=TRUE),VLOOKUP($E117,'Status Thresholds'!$E:$AS,18,FALSE),IF(AND($Q$1=TRUE,$S$4=TRUE),VLOOKUP($E117,'Status Thresholds'!$E:$AS,8,FALSE),IF(AND($S$3=TRUE,$S$1=TRUE,$S$4=FALSE),VLOOKUP($E117,'Status Thresholds'!$E:$AS,33,FALSE),IF(AND($S$3=TRUE,$S$4=FALSE),VLOOKUP($E117,'Status Thresholds'!$E:$AS,23,FALSE),IF(AND($S$3=TRUE,$S$1=TRUE,$S$4=TRUE),VLOOKUP($E117,'Status Thresholds'!$E:$AS,38,FALSE),IF(AND($S$3=TRUE,$S$4=TRUE),VLOOKUP($E117,'Status Thresholds'!$E:$AS,28,FALSE),""))))))))/IF(OR($Q$3=TRUE,AND($Q$2=TRUE,$Q$7=TRUE),AND($Q$3=TRUE,$Q$7=TRUE))=TRUE,'Shots and Status'!$F$5,IF((OR($Q$2,$Q$7)=TRUE),'Shots and Status'!$D$5,'Shots and Status'!$C$5)))),0),"-")</f>
        <v>-</v>
      </c>
      <c r="J117" s="36" t="str">
        <f>IFERROR(ROUNDUP(IF(AND($Q$1=FALSE,$S$3=FALSE),"-",IF(AND($Q$1=TRUE,$S$3=TRUE),"-",IF(AND($Q$1=TRUE,$S$1=TRUE,$S$4=FALSE),VLOOKUP($E117,'Status Thresholds'!$E:$AS,14,FALSE),IF(AND($Q$1=TRUE,$S$4=FALSE),VLOOKUP($E117,'Status Thresholds'!$E:$AS,4,FALSE), IF(AND($Q$1=TRUE,$S$1=TRUE,$S$4=TRUE),VLOOKUP($E117,'Status Thresholds'!$E:$AS,19,FALSE),IF(AND($Q$1=TRUE,$S$4=TRUE),VLOOKUP($E117,'Status Thresholds'!$E:$AS,9,FALSE),IF(AND($S$3=TRUE,$S$1=TRUE,$S$4=FALSE),VLOOKUP($E117,'Status Thresholds'!$E:$AS,34,FALSE),IF(AND($S$3=TRUE,$S$4=FALSE),VLOOKUP($E117,'Status Thresholds'!$E:$AS,24,FALSE),IF(AND($S$3=TRUE,$S$1=TRUE,$S$4=TRUE),VLOOKUP($E117,'Status Thresholds'!$E:$AS,39,FALSE),IF(AND($S$3=TRUE,$S$4=TRUE),VLOOKUP($E117,'Status Thresholds'!$E:$AS,29,FALSE),""))))))))/IF(OR($Q$3=TRUE,AND($Q$2=TRUE,$Q$7=TRUE),AND($Q$3=TRUE,$Q$7=TRUE))=TRUE,'Shots and Status'!$F$5,IF((OR($Q$2,$Q$7)=TRUE),'Shots and Status'!$D$5,'Shots and Status'!$C$5)))),0),"-")</f>
        <v>-</v>
      </c>
      <c r="K117" s="36" t="str">
        <f>IFERROR(ROUNDUP(IF(AND($Q$1=FALSE,$S$3=FALSE),"-",IF(AND($Q$1=TRUE,$S$3=TRUE),"-",IF(AND($Q$1=TRUE,$S$1=TRUE,$S$4=FALSE),VLOOKUP($E117,'Status Thresholds'!$E:$AS,15,FALSE),IF(AND($Q$1=TRUE,$S$4=FALSE),VLOOKUP($E117,'Status Thresholds'!$E:$AS,5,FALSE), IF(AND($Q$1=TRUE,$S$1=TRUE,$S$4=TRUE),VLOOKUP($E117,'Status Thresholds'!$E:$AS,20,FALSE),IF(AND($Q$1=TRUE,$S$4=TRUE),VLOOKUP($E117,'Status Thresholds'!$E:$AS,10,FALSE),IF(AND($S$3=TRUE,$S$1=TRUE,$S$4=FALSE),VLOOKUP($E117,'Status Thresholds'!$E:$AS,35,FALSE),IF(AND($S$3=TRUE,$S$4=FALSE),VLOOKUP($E117,'Status Thresholds'!$E:$AS,25,FALSE),IF(AND($S$3=TRUE,$S$1=TRUE,$S$4=TRUE),VLOOKUP($E117,'Status Thresholds'!$E:$AS,40,FALSE),IF(AND($S$3=TRUE,$S$4=TRUE),VLOOKUP($E117,'Status Thresholds'!$E:$AS,30,FALSE),""))))))))/IF(OR($Q$3=TRUE,AND($Q$2=TRUE,$Q$7=TRUE),AND($Q$3=TRUE,$Q$7=TRUE))=TRUE,'Shots and Status'!$F$5,IF((OR($Q$2,$Q$7)=TRUE),'Shots and Status'!$D$5,'Shots and Status'!$C$5)))),0),"-")</f>
        <v>-</v>
      </c>
      <c r="L117" s="36" t="str">
        <f>IFERROR(IF(AND($Q$1=FALSE,$S$3=FALSE),"-",VLOOKUP($E117,'Status Thresholds'!$E:$AU,41,FALSE)),"-")</f>
        <v>-</v>
      </c>
      <c r="M117" s="36" t="str">
        <f>IFERROR(IF(AND($Q$1=FALSE,$S$3=FALSE),"-",VLOOKUP($E117,'Status Thresholds'!$E:$AU,42,FALSE)),"-")</f>
        <v>-</v>
      </c>
      <c r="N117" s="36" t="str">
        <f>IFERROR(IF(AND($Q$1=FALSE,$S$3=FALSE),"-",VLOOKUP($E117,'Status Thresholds'!$E:$AU,43,FALSE)),"-")</f>
        <v>-</v>
      </c>
    </row>
    <row r="118" spans="1:14" s="59" customFormat="1" x14ac:dyDescent="0.25">
      <c r="A118" s="46"/>
      <c r="B118" s="64" t="str">
        <f>VLOOKUP(C118,'Status Thresholds'!B:C,2,FALSE)</f>
        <v>Deviant</v>
      </c>
      <c r="C118" s="46" t="str">
        <f>IF(ISBLANK('KO Calc'!C114)=TRUE,"",'KO Calc'!C114)</f>
        <v>Bloodbath Diablos</v>
      </c>
      <c r="D118" s="60" t="s">
        <v>32</v>
      </c>
      <c r="E118" s="62" t="str">
        <f t="shared" si="3"/>
        <v>Bloodbath DiablosSleep</v>
      </c>
      <c r="F118" s="59" t="s">
        <v>5</v>
      </c>
      <c r="G118" s="36" t="str">
        <f t="shared" si="4"/>
        <v>Bloodbath DiablosSleep lvl 2</v>
      </c>
      <c r="H118" s="36" t="str">
        <f>IFERROR(ROUNDUP(IF(AND($Q$1=FALSE,$S$3=FALSE),"-",IF(AND($Q$1=TRUE,$S$3=TRUE),"-",IF(AND($Q$1=TRUE,$S$1=TRUE,$S$4=FALSE),VLOOKUP($E118,'Status Thresholds'!$E:$AS,12,FALSE),IF(AND($Q$1=TRUE,$S$4=FALSE),VLOOKUP($E118,'Status Thresholds'!$E:$AS,2,FALSE), IF(AND($Q$1=TRUE,$S$1=TRUE,$S$4=TRUE),VLOOKUP($E118,'Status Thresholds'!$E:$AS,17,FALSE),IF(AND($Q$1=TRUE,$S$4=TRUE),VLOOKUP($E118,'Status Thresholds'!$E:$AS,7,FALSE),IF(AND($S$3=TRUE,$S$1=TRUE,$S$4=FALSE),VLOOKUP($E118,'Status Thresholds'!$E:$AS,32,FALSE),IF(AND($S$3=TRUE,$S$4=FALSE),VLOOKUP($E118,'Status Thresholds'!$E:$AS,22,FALSE),IF(AND($S$3=TRUE,$S$1=TRUE,$S$4=TRUE),VLOOKUP($E118,'Status Thresholds'!$E:$AS,37,FALSE),IF(AND($S$3=TRUE,$S$4=TRUE),VLOOKUP($E118,'Status Thresholds'!$E:$AS,27,FALSE),""))))))))/IF(OR($Q$3=TRUE,AND($Q$2=TRUE,$Q$7=TRUE),AND($Q$3=TRUE,$Q$7=TRUE))=TRUE,'Shots and Status'!$F$5,IF((OR($Q$2,$Q$7)=TRUE),'Shots and Status'!$D$5,'Shots and Status'!$C$5)))),0),"-")</f>
        <v>-</v>
      </c>
      <c r="I118" s="36" t="str">
        <f>IFERROR(ROUNDUP(IF(AND($Q$1=FALSE,$S$3=FALSE),"-",IF(AND($Q$1=TRUE,$S$3=TRUE),"-",IF(AND($Q$1=TRUE,$S$1=TRUE,$S$4=FALSE),VLOOKUP($E118,'Status Thresholds'!$E:$AS,13,FALSE),IF(AND($Q$1=TRUE,$S$4=FALSE),VLOOKUP($E118,'Status Thresholds'!$E:$AS,3,FALSE), IF(AND($Q$1=TRUE,$S$1=TRUE,$S$4=TRUE),VLOOKUP($E118,'Status Thresholds'!$E:$AS,18,FALSE),IF(AND($Q$1=TRUE,$S$4=TRUE),VLOOKUP($E118,'Status Thresholds'!$E:$AS,8,FALSE),IF(AND($S$3=TRUE,$S$1=TRUE,$S$4=FALSE),VLOOKUP($E118,'Status Thresholds'!$E:$AS,33,FALSE),IF(AND($S$3=TRUE,$S$4=FALSE),VLOOKUP($E118,'Status Thresholds'!$E:$AS,23,FALSE),IF(AND($S$3=TRUE,$S$1=TRUE,$S$4=TRUE),VLOOKUP($E118,'Status Thresholds'!$E:$AS,38,FALSE),IF(AND($S$3=TRUE,$S$4=TRUE),VLOOKUP($E118,'Status Thresholds'!$E:$AS,28,FALSE),""))))))))/IF(OR($Q$3=TRUE,AND($Q$2=TRUE,$Q$7=TRUE),AND($Q$3=TRUE,$Q$7=TRUE))=TRUE,'Shots and Status'!$F$5,IF((OR($Q$2,$Q$7)=TRUE),'Shots and Status'!$D$5,'Shots and Status'!$C$5)))),0),"-")</f>
        <v>-</v>
      </c>
      <c r="J118" s="36" t="str">
        <f>IFERROR(ROUNDUP(IF(AND($Q$1=FALSE,$S$3=FALSE),"-",IF(AND($Q$1=TRUE,$S$3=TRUE),"-",IF(AND($Q$1=TRUE,$S$1=TRUE,$S$4=FALSE),VLOOKUP($E118,'Status Thresholds'!$E:$AS,14,FALSE),IF(AND($Q$1=TRUE,$S$4=FALSE),VLOOKUP($E118,'Status Thresholds'!$E:$AS,4,FALSE), IF(AND($Q$1=TRUE,$S$1=TRUE,$S$4=TRUE),VLOOKUP($E118,'Status Thresholds'!$E:$AS,19,FALSE),IF(AND($Q$1=TRUE,$S$4=TRUE),VLOOKUP($E118,'Status Thresholds'!$E:$AS,9,FALSE),IF(AND($S$3=TRUE,$S$1=TRUE,$S$4=FALSE),VLOOKUP($E118,'Status Thresholds'!$E:$AS,34,FALSE),IF(AND($S$3=TRUE,$S$4=FALSE),VLOOKUP($E118,'Status Thresholds'!$E:$AS,24,FALSE),IF(AND($S$3=TRUE,$S$1=TRUE,$S$4=TRUE),VLOOKUP($E118,'Status Thresholds'!$E:$AS,39,FALSE),IF(AND($S$3=TRUE,$S$4=TRUE),VLOOKUP($E118,'Status Thresholds'!$E:$AS,29,FALSE),""))))))))/IF(OR($Q$3=TRUE,AND($Q$2=TRUE,$Q$7=TRUE),AND($Q$3=TRUE,$Q$7=TRUE))=TRUE,'Shots and Status'!$F$5,IF((OR($Q$2,$Q$7)=TRUE),'Shots and Status'!$D$5,'Shots and Status'!$C$5)))),0),"-")</f>
        <v>-</v>
      </c>
      <c r="K118" s="36" t="str">
        <f>IFERROR(ROUNDUP(IF(AND($Q$1=FALSE,$S$3=FALSE),"-",IF(AND($Q$1=TRUE,$S$3=TRUE),"-",IF(AND($Q$1=TRUE,$S$1=TRUE,$S$4=FALSE),VLOOKUP($E118,'Status Thresholds'!$E:$AS,15,FALSE),IF(AND($Q$1=TRUE,$S$4=FALSE),VLOOKUP($E118,'Status Thresholds'!$E:$AS,5,FALSE), IF(AND($Q$1=TRUE,$S$1=TRUE,$S$4=TRUE),VLOOKUP($E118,'Status Thresholds'!$E:$AS,20,FALSE),IF(AND($Q$1=TRUE,$S$4=TRUE),VLOOKUP($E118,'Status Thresholds'!$E:$AS,10,FALSE),IF(AND($S$3=TRUE,$S$1=TRUE,$S$4=FALSE),VLOOKUP($E118,'Status Thresholds'!$E:$AS,35,FALSE),IF(AND($S$3=TRUE,$S$4=FALSE),VLOOKUP($E118,'Status Thresholds'!$E:$AS,25,FALSE),IF(AND($S$3=TRUE,$S$1=TRUE,$S$4=TRUE),VLOOKUP($E118,'Status Thresholds'!$E:$AS,40,FALSE),IF(AND($S$3=TRUE,$S$4=TRUE),VLOOKUP($E118,'Status Thresholds'!$E:$AS,30,FALSE),""))))))))/IF(OR($Q$3=TRUE,AND($Q$2=TRUE,$Q$7=TRUE),AND($Q$3=TRUE,$Q$7=TRUE))=TRUE,'Shots and Status'!$F$5,IF((OR($Q$2,$Q$7)=TRUE),'Shots and Status'!$D$5,'Shots and Status'!$C$5)))),0),"-")</f>
        <v>-</v>
      </c>
      <c r="L118" s="36" t="str">
        <f>IFERROR(IF(AND($Q$1=FALSE,$S$3=FALSE),"-",VLOOKUP($E118,'Status Thresholds'!$E:$AU,41,FALSE)),"-")</f>
        <v>-</v>
      </c>
      <c r="M118" s="36" t="str">
        <f>IFERROR(IF(AND($Q$1=FALSE,$S$3=FALSE),"-",VLOOKUP($E118,'Status Thresholds'!$E:$AU,42,FALSE)),"-")</f>
        <v>-</v>
      </c>
      <c r="N118" s="36" t="str">
        <f>IFERROR(IF(AND($Q$1=FALSE,$S$3=FALSE),"-",VLOOKUP($E118,'Status Thresholds'!$E:$AU,43,FALSE)),"-")</f>
        <v>-</v>
      </c>
    </row>
    <row r="119" spans="1:14" s="59" customFormat="1" x14ac:dyDescent="0.25">
      <c r="A119" s="46"/>
      <c r="B119" s="64" t="str">
        <f>VLOOKUP(C119,'Status Thresholds'!B:C,2,FALSE)</f>
        <v>Deviant</v>
      </c>
      <c r="C119" s="46" t="str">
        <f>IF(ISBLANK('KO Calc'!C115)=TRUE,"",'KO Calc'!C115)</f>
        <v>Bloodbath Diablos</v>
      </c>
      <c r="D119" s="58" t="s">
        <v>33</v>
      </c>
      <c r="E119" s="62" t="str">
        <f t="shared" si="3"/>
        <v>Bloodbath DiablosPoison</v>
      </c>
      <c r="F119" s="59" t="s">
        <v>6</v>
      </c>
      <c r="G119" s="36" t="str">
        <f t="shared" si="4"/>
        <v>Bloodbath DiablosPoison lvl 2</v>
      </c>
      <c r="H119" s="36" t="str">
        <f>IFERROR(ROUNDUP(IF(AND($Q$1=FALSE,$S$3=FALSE),"-",IF(AND($Q$1=TRUE,$S$3=TRUE),"-",IF(AND($Q$1=TRUE,$S$1=TRUE,$S$4=FALSE),VLOOKUP($E119,'Status Thresholds'!$E:$AS,12,FALSE),IF(AND($Q$1=TRUE,$S$4=FALSE),VLOOKUP($E119,'Status Thresholds'!$E:$AS,2,FALSE), IF(AND($Q$1=TRUE,$S$1=TRUE,$S$4=TRUE),VLOOKUP($E119,'Status Thresholds'!$E:$AS,17,FALSE),IF(AND($Q$1=TRUE,$S$4=TRUE),VLOOKUP($E119,'Status Thresholds'!$E:$AS,7,FALSE),IF(AND($S$3=TRUE,$S$1=TRUE,$S$4=FALSE),VLOOKUP($E119,'Status Thresholds'!$E:$AS,32,FALSE),IF(AND($S$3=TRUE,$S$4=FALSE),VLOOKUP($E119,'Status Thresholds'!$E:$AS,22,FALSE),IF(AND($S$3=TRUE,$S$1=TRUE,$S$4=TRUE),VLOOKUP($E119,'Status Thresholds'!$E:$AS,37,FALSE),IF(AND($S$3=TRUE,$S$4=TRUE),VLOOKUP($E119,'Status Thresholds'!$E:$AS,27,FALSE),""))))))))/IF(OR($Q$3=TRUE,AND($Q$2=TRUE,$Q$7=TRUE),AND($Q$3=TRUE,$Q$7=TRUE))=TRUE,'Shots and Status'!$F$5,IF((OR($Q$2,$Q$7)=TRUE),'Shots and Status'!$D$5,'Shots and Status'!$C$5)))),0),"-")</f>
        <v>-</v>
      </c>
      <c r="I119" s="36" t="str">
        <f>IFERROR(ROUNDUP(IF(AND($Q$1=FALSE,$S$3=FALSE),"-",IF(AND($Q$1=TRUE,$S$3=TRUE),"-",IF(AND($Q$1=TRUE,$S$1=TRUE,$S$4=FALSE),VLOOKUP($E119,'Status Thresholds'!$E:$AS,13,FALSE),IF(AND($Q$1=TRUE,$S$4=FALSE),VLOOKUP($E119,'Status Thresholds'!$E:$AS,3,FALSE), IF(AND($Q$1=TRUE,$S$1=TRUE,$S$4=TRUE),VLOOKUP($E119,'Status Thresholds'!$E:$AS,18,FALSE),IF(AND($Q$1=TRUE,$S$4=TRUE),VLOOKUP($E119,'Status Thresholds'!$E:$AS,8,FALSE),IF(AND($S$3=TRUE,$S$1=TRUE,$S$4=FALSE),VLOOKUP($E119,'Status Thresholds'!$E:$AS,33,FALSE),IF(AND($S$3=TRUE,$S$4=FALSE),VLOOKUP($E119,'Status Thresholds'!$E:$AS,23,FALSE),IF(AND($S$3=TRUE,$S$1=TRUE,$S$4=TRUE),VLOOKUP($E119,'Status Thresholds'!$E:$AS,38,FALSE),IF(AND($S$3=TRUE,$S$4=TRUE),VLOOKUP($E119,'Status Thresholds'!$E:$AS,28,FALSE),""))))))))/IF(OR($Q$3=TRUE,AND($Q$2=TRUE,$Q$7=TRUE),AND($Q$3=TRUE,$Q$7=TRUE))=TRUE,'Shots and Status'!$F$5,IF((OR($Q$2,$Q$7)=TRUE),'Shots and Status'!$D$5,'Shots and Status'!$C$5)))),0),"-")</f>
        <v>-</v>
      </c>
      <c r="J119" s="36" t="str">
        <f>IFERROR(ROUNDUP(IF(AND($Q$1=FALSE,$S$3=FALSE),"-",IF(AND($Q$1=TRUE,$S$3=TRUE),"-",IF(AND($Q$1=TRUE,$S$1=TRUE,$S$4=FALSE),VLOOKUP($E119,'Status Thresholds'!$E:$AS,14,FALSE),IF(AND($Q$1=TRUE,$S$4=FALSE),VLOOKUP($E119,'Status Thresholds'!$E:$AS,4,FALSE), IF(AND($Q$1=TRUE,$S$1=TRUE,$S$4=TRUE),VLOOKUP($E119,'Status Thresholds'!$E:$AS,19,FALSE),IF(AND($Q$1=TRUE,$S$4=TRUE),VLOOKUP($E119,'Status Thresholds'!$E:$AS,9,FALSE),IF(AND($S$3=TRUE,$S$1=TRUE,$S$4=FALSE),VLOOKUP($E119,'Status Thresholds'!$E:$AS,34,FALSE),IF(AND($S$3=TRUE,$S$4=FALSE),VLOOKUP($E119,'Status Thresholds'!$E:$AS,24,FALSE),IF(AND($S$3=TRUE,$S$1=TRUE,$S$4=TRUE),VLOOKUP($E119,'Status Thresholds'!$E:$AS,39,FALSE),IF(AND($S$3=TRUE,$S$4=TRUE),VLOOKUP($E119,'Status Thresholds'!$E:$AS,29,FALSE),""))))))))/IF(OR($Q$3=TRUE,AND($Q$2=TRUE,$Q$7=TRUE),AND($Q$3=TRUE,$Q$7=TRUE))=TRUE,'Shots and Status'!$F$5,IF((OR($Q$2,$Q$7)=TRUE),'Shots and Status'!$D$5,'Shots and Status'!$C$5)))),0),"-")</f>
        <v>-</v>
      </c>
      <c r="K119" s="36" t="str">
        <f>IFERROR(ROUNDUP(IF(AND($Q$1=FALSE,$S$3=FALSE),"-",IF(AND($Q$1=TRUE,$S$3=TRUE),"-",IF(AND($Q$1=TRUE,$S$1=TRUE,$S$4=FALSE),VLOOKUP($E119,'Status Thresholds'!$E:$AS,15,FALSE),IF(AND($Q$1=TRUE,$S$4=FALSE),VLOOKUP($E119,'Status Thresholds'!$E:$AS,5,FALSE), IF(AND($Q$1=TRUE,$S$1=TRUE,$S$4=TRUE),VLOOKUP($E119,'Status Thresholds'!$E:$AS,20,FALSE),IF(AND($Q$1=TRUE,$S$4=TRUE),VLOOKUP($E119,'Status Thresholds'!$E:$AS,10,FALSE),IF(AND($S$3=TRUE,$S$1=TRUE,$S$4=FALSE),VLOOKUP($E119,'Status Thresholds'!$E:$AS,35,FALSE),IF(AND($S$3=TRUE,$S$4=FALSE),VLOOKUP($E119,'Status Thresholds'!$E:$AS,25,FALSE),IF(AND($S$3=TRUE,$S$1=TRUE,$S$4=TRUE),VLOOKUP($E119,'Status Thresholds'!$E:$AS,40,FALSE),IF(AND($S$3=TRUE,$S$4=TRUE),VLOOKUP($E119,'Status Thresholds'!$E:$AS,30,FALSE),""))))))))/IF(OR($Q$3=TRUE,AND($Q$2=TRUE,$Q$7=TRUE),AND($Q$3=TRUE,$Q$7=TRUE))=TRUE,'Shots and Status'!$F$5,IF((OR($Q$2,$Q$7)=TRUE),'Shots and Status'!$D$5,'Shots and Status'!$C$5)))),0),"-")</f>
        <v>-</v>
      </c>
      <c r="L119" s="36" t="str">
        <f>IFERROR(IF(AND($Q$1=FALSE,$S$3=FALSE),"-",VLOOKUP($E119,'Status Thresholds'!$E:$AU,41,FALSE)),"-")</f>
        <v>-</v>
      </c>
      <c r="M119" s="36" t="str">
        <f>IFERROR(IF(AND($Q$1=FALSE,$S$3=FALSE),"-",VLOOKUP($E119,'Status Thresholds'!$E:$AU,42,FALSE)),"-")</f>
        <v>-</v>
      </c>
      <c r="N119" s="36" t="str">
        <f>IFERROR(IF(AND($Q$1=FALSE,$S$3=FALSE),"-",VLOOKUP($E119,'Status Thresholds'!$E:$AU,43,FALSE)),"-")</f>
        <v>-</v>
      </c>
    </row>
    <row r="120" spans="1:14" s="36" customFormat="1" x14ac:dyDescent="0.25">
      <c r="A120" s="46"/>
      <c r="B120" s="64" t="str">
        <f>VLOOKUP(C120,'Status Thresholds'!B:C,2,FALSE)</f>
        <v>Deviant</v>
      </c>
      <c r="C120" s="46" t="str">
        <f>IF(ISBLANK('KO Calc'!C116)=TRUE,"",'KO Calc'!C116)</f>
        <v>Bloodbath Diablos</v>
      </c>
      <c r="D120" s="57" t="s">
        <v>22</v>
      </c>
      <c r="E120" s="62" t="str">
        <f t="shared" si="3"/>
        <v>Bloodbath DiablosExhaust</v>
      </c>
      <c r="F120" s="36" t="s">
        <v>8</v>
      </c>
      <c r="G120" s="36" t="str">
        <f t="shared" si="4"/>
        <v>Bloodbath DiablosExhaust lvl 2</v>
      </c>
      <c r="H120" s="36" t="str">
        <f>IFERROR(ROUNDUP(IF(AND($Q$1=FALSE,$S$3=FALSE),"-",IF(AND($Q$1=TRUE,$S$3=TRUE),"-",IF(AND($Q$1=TRUE,$S$1=TRUE,$S$4=FALSE),VLOOKUP($E120,'Status Thresholds'!$E:$AS,12,FALSE),IF(AND($Q$1=TRUE,$S$4=FALSE),VLOOKUP($E120,'Status Thresholds'!$E:$AS,2,FALSE), IF(AND($Q$1=TRUE,$S$1=TRUE,$S$4=TRUE),VLOOKUP($E120,'Status Thresholds'!$E:$AS,17,FALSE),IF(AND($Q$1=TRUE,$S$4=TRUE),VLOOKUP($E120,'Status Thresholds'!$E:$AS,7,FALSE),IF(AND($S$3=TRUE,$S$1=TRUE,$S$4=FALSE),VLOOKUP($E120,'Status Thresholds'!$E:$AS,32,FALSE),IF(AND($S$3=TRUE,$S$4=FALSE),VLOOKUP($E120,'Status Thresholds'!$E:$AS,22,FALSE),IF(AND($S$3=TRUE,$S$1=TRUE,$S$4=TRUE),VLOOKUP($E120,'Status Thresholds'!$E:$AS,37,FALSE),IF(AND($S$3=TRUE,$S$4=TRUE),VLOOKUP($E120,'Status Thresholds'!$E:$AS,27,FALSE),""))))))))/IF(OR($Q$3=TRUE,AND($Q$2=TRUE,$Q$7=TRUE),AND($Q$3=TRUE,$Q$7=TRUE))=TRUE,'Shots and Status'!$F$5,IF((OR($Q$2,$Q$7)=TRUE),'Shots and Status'!$D$5,'Shots and Status'!$C$5)))),0),"-")</f>
        <v>-</v>
      </c>
      <c r="I120" s="36" t="str">
        <f>IFERROR(ROUNDUP(IF(AND($Q$1=FALSE,$S$3=FALSE),"-",IF(AND($Q$1=TRUE,$S$3=TRUE),"-",IF(AND($Q$1=TRUE,$S$1=TRUE,$S$4=FALSE),VLOOKUP($E120,'Status Thresholds'!$E:$AS,13,FALSE),IF(AND($Q$1=TRUE,$S$4=FALSE),VLOOKUP($E120,'Status Thresholds'!$E:$AS,3,FALSE), IF(AND($Q$1=TRUE,$S$1=TRUE,$S$4=TRUE),VLOOKUP($E120,'Status Thresholds'!$E:$AS,18,FALSE),IF(AND($Q$1=TRUE,$S$4=TRUE),VLOOKUP($E120,'Status Thresholds'!$E:$AS,8,FALSE),IF(AND($S$3=TRUE,$S$1=TRUE,$S$4=FALSE),VLOOKUP($E120,'Status Thresholds'!$E:$AS,33,FALSE),IF(AND($S$3=TRUE,$S$4=FALSE),VLOOKUP($E120,'Status Thresholds'!$E:$AS,23,FALSE),IF(AND($S$3=TRUE,$S$1=TRUE,$S$4=TRUE),VLOOKUP($E120,'Status Thresholds'!$E:$AS,38,FALSE),IF(AND($S$3=TRUE,$S$4=TRUE),VLOOKUP($E120,'Status Thresholds'!$E:$AS,28,FALSE),""))))))))/IF(OR($Q$3=TRUE,AND($Q$2=TRUE,$Q$7=TRUE),AND($Q$3=TRUE,$Q$7=TRUE))=TRUE,'Shots and Status'!$F$5,IF((OR($Q$2,$Q$7)=TRUE),'Shots and Status'!$D$5,'Shots and Status'!$C$5)))),0),"-")</f>
        <v>-</v>
      </c>
      <c r="J120" s="36" t="str">
        <f>IFERROR(ROUNDUP(IF(AND($Q$1=FALSE,$S$3=FALSE),"-",IF(AND($Q$1=TRUE,$S$3=TRUE),"-",IF(AND($Q$1=TRUE,$S$1=TRUE,$S$4=FALSE),VLOOKUP($E120,'Status Thresholds'!$E:$AS,14,FALSE),IF(AND($Q$1=TRUE,$S$4=FALSE),VLOOKUP($E120,'Status Thresholds'!$E:$AS,4,FALSE), IF(AND($Q$1=TRUE,$S$1=TRUE,$S$4=TRUE),VLOOKUP($E120,'Status Thresholds'!$E:$AS,19,FALSE),IF(AND($Q$1=TRUE,$S$4=TRUE),VLOOKUP($E120,'Status Thresholds'!$E:$AS,9,FALSE),IF(AND($S$3=TRUE,$S$1=TRUE,$S$4=FALSE),VLOOKUP($E120,'Status Thresholds'!$E:$AS,34,FALSE),IF(AND($S$3=TRUE,$S$4=FALSE),VLOOKUP($E120,'Status Thresholds'!$E:$AS,24,FALSE),IF(AND($S$3=TRUE,$S$1=TRUE,$S$4=TRUE),VLOOKUP($E120,'Status Thresholds'!$E:$AS,39,FALSE),IF(AND($S$3=TRUE,$S$4=TRUE),VLOOKUP($E120,'Status Thresholds'!$E:$AS,29,FALSE),""))))))))/IF(OR($Q$3=TRUE,AND($Q$2=TRUE,$Q$7=TRUE),AND($Q$3=TRUE,$Q$7=TRUE))=TRUE,'Shots and Status'!$F$5,IF((OR($Q$2,$Q$7)=TRUE),'Shots and Status'!$D$5,'Shots and Status'!$C$5)))),0),"-")</f>
        <v>-</v>
      </c>
      <c r="K120" s="36" t="str">
        <f>IFERROR(ROUNDUP(IF(AND($Q$1=FALSE,$S$3=FALSE),"-",IF(AND($Q$1=TRUE,$S$3=TRUE),"-",IF(AND($Q$1=TRUE,$S$1=TRUE,$S$4=FALSE),VLOOKUP($E120,'Status Thresholds'!$E:$AS,15,FALSE),IF(AND($Q$1=TRUE,$S$4=FALSE),VLOOKUP($E120,'Status Thresholds'!$E:$AS,5,FALSE), IF(AND($Q$1=TRUE,$S$1=TRUE,$S$4=TRUE),VLOOKUP($E120,'Status Thresholds'!$E:$AS,20,FALSE),IF(AND($Q$1=TRUE,$S$4=TRUE),VLOOKUP($E120,'Status Thresholds'!$E:$AS,10,FALSE),IF(AND($S$3=TRUE,$S$1=TRUE,$S$4=FALSE),VLOOKUP($E120,'Status Thresholds'!$E:$AS,35,FALSE),IF(AND($S$3=TRUE,$S$4=FALSE),VLOOKUP($E120,'Status Thresholds'!$E:$AS,25,FALSE),IF(AND($S$3=TRUE,$S$1=TRUE,$S$4=TRUE),VLOOKUP($E120,'Status Thresholds'!$E:$AS,40,FALSE),IF(AND($S$3=TRUE,$S$4=TRUE),VLOOKUP($E120,'Status Thresholds'!$E:$AS,30,FALSE),""))))))))/IF(OR($Q$3=TRUE,AND($Q$2=TRUE,$Q$7=TRUE),AND($Q$3=TRUE,$Q$7=TRUE))=TRUE,'Shots and Status'!$F$5,IF((OR($Q$2,$Q$7)=TRUE),'Shots and Status'!$D$5,'Shots and Status'!$C$5)))),0),"-")</f>
        <v>-</v>
      </c>
      <c r="L120" s="36" t="str">
        <f>IFERROR(IF(AND($Q$1=FALSE,$S$3=FALSE),"-",VLOOKUP($E120,'Status Thresholds'!$E:$AU,41,FALSE)),"-")</f>
        <v>-</v>
      </c>
      <c r="M120" s="36" t="str">
        <f>IFERROR(IF(AND($Q$1=FALSE,$S$3=FALSE),"-",VLOOKUP($E120,'Status Thresholds'!$E:$AU,42,FALSE)),"-")</f>
        <v>-</v>
      </c>
      <c r="N120" s="36" t="str">
        <f>IFERROR(IF(AND($Q$1=FALSE,$S$3=FALSE),"-",VLOOKUP($E120,'Status Thresholds'!$E:$AU,43,FALSE)),"-")</f>
        <v>-</v>
      </c>
    </row>
    <row r="121" spans="1:14" s="36" customFormat="1" x14ac:dyDescent="0.25">
      <c r="A121" s="46"/>
      <c r="B121" s="64" t="str">
        <f>VLOOKUP(C121,'Status Thresholds'!B:C,2,FALSE)</f>
        <v>Deviant</v>
      </c>
      <c r="C121" s="46" t="str">
        <f>IF(ISBLANK('KO Calc'!C117)=TRUE,"",'KO Calc'!C117)</f>
        <v>Bloodbath Diablos</v>
      </c>
      <c r="D121" s="67" t="s">
        <v>14</v>
      </c>
      <c r="E121" s="62" t="str">
        <f t="shared" si="3"/>
        <v>Bloodbath DiablosKO</v>
      </c>
      <c r="F121" s="36" t="s">
        <v>21</v>
      </c>
      <c r="G121" s="36" t="str">
        <f t="shared" si="4"/>
        <v>Bloodbath DiablosTriblast</v>
      </c>
      <c r="H121" s="36" t="str">
        <f>IF(AND($Q$1=FALSE,$S$3=FALSE),"-",IF(AND($Q$1=TRUE,$S$3=TRUE),"-",IF(AND($Q$1=FALSE,$S$3=FALSE),"-",IF(AND($Q$1=TRUE,$S$1=TRUE,$S$4=FALSE)=TRUE,IF(OR($Q$4=TRUE,$Q$5=TRUE,$S$2=TRUE),VLOOKUP($G121,'KO Calc'!$H:$AW,12,FALSE),VLOOKUP($G121,'KO Calc'!$H127:$AW127,12,FALSE)),IF(AND($Q$1=TRUE,$S$4=FALSE),IF(OR($Q$4=TRUE,$Q$5=TRUE,$S$2=TRUE),VLOOKUP($G121,'KO Calc'!$H:$AW,2,FALSE),VLOOKUP($G121,'KO Calc'!$H127:$AW127,2,FALSE)),
IF(AND($Q$1=TRUE,$S$1=TRUE,$S$4=TRUE)=TRUE,IF(OR($Q$4=TRUE,$Q$5=TRUE,$S$2=TRUE),VLOOKUP($G121,'KO Calc'!$H:$AW,17,FALSE),VLOOKUP($G121,'KO Calc'!$H127:$AW127,17,FALSE)),IF(AND($Q$1=TRUE,$S$4=TRUE),IF(OR($Q$4=TRUE,$Q$5=TRUE,$S$2=TRUE),VLOOKUP($G121,'KO Calc'!$H:$AW,7,FALSE),VLOOKUP($G121,'KO Calc'!$H127:$AW127,7,FALSE)),
IF(AND($S$3=TRUE,$S$1=TRUE,$S$4=FALSE)=TRUE,IF(OR($Q$4=TRUE,$Q$5=TRUE,$S$2=TRUE),VLOOKUP($G121,'KO Calc'!$H:$AW,32,FALSE),VLOOKUP($G121,'KO Calc'!$H127:$AW127,32,FALSE)),IF(AND($S$3=TRUE,$S$4=FALSE),IF(OR($Q$4=TRUE,$Q$5=TRUE,$S$2=TRUE),VLOOKUP($G121,'KO Calc'!$H:$AW,22,FALSE),VLOOKUP($G121,'KO Calc'!$H127:$AW127,22,FALSE)),
IF(AND($S$3=TRUE,$S$1=TRUE,$S$4=TRUE)=TRUE,IF(OR($Q$4=TRUE,$Q$5=TRUE,$S$2=TRUE),VLOOKUP($G121,'KO Calc'!$H:$AW,37,FALSE),VLOOKUP($G121,'KO Calc'!$H127:$AW127,37,FALSE)),IF(AND($S$3=TRUE,$S$4=TRUE),IF(OR($Q$4=TRUE,$Q$5=TRUE,$S$2=TRUE),VLOOKUP($G121,'KO Calc'!$H:$AW,27,FALSE),VLOOKUP($G121,'KO Calc'!$H127:$AW127,27,FALSE)))))))))))))</f>
        <v>-</v>
      </c>
      <c r="I121" s="36" t="str">
        <f>IF(AND($Q$1=FALSE,$S$3=FALSE),"-",IF(AND($Q$1=TRUE,$S$3=TRUE),"-",IF(AND($Q$1=FALSE,$S$3=FALSE),"-",IF(AND($Q$1=TRUE,$S$1=TRUE,$S$4=FALSE)=TRUE,IF(OR($Q$4=TRUE,$Q$5=TRUE,$S$2=TRUE),VLOOKUP($G121,'KO Calc'!$H:$AW,13,FALSE),VLOOKUP($G121,'KO Calc'!$H127:$AW127,13,FALSE)),IF(AND($Q$1=TRUE,$S$4=FALSE),IF(OR($Q$4=TRUE,$Q$5=TRUE,$S$2=TRUE),VLOOKUP($G121,'KO Calc'!$H:$AW,3,FALSE),VLOOKUP($G121,'KO Calc'!$H127:$AW127,3,FALSE)),
IF(AND($Q$1=TRUE,$S$1=TRUE,$S$4=TRUE)=TRUE,IF(OR($Q$4=TRUE,$Q$5=TRUE,$S$2=TRUE),VLOOKUP($G121,'KO Calc'!$H:$AW,18,FALSE),VLOOKUP($G121,'KO Calc'!$H127:$AW127,18,FALSE)),IF(AND($Q$1=TRUE,$S$4=TRUE),IF(OR($Q$4=TRUE,$Q$5=TRUE,$S$2=TRUE),VLOOKUP($G121,'KO Calc'!$H:$AW,8,FALSE),VLOOKUP($G121,'KO Calc'!$H127:$AW127,8,FALSE)),
IF(AND($S$3=TRUE,$S$1=TRUE,$S$4=FALSE)=TRUE,IF(OR($Q$4=TRUE,$Q$5=TRUE,$S$2=TRUE),VLOOKUP($G121,'KO Calc'!$H:$AW,33,FALSE),VLOOKUP($G121,'KO Calc'!$H127:$AW127,33,FALSE)),IF(AND($S$3=TRUE,$S$4=FALSE),IF(OR($Q$4=TRUE,$Q$5=TRUE,$S$2=TRUE),VLOOKUP($G121,'KO Calc'!$H:$AW,23,FALSE),VLOOKUP($G121,'KO Calc'!$H127:$AW127,23,FALSE)),
IF(AND($S$3=TRUE,$S$1=TRUE,$S$4=TRUE)=TRUE,IF(OR($Q$4=TRUE,$Q$5=TRUE,$S$2=TRUE),VLOOKUP($G121,'KO Calc'!$H:$AW,38,FALSE),VLOOKUP($G121,'KO Calc'!$H127:$AW127,38,FALSE)),IF(AND($S$3=TRUE,$S$4=TRUE),IF(OR($Q$4=TRUE,$Q$5=TRUE,$S$2=TRUE),VLOOKUP($G121,'KO Calc'!$H:$AW,28,FALSE),VLOOKUP($G121,'KO Calc'!$H127:$AW127,28,FALSE)))))))))))))</f>
        <v>-</v>
      </c>
      <c r="J121" s="36" t="str">
        <f>IF(AND($Q$1=FALSE,$S$3=FALSE),"-",IF(AND($Q$1=TRUE,$S$3=TRUE),"-",IF(AND($Q$1=FALSE,$S$3=FALSE),"-",IF(AND($Q$1=TRUE,$S$1=TRUE,$S$4=FALSE)=TRUE,IF(OR($Q$4=TRUE,$Q$5=TRUE,$S$2=TRUE),VLOOKUP($G121,'KO Calc'!$H:$AW,FALSE),VLOOKUP($G121,'KO Calc'!$H127:$AW127,14,FALSE)),IF(AND($Q$1=TRUE,$S$4=FALSE),IF(OR($Q$4=TRUE,$Q$5=TRUE,$S$2=TRUE),VLOOKUP($G121,'KO Calc'!$H:$AW,4,FALSE),VLOOKUP($G121,'KO Calc'!$H127:$AW127,4,FALSE)),
IF(AND($Q$1=TRUE,$S$1=TRUE,$S$4=TRUE)=TRUE,IF(OR($Q$4=TRUE,$Q$5=TRUE,$S$2=TRUE),VLOOKUP($G121,'KO Calc'!$H:$AW,19,FALSE),VLOOKUP($G121,'KO Calc'!$H127:$AW127,19,FALSE)),IF(AND($Q$1=TRUE,$S$4=TRUE),IF(OR($Q$4=TRUE,$Q$5=TRUE,$S$2=TRUE),VLOOKUP($G121,'KO Calc'!$H:$AW,9,FALSE),VLOOKUP($G121,'KO Calc'!$H127:$AW127,9,FALSE)),
IF(AND($S$3=TRUE,$S$1=TRUE,$S$4=FALSE)=TRUE,IF(OR($Q$4=TRUE,$Q$5=TRUE,$S$2=TRUE),VLOOKUP($G121,'KO Calc'!$H:$AW,34,FALSE),VLOOKUP($G121,'KO Calc'!$H127:$AW127,34,FALSE)),IF(AND($S$3=TRUE,$S$4=FALSE),IF(OR($Q$4=TRUE,$Q$5=TRUE,$S$2=TRUE),VLOOKUP($G121,'KO Calc'!$H:$AW,24,FALSE),VLOOKUP($G121,'KO Calc'!$H127:$AW127,24,FALSE)),
IF(AND($S$3=TRUE,$S$1=TRUE,$S$4=TRUE)=TRUE,IF(OR($Q$4=TRUE,$Q$5=TRUE,$S$2=TRUE),VLOOKUP($G121,'KO Calc'!$H:$AW,39,FALSE),VLOOKUP($G121,'KO Calc'!$H127:$AW127,39,FALSE)),IF(AND($S$3=TRUE,$S$4=TRUE),IF(OR($Q$4=TRUE,$Q$5=TRUE,$S$2=TRUE),VLOOKUP($G121,'KO Calc'!$H:$AW,29,FALSE),VLOOKUP($G121,'KO Calc'!$H127:$AW127,29,FALSE)))))))))))))</f>
        <v>-</v>
      </c>
      <c r="K121" s="36" t="str">
        <f>IF(AND($Q$1=FALSE,$S$3=FALSE),"-",IF(AND($Q$1=TRUE,$S$3=TRUE),"-",IF(AND($Q$1=FALSE,$S$3=FALSE),"-",IF(AND($Q$1=TRUE,$S$1=TRUE,$S$4=FALSE)=TRUE,IF(OR($Q$4=TRUE,$Q$5=TRUE,$S$2=TRUE),VLOOKUP($G121,'KO Calc'!$H:$AW,15,FALSE),VLOOKUP($G121,'KO Calc'!$H127:$AW127,15,FALSE)),IF(AND($Q$1=TRUE,$S$4=FALSE),IF(OR($Q$4=TRUE,$Q$5=TRUE,$S$2=TRUE),VLOOKUP($G121,'KO Calc'!$H:$AW,5,FALSE),VLOOKUP($G121,'KO Calc'!$H127:$AW127,5,FALSE)),
IF(AND($Q$1=TRUE,$S$1=TRUE,$S$4=TRUE)=TRUE,IF(OR($Q$4=TRUE,$Q$5=TRUE,$S$2=TRUE),VLOOKUP($G121,'KO Calc'!$H:$AW,20,FALSE),VLOOKUP($G121,'KO Calc'!$H127:$AW127,20,FALSE)),IF(AND($Q$1=TRUE,$S$4=TRUE),IF(OR($Q$4=TRUE,$Q$5=TRUE,$S$2=TRUE),VLOOKUP($G121,'KO Calc'!$H:$AW,10,FALSE),VLOOKUP($G121,'KO Calc'!$H127:$AW127,10,FALSE)),
IF(AND($S$3=TRUE,$S$1=TRUE,$S$4=FALSE)=TRUE,IF(OR($Q$4=TRUE,$Q$5=TRUE,$S$2=TRUE),VLOOKUP($G121,'KO Calc'!$H:$AW,35,FALSE),VLOOKUP($G121,'KO Calc'!$H127:$AW127,35,FALSE)),IF(AND($S$3=TRUE,$S$4=FALSE),IF(OR($Q$4=TRUE,$Q$5=TRUE,$S$2=TRUE),VLOOKUP($G121,'KO Calc'!$H:$AW,25,FALSE),VLOOKUP($G121,'KO Calc'!$H127:$AW127,25,FALSE)),
IF(AND($S$3=TRUE,$S$1=TRUE,$S$4=TRUE)=TRUE,IF(OR($Q$4=TRUE,$Q$5=TRUE,$S$2=TRUE),VLOOKUP($G121,'KO Calc'!$H:$AW,40,FALSE),VLOOKUP($G121,'KO Calc'!$H127:$AW127,40,FALSE)),IF(AND($S$3=TRUE,$S$4=TRUE),IF(OR($Q$4=TRUE,$Q$5=TRUE,$S$2=TRUE),VLOOKUP($G121,'KO Calc'!$H:$AW,30,FALSE),VLOOKUP($G121,'KO Calc'!$H127:$AW127,30,FALSE)))))))))))))</f>
        <v>-</v>
      </c>
      <c r="L121" s="36" t="str">
        <f>IFERROR(IF(AND($Q$1=FALSE,$S$3=FALSE),"-",VLOOKUP($E121,'Status Thresholds'!$E:$AU,41,FALSE)),"-")</f>
        <v>-</v>
      </c>
      <c r="M121" s="36" t="str">
        <f>IFERROR(IF(AND($Q$1=FALSE,$S$3=FALSE),"-",VLOOKUP($E121,'Status Thresholds'!$E:$AU,42,FALSE)),"-")</f>
        <v>-</v>
      </c>
      <c r="N121" s="36" t="str">
        <f>IFERROR(IF(AND($Q$1=FALSE,$S$3=FALSE),"-",VLOOKUP($E121,'Status Thresholds'!$E:$AU,43,FALSE)),"-")</f>
        <v>-</v>
      </c>
    </row>
    <row r="122" spans="1:14" x14ac:dyDescent="0.25">
      <c r="B122" s="64" t="str">
        <f>VLOOKUP(C122,'Status Thresholds'!B:C,2,FALSE)</f>
        <v>Deviant</v>
      </c>
      <c r="C122" s="46" t="str">
        <f>IF(ISBLANK('KO Calc'!C118)=TRUE,"",'KO Calc'!C118)</f>
        <v>Bloodbath Diablos</v>
      </c>
      <c r="D122" s="78" t="s">
        <v>207</v>
      </c>
      <c r="E122" s="62" t="str">
        <f t="shared" si="3"/>
        <v>Bloodbath DiablosShock Trap</v>
      </c>
      <c r="F122" t="s">
        <v>13</v>
      </c>
      <c r="G122" s="36" t="str">
        <f t="shared" si="4"/>
        <v>Bloodbath DiablosCrag 3</v>
      </c>
      <c r="H122" s="36" t="str">
        <f>IF(AND($Q$1=FALSE,$S$3=FALSE),"-",IF(AND($Q$1=TRUE,$S$3=TRUE),"-",IF(AND($Q$1=FALSE,$S$3=FALSE),"-",IF(AND($Q$1=TRUE,$S$1=TRUE,$S$4=FALSE)=TRUE,IF(OR($Q$4=TRUE,$Q$5=TRUE,$S$2=TRUE),VLOOKUP($G122,'KO Calc'!$H:$AW,12,FALSE),VLOOKUP($G122,'KO Calc'!$H128:$AW128,12,FALSE)),IF(AND($Q$1=TRUE,$S$4=FALSE),IF(OR($Q$4=TRUE,$Q$5=TRUE,$S$2=TRUE),VLOOKUP($G122,'KO Calc'!$H:$AW,2,FALSE),VLOOKUP($G122,'KO Calc'!$H128:$AW128,2,FALSE)),
IF(AND($Q$1=TRUE,$S$1=TRUE,$S$4=TRUE)=TRUE,IF(OR($Q$4=TRUE,$Q$5=TRUE,$S$2=TRUE),VLOOKUP($G122,'KO Calc'!$H:$AW,17,FALSE),VLOOKUP($G122,'KO Calc'!$H128:$AW128,17,FALSE)),IF(AND($Q$1=TRUE,$S$4=TRUE),IF(OR($Q$4=TRUE,$Q$5=TRUE,$S$2=TRUE),VLOOKUP($G122,'KO Calc'!$H:$AW,7,FALSE),VLOOKUP($G122,'KO Calc'!$H128:$AW128,7,FALSE)),
IF(AND($S$3=TRUE,$S$1=TRUE,$S$4=FALSE)=TRUE,IF(OR($Q$4=TRUE,$Q$5=TRUE,$S$2=TRUE),VLOOKUP($G122,'KO Calc'!$H:$AW,32,FALSE),VLOOKUP($G122,'KO Calc'!$H128:$AW128,32,FALSE)),IF(AND($S$3=TRUE,$S$4=FALSE),IF(OR($Q$4=TRUE,$Q$5=TRUE,$S$2=TRUE),VLOOKUP($G122,'KO Calc'!$H:$AW,22,FALSE),VLOOKUP($G122,'KO Calc'!$H128:$AW128,22,FALSE)),
IF(AND($S$3=TRUE,$S$1=TRUE,$S$4=TRUE)=TRUE,IF(OR($Q$4=TRUE,$Q$5=TRUE,$S$2=TRUE),VLOOKUP($G122,'KO Calc'!$H:$AW,37,FALSE),VLOOKUP($G122,'KO Calc'!$H128:$AW128,37,FALSE)),IF(AND($S$3=TRUE,$S$4=TRUE),IF(OR($Q$4=TRUE,$Q$5=TRUE,$S$2=TRUE),VLOOKUP($G122,'KO Calc'!$H:$AW,27,FALSE),VLOOKUP($G122,'KO Calc'!$H128:$AW128,27,FALSE)))))))))))))</f>
        <v>-</v>
      </c>
      <c r="I122" s="36" t="str">
        <f>IF(AND($Q$1=FALSE,$S$3=FALSE),"-",IF(AND($Q$1=TRUE,$S$3=TRUE),"-",IF(AND($Q$1=FALSE,$S$3=FALSE),"-",IF(AND($Q$1=TRUE,$S$1=TRUE,$S$4=FALSE)=TRUE,IF(OR($Q$4=TRUE,$Q$5=TRUE,$S$2=TRUE),VLOOKUP($G122,'KO Calc'!$H:$AW,13,FALSE),VLOOKUP($G122,'KO Calc'!$H128:$AW128,13,FALSE)),IF(AND($Q$1=TRUE,$S$4=FALSE),IF(OR($Q$4=TRUE,$Q$5=TRUE,$S$2=TRUE),VLOOKUP($G122,'KO Calc'!$H:$AW,3,FALSE),VLOOKUP($G122,'KO Calc'!$H128:$AW128,3,FALSE)),
IF(AND($Q$1=TRUE,$S$1=TRUE,$S$4=TRUE)=TRUE,IF(OR($Q$4=TRUE,$Q$5=TRUE,$S$2=TRUE),VLOOKUP($G122,'KO Calc'!$H:$AW,18,FALSE),VLOOKUP($G122,'KO Calc'!$H128:$AW128,18,FALSE)),IF(AND($Q$1=TRUE,$S$4=TRUE),IF(OR($Q$4=TRUE,$Q$5=TRUE,$S$2=TRUE),VLOOKUP($G122,'KO Calc'!$H:$AW,8,FALSE),VLOOKUP($G122,'KO Calc'!$H128:$AW128,8,FALSE)),
IF(AND($S$3=TRUE,$S$1=TRUE,$S$4=FALSE)=TRUE,IF(OR($Q$4=TRUE,$Q$5=TRUE,$S$2=TRUE),VLOOKUP($G122,'KO Calc'!$H:$AW,33,FALSE),VLOOKUP($G122,'KO Calc'!$H128:$AW128,33,FALSE)),IF(AND($S$3=TRUE,$S$4=FALSE),IF(OR($Q$4=TRUE,$Q$5=TRUE,$S$2=TRUE),VLOOKUP($G122,'KO Calc'!$H:$AW,23,FALSE),VLOOKUP($G122,'KO Calc'!$H128:$AW128,23,FALSE)),
IF(AND($S$3=TRUE,$S$1=TRUE,$S$4=TRUE)=TRUE,IF(OR($Q$4=TRUE,$Q$5=TRUE,$S$2=TRUE),VLOOKUP($G122,'KO Calc'!$H:$AW,38,FALSE),VLOOKUP($G122,'KO Calc'!$H128:$AW128,38,FALSE)),IF(AND($S$3=TRUE,$S$4=TRUE),IF(OR($Q$4=TRUE,$Q$5=TRUE,$S$2=TRUE),VLOOKUP($G122,'KO Calc'!$H:$AW,28,FALSE),VLOOKUP($G122,'KO Calc'!$H128:$AW128,28,FALSE)))))))))))))</f>
        <v>-</v>
      </c>
      <c r="J122" s="36" t="str">
        <f>IF(AND($Q$1=FALSE,$S$3=FALSE),"-",IF(AND($Q$1=TRUE,$S$3=TRUE),"-",IF(AND($Q$1=FALSE,$S$3=FALSE),"-",IF(AND($Q$1=TRUE,$S$1=TRUE,$S$4=FALSE)=TRUE,IF(OR($Q$4=TRUE,$Q$5=TRUE,$S$2=TRUE),VLOOKUP($G122,'KO Calc'!$H:$AW,FALSE),VLOOKUP($G122,'KO Calc'!$H128:$AW128,14,FALSE)),IF(AND($Q$1=TRUE,$S$4=FALSE),IF(OR($Q$4=TRUE,$Q$5=TRUE,$S$2=TRUE),VLOOKUP($G122,'KO Calc'!$H:$AW,4,FALSE),VLOOKUP($G122,'KO Calc'!$H128:$AW128,4,FALSE)),
IF(AND($Q$1=TRUE,$S$1=TRUE,$S$4=TRUE)=TRUE,IF(OR($Q$4=TRUE,$Q$5=TRUE,$S$2=TRUE),VLOOKUP($G122,'KO Calc'!$H:$AW,19,FALSE),VLOOKUP($G122,'KO Calc'!$H128:$AW128,19,FALSE)),IF(AND($Q$1=TRUE,$S$4=TRUE),IF(OR($Q$4=TRUE,$Q$5=TRUE,$S$2=TRUE),VLOOKUP($G122,'KO Calc'!$H:$AW,9,FALSE),VLOOKUP($G122,'KO Calc'!$H128:$AW128,9,FALSE)),
IF(AND($S$3=TRUE,$S$1=TRUE,$S$4=FALSE)=TRUE,IF(OR($Q$4=TRUE,$Q$5=TRUE,$S$2=TRUE),VLOOKUP($G122,'KO Calc'!$H:$AW,34,FALSE),VLOOKUP($G122,'KO Calc'!$H128:$AW128,34,FALSE)),IF(AND($S$3=TRUE,$S$4=FALSE),IF(OR($Q$4=TRUE,$Q$5=TRUE,$S$2=TRUE),VLOOKUP($G122,'KO Calc'!$H:$AW,24,FALSE),VLOOKUP($G122,'KO Calc'!$H128:$AW128,24,FALSE)),
IF(AND($S$3=TRUE,$S$1=TRUE,$S$4=TRUE)=TRUE,IF(OR($Q$4=TRUE,$Q$5=TRUE,$S$2=TRUE),VLOOKUP($G122,'KO Calc'!$H:$AW,39,FALSE),VLOOKUP($G122,'KO Calc'!$H128:$AW128,39,FALSE)),IF(AND($S$3=TRUE,$S$4=TRUE),IF(OR($Q$4=TRUE,$Q$5=TRUE,$S$2=TRUE),VLOOKUP($G122,'KO Calc'!$H:$AW,29,FALSE),VLOOKUP($G122,'KO Calc'!$H128:$AW128,29,FALSE)))))))))))))</f>
        <v>-</v>
      </c>
      <c r="K122" s="36" t="str">
        <f>IF(AND($Q$1=FALSE,$S$3=FALSE),"-",IF(AND($Q$1=TRUE,$S$3=TRUE),"-",IF(AND($Q$1=FALSE,$S$3=FALSE),"-",IF(AND($Q$1=TRUE,$S$1=TRUE,$S$4=FALSE)=TRUE,IF(OR($Q$4=TRUE,$Q$5=TRUE,$S$2=TRUE),VLOOKUP($G122,'KO Calc'!$H:$AW,15,FALSE),VLOOKUP($G122,'KO Calc'!$H128:$AW128,15,FALSE)),IF(AND($Q$1=TRUE,$S$4=FALSE),IF(OR($Q$4=TRUE,$Q$5=TRUE,$S$2=TRUE),VLOOKUP($G122,'KO Calc'!$H:$AW,5,FALSE),VLOOKUP($G122,'KO Calc'!$H128:$AW128,5,FALSE)),
IF(AND($Q$1=TRUE,$S$1=TRUE,$S$4=TRUE)=TRUE,IF(OR($Q$4=TRUE,$Q$5=TRUE,$S$2=TRUE),VLOOKUP($G122,'KO Calc'!$H:$AW,20,FALSE),VLOOKUP($G122,'KO Calc'!$H128:$AW128,20,FALSE)),IF(AND($Q$1=TRUE,$S$4=TRUE),IF(OR($Q$4=TRUE,$Q$5=TRUE,$S$2=TRUE),VLOOKUP($G122,'KO Calc'!$H:$AW,10,FALSE),VLOOKUP($G122,'KO Calc'!$H128:$AW128,10,FALSE)),
IF(AND($S$3=TRUE,$S$1=TRUE,$S$4=FALSE)=TRUE,IF(OR($Q$4=TRUE,$Q$5=TRUE,$S$2=TRUE),VLOOKUP($G122,'KO Calc'!$H:$AW,35,FALSE),VLOOKUP($G122,'KO Calc'!$H128:$AW128,35,FALSE)),IF(AND($S$3=TRUE,$S$4=FALSE),IF(OR($Q$4=TRUE,$Q$5=TRUE,$S$2=TRUE),VLOOKUP($G122,'KO Calc'!$H:$AW,25,FALSE),VLOOKUP($G122,'KO Calc'!$H128:$AW128,25,FALSE)),
IF(AND($S$3=TRUE,$S$1=TRUE,$S$4=TRUE)=TRUE,IF(OR($Q$4=TRUE,$Q$5=TRUE,$S$2=TRUE),VLOOKUP($G122,'KO Calc'!$H:$AW,40,FALSE),VLOOKUP($G122,'KO Calc'!$H128:$AW128,40,FALSE)),IF(AND($S$3=TRUE,$S$4=TRUE),IF(OR($Q$4=TRUE,$Q$5=TRUE,$S$2=TRUE),VLOOKUP($G122,'KO Calc'!$H:$AW,30,FALSE),VLOOKUP($G122,'KO Calc'!$H128:$AW128,30,FALSE)))))))))))))</f>
        <v>-</v>
      </c>
      <c r="L122" s="36" t="str">
        <f>IFERROR(IF(AND($Q$1=FALSE,$S$3=FALSE),"-",VLOOKUP($E122,'Status Thresholds'!$E:$AU,43,FALSE)),"-")</f>
        <v>-</v>
      </c>
      <c r="M122" s="36" t="str">
        <f>IFERROR(IF(AND($Q$1=FALSE,$S$3=FALSE),"-",VLOOKUP($E122,'Status Thresholds'!$E:$AU,41,FALSE)),"-")</f>
        <v>-</v>
      </c>
      <c r="N122" s="36" t="str">
        <f>IFERROR(IF(AND($Q$1=FALSE,$S$3=FALSE),"-",VLOOKUP($E122,'Status Thresholds'!$E:$AU,42,FALSE)),"-")</f>
        <v>-</v>
      </c>
    </row>
    <row r="123" spans="1:14" x14ac:dyDescent="0.25">
      <c r="B123" s="64" t="str">
        <f>VLOOKUP(C123,'Status Thresholds'!B:C,2,FALSE)</f>
        <v>Deviant</v>
      </c>
      <c r="C123" s="46" t="str">
        <f>IF(ISBLANK('KO Calc'!C119)=TRUE,"",'KO Calc'!C119)</f>
        <v>Bloodbath Diablos</v>
      </c>
      <c r="D123" s="78" t="s">
        <v>213</v>
      </c>
      <c r="E123" s="62" t="str">
        <f t="shared" si="3"/>
        <v>Bloodbath DiablosPitfall Trap</v>
      </c>
      <c r="F123" t="s">
        <v>12</v>
      </c>
      <c r="G123" s="36" t="str">
        <f t="shared" si="4"/>
        <v>Bloodbath DiablosCrag 2</v>
      </c>
      <c r="H123" s="36" t="str">
        <f>IF(AND($Q$1=FALSE,$S$3=FALSE),"-",IF(AND($Q$1=TRUE,$S$3=TRUE),"-",IF(AND($Q$1=FALSE,$S$3=FALSE),"-",IF(AND($Q$1=TRUE,$S$1=TRUE,$S$4=FALSE)=TRUE,IF(OR($Q$4=TRUE,$Q$5=TRUE,$S$2=TRUE),VLOOKUP($G123,'KO Calc'!$H:$AW,12,FALSE),VLOOKUP($G123,'KO Calc'!$H129:$AW129,12,FALSE)),IF(AND($Q$1=TRUE,$S$4=FALSE),IF(OR($Q$4=TRUE,$Q$5=TRUE,$S$2=TRUE),VLOOKUP($G123,'KO Calc'!$H:$AW,2,FALSE),VLOOKUP($G123,'KO Calc'!$H129:$AW129,2,FALSE)),
IF(AND($Q$1=TRUE,$S$1=TRUE,$S$4=TRUE)=TRUE,IF(OR($Q$4=TRUE,$Q$5=TRUE,$S$2=TRUE),VLOOKUP($G123,'KO Calc'!$H:$AW,17,FALSE),VLOOKUP($G123,'KO Calc'!$H129:$AW129,17,FALSE)),IF(AND($Q$1=TRUE,$S$4=TRUE),IF(OR($Q$4=TRUE,$Q$5=TRUE,$S$2=TRUE),VLOOKUP($G123,'KO Calc'!$H:$AW,7,FALSE),VLOOKUP($G123,'KO Calc'!$H129:$AW129,7,FALSE)),
IF(AND($S$3=TRUE,$S$1=TRUE,$S$4=FALSE)=TRUE,IF(OR($Q$4=TRUE,$Q$5=TRUE,$S$2=TRUE),VLOOKUP($G123,'KO Calc'!$H:$AW,32,FALSE),VLOOKUP($G123,'KO Calc'!$H129:$AW129,32,FALSE)),IF(AND($S$3=TRUE,$S$4=FALSE),IF(OR($Q$4=TRUE,$Q$5=TRUE,$S$2=TRUE),VLOOKUP($G123,'KO Calc'!$H:$AW,22,FALSE),VLOOKUP($G123,'KO Calc'!$H129:$AW129,22,FALSE)),
IF(AND($S$3=TRUE,$S$1=TRUE,$S$4=TRUE)=TRUE,IF(OR($Q$4=TRUE,$Q$5=TRUE,$S$2=TRUE),VLOOKUP($G123,'KO Calc'!$H:$AW,37,FALSE),VLOOKUP($G123,'KO Calc'!$H129:$AW129,37,FALSE)),IF(AND($S$3=TRUE,$S$4=TRUE),IF(OR($Q$4=TRUE,$Q$5=TRUE,$S$2=TRUE),VLOOKUP($G123,'KO Calc'!$H:$AW,27,FALSE),VLOOKUP($G123,'KO Calc'!$H129:$AW129,27,FALSE)))))))))))))</f>
        <v>-</v>
      </c>
      <c r="I123" s="36" t="str">
        <f>IF(AND($Q$1=FALSE,$S$3=FALSE),"-",IF(AND($Q$1=TRUE,$S$3=TRUE),"-",IF(AND($Q$1=FALSE,$S$3=FALSE),"-",IF(AND($Q$1=TRUE,$S$1=TRUE,$S$4=FALSE)=TRUE,IF(OR($Q$4=TRUE,$Q$5=TRUE,$S$2=TRUE),VLOOKUP($G123,'KO Calc'!$H:$AW,13,FALSE),VLOOKUP($G123,'KO Calc'!$H129:$AW129,13,FALSE)),IF(AND($Q$1=TRUE,$S$4=FALSE),IF(OR($Q$4=TRUE,$Q$5=TRUE,$S$2=TRUE),VLOOKUP($G123,'KO Calc'!$H:$AW,3,FALSE),VLOOKUP($G123,'KO Calc'!$H129:$AW129,3,FALSE)),
IF(AND($Q$1=TRUE,$S$1=TRUE,$S$4=TRUE)=TRUE,IF(OR($Q$4=TRUE,$Q$5=TRUE,$S$2=TRUE),VLOOKUP($G123,'KO Calc'!$H:$AW,18,FALSE),VLOOKUP($G123,'KO Calc'!$H129:$AW129,18,FALSE)),IF(AND($Q$1=TRUE,$S$4=TRUE),IF(OR($Q$4=TRUE,$Q$5=TRUE,$S$2=TRUE),VLOOKUP($G123,'KO Calc'!$H:$AW,8,FALSE),VLOOKUP($G123,'KO Calc'!$H129:$AW129,8,FALSE)),
IF(AND($S$3=TRUE,$S$1=TRUE,$S$4=FALSE)=TRUE,IF(OR($Q$4=TRUE,$Q$5=TRUE,$S$2=TRUE),VLOOKUP($G123,'KO Calc'!$H:$AW,33,FALSE),VLOOKUP($G123,'KO Calc'!$H129:$AW129,33,FALSE)),IF(AND($S$3=TRUE,$S$4=FALSE),IF(OR($Q$4=TRUE,$Q$5=TRUE,$S$2=TRUE),VLOOKUP($G123,'KO Calc'!$H:$AW,23,FALSE),VLOOKUP($G123,'KO Calc'!$H129:$AW129,23,FALSE)),
IF(AND($S$3=TRUE,$S$1=TRUE,$S$4=TRUE)=TRUE,IF(OR($Q$4=TRUE,$Q$5=TRUE,$S$2=TRUE),VLOOKUP($G123,'KO Calc'!$H:$AW,38,FALSE),VLOOKUP($G123,'KO Calc'!$H129:$AW129,38,FALSE)),IF(AND($S$3=TRUE,$S$4=TRUE),IF(OR($Q$4=TRUE,$Q$5=TRUE,$S$2=TRUE),VLOOKUP($G123,'KO Calc'!$H:$AW,28,FALSE),VLOOKUP($G123,'KO Calc'!$H129:$AW129,28,FALSE)))))))))))))</f>
        <v>-</v>
      </c>
      <c r="J123" s="36" t="str">
        <f>IF(AND($Q$1=FALSE,$S$3=FALSE),"-",IF(AND($Q$1=TRUE,$S$3=TRUE),"-",IF(AND($Q$1=FALSE,$S$3=FALSE),"-",IF(AND($Q$1=TRUE,$S$1=TRUE,$S$4=FALSE)=TRUE,IF(OR($Q$4=TRUE,$Q$5=TRUE,$S$2=TRUE),VLOOKUP($G123,'KO Calc'!$H:$AW,FALSE),VLOOKUP($G123,'KO Calc'!$H129:$AW129,14,FALSE)),IF(AND($Q$1=TRUE,$S$4=FALSE),IF(OR($Q$4=TRUE,$Q$5=TRUE,$S$2=TRUE),VLOOKUP($G123,'KO Calc'!$H:$AW,4,FALSE),VLOOKUP($G123,'KO Calc'!$H129:$AW129,4,FALSE)),
IF(AND($Q$1=TRUE,$S$1=TRUE,$S$4=TRUE)=TRUE,IF(OR($Q$4=TRUE,$Q$5=TRUE,$S$2=TRUE),VLOOKUP($G123,'KO Calc'!$H:$AW,19,FALSE),VLOOKUP($G123,'KO Calc'!$H129:$AW129,19,FALSE)),IF(AND($Q$1=TRUE,$S$4=TRUE),IF(OR($Q$4=TRUE,$Q$5=TRUE,$S$2=TRUE),VLOOKUP($G123,'KO Calc'!$H:$AW,9,FALSE),VLOOKUP($G123,'KO Calc'!$H129:$AW129,9,FALSE)),
IF(AND($S$3=TRUE,$S$1=TRUE,$S$4=FALSE)=TRUE,IF(OR($Q$4=TRUE,$Q$5=TRUE,$S$2=TRUE),VLOOKUP($G123,'KO Calc'!$H:$AW,34,FALSE),VLOOKUP($G123,'KO Calc'!$H129:$AW129,34,FALSE)),IF(AND($S$3=TRUE,$S$4=FALSE),IF(OR($Q$4=TRUE,$Q$5=TRUE,$S$2=TRUE),VLOOKUP($G123,'KO Calc'!$H:$AW,24,FALSE),VLOOKUP($G123,'KO Calc'!$H129:$AW129,24,FALSE)),
IF(AND($S$3=TRUE,$S$1=TRUE,$S$4=TRUE)=TRUE,IF(OR($Q$4=TRUE,$Q$5=TRUE,$S$2=TRUE),VLOOKUP($G123,'KO Calc'!$H:$AW,39,FALSE),VLOOKUP($G123,'KO Calc'!$H129:$AW129,39,FALSE)),IF(AND($S$3=TRUE,$S$4=TRUE),IF(OR($Q$4=TRUE,$Q$5=TRUE,$S$2=TRUE),VLOOKUP($G123,'KO Calc'!$H:$AW,29,FALSE),VLOOKUP($G123,'KO Calc'!$H129:$AW129,29,FALSE)))))))))))))</f>
        <v>-</v>
      </c>
      <c r="K123" s="36" t="str">
        <f>IF(AND($Q$1=FALSE,$S$3=FALSE),"-",IF(AND($Q$1=TRUE,$S$3=TRUE),"-",IF(AND($Q$1=FALSE,$S$3=FALSE),"-",IF(AND($Q$1=TRUE,$S$1=TRUE,$S$4=FALSE)=TRUE,IF(OR($Q$4=TRUE,$Q$5=TRUE,$S$2=TRUE),VLOOKUP($G123,'KO Calc'!$H:$AW,15,FALSE),VLOOKUP($G123,'KO Calc'!$H129:$AW129,15,FALSE)),IF(AND($Q$1=TRUE,$S$4=FALSE),IF(OR($Q$4=TRUE,$Q$5=TRUE,$S$2=TRUE),VLOOKUP($G123,'KO Calc'!$H:$AW,5,FALSE),VLOOKUP($G123,'KO Calc'!$H129:$AW129,5,FALSE)),
IF(AND($Q$1=TRUE,$S$1=TRUE,$S$4=TRUE)=TRUE,IF(OR($Q$4=TRUE,$Q$5=TRUE,$S$2=TRUE),VLOOKUP($G123,'KO Calc'!$H:$AW,20,FALSE),VLOOKUP($G123,'KO Calc'!$H129:$AW129,20,FALSE)),IF(AND($Q$1=TRUE,$S$4=TRUE),IF(OR($Q$4=TRUE,$Q$5=TRUE,$S$2=TRUE),VLOOKUP($G123,'KO Calc'!$H:$AW,10,FALSE),VLOOKUP($G123,'KO Calc'!$H129:$AW129,10,FALSE)),
IF(AND($S$3=TRUE,$S$1=TRUE,$S$4=FALSE)=TRUE,IF(OR($Q$4=TRUE,$Q$5=TRUE,$S$2=TRUE),VLOOKUP($G123,'KO Calc'!$H:$AW,35,FALSE),VLOOKUP($G123,'KO Calc'!$H129:$AW129,35,FALSE)),IF(AND($S$3=TRUE,$S$4=FALSE),IF(OR($Q$4=TRUE,$Q$5=TRUE,$S$2=TRUE),VLOOKUP($G123,'KO Calc'!$H:$AW,25,FALSE),VLOOKUP($G123,'KO Calc'!$H129:$AW129,25,FALSE)),
IF(AND($S$3=TRUE,$S$1=TRUE,$S$4=TRUE)=TRUE,IF(OR($Q$4=TRUE,$Q$5=TRUE,$S$2=TRUE),VLOOKUP($G123,'KO Calc'!$H:$AW,40,FALSE),VLOOKUP($G123,'KO Calc'!$H129:$AW129,40,FALSE)),IF(AND($S$3=TRUE,$S$4=TRUE),IF(OR($Q$4=TRUE,$Q$5=TRUE,$S$2=TRUE),VLOOKUP($G123,'KO Calc'!$H:$AW,30,FALSE),VLOOKUP($G123,'KO Calc'!$H129:$AW129,30,FALSE)))))))))))))</f>
        <v>-</v>
      </c>
      <c r="L123" s="36" t="str">
        <f>IFERROR(IF(AND($Q$1=FALSE,$S$3=FALSE),"-",VLOOKUP($E123,'Status Thresholds'!$E:$AU,43,FALSE)),"-")</f>
        <v>-</v>
      </c>
      <c r="M123" s="36" t="str">
        <f>IFERROR(IF(AND($Q$1=FALSE,$S$3=FALSE),"-",VLOOKUP($E123,'Status Thresholds'!$E:$AU,41,FALSE)),"-")</f>
        <v>-</v>
      </c>
      <c r="N123" s="36" t="str">
        <f>IFERROR(IF(AND($Q$1=FALSE,$S$3=FALSE),"-",VLOOKUP($E123,'Status Thresholds'!$E:$AU,42,FALSE)),"-")</f>
        <v>-</v>
      </c>
    </row>
    <row r="124" spans="1:14" x14ac:dyDescent="0.25">
      <c r="B124" s="64" t="str">
        <f>VLOOKUP(C124,'Status Thresholds'!B:C,2,FALSE)</f>
        <v>Deviant</v>
      </c>
      <c r="C124" s="46" t="str">
        <f>IF(ISBLANK('KO Calc'!C120)=TRUE,"",'KO Calc'!C120)</f>
        <v>Bloodbath Diablos</v>
      </c>
      <c r="D124" s="78"/>
      <c r="E124" s="62" t="str">
        <f t="shared" si="3"/>
        <v>Bloodbath Diablos</v>
      </c>
      <c r="F124" t="s">
        <v>11</v>
      </c>
      <c r="G124" s="36" t="str">
        <f t="shared" si="4"/>
        <v>Bloodbath DiablosCrag 1</v>
      </c>
      <c r="H124" s="36" t="str">
        <f>IF(AND($Q$1=FALSE,$S$3=FALSE),"-",IF(AND($Q$1=TRUE,$S$3=TRUE),"-",IF(AND($Q$1=FALSE,$S$3=FALSE),"-",IF(AND($Q$1=TRUE,$S$1=TRUE,$S$4=FALSE)=TRUE,IF(OR($Q$4=TRUE,$Q$5=TRUE,$S$2=TRUE),VLOOKUP($G124,'KO Calc'!$H:$AW,12,FALSE),VLOOKUP($G124,'KO Calc'!$H130:$AW130,12,FALSE)),IF(AND($Q$1=TRUE,$S$4=FALSE),IF(OR($Q$4=TRUE,$Q$5=TRUE,$S$2=TRUE),VLOOKUP($G124,'KO Calc'!$H:$AW,2,FALSE),VLOOKUP($G124,'KO Calc'!$H130:$AW130,2,FALSE)),
IF(AND($Q$1=TRUE,$S$1=TRUE,$S$4=TRUE)=TRUE,IF(OR($Q$4=TRUE,$Q$5=TRUE,$S$2=TRUE),VLOOKUP($G124,'KO Calc'!$H:$AW,17,FALSE),VLOOKUP($G124,'KO Calc'!$H130:$AW130,17,FALSE)),IF(AND($Q$1=TRUE,$S$4=TRUE),IF(OR($Q$4=TRUE,$Q$5=TRUE,$S$2=TRUE),VLOOKUP($G124,'KO Calc'!$H:$AW,7,FALSE),VLOOKUP($G124,'KO Calc'!$H130:$AW130,7,FALSE)),
IF(AND($S$3=TRUE,$S$1=TRUE,$S$4=FALSE)=TRUE,IF(OR($Q$4=TRUE,$Q$5=TRUE,$S$2=TRUE),VLOOKUP($G124,'KO Calc'!$H:$AW,32,FALSE),VLOOKUP($G124,'KO Calc'!$H130:$AW130,32,FALSE)),IF(AND($S$3=TRUE,$S$4=FALSE),IF(OR($Q$4=TRUE,$Q$5=TRUE,$S$2=TRUE),VLOOKUP($G124,'KO Calc'!$H:$AW,22,FALSE),VLOOKUP($G124,'KO Calc'!$H130:$AW130,22,FALSE)),
IF(AND($S$3=TRUE,$S$1=TRUE,$S$4=TRUE)=TRUE,IF(OR($Q$4=TRUE,$Q$5=TRUE,$S$2=TRUE),VLOOKUP($G124,'KO Calc'!$H:$AW,37,FALSE),VLOOKUP($G124,'KO Calc'!$H130:$AW130,37,FALSE)),IF(AND($S$3=TRUE,$S$4=TRUE),IF(OR($Q$4=TRUE,$Q$5=TRUE,$S$2=TRUE),VLOOKUP($G124,'KO Calc'!$H:$AW,27,FALSE),VLOOKUP($G124,'KO Calc'!$H130:$AW130,27,FALSE)))))))))))))</f>
        <v>-</v>
      </c>
      <c r="I124" s="36" t="str">
        <f>IF(AND($Q$1=FALSE,$S$3=FALSE),"-",IF(AND($Q$1=TRUE,$S$3=TRUE),"-",IF(AND($Q$1=FALSE,$S$3=FALSE),"-",IF(AND($Q$1=TRUE,$S$1=TRUE,$S$4=FALSE)=TRUE,IF(OR($Q$4=TRUE,$Q$5=TRUE,$S$2=TRUE),VLOOKUP($G124,'KO Calc'!$H:$AW,13,FALSE),VLOOKUP($G124,'KO Calc'!$H130:$AW130,13,FALSE)),IF(AND($Q$1=TRUE,$S$4=FALSE),IF(OR($Q$4=TRUE,$Q$5=TRUE,$S$2=TRUE),VLOOKUP($G124,'KO Calc'!$H:$AW,3,FALSE),VLOOKUP($G124,'KO Calc'!$H130:$AW130,3,FALSE)),
IF(AND($Q$1=TRUE,$S$1=TRUE,$S$4=TRUE)=TRUE,IF(OR($Q$4=TRUE,$Q$5=TRUE,$S$2=TRUE),VLOOKUP($G124,'KO Calc'!$H:$AW,18,FALSE),VLOOKUP($G124,'KO Calc'!$H130:$AW130,18,FALSE)),IF(AND($Q$1=TRUE,$S$4=TRUE),IF(OR($Q$4=TRUE,$Q$5=TRUE,$S$2=TRUE),VLOOKUP($G124,'KO Calc'!$H:$AW,8,FALSE),VLOOKUP($G124,'KO Calc'!$H130:$AW130,8,FALSE)),
IF(AND($S$3=TRUE,$S$1=TRUE,$S$4=FALSE)=TRUE,IF(OR($Q$4=TRUE,$Q$5=TRUE,$S$2=TRUE),VLOOKUP($G124,'KO Calc'!$H:$AW,33,FALSE),VLOOKUP($G124,'KO Calc'!$H130:$AW130,33,FALSE)),IF(AND($S$3=TRUE,$S$4=FALSE),IF(OR($Q$4=TRUE,$Q$5=TRUE,$S$2=TRUE),VLOOKUP($G124,'KO Calc'!$H:$AW,23,FALSE),VLOOKUP($G124,'KO Calc'!$H130:$AW130,23,FALSE)),
IF(AND($S$3=TRUE,$S$1=TRUE,$S$4=TRUE)=TRUE,IF(OR($Q$4=TRUE,$Q$5=TRUE,$S$2=TRUE),VLOOKUP($G124,'KO Calc'!$H:$AW,38,FALSE),VLOOKUP($G124,'KO Calc'!$H130:$AW130,38,FALSE)),IF(AND($S$3=TRUE,$S$4=TRUE),IF(OR($Q$4=TRUE,$Q$5=TRUE,$S$2=TRUE),VLOOKUP($G124,'KO Calc'!$H:$AW,28,FALSE),VLOOKUP($G124,'KO Calc'!$H130:$AW130,28,FALSE)))))))))))))</f>
        <v>-</v>
      </c>
      <c r="J124" s="36" t="str">
        <f>IF(AND($Q$1=FALSE,$S$3=FALSE),"-",IF(AND($Q$1=TRUE,$S$3=TRUE),"-",IF(AND($Q$1=FALSE,$S$3=FALSE),"-",IF(AND($Q$1=TRUE,$S$1=TRUE,$S$4=FALSE)=TRUE,IF(OR($Q$4=TRUE,$Q$5=TRUE,$S$2=TRUE),VLOOKUP($G124,'KO Calc'!$H:$AW,FALSE),VLOOKUP($G124,'KO Calc'!$H130:$AW130,14,FALSE)),IF(AND($Q$1=TRUE,$S$4=FALSE),IF(OR($Q$4=TRUE,$Q$5=TRUE,$S$2=TRUE),VLOOKUP($G124,'KO Calc'!$H:$AW,4,FALSE),VLOOKUP($G124,'KO Calc'!$H130:$AW130,4,FALSE)),
IF(AND($Q$1=TRUE,$S$1=TRUE,$S$4=TRUE)=TRUE,IF(OR($Q$4=TRUE,$Q$5=TRUE,$S$2=TRUE),VLOOKUP($G124,'KO Calc'!$H:$AW,19,FALSE),VLOOKUP($G124,'KO Calc'!$H130:$AW130,19,FALSE)),IF(AND($Q$1=TRUE,$S$4=TRUE),IF(OR($Q$4=TRUE,$Q$5=TRUE,$S$2=TRUE),VLOOKUP($G124,'KO Calc'!$H:$AW,9,FALSE),VLOOKUP($G124,'KO Calc'!$H130:$AW130,9,FALSE)),
IF(AND($S$3=TRUE,$S$1=TRUE,$S$4=FALSE)=TRUE,IF(OR($Q$4=TRUE,$Q$5=TRUE,$S$2=TRUE),VLOOKUP($G124,'KO Calc'!$H:$AW,34,FALSE),VLOOKUP($G124,'KO Calc'!$H130:$AW130,34,FALSE)),IF(AND($S$3=TRUE,$S$4=FALSE),IF(OR($Q$4=TRUE,$Q$5=TRUE,$S$2=TRUE),VLOOKUP($G124,'KO Calc'!$H:$AW,24,FALSE),VLOOKUP($G124,'KO Calc'!$H130:$AW130,24,FALSE)),
IF(AND($S$3=TRUE,$S$1=TRUE,$S$4=TRUE)=TRUE,IF(OR($Q$4=TRUE,$Q$5=TRUE,$S$2=TRUE),VLOOKUP($G124,'KO Calc'!$H:$AW,39,FALSE),VLOOKUP($G124,'KO Calc'!$H130:$AW130,39,FALSE)),IF(AND($S$3=TRUE,$S$4=TRUE),IF(OR($Q$4=TRUE,$Q$5=TRUE,$S$2=TRUE),VLOOKUP($G124,'KO Calc'!$H:$AW,29,FALSE),VLOOKUP($G124,'KO Calc'!$H130:$AW130,29,FALSE)))))))))))))</f>
        <v>-</v>
      </c>
      <c r="K124" s="36" t="str">
        <f>IF(AND($Q$1=FALSE,$S$3=FALSE),"-",IF(AND($Q$1=TRUE,$S$3=TRUE),"-",IF(AND($Q$1=FALSE,$S$3=FALSE),"-",IF(AND($Q$1=TRUE,$S$1=TRUE,$S$4=FALSE)=TRUE,IF(OR($Q$4=TRUE,$Q$5=TRUE,$S$2=TRUE),VLOOKUP($G124,'KO Calc'!$H:$AW,15,FALSE),VLOOKUP($G124,'KO Calc'!$H130:$AW130,15,FALSE)),IF(AND($Q$1=TRUE,$S$4=FALSE),IF(OR($Q$4=TRUE,$Q$5=TRUE,$S$2=TRUE),VLOOKUP($G124,'KO Calc'!$H:$AW,5,FALSE),VLOOKUP($G124,'KO Calc'!$H130:$AW130,5,FALSE)),
IF(AND($Q$1=TRUE,$S$1=TRUE,$S$4=TRUE)=TRUE,IF(OR($Q$4=TRUE,$Q$5=TRUE,$S$2=TRUE),VLOOKUP($G124,'KO Calc'!$H:$AW,20,FALSE),VLOOKUP($G124,'KO Calc'!$H130:$AW130,20,FALSE)),IF(AND($Q$1=TRUE,$S$4=TRUE),IF(OR($Q$4=TRUE,$Q$5=TRUE,$S$2=TRUE),VLOOKUP($G124,'KO Calc'!$H:$AW,10,FALSE),VLOOKUP($G124,'KO Calc'!$H130:$AW130,10,FALSE)),
IF(AND($S$3=TRUE,$S$1=TRUE,$S$4=FALSE)=TRUE,IF(OR($Q$4=TRUE,$Q$5=TRUE,$S$2=TRUE),VLOOKUP($G124,'KO Calc'!$H:$AW,35,FALSE),VLOOKUP($G124,'KO Calc'!$H130:$AW130,35,FALSE)),IF(AND($S$3=TRUE,$S$4=FALSE),IF(OR($Q$4=TRUE,$Q$5=TRUE,$S$2=TRUE),VLOOKUP($G124,'KO Calc'!$H:$AW,25,FALSE),VLOOKUP($G124,'KO Calc'!$H130:$AW130,25,FALSE)),
IF(AND($S$3=TRUE,$S$1=TRUE,$S$4=TRUE)=TRUE,IF(OR($Q$4=TRUE,$Q$5=TRUE,$S$2=TRUE),VLOOKUP($G124,'KO Calc'!$H:$AW,40,FALSE),VLOOKUP($G124,'KO Calc'!$H130:$AW130,40,FALSE)),IF(AND($S$3=TRUE,$S$4=TRUE),IF(OR($Q$4=TRUE,$Q$5=TRUE,$S$2=TRUE),VLOOKUP($G124,'KO Calc'!$H:$AW,30,FALSE),VLOOKUP($G124,'KO Calc'!$H130:$AW130,30,FALSE)))))))))))))</f>
        <v>-</v>
      </c>
      <c r="L124" s="36" t="str">
        <f>IFERROR(VLOOKUP($E124,'Status Thresholds'!$E:$AS,41,FALSE),"-")</f>
        <v>-</v>
      </c>
    </row>
    <row r="125" spans="1:14" x14ac:dyDescent="0.25">
      <c r="B125" s="64" t="str">
        <f>VLOOKUP(C125,'Status Thresholds'!B:C,2,FALSE)</f>
        <v>Deviant</v>
      </c>
      <c r="C125" s="46" t="str">
        <f>IF(ISBLANK('KO Calc'!C121)=TRUE,"",'KO Calc'!C121)</f>
        <v>Bloodbath Diablos</v>
      </c>
      <c r="D125" s="78"/>
      <c r="E125" s="62"/>
      <c r="G125" s="36"/>
      <c r="L125" s="36" t="str">
        <f>IFERROR(VLOOKUP($E125,'Status Thresholds'!$E:$AS,41,FALSE),"-")</f>
        <v>-</v>
      </c>
    </row>
    <row r="126" spans="1:14" s="36" customFormat="1" x14ac:dyDescent="0.25">
      <c r="B126" s="64" t="str">
        <f>VLOOKUP(C126,'Status Thresholds'!B:C,2,FALSE)</f>
        <v>Deviant</v>
      </c>
      <c r="C126" s="46" t="str">
        <f>IF(ISBLANK('KO Calc'!C122)=TRUE,"",'KO Calc'!C122)</f>
        <v>Bloodbath Diablos</v>
      </c>
      <c r="D126" s="65" t="s">
        <v>0</v>
      </c>
      <c r="E126" s="62" t="str">
        <f t="shared" si="3"/>
        <v>Bloodbath DiablosPara</v>
      </c>
      <c r="F126" s="36" t="s">
        <v>2</v>
      </c>
      <c r="G126" s="36" t="str">
        <f t="shared" si="4"/>
        <v>Bloodbath DiablosPara lvl 2</v>
      </c>
      <c r="H126" s="36" t="str">
        <f>IFERROR(ROUNDUP(IF(AND($Q$1=FALSE,$S$3=FALSE),"-",IF(AND($Q$1=TRUE,$S$3=TRUE),"-",IF(AND($Q$1=TRUE,$S$1=TRUE,$S$4=FALSE),VLOOKUP($E126,'Status Thresholds'!$E:$AS,12,FALSE),IF(AND($Q$1=TRUE,$S$4=FALSE),VLOOKUP($E126,'Status Thresholds'!$E:$AS,2,FALSE), IF(AND($Q$1=TRUE,$S$1=TRUE,$S$4=TRUE),VLOOKUP($E126,'Status Thresholds'!$E:$AS,17,FALSE),IF(AND($Q$1=TRUE,$S$4=TRUE),VLOOKUP($E126,'Status Thresholds'!$E:$AS,7,FALSE),IF(AND($S$3=TRUE,$S$1=TRUE,$S$4=FALSE),VLOOKUP($E126,'Status Thresholds'!$E:$AS,32,FALSE),IF(AND($S$3=TRUE,$S$4=FALSE),VLOOKUP($E126,'Status Thresholds'!$E:$AS,22,FALSE),IF(AND($S$3=TRUE,$S$1=TRUE,$S$4=TRUE),VLOOKUP($E126,'Status Thresholds'!$E:$AS,37,FALSE),IF(AND($S$3=TRUE,$S$4=TRUE),VLOOKUP($E126,'Status Thresholds'!$E:$AS,27,FALSE),""))))))))/IF(OR($Q$3=TRUE,AND($Q$2=TRUE,$Q$7=TRUE),AND($Q$3=TRUE,$Q$7=TRUE))=TRUE,'Shots and Status'!$F$5,IF((OR($Q$2,$Q$7)=TRUE),'Shots and Status'!$D$5,'Shots and Status'!$C$5)))),0),"-")</f>
        <v>-</v>
      </c>
      <c r="I126" s="36" t="str">
        <f>IFERROR(ROUNDUP(IF(AND($Q$1=FALSE,$S$3=FALSE),"-",IF(AND($Q$1=TRUE,$S$3=TRUE),"-",IF(AND($Q$1=TRUE,$S$1=TRUE,$S$4=FALSE),VLOOKUP($E126,'Status Thresholds'!$E:$AS,13,FALSE),IF(AND($Q$1=TRUE,$S$4=FALSE),VLOOKUP($E126,'Status Thresholds'!$E:$AS,3,FALSE), IF(AND($Q$1=TRUE,$S$1=TRUE,$S$4=TRUE),VLOOKUP($E126,'Status Thresholds'!$E:$AS,18,FALSE),IF(AND($Q$1=TRUE,$S$4=TRUE),VLOOKUP($E126,'Status Thresholds'!$E:$AS,8,FALSE),IF(AND($S$3=TRUE,$S$1=TRUE,$S$4=FALSE),VLOOKUP($E126,'Status Thresholds'!$E:$AS,33,FALSE),IF(AND($S$3=TRUE,$S$4=FALSE),VLOOKUP($E126,'Status Thresholds'!$E:$AS,23,FALSE),IF(AND($S$3=TRUE,$S$1=TRUE,$S$4=TRUE),VLOOKUP($E126,'Status Thresholds'!$E:$AS,38,FALSE),IF(AND($S$3=TRUE,$S$4=TRUE),VLOOKUP($E126,'Status Thresholds'!$E:$AS,28,FALSE),""))))))))/IF(OR($Q$3=TRUE,AND($Q$2=TRUE,$Q$7=TRUE),AND($Q$3=TRUE,$Q$7=TRUE))=TRUE,'Shots and Status'!$F$5,IF((OR($Q$2,$Q$7)=TRUE),'Shots and Status'!$D$5,'Shots and Status'!$C$5)))),0),"-")</f>
        <v>-</v>
      </c>
      <c r="J126" s="36" t="str">
        <f>IFERROR(ROUNDUP(IF(AND($Q$1=FALSE,$S$3=FALSE),"-",IF(AND($Q$1=TRUE,$S$3=TRUE),"-",IF(AND($Q$1=TRUE,$S$1=TRUE,$S$4=FALSE),VLOOKUP($E126,'Status Thresholds'!$E:$AS,14,FALSE),IF(AND($Q$1=TRUE,$S$4=FALSE),VLOOKUP($E126,'Status Thresholds'!$E:$AS,4,FALSE), IF(AND($Q$1=TRUE,$S$1=TRUE,$S$4=TRUE),VLOOKUP($E126,'Status Thresholds'!$E:$AS,19,FALSE),IF(AND($Q$1=TRUE,$S$4=TRUE),VLOOKUP($E126,'Status Thresholds'!$E:$AS,9,FALSE),IF(AND($S$3=TRUE,$S$1=TRUE,$S$4=FALSE),VLOOKUP($E126,'Status Thresholds'!$E:$AS,34,FALSE),IF(AND($S$3=TRUE,$S$4=FALSE),VLOOKUP($E126,'Status Thresholds'!$E:$AS,24,FALSE),IF(AND($S$3=TRUE,$S$1=TRUE,$S$4=TRUE),VLOOKUP($E126,'Status Thresholds'!$E:$AS,39,FALSE),IF(AND($S$3=TRUE,$S$4=TRUE),VLOOKUP($E126,'Status Thresholds'!$E:$AS,29,FALSE),""))))))))/IF(OR($Q$3=TRUE,AND($Q$2=TRUE,$Q$7=TRUE),AND($Q$3=TRUE,$Q$7=TRUE))=TRUE,'Shots and Status'!$F$5,IF((OR($Q$2,$Q$7)=TRUE),'Shots and Status'!$D$5,'Shots and Status'!$C$5)))),0),"-")</f>
        <v>-</v>
      </c>
      <c r="K126" s="36" t="str">
        <f>IFERROR(ROUNDUP(IF(AND($Q$1=FALSE,$S$3=FALSE),"-",IF(AND($Q$1=TRUE,$S$3=TRUE),"-",IF(AND($Q$1=TRUE,$S$1=TRUE,$S$4=FALSE),VLOOKUP($E126,'Status Thresholds'!$E:$AS,15,FALSE),IF(AND($Q$1=TRUE,$S$4=FALSE),VLOOKUP($E126,'Status Thresholds'!$E:$AS,5,FALSE), IF(AND($Q$1=TRUE,$S$1=TRUE,$S$4=TRUE),VLOOKUP($E126,'Status Thresholds'!$E:$AS,20,FALSE),IF(AND($Q$1=TRUE,$S$4=TRUE),VLOOKUP($E126,'Status Thresholds'!$E:$AS,10,FALSE),IF(AND($S$3=TRUE,$S$1=TRUE,$S$4=FALSE),VLOOKUP($E126,'Status Thresholds'!$E:$AS,35,FALSE),IF(AND($S$3=TRUE,$S$4=FALSE),VLOOKUP($E126,'Status Thresholds'!$E:$AS,25,FALSE),IF(AND($S$3=TRUE,$S$1=TRUE,$S$4=TRUE),VLOOKUP($E126,'Status Thresholds'!$E:$AS,40,FALSE),IF(AND($S$3=TRUE,$S$4=TRUE),VLOOKUP($E126,'Status Thresholds'!$E:$AS,30,FALSE),""))))))))/IF(OR($Q$3=TRUE,AND($Q$2=TRUE,$Q$7=TRUE),AND($Q$3=TRUE,$Q$7=TRUE))=TRUE,'Shots and Status'!$F$5,IF((OR($Q$2,$Q$7)=TRUE),'Shots and Status'!$D$5,'Shots and Status'!$C$5)))),0),"-")</f>
        <v>-</v>
      </c>
      <c r="L126" s="36" t="str">
        <f>IFERROR(IF(AND($Q$1=FALSE,$S$3=FALSE),"-",VLOOKUP($E126,'Status Thresholds'!$E:$AU,41,FALSE)),"-")</f>
        <v>-</v>
      </c>
      <c r="M126" s="36" t="str">
        <f>IFERROR(IF(AND($Q$1=FALSE,$S$3=FALSE),"-",VLOOKUP($E126,'Status Thresholds'!$E:$AU,42,FALSE)),"-")</f>
        <v>-</v>
      </c>
      <c r="N126" s="36" t="str">
        <f>IFERROR(IF(AND($Q$1=FALSE,$S$3=FALSE),"-",VLOOKUP($E126,'Status Thresholds'!$E:$AU,43,FALSE)),"-")</f>
        <v>-</v>
      </c>
    </row>
    <row r="127" spans="1:14" s="59" customFormat="1" x14ac:dyDescent="0.25">
      <c r="A127" s="46"/>
      <c r="B127" s="64" t="str">
        <f>VLOOKUP(C127,'Status Thresholds'!B:C,2,FALSE)</f>
        <v>Deviant</v>
      </c>
      <c r="C127" s="46" t="str">
        <f>IF(ISBLANK('KO Calc'!C123)=TRUE,"",'KO Calc'!C123)</f>
        <v>Bloodbath Diablos</v>
      </c>
      <c r="D127" s="60" t="s">
        <v>32</v>
      </c>
      <c r="E127" s="62" t="str">
        <f t="shared" si="3"/>
        <v>Bloodbath DiablosSleep</v>
      </c>
      <c r="F127" s="59" t="s">
        <v>5</v>
      </c>
      <c r="G127" s="36" t="str">
        <f t="shared" si="4"/>
        <v>Bloodbath DiablosSleep lvl 2</v>
      </c>
      <c r="H127" s="36" t="str">
        <f>IFERROR(ROUNDUP(IF(AND($Q$1=FALSE,$S$3=FALSE),"-",IF(AND($Q$1=TRUE,$S$3=TRUE),"-",IF(AND($Q$1=TRUE,$S$1=TRUE,$S$4=FALSE),VLOOKUP($E127,'Status Thresholds'!$E:$AS,12,FALSE),IF(AND($Q$1=TRUE,$S$4=FALSE),VLOOKUP($E127,'Status Thresholds'!$E:$AS,2,FALSE), IF(AND($Q$1=TRUE,$S$1=TRUE,$S$4=TRUE),VLOOKUP($E127,'Status Thresholds'!$E:$AS,17,FALSE),IF(AND($Q$1=TRUE,$S$4=TRUE),VLOOKUP($E127,'Status Thresholds'!$E:$AS,7,FALSE),IF(AND($S$3=TRUE,$S$1=TRUE,$S$4=FALSE),VLOOKUP($E127,'Status Thresholds'!$E:$AS,32,FALSE),IF(AND($S$3=TRUE,$S$4=FALSE),VLOOKUP($E127,'Status Thresholds'!$E:$AS,22,FALSE),IF(AND($S$3=TRUE,$S$1=TRUE,$S$4=TRUE),VLOOKUP($E127,'Status Thresholds'!$E:$AS,37,FALSE),IF(AND($S$3=TRUE,$S$4=TRUE),VLOOKUP($E127,'Status Thresholds'!$E:$AS,27,FALSE),""))))))))/IF(OR($Q$3=TRUE,AND($Q$2=TRUE,$Q$7=TRUE),AND($Q$3=TRUE,$Q$7=TRUE))=TRUE,'Shots and Status'!$F$5,IF((OR($Q$2,$Q$7)=TRUE),'Shots and Status'!$D$5,'Shots and Status'!$C$5)))),0),"-")</f>
        <v>-</v>
      </c>
      <c r="I127" s="36" t="str">
        <f>IFERROR(ROUNDUP(IF(AND($Q$1=FALSE,$S$3=FALSE),"-",IF(AND($Q$1=TRUE,$S$3=TRUE),"-",IF(AND($Q$1=TRUE,$S$1=TRUE,$S$4=FALSE),VLOOKUP($E127,'Status Thresholds'!$E:$AS,13,FALSE),IF(AND($Q$1=TRUE,$S$4=FALSE),VLOOKUP($E127,'Status Thresholds'!$E:$AS,3,FALSE), IF(AND($Q$1=TRUE,$S$1=TRUE,$S$4=TRUE),VLOOKUP($E127,'Status Thresholds'!$E:$AS,18,FALSE),IF(AND($Q$1=TRUE,$S$4=TRUE),VLOOKUP($E127,'Status Thresholds'!$E:$AS,8,FALSE),IF(AND($S$3=TRUE,$S$1=TRUE,$S$4=FALSE),VLOOKUP($E127,'Status Thresholds'!$E:$AS,33,FALSE),IF(AND($S$3=TRUE,$S$4=FALSE),VLOOKUP($E127,'Status Thresholds'!$E:$AS,23,FALSE),IF(AND($S$3=TRUE,$S$1=TRUE,$S$4=TRUE),VLOOKUP($E127,'Status Thresholds'!$E:$AS,38,FALSE),IF(AND($S$3=TRUE,$S$4=TRUE),VLOOKUP($E127,'Status Thresholds'!$E:$AS,28,FALSE),""))))))))/IF(OR($Q$3=TRUE,AND($Q$2=TRUE,$Q$7=TRUE),AND($Q$3=TRUE,$Q$7=TRUE))=TRUE,'Shots and Status'!$F$5,IF((OR($Q$2,$Q$7)=TRUE),'Shots and Status'!$D$5,'Shots and Status'!$C$5)))),0),"-")</f>
        <v>-</v>
      </c>
      <c r="J127" s="36" t="str">
        <f>IFERROR(ROUNDUP(IF(AND($Q$1=FALSE,$S$3=FALSE),"-",IF(AND($Q$1=TRUE,$S$3=TRUE),"-",IF(AND($Q$1=TRUE,$S$1=TRUE,$S$4=FALSE),VLOOKUP($E127,'Status Thresholds'!$E:$AS,14,FALSE),IF(AND($Q$1=TRUE,$S$4=FALSE),VLOOKUP($E127,'Status Thresholds'!$E:$AS,4,FALSE), IF(AND($Q$1=TRUE,$S$1=TRUE,$S$4=TRUE),VLOOKUP($E127,'Status Thresholds'!$E:$AS,19,FALSE),IF(AND($Q$1=TRUE,$S$4=TRUE),VLOOKUP($E127,'Status Thresholds'!$E:$AS,9,FALSE),IF(AND($S$3=TRUE,$S$1=TRUE,$S$4=FALSE),VLOOKUP($E127,'Status Thresholds'!$E:$AS,34,FALSE),IF(AND($S$3=TRUE,$S$4=FALSE),VLOOKUP($E127,'Status Thresholds'!$E:$AS,24,FALSE),IF(AND($S$3=TRUE,$S$1=TRUE,$S$4=TRUE),VLOOKUP($E127,'Status Thresholds'!$E:$AS,39,FALSE),IF(AND($S$3=TRUE,$S$4=TRUE),VLOOKUP($E127,'Status Thresholds'!$E:$AS,29,FALSE),""))))))))/IF(OR($Q$3=TRUE,AND($Q$2=TRUE,$Q$7=TRUE),AND($Q$3=TRUE,$Q$7=TRUE))=TRUE,'Shots and Status'!$F$5,IF((OR($Q$2,$Q$7)=TRUE),'Shots and Status'!$D$5,'Shots and Status'!$C$5)))),0),"-")</f>
        <v>-</v>
      </c>
      <c r="K127" s="36" t="str">
        <f>IFERROR(ROUNDUP(IF(AND($Q$1=FALSE,$S$3=FALSE),"-",IF(AND($Q$1=TRUE,$S$3=TRUE),"-",IF(AND($Q$1=TRUE,$S$1=TRUE,$S$4=FALSE),VLOOKUP($E127,'Status Thresholds'!$E:$AS,15,FALSE),IF(AND($Q$1=TRUE,$S$4=FALSE),VLOOKUP($E127,'Status Thresholds'!$E:$AS,5,FALSE), IF(AND($Q$1=TRUE,$S$1=TRUE,$S$4=TRUE),VLOOKUP($E127,'Status Thresholds'!$E:$AS,20,FALSE),IF(AND($Q$1=TRUE,$S$4=TRUE),VLOOKUP($E127,'Status Thresholds'!$E:$AS,10,FALSE),IF(AND($S$3=TRUE,$S$1=TRUE,$S$4=FALSE),VLOOKUP($E127,'Status Thresholds'!$E:$AS,35,FALSE),IF(AND($S$3=TRUE,$S$4=FALSE),VLOOKUP($E127,'Status Thresholds'!$E:$AS,25,FALSE),IF(AND($S$3=TRUE,$S$1=TRUE,$S$4=TRUE),VLOOKUP($E127,'Status Thresholds'!$E:$AS,40,FALSE),IF(AND($S$3=TRUE,$S$4=TRUE),VLOOKUP($E127,'Status Thresholds'!$E:$AS,30,FALSE),""))))))))/IF(OR($Q$3=TRUE,AND($Q$2=TRUE,$Q$7=TRUE),AND($Q$3=TRUE,$Q$7=TRUE))=TRUE,'Shots and Status'!$F$5,IF((OR($Q$2,$Q$7)=TRUE),'Shots and Status'!$D$5,'Shots and Status'!$C$5)))),0),"-")</f>
        <v>-</v>
      </c>
      <c r="L127" s="36" t="str">
        <f>IFERROR(IF(AND($Q$1=FALSE,$S$3=FALSE),"-",VLOOKUP($E127,'Status Thresholds'!$E:$AU,41,FALSE)),"-")</f>
        <v>-</v>
      </c>
      <c r="M127" s="36" t="str">
        <f>IFERROR(IF(AND($Q$1=FALSE,$S$3=FALSE),"-",VLOOKUP($E127,'Status Thresholds'!$E:$AU,42,FALSE)),"-")</f>
        <v>-</v>
      </c>
      <c r="N127" s="36" t="str">
        <f>IFERROR(IF(AND($Q$1=FALSE,$S$3=FALSE),"-",VLOOKUP($E127,'Status Thresholds'!$E:$AU,43,FALSE)),"-")</f>
        <v>-</v>
      </c>
    </row>
    <row r="128" spans="1:14" s="59" customFormat="1" x14ac:dyDescent="0.25">
      <c r="A128" s="46"/>
      <c r="B128" s="64" t="str">
        <f>VLOOKUP(C128,'Status Thresholds'!B:C,2,FALSE)</f>
        <v>Deviant</v>
      </c>
      <c r="C128" s="46" t="str">
        <f>IF(ISBLANK('KO Calc'!C124)=TRUE,"",'KO Calc'!C124)</f>
        <v>Bloodbath Diablos</v>
      </c>
      <c r="D128" s="58" t="s">
        <v>33</v>
      </c>
      <c r="E128" s="62" t="str">
        <f t="shared" si="3"/>
        <v>Bloodbath DiablosPoison</v>
      </c>
      <c r="F128" s="59" t="s">
        <v>6</v>
      </c>
      <c r="G128" s="36" t="str">
        <f t="shared" si="4"/>
        <v>Bloodbath DiablosPoison lvl 2</v>
      </c>
      <c r="H128" s="36" t="str">
        <f>IFERROR(ROUNDUP(IF(AND($Q$1=FALSE,$S$3=FALSE),"-",IF(AND($Q$1=TRUE,$S$3=TRUE),"-",IF(AND($Q$1=TRUE,$S$1=TRUE,$S$4=FALSE),VLOOKUP($E128,'Status Thresholds'!$E:$AS,12,FALSE),IF(AND($Q$1=TRUE,$S$4=FALSE),VLOOKUP($E128,'Status Thresholds'!$E:$AS,2,FALSE), IF(AND($Q$1=TRUE,$S$1=TRUE,$S$4=TRUE),VLOOKUP($E128,'Status Thresholds'!$E:$AS,17,FALSE),IF(AND($Q$1=TRUE,$S$4=TRUE),VLOOKUP($E128,'Status Thresholds'!$E:$AS,7,FALSE),IF(AND($S$3=TRUE,$S$1=TRUE,$S$4=FALSE),VLOOKUP($E128,'Status Thresholds'!$E:$AS,32,FALSE),IF(AND($S$3=TRUE,$S$4=FALSE),VLOOKUP($E128,'Status Thresholds'!$E:$AS,22,FALSE),IF(AND($S$3=TRUE,$S$1=TRUE,$S$4=TRUE),VLOOKUP($E128,'Status Thresholds'!$E:$AS,37,FALSE),IF(AND($S$3=TRUE,$S$4=TRUE),VLOOKUP($E128,'Status Thresholds'!$E:$AS,27,FALSE),""))))))))/IF(OR($Q$3=TRUE,AND($Q$2=TRUE,$Q$7=TRUE),AND($Q$3=TRUE,$Q$7=TRUE))=TRUE,'Shots and Status'!$F$5,IF((OR($Q$2,$Q$7)=TRUE),'Shots and Status'!$D$5,'Shots and Status'!$C$5)))),0),"-")</f>
        <v>-</v>
      </c>
      <c r="I128" s="36" t="str">
        <f>IFERROR(ROUNDUP(IF(AND($Q$1=FALSE,$S$3=FALSE),"-",IF(AND($Q$1=TRUE,$S$3=TRUE),"-",IF(AND($Q$1=TRUE,$S$1=TRUE,$S$4=FALSE),VLOOKUP($E128,'Status Thresholds'!$E:$AS,13,FALSE),IF(AND($Q$1=TRUE,$S$4=FALSE),VLOOKUP($E128,'Status Thresholds'!$E:$AS,3,FALSE), IF(AND($Q$1=TRUE,$S$1=TRUE,$S$4=TRUE),VLOOKUP($E128,'Status Thresholds'!$E:$AS,18,FALSE),IF(AND($Q$1=TRUE,$S$4=TRUE),VLOOKUP($E128,'Status Thresholds'!$E:$AS,8,FALSE),IF(AND($S$3=TRUE,$S$1=TRUE,$S$4=FALSE),VLOOKUP($E128,'Status Thresholds'!$E:$AS,33,FALSE),IF(AND($S$3=TRUE,$S$4=FALSE),VLOOKUP($E128,'Status Thresholds'!$E:$AS,23,FALSE),IF(AND($S$3=TRUE,$S$1=TRUE,$S$4=TRUE),VLOOKUP($E128,'Status Thresholds'!$E:$AS,38,FALSE),IF(AND($S$3=TRUE,$S$4=TRUE),VLOOKUP($E128,'Status Thresholds'!$E:$AS,28,FALSE),""))))))))/IF(OR($Q$3=TRUE,AND($Q$2=TRUE,$Q$7=TRUE),AND($Q$3=TRUE,$Q$7=TRUE))=TRUE,'Shots and Status'!$F$5,IF((OR($Q$2,$Q$7)=TRUE),'Shots and Status'!$D$5,'Shots and Status'!$C$5)))),0),"-")</f>
        <v>-</v>
      </c>
      <c r="J128" s="36" t="str">
        <f>IFERROR(ROUNDUP(IF(AND($Q$1=FALSE,$S$3=FALSE),"-",IF(AND($Q$1=TRUE,$S$3=TRUE),"-",IF(AND($Q$1=TRUE,$S$1=TRUE,$S$4=FALSE),VLOOKUP($E128,'Status Thresholds'!$E:$AS,14,FALSE),IF(AND($Q$1=TRUE,$S$4=FALSE),VLOOKUP($E128,'Status Thresholds'!$E:$AS,4,FALSE), IF(AND($Q$1=TRUE,$S$1=TRUE,$S$4=TRUE),VLOOKUP($E128,'Status Thresholds'!$E:$AS,19,FALSE),IF(AND($Q$1=TRUE,$S$4=TRUE),VLOOKUP($E128,'Status Thresholds'!$E:$AS,9,FALSE),IF(AND($S$3=TRUE,$S$1=TRUE,$S$4=FALSE),VLOOKUP($E128,'Status Thresholds'!$E:$AS,34,FALSE),IF(AND($S$3=TRUE,$S$4=FALSE),VLOOKUP($E128,'Status Thresholds'!$E:$AS,24,FALSE),IF(AND($S$3=TRUE,$S$1=TRUE,$S$4=TRUE),VLOOKUP($E128,'Status Thresholds'!$E:$AS,39,FALSE),IF(AND($S$3=TRUE,$S$4=TRUE),VLOOKUP($E128,'Status Thresholds'!$E:$AS,29,FALSE),""))))))))/IF(OR($Q$3=TRUE,AND($Q$2=TRUE,$Q$7=TRUE),AND($Q$3=TRUE,$Q$7=TRUE))=TRUE,'Shots and Status'!$F$5,IF((OR($Q$2,$Q$7)=TRUE),'Shots and Status'!$D$5,'Shots and Status'!$C$5)))),0),"-")</f>
        <v>-</v>
      </c>
      <c r="K128" s="36" t="str">
        <f>IFERROR(ROUNDUP(IF(AND($Q$1=FALSE,$S$3=FALSE),"-",IF(AND($Q$1=TRUE,$S$3=TRUE),"-",IF(AND($Q$1=TRUE,$S$1=TRUE,$S$4=FALSE),VLOOKUP($E128,'Status Thresholds'!$E:$AS,15,FALSE),IF(AND($Q$1=TRUE,$S$4=FALSE),VLOOKUP($E128,'Status Thresholds'!$E:$AS,5,FALSE), IF(AND($Q$1=TRUE,$S$1=TRUE,$S$4=TRUE),VLOOKUP($E128,'Status Thresholds'!$E:$AS,20,FALSE),IF(AND($Q$1=TRUE,$S$4=TRUE),VLOOKUP($E128,'Status Thresholds'!$E:$AS,10,FALSE),IF(AND($S$3=TRUE,$S$1=TRUE,$S$4=FALSE),VLOOKUP($E128,'Status Thresholds'!$E:$AS,35,FALSE),IF(AND($S$3=TRUE,$S$4=FALSE),VLOOKUP($E128,'Status Thresholds'!$E:$AS,25,FALSE),IF(AND($S$3=TRUE,$S$1=TRUE,$S$4=TRUE),VLOOKUP($E128,'Status Thresholds'!$E:$AS,40,FALSE),IF(AND($S$3=TRUE,$S$4=TRUE),VLOOKUP($E128,'Status Thresholds'!$E:$AS,30,FALSE),""))))))))/IF(OR($Q$3=TRUE,AND($Q$2=TRUE,$Q$7=TRUE),AND($Q$3=TRUE,$Q$7=TRUE))=TRUE,'Shots and Status'!$F$5,IF((OR($Q$2,$Q$7)=TRUE),'Shots and Status'!$D$5,'Shots and Status'!$C$5)))),0),"-")</f>
        <v>-</v>
      </c>
      <c r="L128" s="36" t="str">
        <f>IFERROR(IF(AND($Q$1=FALSE,$S$3=FALSE),"-",VLOOKUP($E128,'Status Thresholds'!$E:$AU,41,FALSE)),"-")</f>
        <v>-</v>
      </c>
      <c r="M128" s="36" t="str">
        <f>IFERROR(IF(AND($Q$1=FALSE,$S$3=FALSE),"-",VLOOKUP($E128,'Status Thresholds'!$E:$AU,42,FALSE)),"-")</f>
        <v>-</v>
      </c>
      <c r="N128" s="36" t="str">
        <f>IFERROR(IF(AND($Q$1=FALSE,$S$3=FALSE),"-",VLOOKUP($E128,'Status Thresholds'!$E:$AU,43,FALSE)),"-")</f>
        <v>-</v>
      </c>
    </row>
    <row r="129" spans="1:14" s="36" customFormat="1" x14ac:dyDescent="0.25">
      <c r="A129" s="46"/>
      <c r="B129" s="64" t="str">
        <f>VLOOKUP(C129,'Status Thresholds'!B:C,2,FALSE)</f>
        <v>Deviant</v>
      </c>
      <c r="C129" s="46" t="str">
        <f>IF(ISBLANK('KO Calc'!C125)=TRUE,"",'KO Calc'!C125)</f>
        <v>Bloodbath Diablos</v>
      </c>
      <c r="D129" s="57" t="s">
        <v>22</v>
      </c>
      <c r="E129" s="62" t="str">
        <f t="shared" si="3"/>
        <v>Bloodbath DiablosExhaust</v>
      </c>
      <c r="F129" s="36" t="s">
        <v>8</v>
      </c>
      <c r="G129" s="36" t="str">
        <f t="shared" si="4"/>
        <v>Bloodbath DiablosExhaust lvl 2</v>
      </c>
      <c r="H129" s="36" t="str">
        <f>IFERROR(ROUNDUP(IF(AND($Q$1=FALSE,$S$3=FALSE),"-",IF(AND($Q$1=TRUE,$S$3=TRUE),"-",IF(AND($Q$1=TRUE,$S$1=TRUE,$S$4=FALSE),VLOOKUP($E129,'Status Thresholds'!$E:$AS,12,FALSE),IF(AND($Q$1=TRUE,$S$4=FALSE),VLOOKUP($E129,'Status Thresholds'!$E:$AS,2,FALSE), IF(AND($Q$1=TRUE,$S$1=TRUE,$S$4=TRUE),VLOOKUP($E129,'Status Thresholds'!$E:$AS,17,FALSE),IF(AND($Q$1=TRUE,$S$4=TRUE),VLOOKUP($E129,'Status Thresholds'!$E:$AS,7,FALSE),IF(AND($S$3=TRUE,$S$1=TRUE,$S$4=FALSE),VLOOKUP($E129,'Status Thresholds'!$E:$AS,32,FALSE),IF(AND($S$3=TRUE,$S$4=FALSE),VLOOKUP($E129,'Status Thresholds'!$E:$AS,22,FALSE),IF(AND($S$3=TRUE,$S$1=TRUE,$S$4=TRUE),VLOOKUP($E129,'Status Thresholds'!$E:$AS,37,FALSE),IF(AND($S$3=TRUE,$S$4=TRUE),VLOOKUP($E129,'Status Thresholds'!$E:$AS,27,FALSE),""))))))))/IF(OR($Q$3=TRUE,AND($Q$2=TRUE,$Q$7=TRUE),AND($Q$3=TRUE,$Q$7=TRUE))=TRUE,'Shots and Status'!$F$5,IF((OR($Q$2,$Q$7)=TRUE),'Shots and Status'!$D$5,'Shots and Status'!$C$5)))),0),"-")</f>
        <v>-</v>
      </c>
      <c r="I129" s="36" t="str">
        <f>IFERROR(ROUNDUP(IF(AND($Q$1=FALSE,$S$3=FALSE),"-",IF(AND($Q$1=TRUE,$S$3=TRUE),"-",IF(AND($Q$1=TRUE,$S$1=TRUE,$S$4=FALSE),VLOOKUP($E129,'Status Thresholds'!$E:$AS,13,FALSE),IF(AND($Q$1=TRUE,$S$4=FALSE),VLOOKUP($E129,'Status Thresholds'!$E:$AS,3,FALSE), IF(AND($Q$1=TRUE,$S$1=TRUE,$S$4=TRUE),VLOOKUP($E129,'Status Thresholds'!$E:$AS,18,FALSE),IF(AND($Q$1=TRUE,$S$4=TRUE),VLOOKUP($E129,'Status Thresholds'!$E:$AS,8,FALSE),IF(AND($S$3=TRUE,$S$1=TRUE,$S$4=FALSE),VLOOKUP($E129,'Status Thresholds'!$E:$AS,33,FALSE),IF(AND($S$3=TRUE,$S$4=FALSE),VLOOKUP($E129,'Status Thresholds'!$E:$AS,23,FALSE),IF(AND($S$3=TRUE,$S$1=TRUE,$S$4=TRUE),VLOOKUP($E129,'Status Thresholds'!$E:$AS,38,FALSE),IF(AND($S$3=TRUE,$S$4=TRUE),VLOOKUP($E129,'Status Thresholds'!$E:$AS,28,FALSE),""))))))))/IF(OR($Q$3=TRUE,AND($Q$2=TRUE,$Q$7=TRUE),AND($Q$3=TRUE,$Q$7=TRUE))=TRUE,'Shots and Status'!$F$5,IF((OR($Q$2,$Q$7)=TRUE),'Shots and Status'!$D$5,'Shots and Status'!$C$5)))),0),"-")</f>
        <v>-</v>
      </c>
      <c r="J129" s="36" t="str">
        <f>IFERROR(ROUNDUP(IF(AND($Q$1=FALSE,$S$3=FALSE),"-",IF(AND($Q$1=TRUE,$S$3=TRUE),"-",IF(AND($Q$1=TRUE,$S$1=TRUE,$S$4=FALSE),VLOOKUP($E129,'Status Thresholds'!$E:$AS,14,FALSE),IF(AND($Q$1=TRUE,$S$4=FALSE),VLOOKUP($E129,'Status Thresholds'!$E:$AS,4,FALSE), IF(AND($Q$1=TRUE,$S$1=TRUE,$S$4=TRUE),VLOOKUP($E129,'Status Thresholds'!$E:$AS,19,FALSE),IF(AND($Q$1=TRUE,$S$4=TRUE),VLOOKUP($E129,'Status Thresholds'!$E:$AS,9,FALSE),IF(AND($S$3=TRUE,$S$1=TRUE,$S$4=FALSE),VLOOKUP($E129,'Status Thresholds'!$E:$AS,34,FALSE),IF(AND($S$3=TRUE,$S$4=FALSE),VLOOKUP($E129,'Status Thresholds'!$E:$AS,24,FALSE),IF(AND($S$3=TRUE,$S$1=TRUE,$S$4=TRUE),VLOOKUP($E129,'Status Thresholds'!$E:$AS,39,FALSE),IF(AND($S$3=TRUE,$S$4=TRUE),VLOOKUP($E129,'Status Thresholds'!$E:$AS,29,FALSE),""))))))))/IF(OR($Q$3=TRUE,AND($Q$2=TRUE,$Q$7=TRUE),AND($Q$3=TRUE,$Q$7=TRUE))=TRUE,'Shots and Status'!$F$5,IF((OR($Q$2,$Q$7)=TRUE),'Shots and Status'!$D$5,'Shots and Status'!$C$5)))),0),"-")</f>
        <v>-</v>
      </c>
      <c r="K129" s="36" t="str">
        <f>IFERROR(ROUNDUP(IF(AND($Q$1=FALSE,$S$3=FALSE),"-",IF(AND($Q$1=TRUE,$S$3=TRUE),"-",IF(AND($Q$1=TRUE,$S$1=TRUE,$S$4=FALSE),VLOOKUP($E129,'Status Thresholds'!$E:$AS,15,FALSE),IF(AND($Q$1=TRUE,$S$4=FALSE),VLOOKUP($E129,'Status Thresholds'!$E:$AS,5,FALSE), IF(AND($Q$1=TRUE,$S$1=TRUE,$S$4=TRUE),VLOOKUP($E129,'Status Thresholds'!$E:$AS,20,FALSE),IF(AND($Q$1=TRUE,$S$4=TRUE),VLOOKUP($E129,'Status Thresholds'!$E:$AS,10,FALSE),IF(AND($S$3=TRUE,$S$1=TRUE,$S$4=FALSE),VLOOKUP($E129,'Status Thresholds'!$E:$AS,35,FALSE),IF(AND($S$3=TRUE,$S$4=FALSE),VLOOKUP($E129,'Status Thresholds'!$E:$AS,25,FALSE),IF(AND($S$3=TRUE,$S$1=TRUE,$S$4=TRUE),VLOOKUP($E129,'Status Thresholds'!$E:$AS,40,FALSE),IF(AND($S$3=TRUE,$S$4=TRUE),VLOOKUP($E129,'Status Thresholds'!$E:$AS,30,FALSE),""))))))))/IF(OR($Q$3=TRUE,AND($Q$2=TRUE,$Q$7=TRUE),AND($Q$3=TRUE,$Q$7=TRUE))=TRUE,'Shots and Status'!$F$5,IF((OR($Q$2,$Q$7)=TRUE),'Shots and Status'!$D$5,'Shots and Status'!$C$5)))),0),"-")</f>
        <v>-</v>
      </c>
      <c r="L129" s="36" t="str">
        <f>IFERROR(IF(AND($Q$1=FALSE,$S$3=FALSE),"-",VLOOKUP($E129,'Status Thresholds'!$E:$AU,41,FALSE)),"-")</f>
        <v>-</v>
      </c>
      <c r="M129" s="36" t="str">
        <f>IFERROR(IF(AND($Q$1=FALSE,$S$3=FALSE),"-",VLOOKUP($E129,'Status Thresholds'!$E:$AU,42,FALSE)),"-")</f>
        <v>-</v>
      </c>
      <c r="N129" s="36" t="str">
        <f>IFERROR(IF(AND($Q$1=FALSE,$S$3=FALSE),"-",VLOOKUP($E129,'Status Thresholds'!$E:$AU,43,FALSE)),"-")</f>
        <v>-</v>
      </c>
    </row>
    <row r="130" spans="1:14" s="36" customFormat="1" x14ac:dyDescent="0.25">
      <c r="A130" s="46"/>
      <c r="B130" s="64" t="str">
        <f>VLOOKUP(C130,'Status Thresholds'!B:C,2,FALSE)</f>
        <v>Deviant</v>
      </c>
      <c r="C130" s="46" t="str">
        <f>IF(ISBLANK('KO Calc'!C126)=TRUE,"",'KO Calc'!C126)</f>
        <v>Bloodbath Diablos</v>
      </c>
      <c r="D130" s="67" t="s">
        <v>14</v>
      </c>
      <c r="E130" s="62" t="str">
        <f t="shared" si="3"/>
        <v>Bloodbath DiablosKO</v>
      </c>
      <c r="F130" s="36" t="s">
        <v>21</v>
      </c>
      <c r="G130" s="36" t="str">
        <f t="shared" si="4"/>
        <v>Bloodbath DiablosTriblast</v>
      </c>
      <c r="H130" s="36" t="str">
        <f>IF(AND($Q$1=FALSE,$S$3=FALSE),"-",IF(AND($Q$1=TRUE,$S$3=TRUE),"-",IF(AND($Q$1=FALSE,$S$3=FALSE),"-",IF(AND($Q$1=TRUE,$S$1=TRUE,$S$4=FALSE)=TRUE,IF(OR($Q$4=TRUE,$Q$5=TRUE,$S$2=TRUE),VLOOKUP($G130,'KO Calc'!$H:$AW,12,FALSE),VLOOKUP($G130,'KO Calc'!$H136:$AW136,12,FALSE)),IF(AND($Q$1=TRUE,$S$4=FALSE),IF(OR($Q$4=TRUE,$Q$5=TRUE,$S$2=TRUE),VLOOKUP($G130,'KO Calc'!$H:$AW,2,FALSE),VLOOKUP($G130,'KO Calc'!$H136:$AW136,2,FALSE)),
IF(AND($Q$1=TRUE,$S$1=TRUE,$S$4=TRUE)=TRUE,IF(OR($Q$4=TRUE,$Q$5=TRUE,$S$2=TRUE),VLOOKUP($G130,'KO Calc'!$H:$AW,17,FALSE),VLOOKUP($G130,'KO Calc'!$H136:$AW136,17,FALSE)),IF(AND($Q$1=TRUE,$S$4=TRUE),IF(OR($Q$4=TRUE,$Q$5=TRUE,$S$2=TRUE),VLOOKUP($G130,'KO Calc'!$H:$AW,7,FALSE),VLOOKUP($G130,'KO Calc'!$H136:$AW136,7,FALSE)),
IF(AND($S$3=TRUE,$S$1=TRUE,$S$4=FALSE)=TRUE,IF(OR($Q$4=TRUE,$Q$5=TRUE,$S$2=TRUE),VLOOKUP($G130,'KO Calc'!$H:$AW,32,FALSE),VLOOKUP($G130,'KO Calc'!$H136:$AW136,32,FALSE)),IF(AND($S$3=TRUE,$S$4=FALSE),IF(OR($Q$4=TRUE,$Q$5=TRUE,$S$2=TRUE),VLOOKUP($G130,'KO Calc'!$H:$AW,22,FALSE),VLOOKUP($G130,'KO Calc'!$H136:$AW136,22,FALSE)),
IF(AND($S$3=TRUE,$S$1=TRUE,$S$4=TRUE)=TRUE,IF(OR($Q$4=TRUE,$Q$5=TRUE,$S$2=TRUE),VLOOKUP($G130,'KO Calc'!$H:$AW,37,FALSE),VLOOKUP($G130,'KO Calc'!$H136:$AW136,37,FALSE)),IF(AND($S$3=TRUE,$S$4=TRUE),IF(OR($Q$4=TRUE,$Q$5=TRUE,$S$2=TRUE),VLOOKUP($G130,'KO Calc'!$H:$AW,27,FALSE),VLOOKUP($G130,'KO Calc'!$H136:$AW136,27,FALSE)))))))))))))</f>
        <v>-</v>
      </c>
      <c r="I130" s="36" t="str">
        <f>IF(AND($Q$1=FALSE,$S$3=FALSE),"-",IF(AND($Q$1=TRUE,$S$3=TRUE),"-",IF(AND($Q$1=FALSE,$S$3=FALSE),"-",IF(AND($Q$1=TRUE,$S$1=TRUE,$S$4=FALSE)=TRUE,IF(OR($Q$4=TRUE,$Q$5=TRUE,$S$2=TRUE),VLOOKUP($G130,'KO Calc'!$H:$AW,13,FALSE),VLOOKUP($G130,'KO Calc'!$H136:$AW136,13,FALSE)),IF(AND($Q$1=TRUE,$S$4=FALSE),IF(OR($Q$4=TRUE,$Q$5=TRUE,$S$2=TRUE),VLOOKUP($G130,'KO Calc'!$H:$AW,3,FALSE),VLOOKUP($G130,'KO Calc'!$H136:$AW136,3,FALSE)),
IF(AND($Q$1=TRUE,$S$1=TRUE,$S$4=TRUE)=TRUE,IF(OR($Q$4=TRUE,$Q$5=TRUE,$S$2=TRUE),VLOOKUP($G130,'KO Calc'!$H:$AW,18,FALSE),VLOOKUP($G130,'KO Calc'!$H136:$AW136,18,FALSE)),IF(AND($Q$1=TRUE,$S$4=TRUE),IF(OR($Q$4=TRUE,$Q$5=TRUE,$S$2=TRUE),VLOOKUP($G130,'KO Calc'!$H:$AW,8,FALSE),VLOOKUP($G130,'KO Calc'!$H136:$AW136,8,FALSE)),
IF(AND($S$3=TRUE,$S$1=TRUE,$S$4=FALSE)=TRUE,IF(OR($Q$4=TRUE,$Q$5=TRUE,$S$2=TRUE),VLOOKUP($G130,'KO Calc'!$H:$AW,33,FALSE),VLOOKUP($G130,'KO Calc'!$H136:$AW136,33,FALSE)),IF(AND($S$3=TRUE,$S$4=FALSE),IF(OR($Q$4=TRUE,$Q$5=TRUE,$S$2=TRUE),VLOOKUP($G130,'KO Calc'!$H:$AW,23,FALSE),VLOOKUP($G130,'KO Calc'!$H136:$AW136,23,FALSE)),
IF(AND($S$3=TRUE,$S$1=TRUE,$S$4=TRUE)=TRUE,IF(OR($Q$4=TRUE,$Q$5=TRUE,$S$2=TRUE),VLOOKUP($G130,'KO Calc'!$H:$AW,38,FALSE),VLOOKUP($G130,'KO Calc'!$H136:$AW136,38,FALSE)),IF(AND($S$3=TRUE,$S$4=TRUE),IF(OR($Q$4=TRUE,$Q$5=TRUE,$S$2=TRUE),VLOOKUP($G130,'KO Calc'!$H:$AW,28,FALSE),VLOOKUP($G130,'KO Calc'!$H136:$AW136,28,FALSE)))))))))))))</f>
        <v>-</v>
      </c>
      <c r="J130" s="36" t="str">
        <f>IF(AND($Q$1=FALSE,$S$3=FALSE),"-",IF(AND($Q$1=TRUE,$S$3=TRUE),"-",IF(AND($Q$1=FALSE,$S$3=FALSE),"-",IF(AND($Q$1=TRUE,$S$1=TRUE,$S$4=FALSE)=TRUE,IF(OR($Q$4=TRUE,$Q$5=TRUE,$S$2=TRUE),VLOOKUP($G130,'KO Calc'!$H:$AW,FALSE),VLOOKUP($G130,'KO Calc'!$H136:$AW136,14,FALSE)),IF(AND($Q$1=TRUE,$S$4=FALSE),IF(OR($Q$4=TRUE,$Q$5=TRUE,$S$2=TRUE),VLOOKUP($G130,'KO Calc'!$H:$AW,4,FALSE),VLOOKUP($G130,'KO Calc'!$H136:$AW136,4,FALSE)),
IF(AND($Q$1=TRUE,$S$1=TRUE,$S$4=TRUE)=TRUE,IF(OR($Q$4=TRUE,$Q$5=TRUE,$S$2=TRUE),VLOOKUP($G130,'KO Calc'!$H:$AW,19,FALSE),VLOOKUP($G130,'KO Calc'!$H136:$AW136,19,FALSE)),IF(AND($Q$1=TRUE,$S$4=TRUE),IF(OR($Q$4=TRUE,$Q$5=TRUE,$S$2=TRUE),VLOOKUP($G130,'KO Calc'!$H:$AW,9,FALSE),VLOOKUP($G130,'KO Calc'!$H136:$AW136,9,FALSE)),
IF(AND($S$3=TRUE,$S$1=TRUE,$S$4=FALSE)=TRUE,IF(OR($Q$4=TRUE,$Q$5=TRUE,$S$2=TRUE),VLOOKUP($G130,'KO Calc'!$H:$AW,34,FALSE),VLOOKUP($G130,'KO Calc'!$H136:$AW136,34,FALSE)),IF(AND($S$3=TRUE,$S$4=FALSE),IF(OR($Q$4=TRUE,$Q$5=TRUE,$S$2=TRUE),VLOOKUP($G130,'KO Calc'!$H:$AW,24,FALSE),VLOOKUP($G130,'KO Calc'!$H136:$AW136,24,FALSE)),
IF(AND($S$3=TRUE,$S$1=TRUE,$S$4=TRUE)=TRUE,IF(OR($Q$4=TRUE,$Q$5=TRUE,$S$2=TRUE),VLOOKUP($G130,'KO Calc'!$H:$AW,39,FALSE),VLOOKUP($G130,'KO Calc'!$H136:$AW136,39,FALSE)),IF(AND($S$3=TRUE,$S$4=TRUE),IF(OR($Q$4=TRUE,$Q$5=TRUE,$S$2=TRUE),VLOOKUP($G130,'KO Calc'!$H:$AW,29,FALSE),VLOOKUP($G130,'KO Calc'!$H136:$AW136,29,FALSE)))))))))))))</f>
        <v>-</v>
      </c>
      <c r="K130" s="36" t="str">
        <f>IF(AND($Q$1=FALSE,$S$3=FALSE),"-",IF(AND($Q$1=TRUE,$S$3=TRUE),"-",IF(AND($Q$1=FALSE,$S$3=FALSE),"-",IF(AND($Q$1=TRUE,$S$1=TRUE,$S$4=FALSE)=TRUE,IF(OR($Q$4=TRUE,$Q$5=TRUE,$S$2=TRUE),VLOOKUP($G130,'KO Calc'!$H:$AW,15,FALSE),VLOOKUP($G130,'KO Calc'!$H136:$AW136,15,FALSE)),IF(AND($Q$1=TRUE,$S$4=FALSE),IF(OR($Q$4=TRUE,$Q$5=TRUE,$S$2=TRUE),VLOOKUP($G130,'KO Calc'!$H:$AW,5,FALSE),VLOOKUP($G130,'KO Calc'!$H136:$AW136,5,FALSE)),
IF(AND($Q$1=TRUE,$S$1=TRUE,$S$4=TRUE)=TRUE,IF(OR($Q$4=TRUE,$Q$5=TRUE,$S$2=TRUE),VLOOKUP($G130,'KO Calc'!$H:$AW,20,FALSE),VLOOKUP($G130,'KO Calc'!$H136:$AW136,20,FALSE)),IF(AND($Q$1=TRUE,$S$4=TRUE),IF(OR($Q$4=TRUE,$Q$5=TRUE,$S$2=TRUE),VLOOKUP($G130,'KO Calc'!$H:$AW,10,FALSE),VLOOKUP($G130,'KO Calc'!$H136:$AW136,10,FALSE)),
IF(AND($S$3=TRUE,$S$1=TRUE,$S$4=FALSE)=TRUE,IF(OR($Q$4=TRUE,$Q$5=TRUE,$S$2=TRUE),VLOOKUP($G130,'KO Calc'!$H:$AW,35,FALSE),VLOOKUP($G130,'KO Calc'!$H136:$AW136,35,FALSE)),IF(AND($S$3=TRUE,$S$4=FALSE),IF(OR($Q$4=TRUE,$Q$5=TRUE,$S$2=TRUE),VLOOKUP($G130,'KO Calc'!$H:$AW,25,FALSE),VLOOKUP($G130,'KO Calc'!$H136:$AW136,25,FALSE)),
IF(AND($S$3=TRUE,$S$1=TRUE,$S$4=TRUE)=TRUE,IF(OR($Q$4=TRUE,$Q$5=TRUE,$S$2=TRUE),VLOOKUP($G130,'KO Calc'!$H:$AW,40,FALSE),VLOOKUP($G130,'KO Calc'!$H136:$AW136,40,FALSE)),IF(AND($S$3=TRUE,$S$4=TRUE),IF(OR($Q$4=TRUE,$Q$5=TRUE,$S$2=TRUE),VLOOKUP($G130,'KO Calc'!$H:$AW,30,FALSE),VLOOKUP($G130,'KO Calc'!$H136:$AW136,30,FALSE)))))))))))))</f>
        <v>-</v>
      </c>
      <c r="L130" s="36" t="str">
        <f>IFERROR(IF(AND($Q$1=FALSE,$S$3=FALSE),"-",VLOOKUP($E130,'Status Thresholds'!$E:$AU,41,FALSE)),"-")</f>
        <v>-</v>
      </c>
      <c r="M130" s="36" t="str">
        <f>IFERROR(IF(AND($Q$1=FALSE,$S$3=FALSE),"-",VLOOKUP($E130,'Status Thresholds'!$E:$AU,42,FALSE)),"-")</f>
        <v>-</v>
      </c>
      <c r="N130" s="36" t="str">
        <f>IFERROR(IF(AND($Q$1=FALSE,$S$3=FALSE),"-",VLOOKUP($E130,'Status Thresholds'!$E:$AU,43,FALSE)),"-")</f>
        <v>-</v>
      </c>
    </row>
    <row r="131" spans="1:14" x14ac:dyDescent="0.25">
      <c r="B131" s="64" t="str">
        <f>VLOOKUP(C131,'Status Thresholds'!B:C,2,FALSE)</f>
        <v>Deviant</v>
      </c>
      <c r="C131" s="46" t="str">
        <f>IF(ISBLANK('KO Calc'!C127)=TRUE,"",'KO Calc'!C127)</f>
        <v>Bloodbath Diablos</v>
      </c>
      <c r="D131" s="78" t="s">
        <v>207</v>
      </c>
      <c r="E131" s="62" t="str">
        <f t="shared" si="3"/>
        <v>Bloodbath DiablosShock Trap</v>
      </c>
      <c r="F131" t="s">
        <v>13</v>
      </c>
      <c r="G131" s="36" t="str">
        <f t="shared" si="4"/>
        <v>Bloodbath DiablosCrag 3</v>
      </c>
      <c r="H131" s="36" t="str">
        <f>IF(AND($Q$1=FALSE,$S$3=FALSE),"-",IF(AND($Q$1=TRUE,$S$3=TRUE),"-",IF(AND($Q$1=FALSE,$S$3=FALSE),"-",IF(AND($Q$1=TRUE,$S$1=TRUE,$S$4=FALSE)=TRUE,IF(OR($Q$4=TRUE,$Q$5=TRUE,$S$2=TRUE),VLOOKUP($G131,'KO Calc'!$H:$AW,12,FALSE),VLOOKUP($G131,'KO Calc'!$H137:$AW137,12,FALSE)),IF(AND($Q$1=TRUE,$S$4=FALSE),IF(OR($Q$4=TRUE,$Q$5=TRUE,$S$2=TRUE),VLOOKUP($G131,'KO Calc'!$H:$AW,2,FALSE),VLOOKUP($G131,'KO Calc'!$H137:$AW137,2,FALSE)),
IF(AND($Q$1=TRUE,$S$1=TRUE,$S$4=TRUE)=TRUE,IF(OR($Q$4=TRUE,$Q$5=TRUE,$S$2=TRUE),VLOOKUP($G131,'KO Calc'!$H:$AW,17,FALSE),VLOOKUP($G131,'KO Calc'!$H137:$AW137,17,FALSE)),IF(AND($Q$1=TRUE,$S$4=TRUE),IF(OR($Q$4=TRUE,$Q$5=TRUE,$S$2=TRUE),VLOOKUP($G131,'KO Calc'!$H:$AW,7,FALSE),VLOOKUP($G131,'KO Calc'!$H137:$AW137,7,FALSE)),
IF(AND($S$3=TRUE,$S$1=TRUE,$S$4=FALSE)=TRUE,IF(OR($Q$4=TRUE,$Q$5=TRUE,$S$2=TRUE),VLOOKUP($G131,'KO Calc'!$H:$AW,32,FALSE),VLOOKUP($G131,'KO Calc'!$H137:$AW137,32,FALSE)),IF(AND($S$3=TRUE,$S$4=FALSE),IF(OR($Q$4=TRUE,$Q$5=TRUE,$S$2=TRUE),VLOOKUP($G131,'KO Calc'!$H:$AW,22,FALSE),VLOOKUP($G131,'KO Calc'!$H137:$AW137,22,FALSE)),
IF(AND($S$3=TRUE,$S$1=TRUE,$S$4=TRUE)=TRUE,IF(OR($Q$4=TRUE,$Q$5=TRUE,$S$2=TRUE),VLOOKUP($G131,'KO Calc'!$H:$AW,37,FALSE),VLOOKUP($G131,'KO Calc'!$H137:$AW137,37,FALSE)),IF(AND($S$3=TRUE,$S$4=TRUE),IF(OR($Q$4=TRUE,$Q$5=TRUE,$S$2=TRUE),VLOOKUP($G131,'KO Calc'!$H:$AW,27,FALSE),VLOOKUP($G131,'KO Calc'!$H137:$AW137,27,FALSE)))))))))))))</f>
        <v>-</v>
      </c>
      <c r="I131" s="36" t="str">
        <f>IF(AND($Q$1=FALSE,$S$3=FALSE),"-",IF(AND($Q$1=TRUE,$S$3=TRUE),"-",IF(AND($Q$1=FALSE,$S$3=FALSE),"-",IF(AND($Q$1=TRUE,$S$1=TRUE,$S$4=FALSE)=TRUE,IF(OR($Q$4=TRUE,$Q$5=TRUE,$S$2=TRUE),VLOOKUP($G131,'KO Calc'!$H:$AW,13,FALSE),VLOOKUP($G131,'KO Calc'!$H137:$AW137,13,FALSE)),IF(AND($Q$1=TRUE,$S$4=FALSE),IF(OR($Q$4=TRUE,$Q$5=TRUE,$S$2=TRUE),VLOOKUP($G131,'KO Calc'!$H:$AW,3,FALSE),VLOOKUP($G131,'KO Calc'!$H137:$AW137,3,FALSE)),
IF(AND($Q$1=TRUE,$S$1=TRUE,$S$4=TRUE)=TRUE,IF(OR($Q$4=TRUE,$Q$5=TRUE,$S$2=TRUE),VLOOKUP($G131,'KO Calc'!$H:$AW,18,FALSE),VLOOKUP($G131,'KO Calc'!$H137:$AW137,18,FALSE)),IF(AND($Q$1=TRUE,$S$4=TRUE),IF(OR($Q$4=TRUE,$Q$5=TRUE,$S$2=TRUE),VLOOKUP($G131,'KO Calc'!$H:$AW,8,FALSE),VLOOKUP($G131,'KO Calc'!$H137:$AW137,8,FALSE)),
IF(AND($S$3=TRUE,$S$1=TRUE,$S$4=FALSE)=TRUE,IF(OR($Q$4=TRUE,$Q$5=TRUE,$S$2=TRUE),VLOOKUP($G131,'KO Calc'!$H:$AW,33,FALSE),VLOOKUP($G131,'KO Calc'!$H137:$AW137,33,FALSE)),IF(AND($S$3=TRUE,$S$4=FALSE),IF(OR($Q$4=TRUE,$Q$5=TRUE,$S$2=TRUE),VLOOKUP($G131,'KO Calc'!$H:$AW,23,FALSE),VLOOKUP($G131,'KO Calc'!$H137:$AW137,23,FALSE)),
IF(AND($S$3=TRUE,$S$1=TRUE,$S$4=TRUE)=TRUE,IF(OR($Q$4=TRUE,$Q$5=TRUE,$S$2=TRUE),VLOOKUP($G131,'KO Calc'!$H:$AW,38,FALSE),VLOOKUP($G131,'KO Calc'!$H137:$AW137,38,FALSE)),IF(AND($S$3=TRUE,$S$4=TRUE),IF(OR($Q$4=TRUE,$Q$5=TRUE,$S$2=TRUE),VLOOKUP($G131,'KO Calc'!$H:$AW,28,FALSE),VLOOKUP($G131,'KO Calc'!$H137:$AW137,28,FALSE)))))))))))))</f>
        <v>-</v>
      </c>
      <c r="J131" s="36" t="str">
        <f>IF(AND($Q$1=FALSE,$S$3=FALSE),"-",IF(AND($Q$1=TRUE,$S$3=TRUE),"-",IF(AND($Q$1=FALSE,$S$3=FALSE),"-",IF(AND($Q$1=TRUE,$S$1=TRUE,$S$4=FALSE)=TRUE,IF(OR($Q$4=TRUE,$Q$5=TRUE,$S$2=TRUE),VLOOKUP($G131,'KO Calc'!$H:$AW,FALSE),VLOOKUP($G131,'KO Calc'!$H137:$AW137,14,FALSE)),IF(AND($Q$1=TRUE,$S$4=FALSE),IF(OR($Q$4=TRUE,$Q$5=TRUE,$S$2=TRUE),VLOOKUP($G131,'KO Calc'!$H:$AW,4,FALSE),VLOOKUP($G131,'KO Calc'!$H137:$AW137,4,FALSE)),
IF(AND($Q$1=TRUE,$S$1=TRUE,$S$4=TRUE)=TRUE,IF(OR($Q$4=TRUE,$Q$5=TRUE,$S$2=TRUE),VLOOKUP($G131,'KO Calc'!$H:$AW,19,FALSE),VLOOKUP($G131,'KO Calc'!$H137:$AW137,19,FALSE)),IF(AND($Q$1=TRUE,$S$4=TRUE),IF(OR($Q$4=TRUE,$Q$5=TRUE,$S$2=TRUE),VLOOKUP($G131,'KO Calc'!$H:$AW,9,FALSE),VLOOKUP($G131,'KO Calc'!$H137:$AW137,9,FALSE)),
IF(AND($S$3=TRUE,$S$1=TRUE,$S$4=FALSE)=TRUE,IF(OR($Q$4=TRUE,$Q$5=TRUE,$S$2=TRUE),VLOOKUP($G131,'KO Calc'!$H:$AW,34,FALSE),VLOOKUP($G131,'KO Calc'!$H137:$AW137,34,FALSE)),IF(AND($S$3=TRUE,$S$4=FALSE),IF(OR($Q$4=TRUE,$Q$5=TRUE,$S$2=TRUE),VLOOKUP($G131,'KO Calc'!$H:$AW,24,FALSE),VLOOKUP($G131,'KO Calc'!$H137:$AW137,24,FALSE)),
IF(AND($S$3=TRUE,$S$1=TRUE,$S$4=TRUE)=TRUE,IF(OR($Q$4=TRUE,$Q$5=TRUE,$S$2=TRUE),VLOOKUP($G131,'KO Calc'!$H:$AW,39,FALSE),VLOOKUP($G131,'KO Calc'!$H137:$AW137,39,FALSE)),IF(AND($S$3=TRUE,$S$4=TRUE),IF(OR($Q$4=TRUE,$Q$5=TRUE,$S$2=TRUE),VLOOKUP($G131,'KO Calc'!$H:$AW,29,FALSE),VLOOKUP($G131,'KO Calc'!$H137:$AW137,29,FALSE)))))))))))))</f>
        <v>-</v>
      </c>
      <c r="K131" s="36" t="str">
        <f>IF(AND($Q$1=FALSE,$S$3=FALSE),"-",IF(AND($Q$1=TRUE,$S$3=TRUE),"-",IF(AND($Q$1=FALSE,$S$3=FALSE),"-",IF(AND($Q$1=TRUE,$S$1=TRUE,$S$4=FALSE)=TRUE,IF(OR($Q$4=TRUE,$Q$5=TRUE,$S$2=TRUE),VLOOKUP($G131,'KO Calc'!$H:$AW,15,FALSE),VLOOKUP($G131,'KO Calc'!$H137:$AW137,15,FALSE)),IF(AND($Q$1=TRUE,$S$4=FALSE),IF(OR($Q$4=TRUE,$Q$5=TRUE,$S$2=TRUE),VLOOKUP($G131,'KO Calc'!$H:$AW,5,FALSE),VLOOKUP($G131,'KO Calc'!$H137:$AW137,5,FALSE)),
IF(AND($Q$1=TRUE,$S$1=TRUE,$S$4=TRUE)=TRUE,IF(OR($Q$4=TRUE,$Q$5=TRUE,$S$2=TRUE),VLOOKUP($G131,'KO Calc'!$H:$AW,20,FALSE),VLOOKUP($G131,'KO Calc'!$H137:$AW137,20,FALSE)),IF(AND($Q$1=TRUE,$S$4=TRUE),IF(OR($Q$4=TRUE,$Q$5=TRUE,$S$2=TRUE),VLOOKUP($G131,'KO Calc'!$H:$AW,10,FALSE),VLOOKUP($G131,'KO Calc'!$H137:$AW137,10,FALSE)),
IF(AND($S$3=TRUE,$S$1=TRUE,$S$4=FALSE)=TRUE,IF(OR($Q$4=TRUE,$Q$5=TRUE,$S$2=TRUE),VLOOKUP($G131,'KO Calc'!$H:$AW,35,FALSE),VLOOKUP($G131,'KO Calc'!$H137:$AW137,35,FALSE)),IF(AND($S$3=TRUE,$S$4=FALSE),IF(OR($Q$4=TRUE,$Q$5=TRUE,$S$2=TRUE),VLOOKUP($G131,'KO Calc'!$H:$AW,25,FALSE),VLOOKUP($G131,'KO Calc'!$H137:$AW137,25,FALSE)),
IF(AND($S$3=TRUE,$S$1=TRUE,$S$4=TRUE)=TRUE,IF(OR($Q$4=TRUE,$Q$5=TRUE,$S$2=TRUE),VLOOKUP($G131,'KO Calc'!$H:$AW,40,FALSE),VLOOKUP($G131,'KO Calc'!$H137:$AW137,40,FALSE)),IF(AND($S$3=TRUE,$S$4=TRUE),IF(OR($Q$4=TRUE,$Q$5=TRUE,$S$2=TRUE),VLOOKUP($G131,'KO Calc'!$H:$AW,30,FALSE),VLOOKUP($G131,'KO Calc'!$H137:$AW137,30,FALSE)))))))))))))</f>
        <v>-</v>
      </c>
      <c r="L131" s="36" t="str">
        <f>IFERROR(IF(AND($Q$1=FALSE,$S$3=FALSE),"-",VLOOKUP($E131,'Status Thresholds'!$E:$AU,43,FALSE)),"-")</f>
        <v>-</v>
      </c>
      <c r="M131" s="36" t="str">
        <f>IFERROR(IF(AND($Q$1=FALSE,$S$3=FALSE),"-",VLOOKUP($E131,'Status Thresholds'!$E:$AU,41,FALSE)),"-")</f>
        <v>-</v>
      </c>
      <c r="N131" s="36" t="str">
        <f>IFERROR(IF(AND($Q$1=FALSE,$S$3=FALSE),"-",VLOOKUP($E131,'Status Thresholds'!$E:$AU,42,FALSE)),"-")</f>
        <v>-</v>
      </c>
    </row>
    <row r="132" spans="1:14" x14ac:dyDescent="0.25">
      <c r="B132" s="64" t="str">
        <f>VLOOKUP(C132,'Status Thresholds'!B:C,2,FALSE)</f>
        <v>Deviant</v>
      </c>
      <c r="C132" s="46" t="str">
        <f>IF(ISBLANK('KO Calc'!C128)=TRUE,"",'KO Calc'!C128)</f>
        <v>Bloodbath Diablos</v>
      </c>
      <c r="D132" s="78" t="s">
        <v>213</v>
      </c>
      <c r="E132" s="62" t="str">
        <f t="shared" si="3"/>
        <v>Bloodbath DiablosPitfall Trap</v>
      </c>
      <c r="F132" t="s">
        <v>12</v>
      </c>
      <c r="G132" s="36" t="str">
        <f t="shared" si="4"/>
        <v>Bloodbath DiablosCrag 2</v>
      </c>
      <c r="H132" s="36" t="str">
        <f>IF(AND($Q$1=FALSE,$S$3=FALSE),"-",IF(AND($Q$1=TRUE,$S$3=TRUE),"-",IF(AND($Q$1=FALSE,$S$3=FALSE),"-",IF(AND($Q$1=TRUE,$S$1=TRUE,$S$4=FALSE)=TRUE,IF(OR($Q$4=TRUE,$Q$5=TRUE,$S$2=TRUE),VLOOKUP($G132,'KO Calc'!$H:$AW,12,FALSE),VLOOKUP($G132,'KO Calc'!$H138:$AW138,12,FALSE)),IF(AND($Q$1=TRUE,$S$4=FALSE),IF(OR($Q$4=TRUE,$Q$5=TRUE,$S$2=TRUE),VLOOKUP($G132,'KO Calc'!$H:$AW,2,FALSE),VLOOKUP($G132,'KO Calc'!$H138:$AW138,2,FALSE)),
IF(AND($Q$1=TRUE,$S$1=TRUE,$S$4=TRUE)=TRUE,IF(OR($Q$4=TRUE,$Q$5=TRUE,$S$2=TRUE),VLOOKUP($G132,'KO Calc'!$H:$AW,17,FALSE),VLOOKUP($G132,'KO Calc'!$H138:$AW138,17,FALSE)),IF(AND($Q$1=TRUE,$S$4=TRUE),IF(OR($Q$4=TRUE,$Q$5=TRUE,$S$2=TRUE),VLOOKUP($G132,'KO Calc'!$H:$AW,7,FALSE),VLOOKUP($G132,'KO Calc'!$H138:$AW138,7,FALSE)),
IF(AND($S$3=TRUE,$S$1=TRUE,$S$4=FALSE)=TRUE,IF(OR($Q$4=TRUE,$Q$5=TRUE,$S$2=TRUE),VLOOKUP($G132,'KO Calc'!$H:$AW,32,FALSE),VLOOKUP($G132,'KO Calc'!$H138:$AW138,32,FALSE)),IF(AND($S$3=TRUE,$S$4=FALSE),IF(OR($Q$4=TRUE,$Q$5=TRUE,$S$2=TRUE),VLOOKUP($G132,'KO Calc'!$H:$AW,22,FALSE),VLOOKUP($G132,'KO Calc'!$H138:$AW138,22,FALSE)),
IF(AND($S$3=TRUE,$S$1=TRUE,$S$4=TRUE)=TRUE,IF(OR($Q$4=TRUE,$Q$5=TRUE,$S$2=TRUE),VLOOKUP($G132,'KO Calc'!$H:$AW,37,FALSE),VLOOKUP($G132,'KO Calc'!$H138:$AW138,37,FALSE)),IF(AND($S$3=TRUE,$S$4=TRUE),IF(OR($Q$4=TRUE,$Q$5=TRUE,$S$2=TRUE),VLOOKUP($G132,'KO Calc'!$H:$AW,27,FALSE),VLOOKUP($G132,'KO Calc'!$H138:$AW138,27,FALSE)))))))))))))</f>
        <v>-</v>
      </c>
      <c r="I132" s="36" t="str">
        <f>IF(AND($Q$1=FALSE,$S$3=FALSE),"-",IF(AND($Q$1=TRUE,$S$3=TRUE),"-",IF(AND($Q$1=FALSE,$S$3=FALSE),"-",IF(AND($Q$1=TRUE,$S$1=TRUE,$S$4=FALSE)=TRUE,IF(OR($Q$4=TRUE,$Q$5=TRUE,$S$2=TRUE),VLOOKUP($G132,'KO Calc'!$H:$AW,13,FALSE),VLOOKUP($G132,'KO Calc'!$H138:$AW138,13,FALSE)),IF(AND($Q$1=TRUE,$S$4=FALSE),IF(OR($Q$4=TRUE,$Q$5=TRUE,$S$2=TRUE),VLOOKUP($G132,'KO Calc'!$H:$AW,3,FALSE),VLOOKUP($G132,'KO Calc'!$H138:$AW138,3,FALSE)),
IF(AND($Q$1=TRUE,$S$1=TRUE,$S$4=TRUE)=TRUE,IF(OR($Q$4=TRUE,$Q$5=TRUE,$S$2=TRUE),VLOOKUP($G132,'KO Calc'!$H:$AW,18,FALSE),VLOOKUP($G132,'KO Calc'!$H138:$AW138,18,FALSE)),IF(AND($Q$1=TRUE,$S$4=TRUE),IF(OR($Q$4=TRUE,$Q$5=TRUE,$S$2=TRUE),VLOOKUP($G132,'KO Calc'!$H:$AW,8,FALSE),VLOOKUP($G132,'KO Calc'!$H138:$AW138,8,FALSE)),
IF(AND($S$3=TRUE,$S$1=TRUE,$S$4=FALSE)=TRUE,IF(OR($Q$4=TRUE,$Q$5=TRUE,$S$2=TRUE),VLOOKUP($G132,'KO Calc'!$H:$AW,33,FALSE),VLOOKUP($G132,'KO Calc'!$H138:$AW138,33,FALSE)),IF(AND($S$3=TRUE,$S$4=FALSE),IF(OR($Q$4=TRUE,$Q$5=TRUE,$S$2=TRUE),VLOOKUP($G132,'KO Calc'!$H:$AW,23,FALSE),VLOOKUP($G132,'KO Calc'!$H138:$AW138,23,FALSE)),
IF(AND($S$3=TRUE,$S$1=TRUE,$S$4=TRUE)=TRUE,IF(OR($Q$4=TRUE,$Q$5=TRUE,$S$2=TRUE),VLOOKUP($G132,'KO Calc'!$H:$AW,38,FALSE),VLOOKUP($G132,'KO Calc'!$H138:$AW138,38,FALSE)),IF(AND($S$3=TRUE,$S$4=TRUE),IF(OR($Q$4=TRUE,$Q$5=TRUE,$S$2=TRUE),VLOOKUP($G132,'KO Calc'!$H:$AW,28,FALSE),VLOOKUP($G132,'KO Calc'!$H138:$AW138,28,FALSE)))))))))))))</f>
        <v>-</v>
      </c>
      <c r="J132" s="36" t="str">
        <f>IF(AND($Q$1=FALSE,$S$3=FALSE),"-",IF(AND($Q$1=TRUE,$S$3=TRUE),"-",IF(AND($Q$1=FALSE,$S$3=FALSE),"-",IF(AND($Q$1=TRUE,$S$1=TRUE,$S$4=FALSE)=TRUE,IF(OR($Q$4=TRUE,$Q$5=TRUE,$S$2=TRUE),VLOOKUP($G132,'KO Calc'!$H:$AW,FALSE),VLOOKUP($G132,'KO Calc'!$H138:$AW138,14,FALSE)),IF(AND($Q$1=TRUE,$S$4=FALSE),IF(OR($Q$4=TRUE,$Q$5=TRUE,$S$2=TRUE),VLOOKUP($G132,'KO Calc'!$H:$AW,4,FALSE),VLOOKUP($G132,'KO Calc'!$H138:$AW138,4,FALSE)),
IF(AND($Q$1=TRUE,$S$1=TRUE,$S$4=TRUE)=TRUE,IF(OR($Q$4=TRUE,$Q$5=TRUE,$S$2=TRUE),VLOOKUP($G132,'KO Calc'!$H:$AW,19,FALSE),VLOOKUP($G132,'KO Calc'!$H138:$AW138,19,FALSE)),IF(AND($Q$1=TRUE,$S$4=TRUE),IF(OR($Q$4=TRUE,$Q$5=TRUE,$S$2=TRUE),VLOOKUP($G132,'KO Calc'!$H:$AW,9,FALSE),VLOOKUP($G132,'KO Calc'!$H138:$AW138,9,FALSE)),
IF(AND($S$3=TRUE,$S$1=TRUE,$S$4=FALSE)=TRUE,IF(OR($Q$4=TRUE,$Q$5=TRUE,$S$2=TRUE),VLOOKUP($G132,'KO Calc'!$H:$AW,34,FALSE),VLOOKUP($G132,'KO Calc'!$H138:$AW138,34,FALSE)),IF(AND($S$3=TRUE,$S$4=FALSE),IF(OR($Q$4=TRUE,$Q$5=TRUE,$S$2=TRUE),VLOOKUP($G132,'KO Calc'!$H:$AW,24,FALSE),VLOOKUP($G132,'KO Calc'!$H138:$AW138,24,FALSE)),
IF(AND($S$3=TRUE,$S$1=TRUE,$S$4=TRUE)=TRUE,IF(OR($Q$4=TRUE,$Q$5=TRUE,$S$2=TRUE),VLOOKUP($G132,'KO Calc'!$H:$AW,39,FALSE),VLOOKUP($G132,'KO Calc'!$H138:$AW138,39,FALSE)),IF(AND($S$3=TRUE,$S$4=TRUE),IF(OR($Q$4=TRUE,$Q$5=TRUE,$S$2=TRUE),VLOOKUP($G132,'KO Calc'!$H:$AW,29,FALSE),VLOOKUP($G132,'KO Calc'!$H138:$AW138,29,FALSE)))))))))))))</f>
        <v>-</v>
      </c>
      <c r="K132" s="36" t="str">
        <f>IF(AND($Q$1=FALSE,$S$3=FALSE),"-",IF(AND($Q$1=TRUE,$S$3=TRUE),"-",IF(AND($Q$1=FALSE,$S$3=FALSE),"-",IF(AND($Q$1=TRUE,$S$1=TRUE,$S$4=FALSE)=TRUE,IF(OR($Q$4=TRUE,$Q$5=TRUE,$S$2=TRUE),VLOOKUP($G132,'KO Calc'!$H:$AW,15,FALSE),VLOOKUP($G132,'KO Calc'!$H138:$AW138,15,FALSE)),IF(AND($Q$1=TRUE,$S$4=FALSE),IF(OR($Q$4=TRUE,$Q$5=TRUE,$S$2=TRUE),VLOOKUP($G132,'KO Calc'!$H:$AW,5,FALSE),VLOOKUP($G132,'KO Calc'!$H138:$AW138,5,FALSE)),
IF(AND($Q$1=TRUE,$S$1=TRUE,$S$4=TRUE)=TRUE,IF(OR($Q$4=TRUE,$Q$5=TRUE,$S$2=TRUE),VLOOKUP($G132,'KO Calc'!$H:$AW,20,FALSE),VLOOKUP($G132,'KO Calc'!$H138:$AW138,20,FALSE)),IF(AND($Q$1=TRUE,$S$4=TRUE),IF(OR($Q$4=TRUE,$Q$5=TRUE,$S$2=TRUE),VLOOKUP($G132,'KO Calc'!$H:$AW,10,FALSE),VLOOKUP($G132,'KO Calc'!$H138:$AW138,10,FALSE)),
IF(AND($S$3=TRUE,$S$1=TRUE,$S$4=FALSE)=TRUE,IF(OR($Q$4=TRUE,$Q$5=TRUE,$S$2=TRUE),VLOOKUP($G132,'KO Calc'!$H:$AW,35,FALSE),VLOOKUP($G132,'KO Calc'!$H138:$AW138,35,FALSE)),IF(AND($S$3=TRUE,$S$4=FALSE),IF(OR($Q$4=TRUE,$Q$5=TRUE,$S$2=TRUE),VLOOKUP($G132,'KO Calc'!$H:$AW,25,FALSE),VLOOKUP($G132,'KO Calc'!$H138:$AW138,25,FALSE)),
IF(AND($S$3=TRUE,$S$1=TRUE,$S$4=TRUE)=TRUE,IF(OR($Q$4=TRUE,$Q$5=TRUE,$S$2=TRUE),VLOOKUP($G132,'KO Calc'!$H:$AW,40,FALSE),VLOOKUP($G132,'KO Calc'!$H138:$AW138,40,FALSE)),IF(AND($S$3=TRUE,$S$4=TRUE),IF(OR($Q$4=TRUE,$Q$5=TRUE,$S$2=TRUE),VLOOKUP($G132,'KO Calc'!$H:$AW,30,FALSE),VLOOKUP($G132,'KO Calc'!$H138:$AW138,30,FALSE)))))))))))))</f>
        <v>-</v>
      </c>
      <c r="L132" s="36" t="str">
        <f>IFERROR(IF(AND($Q$1=FALSE,$S$3=FALSE),"-",VLOOKUP($E132,'Status Thresholds'!$E:$AU,43,FALSE)),"-")</f>
        <v>-</v>
      </c>
      <c r="M132" s="36" t="str">
        <f>IFERROR(IF(AND($Q$1=FALSE,$S$3=FALSE),"-",VLOOKUP($E132,'Status Thresholds'!$E:$AU,41,FALSE)),"-")</f>
        <v>-</v>
      </c>
      <c r="N132" s="36" t="str">
        <f>IFERROR(IF(AND($Q$1=FALSE,$S$3=FALSE),"-",VLOOKUP($E132,'Status Thresholds'!$E:$AU,42,FALSE)),"-")</f>
        <v>-</v>
      </c>
    </row>
    <row r="133" spans="1:14" x14ac:dyDescent="0.25">
      <c r="B133" s="64" t="str">
        <f>VLOOKUP(C133,'Status Thresholds'!B:C,2,FALSE)</f>
        <v>Deviant</v>
      </c>
      <c r="C133" s="46" t="str">
        <f>IF(ISBLANK('KO Calc'!C129)=TRUE,"",'KO Calc'!C129)</f>
        <v>Bloodbath Diablos</v>
      </c>
      <c r="D133" s="78"/>
      <c r="E133" s="62" t="str">
        <f t="shared" si="3"/>
        <v>Bloodbath Diablos</v>
      </c>
      <c r="F133" t="s">
        <v>11</v>
      </c>
      <c r="G133" s="36" t="str">
        <f t="shared" si="4"/>
        <v>Bloodbath DiablosCrag 1</v>
      </c>
      <c r="H133" s="36" t="str">
        <f>IF(AND($Q$1=FALSE,$S$3=FALSE),"-",IF(AND($Q$1=TRUE,$S$3=TRUE),"-",IF(AND($Q$1=FALSE,$S$3=FALSE),"-",IF(AND($Q$1=TRUE,$S$1=TRUE,$S$4=FALSE)=TRUE,IF(OR($Q$4=TRUE,$Q$5=TRUE,$S$2=TRUE),VLOOKUP($G133,'KO Calc'!$H:$AW,12,FALSE),VLOOKUP($G133,'KO Calc'!$H139:$AW139,12,FALSE)),IF(AND($Q$1=TRUE,$S$4=FALSE),IF(OR($Q$4=TRUE,$Q$5=TRUE,$S$2=TRUE),VLOOKUP($G133,'KO Calc'!$H:$AW,2,FALSE),VLOOKUP($G133,'KO Calc'!$H139:$AW139,2,FALSE)),
IF(AND($Q$1=TRUE,$S$1=TRUE,$S$4=TRUE)=TRUE,IF(OR($Q$4=TRUE,$Q$5=TRUE,$S$2=TRUE),VLOOKUP($G133,'KO Calc'!$H:$AW,17,FALSE),VLOOKUP($G133,'KO Calc'!$H139:$AW139,17,FALSE)),IF(AND($Q$1=TRUE,$S$4=TRUE),IF(OR($Q$4=TRUE,$Q$5=TRUE,$S$2=TRUE),VLOOKUP($G133,'KO Calc'!$H:$AW,7,FALSE),VLOOKUP($G133,'KO Calc'!$H139:$AW139,7,FALSE)),
IF(AND($S$3=TRUE,$S$1=TRUE,$S$4=FALSE)=TRUE,IF(OR($Q$4=TRUE,$Q$5=TRUE,$S$2=TRUE),VLOOKUP($G133,'KO Calc'!$H:$AW,32,FALSE),VLOOKUP($G133,'KO Calc'!$H139:$AW139,32,FALSE)),IF(AND($S$3=TRUE,$S$4=FALSE),IF(OR($Q$4=TRUE,$Q$5=TRUE,$S$2=TRUE),VLOOKUP($G133,'KO Calc'!$H:$AW,22,FALSE),VLOOKUP($G133,'KO Calc'!$H139:$AW139,22,FALSE)),
IF(AND($S$3=TRUE,$S$1=TRUE,$S$4=TRUE)=TRUE,IF(OR($Q$4=TRUE,$Q$5=TRUE,$S$2=TRUE),VLOOKUP($G133,'KO Calc'!$H:$AW,37,FALSE),VLOOKUP($G133,'KO Calc'!$H139:$AW139,37,FALSE)),IF(AND($S$3=TRUE,$S$4=TRUE),IF(OR($Q$4=TRUE,$Q$5=TRUE,$S$2=TRUE),VLOOKUP($G133,'KO Calc'!$H:$AW,27,FALSE),VLOOKUP($G133,'KO Calc'!$H139:$AW139,27,FALSE)))))))))))))</f>
        <v>-</v>
      </c>
      <c r="I133" s="36" t="str">
        <f>IF(AND($Q$1=FALSE,$S$3=FALSE),"-",IF(AND($Q$1=TRUE,$S$3=TRUE),"-",IF(AND($Q$1=FALSE,$S$3=FALSE),"-",IF(AND($Q$1=TRUE,$S$1=TRUE,$S$4=FALSE)=TRUE,IF(OR($Q$4=TRUE,$Q$5=TRUE,$S$2=TRUE),VLOOKUP($G133,'KO Calc'!$H:$AW,13,FALSE),VLOOKUP($G133,'KO Calc'!$H139:$AW139,13,FALSE)),IF(AND($Q$1=TRUE,$S$4=FALSE),IF(OR($Q$4=TRUE,$Q$5=TRUE,$S$2=TRUE),VLOOKUP($G133,'KO Calc'!$H:$AW,3,FALSE),VLOOKUP($G133,'KO Calc'!$H139:$AW139,3,FALSE)),
IF(AND($Q$1=TRUE,$S$1=TRUE,$S$4=TRUE)=TRUE,IF(OR($Q$4=TRUE,$Q$5=TRUE,$S$2=TRUE),VLOOKUP($G133,'KO Calc'!$H:$AW,18,FALSE),VLOOKUP($G133,'KO Calc'!$H139:$AW139,18,FALSE)),IF(AND($Q$1=TRUE,$S$4=TRUE),IF(OR($Q$4=TRUE,$Q$5=TRUE,$S$2=TRUE),VLOOKUP($G133,'KO Calc'!$H:$AW,8,FALSE),VLOOKUP($G133,'KO Calc'!$H139:$AW139,8,FALSE)),
IF(AND($S$3=TRUE,$S$1=TRUE,$S$4=FALSE)=TRUE,IF(OR($Q$4=TRUE,$Q$5=TRUE,$S$2=TRUE),VLOOKUP($G133,'KO Calc'!$H:$AW,33,FALSE),VLOOKUP($G133,'KO Calc'!$H139:$AW139,33,FALSE)),IF(AND($S$3=TRUE,$S$4=FALSE),IF(OR($Q$4=TRUE,$Q$5=TRUE,$S$2=TRUE),VLOOKUP($G133,'KO Calc'!$H:$AW,23,FALSE),VLOOKUP($G133,'KO Calc'!$H139:$AW139,23,FALSE)),
IF(AND($S$3=TRUE,$S$1=TRUE,$S$4=TRUE)=TRUE,IF(OR($Q$4=TRUE,$Q$5=TRUE,$S$2=TRUE),VLOOKUP($G133,'KO Calc'!$H:$AW,38,FALSE),VLOOKUP($G133,'KO Calc'!$H139:$AW139,38,FALSE)),IF(AND($S$3=TRUE,$S$4=TRUE),IF(OR($Q$4=TRUE,$Q$5=TRUE,$S$2=TRUE),VLOOKUP($G133,'KO Calc'!$H:$AW,28,FALSE),VLOOKUP($G133,'KO Calc'!$H139:$AW139,28,FALSE)))))))))))))</f>
        <v>-</v>
      </c>
      <c r="J133" s="36" t="str">
        <f>IF(AND($Q$1=FALSE,$S$3=FALSE),"-",IF(AND($Q$1=TRUE,$S$3=TRUE),"-",IF(AND($Q$1=FALSE,$S$3=FALSE),"-",IF(AND($Q$1=TRUE,$S$1=TRUE,$S$4=FALSE)=TRUE,IF(OR($Q$4=TRUE,$Q$5=TRUE,$S$2=TRUE),VLOOKUP($G133,'KO Calc'!$H:$AW,FALSE),VLOOKUP($G133,'KO Calc'!$H139:$AW139,14,FALSE)),IF(AND($Q$1=TRUE,$S$4=FALSE),IF(OR($Q$4=TRUE,$Q$5=TRUE,$S$2=TRUE),VLOOKUP($G133,'KO Calc'!$H:$AW,4,FALSE),VLOOKUP($G133,'KO Calc'!$H139:$AW139,4,FALSE)),
IF(AND($Q$1=TRUE,$S$1=TRUE,$S$4=TRUE)=TRUE,IF(OR($Q$4=TRUE,$Q$5=TRUE,$S$2=TRUE),VLOOKUP($G133,'KO Calc'!$H:$AW,19,FALSE),VLOOKUP($G133,'KO Calc'!$H139:$AW139,19,FALSE)),IF(AND($Q$1=TRUE,$S$4=TRUE),IF(OR($Q$4=TRUE,$Q$5=TRUE,$S$2=TRUE),VLOOKUP($G133,'KO Calc'!$H:$AW,9,FALSE),VLOOKUP($G133,'KO Calc'!$H139:$AW139,9,FALSE)),
IF(AND($S$3=TRUE,$S$1=TRUE,$S$4=FALSE)=TRUE,IF(OR($Q$4=TRUE,$Q$5=TRUE,$S$2=TRUE),VLOOKUP($G133,'KO Calc'!$H:$AW,34,FALSE),VLOOKUP($G133,'KO Calc'!$H139:$AW139,34,FALSE)),IF(AND($S$3=TRUE,$S$4=FALSE),IF(OR($Q$4=TRUE,$Q$5=TRUE,$S$2=TRUE),VLOOKUP($G133,'KO Calc'!$H:$AW,24,FALSE),VLOOKUP($G133,'KO Calc'!$H139:$AW139,24,FALSE)),
IF(AND($S$3=TRUE,$S$1=TRUE,$S$4=TRUE)=TRUE,IF(OR($Q$4=TRUE,$Q$5=TRUE,$S$2=TRUE),VLOOKUP($G133,'KO Calc'!$H:$AW,39,FALSE),VLOOKUP($G133,'KO Calc'!$H139:$AW139,39,FALSE)),IF(AND($S$3=TRUE,$S$4=TRUE),IF(OR($Q$4=TRUE,$Q$5=TRUE,$S$2=TRUE),VLOOKUP($G133,'KO Calc'!$H:$AW,29,FALSE),VLOOKUP($G133,'KO Calc'!$H139:$AW139,29,FALSE)))))))))))))</f>
        <v>-</v>
      </c>
      <c r="K133" s="36" t="str">
        <f>IF(AND($Q$1=FALSE,$S$3=FALSE),"-",IF(AND($Q$1=TRUE,$S$3=TRUE),"-",IF(AND($Q$1=FALSE,$S$3=FALSE),"-",IF(AND($Q$1=TRUE,$S$1=TRUE,$S$4=FALSE)=TRUE,IF(OR($Q$4=TRUE,$Q$5=TRUE,$S$2=TRUE),VLOOKUP($G133,'KO Calc'!$H:$AW,15,FALSE),VLOOKUP($G133,'KO Calc'!$H139:$AW139,15,FALSE)),IF(AND($Q$1=TRUE,$S$4=FALSE),IF(OR($Q$4=TRUE,$Q$5=TRUE,$S$2=TRUE),VLOOKUP($G133,'KO Calc'!$H:$AW,5,FALSE),VLOOKUP($G133,'KO Calc'!$H139:$AW139,5,FALSE)),
IF(AND($Q$1=TRUE,$S$1=TRUE,$S$4=TRUE)=TRUE,IF(OR($Q$4=TRUE,$Q$5=TRUE,$S$2=TRUE),VLOOKUP($G133,'KO Calc'!$H:$AW,20,FALSE),VLOOKUP($G133,'KO Calc'!$H139:$AW139,20,FALSE)),IF(AND($Q$1=TRUE,$S$4=TRUE),IF(OR($Q$4=TRUE,$Q$5=TRUE,$S$2=TRUE),VLOOKUP($G133,'KO Calc'!$H:$AW,10,FALSE),VLOOKUP($G133,'KO Calc'!$H139:$AW139,10,FALSE)),
IF(AND($S$3=TRUE,$S$1=TRUE,$S$4=FALSE)=TRUE,IF(OR($Q$4=TRUE,$Q$5=TRUE,$S$2=TRUE),VLOOKUP($G133,'KO Calc'!$H:$AW,35,FALSE),VLOOKUP($G133,'KO Calc'!$H139:$AW139,35,FALSE)),IF(AND($S$3=TRUE,$S$4=FALSE),IF(OR($Q$4=TRUE,$Q$5=TRUE,$S$2=TRUE),VLOOKUP($G133,'KO Calc'!$H:$AW,25,FALSE),VLOOKUP($G133,'KO Calc'!$H139:$AW139,25,FALSE)),
IF(AND($S$3=TRUE,$S$1=TRUE,$S$4=TRUE)=TRUE,IF(OR($Q$4=TRUE,$Q$5=TRUE,$S$2=TRUE),VLOOKUP($G133,'KO Calc'!$H:$AW,40,FALSE),VLOOKUP($G133,'KO Calc'!$H139:$AW139,40,FALSE)),IF(AND($S$3=TRUE,$S$4=TRUE),IF(OR($Q$4=TRUE,$Q$5=TRUE,$S$2=TRUE),VLOOKUP($G133,'KO Calc'!$H:$AW,30,FALSE),VLOOKUP($G133,'KO Calc'!$H139:$AW139,30,FALSE)))))))))))))</f>
        <v>-</v>
      </c>
      <c r="L133" s="36" t="str">
        <f>IFERROR(VLOOKUP($E133,'Status Thresholds'!$E:$AS,41,FALSE),"-")</f>
        <v>-</v>
      </c>
    </row>
    <row r="134" spans="1:14" x14ac:dyDescent="0.25">
      <c r="B134" s="64" t="str">
        <f>VLOOKUP(C134,'Status Thresholds'!B:C,2,FALSE)</f>
        <v>Deviant</v>
      </c>
      <c r="C134" s="46" t="str">
        <f>IF(ISBLANK('KO Calc'!C130)=TRUE,"",'KO Calc'!C130)</f>
        <v>Bloodbath Diablos</v>
      </c>
      <c r="D134" s="78"/>
      <c r="E134" s="62"/>
      <c r="G134" s="36"/>
      <c r="L134" s="36" t="str">
        <f>IFERROR(VLOOKUP($E134,'Status Thresholds'!$E:$AS,41,FALSE),"-")</f>
        <v>-</v>
      </c>
    </row>
    <row r="135" spans="1:14" s="36" customFormat="1" x14ac:dyDescent="0.25">
      <c r="B135" s="64" t="str">
        <f>VLOOKUP(C135,'Status Thresholds'!B:C,2,FALSE)</f>
        <v>Deviant</v>
      </c>
      <c r="C135" s="46" t="str">
        <f>IF(ISBLANK('KO Calc'!C131)=TRUE,"",'KO Calc'!C131)</f>
        <v>Boltreaver Astalos</v>
      </c>
      <c r="D135" s="65" t="s">
        <v>0</v>
      </c>
      <c r="E135" s="62" t="str">
        <f t="shared" si="3"/>
        <v>Boltreaver AstalosPara</v>
      </c>
      <c r="F135" s="36" t="s">
        <v>2</v>
      </c>
      <c r="G135" s="36" t="str">
        <f t="shared" si="4"/>
        <v>Boltreaver AstalosPara lvl 2</v>
      </c>
      <c r="H135" s="36" t="str">
        <f>IFERROR(ROUNDUP(IF(AND($Q$1=FALSE,$S$3=FALSE),"-",IF(AND($Q$1=TRUE,$S$3=TRUE),"-",IF(AND($Q$1=TRUE,$S$1=TRUE,$S$4=FALSE),VLOOKUP($E135,'Status Thresholds'!$E:$AS,12,FALSE),IF(AND($Q$1=TRUE,$S$4=FALSE),VLOOKUP($E135,'Status Thresholds'!$E:$AS,2,FALSE), IF(AND($Q$1=TRUE,$S$1=TRUE,$S$4=TRUE),VLOOKUP($E135,'Status Thresholds'!$E:$AS,17,FALSE),IF(AND($Q$1=TRUE,$S$4=TRUE),VLOOKUP($E135,'Status Thresholds'!$E:$AS,7,FALSE),IF(AND($S$3=TRUE,$S$1=TRUE,$S$4=FALSE),VLOOKUP($E135,'Status Thresholds'!$E:$AS,32,FALSE),IF(AND($S$3=TRUE,$S$4=FALSE),VLOOKUP($E135,'Status Thresholds'!$E:$AS,22,FALSE),IF(AND($S$3=TRUE,$S$1=TRUE,$S$4=TRUE),VLOOKUP($E135,'Status Thresholds'!$E:$AS,37,FALSE),IF(AND($S$3=TRUE,$S$4=TRUE),VLOOKUP($E135,'Status Thresholds'!$E:$AS,27,FALSE),""))))))))/IF(OR($Q$3=TRUE,AND($Q$2=TRUE,$Q$7=TRUE),AND($Q$3=TRUE,$Q$7=TRUE))=TRUE,'Shots and Status'!$F$5,IF((OR($Q$2,$Q$7)=TRUE),'Shots and Status'!$D$5,'Shots and Status'!$C$5)))),0),"-")</f>
        <v>-</v>
      </c>
      <c r="I135" s="36" t="str">
        <f>IFERROR(ROUNDUP(IF(AND($Q$1=FALSE,$S$3=FALSE),"-",IF(AND($Q$1=TRUE,$S$3=TRUE),"-",IF(AND($Q$1=TRUE,$S$1=TRUE,$S$4=FALSE),VLOOKUP($E135,'Status Thresholds'!$E:$AS,13,FALSE),IF(AND($Q$1=TRUE,$S$4=FALSE),VLOOKUP($E135,'Status Thresholds'!$E:$AS,3,FALSE), IF(AND($Q$1=TRUE,$S$1=TRUE,$S$4=TRUE),VLOOKUP($E135,'Status Thresholds'!$E:$AS,18,FALSE),IF(AND($Q$1=TRUE,$S$4=TRUE),VLOOKUP($E135,'Status Thresholds'!$E:$AS,8,FALSE),IF(AND($S$3=TRUE,$S$1=TRUE,$S$4=FALSE),VLOOKUP($E135,'Status Thresholds'!$E:$AS,33,FALSE),IF(AND($S$3=TRUE,$S$4=FALSE),VLOOKUP($E135,'Status Thresholds'!$E:$AS,23,FALSE),IF(AND($S$3=TRUE,$S$1=TRUE,$S$4=TRUE),VLOOKUP($E135,'Status Thresholds'!$E:$AS,38,FALSE),IF(AND($S$3=TRUE,$S$4=TRUE),VLOOKUP($E135,'Status Thresholds'!$E:$AS,28,FALSE),""))))))))/IF(OR($Q$3=TRUE,AND($Q$2=TRUE,$Q$7=TRUE),AND($Q$3=TRUE,$Q$7=TRUE))=TRUE,'Shots and Status'!$F$5,IF((OR($Q$2,$Q$7)=TRUE),'Shots and Status'!$D$5,'Shots and Status'!$C$5)))),0),"-")</f>
        <v>-</v>
      </c>
      <c r="J135" s="36" t="str">
        <f>IFERROR(ROUNDUP(IF(AND($Q$1=FALSE,$S$3=FALSE),"-",IF(AND($Q$1=TRUE,$S$3=TRUE),"-",IF(AND($Q$1=TRUE,$S$1=TRUE,$S$4=FALSE),VLOOKUP($E135,'Status Thresholds'!$E:$AS,14,FALSE),IF(AND($Q$1=TRUE,$S$4=FALSE),VLOOKUP($E135,'Status Thresholds'!$E:$AS,4,FALSE), IF(AND($Q$1=TRUE,$S$1=TRUE,$S$4=TRUE),VLOOKUP($E135,'Status Thresholds'!$E:$AS,19,FALSE),IF(AND($Q$1=TRUE,$S$4=TRUE),VLOOKUP($E135,'Status Thresholds'!$E:$AS,9,FALSE),IF(AND($S$3=TRUE,$S$1=TRUE,$S$4=FALSE),VLOOKUP($E135,'Status Thresholds'!$E:$AS,34,FALSE),IF(AND($S$3=TRUE,$S$4=FALSE),VLOOKUP($E135,'Status Thresholds'!$E:$AS,24,FALSE),IF(AND($S$3=TRUE,$S$1=TRUE,$S$4=TRUE),VLOOKUP($E135,'Status Thresholds'!$E:$AS,39,FALSE),IF(AND($S$3=TRUE,$S$4=TRUE),VLOOKUP($E135,'Status Thresholds'!$E:$AS,29,FALSE),""))))))))/IF(OR($Q$3=TRUE,AND($Q$2=TRUE,$Q$7=TRUE),AND($Q$3=TRUE,$Q$7=TRUE))=TRUE,'Shots and Status'!$F$5,IF((OR($Q$2,$Q$7)=TRUE),'Shots and Status'!$D$5,'Shots and Status'!$C$5)))),0),"-")</f>
        <v>-</v>
      </c>
      <c r="K135" s="36" t="str">
        <f>IFERROR(ROUNDUP(IF(AND($Q$1=FALSE,$S$3=FALSE),"-",IF(AND($Q$1=TRUE,$S$3=TRUE),"-",IF(AND($Q$1=TRUE,$S$1=TRUE,$S$4=FALSE),VLOOKUP($E135,'Status Thresholds'!$E:$AS,15,FALSE),IF(AND($Q$1=TRUE,$S$4=FALSE),VLOOKUP($E135,'Status Thresholds'!$E:$AS,5,FALSE), IF(AND($Q$1=TRUE,$S$1=TRUE,$S$4=TRUE),VLOOKUP($E135,'Status Thresholds'!$E:$AS,20,FALSE),IF(AND($Q$1=TRUE,$S$4=TRUE),VLOOKUP($E135,'Status Thresholds'!$E:$AS,10,FALSE),IF(AND($S$3=TRUE,$S$1=TRUE,$S$4=FALSE),VLOOKUP($E135,'Status Thresholds'!$E:$AS,35,FALSE),IF(AND($S$3=TRUE,$S$4=FALSE),VLOOKUP($E135,'Status Thresholds'!$E:$AS,25,FALSE),IF(AND($S$3=TRUE,$S$1=TRUE,$S$4=TRUE),VLOOKUP($E135,'Status Thresholds'!$E:$AS,40,FALSE),IF(AND($S$3=TRUE,$S$4=TRUE),VLOOKUP($E135,'Status Thresholds'!$E:$AS,30,FALSE),""))))))))/IF(OR($Q$3=TRUE,AND($Q$2=TRUE,$Q$7=TRUE),AND($Q$3=TRUE,$Q$7=TRUE))=TRUE,'Shots and Status'!$F$5,IF((OR($Q$2,$Q$7)=TRUE),'Shots and Status'!$D$5,'Shots and Status'!$C$5)))),0),"-")</f>
        <v>-</v>
      </c>
      <c r="L135" s="36" t="str">
        <f>IFERROR(IF(AND($Q$1=FALSE,$S$3=FALSE),"-",VLOOKUP($E135,'Status Thresholds'!$E:$AU,41,FALSE)),"-")</f>
        <v>-</v>
      </c>
      <c r="M135" s="36" t="str">
        <f>IFERROR(IF(AND($Q$1=FALSE,$S$3=FALSE),"-",VLOOKUP($E135,'Status Thresholds'!$E:$AU,42,FALSE)),"-")</f>
        <v>-</v>
      </c>
      <c r="N135" s="36" t="str">
        <f>IFERROR(IF(AND($Q$1=FALSE,$S$3=FALSE),"-",VLOOKUP($E135,'Status Thresholds'!$E:$AU,43,FALSE)),"-")</f>
        <v>-</v>
      </c>
    </row>
    <row r="136" spans="1:14" s="59" customFormat="1" x14ac:dyDescent="0.25">
      <c r="A136" s="46"/>
      <c r="B136" s="64" t="str">
        <f>VLOOKUP(C136,'Status Thresholds'!B:C,2,FALSE)</f>
        <v>Deviant</v>
      </c>
      <c r="C136" s="46" t="str">
        <f>IF(ISBLANK('KO Calc'!C132)=TRUE,"",'KO Calc'!C132)</f>
        <v>Boltreaver Astalos</v>
      </c>
      <c r="D136" s="60" t="s">
        <v>32</v>
      </c>
      <c r="E136" s="62" t="str">
        <f t="shared" si="3"/>
        <v>Boltreaver AstalosSleep</v>
      </c>
      <c r="F136" s="59" t="s">
        <v>5</v>
      </c>
      <c r="G136" s="36" t="str">
        <f t="shared" si="4"/>
        <v>Boltreaver AstalosSleep lvl 2</v>
      </c>
      <c r="H136" s="36" t="str">
        <f>IFERROR(ROUNDUP(IF(AND($Q$1=FALSE,$S$3=FALSE),"-",IF(AND($Q$1=TRUE,$S$3=TRUE),"-",IF(AND($Q$1=TRUE,$S$1=TRUE,$S$4=FALSE),VLOOKUP($E136,'Status Thresholds'!$E:$AS,12,FALSE),IF(AND($Q$1=TRUE,$S$4=FALSE),VLOOKUP($E136,'Status Thresholds'!$E:$AS,2,FALSE), IF(AND($Q$1=TRUE,$S$1=TRUE,$S$4=TRUE),VLOOKUP($E136,'Status Thresholds'!$E:$AS,17,FALSE),IF(AND($Q$1=TRUE,$S$4=TRUE),VLOOKUP($E136,'Status Thresholds'!$E:$AS,7,FALSE),IF(AND($S$3=TRUE,$S$1=TRUE,$S$4=FALSE),VLOOKUP($E136,'Status Thresholds'!$E:$AS,32,FALSE),IF(AND($S$3=TRUE,$S$4=FALSE),VLOOKUP($E136,'Status Thresholds'!$E:$AS,22,FALSE),IF(AND($S$3=TRUE,$S$1=TRUE,$S$4=TRUE),VLOOKUP($E136,'Status Thresholds'!$E:$AS,37,FALSE),IF(AND($S$3=TRUE,$S$4=TRUE),VLOOKUP($E136,'Status Thresholds'!$E:$AS,27,FALSE),""))))))))/IF(OR($Q$3=TRUE,AND($Q$2=TRUE,$Q$7=TRUE),AND($Q$3=TRUE,$Q$7=TRUE))=TRUE,'Shots and Status'!$F$5,IF((OR($Q$2,$Q$7)=TRUE),'Shots and Status'!$D$5,'Shots and Status'!$C$5)))),0),"-")</f>
        <v>-</v>
      </c>
      <c r="I136" s="36" t="str">
        <f>IFERROR(ROUNDUP(IF(AND($Q$1=FALSE,$S$3=FALSE),"-",IF(AND($Q$1=TRUE,$S$3=TRUE),"-",IF(AND($Q$1=TRUE,$S$1=TRUE,$S$4=FALSE),VLOOKUP($E136,'Status Thresholds'!$E:$AS,13,FALSE),IF(AND($Q$1=TRUE,$S$4=FALSE),VLOOKUP($E136,'Status Thresholds'!$E:$AS,3,FALSE), IF(AND($Q$1=TRUE,$S$1=TRUE,$S$4=TRUE),VLOOKUP($E136,'Status Thresholds'!$E:$AS,18,FALSE),IF(AND($Q$1=TRUE,$S$4=TRUE),VLOOKUP($E136,'Status Thresholds'!$E:$AS,8,FALSE),IF(AND($S$3=TRUE,$S$1=TRUE,$S$4=FALSE),VLOOKUP($E136,'Status Thresholds'!$E:$AS,33,FALSE),IF(AND($S$3=TRUE,$S$4=FALSE),VLOOKUP($E136,'Status Thresholds'!$E:$AS,23,FALSE),IF(AND($S$3=TRUE,$S$1=TRUE,$S$4=TRUE),VLOOKUP($E136,'Status Thresholds'!$E:$AS,38,FALSE),IF(AND($S$3=TRUE,$S$4=TRUE),VLOOKUP($E136,'Status Thresholds'!$E:$AS,28,FALSE),""))))))))/IF(OR($Q$3=TRUE,AND($Q$2=TRUE,$Q$7=TRUE),AND($Q$3=TRUE,$Q$7=TRUE))=TRUE,'Shots and Status'!$F$5,IF((OR($Q$2,$Q$7)=TRUE),'Shots and Status'!$D$5,'Shots and Status'!$C$5)))),0),"-")</f>
        <v>-</v>
      </c>
      <c r="J136" s="36" t="str">
        <f>IFERROR(ROUNDUP(IF(AND($Q$1=FALSE,$S$3=FALSE),"-",IF(AND($Q$1=TRUE,$S$3=TRUE),"-",IF(AND($Q$1=TRUE,$S$1=TRUE,$S$4=FALSE),VLOOKUP($E136,'Status Thresholds'!$E:$AS,14,FALSE),IF(AND($Q$1=TRUE,$S$4=FALSE),VLOOKUP($E136,'Status Thresholds'!$E:$AS,4,FALSE), IF(AND($Q$1=TRUE,$S$1=TRUE,$S$4=TRUE),VLOOKUP($E136,'Status Thresholds'!$E:$AS,19,FALSE),IF(AND($Q$1=TRUE,$S$4=TRUE),VLOOKUP($E136,'Status Thresholds'!$E:$AS,9,FALSE),IF(AND($S$3=TRUE,$S$1=TRUE,$S$4=FALSE),VLOOKUP($E136,'Status Thresholds'!$E:$AS,34,FALSE),IF(AND($S$3=TRUE,$S$4=FALSE),VLOOKUP($E136,'Status Thresholds'!$E:$AS,24,FALSE),IF(AND($S$3=TRUE,$S$1=TRUE,$S$4=TRUE),VLOOKUP($E136,'Status Thresholds'!$E:$AS,39,FALSE),IF(AND($S$3=TRUE,$S$4=TRUE),VLOOKUP($E136,'Status Thresholds'!$E:$AS,29,FALSE),""))))))))/IF(OR($Q$3=TRUE,AND($Q$2=TRUE,$Q$7=TRUE),AND($Q$3=TRUE,$Q$7=TRUE))=TRUE,'Shots and Status'!$F$5,IF((OR($Q$2,$Q$7)=TRUE),'Shots and Status'!$D$5,'Shots and Status'!$C$5)))),0),"-")</f>
        <v>-</v>
      </c>
      <c r="K136" s="36" t="str">
        <f>IFERROR(ROUNDUP(IF(AND($Q$1=FALSE,$S$3=FALSE),"-",IF(AND($Q$1=TRUE,$S$3=TRUE),"-",IF(AND($Q$1=TRUE,$S$1=TRUE,$S$4=FALSE),VLOOKUP($E136,'Status Thresholds'!$E:$AS,15,FALSE),IF(AND($Q$1=TRUE,$S$4=FALSE),VLOOKUP($E136,'Status Thresholds'!$E:$AS,5,FALSE), IF(AND($Q$1=TRUE,$S$1=TRUE,$S$4=TRUE),VLOOKUP($E136,'Status Thresholds'!$E:$AS,20,FALSE),IF(AND($Q$1=TRUE,$S$4=TRUE),VLOOKUP($E136,'Status Thresholds'!$E:$AS,10,FALSE),IF(AND($S$3=TRUE,$S$1=TRUE,$S$4=FALSE),VLOOKUP($E136,'Status Thresholds'!$E:$AS,35,FALSE),IF(AND($S$3=TRUE,$S$4=FALSE),VLOOKUP($E136,'Status Thresholds'!$E:$AS,25,FALSE),IF(AND($S$3=TRUE,$S$1=TRUE,$S$4=TRUE),VLOOKUP($E136,'Status Thresholds'!$E:$AS,40,FALSE),IF(AND($S$3=TRUE,$S$4=TRUE),VLOOKUP($E136,'Status Thresholds'!$E:$AS,30,FALSE),""))))))))/IF(OR($Q$3=TRUE,AND($Q$2=TRUE,$Q$7=TRUE),AND($Q$3=TRUE,$Q$7=TRUE))=TRUE,'Shots and Status'!$F$5,IF((OR($Q$2,$Q$7)=TRUE),'Shots and Status'!$D$5,'Shots and Status'!$C$5)))),0),"-")</f>
        <v>-</v>
      </c>
      <c r="L136" s="36" t="str">
        <f>IFERROR(IF(AND($Q$1=FALSE,$S$3=FALSE),"-",VLOOKUP($E136,'Status Thresholds'!$E:$AU,41,FALSE)),"-")</f>
        <v>-</v>
      </c>
      <c r="M136" s="36" t="str">
        <f>IFERROR(IF(AND($Q$1=FALSE,$S$3=FALSE),"-",VLOOKUP($E136,'Status Thresholds'!$E:$AU,42,FALSE)),"-")</f>
        <v>-</v>
      </c>
      <c r="N136" s="36" t="str">
        <f>IFERROR(IF(AND($Q$1=FALSE,$S$3=FALSE),"-",VLOOKUP($E136,'Status Thresholds'!$E:$AU,43,FALSE)),"-")</f>
        <v>-</v>
      </c>
    </row>
    <row r="137" spans="1:14" s="59" customFormat="1" x14ac:dyDescent="0.25">
      <c r="A137" s="46"/>
      <c r="B137" s="64" t="str">
        <f>VLOOKUP(C137,'Status Thresholds'!B:C,2,FALSE)</f>
        <v>Deviant</v>
      </c>
      <c r="C137" s="46" t="str">
        <f>IF(ISBLANK('KO Calc'!C133)=TRUE,"",'KO Calc'!C133)</f>
        <v>Boltreaver Astalos</v>
      </c>
      <c r="D137" s="58" t="s">
        <v>33</v>
      </c>
      <c r="E137" s="62" t="str">
        <f t="shared" si="3"/>
        <v>Boltreaver AstalosPoison</v>
      </c>
      <c r="F137" s="59" t="s">
        <v>6</v>
      </c>
      <c r="G137" s="36" t="str">
        <f t="shared" si="4"/>
        <v>Boltreaver AstalosPoison lvl 2</v>
      </c>
      <c r="H137" s="36" t="str">
        <f>IFERROR(ROUNDUP(IF(AND($Q$1=FALSE,$S$3=FALSE),"-",IF(AND($Q$1=TRUE,$S$3=TRUE),"-",IF(AND($Q$1=TRUE,$S$1=TRUE,$S$4=FALSE),VLOOKUP($E137,'Status Thresholds'!$E:$AS,12,FALSE),IF(AND($Q$1=TRUE,$S$4=FALSE),VLOOKUP($E137,'Status Thresholds'!$E:$AS,2,FALSE), IF(AND($Q$1=TRUE,$S$1=TRUE,$S$4=TRUE),VLOOKUP($E137,'Status Thresholds'!$E:$AS,17,FALSE),IF(AND($Q$1=TRUE,$S$4=TRUE),VLOOKUP($E137,'Status Thresholds'!$E:$AS,7,FALSE),IF(AND($S$3=TRUE,$S$1=TRUE,$S$4=FALSE),VLOOKUP($E137,'Status Thresholds'!$E:$AS,32,FALSE),IF(AND($S$3=TRUE,$S$4=FALSE),VLOOKUP($E137,'Status Thresholds'!$E:$AS,22,FALSE),IF(AND($S$3=TRUE,$S$1=TRUE,$S$4=TRUE),VLOOKUP($E137,'Status Thresholds'!$E:$AS,37,FALSE),IF(AND($S$3=TRUE,$S$4=TRUE),VLOOKUP($E137,'Status Thresholds'!$E:$AS,27,FALSE),""))))))))/IF(OR($Q$3=TRUE,AND($Q$2=TRUE,$Q$7=TRUE),AND($Q$3=TRUE,$Q$7=TRUE))=TRUE,'Shots and Status'!$F$5,IF((OR($Q$2,$Q$7)=TRUE),'Shots and Status'!$D$5,'Shots and Status'!$C$5)))),0),"-")</f>
        <v>-</v>
      </c>
      <c r="I137" s="36" t="str">
        <f>IFERROR(ROUNDUP(IF(AND($Q$1=FALSE,$S$3=FALSE),"-",IF(AND($Q$1=TRUE,$S$3=TRUE),"-",IF(AND($Q$1=TRUE,$S$1=TRUE,$S$4=FALSE),VLOOKUP($E137,'Status Thresholds'!$E:$AS,13,FALSE),IF(AND($Q$1=TRUE,$S$4=FALSE),VLOOKUP($E137,'Status Thresholds'!$E:$AS,3,FALSE), IF(AND($Q$1=TRUE,$S$1=TRUE,$S$4=TRUE),VLOOKUP($E137,'Status Thresholds'!$E:$AS,18,FALSE),IF(AND($Q$1=TRUE,$S$4=TRUE),VLOOKUP($E137,'Status Thresholds'!$E:$AS,8,FALSE),IF(AND($S$3=TRUE,$S$1=TRUE,$S$4=FALSE),VLOOKUP($E137,'Status Thresholds'!$E:$AS,33,FALSE),IF(AND($S$3=TRUE,$S$4=FALSE),VLOOKUP($E137,'Status Thresholds'!$E:$AS,23,FALSE),IF(AND($S$3=TRUE,$S$1=TRUE,$S$4=TRUE),VLOOKUP($E137,'Status Thresholds'!$E:$AS,38,FALSE),IF(AND($S$3=TRUE,$S$4=TRUE),VLOOKUP($E137,'Status Thresholds'!$E:$AS,28,FALSE),""))))))))/IF(OR($Q$3=TRUE,AND($Q$2=TRUE,$Q$7=TRUE),AND($Q$3=TRUE,$Q$7=TRUE))=TRUE,'Shots and Status'!$F$5,IF((OR($Q$2,$Q$7)=TRUE),'Shots and Status'!$D$5,'Shots and Status'!$C$5)))),0),"-")</f>
        <v>-</v>
      </c>
      <c r="J137" s="36" t="str">
        <f>IFERROR(ROUNDUP(IF(AND($Q$1=FALSE,$S$3=FALSE),"-",IF(AND($Q$1=TRUE,$S$3=TRUE),"-",IF(AND($Q$1=TRUE,$S$1=TRUE,$S$4=FALSE),VLOOKUP($E137,'Status Thresholds'!$E:$AS,14,FALSE),IF(AND($Q$1=TRUE,$S$4=FALSE),VLOOKUP($E137,'Status Thresholds'!$E:$AS,4,FALSE), IF(AND($Q$1=TRUE,$S$1=TRUE,$S$4=TRUE),VLOOKUP($E137,'Status Thresholds'!$E:$AS,19,FALSE),IF(AND($Q$1=TRUE,$S$4=TRUE),VLOOKUP($E137,'Status Thresholds'!$E:$AS,9,FALSE),IF(AND($S$3=TRUE,$S$1=TRUE,$S$4=FALSE),VLOOKUP($E137,'Status Thresholds'!$E:$AS,34,FALSE),IF(AND($S$3=TRUE,$S$4=FALSE),VLOOKUP($E137,'Status Thresholds'!$E:$AS,24,FALSE),IF(AND($S$3=TRUE,$S$1=TRUE,$S$4=TRUE),VLOOKUP($E137,'Status Thresholds'!$E:$AS,39,FALSE),IF(AND($S$3=TRUE,$S$4=TRUE),VLOOKUP($E137,'Status Thresholds'!$E:$AS,29,FALSE),""))))))))/IF(OR($Q$3=TRUE,AND($Q$2=TRUE,$Q$7=TRUE),AND($Q$3=TRUE,$Q$7=TRUE))=TRUE,'Shots and Status'!$F$5,IF((OR($Q$2,$Q$7)=TRUE),'Shots and Status'!$D$5,'Shots and Status'!$C$5)))),0),"-")</f>
        <v>-</v>
      </c>
      <c r="K137" s="36" t="str">
        <f>IFERROR(ROUNDUP(IF(AND($Q$1=FALSE,$S$3=FALSE),"-",IF(AND($Q$1=TRUE,$S$3=TRUE),"-",IF(AND($Q$1=TRUE,$S$1=TRUE,$S$4=FALSE),VLOOKUP($E137,'Status Thresholds'!$E:$AS,15,FALSE),IF(AND($Q$1=TRUE,$S$4=FALSE),VLOOKUP($E137,'Status Thresholds'!$E:$AS,5,FALSE), IF(AND($Q$1=TRUE,$S$1=TRUE,$S$4=TRUE),VLOOKUP($E137,'Status Thresholds'!$E:$AS,20,FALSE),IF(AND($Q$1=TRUE,$S$4=TRUE),VLOOKUP($E137,'Status Thresholds'!$E:$AS,10,FALSE),IF(AND($S$3=TRUE,$S$1=TRUE,$S$4=FALSE),VLOOKUP($E137,'Status Thresholds'!$E:$AS,35,FALSE),IF(AND($S$3=TRUE,$S$4=FALSE),VLOOKUP($E137,'Status Thresholds'!$E:$AS,25,FALSE),IF(AND($S$3=TRUE,$S$1=TRUE,$S$4=TRUE),VLOOKUP($E137,'Status Thresholds'!$E:$AS,40,FALSE),IF(AND($S$3=TRUE,$S$4=TRUE),VLOOKUP($E137,'Status Thresholds'!$E:$AS,30,FALSE),""))))))))/IF(OR($Q$3=TRUE,AND($Q$2=TRUE,$Q$7=TRUE),AND($Q$3=TRUE,$Q$7=TRUE))=TRUE,'Shots and Status'!$F$5,IF((OR($Q$2,$Q$7)=TRUE),'Shots and Status'!$D$5,'Shots and Status'!$C$5)))),0),"-")</f>
        <v>-</v>
      </c>
      <c r="L137" s="36" t="str">
        <f>IFERROR(IF(AND($Q$1=FALSE,$S$3=FALSE),"-",VLOOKUP($E137,'Status Thresholds'!$E:$AU,41,FALSE)),"-")</f>
        <v>-</v>
      </c>
      <c r="M137" s="36" t="str">
        <f>IFERROR(IF(AND($Q$1=FALSE,$S$3=FALSE),"-",VLOOKUP($E137,'Status Thresholds'!$E:$AU,42,FALSE)),"-")</f>
        <v>-</v>
      </c>
      <c r="N137" s="36" t="str">
        <f>IFERROR(IF(AND($Q$1=FALSE,$S$3=FALSE),"-",VLOOKUP($E137,'Status Thresholds'!$E:$AU,43,FALSE)),"-")</f>
        <v>-</v>
      </c>
    </row>
    <row r="138" spans="1:14" s="36" customFormat="1" x14ac:dyDescent="0.25">
      <c r="A138" s="46"/>
      <c r="B138" s="64" t="str">
        <f>VLOOKUP(C138,'Status Thresholds'!B:C,2,FALSE)</f>
        <v>Deviant</v>
      </c>
      <c r="C138" s="46" t="str">
        <f>IF(ISBLANK('KO Calc'!C134)=TRUE,"",'KO Calc'!C134)</f>
        <v>Boltreaver Astalos</v>
      </c>
      <c r="D138" s="57" t="s">
        <v>22</v>
      </c>
      <c r="E138" s="62" t="str">
        <f t="shared" si="3"/>
        <v>Boltreaver AstalosExhaust</v>
      </c>
      <c r="F138" s="36" t="s">
        <v>8</v>
      </c>
      <c r="G138" s="36" t="str">
        <f t="shared" si="4"/>
        <v>Boltreaver AstalosExhaust lvl 2</v>
      </c>
      <c r="H138" s="36" t="str">
        <f>IFERROR(ROUNDUP(IF(AND($Q$1=FALSE,$S$3=FALSE),"-",IF(AND($Q$1=TRUE,$S$3=TRUE),"-",IF(AND($Q$1=TRUE,$S$1=TRUE,$S$4=FALSE),VLOOKUP($E138,'Status Thresholds'!$E:$AS,12,FALSE),IF(AND($Q$1=TRUE,$S$4=FALSE),VLOOKUP($E138,'Status Thresholds'!$E:$AS,2,FALSE), IF(AND($Q$1=TRUE,$S$1=TRUE,$S$4=TRUE),VLOOKUP($E138,'Status Thresholds'!$E:$AS,17,FALSE),IF(AND($Q$1=TRUE,$S$4=TRUE),VLOOKUP($E138,'Status Thresholds'!$E:$AS,7,FALSE),IF(AND($S$3=TRUE,$S$1=TRUE,$S$4=FALSE),VLOOKUP($E138,'Status Thresholds'!$E:$AS,32,FALSE),IF(AND($S$3=TRUE,$S$4=FALSE),VLOOKUP($E138,'Status Thresholds'!$E:$AS,22,FALSE),IF(AND($S$3=TRUE,$S$1=TRUE,$S$4=TRUE),VLOOKUP($E138,'Status Thresholds'!$E:$AS,37,FALSE),IF(AND($S$3=TRUE,$S$4=TRUE),VLOOKUP($E138,'Status Thresholds'!$E:$AS,27,FALSE),""))))))))/IF(OR($Q$3=TRUE,AND($Q$2=TRUE,$Q$7=TRUE),AND($Q$3=TRUE,$Q$7=TRUE))=TRUE,'Shots and Status'!$F$5,IF((OR($Q$2,$Q$7)=TRUE),'Shots and Status'!$D$5,'Shots and Status'!$C$5)))),0),"-")</f>
        <v>-</v>
      </c>
      <c r="I138" s="36" t="str">
        <f>IFERROR(ROUNDUP(IF(AND($Q$1=FALSE,$S$3=FALSE),"-",IF(AND($Q$1=TRUE,$S$3=TRUE),"-",IF(AND($Q$1=TRUE,$S$1=TRUE,$S$4=FALSE),VLOOKUP($E138,'Status Thresholds'!$E:$AS,13,FALSE),IF(AND($Q$1=TRUE,$S$4=FALSE),VLOOKUP($E138,'Status Thresholds'!$E:$AS,3,FALSE), IF(AND($Q$1=TRUE,$S$1=TRUE,$S$4=TRUE),VLOOKUP($E138,'Status Thresholds'!$E:$AS,18,FALSE),IF(AND($Q$1=TRUE,$S$4=TRUE),VLOOKUP($E138,'Status Thresholds'!$E:$AS,8,FALSE),IF(AND($S$3=TRUE,$S$1=TRUE,$S$4=FALSE),VLOOKUP($E138,'Status Thresholds'!$E:$AS,33,FALSE),IF(AND($S$3=TRUE,$S$4=FALSE),VLOOKUP($E138,'Status Thresholds'!$E:$AS,23,FALSE),IF(AND($S$3=TRUE,$S$1=TRUE,$S$4=TRUE),VLOOKUP($E138,'Status Thresholds'!$E:$AS,38,FALSE),IF(AND($S$3=TRUE,$S$4=TRUE),VLOOKUP($E138,'Status Thresholds'!$E:$AS,28,FALSE),""))))))))/IF(OR($Q$3=TRUE,AND($Q$2=TRUE,$Q$7=TRUE),AND($Q$3=TRUE,$Q$7=TRUE))=TRUE,'Shots and Status'!$F$5,IF((OR($Q$2,$Q$7)=TRUE),'Shots and Status'!$D$5,'Shots and Status'!$C$5)))),0),"-")</f>
        <v>-</v>
      </c>
      <c r="J138" s="36" t="str">
        <f>IFERROR(ROUNDUP(IF(AND($Q$1=FALSE,$S$3=FALSE),"-",IF(AND($Q$1=TRUE,$S$3=TRUE),"-",IF(AND($Q$1=TRUE,$S$1=TRUE,$S$4=FALSE),VLOOKUP($E138,'Status Thresholds'!$E:$AS,14,FALSE),IF(AND($Q$1=TRUE,$S$4=FALSE),VLOOKUP($E138,'Status Thresholds'!$E:$AS,4,FALSE), IF(AND($Q$1=TRUE,$S$1=TRUE,$S$4=TRUE),VLOOKUP($E138,'Status Thresholds'!$E:$AS,19,FALSE),IF(AND($Q$1=TRUE,$S$4=TRUE),VLOOKUP($E138,'Status Thresholds'!$E:$AS,9,FALSE),IF(AND($S$3=TRUE,$S$1=TRUE,$S$4=FALSE),VLOOKUP($E138,'Status Thresholds'!$E:$AS,34,FALSE),IF(AND($S$3=TRUE,$S$4=FALSE),VLOOKUP($E138,'Status Thresholds'!$E:$AS,24,FALSE),IF(AND($S$3=TRUE,$S$1=TRUE,$S$4=TRUE),VLOOKUP($E138,'Status Thresholds'!$E:$AS,39,FALSE),IF(AND($S$3=TRUE,$S$4=TRUE),VLOOKUP($E138,'Status Thresholds'!$E:$AS,29,FALSE),""))))))))/IF(OR($Q$3=TRUE,AND($Q$2=TRUE,$Q$7=TRUE),AND($Q$3=TRUE,$Q$7=TRUE))=TRUE,'Shots and Status'!$F$5,IF((OR($Q$2,$Q$7)=TRUE),'Shots and Status'!$D$5,'Shots and Status'!$C$5)))),0),"-")</f>
        <v>-</v>
      </c>
      <c r="K138" s="36" t="str">
        <f>IFERROR(ROUNDUP(IF(AND($Q$1=FALSE,$S$3=FALSE),"-",IF(AND($Q$1=TRUE,$S$3=TRUE),"-",IF(AND($Q$1=TRUE,$S$1=TRUE,$S$4=FALSE),VLOOKUP($E138,'Status Thresholds'!$E:$AS,15,FALSE),IF(AND($Q$1=TRUE,$S$4=FALSE),VLOOKUP($E138,'Status Thresholds'!$E:$AS,5,FALSE), IF(AND($Q$1=TRUE,$S$1=TRUE,$S$4=TRUE),VLOOKUP($E138,'Status Thresholds'!$E:$AS,20,FALSE),IF(AND($Q$1=TRUE,$S$4=TRUE),VLOOKUP($E138,'Status Thresholds'!$E:$AS,10,FALSE),IF(AND($S$3=TRUE,$S$1=TRUE,$S$4=FALSE),VLOOKUP($E138,'Status Thresholds'!$E:$AS,35,FALSE),IF(AND($S$3=TRUE,$S$4=FALSE),VLOOKUP($E138,'Status Thresholds'!$E:$AS,25,FALSE),IF(AND($S$3=TRUE,$S$1=TRUE,$S$4=TRUE),VLOOKUP($E138,'Status Thresholds'!$E:$AS,40,FALSE),IF(AND($S$3=TRUE,$S$4=TRUE),VLOOKUP($E138,'Status Thresholds'!$E:$AS,30,FALSE),""))))))))/IF(OR($Q$3=TRUE,AND($Q$2=TRUE,$Q$7=TRUE),AND($Q$3=TRUE,$Q$7=TRUE))=TRUE,'Shots and Status'!$F$5,IF((OR($Q$2,$Q$7)=TRUE),'Shots and Status'!$D$5,'Shots and Status'!$C$5)))),0),"-")</f>
        <v>-</v>
      </c>
      <c r="L138" s="36" t="str">
        <f>IFERROR(IF(AND($Q$1=FALSE,$S$3=FALSE),"-",VLOOKUP($E138,'Status Thresholds'!$E:$AU,41,FALSE)),"-")</f>
        <v>-</v>
      </c>
      <c r="M138" s="36" t="str">
        <f>IFERROR(IF(AND($Q$1=FALSE,$S$3=FALSE),"-",VLOOKUP($E138,'Status Thresholds'!$E:$AU,42,FALSE)),"-")</f>
        <v>-</v>
      </c>
      <c r="N138" s="36" t="str">
        <f>IFERROR(IF(AND($Q$1=FALSE,$S$3=FALSE),"-",VLOOKUP($E138,'Status Thresholds'!$E:$AU,43,FALSE)),"-")</f>
        <v>-</v>
      </c>
    </row>
    <row r="139" spans="1:14" s="36" customFormat="1" x14ac:dyDescent="0.25">
      <c r="A139" s="46"/>
      <c r="B139" s="64" t="str">
        <f>VLOOKUP(C139,'Status Thresholds'!B:C,2,FALSE)</f>
        <v>Deviant</v>
      </c>
      <c r="C139" s="46" t="str">
        <f>IF(ISBLANK('KO Calc'!C135)=TRUE,"",'KO Calc'!C135)</f>
        <v>Boltreaver Astalos</v>
      </c>
      <c r="D139" s="67" t="s">
        <v>14</v>
      </c>
      <c r="E139" s="62" t="str">
        <f t="shared" si="3"/>
        <v>Boltreaver AstalosKO</v>
      </c>
      <c r="F139" s="36" t="s">
        <v>21</v>
      </c>
      <c r="G139" s="36" t="str">
        <f t="shared" si="4"/>
        <v>Boltreaver AstalosTriblast</v>
      </c>
      <c r="H139" s="36" t="str">
        <f>IF(AND($Q$1=FALSE,$S$3=FALSE),"-",IF(AND($Q$1=TRUE,$S$3=TRUE),"-",IF(AND($Q$1=FALSE,$S$3=FALSE),"-",IF(AND($Q$1=TRUE,$S$1=TRUE,$S$4=FALSE)=TRUE,IF(OR($Q$4=TRUE,$Q$5=TRUE,$S$2=TRUE),VLOOKUP($G139,'KO Calc'!$H:$AW,12,FALSE),VLOOKUP($G139,'KO Calc'!$H145:$AW145,12,FALSE)),IF(AND($Q$1=TRUE,$S$4=FALSE),IF(OR($Q$4=TRUE,$Q$5=TRUE,$S$2=TRUE),VLOOKUP($G139,'KO Calc'!$H:$AW,2,FALSE),VLOOKUP($G139,'KO Calc'!$H145:$AW145,2,FALSE)),
IF(AND($Q$1=TRUE,$S$1=TRUE,$S$4=TRUE)=TRUE,IF(OR($Q$4=TRUE,$Q$5=TRUE,$S$2=TRUE),VLOOKUP($G139,'KO Calc'!$H:$AW,17,FALSE),VLOOKUP($G139,'KO Calc'!$H145:$AW145,17,FALSE)),IF(AND($Q$1=TRUE,$S$4=TRUE),IF(OR($Q$4=TRUE,$Q$5=TRUE,$S$2=TRUE),VLOOKUP($G139,'KO Calc'!$H:$AW,7,FALSE),VLOOKUP($G139,'KO Calc'!$H145:$AW145,7,FALSE)),
IF(AND($S$3=TRUE,$S$1=TRUE,$S$4=FALSE)=TRUE,IF(OR($Q$4=TRUE,$Q$5=TRUE,$S$2=TRUE),VLOOKUP($G139,'KO Calc'!$H:$AW,32,FALSE),VLOOKUP($G139,'KO Calc'!$H145:$AW145,32,FALSE)),IF(AND($S$3=TRUE,$S$4=FALSE),IF(OR($Q$4=TRUE,$Q$5=TRUE,$S$2=TRUE),VLOOKUP($G139,'KO Calc'!$H:$AW,22,FALSE),VLOOKUP($G139,'KO Calc'!$H145:$AW145,22,FALSE)),
IF(AND($S$3=TRUE,$S$1=TRUE,$S$4=TRUE)=TRUE,IF(OR($Q$4=TRUE,$Q$5=TRUE,$S$2=TRUE),VLOOKUP($G139,'KO Calc'!$H:$AW,37,FALSE),VLOOKUP($G139,'KO Calc'!$H145:$AW145,37,FALSE)),IF(AND($S$3=TRUE,$S$4=TRUE),IF(OR($Q$4=TRUE,$Q$5=TRUE,$S$2=TRUE),VLOOKUP($G139,'KO Calc'!$H:$AW,27,FALSE),VLOOKUP($G139,'KO Calc'!$H145:$AW145,27,FALSE)))))))))))))</f>
        <v>-</v>
      </c>
      <c r="I139" s="36" t="str">
        <f>IF(AND($Q$1=FALSE,$S$3=FALSE),"-",IF(AND($Q$1=TRUE,$S$3=TRUE),"-",IF(AND($Q$1=FALSE,$S$3=FALSE),"-",IF(AND($Q$1=TRUE,$S$1=TRUE,$S$4=FALSE)=TRUE,IF(OR($Q$4=TRUE,$Q$5=TRUE,$S$2=TRUE),VLOOKUP($G139,'KO Calc'!$H:$AW,13,FALSE),VLOOKUP($G139,'KO Calc'!$H145:$AW145,13,FALSE)),IF(AND($Q$1=TRUE,$S$4=FALSE),IF(OR($Q$4=TRUE,$Q$5=TRUE,$S$2=TRUE),VLOOKUP($G139,'KO Calc'!$H:$AW,3,FALSE),VLOOKUP($G139,'KO Calc'!$H145:$AW145,3,FALSE)),
IF(AND($Q$1=TRUE,$S$1=TRUE,$S$4=TRUE)=TRUE,IF(OR($Q$4=TRUE,$Q$5=TRUE,$S$2=TRUE),VLOOKUP($G139,'KO Calc'!$H:$AW,18,FALSE),VLOOKUP($G139,'KO Calc'!$H145:$AW145,18,FALSE)),IF(AND($Q$1=TRUE,$S$4=TRUE),IF(OR($Q$4=TRUE,$Q$5=TRUE,$S$2=TRUE),VLOOKUP($G139,'KO Calc'!$H:$AW,8,FALSE),VLOOKUP($G139,'KO Calc'!$H145:$AW145,8,FALSE)),
IF(AND($S$3=TRUE,$S$1=TRUE,$S$4=FALSE)=TRUE,IF(OR($Q$4=TRUE,$Q$5=TRUE,$S$2=TRUE),VLOOKUP($G139,'KO Calc'!$H:$AW,33,FALSE),VLOOKUP($G139,'KO Calc'!$H145:$AW145,33,FALSE)),IF(AND($S$3=TRUE,$S$4=FALSE),IF(OR($Q$4=TRUE,$Q$5=TRUE,$S$2=TRUE),VLOOKUP($G139,'KO Calc'!$H:$AW,23,FALSE),VLOOKUP($G139,'KO Calc'!$H145:$AW145,23,FALSE)),
IF(AND($S$3=TRUE,$S$1=TRUE,$S$4=TRUE)=TRUE,IF(OR($Q$4=TRUE,$Q$5=TRUE,$S$2=TRUE),VLOOKUP($G139,'KO Calc'!$H:$AW,38,FALSE),VLOOKUP($G139,'KO Calc'!$H145:$AW145,38,FALSE)),IF(AND($S$3=TRUE,$S$4=TRUE),IF(OR($Q$4=TRUE,$Q$5=TRUE,$S$2=TRUE),VLOOKUP($G139,'KO Calc'!$H:$AW,28,FALSE),VLOOKUP($G139,'KO Calc'!$H145:$AW145,28,FALSE)))))))))))))</f>
        <v>-</v>
      </c>
      <c r="J139" s="36" t="str">
        <f>IF(AND($Q$1=FALSE,$S$3=FALSE),"-",IF(AND($Q$1=TRUE,$S$3=TRUE),"-",IF(AND($Q$1=FALSE,$S$3=FALSE),"-",IF(AND($Q$1=TRUE,$S$1=TRUE,$S$4=FALSE)=TRUE,IF(OR($Q$4=TRUE,$Q$5=TRUE,$S$2=TRUE),VLOOKUP($G139,'KO Calc'!$H:$AW,FALSE),VLOOKUP($G139,'KO Calc'!$H145:$AW145,14,FALSE)),IF(AND($Q$1=TRUE,$S$4=FALSE),IF(OR($Q$4=TRUE,$Q$5=TRUE,$S$2=TRUE),VLOOKUP($G139,'KO Calc'!$H:$AW,4,FALSE),VLOOKUP($G139,'KO Calc'!$H145:$AW145,4,FALSE)),
IF(AND($Q$1=TRUE,$S$1=TRUE,$S$4=TRUE)=TRUE,IF(OR($Q$4=TRUE,$Q$5=TRUE,$S$2=TRUE),VLOOKUP($G139,'KO Calc'!$H:$AW,19,FALSE),VLOOKUP($G139,'KO Calc'!$H145:$AW145,19,FALSE)),IF(AND($Q$1=TRUE,$S$4=TRUE),IF(OR($Q$4=TRUE,$Q$5=TRUE,$S$2=TRUE),VLOOKUP($G139,'KO Calc'!$H:$AW,9,FALSE),VLOOKUP($G139,'KO Calc'!$H145:$AW145,9,FALSE)),
IF(AND($S$3=TRUE,$S$1=TRUE,$S$4=FALSE)=TRUE,IF(OR($Q$4=TRUE,$Q$5=TRUE,$S$2=TRUE),VLOOKUP($G139,'KO Calc'!$H:$AW,34,FALSE),VLOOKUP($G139,'KO Calc'!$H145:$AW145,34,FALSE)),IF(AND($S$3=TRUE,$S$4=FALSE),IF(OR($Q$4=TRUE,$Q$5=TRUE,$S$2=TRUE),VLOOKUP($G139,'KO Calc'!$H:$AW,24,FALSE),VLOOKUP($G139,'KO Calc'!$H145:$AW145,24,FALSE)),
IF(AND($S$3=TRUE,$S$1=TRUE,$S$4=TRUE)=TRUE,IF(OR($Q$4=TRUE,$Q$5=TRUE,$S$2=TRUE),VLOOKUP($G139,'KO Calc'!$H:$AW,39,FALSE),VLOOKUP($G139,'KO Calc'!$H145:$AW145,39,FALSE)),IF(AND($S$3=TRUE,$S$4=TRUE),IF(OR($Q$4=TRUE,$Q$5=TRUE,$S$2=TRUE),VLOOKUP($G139,'KO Calc'!$H:$AW,29,FALSE),VLOOKUP($G139,'KO Calc'!$H145:$AW145,29,FALSE)))))))))))))</f>
        <v>-</v>
      </c>
      <c r="K139" s="36" t="str">
        <f>IF(AND($Q$1=FALSE,$S$3=FALSE),"-",IF(AND($Q$1=TRUE,$S$3=TRUE),"-",IF(AND($Q$1=FALSE,$S$3=FALSE),"-",IF(AND($Q$1=TRUE,$S$1=TRUE,$S$4=FALSE)=TRUE,IF(OR($Q$4=TRUE,$Q$5=TRUE,$S$2=TRUE),VLOOKUP($G139,'KO Calc'!$H:$AW,15,FALSE),VLOOKUP($G139,'KO Calc'!$H145:$AW145,15,FALSE)),IF(AND($Q$1=TRUE,$S$4=FALSE),IF(OR($Q$4=TRUE,$Q$5=TRUE,$S$2=TRUE),VLOOKUP($G139,'KO Calc'!$H:$AW,5,FALSE),VLOOKUP($G139,'KO Calc'!$H145:$AW145,5,FALSE)),
IF(AND($Q$1=TRUE,$S$1=TRUE,$S$4=TRUE)=TRUE,IF(OR($Q$4=TRUE,$Q$5=TRUE,$S$2=TRUE),VLOOKUP($G139,'KO Calc'!$H:$AW,20,FALSE),VLOOKUP($G139,'KO Calc'!$H145:$AW145,20,FALSE)),IF(AND($Q$1=TRUE,$S$4=TRUE),IF(OR($Q$4=TRUE,$Q$5=TRUE,$S$2=TRUE),VLOOKUP($G139,'KO Calc'!$H:$AW,10,FALSE),VLOOKUP($G139,'KO Calc'!$H145:$AW145,10,FALSE)),
IF(AND($S$3=TRUE,$S$1=TRUE,$S$4=FALSE)=TRUE,IF(OR($Q$4=TRUE,$Q$5=TRUE,$S$2=TRUE),VLOOKUP($G139,'KO Calc'!$H:$AW,35,FALSE),VLOOKUP($G139,'KO Calc'!$H145:$AW145,35,FALSE)),IF(AND($S$3=TRUE,$S$4=FALSE),IF(OR($Q$4=TRUE,$Q$5=TRUE,$S$2=TRUE),VLOOKUP($G139,'KO Calc'!$H:$AW,25,FALSE),VLOOKUP($G139,'KO Calc'!$H145:$AW145,25,FALSE)),
IF(AND($S$3=TRUE,$S$1=TRUE,$S$4=TRUE)=TRUE,IF(OR($Q$4=TRUE,$Q$5=TRUE,$S$2=TRUE),VLOOKUP($G139,'KO Calc'!$H:$AW,40,FALSE),VLOOKUP($G139,'KO Calc'!$H145:$AW145,40,FALSE)),IF(AND($S$3=TRUE,$S$4=TRUE),IF(OR($Q$4=TRUE,$Q$5=TRUE,$S$2=TRUE),VLOOKUP($G139,'KO Calc'!$H:$AW,30,FALSE),VLOOKUP($G139,'KO Calc'!$H145:$AW145,30,FALSE)))))))))))))</f>
        <v>-</v>
      </c>
      <c r="L139" s="36" t="str">
        <f>IFERROR(IF(AND($Q$1=FALSE,$S$3=FALSE),"-",VLOOKUP($E139,'Status Thresholds'!$E:$AU,41,FALSE)),"-")</f>
        <v>-</v>
      </c>
      <c r="M139" s="36" t="str">
        <f>IFERROR(IF(AND($Q$1=FALSE,$S$3=FALSE),"-",VLOOKUP($E139,'Status Thresholds'!$E:$AU,42,FALSE)),"-")</f>
        <v>-</v>
      </c>
      <c r="N139" s="36" t="str">
        <f>IFERROR(IF(AND($Q$1=FALSE,$S$3=FALSE),"-",VLOOKUP($E139,'Status Thresholds'!$E:$AU,43,FALSE)),"-")</f>
        <v>-</v>
      </c>
    </row>
    <row r="140" spans="1:14" x14ac:dyDescent="0.25">
      <c r="B140" s="64" t="str">
        <f>VLOOKUP(C140,'Status Thresholds'!B:C,2,FALSE)</f>
        <v>Deviant</v>
      </c>
      <c r="C140" s="46" t="str">
        <f>IF(ISBLANK('KO Calc'!C136)=TRUE,"",'KO Calc'!C136)</f>
        <v>Boltreaver Astalos</v>
      </c>
      <c r="D140" s="78" t="s">
        <v>207</v>
      </c>
      <c r="E140" s="62" t="str">
        <f t="shared" si="3"/>
        <v>Boltreaver AstalosShock Trap</v>
      </c>
      <c r="F140" t="s">
        <v>13</v>
      </c>
      <c r="G140" s="36" t="str">
        <f t="shared" si="4"/>
        <v>Boltreaver AstalosCrag 3</v>
      </c>
      <c r="H140" s="36" t="str">
        <f>IF(AND($Q$1=FALSE,$S$3=FALSE),"-",IF(AND($Q$1=TRUE,$S$3=TRUE),"-",IF(AND($Q$1=FALSE,$S$3=FALSE),"-",IF(AND($Q$1=TRUE,$S$1=TRUE,$S$4=FALSE)=TRUE,IF(OR($Q$4=TRUE,$Q$5=TRUE,$S$2=TRUE),VLOOKUP($G140,'KO Calc'!$H:$AW,12,FALSE),VLOOKUP($G140,'KO Calc'!$H146:$AW146,12,FALSE)),IF(AND($Q$1=TRUE,$S$4=FALSE),IF(OR($Q$4=TRUE,$Q$5=TRUE,$S$2=TRUE),VLOOKUP($G140,'KO Calc'!$H:$AW,2,FALSE),VLOOKUP($G140,'KO Calc'!$H146:$AW146,2,FALSE)),
IF(AND($Q$1=TRUE,$S$1=TRUE,$S$4=TRUE)=TRUE,IF(OR($Q$4=TRUE,$Q$5=TRUE,$S$2=TRUE),VLOOKUP($G140,'KO Calc'!$H:$AW,17,FALSE),VLOOKUP($G140,'KO Calc'!$H146:$AW146,17,FALSE)),IF(AND($Q$1=TRUE,$S$4=TRUE),IF(OR($Q$4=TRUE,$Q$5=TRUE,$S$2=TRUE),VLOOKUP($G140,'KO Calc'!$H:$AW,7,FALSE),VLOOKUP($G140,'KO Calc'!$H146:$AW146,7,FALSE)),
IF(AND($S$3=TRUE,$S$1=TRUE,$S$4=FALSE)=TRUE,IF(OR($Q$4=TRUE,$Q$5=TRUE,$S$2=TRUE),VLOOKUP($G140,'KO Calc'!$H:$AW,32,FALSE),VLOOKUP($G140,'KO Calc'!$H146:$AW146,32,FALSE)),IF(AND($S$3=TRUE,$S$4=FALSE),IF(OR($Q$4=TRUE,$Q$5=TRUE,$S$2=TRUE),VLOOKUP($G140,'KO Calc'!$H:$AW,22,FALSE),VLOOKUP($G140,'KO Calc'!$H146:$AW146,22,FALSE)),
IF(AND($S$3=TRUE,$S$1=TRUE,$S$4=TRUE)=TRUE,IF(OR($Q$4=TRUE,$Q$5=TRUE,$S$2=TRUE),VLOOKUP($G140,'KO Calc'!$H:$AW,37,FALSE),VLOOKUP($G140,'KO Calc'!$H146:$AW146,37,FALSE)),IF(AND($S$3=TRUE,$S$4=TRUE),IF(OR($Q$4=TRUE,$Q$5=TRUE,$S$2=TRUE),VLOOKUP($G140,'KO Calc'!$H:$AW,27,FALSE),VLOOKUP($G140,'KO Calc'!$H146:$AW146,27,FALSE)))))))))))))</f>
        <v>-</v>
      </c>
      <c r="I140" s="36" t="str">
        <f>IF(AND($Q$1=FALSE,$S$3=FALSE),"-",IF(AND($Q$1=TRUE,$S$3=TRUE),"-",IF(AND($Q$1=FALSE,$S$3=FALSE),"-",IF(AND($Q$1=TRUE,$S$1=TRUE,$S$4=FALSE)=TRUE,IF(OR($Q$4=TRUE,$Q$5=TRUE,$S$2=TRUE),VLOOKUP($G140,'KO Calc'!$H:$AW,13,FALSE),VLOOKUP($G140,'KO Calc'!$H146:$AW146,13,FALSE)),IF(AND($Q$1=TRUE,$S$4=FALSE),IF(OR($Q$4=TRUE,$Q$5=TRUE,$S$2=TRUE),VLOOKUP($G140,'KO Calc'!$H:$AW,3,FALSE),VLOOKUP($G140,'KO Calc'!$H146:$AW146,3,FALSE)),
IF(AND($Q$1=TRUE,$S$1=TRUE,$S$4=TRUE)=TRUE,IF(OR($Q$4=TRUE,$Q$5=TRUE,$S$2=TRUE),VLOOKUP($G140,'KO Calc'!$H:$AW,18,FALSE),VLOOKUP($G140,'KO Calc'!$H146:$AW146,18,FALSE)),IF(AND($Q$1=TRUE,$S$4=TRUE),IF(OR($Q$4=TRUE,$Q$5=TRUE,$S$2=TRUE),VLOOKUP($G140,'KO Calc'!$H:$AW,8,FALSE),VLOOKUP($G140,'KO Calc'!$H146:$AW146,8,FALSE)),
IF(AND($S$3=TRUE,$S$1=TRUE,$S$4=FALSE)=TRUE,IF(OR($Q$4=TRUE,$Q$5=TRUE,$S$2=TRUE),VLOOKUP($G140,'KO Calc'!$H:$AW,33,FALSE),VLOOKUP($G140,'KO Calc'!$H146:$AW146,33,FALSE)),IF(AND($S$3=TRUE,$S$4=FALSE),IF(OR($Q$4=TRUE,$Q$5=TRUE,$S$2=TRUE),VLOOKUP($G140,'KO Calc'!$H:$AW,23,FALSE),VLOOKUP($G140,'KO Calc'!$H146:$AW146,23,FALSE)),
IF(AND($S$3=TRUE,$S$1=TRUE,$S$4=TRUE)=TRUE,IF(OR($Q$4=TRUE,$Q$5=TRUE,$S$2=TRUE),VLOOKUP($G140,'KO Calc'!$H:$AW,38,FALSE),VLOOKUP($G140,'KO Calc'!$H146:$AW146,38,FALSE)),IF(AND($S$3=TRUE,$S$4=TRUE),IF(OR($Q$4=TRUE,$Q$5=TRUE,$S$2=TRUE),VLOOKUP($G140,'KO Calc'!$H:$AW,28,FALSE),VLOOKUP($G140,'KO Calc'!$H146:$AW146,28,FALSE)))))))))))))</f>
        <v>-</v>
      </c>
      <c r="J140" s="36" t="str">
        <f>IF(AND($Q$1=FALSE,$S$3=FALSE),"-",IF(AND($Q$1=TRUE,$S$3=TRUE),"-",IF(AND($Q$1=FALSE,$S$3=FALSE),"-",IF(AND($Q$1=TRUE,$S$1=TRUE,$S$4=FALSE)=TRUE,IF(OR($Q$4=TRUE,$Q$5=TRUE,$S$2=TRUE),VLOOKUP($G140,'KO Calc'!$H:$AW,FALSE),VLOOKUP($G140,'KO Calc'!$H146:$AW146,14,FALSE)),IF(AND($Q$1=TRUE,$S$4=FALSE),IF(OR($Q$4=TRUE,$Q$5=TRUE,$S$2=TRUE),VLOOKUP($G140,'KO Calc'!$H:$AW,4,FALSE),VLOOKUP($G140,'KO Calc'!$H146:$AW146,4,FALSE)),
IF(AND($Q$1=TRUE,$S$1=TRUE,$S$4=TRUE)=TRUE,IF(OR($Q$4=TRUE,$Q$5=TRUE,$S$2=TRUE),VLOOKUP($G140,'KO Calc'!$H:$AW,19,FALSE),VLOOKUP($G140,'KO Calc'!$H146:$AW146,19,FALSE)),IF(AND($Q$1=TRUE,$S$4=TRUE),IF(OR($Q$4=TRUE,$Q$5=TRUE,$S$2=TRUE),VLOOKUP($G140,'KO Calc'!$H:$AW,9,FALSE),VLOOKUP($G140,'KO Calc'!$H146:$AW146,9,FALSE)),
IF(AND($S$3=TRUE,$S$1=TRUE,$S$4=FALSE)=TRUE,IF(OR($Q$4=TRUE,$Q$5=TRUE,$S$2=TRUE),VLOOKUP($G140,'KO Calc'!$H:$AW,34,FALSE),VLOOKUP($G140,'KO Calc'!$H146:$AW146,34,FALSE)),IF(AND($S$3=TRUE,$S$4=FALSE),IF(OR($Q$4=TRUE,$Q$5=TRUE,$S$2=TRUE),VLOOKUP($G140,'KO Calc'!$H:$AW,24,FALSE),VLOOKUP($G140,'KO Calc'!$H146:$AW146,24,FALSE)),
IF(AND($S$3=TRUE,$S$1=TRUE,$S$4=TRUE)=TRUE,IF(OR($Q$4=TRUE,$Q$5=TRUE,$S$2=TRUE),VLOOKUP($G140,'KO Calc'!$H:$AW,39,FALSE),VLOOKUP($G140,'KO Calc'!$H146:$AW146,39,FALSE)),IF(AND($S$3=TRUE,$S$4=TRUE),IF(OR($Q$4=TRUE,$Q$5=TRUE,$S$2=TRUE),VLOOKUP($G140,'KO Calc'!$H:$AW,29,FALSE),VLOOKUP($G140,'KO Calc'!$H146:$AW146,29,FALSE)))))))))))))</f>
        <v>-</v>
      </c>
      <c r="K140" s="36" t="str">
        <f>IF(AND($Q$1=FALSE,$S$3=FALSE),"-",IF(AND($Q$1=TRUE,$S$3=TRUE),"-",IF(AND($Q$1=FALSE,$S$3=FALSE),"-",IF(AND($Q$1=TRUE,$S$1=TRUE,$S$4=FALSE)=TRUE,IF(OR($Q$4=TRUE,$Q$5=TRUE,$S$2=TRUE),VLOOKUP($G140,'KO Calc'!$H:$AW,15,FALSE),VLOOKUP($G140,'KO Calc'!$H146:$AW146,15,FALSE)),IF(AND($Q$1=TRUE,$S$4=FALSE),IF(OR($Q$4=TRUE,$Q$5=TRUE,$S$2=TRUE),VLOOKUP($G140,'KO Calc'!$H:$AW,5,FALSE),VLOOKUP($G140,'KO Calc'!$H146:$AW146,5,FALSE)),
IF(AND($Q$1=TRUE,$S$1=TRUE,$S$4=TRUE)=TRUE,IF(OR($Q$4=TRUE,$Q$5=TRUE,$S$2=TRUE),VLOOKUP($G140,'KO Calc'!$H:$AW,20,FALSE),VLOOKUP($G140,'KO Calc'!$H146:$AW146,20,FALSE)),IF(AND($Q$1=TRUE,$S$4=TRUE),IF(OR($Q$4=TRUE,$Q$5=TRUE,$S$2=TRUE),VLOOKUP($G140,'KO Calc'!$H:$AW,10,FALSE),VLOOKUP($G140,'KO Calc'!$H146:$AW146,10,FALSE)),
IF(AND($S$3=TRUE,$S$1=TRUE,$S$4=FALSE)=TRUE,IF(OR($Q$4=TRUE,$Q$5=TRUE,$S$2=TRUE),VLOOKUP($G140,'KO Calc'!$H:$AW,35,FALSE),VLOOKUP($G140,'KO Calc'!$H146:$AW146,35,FALSE)),IF(AND($S$3=TRUE,$S$4=FALSE),IF(OR($Q$4=TRUE,$Q$5=TRUE,$S$2=TRUE),VLOOKUP($G140,'KO Calc'!$H:$AW,25,FALSE),VLOOKUP($G140,'KO Calc'!$H146:$AW146,25,FALSE)),
IF(AND($S$3=TRUE,$S$1=TRUE,$S$4=TRUE)=TRUE,IF(OR($Q$4=TRUE,$Q$5=TRUE,$S$2=TRUE),VLOOKUP($G140,'KO Calc'!$H:$AW,40,FALSE),VLOOKUP($G140,'KO Calc'!$H146:$AW146,40,FALSE)),IF(AND($S$3=TRUE,$S$4=TRUE),IF(OR($Q$4=TRUE,$Q$5=TRUE,$S$2=TRUE),VLOOKUP($G140,'KO Calc'!$H:$AW,30,FALSE),VLOOKUP($G140,'KO Calc'!$H146:$AW146,30,FALSE)))))))))))))</f>
        <v>-</v>
      </c>
      <c r="L140" s="36" t="str">
        <f>IFERROR(IF(AND($Q$1=FALSE,$S$3=FALSE),"-",VLOOKUP($E140,'Status Thresholds'!$E:$AU,43,FALSE)),"-")</f>
        <v>-</v>
      </c>
      <c r="M140" s="36" t="str">
        <f>IFERROR(IF(AND($Q$1=FALSE,$S$3=FALSE),"-",VLOOKUP($E140,'Status Thresholds'!$E:$AU,41,FALSE)),"-")</f>
        <v>-</v>
      </c>
      <c r="N140" s="36" t="str">
        <f>IFERROR(IF(AND($Q$1=FALSE,$S$3=FALSE),"-",VLOOKUP($E140,'Status Thresholds'!$E:$AU,42,FALSE)),"-")</f>
        <v>-</v>
      </c>
    </row>
    <row r="141" spans="1:14" x14ac:dyDescent="0.25">
      <c r="B141" s="64" t="str">
        <f>VLOOKUP(C141,'Status Thresholds'!B:C,2,FALSE)</f>
        <v>Deviant</v>
      </c>
      <c r="C141" s="46" t="str">
        <f>IF(ISBLANK('KO Calc'!C137)=TRUE,"",'KO Calc'!C137)</f>
        <v>Boltreaver Astalos</v>
      </c>
      <c r="D141" s="78" t="s">
        <v>213</v>
      </c>
      <c r="E141" s="62" t="str">
        <f t="shared" si="3"/>
        <v>Boltreaver AstalosPitfall Trap</v>
      </c>
      <c r="F141" t="s">
        <v>12</v>
      </c>
      <c r="G141" s="36" t="str">
        <f t="shared" si="4"/>
        <v>Boltreaver AstalosCrag 2</v>
      </c>
      <c r="H141" s="36" t="str">
        <f>IF(AND($Q$1=FALSE,$S$3=FALSE),"-",IF(AND($Q$1=TRUE,$S$3=TRUE),"-",IF(AND($Q$1=FALSE,$S$3=FALSE),"-",IF(AND($Q$1=TRUE,$S$1=TRUE,$S$4=FALSE)=TRUE,IF(OR($Q$4=TRUE,$Q$5=TRUE,$S$2=TRUE),VLOOKUP($G141,'KO Calc'!$H:$AW,12,FALSE),VLOOKUP($G141,'KO Calc'!$H147:$AW147,12,FALSE)),IF(AND($Q$1=TRUE,$S$4=FALSE),IF(OR($Q$4=TRUE,$Q$5=TRUE,$S$2=TRUE),VLOOKUP($G141,'KO Calc'!$H:$AW,2,FALSE),VLOOKUP($G141,'KO Calc'!$H147:$AW147,2,FALSE)),
IF(AND($Q$1=TRUE,$S$1=TRUE,$S$4=TRUE)=TRUE,IF(OR($Q$4=TRUE,$Q$5=TRUE,$S$2=TRUE),VLOOKUP($G141,'KO Calc'!$H:$AW,17,FALSE),VLOOKUP($G141,'KO Calc'!$H147:$AW147,17,FALSE)),IF(AND($Q$1=TRUE,$S$4=TRUE),IF(OR($Q$4=TRUE,$Q$5=TRUE,$S$2=TRUE),VLOOKUP($G141,'KO Calc'!$H:$AW,7,FALSE),VLOOKUP($G141,'KO Calc'!$H147:$AW147,7,FALSE)),
IF(AND($S$3=TRUE,$S$1=TRUE,$S$4=FALSE)=TRUE,IF(OR($Q$4=TRUE,$Q$5=TRUE,$S$2=TRUE),VLOOKUP($G141,'KO Calc'!$H:$AW,32,FALSE),VLOOKUP($G141,'KO Calc'!$H147:$AW147,32,FALSE)),IF(AND($S$3=TRUE,$S$4=FALSE),IF(OR($Q$4=TRUE,$Q$5=TRUE,$S$2=TRUE),VLOOKUP($G141,'KO Calc'!$H:$AW,22,FALSE),VLOOKUP($G141,'KO Calc'!$H147:$AW147,22,FALSE)),
IF(AND($S$3=TRUE,$S$1=TRUE,$S$4=TRUE)=TRUE,IF(OR($Q$4=TRUE,$Q$5=TRUE,$S$2=TRUE),VLOOKUP($G141,'KO Calc'!$H:$AW,37,FALSE),VLOOKUP($G141,'KO Calc'!$H147:$AW147,37,FALSE)),IF(AND($S$3=TRUE,$S$4=TRUE),IF(OR($Q$4=TRUE,$Q$5=TRUE,$S$2=TRUE),VLOOKUP($G141,'KO Calc'!$H:$AW,27,FALSE),VLOOKUP($G141,'KO Calc'!$H147:$AW147,27,FALSE)))))))))))))</f>
        <v>-</v>
      </c>
      <c r="I141" s="36" t="str">
        <f>IF(AND($Q$1=FALSE,$S$3=FALSE),"-",IF(AND($Q$1=TRUE,$S$3=TRUE),"-",IF(AND($Q$1=FALSE,$S$3=FALSE),"-",IF(AND($Q$1=TRUE,$S$1=TRUE,$S$4=FALSE)=TRUE,IF(OR($Q$4=TRUE,$Q$5=TRUE,$S$2=TRUE),VLOOKUP($G141,'KO Calc'!$H:$AW,13,FALSE),VLOOKUP($G141,'KO Calc'!$H147:$AW147,13,FALSE)),IF(AND($Q$1=TRUE,$S$4=FALSE),IF(OR($Q$4=TRUE,$Q$5=TRUE,$S$2=TRUE),VLOOKUP($G141,'KO Calc'!$H:$AW,3,FALSE),VLOOKUP($G141,'KO Calc'!$H147:$AW147,3,FALSE)),
IF(AND($Q$1=TRUE,$S$1=TRUE,$S$4=TRUE)=TRUE,IF(OR($Q$4=TRUE,$Q$5=TRUE,$S$2=TRUE),VLOOKUP($G141,'KO Calc'!$H:$AW,18,FALSE),VLOOKUP($G141,'KO Calc'!$H147:$AW147,18,FALSE)),IF(AND($Q$1=TRUE,$S$4=TRUE),IF(OR($Q$4=TRUE,$Q$5=TRUE,$S$2=TRUE),VLOOKUP($G141,'KO Calc'!$H:$AW,8,FALSE),VLOOKUP($G141,'KO Calc'!$H147:$AW147,8,FALSE)),
IF(AND($S$3=TRUE,$S$1=TRUE,$S$4=FALSE)=TRUE,IF(OR($Q$4=TRUE,$Q$5=TRUE,$S$2=TRUE),VLOOKUP($G141,'KO Calc'!$H:$AW,33,FALSE),VLOOKUP($G141,'KO Calc'!$H147:$AW147,33,FALSE)),IF(AND($S$3=TRUE,$S$4=FALSE),IF(OR($Q$4=TRUE,$Q$5=TRUE,$S$2=TRUE),VLOOKUP($G141,'KO Calc'!$H:$AW,23,FALSE),VLOOKUP($G141,'KO Calc'!$H147:$AW147,23,FALSE)),
IF(AND($S$3=TRUE,$S$1=TRUE,$S$4=TRUE)=TRUE,IF(OR($Q$4=TRUE,$Q$5=TRUE,$S$2=TRUE),VLOOKUP($G141,'KO Calc'!$H:$AW,38,FALSE),VLOOKUP($G141,'KO Calc'!$H147:$AW147,38,FALSE)),IF(AND($S$3=TRUE,$S$4=TRUE),IF(OR($Q$4=TRUE,$Q$5=TRUE,$S$2=TRUE),VLOOKUP($G141,'KO Calc'!$H:$AW,28,FALSE),VLOOKUP($G141,'KO Calc'!$H147:$AW147,28,FALSE)))))))))))))</f>
        <v>-</v>
      </c>
      <c r="J141" s="36" t="str">
        <f>IF(AND($Q$1=FALSE,$S$3=FALSE),"-",IF(AND($Q$1=TRUE,$S$3=TRUE),"-",IF(AND($Q$1=FALSE,$S$3=FALSE),"-",IF(AND($Q$1=TRUE,$S$1=TRUE,$S$4=FALSE)=TRUE,IF(OR($Q$4=TRUE,$Q$5=TRUE,$S$2=TRUE),VLOOKUP($G141,'KO Calc'!$H:$AW,FALSE),VLOOKUP($G141,'KO Calc'!$H147:$AW147,14,FALSE)),IF(AND($Q$1=TRUE,$S$4=FALSE),IF(OR($Q$4=TRUE,$Q$5=TRUE,$S$2=TRUE),VLOOKUP($G141,'KO Calc'!$H:$AW,4,FALSE),VLOOKUP($G141,'KO Calc'!$H147:$AW147,4,FALSE)),
IF(AND($Q$1=TRUE,$S$1=TRUE,$S$4=TRUE)=TRUE,IF(OR($Q$4=TRUE,$Q$5=TRUE,$S$2=TRUE),VLOOKUP($G141,'KO Calc'!$H:$AW,19,FALSE),VLOOKUP($G141,'KO Calc'!$H147:$AW147,19,FALSE)),IF(AND($Q$1=TRUE,$S$4=TRUE),IF(OR($Q$4=TRUE,$Q$5=TRUE,$S$2=TRUE),VLOOKUP($G141,'KO Calc'!$H:$AW,9,FALSE),VLOOKUP($G141,'KO Calc'!$H147:$AW147,9,FALSE)),
IF(AND($S$3=TRUE,$S$1=TRUE,$S$4=FALSE)=TRUE,IF(OR($Q$4=TRUE,$Q$5=TRUE,$S$2=TRUE),VLOOKUP($G141,'KO Calc'!$H:$AW,34,FALSE),VLOOKUP($G141,'KO Calc'!$H147:$AW147,34,FALSE)),IF(AND($S$3=TRUE,$S$4=FALSE),IF(OR($Q$4=TRUE,$Q$5=TRUE,$S$2=TRUE),VLOOKUP($G141,'KO Calc'!$H:$AW,24,FALSE),VLOOKUP($G141,'KO Calc'!$H147:$AW147,24,FALSE)),
IF(AND($S$3=TRUE,$S$1=TRUE,$S$4=TRUE)=TRUE,IF(OR($Q$4=TRUE,$Q$5=TRUE,$S$2=TRUE),VLOOKUP($G141,'KO Calc'!$H:$AW,39,FALSE),VLOOKUP($G141,'KO Calc'!$H147:$AW147,39,FALSE)),IF(AND($S$3=TRUE,$S$4=TRUE),IF(OR($Q$4=TRUE,$Q$5=TRUE,$S$2=TRUE),VLOOKUP($G141,'KO Calc'!$H:$AW,29,FALSE),VLOOKUP($G141,'KO Calc'!$H147:$AW147,29,FALSE)))))))))))))</f>
        <v>-</v>
      </c>
      <c r="K141" s="36" t="str">
        <f>IF(AND($Q$1=FALSE,$S$3=FALSE),"-",IF(AND($Q$1=TRUE,$S$3=TRUE),"-",IF(AND($Q$1=FALSE,$S$3=FALSE),"-",IF(AND($Q$1=TRUE,$S$1=TRUE,$S$4=FALSE)=TRUE,IF(OR($Q$4=TRUE,$Q$5=TRUE,$S$2=TRUE),VLOOKUP($G141,'KO Calc'!$H:$AW,15,FALSE),VLOOKUP($G141,'KO Calc'!$H147:$AW147,15,FALSE)),IF(AND($Q$1=TRUE,$S$4=FALSE),IF(OR($Q$4=TRUE,$Q$5=TRUE,$S$2=TRUE),VLOOKUP($G141,'KO Calc'!$H:$AW,5,FALSE),VLOOKUP($G141,'KO Calc'!$H147:$AW147,5,FALSE)),
IF(AND($Q$1=TRUE,$S$1=TRUE,$S$4=TRUE)=TRUE,IF(OR($Q$4=TRUE,$Q$5=TRUE,$S$2=TRUE),VLOOKUP($G141,'KO Calc'!$H:$AW,20,FALSE),VLOOKUP($G141,'KO Calc'!$H147:$AW147,20,FALSE)),IF(AND($Q$1=TRUE,$S$4=TRUE),IF(OR($Q$4=TRUE,$Q$5=TRUE,$S$2=TRUE),VLOOKUP($G141,'KO Calc'!$H:$AW,10,FALSE),VLOOKUP($G141,'KO Calc'!$H147:$AW147,10,FALSE)),
IF(AND($S$3=TRUE,$S$1=TRUE,$S$4=FALSE)=TRUE,IF(OR($Q$4=TRUE,$Q$5=TRUE,$S$2=TRUE),VLOOKUP($G141,'KO Calc'!$H:$AW,35,FALSE),VLOOKUP($G141,'KO Calc'!$H147:$AW147,35,FALSE)),IF(AND($S$3=TRUE,$S$4=FALSE),IF(OR($Q$4=TRUE,$Q$5=TRUE,$S$2=TRUE),VLOOKUP($G141,'KO Calc'!$H:$AW,25,FALSE),VLOOKUP($G141,'KO Calc'!$H147:$AW147,25,FALSE)),
IF(AND($S$3=TRUE,$S$1=TRUE,$S$4=TRUE)=TRUE,IF(OR($Q$4=TRUE,$Q$5=TRUE,$S$2=TRUE),VLOOKUP($G141,'KO Calc'!$H:$AW,40,FALSE),VLOOKUP($G141,'KO Calc'!$H147:$AW147,40,FALSE)),IF(AND($S$3=TRUE,$S$4=TRUE),IF(OR($Q$4=TRUE,$Q$5=TRUE,$S$2=TRUE),VLOOKUP($G141,'KO Calc'!$H:$AW,30,FALSE),VLOOKUP($G141,'KO Calc'!$H147:$AW147,30,FALSE)))))))))))))</f>
        <v>-</v>
      </c>
      <c r="L141" s="36" t="str">
        <f>IFERROR(IF(AND($Q$1=FALSE,$S$3=FALSE),"-",VLOOKUP($E141,'Status Thresholds'!$E:$AU,43,FALSE)),"-")</f>
        <v>-</v>
      </c>
      <c r="M141" s="36" t="str">
        <f>IFERROR(IF(AND($Q$1=FALSE,$S$3=FALSE),"-",VLOOKUP($E141,'Status Thresholds'!$E:$AU,41,FALSE)),"-")</f>
        <v>-</v>
      </c>
      <c r="N141" s="36" t="str">
        <f>IFERROR(IF(AND($Q$1=FALSE,$S$3=FALSE),"-",VLOOKUP($E141,'Status Thresholds'!$E:$AU,42,FALSE)),"-")</f>
        <v>-</v>
      </c>
    </row>
    <row r="142" spans="1:14" x14ac:dyDescent="0.25">
      <c r="B142" s="64" t="str">
        <f>VLOOKUP(C142,'Status Thresholds'!B:C,2,FALSE)</f>
        <v>Deviant</v>
      </c>
      <c r="C142" s="46" t="str">
        <f>IF(ISBLANK('KO Calc'!C138)=TRUE,"",'KO Calc'!C138)</f>
        <v>Boltreaver Astalos</v>
      </c>
      <c r="D142" s="78"/>
      <c r="E142" s="62" t="str">
        <f t="shared" si="3"/>
        <v>Boltreaver Astalos</v>
      </c>
      <c r="F142" t="s">
        <v>11</v>
      </c>
      <c r="G142" s="36" t="str">
        <f t="shared" si="4"/>
        <v>Boltreaver AstalosCrag 1</v>
      </c>
      <c r="H142" s="36" t="str">
        <f>IF(AND($Q$1=FALSE,$S$3=FALSE),"-",IF(AND($Q$1=TRUE,$S$3=TRUE),"-",IF(AND($Q$1=FALSE,$S$3=FALSE),"-",IF(AND($Q$1=TRUE,$S$1=TRUE,$S$4=FALSE)=TRUE,IF(OR($Q$4=TRUE,$Q$5=TRUE,$S$2=TRUE),VLOOKUP($G142,'KO Calc'!$H:$AW,12,FALSE),VLOOKUP($G142,'KO Calc'!$H148:$AW148,12,FALSE)),IF(AND($Q$1=TRUE,$S$4=FALSE),IF(OR($Q$4=TRUE,$Q$5=TRUE,$S$2=TRUE),VLOOKUP($G142,'KO Calc'!$H:$AW,2,FALSE),VLOOKUP($G142,'KO Calc'!$H148:$AW148,2,FALSE)),
IF(AND($Q$1=TRUE,$S$1=TRUE,$S$4=TRUE)=TRUE,IF(OR($Q$4=TRUE,$Q$5=TRUE,$S$2=TRUE),VLOOKUP($G142,'KO Calc'!$H:$AW,17,FALSE),VLOOKUP($G142,'KO Calc'!$H148:$AW148,17,FALSE)),IF(AND($Q$1=TRUE,$S$4=TRUE),IF(OR($Q$4=TRUE,$Q$5=TRUE,$S$2=TRUE),VLOOKUP($G142,'KO Calc'!$H:$AW,7,FALSE),VLOOKUP($G142,'KO Calc'!$H148:$AW148,7,FALSE)),
IF(AND($S$3=TRUE,$S$1=TRUE,$S$4=FALSE)=TRUE,IF(OR($Q$4=TRUE,$Q$5=TRUE,$S$2=TRUE),VLOOKUP($G142,'KO Calc'!$H:$AW,32,FALSE),VLOOKUP($G142,'KO Calc'!$H148:$AW148,32,FALSE)),IF(AND($S$3=TRUE,$S$4=FALSE),IF(OR($Q$4=TRUE,$Q$5=TRUE,$S$2=TRUE),VLOOKUP($G142,'KO Calc'!$H:$AW,22,FALSE),VLOOKUP($G142,'KO Calc'!$H148:$AW148,22,FALSE)),
IF(AND($S$3=TRUE,$S$1=TRUE,$S$4=TRUE)=TRUE,IF(OR($Q$4=TRUE,$Q$5=TRUE,$S$2=TRUE),VLOOKUP($G142,'KO Calc'!$H:$AW,37,FALSE),VLOOKUP($G142,'KO Calc'!$H148:$AW148,37,FALSE)),IF(AND($S$3=TRUE,$S$4=TRUE),IF(OR($Q$4=TRUE,$Q$5=TRUE,$S$2=TRUE),VLOOKUP($G142,'KO Calc'!$H:$AW,27,FALSE),VLOOKUP($G142,'KO Calc'!$H148:$AW148,27,FALSE)))))))))))))</f>
        <v>-</v>
      </c>
      <c r="I142" s="36" t="str">
        <f>IF(AND($Q$1=FALSE,$S$3=FALSE),"-",IF(AND($Q$1=TRUE,$S$3=TRUE),"-",IF(AND($Q$1=FALSE,$S$3=FALSE),"-",IF(AND($Q$1=TRUE,$S$1=TRUE,$S$4=FALSE)=TRUE,IF(OR($Q$4=TRUE,$Q$5=TRUE,$S$2=TRUE),VLOOKUP($G142,'KO Calc'!$H:$AW,13,FALSE),VLOOKUP($G142,'KO Calc'!$H148:$AW148,13,FALSE)),IF(AND($Q$1=TRUE,$S$4=FALSE),IF(OR($Q$4=TRUE,$Q$5=TRUE,$S$2=TRUE),VLOOKUP($G142,'KO Calc'!$H:$AW,3,FALSE),VLOOKUP($G142,'KO Calc'!$H148:$AW148,3,FALSE)),
IF(AND($Q$1=TRUE,$S$1=TRUE,$S$4=TRUE)=TRUE,IF(OR($Q$4=TRUE,$Q$5=TRUE,$S$2=TRUE),VLOOKUP($G142,'KO Calc'!$H:$AW,18,FALSE),VLOOKUP($G142,'KO Calc'!$H148:$AW148,18,FALSE)),IF(AND($Q$1=TRUE,$S$4=TRUE),IF(OR($Q$4=TRUE,$Q$5=TRUE,$S$2=TRUE),VLOOKUP($G142,'KO Calc'!$H:$AW,8,FALSE),VLOOKUP($G142,'KO Calc'!$H148:$AW148,8,FALSE)),
IF(AND($S$3=TRUE,$S$1=TRUE,$S$4=FALSE)=TRUE,IF(OR($Q$4=TRUE,$Q$5=TRUE,$S$2=TRUE),VLOOKUP($G142,'KO Calc'!$H:$AW,33,FALSE),VLOOKUP($G142,'KO Calc'!$H148:$AW148,33,FALSE)),IF(AND($S$3=TRUE,$S$4=FALSE),IF(OR($Q$4=TRUE,$Q$5=TRUE,$S$2=TRUE),VLOOKUP($G142,'KO Calc'!$H:$AW,23,FALSE),VLOOKUP($G142,'KO Calc'!$H148:$AW148,23,FALSE)),
IF(AND($S$3=TRUE,$S$1=TRUE,$S$4=TRUE)=TRUE,IF(OR($Q$4=TRUE,$Q$5=TRUE,$S$2=TRUE),VLOOKUP($G142,'KO Calc'!$H:$AW,38,FALSE),VLOOKUP($G142,'KO Calc'!$H148:$AW148,38,FALSE)),IF(AND($S$3=TRUE,$S$4=TRUE),IF(OR($Q$4=TRUE,$Q$5=TRUE,$S$2=TRUE),VLOOKUP($G142,'KO Calc'!$H:$AW,28,FALSE),VLOOKUP($G142,'KO Calc'!$H148:$AW148,28,FALSE)))))))))))))</f>
        <v>-</v>
      </c>
      <c r="J142" s="36" t="str">
        <f>IF(AND($Q$1=FALSE,$S$3=FALSE),"-",IF(AND($Q$1=TRUE,$S$3=TRUE),"-",IF(AND($Q$1=FALSE,$S$3=FALSE),"-",IF(AND($Q$1=TRUE,$S$1=TRUE,$S$4=FALSE)=TRUE,IF(OR($Q$4=TRUE,$Q$5=TRUE,$S$2=TRUE),VLOOKUP($G142,'KO Calc'!$H:$AW,FALSE),VLOOKUP($G142,'KO Calc'!$H148:$AW148,14,FALSE)),IF(AND($Q$1=TRUE,$S$4=FALSE),IF(OR($Q$4=TRUE,$Q$5=TRUE,$S$2=TRUE),VLOOKUP($G142,'KO Calc'!$H:$AW,4,FALSE),VLOOKUP($G142,'KO Calc'!$H148:$AW148,4,FALSE)),
IF(AND($Q$1=TRUE,$S$1=TRUE,$S$4=TRUE)=TRUE,IF(OR($Q$4=TRUE,$Q$5=TRUE,$S$2=TRUE),VLOOKUP($G142,'KO Calc'!$H:$AW,19,FALSE),VLOOKUP($G142,'KO Calc'!$H148:$AW148,19,FALSE)),IF(AND($Q$1=TRUE,$S$4=TRUE),IF(OR($Q$4=TRUE,$Q$5=TRUE,$S$2=TRUE),VLOOKUP($G142,'KO Calc'!$H:$AW,9,FALSE),VLOOKUP($G142,'KO Calc'!$H148:$AW148,9,FALSE)),
IF(AND($S$3=TRUE,$S$1=TRUE,$S$4=FALSE)=TRUE,IF(OR($Q$4=TRUE,$Q$5=TRUE,$S$2=TRUE),VLOOKUP($G142,'KO Calc'!$H:$AW,34,FALSE),VLOOKUP($G142,'KO Calc'!$H148:$AW148,34,FALSE)),IF(AND($S$3=TRUE,$S$4=FALSE),IF(OR($Q$4=TRUE,$Q$5=TRUE,$S$2=TRUE),VLOOKUP($G142,'KO Calc'!$H:$AW,24,FALSE),VLOOKUP($G142,'KO Calc'!$H148:$AW148,24,FALSE)),
IF(AND($S$3=TRUE,$S$1=TRUE,$S$4=TRUE)=TRUE,IF(OR($Q$4=TRUE,$Q$5=TRUE,$S$2=TRUE),VLOOKUP($G142,'KO Calc'!$H:$AW,39,FALSE),VLOOKUP($G142,'KO Calc'!$H148:$AW148,39,FALSE)),IF(AND($S$3=TRUE,$S$4=TRUE),IF(OR($Q$4=TRUE,$Q$5=TRUE,$S$2=TRUE),VLOOKUP($G142,'KO Calc'!$H:$AW,29,FALSE),VLOOKUP($G142,'KO Calc'!$H148:$AW148,29,FALSE)))))))))))))</f>
        <v>-</v>
      </c>
      <c r="K142" s="36" t="str">
        <f>IF(AND($Q$1=FALSE,$S$3=FALSE),"-",IF(AND($Q$1=TRUE,$S$3=TRUE),"-",IF(AND($Q$1=FALSE,$S$3=FALSE),"-",IF(AND($Q$1=TRUE,$S$1=TRUE,$S$4=FALSE)=TRUE,IF(OR($Q$4=TRUE,$Q$5=TRUE,$S$2=TRUE),VLOOKUP($G142,'KO Calc'!$H:$AW,15,FALSE),VLOOKUP($G142,'KO Calc'!$H148:$AW148,15,FALSE)),IF(AND($Q$1=TRUE,$S$4=FALSE),IF(OR($Q$4=TRUE,$Q$5=TRUE,$S$2=TRUE),VLOOKUP($G142,'KO Calc'!$H:$AW,5,FALSE),VLOOKUP($G142,'KO Calc'!$H148:$AW148,5,FALSE)),
IF(AND($Q$1=TRUE,$S$1=TRUE,$S$4=TRUE)=TRUE,IF(OR($Q$4=TRUE,$Q$5=TRUE,$S$2=TRUE),VLOOKUP($G142,'KO Calc'!$H:$AW,20,FALSE),VLOOKUP($G142,'KO Calc'!$H148:$AW148,20,FALSE)),IF(AND($Q$1=TRUE,$S$4=TRUE),IF(OR($Q$4=TRUE,$Q$5=TRUE,$S$2=TRUE),VLOOKUP($G142,'KO Calc'!$H:$AW,10,FALSE),VLOOKUP($G142,'KO Calc'!$H148:$AW148,10,FALSE)),
IF(AND($S$3=TRUE,$S$1=TRUE,$S$4=FALSE)=TRUE,IF(OR($Q$4=TRUE,$Q$5=TRUE,$S$2=TRUE),VLOOKUP($G142,'KO Calc'!$H:$AW,35,FALSE),VLOOKUP($G142,'KO Calc'!$H148:$AW148,35,FALSE)),IF(AND($S$3=TRUE,$S$4=FALSE),IF(OR($Q$4=TRUE,$Q$5=TRUE,$S$2=TRUE),VLOOKUP($G142,'KO Calc'!$H:$AW,25,FALSE),VLOOKUP($G142,'KO Calc'!$H148:$AW148,25,FALSE)),
IF(AND($S$3=TRUE,$S$1=TRUE,$S$4=TRUE)=TRUE,IF(OR($Q$4=TRUE,$Q$5=TRUE,$S$2=TRUE),VLOOKUP($G142,'KO Calc'!$H:$AW,40,FALSE),VLOOKUP($G142,'KO Calc'!$H148:$AW148,40,FALSE)),IF(AND($S$3=TRUE,$S$4=TRUE),IF(OR($Q$4=TRUE,$Q$5=TRUE,$S$2=TRUE),VLOOKUP($G142,'KO Calc'!$H:$AW,30,FALSE),VLOOKUP($G142,'KO Calc'!$H148:$AW148,30,FALSE)))))))))))))</f>
        <v>-</v>
      </c>
      <c r="L142" s="36" t="str">
        <f>IFERROR(VLOOKUP($E142,'Status Thresholds'!$E:$AS,41,FALSE),"-")</f>
        <v>-</v>
      </c>
    </row>
    <row r="143" spans="1:14" x14ac:dyDescent="0.25">
      <c r="B143" s="64" t="str">
        <f>VLOOKUP(C143,'Status Thresholds'!B:C,2,FALSE)</f>
        <v>Deviant</v>
      </c>
      <c r="C143" s="46" t="str">
        <f>IF(ISBLANK('KO Calc'!C139)=TRUE,"",'KO Calc'!C139)</f>
        <v>Boltreaver Astalos</v>
      </c>
      <c r="D143" s="78"/>
      <c r="E143" s="62"/>
      <c r="G143" s="36"/>
      <c r="L143" s="36" t="str">
        <f>IFERROR(VLOOKUP($E143,'Status Thresholds'!$E:$AS,41,FALSE),"-")</f>
        <v>-</v>
      </c>
    </row>
    <row r="144" spans="1:14" s="36" customFormat="1" x14ac:dyDescent="0.25">
      <c r="B144" s="64" t="str">
        <f>VLOOKUP(C144,'Status Thresholds'!B:C,2,FALSE)</f>
        <v>MHGen</v>
      </c>
      <c r="C144" s="46" t="str">
        <f>IF(ISBLANK('KO Calc'!C140)=TRUE,"",'KO Calc'!C140)</f>
        <v>Brachydios</v>
      </c>
      <c r="D144" s="65" t="s">
        <v>0</v>
      </c>
      <c r="E144" s="62" t="str">
        <f t="shared" si="3"/>
        <v>BrachydiosPara</v>
      </c>
      <c r="F144" s="36" t="s">
        <v>2</v>
      </c>
      <c r="G144" s="36" t="str">
        <f t="shared" si="4"/>
        <v>BrachydiosPara lvl 2</v>
      </c>
      <c r="H144" s="36" t="str">
        <f>IFERROR(ROUNDUP(IF(AND($Q$1=FALSE,$S$3=FALSE),"-",IF(AND($Q$1=TRUE,$S$3=TRUE),"-",IF(AND($Q$1=TRUE,$S$1=TRUE,$S$4=FALSE),VLOOKUP($E144,'Status Thresholds'!$E:$AS,12,FALSE),IF(AND($Q$1=TRUE,$S$4=FALSE),VLOOKUP($E144,'Status Thresholds'!$E:$AS,2,FALSE), IF(AND($Q$1=TRUE,$S$1=TRUE,$S$4=TRUE),VLOOKUP($E144,'Status Thresholds'!$E:$AS,17,FALSE),IF(AND($Q$1=TRUE,$S$4=TRUE),VLOOKUP($E144,'Status Thresholds'!$E:$AS,7,FALSE),IF(AND($S$3=TRUE,$S$1=TRUE,$S$4=FALSE),VLOOKUP($E144,'Status Thresholds'!$E:$AS,32,FALSE),IF(AND($S$3=TRUE,$S$4=FALSE),VLOOKUP($E144,'Status Thresholds'!$E:$AS,22,FALSE),IF(AND($S$3=TRUE,$S$1=TRUE,$S$4=TRUE),VLOOKUP($E144,'Status Thresholds'!$E:$AS,37,FALSE),IF(AND($S$3=TRUE,$S$4=TRUE),VLOOKUP($E144,'Status Thresholds'!$E:$AS,27,FALSE),""))))))))/IF(OR($Q$3=TRUE,AND($Q$2=TRUE,$Q$7=TRUE),AND($Q$3=TRUE,$Q$7=TRUE))=TRUE,'Shots and Status'!$F$5,IF((OR($Q$2,$Q$7)=TRUE),'Shots and Status'!$D$5,'Shots and Status'!$C$5)))),0),"-")</f>
        <v>-</v>
      </c>
      <c r="I144" s="36" t="str">
        <f>IFERROR(ROUNDUP(IF(AND($Q$1=FALSE,$S$3=FALSE),"-",IF(AND($Q$1=TRUE,$S$3=TRUE),"-",IF(AND($Q$1=TRUE,$S$1=TRUE,$S$4=FALSE),VLOOKUP($E144,'Status Thresholds'!$E:$AS,13,FALSE),IF(AND($Q$1=TRUE,$S$4=FALSE),VLOOKUP($E144,'Status Thresholds'!$E:$AS,3,FALSE), IF(AND($Q$1=TRUE,$S$1=TRUE,$S$4=TRUE),VLOOKUP($E144,'Status Thresholds'!$E:$AS,18,FALSE),IF(AND($Q$1=TRUE,$S$4=TRUE),VLOOKUP($E144,'Status Thresholds'!$E:$AS,8,FALSE),IF(AND($S$3=TRUE,$S$1=TRUE,$S$4=FALSE),VLOOKUP($E144,'Status Thresholds'!$E:$AS,33,FALSE),IF(AND($S$3=TRUE,$S$4=FALSE),VLOOKUP($E144,'Status Thresholds'!$E:$AS,23,FALSE),IF(AND($S$3=TRUE,$S$1=TRUE,$S$4=TRUE),VLOOKUP($E144,'Status Thresholds'!$E:$AS,38,FALSE),IF(AND($S$3=TRUE,$S$4=TRUE),VLOOKUP($E144,'Status Thresholds'!$E:$AS,28,FALSE),""))))))))/IF(OR($Q$3=TRUE,AND($Q$2=TRUE,$Q$7=TRUE),AND($Q$3=TRUE,$Q$7=TRUE))=TRUE,'Shots and Status'!$F$5,IF((OR($Q$2,$Q$7)=TRUE),'Shots and Status'!$D$5,'Shots and Status'!$C$5)))),0),"-")</f>
        <v>-</v>
      </c>
      <c r="J144" s="36" t="str">
        <f>IFERROR(ROUNDUP(IF(AND($Q$1=FALSE,$S$3=FALSE),"-",IF(AND($Q$1=TRUE,$S$3=TRUE),"-",IF(AND($Q$1=TRUE,$S$1=TRUE,$S$4=FALSE),VLOOKUP($E144,'Status Thresholds'!$E:$AS,14,FALSE),IF(AND($Q$1=TRUE,$S$4=FALSE),VLOOKUP($E144,'Status Thresholds'!$E:$AS,4,FALSE), IF(AND($Q$1=TRUE,$S$1=TRUE,$S$4=TRUE),VLOOKUP($E144,'Status Thresholds'!$E:$AS,19,FALSE),IF(AND($Q$1=TRUE,$S$4=TRUE),VLOOKUP($E144,'Status Thresholds'!$E:$AS,9,FALSE),IF(AND($S$3=TRUE,$S$1=TRUE,$S$4=FALSE),VLOOKUP($E144,'Status Thresholds'!$E:$AS,34,FALSE),IF(AND($S$3=TRUE,$S$4=FALSE),VLOOKUP($E144,'Status Thresholds'!$E:$AS,24,FALSE),IF(AND($S$3=TRUE,$S$1=TRUE,$S$4=TRUE),VLOOKUP($E144,'Status Thresholds'!$E:$AS,39,FALSE),IF(AND($S$3=TRUE,$S$4=TRUE),VLOOKUP($E144,'Status Thresholds'!$E:$AS,29,FALSE),""))))))))/IF(OR($Q$3=TRUE,AND($Q$2=TRUE,$Q$7=TRUE),AND($Q$3=TRUE,$Q$7=TRUE))=TRUE,'Shots and Status'!$F$5,IF((OR($Q$2,$Q$7)=TRUE),'Shots and Status'!$D$5,'Shots and Status'!$C$5)))),0),"-")</f>
        <v>-</v>
      </c>
      <c r="K144" s="36" t="str">
        <f>IFERROR(ROUNDUP(IF(AND($Q$1=FALSE,$S$3=FALSE),"-",IF(AND($Q$1=TRUE,$S$3=TRUE),"-",IF(AND($Q$1=TRUE,$S$1=TRUE,$S$4=FALSE),VLOOKUP($E144,'Status Thresholds'!$E:$AS,15,FALSE),IF(AND($Q$1=TRUE,$S$4=FALSE),VLOOKUP($E144,'Status Thresholds'!$E:$AS,5,FALSE), IF(AND($Q$1=TRUE,$S$1=TRUE,$S$4=TRUE),VLOOKUP($E144,'Status Thresholds'!$E:$AS,20,FALSE),IF(AND($Q$1=TRUE,$S$4=TRUE),VLOOKUP($E144,'Status Thresholds'!$E:$AS,10,FALSE),IF(AND($S$3=TRUE,$S$1=TRUE,$S$4=FALSE),VLOOKUP($E144,'Status Thresholds'!$E:$AS,35,FALSE),IF(AND($S$3=TRUE,$S$4=FALSE),VLOOKUP($E144,'Status Thresholds'!$E:$AS,25,FALSE),IF(AND($S$3=TRUE,$S$1=TRUE,$S$4=TRUE),VLOOKUP($E144,'Status Thresholds'!$E:$AS,40,FALSE),IF(AND($S$3=TRUE,$S$4=TRUE),VLOOKUP($E144,'Status Thresholds'!$E:$AS,30,FALSE),""))))))))/IF(OR($Q$3=TRUE,AND($Q$2=TRUE,$Q$7=TRUE),AND($Q$3=TRUE,$Q$7=TRUE))=TRUE,'Shots and Status'!$F$5,IF((OR($Q$2,$Q$7)=TRUE),'Shots and Status'!$D$5,'Shots and Status'!$C$5)))),0),"-")</f>
        <v>-</v>
      </c>
      <c r="L144" s="36" t="str">
        <f>IFERROR(IF(AND($Q$1=FALSE,$S$3=FALSE),"-",VLOOKUP($E144,'Status Thresholds'!$E:$AU,41,FALSE)),"-")</f>
        <v>-</v>
      </c>
      <c r="M144" s="36" t="str">
        <f>IFERROR(IF(AND($Q$1=FALSE,$S$3=FALSE),"-",VLOOKUP($E144,'Status Thresholds'!$E:$AU,42,FALSE)),"-")</f>
        <v>-</v>
      </c>
      <c r="N144" s="36" t="str">
        <f>IFERROR(IF(AND($Q$1=FALSE,$S$3=FALSE),"-",VLOOKUP($E144,'Status Thresholds'!$E:$AU,43,FALSE)),"-")</f>
        <v>-</v>
      </c>
    </row>
    <row r="145" spans="1:14" s="59" customFormat="1" x14ac:dyDescent="0.25">
      <c r="A145" s="46"/>
      <c r="B145" s="64" t="str">
        <f>VLOOKUP(C145,'Status Thresholds'!B:C,2,FALSE)</f>
        <v>MHGen</v>
      </c>
      <c r="C145" s="46" t="str">
        <f>IF(ISBLANK('KO Calc'!C141)=TRUE,"",'KO Calc'!C141)</f>
        <v>Brachydios</v>
      </c>
      <c r="D145" s="60" t="s">
        <v>32</v>
      </c>
      <c r="E145" s="62" t="str">
        <f t="shared" ref="E145:E216" si="5">C145&amp;D145</f>
        <v>BrachydiosSleep</v>
      </c>
      <c r="F145" s="59" t="s">
        <v>5</v>
      </c>
      <c r="G145" s="36" t="str">
        <f t="shared" si="4"/>
        <v>BrachydiosSleep lvl 2</v>
      </c>
      <c r="H145" s="36" t="str">
        <f>IFERROR(ROUNDUP(IF(AND($Q$1=FALSE,$S$3=FALSE),"-",IF(AND($Q$1=TRUE,$S$3=TRUE),"-",IF(AND($Q$1=TRUE,$S$1=TRUE,$S$4=FALSE),VLOOKUP($E145,'Status Thresholds'!$E:$AS,12,FALSE),IF(AND($Q$1=TRUE,$S$4=FALSE),VLOOKUP($E145,'Status Thresholds'!$E:$AS,2,FALSE), IF(AND($Q$1=TRUE,$S$1=TRUE,$S$4=TRUE),VLOOKUP($E145,'Status Thresholds'!$E:$AS,17,FALSE),IF(AND($Q$1=TRUE,$S$4=TRUE),VLOOKUP($E145,'Status Thresholds'!$E:$AS,7,FALSE),IF(AND($S$3=TRUE,$S$1=TRUE,$S$4=FALSE),VLOOKUP($E145,'Status Thresholds'!$E:$AS,32,FALSE),IF(AND($S$3=TRUE,$S$4=FALSE),VLOOKUP($E145,'Status Thresholds'!$E:$AS,22,FALSE),IF(AND($S$3=TRUE,$S$1=TRUE,$S$4=TRUE),VLOOKUP($E145,'Status Thresholds'!$E:$AS,37,FALSE),IF(AND($S$3=TRUE,$S$4=TRUE),VLOOKUP($E145,'Status Thresholds'!$E:$AS,27,FALSE),""))))))))/IF(OR($Q$3=TRUE,AND($Q$2=TRUE,$Q$7=TRUE),AND($Q$3=TRUE,$Q$7=TRUE))=TRUE,'Shots and Status'!$F$5,IF((OR($Q$2,$Q$7)=TRUE),'Shots and Status'!$D$5,'Shots and Status'!$C$5)))),0),"-")</f>
        <v>-</v>
      </c>
      <c r="I145" s="36" t="str">
        <f>IFERROR(ROUNDUP(IF(AND($Q$1=FALSE,$S$3=FALSE),"-",IF(AND($Q$1=TRUE,$S$3=TRUE),"-",IF(AND($Q$1=TRUE,$S$1=TRUE,$S$4=FALSE),VLOOKUP($E145,'Status Thresholds'!$E:$AS,13,FALSE),IF(AND($Q$1=TRUE,$S$4=FALSE),VLOOKUP($E145,'Status Thresholds'!$E:$AS,3,FALSE), IF(AND($Q$1=TRUE,$S$1=TRUE,$S$4=TRUE),VLOOKUP($E145,'Status Thresholds'!$E:$AS,18,FALSE),IF(AND($Q$1=TRUE,$S$4=TRUE),VLOOKUP($E145,'Status Thresholds'!$E:$AS,8,FALSE),IF(AND($S$3=TRUE,$S$1=TRUE,$S$4=FALSE),VLOOKUP($E145,'Status Thresholds'!$E:$AS,33,FALSE),IF(AND($S$3=TRUE,$S$4=FALSE),VLOOKUP($E145,'Status Thresholds'!$E:$AS,23,FALSE),IF(AND($S$3=TRUE,$S$1=TRUE,$S$4=TRUE),VLOOKUP($E145,'Status Thresholds'!$E:$AS,38,FALSE),IF(AND($S$3=TRUE,$S$4=TRUE),VLOOKUP($E145,'Status Thresholds'!$E:$AS,28,FALSE),""))))))))/IF(OR($Q$3=TRUE,AND($Q$2=TRUE,$Q$7=TRUE),AND($Q$3=TRUE,$Q$7=TRUE))=TRUE,'Shots and Status'!$F$5,IF((OR($Q$2,$Q$7)=TRUE),'Shots and Status'!$D$5,'Shots and Status'!$C$5)))),0),"-")</f>
        <v>-</v>
      </c>
      <c r="J145" s="36" t="str">
        <f>IFERROR(ROUNDUP(IF(AND($Q$1=FALSE,$S$3=FALSE),"-",IF(AND($Q$1=TRUE,$S$3=TRUE),"-",IF(AND($Q$1=TRUE,$S$1=TRUE,$S$4=FALSE),VLOOKUP($E145,'Status Thresholds'!$E:$AS,14,FALSE),IF(AND($Q$1=TRUE,$S$4=FALSE),VLOOKUP($E145,'Status Thresholds'!$E:$AS,4,FALSE), IF(AND($Q$1=TRUE,$S$1=TRUE,$S$4=TRUE),VLOOKUP($E145,'Status Thresholds'!$E:$AS,19,FALSE),IF(AND($Q$1=TRUE,$S$4=TRUE),VLOOKUP($E145,'Status Thresholds'!$E:$AS,9,FALSE),IF(AND($S$3=TRUE,$S$1=TRUE,$S$4=FALSE),VLOOKUP($E145,'Status Thresholds'!$E:$AS,34,FALSE),IF(AND($S$3=TRUE,$S$4=FALSE),VLOOKUP($E145,'Status Thresholds'!$E:$AS,24,FALSE),IF(AND($S$3=TRUE,$S$1=TRUE,$S$4=TRUE),VLOOKUP($E145,'Status Thresholds'!$E:$AS,39,FALSE),IF(AND($S$3=TRUE,$S$4=TRUE),VLOOKUP($E145,'Status Thresholds'!$E:$AS,29,FALSE),""))))))))/IF(OR($Q$3=TRUE,AND($Q$2=TRUE,$Q$7=TRUE),AND($Q$3=TRUE,$Q$7=TRUE))=TRUE,'Shots and Status'!$F$5,IF((OR($Q$2,$Q$7)=TRUE),'Shots and Status'!$D$5,'Shots and Status'!$C$5)))),0),"-")</f>
        <v>-</v>
      </c>
      <c r="K145" s="36" t="str">
        <f>IFERROR(ROUNDUP(IF(AND($Q$1=FALSE,$S$3=FALSE),"-",IF(AND($Q$1=TRUE,$S$3=TRUE),"-",IF(AND($Q$1=TRUE,$S$1=TRUE,$S$4=FALSE),VLOOKUP($E145,'Status Thresholds'!$E:$AS,15,FALSE),IF(AND($Q$1=TRUE,$S$4=FALSE),VLOOKUP($E145,'Status Thresholds'!$E:$AS,5,FALSE), IF(AND($Q$1=TRUE,$S$1=TRUE,$S$4=TRUE),VLOOKUP($E145,'Status Thresholds'!$E:$AS,20,FALSE),IF(AND($Q$1=TRUE,$S$4=TRUE),VLOOKUP($E145,'Status Thresholds'!$E:$AS,10,FALSE),IF(AND($S$3=TRUE,$S$1=TRUE,$S$4=FALSE),VLOOKUP($E145,'Status Thresholds'!$E:$AS,35,FALSE),IF(AND($S$3=TRUE,$S$4=FALSE),VLOOKUP($E145,'Status Thresholds'!$E:$AS,25,FALSE),IF(AND($S$3=TRUE,$S$1=TRUE,$S$4=TRUE),VLOOKUP($E145,'Status Thresholds'!$E:$AS,40,FALSE),IF(AND($S$3=TRUE,$S$4=TRUE),VLOOKUP($E145,'Status Thresholds'!$E:$AS,30,FALSE),""))))))))/IF(OR($Q$3=TRUE,AND($Q$2=TRUE,$Q$7=TRUE),AND($Q$3=TRUE,$Q$7=TRUE))=TRUE,'Shots and Status'!$F$5,IF((OR($Q$2,$Q$7)=TRUE),'Shots and Status'!$D$5,'Shots and Status'!$C$5)))),0),"-")</f>
        <v>-</v>
      </c>
      <c r="L145" s="36" t="str">
        <f>IFERROR(IF(AND($Q$1=FALSE,$S$3=FALSE),"-",VLOOKUP($E145,'Status Thresholds'!$E:$AU,41,FALSE)),"-")</f>
        <v>-</v>
      </c>
      <c r="M145" s="36" t="str">
        <f>IFERROR(IF(AND($Q$1=FALSE,$S$3=FALSE),"-",VLOOKUP($E145,'Status Thresholds'!$E:$AU,42,FALSE)),"-")</f>
        <v>-</v>
      </c>
      <c r="N145" s="36" t="str">
        <f>IFERROR(IF(AND($Q$1=FALSE,$S$3=FALSE),"-",VLOOKUP($E145,'Status Thresholds'!$E:$AU,43,FALSE)),"-")</f>
        <v>-</v>
      </c>
    </row>
    <row r="146" spans="1:14" s="59" customFormat="1" x14ac:dyDescent="0.25">
      <c r="A146" s="46"/>
      <c r="B146" s="64" t="str">
        <f>VLOOKUP(C146,'Status Thresholds'!B:C,2,FALSE)</f>
        <v>MHGen</v>
      </c>
      <c r="C146" s="46" t="str">
        <f>IF(ISBLANK('KO Calc'!C142)=TRUE,"",'KO Calc'!C142)</f>
        <v>Brachydios</v>
      </c>
      <c r="D146" s="58" t="s">
        <v>33</v>
      </c>
      <c r="E146" s="62" t="str">
        <f t="shared" si="5"/>
        <v>BrachydiosPoison</v>
      </c>
      <c r="F146" s="59" t="s">
        <v>6</v>
      </c>
      <c r="G146" s="36" t="str">
        <f t="shared" si="4"/>
        <v>BrachydiosPoison lvl 2</v>
      </c>
      <c r="H146" s="36" t="str">
        <f>IFERROR(ROUNDUP(IF(AND($Q$1=FALSE,$S$3=FALSE),"-",IF(AND($Q$1=TRUE,$S$3=TRUE),"-",IF(AND($Q$1=TRUE,$S$1=TRUE,$S$4=FALSE),VLOOKUP($E146,'Status Thresholds'!$E:$AS,12,FALSE),IF(AND($Q$1=TRUE,$S$4=FALSE),VLOOKUP($E146,'Status Thresholds'!$E:$AS,2,FALSE), IF(AND($Q$1=TRUE,$S$1=TRUE,$S$4=TRUE),VLOOKUP($E146,'Status Thresholds'!$E:$AS,17,FALSE),IF(AND($Q$1=TRUE,$S$4=TRUE),VLOOKUP($E146,'Status Thresholds'!$E:$AS,7,FALSE),IF(AND($S$3=TRUE,$S$1=TRUE,$S$4=FALSE),VLOOKUP($E146,'Status Thresholds'!$E:$AS,32,FALSE),IF(AND($S$3=TRUE,$S$4=FALSE),VLOOKUP($E146,'Status Thresholds'!$E:$AS,22,FALSE),IF(AND($S$3=TRUE,$S$1=TRUE,$S$4=TRUE),VLOOKUP($E146,'Status Thresholds'!$E:$AS,37,FALSE),IF(AND($S$3=TRUE,$S$4=TRUE),VLOOKUP($E146,'Status Thresholds'!$E:$AS,27,FALSE),""))))))))/IF(OR($Q$3=TRUE,AND($Q$2=TRUE,$Q$7=TRUE),AND($Q$3=TRUE,$Q$7=TRUE))=TRUE,'Shots and Status'!$F$5,IF((OR($Q$2,$Q$7)=TRUE),'Shots and Status'!$D$5,'Shots and Status'!$C$5)))),0),"-")</f>
        <v>-</v>
      </c>
      <c r="I146" s="36" t="str">
        <f>IFERROR(ROUNDUP(IF(AND($Q$1=FALSE,$S$3=FALSE),"-",IF(AND($Q$1=TRUE,$S$3=TRUE),"-",IF(AND($Q$1=TRUE,$S$1=TRUE,$S$4=FALSE),VLOOKUP($E146,'Status Thresholds'!$E:$AS,13,FALSE),IF(AND($Q$1=TRUE,$S$4=FALSE),VLOOKUP($E146,'Status Thresholds'!$E:$AS,3,FALSE), IF(AND($Q$1=TRUE,$S$1=TRUE,$S$4=TRUE),VLOOKUP($E146,'Status Thresholds'!$E:$AS,18,FALSE),IF(AND($Q$1=TRUE,$S$4=TRUE),VLOOKUP($E146,'Status Thresholds'!$E:$AS,8,FALSE),IF(AND($S$3=TRUE,$S$1=TRUE,$S$4=FALSE),VLOOKUP($E146,'Status Thresholds'!$E:$AS,33,FALSE),IF(AND($S$3=TRUE,$S$4=FALSE),VLOOKUP($E146,'Status Thresholds'!$E:$AS,23,FALSE),IF(AND($S$3=TRUE,$S$1=TRUE,$S$4=TRUE),VLOOKUP($E146,'Status Thresholds'!$E:$AS,38,FALSE),IF(AND($S$3=TRUE,$S$4=TRUE),VLOOKUP($E146,'Status Thresholds'!$E:$AS,28,FALSE),""))))))))/IF(OR($Q$3=TRUE,AND($Q$2=TRUE,$Q$7=TRUE),AND($Q$3=TRUE,$Q$7=TRUE))=TRUE,'Shots and Status'!$F$5,IF((OR($Q$2,$Q$7)=TRUE),'Shots and Status'!$D$5,'Shots and Status'!$C$5)))),0),"-")</f>
        <v>-</v>
      </c>
      <c r="J146" s="36" t="str">
        <f>IFERROR(ROUNDUP(IF(AND($Q$1=FALSE,$S$3=FALSE),"-",IF(AND($Q$1=TRUE,$S$3=TRUE),"-",IF(AND($Q$1=TRUE,$S$1=TRUE,$S$4=FALSE),VLOOKUP($E146,'Status Thresholds'!$E:$AS,14,FALSE),IF(AND($Q$1=TRUE,$S$4=FALSE),VLOOKUP($E146,'Status Thresholds'!$E:$AS,4,FALSE), IF(AND($Q$1=TRUE,$S$1=TRUE,$S$4=TRUE),VLOOKUP($E146,'Status Thresholds'!$E:$AS,19,FALSE),IF(AND($Q$1=TRUE,$S$4=TRUE),VLOOKUP($E146,'Status Thresholds'!$E:$AS,9,FALSE),IF(AND($S$3=TRUE,$S$1=TRUE,$S$4=FALSE),VLOOKUP($E146,'Status Thresholds'!$E:$AS,34,FALSE),IF(AND($S$3=TRUE,$S$4=FALSE),VLOOKUP($E146,'Status Thresholds'!$E:$AS,24,FALSE),IF(AND($S$3=TRUE,$S$1=TRUE,$S$4=TRUE),VLOOKUP($E146,'Status Thresholds'!$E:$AS,39,FALSE),IF(AND($S$3=TRUE,$S$4=TRUE),VLOOKUP($E146,'Status Thresholds'!$E:$AS,29,FALSE),""))))))))/IF(OR($Q$3=TRUE,AND($Q$2=TRUE,$Q$7=TRUE),AND($Q$3=TRUE,$Q$7=TRUE))=TRUE,'Shots and Status'!$F$5,IF((OR($Q$2,$Q$7)=TRUE),'Shots and Status'!$D$5,'Shots and Status'!$C$5)))),0),"-")</f>
        <v>-</v>
      </c>
      <c r="K146" s="36" t="str">
        <f>IFERROR(ROUNDUP(IF(AND($Q$1=FALSE,$S$3=FALSE),"-",IF(AND($Q$1=TRUE,$S$3=TRUE),"-",IF(AND($Q$1=TRUE,$S$1=TRUE,$S$4=FALSE),VLOOKUP($E146,'Status Thresholds'!$E:$AS,15,FALSE),IF(AND($Q$1=TRUE,$S$4=FALSE),VLOOKUP($E146,'Status Thresholds'!$E:$AS,5,FALSE), IF(AND($Q$1=TRUE,$S$1=TRUE,$S$4=TRUE),VLOOKUP($E146,'Status Thresholds'!$E:$AS,20,FALSE),IF(AND($Q$1=TRUE,$S$4=TRUE),VLOOKUP($E146,'Status Thresholds'!$E:$AS,10,FALSE),IF(AND($S$3=TRUE,$S$1=TRUE,$S$4=FALSE),VLOOKUP($E146,'Status Thresholds'!$E:$AS,35,FALSE),IF(AND($S$3=TRUE,$S$4=FALSE),VLOOKUP($E146,'Status Thresholds'!$E:$AS,25,FALSE),IF(AND($S$3=TRUE,$S$1=TRUE,$S$4=TRUE),VLOOKUP($E146,'Status Thresholds'!$E:$AS,40,FALSE),IF(AND($S$3=TRUE,$S$4=TRUE),VLOOKUP($E146,'Status Thresholds'!$E:$AS,30,FALSE),""))))))))/IF(OR($Q$3=TRUE,AND($Q$2=TRUE,$Q$7=TRUE),AND($Q$3=TRUE,$Q$7=TRUE))=TRUE,'Shots and Status'!$F$5,IF((OR($Q$2,$Q$7)=TRUE),'Shots and Status'!$D$5,'Shots and Status'!$C$5)))),0),"-")</f>
        <v>-</v>
      </c>
      <c r="L146" s="36" t="str">
        <f>IFERROR(IF(AND($Q$1=FALSE,$S$3=FALSE),"-",VLOOKUP($E146,'Status Thresholds'!$E:$AU,41,FALSE)),"-")</f>
        <v>-</v>
      </c>
      <c r="M146" s="36" t="str">
        <f>IFERROR(IF(AND($Q$1=FALSE,$S$3=FALSE),"-",VLOOKUP($E146,'Status Thresholds'!$E:$AU,42,FALSE)),"-")</f>
        <v>-</v>
      </c>
      <c r="N146" s="36" t="str">
        <f>IFERROR(IF(AND($Q$1=FALSE,$S$3=FALSE),"-",VLOOKUP($E146,'Status Thresholds'!$E:$AU,43,FALSE)),"-")</f>
        <v>-</v>
      </c>
    </row>
    <row r="147" spans="1:14" s="36" customFormat="1" x14ac:dyDescent="0.25">
      <c r="A147" s="46"/>
      <c r="B147" s="64" t="str">
        <f>VLOOKUP(C147,'Status Thresholds'!B:C,2,FALSE)</f>
        <v>MHGen</v>
      </c>
      <c r="C147" s="46" t="str">
        <f>IF(ISBLANK('KO Calc'!C143)=TRUE,"",'KO Calc'!C143)</f>
        <v>Brachydios</v>
      </c>
      <c r="D147" s="57" t="s">
        <v>22</v>
      </c>
      <c r="E147" s="62" t="str">
        <f t="shared" si="5"/>
        <v>BrachydiosExhaust</v>
      </c>
      <c r="F147" s="36" t="s">
        <v>8</v>
      </c>
      <c r="G147" s="36" t="str">
        <f t="shared" si="4"/>
        <v>BrachydiosExhaust lvl 2</v>
      </c>
      <c r="H147" s="36" t="str">
        <f>IFERROR(ROUNDUP(IF(AND($Q$1=FALSE,$S$3=FALSE),"-",IF(AND($Q$1=TRUE,$S$3=TRUE),"-",IF(AND($Q$1=TRUE,$S$1=TRUE,$S$4=FALSE),VLOOKUP($E147,'Status Thresholds'!$E:$AS,12,FALSE),IF(AND($Q$1=TRUE,$S$4=FALSE),VLOOKUP($E147,'Status Thresholds'!$E:$AS,2,FALSE), IF(AND($Q$1=TRUE,$S$1=TRUE,$S$4=TRUE),VLOOKUP($E147,'Status Thresholds'!$E:$AS,17,FALSE),IF(AND($Q$1=TRUE,$S$4=TRUE),VLOOKUP($E147,'Status Thresholds'!$E:$AS,7,FALSE),IF(AND($S$3=TRUE,$S$1=TRUE,$S$4=FALSE),VLOOKUP($E147,'Status Thresholds'!$E:$AS,32,FALSE),IF(AND($S$3=TRUE,$S$4=FALSE),VLOOKUP($E147,'Status Thresholds'!$E:$AS,22,FALSE),IF(AND($S$3=TRUE,$S$1=TRUE,$S$4=TRUE),VLOOKUP($E147,'Status Thresholds'!$E:$AS,37,FALSE),IF(AND($S$3=TRUE,$S$4=TRUE),VLOOKUP($E147,'Status Thresholds'!$E:$AS,27,FALSE),""))))))))/IF(OR($Q$3=TRUE,AND($Q$2=TRUE,$Q$7=TRUE),AND($Q$3=TRUE,$Q$7=TRUE))=TRUE,'Shots and Status'!$F$5,IF((OR($Q$2,$Q$7)=TRUE),'Shots and Status'!$D$5,'Shots and Status'!$C$5)))),0),"-")</f>
        <v>-</v>
      </c>
      <c r="I147" s="36" t="str">
        <f>IFERROR(ROUNDUP(IF(AND($Q$1=FALSE,$S$3=FALSE),"-",IF(AND($Q$1=TRUE,$S$3=TRUE),"-",IF(AND($Q$1=TRUE,$S$1=TRUE,$S$4=FALSE),VLOOKUP($E147,'Status Thresholds'!$E:$AS,13,FALSE),IF(AND($Q$1=TRUE,$S$4=FALSE),VLOOKUP($E147,'Status Thresholds'!$E:$AS,3,FALSE), IF(AND($Q$1=TRUE,$S$1=TRUE,$S$4=TRUE),VLOOKUP($E147,'Status Thresholds'!$E:$AS,18,FALSE),IF(AND($Q$1=TRUE,$S$4=TRUE),VLOOKUP($E147,'Status Thresholds'!$E:$AS,8,FALSE),IF(AND($S$3=TRUE,$S$1=TRUE,$S$4=FALSE),VLOOKUP($E147,'Status Thresholds'!$E:$AS,33,FALSE),IF(AND($S$3=TRUE,$S$4=FALSE),VLOOKUP($E147,'Status Thresholds'!$E:$AS,23,FALSE),IF(AND($S$3=TRUE,$S$1=TRUE,$S$4=TRUE),VLOOKUP($E147,'Status Thresholds'!$E:$AS,38,FALSE),IF(AND($S$3=TRUE,$S$4=TRUE),VLOOKUP($E147,'Status Thresholds'!$E:$AS,28,FALSE),""))))))))/IF(OR($Q$3=TRUE,AND($Q$2=TRUE,$Q$7=TRUE),AND($Q$3=TRUE,$Q$7=TRUE))=TRUE,'Shots and Status'!$F$5,IF((OR($Q$2,$Q$7)=TRUE),'Shots and Status'!$D$5,'Shots and Status'!$C$5)))),0),"-")</f>
        <v>-</v>
      </c>
      <c r="J147" s="36" t="str">
        <f>IFERROR(ROUNDUP(IF(AND($Q$1=FALSE,$S$3=FALSE),"-",IF(AND($Q$1=TRUE,$S$3=TRUE),"-",IF(AND($Q$1=TRUE,$S$1=TRUE,$S$4=FALSE),VLOOKUP($E147,'Status Thresholds'!$E:$AS,14,FALSE),IF(AND($Q$1=TRUE,$S$4=FALSE),VLOOKUP($E147,'Status Thresholds'!$E:$AS,4,FALSE), IF(AND($Q$1=TRUE,$S$1=TRUE,$S$4=TRUE),VLOOKUP($E147,'Status Thresholds'!$E:$AS,19,FALSE),IF(AND($Q$1=TRUE,$S$4=TRUE),VLOOKUP($E147,'Status Thresholds'!$E:$AS,9,FALSE),IF(AND($S$3=TRUE,$S$1=TRUE,$S$4=FALSE),VLOOKUP($E147,'Status Thresholds'!$E:$AS,34,FALSE),IF(AND($S$3=TRUE,$S$4=FALSE),VLOOKUP($E147,'Status Thresholds'!$E:$AS,24,FALSE),IF(AND($S$3=TRUE,$S$1=TRUE,$S$4=TRUE),VLOOKUP($E147,'Status Thresholds'!$E:$AS,39,FALSE),IF(AND($S$3=TRUE,$S$4=TRUE),VLOOKUP($E147,'Status Thresholds'!$E:$AS,29,FALSE),""))))))))/IF(OR($Q$3=TRUE,AND($Q$2=TRUE,$Q$7=TRUE),AND($Q$3=TRUE,$Q$7=TRUE))=TRUE,'Shots and Status'!$F$5,IF((OR($Q$2,$Q$7)=TRUE),'Shots and Status'!$D$5,'Shots and Status'!$C$5)))),0),"-")</f>
        <v>-</v>
      </c>
      <c r="K147" s="36" t="str">
        <f>IFERROR(ROUNDUP(IF(AND($Q$1=FALSE,$S$3=FALSE),"-",IF(AND($Q$1=TRUE,$S$3=TRUE),"-",IF(AND($Q$1=TRUE,$S$1=TRUE,$S$4=FALSE),VLOOKUP($E147,'Status Thresholds'!$E:$AS,15,FALSE),IF(AND($Q$1=TRUE,$S$4=FALSE),VLOOKUP($E147,'Status Thresholds'!$E:$AS,5,FALSE), IF(AND($Q$1=TRUE,$S$1=TRUE,$S$4=TRUE),VLOOKUP($E147,'Status Thresholds'!$E:$AS,20,FALSE),IF(AND($Q$1=TRUE,$S$4=TRUE),VLOOKUP($E147,'Status Thresholds'!$E:$AS,10,FALSE),IF(AND($S$3=TRUE,$S$1=TRUE,$S$4=FALSE),VLOOKUP($E147,'Status Thresholds'!$E:$AS,35,FALSE),IF(AND($S$3=TRUE,$S$4=FALSE),VLOOKUP($E147,'Status Thresholds'!$E:$AS,25,FALSE),IF(AND($S$3=TRUE,$S$1=TRUE,$S$4=TRUE),VLOOKUP($E147,'Status Thresholds'!$E:$AS,40,FALSE),IF(AND($S$3=TRUE,$S$4=TRUE),VLOOKUP($E147,'Status Thresholds'!$E:$AS,30,FALSE),""))))))))/IF(OR($Q$3=TRUE,AND($Q$2=TRUE,$Q$7=TRUE),AND($Q$3=TRUE,$Q$7=TRUE))=TRUE,'Shots and Status'!$F$5,IF((OR($Q$2,$Q$7)=TRUE),'Shots and Status'!$D$5,'Shots and Status'!$C$5)))),0),"-")</f>
        <v>-</v>
      </c>
      <c r="L147" s="36" t="str">
        <f>IFERROR(IF(AND($Q$1=FALSE,$S$3=FALSE),"-",VLOOKUP($E147,'Status Thresholds'!$E:$AU,41,FALSE)),"-")</f>
        <v>-</v>
      </c>
      <c r="M147" s="36" t="str">
        <f>IFERROR(IF(AND($Q$1=FALSE,$S$3=FALSE),"-",VLOOKUP($E147,'Status Thresholds'!$E:$AU,42,FALSE)),"-")</f>
        <v>-</v>
      </c>
      <c r="N147" s="36" t="str">
        <f>IFERROR(IF(AND($Q$1=FALSE,$S$3=FALSE),"-",VLOOKUP($E147,'Status Thresholds'!$E:$AU,43,FALSE)),"-")</f>
        <v>-</v>
      </c>
    </row>
    <row r="148" spans="1:14" s="36" customFormat="1" x14ac:dyDescent="0.25">
      <c r="A148" s="46"/>
      <c r="B148" s="64" t="str">
        <f>VLOOKUP(C148,'Status Thresholds'!B:C,2,FALSE)</f>
        <v>MHGen</v>
      </c>
      <c r="C148" s="46" t="str">
        <f>IF(ISBLANK('KO Calc'!C144)=TRUE,"",'KO Calc'!C144)</f>
        <v>Brachydios</v>
      </c>
      <c r="D148" s="67" t="s">
        <v>14</v>
      </c>
      <c r="E148" s="62" t="str">
        <f t="shared" si="5"/>
        <v>BrachydiosKO</v>
      </c>
      <c r="F148" s="36" t="s">
        <v>21</v>
      </c>
      <c r="G148" s="36" t="str">
        <f t="shared" si="4"/>
        <v>BrachydiosTriblast</v>
      </c>
      <c r="H148" s="36" t="str">
        <f>IF(AND($Q$1=FALSE,$S$3=FALSE),"-",IF(AND($Q$1=TRUE,$S$3=TRUE),"-",IF(AND($Q$1=FALSE,$S$3=FALSE),"-",IF(AND($Q$1=TRUE,$S$1=TRUE,$S$4=FALSE)=TRUE,IF(OR($Q$4=TRUE,$Q$5=TRUE,$S$2=TRUE),VLOOKUP($G148,'KO Calc'!$H:$AW,12,FALSE),VLOOKUP($G148,'KO Calc'!$H154:$AW154,12,FALSE)),IF(AND($Q$1=TRUE,$S$4=FALSE),IF(OR($Q$4=TRUE,$Q$5=TRUE,$S$2=TRUE),VLOOKUP($G148,'KO Calc'!$H:$AW,2,FALSE),VLOOKUP($G148,'KO Calc'!$H154:$AW154,2,FALSE)),
IF(AND($Q$1=TRUE,$S$1=TRUE,$S$4=TRUE)=TRUE,IF(OR($Q$4=TRUE,$Q$5=TRUE,$S$2=TRUE),VLOOKUP($G148,'KO Calc'!$H:$AW,17,FALSE),VLOOKUP($G148,'KO Calc'!$H154:$AW154,17,FALSE)),IF(AND($Q$1=TRUE,$S$4=TRUE),IF(OR($Q$4=TRUE,$Q$5=TRUE,$S$2=TRUE),VLOOKUP($G148,'KO Calc'!$H:$AW,7,FALSE),VLOOKUP($G148,'KO Calc'!$H154:$AW154,7,FALSE)),
IF(AND($S$3=TRUE,$S$1=TRUE,$S$4=FALSE)=TRUE,IF(OR($Q$4=TRUE,$Q$5=TRUE,$S$2=TRUE),VLOOKUP($G148,'KO Calc'!$H:$AW,32,FALSE),VLOOKUP($G148,'KO Calc'!$H154:$AW154,32,FALSE)),IF(AND($S$3=TRUE,$S$4=FALSE),IF(OR($Q$4=TRUE,$Q$5=TRUE,$S$2=TRUE),VLOOKUP($G148,'KO Calc'!$H:$AW,22,FALSE),VLOOKUP($G148,'KO Calc'!$H154:$AW154,22,FALSE)),
IF(AND($S$3=TRUE,$S$1=TRUE,$S$4=TRUE)=TRUE,IF(OR($Q$4=TRUE,$Q$5=TRUE,$S$2=TRUE),VLOOKUP($G148,'KO Calc'!$H:$AW,37,FALSE),VLOOKUP($G148,'KO Calc'!$H154:$AW154,37,FALSE)),IF(AND($S$3=TRUE,$S$4=TRUE),IF(OR($Q$4=TRUE,$Q$5=TRUE,$S$2=TRUE),VLOOKUP($G148,'KO Calc'!$H:$AW,27,FALSE),VLOOKUP($G148,'KO Calc'!$H154:$AW154,27,FALSE)))))))))))))</f>
        <v>-</v>
      </c>
      <c r="I148" s="36" t="str">
        <f>IF(AND($Q$1=FALSE,$S$3=FALSE),"-",IF(AND($Q$1=TRUE,$S$3=TRUE),"-",IF(AND($Q$1=FALSE,$S$3=FALSE),"-",IF(AND($Q$1=TRUE,$S$1=TRUE,$S$4=FALSE)=TRUE,IF(OR($Q$4=TRUE,$Q$5=TRUE,$S$2=TRUE),VLOOKUP($G148,'KO Calc'!$H:$AW,13,FALSE),VLOOKUP($G148,'KO Calc'!$H154:$AW154,13,FALSE)),IF(AND($Q$1=TRUE,$S$4=FALSE),IF(OR($Q$4=TRUE,$Q$5=TRUE,$S$2=TRUE),VLOOKUP($G148,'KO Calc'!$H:$AW,3,FALSE),VLOOKUP($G148,'KO Calc'!$H154:$AW154,3,FALSE)),
IF(AND($Q$1=TRUE,$S$1=TRUE,$S$4=TRUE)=TRUE,IF(OR($Q$4=TRUE,$Q$5=TRUE,$S$2=TRUE),VLOOKUP($G148,'KO Calc'!$H:$AW,18,FALSE),VLOOKUP($G148,'KO Calc'!$H154:$AW154,18,FALSE)),IF(AND($Q$1=TRUE,$S$4=TRUE),IF(OR($Q$4=TRUE,$Q$5=TRUE,$S$2=TRUE),VLOOKUP($G148,'KO Calc'!$H:$AW,8,FALSE),VLOOKUP($G148,'KO Calc'!$H154:$AW154,8,FALSE)),
IF(AND($S$3=TRUE,$S$1=TRUE,$S$4=FALSE)=TRUE,IF(OR($Q$4=TRUE,$Q$5=TRUE,$S$2=TRUE),VLOOKUP($G148,'KO Calc'!$H:$AW,33,FALSE),VLOOKUP($G148,'KO Calc'!$H154:$AW154,33,FALSE)),IF(AND($S$3=TRUE,$S$4=FALSE),IF(OR($Q$4=TRUE,$Q$5=TRUE,$S$2=TRUE),VLOOKUP($G148,'KO Calc'!$H:$AW,23,FALSE),VLOOKUP($G148,'KO Calc'!$H154:$AW154,23,FALSE)),
IF(AND($S$3=TRUE,$S$1=TRUE,$S$4=TRUE)=TRUE,IF(OR($Q$4=TRUE,$Q$5=TRUE,$S$2=TRUE),VLOOKUP($G148,'KO Calc'!$H:$AW,38,FALSE),VLOOKUP($G148,'KO Calc'!$H154:$AW154,38,FALSE)),IF(AND($S$3=TRUE,$S$4=TRUE),IF(OR($Q$4=TRUE,$Q$5=TRUE,$S$2=TRUE),VLOOKUP($G148,'KO Calc'!$H:$AW,28,FALSE),VLOOKUP($G148,'KO Calc'!$H154:$AW154,28,FALSE)))))))))))))</f>
        <v>-</v>
      </c>
      <c r="J148" s="36" t="str">
        <f>IF(AND($Q$1=FALSE,$S$3=FALSE),"-",IF(AND($Q$1=TRUE,$S$3=TRUE),"-",IF(AND($Q$1=FALSE,$S$3=FALSE),"-",IF(AND($Q$1=TRUE,$S$1=TRUE,$S$4=FALSE)=TRUE,IF(OR($Q$4=TRUE,$Q$5=TRUE,$S$2=TRUE),VLOOKUP($G148,'KO Calc'!$H:$AW,FALSE),VLOOKUP($G148,'KO Calc'!$H154:$AW154,14,FALSE)),IF(AND($Q$1=TRUE,$S$4=FALSE),IF(OR($Q$4=TRUE,$Q$5=TRUE,$S$2=TRUE),VLOOKUP($G148,'KO Calc'!$H:$AW,4,FALSE),VLOOKUP($G148,'KO Calc'!$H154:$AW154,4,FALSE)),
IF(AND($Q$1=TRUE,$S$1=TRUE,$S$4=TRUE)=TRUE,IF(OR($Q$4=TRUE,$Q$5=TRUE,$S$2=TRUE),VLOOKUP($G148,'KO Calc'!$H:$AW,19,FALSE),VLOOKUP($G148,'KO Calc'!$H154:$AW154,19,FALSE)),IF(AND($Q$1=TRUE,$S$4=TRUE),IF(OR($Q$4=TRUE,$Q$5=TRUE,$S$2=TRUE),VLOOKUP($G148,'KO Calc'!$H:$AW,9,FALSE),VLOOKUP($G148,'KO Calc'!$H154:$AW154,9,FALSE)),
IF(AND($S$3=TRUE,$S$1=TRUE,$S$4=FALSE)=TRUE,IF(OR($Q$4=TRUE,$Q$5=TRUE,$S$2=TRUE),VLOOKUP($G148,'KO Calc'!$H:$AW,34,FALSE),VLOOKUP($G148,'KO Calc'!$H154:$AW154,34,FALSE)),IF(AND($S$3=TRUE,$S$4=FALSE),IF(OR($Q$4=TRUE,$Q$5=TRUE,$S$2=TRUE),VLOOKUP($G148,'KO Calc'!$H:$AW,24,FALSE),VLOOKUP($G148,'KO Calc'!$H154:$AW154,24,FALSE)),
IF(AND($S$3=TRUE,$S$1=TRUE,$S$4=TRUE)=TRUE,IF(OR($Q$4=TRUE,$Q$5=TRUE,$S$2=TRUE),VLOOKUP($G148,'KO Calc'!$H:$AW,39,FALSE),VLOOKUP($G148,'KO Calc'!$H154:$AW154,39,FALSE)),IF(AND($S$3=TRUE,$S$4=TRUE),IF(OR($Q$4=TRUE,$Q$5=TRUE,$S$2=TRUE),VLOOKUP($G148,'KO Calc'!$H:$AW,29,FALSE),VLOOKUP($G148,'KO Calc'!$H154:$AW154,29,FALSE)))))))))))))</f>
        <v>-</v>
      </c>
      <c r="K148" s="36" t="str">
        <f>IF(AND($Q$1=FALSE,$S$3=FALSE),"-",IF(AND($Q$1=TRUE,$S$3=TRUE),"-",IF(AND($Q$1=FALSE,$S$3=FALSE),"-",IF(AND($Q$1=TRUE,$S$1=TRUE,$S$4=FALSE)=TRUE,IF(OR($Q$4=TRUE,$Q$5=TRUE,$S$2=TRUE),VLOOKUP($G148,'KO Calc'!$H:$AW,15,FALSE),VLOOKUP($G148,'KO Calc'!$H154:$AW154,15,FALSE)),IF(AND($Q$1=TRUE,$S$4=FALSE),IF(OR($Q$4=TRUE,$Q$5=TRUE,$S$2=TRUE),VLOOKUP($G148,'KO Calc'!$H:$AW,5,FALSE),VLOOKUP($G148,'KO Calc'!$H154:$AW154,5,FALSE)),
IF(AND($Q$1=TRUE,$S$1=TRUE,$S$4=TRUE)=TRUE,IF(OR($Q$4=TRUE,$Q$5=TRUE,$S$2=TRUE),VLOOKUP($G148,'KO Calc'!$H:$AW,20,FALSE),VLOOKUP($G148,'KO Calc'!$H154:$AW154,20,FALSE)),IF(AND($Q$1=TRUE,$S$4=TRUE),IF(OR($Q$4=TRUE,$Q$5=TRUE,$S$2=TRUE),VLOOKUP($G148,'KO Calc'!$H:$AW,10,FALSE),VLOOKUP($G148,'KO Calc'!$H154:$AW154,10,FALSE)),
IF(AND($S$3=TRUE,$S$1=TRUE,$S$4=FALSE)=TRUE,IF(OR($Q$4=TRUE,$Q$5=TRUE,$S$2=TRUE),VLOOKUP($G148,'KO Calc'!$H:$AW,35,FALSE),VLOOKUP($G148,'KO Calc'!$H154:$AW154,35,FALSE)),IF(AND($S$3=TRUE,$S$4=FALSE),IF(OR($Q$4=TRUE,$Q$5=TRUE,$S$2=TRUE),VLOOKUP($G148,'KO Calc'!$H:$AW,25,FALSE),VLOOKUP($G148,'KO Calc'!$H154:$AW154,25,FALSE)),
IF(AND($S$3=TRUE,$S$1=TRUE,$S$4=TRUE)=TRUE,IF(OR($Q$4=TRUE,$Q$5=TRUE,$S$2=TRUE),VLOOKUP($G148,'KO Calc'!$H:$AW,40,FALSE),VLOOKUP($G148,'KO Calc'!$H154:$AW154,40,FALSE)),IF(AND($S$3=TRUE,$S$4=TRUE),IF(OR($Q$4=TRUE,$Q$5=TRUE,$S$2=TRUE),VLOOKUP($G148,'KO Calc'!$H:$AW,30,FALSE),VLOOKUP($G148,'KO Calc'!$H154:$AW154,30,FALSE)))))))))))))</f>
        <v>-</v>
      </c>
      <c r="L148" s="36" t="str">
        <f>IFERROR(IF(AND($Q$1=FALSE,$S$3=FALSE),"-",VLOOKUP($E148,'Status Thresholds'!$E:$AU,41,FALSE)),"-")</f>
        <v>-</v>
      </c>
      <c r="M148" s="36" t="str">
        <f>IFERROR(IF(AND($Q$1=FALSE,$S$3=FALSE),"-",VLOOKUP($E148,'Status Thresholds'!$E:$AU,42,FALSE)),"-")</f>
        <v>-</v>
      </c>
      <c r="N148" s="36" t="str">
        <f>IFERROR(IF(AND($Q$1=FALSE,$S$3=FALSE),"-",VLOOKUP($E148,'Status Thresholds'!$E:$AU,43,FALSE)),"-")</f>
        <v>-</v>
      </c>
    </row>
    <row r="149" spans="1:14" x14ac:dyDescent="0.25">
      <c r="B149" s="64" t="str">
        <f>VLOOKUP(C149,'Status Thresholds'!B:C,2,FALSE)</f>
        <v>MHGen</v>
      </c>
      <c r="C149" s="46" t="str">
        <f>IF(ISBLANK('KO Calc'!C145)=TRUE,"",'KO Calc'!C145)</f>
        <v>Brachydios</v>
      </c>
      <c r="D149" s="78" t="s">
        <v>207</v>
      </c>
      <c r="E149" s="62" t="str">
        <f t="shared" si="5"/>
        <v>BrachydiosShock Trap</v>
      </c>
      <c r="F149" t="s">
        <v>13</v>
      </c>
      <c r="G149" s="36" t="str">
        <f t="shared" ref="G149:G220" si="6">C149&amp;F149</f>
        <v>BrachydiosCrag 3</v>
      </c>
      <c r="H149" s="36" t="str">
        <f>IF(AND($Q$1=FALSE,$S$3=FALSE),"-",IF(AND($Q$1=TRUE,$S$3=TRUE),"-",IF(AND($Q$1=FALSE,$S$3=FALSE),"-",IF(AND($Q$1=TRUE,$S$1=TRUE,$S$4=FALSE)=TRUE,IF(OR($Q$4=TRUE,$Q$5=TRUE,$S$2=TRUE),VLOOKUP($G149,'KO Calc'!$H:$AW,12,FALSE),VLOOKUP($G149,'KO Calc'!$H155:$AW155,12,FALSE)),IF(AND($Q$1=TRUE,$S$4=FALSE),IF(OR($Q$4=TRUE,$Q$5=TRUE,$S$2=TRUE),VLOOKUP($G149,'KO Calc'!$H:$AW,2,FALSE),VLOOKUP($G149,'KO Calc'!$H155:$AW155,2,FALSE)),
IF(AND($Q$1=TRUE,$S$1=TRUE,$S$4=TRUE)=TRUE,IF(OR($Q$4=TRUE,$Q$5=TRUE,$S$2=TRUE),VLOOKUP($G149,'KO Calc'!$H:$AW,17,FALSE),VLOOKUP($G149,'KO Calc'!$H155:$AW155,17,FALSE)),IF(AND($Q$1=TRUE,$S$4=TRUE),IF(OR($Q$4=TRUE,$Q$5=TRUE,$S$2=TRUE),VLOOKUP($G149,'KO Calc'!$H:$AW,7,FALSE),VLOOKUP($G149,'KO Calc'!$H155:$AW155,7,FALSE)),
IF(AND($S$3=TRUE,$S$1=TRUE,$S$4=FALSE)=TRUE,IF(OR($Q$4=TRUE,$Q$5=TRUE,$S$2=TRUE),VLOOKUP($G149,'KO Calc'!$H:$AW,32,FALSE),VLOOKUP($G149,'KO Calc'!$H155:$AW155,32,FALSE)),IF(AND($S$3=TRUE,$S$4=FALSE),IF(OR($Q$4=TRUE,$Q$5=TRUE,$S$2=TRUE),VLOOKUP($G149,'KO Calc'!$H:$AW,22,FALSE),VLOOKUP($G149,'KO Calc'!$H155:$AW155,22,FALSE)),
IF(AND($S$3=TRUE,$S$1=TRUE,$S$4=TRUE)=TRUE,IF(OR($Q$4=TRUE,$Q$5=TRUE,$S$2=TRUE),VLOOKUP($G149,'KO Calc'!$H:$AW,37,FALSE),VLOOKUP($G149,'KO Calc'!$H155:$AW155,37,FALSE)),IF(AND($S$3=TRUE,$S$4=TRUE),IF(OR($Q$4=TRUE,$Q$5=TRUE,$S$2=TRUE),VLOOKUP($G149,'KO Calc'!$H:$AW,27,FALSE),VLOOKUP($G149,'KO Calc'!$H155:$AW155,27,FALSE)))))))))))))</f>
        <v>-</v>
      </c>
      <c r="I149" s="36" t="str">
        <f>IF(AND($Q$1=FALSE,$S$3=FALSE),"-",IF(AND($Q$1=TRUE,$S$3=TRUE),"-",IF(AND($Q$1=FALSE,$S$3=FALSE),"-",IF(AND($Q$1=TRUE,$S$1=TRUE,$S$4=FALSE)=TRUE,IF(OR($Q$4=TRUE,$Q$5=TRUE,$S$2=TRUE),VLOOKUP($G149,'KO Calc'!$H:$AW,13,FALSE),VLOOKUP($G149,'KO Calc'!$H155:$AW155,13,FALSE)),IF(AND($Q$1=TRUE,$S$4=FALSE),IF(OR($Q$4=TRUE,$Q$5=TRUE,$S$2=TRUE),VLOOKUP($G149,'KO Calc'!$H:$AW,3,FALSE),VLOOKUP($G149,'KO Calc'!$H155:$AW155,3,FALSE)),
IF(AND($Q$1=TRUE,$S$1=TRUE,$S$4=TRUE)=TRUE,IF(OR($Q$4=TRUE,$Q$5=TRUE,$S$2=TRUE),VLOOKUP($G149,'KO Calc'!$H:$AW,18,FALSE),VLOOKUP($G149,'KO Calc'!$H155:$AW155,18,FALSE)),IF(AND($Q$1=TRUE,$S$4=TRUE),IF(OR($Q$4=TRUE,$Q$5=TRUE,$S$2=TRUE),VLOOKUP($G149,'KO Calc'!$H:$AW,8,FALSE),VLOOKUP($G149,'KO Calc'!$H155:$AW155,8,FALSE)),
IF(AND($S$3=TRUE,$S$1=TRUE,$S$4=FALSE)=TRUE,IF(OR($Q$4=TRUE,$Q$5=TRUE,$S$2=TRUE),VLOOKUP($G149,'KO Calc'!$H:$AW,33,FALSE),VLOOKUP($G149,'KO Calc'!$H155:$AW155,33,FALSE)),IF(AND($S$3=TRUE,$S$4=FALSE),IF(OR($Q$4=TRUE,$Q$5=TRUE,$S$2=TRUE),VLOOKUP($G149,'KO Calc'!$H:$AW,23,FALSE),VLOOKUP($G149,'KO Calc'!$H155:$AW155,23,FALSE)),
IF(AND($S$3=TRUE,$S$1=TRUE,$S$4=TRUE)=TRUE,IF(OR($Q$4=TRUE,$Q$5=TRUE,$S$2=TRUE),VLOOKUP($G149,'KO Calc'!$H:$AW,38,FALSE),VLOOKUP($G149,'KO Calc'!$H155:$AW155,38,FALSE)),IF(AND($S$3=TRUE,$S$4=TRUE),IF(OR($Q$4=TRUE,$Q$5=TRUE,$S$2=TRUE),VLOOKUP($G149,'KO Calc'!$H:$AW,28,FALSE),VLOOKUP($G149,'KO Calc'!$H155:$AW155,28,FALSE)))))))))))))</f>
        <v>-</v>
      </c>
      <c r="J149" s="36" t="str">
        <f>IF(AND($Q$1=FALSE,$S$3=FALSE),"-",IF(AND($Q$1=TRUE,$S$3=TRUE),"-",IF(AND($Q$1=FALSE,$S$3=FALSE),"-",IF(AND($Q$1=TRUE,$S$1=TRUE,$S$4=FALSE)=TRUE,IF(OR($Q$4=TRUE,$Q$5=TRUE,$S$2=TRUE),VLOOKUP($G149,'KO Calc'!$H:$AW,FALSE),VLOOKUP($G149,'KO Calc'!$H155:$AW155,14,FALSE)),IF(AND($Q$1=TRUE,$S$4=FALSE),IF(OR($Q$4=TRUE,$Q$5=TRUE,$S$2=TRUE),VLOOKUP($G149,'KO Calc'!$H:$AW,4,FALSE),VLOOKUP($G149,'KO Calc'!$H155:$AW155,4,FALSE)),
IF(AND($Q$1=TRUE,$S$1=TRUE,$S$4=TRUE)=TRUE,IF(OR($Q$4=TRUE,$Q$5=TRUE,$S$2=TRUE),VLOOKUP($G149,'KO Calc'!$H:$AW,19,FALSE),VLOOKUP($G149,'KO Calc'!$H155:$AW155,19,FALSE)),IF(AND($Q$1=TRUE,$S$4=TRUE),IF(OR($Q$4=TRUE,$Q$5=TRUE,$S$2=TRUE),VLOOKUP($G149,'KO Calc'!$H:$AW,9,FALSE),VLOOKUP($G149,'KO Calc'!$H155:$AW155,9,FALSE)),
IF(AND($S$3=TRUE,$S$1=TRUE,$S$4=FALSE)=TRUE,IF(OR($Q$4=TRUE,$Q$5=TRUE,$S$2=TRUE),VLOOKUP($G149,'KO Calc'!$H:$AW,34,FALSE),VLOOKUP($G149,'KO Calc'!$H155:$AW155,34,FALSE)),IF(AND($S$3=TRUE,$S$4=FALSE),IF(OR($Q$4=TRUE,$Q$5=TRUE,$S$2=TRUE),VLOOKUP($G149,'KO Calc'!$H:$AW,24,FALSE),VLOOKUP($G149,'KO Calc'!$H155:$AW155,24,FALSE)),
IF(AND($S$3=TRUE,$S$1=TRUE,$S$4=TRUE)=TRUE,IF(OR($Q$4=TRUE,$Q$5=TRUE,$S$2=TRUE),VLOOKUP($G149,'KO Calc'!$H:$AW,39,FALSE),VLOOKUP($G149,'KO Calc'!$H155:$AW155,39,FALSE)),IF(AND($S$3=TRUE,$S$4=TRUE),IF(OR($Q$4=TRUE,$Q$5=TRUE,$S$2=TRUE),VLOOKUP($G149,'KO Calc'!$H:$AW,29,FALSE),VLOOKUP($G149,'KO Calc'!$H155:$AW155,29,FALSE)))))))))))))</f>
        <v>-</v>
      </c>
      <c r="K149" s="36" t="str">
        <f>IF(AND($Q$1=FALSE,$S$3=FALSE),"-",IF(AND($Q$1=TRUE,$S$3=TRUE),"-",IF(AND($Q$1=FALSE,$S$3=FALSE),"-",IF(AND($Q$1=TRUE,$S$1=TRUE,$S$4=FALSE)=TRUE,IF(OR($Q$4=TRUE,$Q$5=TRUE,$S$2=TRUE),VLOOKUP($G149,'KO Calc'!$H:$AW,15,FALSE),VLOOKUP($G149,'KO Calc'!$H155:$AW155,15,FALSE)),IF(AND($Q$1=TRUE,$S$4=FALSE),IF(OR($Q$4=TRUE,$Q$5=TRUE,$S$2=TRUE),VLOOKUP($G149,'KO Calc'!$H:$AW,5,FALSE),VLOOKUP($G149,'KO Calc'!$H155:$AW155,5,FALSE)),
IF(AND($Q$1=TRUE,$S$1=TRUE,$S$4=TRUE)=TRUE,IF(OR($Q$4=TRUE,$Q$5=TRUE,$S$2=TRUE),VLOOKUP($G149,'KO Calc'!$H:$AW,20,FALSE),VLOOKUP($G149,'KO Calc'!$H155:$AW155,20,FALSE)),IF(AND($Q$1=TRUE,$S$4=TRUE),IF(OR($Q$4=TRUE,$Q$5=TRUE,$S$2=TRUE),VLOOKUP($G149,'KO Calc'!$H:$AW,10,FALSE),VLOOKUP($G149,'KO Calc'!$H155:$AW155,10,FALSE)),
IF(AND($S$3=TRUE,$S$1=TRUE,$S$4=FALSE)=TRUE,IF(OR($Q$4=TRUE,$Q$5=TRUE,$S$2=TRUE),VLOOKUP($G149,'KO Calc'!$H:$AW,35,FALSE),VLOOKUP($G149,'KO Calc'!$H155:$AW155,35,FALSE)),IF(AND($S$3=TRUE,$S$4=FALSE),IF(OR($Q$4=TRUE,$Q$5=TRUE,$S$2=TRUE),VLOOKUP($G149,'KO Calc'!$H:$AW,25,FALSE),VLOOKUP($G149,'KO Calc'!$H155:$AW155,25,FALSE)),
IF(AND($S$3=TRUE,$S$1=TRUE,$S$4=TRUE)=TRUE,IF(OR($Q$4=TRUE,$Q$5=TRUE,$S$2=TRUE),VLOOKUP($G149,'KO Calc'!$H:$AW,40,FALSE),VLOOKUP($G149,'KO Calc'!$H155:$AW155,40,FALSE)),IF(AND($S$3=TRUE,$S$4=TRUE),IF(OR($Q$4=TRUE,$Q$5=TRUE,$S$2=TRUE),VLOOKUP($G149,'KO Calc'!$H:$AW,30,FALSE),VLOOKUP($G149,'KO Calc'!$H155:$AW155,30,FALSE)))))))))))))</f>
        <v>-</v>
      </c>
      <c r="L149" s="36" t="str">
        <f>IFERROR(IF(AND($Q$1=FALSE,$S$3=FALSE),"-",VLOOKUP($E149,'Status Thresholds'!$E:$AU,43,FALSE)),"-")</f>
        <v>-</v>
      </c>
      <c r="M149" s="36" t="str">
        <f>IFERROR(IF(AND($Q$1=FALSE,$S$3=FALSE),"-",VLOOKUP($E149,'Status Thresholds'!$E:$AU,41,FALSE)),"-")</f>
        <v>-</v>
      </c>
      <c r="N149" s="36" t="str">
        <f>IFERROR(IF(AND($Q$1=FALSE,$S$3=FALSE),"-",VLOOKUP($E149,'Status Thresholds'!$E:$AU,42,FALSE)),"-")</f>
        <v>-</v>
      </c>
    </row>
    <row r="150" spans="1:14" x14ac:dyDescent="0.25">
      <c r="B150" s="64" t="str">
        <f>VLOOKUP(C150,'Status Thresholds'!B:C,2,FALSE)</f>
        <v>MHGen</v>
      </c>
      <c r="C150" s="46" t="str">
        <f>IF(ISBLANK('KO Calc'!C146)=TRUE,"",'KO Calc'!C146)</f>
        <v>Brachydios</v>
      </c>
      <c r="D150" s="78" t="s">
        <v>213</v>
      </c>
      <c r="E150" s="62" t="str">
        <f t="shared" si="5"/>
        <v>BrachydiosPitfall Trap</v>
      </c>
      <c r="F150" t="s">
        <v>12</v>
      </c>
      <c r="G150" s="36" t="str">
        <f t="shared" si="6"/>
        <v>BrachydiosCrag 2</v>
      </c>
      <c r="H150" s="36" t="str">
        <f>IF(AND($Q$1=FALSE,$S$3=FALSE),"-",IF(AND($Q$1=TRUE,$S$3=TRUE),"-",IF(AND($Q$1=FALSE,$S$3=FALSE),"-",IF(AND($Q$1=TRUE,$S$1=TRUE,$S$4=FALSE)=TRUE,IF(OR($Q$4=TRUE,$Q$5=TRUE,$S$2=TRUE),VLOOKUP($G150,'KO Calc'!$H:$AW,12,FALSE),VLOOKUP($G150,'KO Calc'!$H156:$AW156,12,FALSE)),IF(AND($Q$1=TRUE,$S$4=FALSE),IF(OR($Q$4=TRUE,$Q$5=TRUE,$S$2=TRUE),VLOOKUP($G150,'KO Calc'!$H:$AW,2,FALSE),VLOOKUP($G150,'KO Calc'!$H156:$AW156,2,FALSE)),
IF(AND($Q$1=TRUE,$S$1=TRUE,$S$4=TRUE)=TRUE,IF(OR($Q$4=TRUE,$Q$5=TRUE,$S$2=TRUE),VLOOKUP($G150,'KO Calc'!$H:$AW,17,FALSE),VLOOKUP($G150,'KO Calc'!$H156:$AW156,17,FALSE)),IF(AND($Q$1=TRUE,$S$4=TRUE),IF(OR($Q$4=TRUE,$Q$5=TRUE,$S$2=TRUE),VLOOKUP($G150,'KO Calc'!$H:$AW,7,FALSE),VLOOKUP($G150,'KO Calc'!$H156:$AW156,7,FALSE)),
IF(AND($S$3=TRUE,$S$1=TRUE,$S$4=FALSE)=TRUE,IF(OR($Q$4=TRUE,$Q$5=TRUE,$S$2=TRUE),VLOOKUP($G150,'KO Calc'!$H:$AW,32,FALSE),VLOOKUP($G150,'KO Calc'!$H156:$AW156,32,FALSE)),IF(AND($S$3=TRUE,$S$4=FALSE),IF(OR($Q$4=TRUE,$Q$5=TRUE,$S$2=TRUE),VLOOKUP($G150,'KO Calc'!$H:$AW,22,FALSE),VLOOKUP($G150,'KO Calc'!$H156:$AW156,22,FALSE)),
IF(AND($S$3=TRUE,$S$1=TRUE,$S$4=TRUE)=TRUE,IF(OR($Q$4=TRUE,$Q$5=TRUE,$S$2=TRUE),VLOOKUP($G150,'KO Calc'!$H:$AW,37,FALSE),VLOOKUP($G150,'KO Calc'!$H156:$AW156,37,FALSE)),IF(AND($S$3=TRUE,$S$4=TRUE),IF(OR($Q$4=TRUE,$Q$5=TRUE,$S$2=TRUE),VLOOKUP($G150,'KO Calc'!$H:$AW,27,FALSE),VLOOKUP($G150,'KO Calc'!$H156:$AW156,27,FALSE)))))))))))))</f>
        <v>-</v>
      </c>
      <c r="I150" s="36" t="str">
        <f>IF(AND($Q$1=FALSE,$S$3=FALSE),"-",IF(AND($Q$1=TRUE,$S$3=TRUE),"-",IF(AND($Q$1=FALSE,$S$3=FALSE),"-",IF(AND($Q$1=TRUE,$S$1=TRUE,$S$4=FALSE)=TRUE,IF(OR($Q$4=TRUE,$Q$5=TRUE,$S$2=TRUE),VLOOKUP($G150,'KO Calc'!$H:$AW,13,FALSE),VLOOKUP($G150,'KO Calc'!$H156:$AW156,13,FALSE)),IF(AND($Q$1=TRUE,$S$4=FALSE),IF(OR($Q$4=TRUE,$Q$5=TRUE,$S$2=TRUE),VLOOKUP($G150,'KO Calc'!$H:$AW,3,FALSE),VLOOKUP($G150,'KO Calc'!$H156:$AW156,3,FALSE)),
IF(AND($Q$1=TRUE,$S$1=TRUE,$S$4=TRUE)=TRUE,IF(OR($Q$4=TRUE,$Q$5=TRUE,$S$2=TRUE),VLOOKUP($G150,'KO Calc'!$H:$AW,18,FALSE),VLOOKUP($G150,'KO Calc'!$H156:$AW156,18,FALSE)),IF(AND($Q$1=TRUE,$S$4=TRUE),IF(OR($Q$4=TRUE,$Q$5=TRUE,$S$2=TRUE),VLOOKUP($G150,'KO Calc'!$H:$AW,8,FALSE),VLOOKUP($G150,'KO Calc'!$H156:$AW156,8,FALSE)),
IF(AND($S$3=TRUE,$S$1=TRUE,$S$4=FALSE)=TRUE,IF(OR($Q$4=TRUE,$Q$5=TRUE,$S$2=TRUE),VLOOKUP($G150,'KO Calc'!$H:$AW,33,FALSE),VLOOKUP($G150,'KO Calc'!$H156:$AW156,33,FALSE)),IF(AND($S$3=TRUE,$S$4=FALSE),IF(OR($Q$4=TRUE,$Q$5=TRUE,$S$2=TRUE),VLOOKUP($G150,'KO Calc'!$H:$AW,23,FALSE),VLOOKUP($G150,'KO Calc'!$H156:$AW156,23,FALSE)),
IF(AND($S$3=TRUE,$S$1=TRUE,$S$4=TRUE)=TRUE,IF(OR($Q$4=TRUE,$Q$5=TRUE,$S$2=TRUE),VLOOKUP($G150,'KO Calc'!$H:$AW,38,FALSE),VLOOKUP($G150,'KO Calc'!$H156:$AW156,38,FALSE)),IF(AND($S$3=TRUE,$S$4=TRUE),IF(OR($Q$4=TRUE,$Q$5=TRUE,$S$2=TRUE),VLOOKUP($G150,'KO Calc'!$H:$AW,28,FALSE),VLOOKUP($G150,'KO Calc'!$H156:$AW156,28,FALSE)))))))))))))</f>
        <v>-</v>
      </c>
      <c r="J150" s="36" t="str">
        <f>IF(AND($Q$1=FALSE,$S$3=FALSE),"-",IF(AND($Q$1=TRUE,$S$3=TRUE),"-",IF(AND($Q$1=FALSE,$S$3=FALSE),"-",IF(AND($Q$1=TRUE,$S$1=TRUE,$S$4=FALSE)=TRUE,IF(OR($Q$4=TRUE,$Q$5=TRUE,$S$2=TRUE),VLOOKUP($G150,'KO Calc'!$H:$AW,FALSE),VLOOKUP($G150,'KO Calc'!$H156:$AW156,14,FALSE)),IF(AND($Q$1=TRUE,$S$4=FALSE),IF(OR($Q$4=TRUE,$Q$5=TRUE,$S$2=TRUE),VLOOKUP($G150,'KO Calc'!$H:$AW,4,FALSE),VLOOKUP($G150,'KO Calc'!$H156:$AW156,4,FALSE)),
IF(AND($Q$1=TRUE,$S$1=TRUE,$S$4=TRUE)=TRUE,IF(OR($Q$4=TRUE,$Q$5=TRUE,$S$2=TRUE),VLOOKUP($G150,'KO Calc'!$H:$AW,19,FALSE),VLOOKUP($G150,'KO Calc'!$H156:$AW156,19,FALSE)),IF(AND($Q$1=TRUE,$S$4=TRUE),IF(OR($Q$4=TRUE,$Q$5=TRUE,$S$2=TRUE),VLOOKUP($G150,'KO Calc'!$H:$AW,9,FALSE),VLOOKUP($G150,'KO Calc'!$H156:$AW156,9,FALSE)),
IF(AND($S$3=TRUE,$S$1=TRUE,$S$4=FALSE)=TRUE,IF(OR($Q$4=TRUE,$Q$5=TRUE,$S$2=TRUE),VLOOKUP($G150,'KO Calc'!$H:$AW,34,FALSE),VLOOKUP($G150,'KO Calc'!$H156:$AW156,34,FALSE)),IF(AND($S$3=TRUE,$S$4=FALSE),IF(OR($Q$4=TRUE,$Q$5=TRUE,$S$2=TRUE),VLOOKUP($G150,'KO Calc'!$H:$AW,24,FALSE),VLOOKUP($G150,'KO Calc'!$H156:$AW156,24,FALSE)),
IF(AND($S$3=TRUE,$S$1=TRUE,$S$4=TRUE)=TRUE,IF(OR($Q$4=TRUE,$Q$5=TRUE,$S$2=TRUE),VLOOKUP($G150,'KO Calc'!$H:$AW,39,FALSE),VLOOKUP($G150,'KO Calc'!$H156:$AW156,39,FALSE)),IF(AND($S$3=TRUE,$S$4=TRUE),IF(OR($Q$4=TRUE,$Q$5=TRUE,$S$2=TRUE),VLOOKUP($G150,'KO Calc'!$H:$AW,29,FALSE),VLOOKUP($G150,'KO Calc'!$H156:$AW156,29,FALSE)))))))))))))</f>
        <v>-</v>
      </c>
      <c r="K150" s="36" t="str">
        <f>IF(AND($Q$1=FALSE,$S$3=FALSE),"-",IF(AND($Q$1=TRUE,$S$3=TRUE),"-",IF(AND($Q$1=FALSE,$S$3=FALSE),"-",IF(AND($Q$1=TRUE,$S$1=TRUE,$S$4=FALSE)=TRUE,IF(OR($Q$4=TRUE,$Q$5=TRUE,$S$2=TRUE),VLOOKUP($G150,'KO Calc'!$H:$AW,15,FALSE),VLOOKUP($G150,'KO Calc'!$H156:$AW156,15,FALSE)),IF(AND($Q$1=TRUE,$S$4=FALSE),IF(OR($Q$4=TRUE,$Q$5=TRUE,$S$2=TRUE),VLOOKUP($G150,'KO Calc'!$H:$AW,5,FALSE),VLOOKUP($G150,'KO Calc'!$H156:$AW156,5,FALSE)),
IF(AND($Q$1=TRUE,$S$1=TRUE,$S$4=TRUE)=TRUE,IF(OR($Q$4=TRUE,$Q$5=TRUE,$S$2=TRUE),VLOOKUP($G150,'KO Calc'!$H:$AW,20,FALSE),VLOOKUP($G150,'KO Calc'!$H156:$AW156,20,FALSE)),IF(AND($Q$1=TRUE,$S$4=TRUE),IF(OR($Q$4=TRUE,$Q$5=TRUE,$S$2=TRUE),VLOOKUP($G150,'KO Calc'!$H:$AW,10,FALSE),VLOOKUP($G150,'KO Calc'!$H156:$AW156,10,FALSE)),
IF(AND($S$3=TRUE,$S$1=TRUE,$S$4=FALSE)=TRUE,IF(OR($Q$4=TRUE,$Q$5=TRUE,$S$2=TRUE),VLOOKUP($G150,'KO Calc'!$H:$AW,35,FALSE),VLOOKUP($G150,'KO Calc'!$H156:$AW156,35,FALSE)),IF(AND($S$3=TRUE,$S$4=FALSE),IF(OR($Q$4=TRUE,$Q$5=TRUE,$S$2=TRUE),VLOOKUP($G150,'KO Calc'!$H:$AW,25,FALSE),VLOOKUP($G150,'KO Calc'!$H156:$AW156,25,FALSE)),
IF(AND($S$3=TRUE,$S$1=TRUE,$S$4=TRUE)=TRUE,IF(OR($Q$4=TRUE,$Q$5=TRUE,$S$2=TRUE),VLOOKUP($G150,'KO Calc'!$H:$AW,40,FALSE),VLOOKUP($G150,'KO Calc'!$H156:$AW156,40,FALSE)),IF(AND($S$3=TRUE,$S$4=TRUE),IF(OR($Q$4=TRUE,$Q$5=TRUE,$S$2=TRUE),VLOOKUP($G150,'KO Calc'!$H:$AW,30,FALSE),VLOOKUP($G150,'KO Calc'!$H156:$AW156,30,FALSE)))))))))))))</f>
        <v>-</v>
      </c>
      <c r="L150" s="36" t="str">
        <f>IFERROR(IF(AND($Q$1=FALSE,$S$3=FALSE),"-",VLOOKUP($E150,'Status Thresholds'!$E:$AU,43,FALSE)),"-")</f>
        <v>-</v>
      </c>
      <c r="M150" s="36" t="str">
        <f>IFERROR(IF(AND($Q$1=FALSE,$S$3=FALSE),"-",VLOOKUP($E150,'Status Thresholds'!$E:$AU,41,FALSE)),"-")</f>
        <v>-</v>
      </c>
      <c r="N150" s="36" t="str">
        <f>IFERROR(IF(AND($Q$1=FALSE,$S$3=FALSE),"-",VLOOKUP($E150,'Status Thresholds'!$E:$AU,42,FALSE)),"-")</f>
        <v>-</v>
      </c>
    </row>
    <row r="151" spans="1:14" x14ac:dyDescent="0.25">
      <c r="B151" s="64" t="str">
        <f>VLOOKUP(C151,'Status Thresholds'!B:C,2,FALSE)</f>
        <v>MHGen</v>
      </c>
      <c r="C151" s="46" t="str">
        <f>IF(ISBLANK('KO Calc'!C147)=TRUE,"",'KO Calc'!C147)</f>
        <v>Brachydios</v>
      </c>
      <c r="D151" s="78"/>
      <c r="E151" s="62" t="str">
        <f t="shared" si="5"/>
        <v>Brachydios</v>
      </c>
      <c r="F151" t="s">
        <v>11</v>
      </c>
      <c r="G151" s="36" t="str">
        <f t="shared" si="6"/>
        <v>BrachydiosCrag 1</v>
      </c>
      <c r="H151" s="36" t="str">
        <f>IF(AND($Q$1=FALSE,$S$3=FALSE),"-",IF(AND($Q$1=TRUE,$S$3=TRUE),"-",IF(AND($Q$1=FALSE,$S$3=FALSE),"-",IF(AND($Q$1=TRUE,$S$1=TRUE,$S$4=FALSE)=TRUE,IF(OR($Q$4=TRUE,$Q$5=TRUE,$S$2=TRUE),VLOOKUP($G151,'KO Calc'!$H:$AW,12,FALSE),VLOOKUP($G151,'KO Calc'!$H157:$AW157,12,FALSE)),IF(AND($Q$1=TRUE,$S$4=FALSE),IF(OR($Q$4=TRUE,$Q$5=TRUE,$S$2=TRUE),VLOOKUP($G151,'KO Calc'!$H:$AW,2,FALSE),VLOOKUP($G151,'KO Calc'!$H157:$AW157,2,FALSE)),
IF(AND($Q$1=TRUE,$S$1=TRUE,$S$4=TRUE)=TRUE,IF(OR($Q$4=TRUE,$Q$5=TRUE,$S$2=TRUE),VLOOKUP($G151,'KO Calc'!$H:$AW,17,FALSE),VLOOKUP($G151,'KO Calc'!$H157:$AW157,17,FALSE)),IF(AND($Q$1=TRUE,$S$4=TRUE),IF(OR($Q$4=TRUE,$Q$5=TRUE,$S$2=TRUE),VLOOKUP($G151,'KO Calc'!$H:$AW,7,FALSE),VLOOKUP($G151,'KO Calc'!$H157:$AW157,7,FALSE)),
IF(AND($S$3=TRUE,$S$1=TRUE,$S$4=FALSE)=TRUE,IF(OR($Q$4=TRUE,$Q$5=TRUE,$S$2=TRUE),VLOOKUP($G151,'KO Calc'!$H:$AW,32,FALSE),VLOOKUP($G151,'KO Calc'!$H157:$AW157,32,FALSE)),IF(AND($S$3=TRUE,$S$4=FALSE),IF(OR($Q$4=TRUE,$Q$5=TRUE,$S$2=TRUE),VLOOKUP($G151,'KO Calc'!$H:$AW,22,FALSE),VLOOKUP($G151,'KO Calc'!$H157:$AW157,22,FALSE)),
IF(AND($S$3=TRUE,$S$1=TRUE,$S$4=TRUE)=TRUE,IF(OR($Q$4=TRUE,$Q$5=TRUE,$S$2=TRUE),VLOOKUP($G151,'KO Calc'!$H:$AW,37,FALSE),VLOOKUP($G151,'KO Calc'!$H157:$AW157,37,FALSE)),IF(AND($S$3=TRUE,$S$4=TRUE),IF(OR($Q$4=TRUE,$Q$5=TRUE,$S$2=TRUE),VLOOKUP($G151,'KO Calc'!$H:$AW,27,FALSE),VLOOKUP($G151,'KO Calc'!$H157:$AW157,27,FALSE)))))))))))))</f>
        <v>-</v>
      </c>
      <c r="I151" s="36" t="str">
        <f>IF(AND($Q$1=FALSE,$S$3=FALSE),"-",IF(AND($Q$1=TRUE,$S$3=TRUE),"-",IF(AND($Q$1=FALSE,$S$3=FALSE),"-",IF(AND($Q$1=TRUE,$S$1=TRUE,$S$4=FALSE)=TRUE,IF(OR($Q$4=TRUE,$Q$5=TRUE,$S$2=TRUE),VLOOKUP($G151,'KO Calc'!$H:$AW,13,FALSE),VLOOKUP($G151,'KO Calc'!$H157:$AW157,13,FALSE)),IF(AND($Q$1=TRUE,$S$4=FALSE),IF(OR($Q$4=TRUE,$Q$5=TRUE,$S$2=TRUE),VLOOKUP($G151,'KO Calc'!$H:$AW,3,FALSE),VLOOKUP($G151,'KO Calc'!$H157:$AW157,3,FALSE)),
IF(AND($Q$1=TRUE,$S$1=TRUE,$S$4=TRUE)=TRUE,IF(OR($Q$4=TRUE,$Q$5=TRUE,$S$2=TRUE),VLOOKUP($G151,'KO Calc'!$H:$AW,18,FALSE),VLOOKUP($G151,'KO Calc'!$H157:$AW157,18,FALSE)),IF(AND($Q$1=TRUE,$S$4=TRUE),IF(OR($Q$4=TRUE,$Q$5=TRUE,$S$2=TRUE),VLOOKUP($G151,'KO Calc'!$H:$AW,8,FALSE),VLOOKUP($G151,'KO Calc'!$H157:$AW157,8,FALSE)),
IF(AND($S$3=TRUE,$S$1=TRUE,$S$4=FALSE)=TRUE,IF(OR($Q$4=TRUE,$Q$5=TRUE,$S$2=TRUE),VLOOKUP($G151,'KO Calc'!$H:$AW,33,FALSE),VLOOKUP($G151,'KO Calc'!$H157:$AW157,33,FALSE)),IF(AND($S$3=TRUE,$S$4=FALSE),IF(OR($Q$4=TRUE,$Q$5=TRUE,$S$2=TRUE),VLOOKUP($G151,'KO Calc'!$H:$AW,23,FALSE),VLOOKUP($G151,'KO Calc'!$H157:$AW157,23,FALSE)),
IF(AND($S$3=TRUE,$S$1=TRUE,$S$4=TRUE)=TRUE,IF(OR($Q$4=TRUE,$Q$5=TRUE,$S$2=TRUE),VLOOKUP($G151,'KO Calc'!$H:$AW,38,FALSE),VLOOKUP($G151,'KO Calc'!$H157:$AW157,38,FALSE)),IF(AND($S$3=TRUE,$S$4=TRUE),IF(OR($Q$4=TRUE,$Q$5=TRUE,$S$2=TRUE),VLOOKUP($G151,'KO Calc'!$H:$AW,28,FALSE),VLOOKUP($G151,'KO Calc'!$H157:$AW157,28,FALSE)))))))))))))</f>
        <v>-</v>
      </c>
      <c r="J151" s="36" t="str">
        <f>IF(AND($Q$1=FALSE,$S$3=FALSE),"-",IF(AND($Q$1=TRUE,$S$3=TRUE),"-",IF(AND($Q$1=FALSE,$S$3=FALSE),"-",IF(AND($Q$1=TRUE,$S$1=TRUE,$S$4=FALSE)=TRUE,IF(OR($Q$4=TRUE,$Q$5=TRUE,$S$2=TRUE),VLOOKUP($G151,'KO Calc'!$H:$AW,FALSE),VLOOKUP($G151,'KO Calc'!$H157:$AW157,14,FALSE)),IF(AND($Q$1=TRUE,$S$4=FALSE),IF(OR($Q$4=TRUE,$Q$5=TRUE,$S$2=TRUE),VLOOKUP($G151,'KO Calc'!$H:$AW,4,FALSE),VLOOKUP($G151,'KO Calc'!$H157:$AW157,4,FALSE)),
IF(AND($Q$1=TRUE,$S$1=TRUE,$S$4=TRUE)=TRUE,IF(OR($Q$4=TRUE,$Q$5=TRUE,$S$2=TRUE),VLOOKUP($G151,'KO Calc'!$H:$AW,19,FALSE),VLOOKUP($G151,'KO Calc'!$H157:$AW157,19,FALSE)),IF(AND($Q$1=TRUE,$S$4=TRUE),IF(OR($Q$4=TRUE,$Q$5=TRUE,$S$2=TRUE),VLOOKUP($G151,'KO Calc'!$H:$AW,9,FALSE),VLOOKUP($G151,'KO Calc'!$H157:$AW157,9,FALSE)),
IF(AND($S$3=TRUE,$S$1=TRUE,$S$4=FALSE)=TRUE,IF(OR($Q$4=TRUE,$Q$5=TRUE,$S$2=TRUE),VLOOKUP($G151,'KO Calc'!$H:$AW,34,FALSE),VLOOKUP($G151,'KO Calc'!$H157:$AW157,34,FALSE)),IF(AND($S$3=TRUE,$S$4=FALSE),IF(OR($Q$4=TRUE,$Q$5=TRUE,$S$2=TRUE),VLOOKUP($G151,'KO Calc'!$H:$AW,24,FALSE),VLOOKUP($G151,'KO Calc'!$H157:$AW157,24,FALSE)),
IF(AND($S$3=TRUE,$S$1=TRUE,$S$4=TRUE)=TRUE,IF(OR($Q$4=TRUE,$Q$5=TRUE,$S$2=TRUE),VLOOKUP($G151,'KO Calc'!$H:$AW,39,FALSE),VLOOKUP($G151,'KO Calc'!$H157:$AW157,39,FALSE)),IF(AND($S$3=TRUE,$S$4=TRUE),IF(OR($Q$4=TRUE,$Q$5=TRUE,$S$2=TRUE),VLOOKUP($G151,'KO Calc'!$H:$AW,29,FALSE),VLOOKUP($G151,'KO Calc'!$H157:$AW157,29,FALSE)))))))))))))</f>
        <v>-</v>
      </c>
      <c r="K151" s="36" t="str">
        <f>IF(AND($Q$1=FALSE,$S$3=FALSE),"-",IF(AND($Q$1=TRUE,$S$3=TRUE),"-",IF(AND($Q$1=FALSE,$S$3=FALSE),"-",IF(AND($Q$1=TRUE,$S$1=TRUE,$S$4=FALSE)=TRUE,IF(OR($Q$4=TRUE,$Q$5=TRUE,$S$2=TRUE),VLOOKUP($G151,'KO Calc'!$H:$AW,15,FALSE),VLOOKUP($G151,'KO Calc'!$H157:$AW157,15,FALSE)),IF(AND($Q$1=TRUE,$S$4=FALSE),IF(OR($Q$4=TRUE,$Q$5=TRUE,$S$2=TRUE),VLOOKUP($G151,'KO Calc'!$H:$AW,5,FALSE),VLOOKUP($G151,'KO Calc'!$H157:$AW157,5,FALSE)),
IF(AND($Q$1=TRUE,$S$1=TRUE,$S$4=TRUE)=TRUE,IF(OR($Q$4=TRUE,$Q$5=TRUE,$S$2=TRUE),VLOOKUP($G151,'KO Calc'!$H:$AW,20,FALSE),VLOOKUP($G151,'KO Calc'!$H157:$AW157,20,FALSE)),IF(AND($Q$1=TRUE,$S$4=TRUE),IF(OR($Q$4=TRUE,$Q$5=TRUE,$S$2=TRUE),VLOOKUP($G151,'KO Calc'!$H:$AW,10,FALSE),VLOOKUP($G151,'KO Calc'!$H157:$AW157,10,FALSE)),
IF(AND($S$3=TRUE,$S$1=TRUE,$S$4=FALSE)=TRUE,IF(OR($Q$4=TRUE,$Q$5=TRUE,$S$2=TRUE),VLOOKUP($G151,'KO Calc'!$H:$AW,35,FALSE),VLOOKUP($G151,'KO Calc'!$H157:$AW157,35,FALSE)),IF(AND($S$3=TRUE,$S$4=FALSE),IF(OR($Q$4=TRUE,$Q$5=TRUE,$S$2=TRUE),VLOOKUP($G151,'KO Calc'!$H:$AW,25,FALSE),VLOOKUP($G151,'KO Calc'!$H157:$AW157,25,FALSE)),
IF(AND($S$3=TRUE,$S$1=TRUE,$S$4=TRUE)=TRUE,IF(OR($Q$4=TRUE,$Q$5=TRUE,$S$2=TRUE),VLOOKUP($G151,'KO Calc'!$H:$AW,40,FALSE),VLOOKUP($G151,'KO Calc'!$H157:$AW157,40,FALSE)),IF(AND($S$3=TRUE,$S$4=TRUE),IF(OR($Q$4=TRUE,$Q$5=TRUE,$S$2=TRUE),VLOOKUP($G151,'KO Calc'!$H:$AW,30,FALSE),VLOOKUP($G151,'KO Calc'!$H157:$AW157,30,FALSE)))))))))))))</f>
        <v>-</v>
      </c>
      <c r="L151" s="36" t="str">
        <f>IFERROR(VLOOKUP($E151,'Status Thresholds'!$E:$AS,41,FALSE),"-")</f>
        <v>-</v>
      </c>
    </row>
    <row r="152" spans="1:14" x14ac:dyDescent="0.25">
      <c r="B152" s="64" t="str">
        <f>VLOOKUP(C152,'Status Thresholds'!B:C,2,FALSE)</f>
        <v>MHGen</v>
      </c>
      <c r="C152" s="46" t="str">
        <f>IF(ISBLANK('KO Calc'!C148)=TRUE,"",'KO Calc'!C148)</f>
        <v>Brachydios</v>
      </c>
      <c r="D152" s="78"/>
      <c r="E152" s="62"/>
      <c r="G152" s="36"/>
      <c r="L152" s="36" t="str">
        <f>IFERROR(VLOOKUP($E152,'Status Thresholds'!$E:$AS,41,FALSE),"-")</f>
        <v>-</v>
      </c>
    </row>
    <row r="153" spans="1:14" s="36" customFormat="1" x14ac:dyDescent="0.25">
      <c r="B153" s="64" t="str">
        <f>VLOOKUP(C153,'Status Thresholds'!B:C,2,FALSE)</f>
        <v>MHGen</v>
      </c>
      <c r="C153" s="46" t="str">
        <f>IF(ISBLANK('KO Calc'!C149)=TRUE,"",'KO Calc'!C149)</f>
        <v>Brachydios (Raging)</v>
      </c>
      <c r="D153" s="65" t="s">
        <v>0</v>
      </c>
      <c r="E153" s="62" t="str">
        <f t="shared" si="5"/>
        <v>Brachydios (Raging)Para</v>
      </c>
      <c r="F153" s="36" t="s">
        <v>2</v>
      </c>
      <c r="G153" s="36" t="str">
        <f t="shared" si="6"/>
        <v>Brachydios (Raging)Para lvl 2</v>
      </c>
      <c r="H153" s="36" t="str">
        <f>IFERROR(ROUNDUP(IF(AND($Q$1=FALSE,$S$3=FALSE),"-",IF(AND($Q$1=TRUE,$S$3=TRUE),"-",IF(AND($Q$1=TRUE,$S$1=TRUE,$S$4=FALSE),VLOOKUP($E153,'Status Thresholds'!$E:$AS,12,FALSE),IF(AND($Q$1=TRUE,$S$4=FALSE),VLOOKUP($E153,'Status Thresholds'!$E:$AS,2,FALSE), IF(AND($Q$1=TRUE,$S$1=TRUE,$S$4=TRUE),VLOOKUP($E153,'Status Thresholds'!$E:$AS,17,FALSE),IF(AND($Q$1=TRUE,$S$4=TRUE),VLOOKUP($E153,'Status Thresholds'!$E:$AS,7,FALSE),IF(AND($S$3=TRUE,$S$1=TRUE,$S$4=FALSE),VLOOKUP($E153,'Status Thresholds'!$E:$AS,32,FALSE),IF(AND($S$3=TRUE,$S$4=FALSE),VLOOKUP($E153,'Status Thresholds'!$E:$AS,22,FALSE),IF(AND($S$3=TRUE,$S$1=TRUE,$S$4=TRUE),VLOOKUP($E153,'Status Thresholds'!$E:$AS,37,FALSE),IF(AND($S$3=TRUE,$S$4=TRUE),VLOOKUP($E153,'Status Thresholds'!$E:$AS,27,FALSE),""))))))))/IF(OR($Q$3=TRUE,AND($Q$2=TRUE,$Q$7=TRUE),AND($Q$3=TRUE,$Q$7=TRUE))=TRUE,'Shots and Status'!$F$5,IF((OR($Q$2,$Q$7)=TRUE),'Shots and Status'!$D$5,'Shots and Status'!$C$5)))),0),"-")</f>
        <v>-</v>
      </c>
      <c r="I153" s="36" t="str">
        <f>IFERROR(ROUNDUP(IF(AND($Q$1=FALSE,$S$3=FALSE),"-",IF(AND($Q$1=TRUE,$S$3=TRUE),"-",IF(AND($Q$1=TRUE,$S$1=TRUE,$S$4=FALSE),VLOOKUP($E153,'Status Thresholds'!$E:$AS,13,FALSE),IF(AND($Q$1=TRUE,$S$4=FALSE),VLOOKUP($E153,'Status Thresholds'!$E:$AS,3,FALSE), IF(AND($Q$1=TRUE,$S$1=TRUE,$S$4=TRUE),VLOOKUP($E153,'Status Thresholds'!$E:$AS,18,FALSE),IF(AND($Q$1=TRUE,$S$4=TRUE),VLOOKUP($E153,'Status Thresholds'!$E:$AS,8,FALSE),IF(AND($S$3=TRUE,$S$1=TRUE,$S$4=FALSE),VLOOKUP($E153,'Status Thresholds'!$E:$AS,33,FALSE),IF(AND($S$3=TRUE,$S$4=FALSE),VLOOKUP($E153,'Status Thresholds'!$E:$AS,23,FALSE),IF(AND($S$3=TRUE,$S$1=TRUE,$S$4=TRUE),VLOOKUP($E153,'Status Thresholds'!$E:$AS,38,FALSE),IF(AND($S$3=TRUE,$S$4=TRUE),VLOOKUP($E153,'Status Thresholds'!$E:$AS,28,FALSE),""))))))))/IF(OR($Q$3=TRUE,AND($Q$2=TRUE,$Q$7=TRUE),AND($Q$3=TRUE,$Q$7=TRUE))=TRUE,'Shots and Status'!$F$5,IF((OR($Q$2,$Q$7)=TRUE),'Shots and Status'!$D$5,'Shots and Status'!$C$5)))),0),"-")</f>
        <v>-</v>
      </c>
      <c r="J153" s="36" t="str">
        <f>IFERROR(ROUNDUP(IF(AND($Q$1=FALSE,$S$3=FALSE),"-",IF(AND($Q$1=TRUE,$S$3=TRUE),"-",IF(AND($Q$1=TRUE,$S$1=TRUE,$S$4=FALSE),VLOOKUP($E153,'Status Thresholds'!$E:$AS,14,FALSE),IF(AND($Q$1=TRUE,$S$4=FALSE),VLOOKUP($E153,'Status Thresholds'!$E:$AS,4,FALSE), IF(AND($Q$1=TRUE,$S$1=TRUE,$S$4=TRUE),VLOOKUP($E153,'Status Thresholds'!$E:$AS,19,FALSE),IF(AND($Q$1=TRUE,$S$4=TRUE),VLOOKUP($E153,'Status Thresholds'!$E:$AS,9,FALSE),IF(AND($S$3=TRUE,$S$1=TRUE,$S$4=FALSE),VLOOKUP($E153,'Status Thresholds'!$E:$AS,34,FALSE),IF(AND($S$3=TRUE,$S$4=FALSE),VLOOKUP($E153,'Status Thresholds'!$E:$AS,24,FALSE),IF(AND($S$3=TRUE,$S$1=TRUE,$S$4=TRUE),VLOOKUP($E153,'Status Thresholds'!$E:$AS,39,FALSE),IF(AND($S$3=TRUE,$S$4=TRUE),VLOOKUP($E153,'Status Thresholds'!$E:$AS,29,FALSE),""))))))))/IF(OR($Q$3=TRUE,AND($Q$2=TRUE,$Q$7=TRUE),AND($Q$3=TRUE,$Q$7=TRUE))=TRUE,'Shots and Status'!$F$5,IF((OR($Q$2,$Q$7)=TRUE),'Shots and Status'!$D$5,'Shots and Status'!$C$5)))),0),"-")</f>
        <v>-</v>
      </c>
      <c r="K153" s="36" t="str">
        <f>IFERROR(ROUNDUP(IF(AND($Q$1=FALSE,$S$3=FALSE),"-",IF(AND($Q$1=TRUE,$S$3=TRUE),"-",IF(AND($Q$1=TRUE,$S$1=TRUE,$S$4=FALSE),VLOOKUP($E153,'Status Thresholds'!$E:$AS,15,FALSE),IF(AND($Q$1=TRUE,$S$4=FALSE),VLOOKUP($E153,'Status Thresholds'!$E:$AS,5,FALSE), IF(AND($Q$1=TRUE,$S$1=TRUE,$S$4=TRUE),VLOOKUP($E153,'Status Thresholds'!$E:$AS,20,FALSE),IF(AND($Q$1=TRUE,$S$4=TRUE),VLOOKUP($E153,'Status Thresholds'!$E:$AS,10,FALSE),IF(AND($S$3=TRUE,$S$1=TRUE,$S$4=FALSE),VLOOKUP($E153,'Status Thresholds'!$E:$AS,35,FALSE),IF(AND($S$3=TRUE,$S$4=FALSE),VLOOKUP($E153,'Status Thresholds'!$E:$AS,25,FALSE),IF(AND($S$3=TRUE,$S$1=TRUE,$S$4=TRUE),VLOOKUP($E153,'Status Thresholds'!$E:$AS,40,FALSE),IF(AND($S$3=TRUE,$S$4=TRUE),VLOOKUP($E153,'Status Thresholds'!$E:$AS,30,FALSE),""))))))))/IF(OR($Q$3=TRUE,AND($Q$2=TRUE,$Q$7=TRUE),AND($Q$3=TRUE,$Q$7=TRUE))=TRUE,'Shots and Status'!$F$5,IF((OR($Q$2,$Q$7)=TRUE),'Shots and Status'!$D$5,'Shots and Status'!$C$5)))),0),"-")</f>
        <v>-</v>
      </c>
      <c r="L153" s="36" t="str">
        <f>IFERROR(IF(AND($Q$1=FALSE,$S$3=FALSE),"-",VLOOKUP($E153,'Status Thresholds'!$E:$AU,41,FALSE)),"-")</f>
        <v>-</v>
      </c>
      <c r="M153" s="36" t="str">
        <f>IFERROR(IF(AND($Q$1=FALSE,$S$3=FALSE),"-",VLOOKUP($E153,'Status Thresholds'!$E:$AU,42,FALSE)),"-")</f>
        <v>-</v>
      </c>
      <c r="N153" s="36" t="str">
        <f>IFERROR(IF(AND($Q$1=FALSE,$S$3=FALSE),"-",VLOOKUP($E153,'Status Thresholds'!$E:$AU,43,FALSE)),"-")</f>
        <v>-</v>
      </c>
    </row>
    <row r="154" spans="1:14" s="59" customFormat="1" x14ac:dyDescent="0.25">
      <c r="A154" s="46"/>
      <c r="B154" s="64" t="str">
        <f>VLOOKUP(C154,'Status Thresholds'!B:C,2,FALSE)</f>
        <v>MHGen</v>
      </c>
      <c r="C154" s="46" t="str">
        <f>IF(ISBLANK('KO Calc'!C150)=TRUE,"",'KO Calc'!C150)</f>
        <v>Brachydios (Raging)</v>
      </c>
      <c r="D154" s="60" t="s">
        <v>32</v>
      </c>
      <c r="E154" s="62" t="str">
        <f t="shared" si="5"/>
        <v>Brachydios (Raging)Sleep</v>
      </c>
      <c r="F154" s="59" t="s">
        <v>5</v>
      </c>
      <c r="G154" s="36" t="str">
        <f t="shared" si="6"/>
        <v>Brachydios (Raging)Sleep lvl 2</v>
      </c>
      <c r="H154" s="36" t="str">
        <f>IFERROR(ROUNDUP(IF(AND($Q$1=FALSE,$S$3=FALSE),"-",IF(AND($Q$1=TRUE,$S$3=TRUE),"-",IF(AND($Q$1=TRUE,$S$1=TRUE,$S$4=FALSE),VLOOKUP($E154,'Status Thresholds'!$E:$AS,12,FALSE),IF(AND($Q$1=TRUE,$S$4=FALSE),VLOOKUP($E154,'Status Thresholds'!$E:$AS,2,FALSE), IF(AND($Q$1=TRUE,$S$1=TRUE,$S$4=TRUE),VLOOKUP($E154,'Status Thresholds'!$E:$AS,17,FALSE),IF(AND($Q$1=TRUE,$S$4=TRUE),VLOOKUP($E154,'Status Thresholds'!$E:$AS,7,FALSE),IF(AND($S$3=TRUE,$S$1=TRUE,$S$4=FALSE),VLOOKUP($E154,'Status Thresholds'!$E:$AS,32,FALSE),IF(AND($S$3=TRUE,$S$4=FALSE),VLOOKUP($E154,'Status Thresholds'!$E:$AS,22,FALSE),IF(AND($S$3=TRUE,$S$1=TRUE,$S$4=TRUE),VLOOKUP($E154,'Status Thresholds'!$E:$AS,37,FALSE),IF(AND($S$3=TRUE,$S$4=TRUE),VLOOKUP($E154,'Status Thresholds'!$E:$AS,27,FALSE),""))))))))/IF(OR($Q$3=TRUE,AND($Q$2=TRUE,$Q$7=TRUE),AND($Q$3=TRUE,$Q$7=TRUE))=TRUE,'Shots and Status'!$F$5,IF((OR($Q$2,$Q$7)=TRUE),'Shots and Status'!$D$5,'Shots and Status'!$C$5)))),0),"-")</f>
        <v>-</v>
      </c>
      <c r="I154" s="36" t="str">
        <f>IFERROR(ROUNDUP(IF(AND($Q$1=FALSE,$S$3=FALSE),"-",IF(AND($Q$1=TRUE,$S$3=TRUE),"-",IF(AND($Q$1=TRUE,$S$1=TRUE,$S$4=FALSE),VLOOKUP($E154,'Status Thresholds'!$E:$AS,13,FALSE),IF(AND($Q$1=TRUE,$S$4=FALSE),VLOOKUP($E154,'Status Thresholds'!$E:$AS,3,FALSE), IF(AND($Q$1=TRUE,$S$1=TRUE,$S$4=TRUE),VLOOKUP($E154,'Status Thresholds'!$E:$AS,18,FALSE),IF(AND($Q$1=TRUE,$S$4=TRUE),VLOOKUP($E154,'Status Thresholds'!$E:$AS,8,FALSE),IF(AND($S$3=TRUE,$S$1=TRUE,$S$4=FALSE),VLOOKUP($E154,'Status Thresholds'!$E:$AS,33,FALSE),IF(AND($S$3=TRUE,$S$4=FALSE),VLOOKUP($E154,'Status Thresholds'!$E:$AS,23,FALSE),IF(AND($S$3=TRUE,$S$1=TRUE,$S$4=TRUE),VLOOKUP($E154,'Status Thresholds'!$E:$AS,38,FALSE),IF(AND($S$3=TRUE,$S$4=TRUE),VLOOKUP($E154,'Status Thresholds'!$E:$AS,28,FALSE),""))))))))/IF(OR($Q$3=TRUE,AND($Q$2=TRUE,$Q$7=TRUE),AND($Q$3=TRUE,$Q$7=TRUE))=TRUE,'Shots and Status'!$F$5,IF((OR($Q$2,$Q$7)=TRUE),'Shots and Status'!$D$5,'Shots and Status'!$C$5)))),0),"-")</f>
        <v>-</v>
      </c>
      <c r="J154" s="36" t="str">
        <f>IFERROR(ROUNDUP(IF(AND($Q$1=FALSE,$S$3=FALSE),"-",IF(AND($Q$1=TRUE,$S$3=TRUE),"-",IF(AND($Q$1=TRUE,$S$1=TRUE,$S$4=FALSE),VLOOKUP($E154,'Status Thresholds'!$E:$AS,14,FALSE),IF(AND($Q$1=TRUE,$S$4=FALSE),VLOOKUP($E154,'Status Thresholds'!$E:$AS,4,FALSE), IF(AND($Q$1=TRUE,$S$1=TRUE,$S$4=TRUE),VLOOKUP($E154,'Status Thresholds'!$E:$AS,19,FALSE),IF(AND($Q$1=TRUE,$S$4=TRUE),VLOOKUP($E154,'Status Thresholds'!$E:$AS,9,FALSE),IF(AND($S$3=TRUE,$S$1=TRUE,$S$4=FALSE),VLOOKUP($E154,'Status Thresholds'!$E:$AS,34,FALSE),IF(AND($S$3=TRUE,$S$4=FALSE),VLOOKUP($E154,'Status Thresholds'!$E:$AS,24,FALSE),IF(AND($S$3=TRUE,$S$1=TRUE,$S$4=TRUE),VLOOKUP($E154,'Status Thresholds'!$E:$AS,39,FALSE),IF(AND($S$3=TRUE,$S$4=TRUE),VLOOKUP($E154,'Status Thresholds'!$E:$AS,29,FALSE),""))))))))/IF(OR($Q$3=TRUE,AND($Q$2=TRUE,$Q$7=TRUE),AND($Q$3=TRUE,$Q$7=TRUE))=TRUE,'Shots and Status'!$F$5,IF((OR($Q$2,$Q$7)=TRUE),'Shots and Status'!$D$5,'Shots and Status'!$C$5)))),0),"-")</f>
        <v>-</v>
      </c>
      <c r="K154" s="36" t="str">
        <f>IFERROR(ROUNDUP(IF(AND($Q$1=FALSE,$S$3=FALSE),"-",IF(AND($Q$1=TRUE,$S$3=TRUE),"-",IF(AND($Q$1=TRUE,$S$1=TRUE,$S$4=FALSE),VLOOKUP($E154,'Status Thresholds'!$E:$AS,15,FALSE),IF(AND($Q$1=TRUE,$S$4=FALSE),VLOOKUP($E154,'Status Thresholds'!$E:$AS,5,FALSE), IF(AND($Q$1=TRUE,$S$1=TRUE,$S$4=TRUE),VLOOKUP($E154,'Status Thresholds'!$E:$AS,20,FALSE),IF(AND($Q$1=TRUE,$S$4=TRUE),VLOOKUP($E154,'Status Thresholds'!$E:$AS,10,FALSE),IF(AND($S$3=TRUE,$S$1=TRUE,$S$4=FALSE),VLOOKUP($E154,'Status Thresholds'!$E:$AS,35,FALSE),IF(AND($S$3=TRUE,$S$4=FALSE),VLOOKUP($E154,'Status Thresholds'!$E:$AS,25,FALSE),IF(AND($S$3=TRUE,$S$1=TRUE,$S$4=TRUE),VLOOKUP($E154,'Status Thresholds'!$E:$AS,40,FALSE),IF(AND($S$3=TRUE,$S$4=TRUE),VLOOKUP($E154,'Status Thresholds'!$E:$AS,30,FALSE),""))))))))/IF(OR($Q$3=TRUE,AND($Q$2=TRUE,$Q$7=TRUE),AND($Q$3=TRUE,$Q$7=TRUE))=TRUE,'Shots and Status'!$F$5,IF((OR($Q$2,$Q$7)=TRUE),'Shots and Status'!$D$5,'Shots and Status'!$C$5)))),0),"-")</f>
        <v>-</v>
      </c>
      <c r="L154" s="36" t="str">
        <f>IFERROR(IF(AND($Q$1=FALSE,$S$3=FALSE),"-",VLOOKUP($E154,'Status Thresholds'!$E:$AU,41,FALSE)),"-")</f>
        <v>-</v>
      </c>
      <c r="M154" s="36" t="str">
        <f>IFERROR(IF(AND($Q$1=FALSE,$S$3=FALSE),"-",VLOOKUP($E154,'Status Thresholds'!$E:$AU,42,FALSE)),"-")</f>
        <v>-</v>
      </c>
      <c r="N154" s="36" t="str">
        <f>IFERROR(IF(AND($Q$1=FALSE,$S$3=FALSE),"-",VLOOKUP($E154,'Status Thresholds'!$E:$AU,43,FALSE)),"-")</f>
        <v>-</v>
      </c>
    </row>
    <row r="155" spans="1:14" s="59" customFormat="1" x14ac:dyDescent="0.25">
      <c r="A155" s="46"/>
      <c r="B155" s="64" t="str">
        <f>VLOOKUP(C155,'Status Thresholds'!B:C,2,FALSE)</f>
        <v>MHGen</v>
      </c>
      <c r="C155" s="46" t="str">
        <f>IF(ISBLANK('KO Calc'!C151)=TRUE,"",'KO Calc'!C151)</f>
        <v>Brachydios (Raging)</v>
      </c>
      <c r="D155" s="58" t="s">
        <v>33</v>
      </c>
      <c r="E155" s="62" t="str">
        <f t="shared" si="5"/>
        <v>Brachydios (Raging)Poison</v>
      </c>
      <c r="F155" s="59" t="s">
        <v>6</v>
      </c>
      <c r="G155" s="36" t="str">
        <f t="shared" si="6"/>
        <v>Brachydios (Raging)Poison lvl 2</v>
      </c>
      <c r="H155" s="36" t="str">
        <f>IFERROR(ROUNDUP(IF(AND($Q$1=FALSE,$S$3=FALSE),"-",IF(AND($Q$1=TRUE,$S$3=TRUE),"-",IF(AND($Q$1=TRUE,$S$1=TRUE,$S$4=FALSE),VLOOKUP($E155,'Status Thresholds'!$E:$AS,12,FALSE),IF(AND($Q$1=TRUE,$S$4=FALSE),VLOOKUP($E155,'Status Thresholds'!$E:$AS,2,FALSE), IF(AND($Q$1=TRUE,$S$1=TRUE,$S$4=TRUE),VLOOKUP($E155,'Status Thresholds'!$E:$AS,17,FALSE),IF(AND($Q$1=TRUE,$S$4=TRUE),VLOOKUP($E155,'Status Thresholds'!$E:$AS,7,FALSE),IF(AND($S$3=TRUE,$S$1=TRUE,$S$4=FALSE),VLOOKUP($E155,'Status Thresholds'!$E:$AS,32,FALSE),IF(AND($S$3=TRUE,$S$4=FALSE),VLOOKUP($E155,'Status Thresholds'!$E:$AS,22,FALSE),IF(AND($S$3=TRUE,$S$1=TRUE,$S$4=TRUE),VLOOKUP($E155,'Status Thresholds'!$E:$AS,37,FALSE),IF(AND($S$3=TRUE,$S$4=TRUE),VLOOKUP($E155,'Status Thresholds'!$E:$AS,27,FALSE),""))))))))/IF(OR($Q$3=TRUE,AND($Q$2=TRUE,$Q$7=TRUE),AND($Q$3=TRUE,$Q$7=TRUE))=TRUE,'Shots and Status'!$F$5,IF((OR($Q$2,$Q$7)=TRUE),'Shots and Status'!$D$5,'Shots and Status'!$C$5)))),0),"-")</f>
        <v>-</v>
      </c>
      <c r="I155" s="36" t="str">
        <f>IFERROR(ROUNDUP(IF(AND($Q$1=FALSE,$S$3=FALSE),"-",IF(AND($Q$1=TRUE,$S$3=TRUE),"-",IF(AND($Q$1=TRUE,$S$1=TRUE,$S$4=FALSE),VLOOKUP($E155,'Status Thresholds'!$E:$AS,13,FALSE),IF(AND($Q$1=TRUE,$S$4=FALSE),VLOOKUP($E155,'Status Thresholds'!$E:$AS,3,FALSE), IF(AND($Q$1=TRUE,$S$1=TRUE,$S$4=TRUE),VLOOKUP($E155,'Status Thresholds'!$E:$AS,18,FALSE),IF(AND($Q$1=TRUE,$S$4=TRUE),VLOOKUP($E155,'Status Thresholds'!$E:$AS,8,FALSE),IF(AND($S$3=TRUE,$S$1=TRUE,$S$4=FALSE),VLOOKUP($E155,'Status Thresholds'!$E:$AS,33,FALSE),IF(AND($S$3=TRUE,$S$4=FALSE),VLOOKUP($E155,'Status Thresholds'!$E:$AS,23,FALSE),IF(AND($S$3=TRUE,$S$1=TRUE,$S$4=TRUE),VLOOKUP($E155,'Status Thresholds'!$E:$AS,38,FALSE),IF(AND($S$3=TRUE,$S$4=TRUE),VLOOKUP($E155,'Status Thresholds'!$E:$AS,28,FALSE),""))))))))/IF(OR($Q$3=TRUE,AND($Q$2=TRUE,$Q$7=TRUE),AND($Q$3=TRUE,$Q$7=TRUE))=TRUE,'Shots and Status'!$F$5,IF((OR($Q$2,$Q$7)=TRUE),'Shots and Status'!$D$5,'Shots and Status'!$C$5)))),0),"-")</f>
        <v>-</v>
      </c>
      <c r="J155" s="36" t="str">
        <f>IFERROR(ROUNDUP(IF(AND($Q$1=FALSE,$S$3=FALSE),"-",IF(AND($Q$1=TRUE,$S$3=TRUE),"-",IF(AND($Q$1=TRUE,$S$1=TRUE,$S$4=FALSE),VLOOKUP($E155,'Status Thresholds'!$E:$AS,14,FALSE),IF(AND($Q$1=TRUE,$S$4=FALSE),VLOOKUP($E155,'Status Thresholds'!$E:$AS,4,FALSE), IF(AND($Q$1=TRUE,$S$1=TRUE,$S$4=TRUE),VLOOKUP($E155,'Status Thresholds'!$E:$AS,19,FALSE),IF(AND($Q$1=TRUE,$S$4=TRUE),VLOOKUP($E155,'Status Thresholds'!$E:$AS,9,FALSE),IF(AND($S$3=TRUE,$S$1=TRUE,$S$4=FALSE),VLOOKUP($E155,'Status Thresholds'!$E:$AS,34,FALSE),IF(AND($S$3=TRUE,$S$4=FALSE),VLOOKUP($E155,'Status Thresholds'!$E:$AS,24,FALSE),IF(AND($S$3=TRUE,$S$1=TRUE,$S$4=TRUE),VLOOKUP($E155,'Status Thresholds'!$E:$AS,39,FALSE),IF(AND($S$3=TRUE,$S$4=TRUE),VLOOKUP($E155,'Status Thresholds'!$E:$AS,29,FALSE),""))))))))/IF(OR($Q$3=TRUE,AND($Q$2=TRUE,$Q$7=TRUE),AND($Q$3=TRUE,$Q$7=TRUE))=TRUE,'Shots and Status'!$F$5,IF((OR($Q$2,$Q$7)=TRUE),'Shots and Status'!$D$5,'Shots and Status'!$C$5)))),0),"-")</f>
        <v>-</v>
      </c>
      <c r="K155" s="36" t="str">
        <f>IFERROR(ROUNDUP(IF(AND($Q$1=FALSE,$S$3=FALSE),"-",IF(AND($Q$1=TRUE,$S$3=TRUE),"-",IF(AND($Q$1=TRUE,$S$1=TRUE,$S$4=FALSE),VLOOKUP($E155,'Status Thresholds'!$E:$AS,15,FALSE),IF(AND($Q$1=TRUE,$S$4=FALSE),VLOOKUP($E155,'Status Thresholds'!$E:$AS,5,FALSE), IF(AND($Q$1=TRUE,$S$1=TRUE,$S$4=TRUE),VLOOKUP($E155,'Status Thresholds'!$E:$AS,20,FALSE),IF(AND($Q$1=TRUE,$S$4=TRUE),VLOOKUP($E155,'Status Thresholds'!$E:$AS,10,FALSE),IF(AND($S$3=TRUE,$S$1=TRUE,$S$4=FALSE),VLOOKUP($E155,'Status Thresholds'!$E:$AS,35,FALSE),IF(AND($S$3=TRUE,$S$4=FALSE),VLOOKUP($E155,'Status Thresholds'!$E:$AS,25,FALSE),IF(AND($S$3=TRUE,$S$1=TRUE,$S$4=TRUE),VLOOKUP($E155,'Status Thresholds'!$E:$AS,40,FALSE),IF(AND($S$3=TRUE,$S$4=TRUE),VLOOKUP($E155,'Status Thresholds'!$E:$AS,30,FALSE),""))))))))/IF(OR($Q$3=TRUE,AND($Q$2=TRUE,$Q$7=TRUE),AND($Q$3=TRUE,$Q$7=TRUE))=TRUE,'Shots and Status'!$F$5,IF((OR($Q$2,$Q$7)=TRUE),'Shots and Status'!$D$5,'Shots and Status'!$C$5)))),0),"-")</f>
        <v>-</v>
      </c>
      <c r="L155" s="36" t="str">
        <f>IFERROR(IF(AND($Q$1=FALSE,$S$3=FALSE),"-",VLOOKUP($E155,'Status Thresholds'!$E:$AU,41,FALSE)),"-")</f>
        <v>-</v>
      </c>
      <c r="M155" s="36" t="str">
        <f>IFERROR(IF(AND($Q$1=FALSE,$S$3=FALSE),"-",VLOOKUP($E155,'Status Thresholds'!$E:$AU,42,FALSE)),"-")</f>
        <v>-</v>
      </c>
      <c r="N155" s="36" t="str">
        <f>IFERROR(IF(AND($Q$1=FALSE,$S$3=FALSE),"-",VLOOKUP($E155,'Status Thresholds'!$E:$AU,43,FALSE)),"-")</f>
        <v>-</v>
      </c>
    </row>
    <row r="156" spans="1:14" s="36" customFormat="1" x14ac:dyDescent="0.25">
      <c r="A156" s="46"/>
      <c r="B156" s="64" t="str">
        <f>VLOOKUP(C156,'Status Thresholds'!B:C,2,FALSE)</f>
        <v>MHGen</v>
      </c>
      <c r="C156" s="46" t="str">
        <f>IF(ISBLANK('KO Calc'!C152)=TRUE,"",'KO Calc'!C152)</f>
        <v>Brachydios (Raging)</v>
      </c>
      <c r="D156" s="57" t="s">
        <v>22</v>
      </c>
      <c r="E156" s="62" t="str">
        <f t="shared" si="5"/>
        <v>Brachydios (Raging)Exhaust</v>
      </c>
      <c r="F156" s="36" t="s">
        <v>8</v>
      </c>
      <c r="G156" s="36" t="str">
        <f t="shared" si="6"/>
        <v>Brachydios (Raging)Exhaust lvl 2</v>
      </c>
      <c r="H156" s="36" t="str">
        <f>IFERROR(ROUNDUP(IF(AND($Q$1=FALSE,$S$3=FALSE),"-",IF(AND($Q$1=TRUE,$S$3=TRUE),"-",IF(AND($Q$1=TRUE,$S$1=TRUE,$S$4=FALSE),VLOOKUP($E156,'Status Thresholds'!$E:$AS,12,FALSE),IF(AND($Q$1=TRUE,$S$4=FALSE),VLOOKUP($E156,'Status Thresholds'!$E:$AS,2,FALSE), IF(AND($Q$1=TRUE,$S$1=TRUE,$S$4=TRUE),VLOOKUP($E156,'Status Thresholds'!$E:$AS,17,FALSE),IF(AND($Q$1=TRUE,$S$4=TRUE),VLOOKUP($E156,'Status Thresholds'!$E:$AS,7,FALSE),IF(AND($S$3=TRUE,$S$1=TRUE,$S$4=FALSE),VLOOKUP($E156,'Status Thresholds'!$E:$AS,32,FALSE),IF(AND($S$3=TRUE,$S$4=FALSE),VLOOKUP($E156,'Status Thresholds'!$E:$AS,22,FALSE),IF(AND($S$3=TRUE,$S$1=TRUE,$S$4=TRUE),VLOOKUP($E156,'Status Thresholds'!$E:$AS,37,FALSE),IF(AND($S$3=TRUE,$S$4=TRUE),VLOOKUP($E156,'Status Thresholds'!$E:$AS,27,FALSE),""))))))))/IF(OR($Q$3=TRUE,AND($Q$2=TRUE,$Q$7=TRUE),AND($Q$3=TRUE,$Q$7=TRUE))=TRUE,'Shots and Status'!$F$5,IF((OR($Q$2,$Q$7)=TRUE),'Shots and Status'!$D$5,'Shots and Status'!$C$5)))),0),"-")</f>
        <v>-</v>
      </c>
      <c r="I156" s="36" t="str">
        <f>IFERROR(ROUNDUP(IF(AND($Q$1=FALSE,$S$3=FALSE),"-",IF(AND($Q$1=TRUE,$S$3=TRUE),"-",IF(AND($Q$1=TRUE,$S$1=TRUE,$S$4=FALSE),VLOOKUP($E156,'Status Thresholds'!$E:$AS,13,FALSE),IF(AND($Q$1=TRUE,$S$4=FALSE),VLOOKUP($E156,'Status Thresholds'!$E:$AS,3,FALSE), IF(AND($Q$1=TRUE,$S$1=TRUE,$S$4=TRUE),VLOOKUP($E156,'Status Thresholds'!$E:$AS,18,FALSE),IF(AND($Q$1=TRUE,$S$4=TRUE),VLOOKUP($E156,'Status Thresholds'!$E:$AS,8,FALSE),IF(AND($S$3=TRUE,$S$1=TRUE,$S$4=FALSE),VLOOKUP($E156,'Status Thresholds'!$E:$AS,33,FALSE),IF(AND($S$3=TRUE,$S$4=FALSE),VLOOKUP($E156,'Status Thresholds'!$E:$AS,23,FALSE),IF(AND($S$3=TRUE,$S$1=TRUE,$S$4=TRUE),VLOOKUP($E156,'Status Thresholds'!$E:$AS,38,FALSE),IF(AND($S$3=TRUE,$S$4=TRUE),VLOOKUP($E156,'Status Thresholds'!$E:$AS,28,FALSE),""))))))))/IF(OR($Q$3=TRUE,AND($Q$2=TRUE,$Q$7=TRUE),AND($Q$3=TRUE,$Q$7=TRUE))=TRUE,'Shots and Status'!$F$5,IF((OR($Q$2,$Q$7)=TRUE),'Shots and Status'!$D$5,'Shots and Status'!$C$5)))),0),"-")</f>
        <v>-</v>
      </c>
      <c r="J156" s="36" t="str">
        <f>IFERROR(ROUNDUP(IF(AND($Q$1=FALSE,$S$3=FALSE),"-",IF(AND($Q$1=TRUE,$S$3=TRUE),"-",IF(AND($Q$1=TRUE,$S$1=TRUE,$S$4=FALSE),VLOOKUP($E156,'Status Thresholds'!$E:$AS,14,FALSE),IF(AND($Q$1=TRUE,$S$4=FALSE),VLOOKUP($E156,'Status Thresholds'!$E:$AS,4,FALSE), IF(AND($Q$1=TRUE,$S$1=TRUE,$S$4=TRUE),VLOOKUP($E156,'Status Thresholds'!$E:$AS,19,FALSE),IF(AND($Q$1=TRUE,$S$4=TRUE),VLOOKUP($E156,'Status Thresholds'!$E:$AS,9,FALSE),IF(AND($S$3=TRUE,$S$1=TRUE,$S$4=FALSE),VLOOKUP($E156,'Status Thresholds'!$E:$AS,34,FALSE),IF(AND($S$3=TRUE,$S$4=FALSE),VLOOKUP($E156,'Status Thresholds'!$E:$AS,24,FALSE),IF(AND($S$3=TRUE,$S$1=TRUE,$S$4=TRUE),VLOOKUP($E156,'Status Thresholds'!$E:$AS,39,FALSE),IF(AND($S$3=TRUE,$S$4=TRUE),VLOOKUP($E156,'Status Thresholds'!$E:$AS,29,FALSE),""))))))))/IF(OR($Q$3=TRUE,AND($Q$2=TRUE,$Q$7=TRUE),AND($Q$3=TRUE,$Q$7=TRUE))=TRUE,'Shots and Status'!$F$5,IF((OR($Q$2,$Q$7)=TRUE),'Shots and Status'!$D$5,'Shots and Status'!$C$5)))),0),"-")</f>
        <v>-</v>
      </c>
      <c r="K156" s="36" t="str">
        <f>IFERROR(ROUNDUP(IF(AND($Q$1=FALSE,$S$3=FALSE),"-",IF(AND($Q$1=TRUE,$S$3=TRUE),"-",IF(AND($Q$1=TRUE,$S$1=TRUE,$S$4=FALSE),VLOOKUP($E156,'Status Thresholds'!$E:$AS,15,FALSE),IF(AND($Q$1=TRUE,$S$4=FALSE),VLOOKUP($E156,'Status Thresholds'!$E:$AS,5,FALSE), IF(AND($Q$1=TRUE,$S$1=TRUE,$S$4=TRUE),VLOOKUP($E156,'Status Thresholds'!$E:$AS,20,FALSE),IF(AND($Q$1=TRUE,$S$4=TRUE),VLOOKUP($E156,'Status Thresholds'!$E:$AS,10,FALSE),IF(AND($S$3=TRUE,$S$1=TRUE,$S$4=FALSE),VLOOKUP($E156,'Status Thresholds'!$E:$AS,35,FALSE),IF(AND($S$3=TRUE,$S$4=FALSE),VLOOKUP($E156,'Status Thresholds'!$E:$AS,25,FALSE),IF(AND($S$3=TRUE,$S$1=TRUE,$S$4=TRUE),VLOOKUP($E156,'Status Thresholds'!$E:$AS,40,FALSE),IF(AND($S$3=TRUE,$S$4=TRUE),VLOOKUP($E156,'Status Thresholds'!$E:$AS,30,FALSE),""))))))))/IF(OR($Q$3=TRUE,AND($Q$2=TRUE,$Q$7=TRUE),AND($Q$3=TRUE,$Q$7=TRUE))=TRUE,'Shots and Status'!$F$5,IF((OR($Q$2,$Q$7)=TRUE),'Shots and Status'!$D$5,'Shots and Status'!$C$5)))),0),"-")</f>
        <v>-</v>
      </c>
      <c r="L156" s="36" t="str">
        <f>IFERROR(IF(AND($Q$1=FALSE,$S$3=FALSE),"-",VLOOKUP($E156,'Status Thresholds'!$E:$AU,41,FALSE)),"-")</f>
        <v>-</v>
      </c>
      <c r="M156" s="36" t="str">
        <f>IFERROR(IF(AND($Q$1=FALSE,$S$3=FALSE),"-",VLOOKUP($E156,'Status Thresholds'!$E:$AU,42,FALSE)),"-")</f>
        <v>-</v>
      </c>
      <c r="N156" s="36" t="str">
        <f>IFERROR(IF(AND($Q$1=FALSE,$S$3=FALSE),"-",VLOOKUP($E156,'Status Thresholds'!$E:$AU,43,FALSE)),"-")</f>
        <v>-</v>
      </c>
    </row>
    <row r="157" spans="1:14" s="36" customFormat="1" x14ac:dyDescent="0.25">
      <c r="A157" s="46"/>
      <c r="B157" s="64" t="str">
        <f>VLOOKUP(C157,'Status Thresholds'!B:C,2,FALSE)</f>
        <v>MHGen</v>
      </c>
      <c r="C157" s="46" t="str">
        <f>IF(ISBLANK('KO Calc'!C153)=TRUE,"",'KO Calc'!C153)</f>
        <v>Brachydios (Raging)</v>
      </c>
      <c r="D157" s="67" t="s">
        <v>14</v>
      </c>
      <c r="E157" s="62" t="str">
        <f t="shared" si="5"/>
        <v>Brachydios (Raging)KO</v>
      </c>
      <c r="F157" s="36" t="s">
        <v>21</v>
      </c>
      <c r="G157" s="36" t="str">
        <f t="shared" si="6"/>
        <v>Brachydios (Raging)Triblast</v>
      </c>
      <c r="H157" s="36" t="str">
        <f>IF(AND($Q$1=FALSE,$S$3=FALSE),"-",IF(AND($Q$1=TRUE,$S$3=TRUE),"-",IF(AND($Q$1=FALSE,$S$3=FALSE),"-",IF(AND($Q$1=TRUE,$S$1=TRUE,$S$4=FALSE)=TRUE,IF(OR($Q$4=TRUE,$Q$5=TRUE,$S$2=TRUE),VLOOKUP($G157,'KO Calc'!$H:$AW,12,FALSE),VLOOKUP($G157,'KO Calc'!$H163:$AW163,12,FALSE)),IF(AND($Q$1=TRUE,$S$4=FALSE),IF(OR($Q$4=TRUE,$Q$5=TRUE,$S$2=TRUE),VLOOKUP($G157,'KO Calc'!$H:$AW,2,FALSE),VLOOKUP($G157,'KO Calc'!$H163:$AW163,2,FALSE)),
IF(AND($Q$1=TRUE,$S$1=TRUE,$S$4=TRUE)=TRUE,IF(OR($Q$4=TRUE,$Q$5=TRUE,$S$2=TRUE),VLOOKUP($G157,'KO Calc'!$H:$AW,17,FALSE),VLOOKUP($G157,'KO Calc'!$H163:$AW163,17,FALSE)),IF(AND($Q$1=TRUE,$S$4=TRUE),IF(OR($Q$4=TRUE,$Q$5=TRUE,$S$2=TRUE),VLOOKUP($G157,'KO Calc'!$H:$AW,7,FALSE),VLOOKUP($G157,'KO Calc'!$H163:$AW163,7,FALSE)),
IF(AND($S$3=TRUE,$S$1=TRUE,$S$4=FALSE)=TRUE,IF(OR($Q$4=TRUE,$Q$5=TRUE,$S$2=TRUE),VLOOKUP($G157,'KO Calc'!$H:$AW,32,FALSE),VLOOKUP($G157,'KO Calc'!$H163:$AW163,32,FALSE)),IF(AND($S$3=TRUE,$S$4=FALSE),IF(OR($Q$4=TRUE,$Q$5=TRUE,$S$2=TRUE),VLOOKUP($G157,'KO Calc'!$H:$AW,22,FALSE),VLOOKUP($G157,'KO Calc'!$H163:$AW163,22,FALSE)),
IF(AND($S$3=TRUE,$S$1=TRUE,$S$4=TRUE)=TRUE,IF(OR($Q$4=TRUE,$Q$5=TRUE,$S$2=TRUE),VLOOKUP($G157,'KO Calc'!$H:$AW,37,FALSE),VLOOKUP($G157,'KO Calc'!$H163:$AW163,37,FALSE)),IF(AND($S$3=TRUE,$S$4=TRUE),IF(OR($Q$4=TRUE,$Q$5=TRUE,$S$2=TRUE),VLOOKUP($G157,'KO Calc'!$H:$AW,27,FALSE),VLOOKUP($G157,'KO Calc'!$H163:$AW163,27,FALSE)))))))))))))</f>
        <v>-</v>
      </c>
      <c r="I157" s="36" t="str">
        <f>IF(AND($Q$1=FALSE,$S$3=FALSE),"-",IF(AND($Q$1=TRUE,$S$3=TRUE),"-",IF(AND($Q$1=FALSE,$S$3=FALSE),"-",IF(AND($Q$1=TRUE,$S$1=TRUE,$S$4=FALSE)=TRUE,IF(OR($Q$4=TRUE,$Q$5=TRUE,$S$2=TRUE),VLOOKUP($G157,'KO Calc'!$H:$AW,13,FALSE),VLOOKUP($G157,'KO Calc'!$H163:$AW163,13,FALSE)),IF(AND($Q$1=TRUE,$S$4=FALSE),IF(OR($Q$4=TRUE,$Q$5=TRUE,$S$2=TRUE),VLOOKUP($G157,'KO Calc'!$H:$AW,3,FALSE),VLOOKUP($G157,'KO Calc'!$H163:$AW163,3,FALSE)),
IF(AND($Q$1=TRUE,$S$1=TRUE,$S$4=TRUE)=TRUE,IF(OR($Q$4=TRUE,$Q$5=TRUE,$S$2=TRUE),VLOOKUP($G157,'KO Calc'!$H:$AW,18,FALSE),VLOOKUP($G157,'KO Calc'!$H163:$AW163,18,FALSE)),IF(AND($Q$1=TRUE,$S$4=TRUE),IF(OR($Q$4=TRUE,$Q$5=TRUE,$S$2=TRUE),VLOOKUP($G157,'KO Calc'!$H:$AW,8,FALSE),VLOOKUP($G157,'KO Calc'!$H163:$AW163,8,FALSE)),
IF(AND($S$3=TRUE,$S$1=TRUE,$S$4=FALSE)=TRUE,IF(OR($Q$4=TRUE,$Q$5=TRUE,$S$2=TRUE),VLOOKUP($G157,'KO Calc'!$H:$AW,33,FALSE),VLOOKUP($G157,'KO Calc'!$H163:$AW163,33,FALSE)),IF(AND($S$3=TRUE,$S$4=FALSE),IF(OR($Q$4=TRUE,$Q$5=TRUE,$S$2=TRUE),VLOOKUP($G157,'KO Calc'!$H:$AW,23,FALSE),VLOOKUP($G157,'KO Calc'!$H163:$AW163,23,FALSE)),
IF(AND($S$3=TRUE,$S$1=TRUE,$S$4=TRUE)=TRUE,IF(OR($Q$4=TRUE,$Q$5=TRUE,$S$2=TRUE),VLOOKUP($G157,'KO Calc'!$H:$AW,38,FALSE),VLOOKUP($G157,'KO Calc'!$H163:$AW163,38,FALSE)),IF(AND($S$3=TRUE,$S$4=TRUE),IF(OR($Q$4=TRUE,$Q$5=TRUE,$S$2=TRUE),VLOOKUP($G157,'KO Calc'!$H:$AW,28,FALSE),VLOOKUP($G157,'KO Calc'!$H163:$AW163,28,FALSE)))))))))))))</f>
        <v>-</v>
      </c>
      <c r="J157" s="36" t="str">
        <f>IF(AND($Q$1=FALSE,$S$3=FALSE),"-",IF(AND($Q$1=TRUE,$S$3=TRUE),"-",IF(AND($Q$1=FALSE,$S$3=FALSE),"-",IF(AND($Q$1=TRUE,$S$1=TRUE,$S$4=FALSE)=TRUE,IF(OR($Q$4=TRUE,$Q$5=TRUE,$S$2=TRUE),VLOOKUP($G157,'KO Calc'!$H:$AW,FALSE),VLOOKUP($G157,'KO Calc'!$H163:$AW163,14,FALSE)),IF(AND($Q$1=TRUE,$S$4=FALSE),IF(OR($Q$4=TRUE,$Q$5=TRUE,$S$2=TRUE),VLOOKUP($G157,'KO Calc'!$H:$AW,4,FALSE),VLOOKUP($G157,'KO Calc'!$H163:$AW163,4,FALSE)),
IF(AND($Q$1=TRUE,$S$1=TRUE,$S$4=TRUE)=TRUE,IF(OR($Q$4=TRUE,$Q$5=TRUE,$S$2=TRUE),VLOOKUP($G157,'KO Calc'!$H:$AW,19,FALSE),VLOOKUP($G157,'KO Calc'!$H163:$AW163,19,FALSE)),IF(AND($Q$1=TRUE,$S$4=TRUE),IF(OR($Q$4=TRUE,$Q$5=TRUE,$S$2=TRUE),VLOOKUP($G157,'KO Calc'!$H:$AW,9,FALSE),VLOOKUP($G157,'KO Calc'!$H163:$AW163,9,FALSE)),
IF(AND($S$3=TRUE,$S$1=TRUE,$S$4=FALSE)=TRUE,IF(OR($Q$4=TRUE,$Q$5=TRUE,$S$2=TRUE),VLOOKUP($G157,'KO Calc'!$H:$AW,34,FALSE),VLOOKUP($G157,'KO Calc'!$H163:$AW163,34,FALSE)),IF(AND($S$3=TRUE,$S$4=FALSE),IF(OR($Q$4=TRUE,$Q$5=TRUE,$S$2=TRUE),VLOOKUP($G157,'KO Calc'!$H:$AW,24,FALSE),VLOOKUP($G157,'KO Calc'!$H163:$AW163,24,FALSE)),
IF(AND($S$3=TRUE,$S$1=TRUE,$S$4=TRUE)=TRUE,IF(OR($Q$4=TRUE,$Q$5=TRUE,$S$2=TRUE),VLOOKUP($G157,'KO Calc'!$H:$AW,39,FALSE),VLOOKUP($G157,'KO Calc'!$H163:$AW163,39,FALSE)),IF(AND($S$3=TRUE,$S$4=TRUE),IF(OR($Q$4=TRUE,$Q$5=TRUE,$S$2=TRUE),VLOOKUP($G157,'KO Calc'!$H:$AW,29,FALSE),VLOOKUP($G157,'KO Calc'!$H163:$AW163,29,FALSE)))))))))))))</f>
        <v>-</v>
      </c>
      <c r="K157" s="36" t="str">
        <f>IF(AND($Q$1=FALSE,$S$3=FALSE),"-",IF(AND($Q$1=TRUE,$S$3=TRUE),"-",IF(AND($Q$1=FALSE,$S$3=FALSE),"-",IF(AND($Q$1=TRUE,$S$1=TRUE,$S$4=FALSE)=TRUE,IF(OR($Q$4=TRUE,$Q$5=TRUE,$S$2=TRUE),VLOOKUP($G157,'KO Calc'!$H:$AW,15,FALSE),VLOOKUP($G157,'KO Calc'!$H163:$AW163,15,FALSE)),IF(AND($Q$1=TRUE,$S$4=FALSE),IF(OR($Q$4=TRUE,$Q$5=TRUE,$S$2=TRUE),VLOOKUP($G157,'KO Calc'!$H:$AW,5,FALSE),VLOOKUP($G157,'KO Calc'!$H163:$AW163,5,FALSE)),
IF(AND($Q$1=TRUE,$S$1=TRUE,$S$4=TRUE)=TRUE,IF(OR($Q$4=TRUE,$Q$5=TRUE,$S$2=TRUE),VLOOKUP($G157,'KO Calc'!$H:$AW,20,FALSE),VLOOKUP($G157,'KO Calc'!$H163:$AW163,20,FALSE)),IF(AND($Q$1=TRUE,$S$4=TRUE),IF(OR($Q$4=TRUE,$Q$5=TRUE,$S$2=TRUE),VLOOKUP($G157,'KO Calc'!$H:$AW,10,FALSE),VLOOKUP($G157,'KO Calc'!$H163:$AW163,10,FALSE)),
IF(AND($S$3=TRUE,$S$1=TRUE,$S$4=FALSE)=TRUE,IF(OR($Q$4=TRUE,$Q$5=TRUE,$S$2=TRUE),VLOOKUP($G157,'KO Calc'!$H:$AW,35,FALSE),VLOOKUP($G157,'KO Calc'!$H163:$AW163,35,FALSE)),IF(AND($S$3=TRUE,$S$4=FALSE),IF(OR($Q$4=TRUE,$Q$5=TRUE,$S$2=TRUE),VLOOKUP($G157,'KO Calc'!$H:$AW,25,FALSE),VLOOKUP($G157,'KO Calc'!$H163:$AW163,25,FALSE)),
IF(AND($S$3=TRUE,$S$1=TRUE,$S$4=TRUE)=TRUE,IF(OR($Q$4=TRUE,$Q$5=TRUE,$S$2=TRUE),VLOOKUP($G157,'KO Calc'!$H:$AW,40,FALSE),VLOOKUP($G157,'KO Calc'!$H163:$AW163,40,FALSE)),IF(AND($S$3=TRUE,$S$4=TRUE),IF(OR($Q$4=TRUE,$Q$5=TRUE,$S$2=TRUE),VLOOKUP($G157,'KO Calc'!$H:$AW,30,FALSE),VLOOKUP($G157,'KO Calc'!$H163:$AW163,30,FALSE)))))))))))))</f>
        <v>-</v>
      </c>
      <c r="L157" s="36" t="str">
        <f>IFERROR(IF(AND($Q$1=FALSE,$S$3=FALSE),"-",VLOOKUP($E157,'Status Thresholds'!$E:$AU,41,FALSE)),"-")</f>
        <v>-</v>
      </c>
      <c r="M157" s="36" t="str">
        <f>IFERROR(IF(AND($Q$1=FALSE,$S$3=FALSE),"-",VLOOKUP($E157,'Status Thresholds'!$E:$AU,42,FALSE)),"-")</f>
        <v>-</v>
      </c>
      <c r="N157" s="36" t="str">
        <f>IFERROR(IF(AND($Q$1=FALSE,$S$3=FALSE),"-",VLOOKUP($E157,'Status Thresholds'!$E:$AU,43,FALSE)),"-")</f>
        <v>-</v>
      </c>
    </row>
    <row r="158" spans="1:14" x14ac:dyDescent="0.25">
      <c r="B158" s="64" t="str">
        <f>VLOOKUP(C158,'Status Thresholds'!B:C,2,FALSE)</f>
        <v>MHGen</v>
      </c>
      <c r="C158" s="46" t="str">
        <f>IF(ISBLANK('KO Calc'!C154)=TRUE,"",'KO Calc'!C154)</f>
        <v>Brachydios (Raging)</v>
      </c>
      <c r="D158" s="78" t="s">
        <v>207</v>
      </c>
      <c r="E158" s="62" t="str">
        <f t="shared" si="5"/>
        <v>Brachydios (Raging)Shock Trap</v>
      </c>
      <c r="F158" t="s">
        <v>13</v>
      </c>
      <c r="G158" s="36" t="str">
        <f t="shared" si="6"/>
        <v>Brachydios (Raging)Crag 3</v>
      </c>
      <c r="H158" s="36" t="str">
        <f>IF(AND($Q$1=FALSE,$S$3=FALSE),"-",IF(AND($Q$1=TRUE,$S$3=TRUE),"-",IF(AND($Q$1=FALSE,$S$3=FALSE),"-",IF(AND($Q$1=TRUE,$S$1=TRUE,$S$4=FALSE)=TRUE,IF(OR($Q$4=TRUE,$Q$5=TRUE,$S$2=TRUE),VLOOKUP($G158,'KO Calc'!$H:$AW,12,FALSE),VLOOKUP($G158,'KO Calc'!$H164:$AW164,12,FALSE)),IF(AND($Q$1=TRUE,$S$4=FALSE),IF(OR($Q$4=TRUE,$Q$5=TRUE,$S$2=TRUE),VLOOKUP($G158,'KO Calc'!$H:$AW,2,FALSE),VLOOKUP($G158,'KO Calc'!$H164:$AW164,2,FALSE)),
IF(AND($Q$1=TRUE,$S$1=TRUE,$S$4=TRUE)=TRUE,IF(OR($Q$4=TRUE,$Q$5=TRUE,$S$2=TRUE),VLOOKUP($G158,'KO Calc'!$H:$AW,17,FALSE),VLOOKUP($G158,'KO Calc'!$H164:$AW164,17,FALSE)),IF(AND($Q$1=TRUE,$S$4=TRUE),IF(OR($Q$4=TRUE,$Q$5=TRUE,$S$2=TRUE),VLOOKUP($G158,'KO Calc'!$H:$AW,7,FALSE),VLOOKUP($G158,'KO Calc'!$H164:$AW164,7,FALSE)),
IF(AND($S$3=TRUE,$S$1=TRUE,$S$4=FALSE)=TRUE,IF(OR($Q$4=TRUE,$Q$5=TRUE,$S$2=TRUE),VLOOKUP($G158,'KO Calc'!$H:$AW,32,FALSE),VLOOKUP($G158,'KO Calc'!$H164:$AW164,32,FALSE)),IF(AND($S$3=TRUE,$S$4=FALSE),IF(OR($Q$4=TRUE,$Q$5=TRUE,$S$2=TRUE),VLOOKUP($G158,'KO Calc'!$H:$AW,22,FALSE),VLOOKUP($G158,'KO Calc'!$H164:$AW164,22,FALSE)),
IF(AND($S$3=TRUE,$S$1=TRUE,$S$4=TRUE)=TRUE,IF(OR($Q$4=TRUE,$Q$5=TRUE,$S$2=TRUE),VLOOKUP($G158,'KO Calc'!$H:$AW,37,FALSE),VLOOKUP($G158,'KO Calc'!$H164:$AW164,37,FALSE)),IF(AND($S$3=TRUE,$S$4=TRUE),IF(OR($Q$4=TRUE,$Q$5=TRUE,$S$2=TRUE),VLOOKUP($G158,'KO Calc'!$H:$AW,27,FALSE),VLOOKUP($G158,'KO Calc'!$H164:$AW164,27,FALSE)))))))))))))</f>
        <v>-</v>
      </c>
      <c r="I158" s="36" t="str">
        <f>IF(AND($Q$1=FALSE,$S$3=FALSE),"-",IF(AND($Q$1=TRUE,$S$3=TRUE),"-",IF(AND($Q$1=FALSE,$S$3=FALSE),"-",IF(AND($Q$1=TRUE,$S$1=TRUE,$S$4=FALSE)=TRUE,IF(OR($Q$4=TRUE,$Q$5=TRUE,$S$2=TRUE),VLOOKUP($G158,'KO Calc'!$H:$AW,13,FALSE),VLOOKUP($G158,'KO Calc'!$H164:$AW164,13,FALSE)),IF(AND($Q$1=TRUE,$S$4=FALSE),IF(OR($Q$4=TRUE,$Q$5=TRUE,$S$2=TRUE),VLOOKUP($G158,'KO Calc'!$H:$AW,3,FALSE),VLOOKUP($G158,'KO Calc'!$H164:$AW164,3,FALSE)),
IF(AND($Q$1=TRUE,$S$1=TRUE,$S$4=TRUE)=TRUE,IF(OR($Q$4=TRUE,$Q$5=TRUE,$S$2=TRUE),VLOOKUP($G158,'KO Calc'!$H:$AW,18,FALSE),VLOOKUP($G158,'KO Calc'!$H164:$AW164,18,FALSE)),IF(AND($Q$1=TRUE,$S$4=TRUE),IF(OR($Q$4=TRUE,$Q$5=TRUE,$S$2=TRUE),VLOOKUP($G158,'KO Calc'!$H:$AW,8,FALSE),VLOOKUP($G158,'KO Calc'!$H164:$AW164,8,FALSE)),
IF(AND($S$3=TRUE,$S$1=TRUE,$S$4=FALSE)=TRUE,IF(OR($Q$4=TRUE,$Q$5=TRUE,$S$2=TRUE),VLOOKUP($G158,'KO Calc'!$H:$AW,33,FALSE),VLOOKUP($G158,'KO Calc'!$H164:$AW164,33,FALSE)),IF(AND($S$3=TRUE,$S$4=FALSE),IF(OR($Q$4=TRUE,$Q$5=TRUE,$S$2=TRUE),VLOOKUP($G158,'KO Calc'!$H:$AW,23,FALSE),VLOOKUP($G158,'KO Calc'!$H164:$AW164,23,FALSE)),
IF(AND($S$3=TRUE,$S$1=TRUE,$S$4=TRUE)=TRUE,IF(OR($Q$4=TRUE,$Q$5=TRUE,$S$2=TRUE),VLOOKUP($G158,'KO Calc'!$H:$AW,38,FALSE),VLOOKUP($G158,'KO Calc'!$H164:$AW164,38,FALSE)),IF(AND($S$3=TRUE,$S$4=TRUE),IF(OR($Q$4=TRUE,$Q$5=TRUE,$S$2=TRUE),VLOOKUP($G158,'KO Calc'!$H:$AW,28,FALSE),VLOOKUP($G158,'KO Calc'!$H164:$AW164,28,FALSE)))))))))))))</f>
        <v>-</v>
      </c>
      <c r="J158" s="36" t="str">
        <f>IF(AND($Q$1=FALSE,$S$3=FALSE),"-",IF(AND($Q$1=TRUE,$S$3=TRUE),"-",IF(AND($Q$1=FALSE,$S$3=FALSE),"-",IF(AND($Q$1=TRUE,$S$1=TRUE,$S$4=FALSE)=TRUE,IF(OR($Q$4=TRUE,$Q$5=TRUE,$S$2=TRUE),VLOOKUP($G158,'KO Calc'!$H:$AW,FALSE),VLOOKUP($G158,'KO Calc'!$H164:$AW164,14,FALSE)),IF(AND($Q$1=TRUE,$S$4=FALSE),IF(OR($Q$4=TRUE,$Q$5=TRUE,$S$2=TRUE),VLOOKUP($G158,'KO Calc'!$H:$AW,4,FALSE),VLOOKUP($G158,'KO Calc'!$H164:$AW164,4,FALSE)),
IF(AND($Q$1=TRUE,$S$1=TRUE,$S$4=TRUE)=TRUE,IF(OR($Q$4=TRUE,$Q$5=TRUE,$S$2=TRUE),VLOOKUP($G158,'KO Calc'!$H:$AW,19,FALSE),VLOOKUP($G158,'KO Calc'!$H164:$AW164,19,FALSE)),IF(AND($Q$1=TRUE,$S$4=TRUE),IF(OR($Q$4=TRUE,$Q$5=TRUE,$S$2=TRUE),VLOOKUP($G158,'KO Calc'!$H:$AW,9,FALSE),VLOOKUP($G158,'KO Calc'!$H164:$AW164,9,FALSE)),
IF(AND($S$3=TRUE,$S$1=TRUE,$S$4=FALSE)=TRUE,IF(OR($Q$4=TRUE,$Q$5=TRUE,$S$2=TRUE),VLOOKUP($G158,'KO Calc'!$H:$AW,34,FALSE),VLOOKUP($G158,'KO Calc'!$H164:$AW164,34,FALSE)),IF(AND($S$3=TRUE,$S$4=FALSE),IF(OR($Q$4=TRUE,$Q$5=TRUE,$S$2=TRUE),VLOOKUP($G158,'KO Calc'!$H:$AW,24,FALSE),VLOOKUP($G158,'KO Calc'!$H164:$AW164,24,FALSE)),
IF(AND($S$3=TRUE,$S$1=TRUE,$S$4=TRUE)=TRUE,IF(OR($Q$4=TRUE,$Q$5=TRUE,$S$2=TRUE),VLOOKUP($G158,'KO Calc'!$H:$AW,39,FALSE),VLOOKUP($G158,'KO Calc'!$H164:$AW164,39,FALSE)),IF(AND($S$3=TRUE,$S$4=TRUE),IF(OR($Q$4=TRUE,$Q$5=TRUE,$S$2=TRUE),VLOOKUP($G158,'KO Calc'!$H:$AW,29,FALSE),VLOOKUP($G158,'KO Calc'!$H164:$AW164,29,FALSE)))))))))))))</f>
        <v>-</v>
      </c>
      <c r="K158" s="36" t="str">
        <f>IF(AND($Q$1=FALSE,$S$3=FALSE),"-",IF(AND($Q$1=TRUE,$S$3=TRUE),"-",IF(AND($Q$1=FALSE,$S$3=FALSE),"-",IF(AND($Q$1=TRUE,$S$1=TRUE,$S$4=FALSE)=TRUE,IF(OR($Q$4=TRUE,$Q$5=TRUE,$S$2=TRUE),VLOOKUP($G158,'KO Calc'!$H:$AW,15,FALSE),VLOOKUP($G158,'KO Calc'!$H164:$AW164,15,FALSE)),IF(AND($Q$1=TRUE,$S$4=FALSE),IF(OR($Q$4=TRUE,$Q$5=TRUE,$S$2=TRUE),VLOOKUP($G158,'KO Calc'!$H:$AW,5,FALSE),VLOOKUP($G158,'KO Calc'!$H164:$AW164,5,FALSE)),
IF(AND($Q$1=TRUE,$S$1=TRUE,$S$4=TRUE)=TRUE,IF(OR($Q$4=TRUE,$Q$5=TRUE,$S$2=TRUE),VLOOKUP($G158,'KO Calc'!$H:$AW,20,FALSE),VLOOKUP($G158,'KO Calc'!$H164:$AW164,20,FALSE)),IF(AND($Q$1=TRUE,$S$4=TRUE),IF(OR($Q$4=TRUE,$Q$5=TRUE,$S$2=TRUE),VLOOKUP($G158,'KO Calc'!$H:$AW,10,FALSE),VLOOKUP($G158,'KO Calc'!$H164:$AW164,10,FALSE)),
IF(AND($S$3=TRUE,$S$1=TRUE,$S$4=FALSE)=TRUE,IF(OR($Q$4=TRUE,$Q$5=TRUE,$S$2=TRUE),VLOOKUP($G158,'KO Calc'!$H:$AW,35,FALSE),VLOOKUP($G158,'KO Calc'!$H164:$AW164,35,FALSE)),IF(AND($S$3=TRUE,$S$4=FALSE),IF(OR($Q$4=TRUE,$Q$5=TRUE,$S$2=TRUE),VLOOKUP($G158,'KO Calc'!$H:$AW,25,FALSE),VLOOKUP($G158,'KO Calc'!$H164:$AW164,25,FALSE)),
IF(AND($S$3=TRUE,$S$1=TRUE,$S$4=TRUE)=TRUE,IF(OR($Q$4=TRUE,$Q$5=TRUE,$S$2=TRUE),VLOOKUP($G158,'KO Calc'!$H:$AW,40,FALSE),VLOOKUP($G158,'KO Calc'!$H164:$AW164,40,FALSE)),IF(AND($S$3=TRUE,$S$4=TRUE),IF(OR($Q$4=TRUE,$Q$5=TRUE,$S$2=TRUE),VLOOKUP($G158,'KO Calc'!$H:$AW,30,FALSE),VLOOKUP($G158,'KO Calc'!$H164:$AW164,30,FALSE)))))))))))))</f>
        <v>-</v>
      </c>
      <c r="L158" s="36" t="str">
        <f>IFERROR(IF(AND($Q$1=FALSE,$S$3=FALSE),"-",VLOOKUP($E158,'Status Thresholds'!$E:$AU,43,FALSE)),"-")</f>
        <v>-</v>
      </c>
      <c r="M158" s="36" t="str">
        <f>IFERROR(IF(AND($Q$1=FALSE,$S$3=FALSE),"-",VLOOKUP($E158,'Status Thresholds'!$E:$AU,41,FALSE)),"-")</f>
        <v>-</v>
      </c>
      <c r="N158" s="36" t="str">
        <f>IFERROR(IF(AND($Q$1=FALSE,$S$3=FALSE),"-",VLOOKUP($E158,'Status Thresholds'!$E:$AU,42,FALSE)),"-")</f>
        <v>-</v>
      </c>
    </row>
    <row r="159" spans="1:14" x14ac:dyDescent="0.25">
      <c r="B159" s="64" t="str">
        <f>VLOOKUP(C159,'Status Thresholds'!B:C,2,FALSE)</f>
        <v>MHGen</v>
      </c>
      <c r="C159" s="46" t="str">
        <f>IF(ISBLANK('KO Calc'!C155)=TRUE,"",'KO Calc'!C155)</f>
        <v>Brachydios (Raging)</v>
      </c>
      <c r="D159" s="78" t="s">
        <v>213</v>
      </c>
      <c r="E159" s="62" t="str">
        <f t="shared" si="5"/>
        <v>Brachydios (Raging)Pitfall Trap</v>
      </c>
      <c r="F159" t="s">
        <v>12</v>
      </c>
      <c r="G159" s="36" t="str">
        <f t="shared" si="6"/>
        <v>Brachydios (Raging)Crag 2</v>
      </c>
      <c r="H159" s="36" t="str">
        <f>IF(AND($Q$1=FALSE,$S$3=FALSE),"-",IF(AND($Q$1=TRUE,$S$3=TRUE),"-",IF(AND($Q$1=FALSE,$S$3=FALSE),"-",IF(AND($Q$1=TRUE,$S$1=TRUE,$S$4=FALSE)=TRUE,IF(OR($Q$4=TRUE,$Q$5=TRUE,$S$2=TRUE),VLOOKUP($G159,'KO Calc'!$H:$AW,12,FALSE),VLOOKUP($G159,'KO Calc'!$H165:$AW165,12,FALSE)),IF(AND($Q$1=TRUE,$S$4=FALSE),IF(OR($Q$4=TRUE,$Q$5=TRUE,$S$2=TRUE),VLOOKUP($G159,'KO Calc'!$H:$AW,2,FALSE),VLOOKUP($G159,'KO Calc'!$H165:$AW165,2,FALSE)),
IF(AND($Q$1=TRUE,$S$1=TRUE,$S$4=TRUE)=TRUE,IF(OR($Q$4=TRUE,$Q$5=TRUE,$S$2=TRUE),VLOOKUP($G159,'KO Calc'!$H:$AW,17,FALSE),VLOOKUP($G159,'KO Calc'!$H165:$AW165,17,FALSE)),IF(AND($Q$1=TRUE,$S$4=TRUE),IF(OR($Q$4=TRUE,$Q$5=TRUE,$S$2=TRUE),VLOOKUP($G159,'KO Calc'!$H:$AW,7,FALSE),VLOOKUP($G159,'KO Calc'!$H165:$AW165,7,FALSE)),
IF(AND($S$3=TRUE,$S$1=TRUE,$S$4=FALSE)=TRUE,IF(OR($Q$4=TRUE,$Q$5=TRUE,$S$2=TRUE),VLOOKUP($G159,'KO Calc'!$H:$AW,32,FALSE),VLOOKUP($G159,'KO Calc'!$H165:$AW165,32,FALSE)),IF(AND($S$3=TRUE,$S$4=FALSE),IF(OR($Q$4=TRUE,$Q$5=TRUE,$S$2=TRUE),VLOOKUP($G159,'KO Calc'!$H:$AW,22,FALSE),VLOOKUP($G159,'KO Calc'!$H165:$AW165,22,FALSE)),
IF(AND($S$3=TRUE,$S$1=TRUE,$S$4=TRUE)=TRUE,IF(OR($Q$4=TRUE,$Q$5=TRUE,$S$2=TRUE),VLOOKUP($G159,'KO Calc'!$H:$AW,37,FALSE),VLOOKUP($G159,'KO Calc'!$H165:$AW165,37,FALSE)),IF(AND($S$3=TRUE,$S$4=TRUE),IF(OR($Q$4=TRUE,$Q$5=TRUE,$S$2=TRUE),VLOOKUP($G159,'KO Calc'!$H:$AW,27,FALSE),VLOOKUP($G159,'KO Calc'!$H165:$AW165,27,FALSE)))))))))))))</f>
        <v>-</v>
      </c>
      <c r="I159" s="36" t="str">
        <f>IF(AND($Q$1=FALSE,$S$3=FALSE),"-",IF(AND($Q$1=TRUE,$S$3=TRUE),"-",IF(AND($Q$1=FALSE,$S$3=FALSE),"-",IF(AND($Q$1=TRUE,$S$1=TRUE,$S$4=FALSE)=TRUE,IF(OR($Q$4=TRUE,$Q$5=TRUE,$S$2=TRUE),VLOOKUP($G159,'KO Calc'!$H:$AW,13,FALSE),VLOOKUP($G159,'KO Calc'!$H165:$AW165,13,FALSE)),IF(AND($Q$1=TRUE,$S$4=FALSE),IF(OR($Q$4=TRUE,$Q$5=TRUE,$S$2=TRUE),VLOOKUP($G159,'KO Calc'!$H:$AW,3,FALSE),VLOOKUP($G159,'KO Calc'!$H165:$AW165,3,FALSE)),
IF(AND($Q$1=TRUE,$S$1=TRUE,$S$4=TRUE)=TRUE,IF(OR($Q$4=TRUE,$Q$5=TRUE,$S$2=TRUE),VLOOKUP($G159,'KO Calc'!$H:$AW,18,FALSE),VLOOKUP($G159,'KO Calc'!$H165:$AW165,18,FALSE)),IF(AND($Q$1=TRUE,$S$4=TRUE),IF(OR($Q$4=TRUE,$Q$5=TRUE,$S$2=TRUE),VLOOKUP($G159,'KO Calc'!$H:$AW,8,FALSE),VLOOKUP($G159,'KO Calc'!$H165:$AW165,8,FALSE)),
IF(AND($S$3=TRUE,$S$1=TRUE,$S$4=FALSE)=TRUE,IF(OR($Q$4=TRUE,$Q$5=TRUE,$S$2=TRUE),VLOOKUP($G159,'KO Calc'!$H:$AW,33,FALSE),VLOOKUP($G159,'KO Calc'!$H165:$AW165,33,FALSE)),IF(AND($S$3=TRUE,$S$4=FALSE),IF(OR($Q$4=TRUE,$Q$5=TRUE,$S$2=TRUE),VLOOKUP($G159,'KO Calc'!$H:$AW,23,FALSE),VLOOKUP($G159,'KO Calc'!$H165:$AW165,23,FALSE)),
IF(AND($S$3=TRUE,$S$1=TRUE,$S$4=TRUE)=TRUE,IF(OR($Q$4=TRUE,$Q$5=TRUE,$S$2=TRUE),VLOOKUP($G159,'KO Calc'!$H:$AW,38,FALSE),VLOOKUP($G159,'KO Calc'!$H165:$AW165,38,FALSE)),IF(AND($S$3=TRUE,$S$4=TRUE),IF(OR($Q$4=TRUE,$Q$5=TRUE,$S$2=TRUE),VLOOKUP($G159,'KO Calc'!$H:$AW,28,FALSE),VLOOKUP($G159,'KO Calc'!$H165:$AW165,28,FALSE)))))))))))))</f>
        <v>-</v>
      </c>
      <c r="J159" s="36" t="str">
        <f>IF(AND($Q$1=FALSE,$S$3=FALSE),"-",IF(AND($Q$1=TRUE,$S$3=TRUE),"-",IF(AND($Q$1=FALSE,$S$3=FALSE),"-",IF(AND($Q$1=TRUE,$S$1=TRUE,$S$4=FALSE)=TRUE,IF(OR($Q$4=TRUE,$Q$5=TRUE,$S$2=TRUE),VLOOKUP($G159,'KO Calc'!$H:$AW,FALSE),VLOOKUP($G159,'KO Calc'!$H165:$AW165,14,FALSE)),IF(AND($Q$1=TRUE,$S$4=FALSE),IF(OR($Q$4=TRUE,$Q$5=TRUE,$S$2=TRUE),VLOOKUP($G159,'KO Calc'!$H:$AW,4,FALSE),VLOOKUP($G159,'KO Calc'!$H165:$AW165,4,FALSE)),
IF(AND($Q$1=TRUE,$S$1=TRUE,$S$4=TRUE)=TRUE,IF(OR($Q$4=TRUE,$Q$5=TRUE,$S$2=TRUE),VLOOKUP($G159,'KO Calc'!$H:$AW,19,FALSE),VLOOKUP($G159,'KO Calc'!$H165:$AW165,19,FALSE)),IF(AND($Q$1=TRUE,$S$4=TRUE),IF(OR($Q$4=TRUE,$Q$5=TRUE,$S$2=TRUE),VLOOKUP($G159,'KO Calc'!$H:$AW,9,FALSE),VLOOKUP($G159,'KO Calc'!$H165:$AW165,9,FALSE)),
IF(AND($S$3=TRUE,$S$1=TRUE,$S$4=FALSE)=TRUE,IF(OR($Q$4=TRUE,$Q$5=TRUE,$S$2=TRUE),VLOOKUP($G159,'KO Calc'!$H:$AW,34,FALSE),VLOOKUP($G159,'KO Calc'!$H165:$AW165,34,FALSE)),IF(AND($S$3=TRUE,$S$4=FALSE),IF(OR($Q$4=TRUE,$Q$5=TRUE,$S$2=TRUE),VLOOKUP($G159,'KO Calc'!$H:$AW,24,FALSE),VLOOKUP($G159,'KO Calc'!$H165:$AW165,24,FALSE)),
IF(AND($S$3=TRUE,$S$1=TRUE,$S$4=TRUE)=TRUE,IF(OR($Q$4=TRUE,$Q$5=TRUE,$S$2=TRUE),VLOOKUP($G159,'KO Calc'!$H:$AW,39,FALSE),VLOOKUP($G159,'KO Calc'!$H165:$AW165,39,FALSE)),IF(AND($S$3=TRUE,$S$4=TRUE),IF(OR($Q$4=TRUE,$Q$5=TRUE,$S$2=TRUE),VLOOKUP($G159,'KO Calc'!$H:$AW,29,FALSE),VLOOKUP($G159,'KO Calc'!$H165:$AW165,29,FALSE)))))))))))))</f>
        <v>-</v>
      </c>
      <c r="K159" s="36" t="str">
        <f>IF(AND($Q$1=FALSE,$S$3=FALSE),"-",IF(AND($Q$1=TRUE,$S$3=TRUE),"-",IF(AND($Q$1=FALSE,$S$3=FALSE),"-",IF(AND($Q$1=TRUE,$S$1=TRUE,$S$4=FALSE)=TRUE,IF(OR($Q$4=TRUE,$Q$5=TRUE,$S$2=TRUE),VLOOKUP($G159,'KO Calc'!$H:$AW,15,FALSE),VLOOKUP($G159,'KO Calc'!$H165:$AW165,15,FALSE)),IF(AND($Q$1=TRUE,$S$4=FALSE),IF(OR($Q$4=TRUE,$Q$5=TRUE,$S$2=TRUE),VLOOKUP($G159,'KO Calc'!$H:$AW,5,FALSE),VLOOKUP($G159,'KO Calc'!$H165:$AW165,5,FALSE)),
IF(AND($Q$1=TRUE,$S$1=TRUE,$S$4=TRUE)=TRUE,IF(OR($Q$4=TRUE,$Q$5=TRUE,$S$2=TRUE),VLOOKUP($G159,'KO Calc'!$H:$AW,20,FALSE),VLOOKUP($G159,'KO Calc'!$H165:$AW165,20,FALSE)),IF(AND($Q$1=TRUE,$S$4=TRUE),IF(OR($Q$4=TRUE,$Q$5=TRUE,$S$2=TRUE),VLOOKUP($G159,'KO Calc'!$H:$AW,10,FALSE),VLOOKUP($G159,'KO Calc'!$H165:$AW165,10,FALSE)),
IF(AND($S$3=TRUE,$S$1=TRUE,$S$4=FALSE)=TRUE,IF(OR($Q$4=TRUE,$Q$5=TRUE,$S$2=TRUE),VLOOKUP($G159,'KO Calc'!$H:$AW,35,FALSE),VLOOKUP($G159,'KO Calc'!$H165:$AW165,35,FALSE)),IF(AND($S$3=TRUE,$S$4=FALSE),IF(OR($Q$4=TRUE,$Q$5=TRUE,$S$2=TRUE),VLOOKUP($G159,'KO Calc'!$H:$AW,25,FALSE),VLOOKUP($G159,'KO Calc'!$H165:$AW165,25,FALSE)),
IF(AND($S$3=TRUE,$S$1=TRUE,$S$4=TRUE)=TRUE,IF(OR($Q$4=TRUE,$Q$5=TRUE,$S$2=TRUE),VLOOKUP($G159,'KO Calc'!$H:$AW,40,FALSE),VLOOKUP($G159,'KO Calc'!$H165:$AW165,40,FALSE)),IF(AND($S$3=TRUE,$S$4=TRUE),IF(OR($Q$4=TRUE,$Q$5=TRUE,$S$2=TRUE),VLOOKUP($G159,'KO Calc'!$H:$AW,30,FALSE),VLOOKUP($G159,'KO Calc'!$H165:$AW165,30,FALSE)))))))))))))</f>
        <v>-</v>
      </c>
      <c r="L159" s="36" t="str">
        <f>IFERROR(IF(AND($Q$1=FALSE,$S$3=FALSE),"-",VLOOKUP($E159,'Status Thresholds'!$E:$AU,43,FALSE)),"-")</f>
        <v>-</v>
      </c>
      <c r="M159" s="36" t="str">
        <f>IFERROR(IF(AND($Q$1=FALSE,$S$3=FALSE),"-",VLOOKUP($E159,'Status Thresholds'!$E:$AU,41,FALSE)),"-")</f>
        <v>-</v>
      </c>
      <c r="N159" s="36" t="str">
        <f>IFERROR(IF(AND($Q$1=FALSE,$S$3=FALSE),"-",VLOOKUP($E159,'Status Thresholds'!$E:$AU,42,FALSE)),"-")</f>
        <v>-</v>
      </c>
    </row>
    <row r="160" spans="1:14" x14ac:dyDescent="0.25">
      <c r="B160" s="64" t="str">
        <f>VLOOKUP(C160,'Status Thresholds'!B:C,2,FALSE)</f>
        <v>MHGen</v>
      </c>
      <c r="C160" s="46" t="str">
        <f>IF(ISBLANK('KO Calc'!C156)=TRUE,"",'KO Calc'!C156)</f>
        <v>Brachydios (Raging)</v>
      </c>
      <c r="D160" s="78"/>
      <c r="E160" s="62" t="str">
        <f t="shared" si="5"/>
        <v>Brachydios (Raging)</v>
      </c>
      <c r="F160" t="s">
        <v>11</v>
      </c>
      <c r="G160" s="36" t="str">
        <f t="shared" si="6"/>
        <v>Brachydios (Raging)Crag 1</v>
      </c>
      <c r="H160" s="36" t="str">
        <f>IF(AND($Q$1=FALSE,$S$3=FALSE),"-",IF(AND($Q$1=TRUE,$S$3=TRUE),"-",IF(AND($Q$1=FALSE,$S$3=FALSE),"-",IF(AND($Q$1=TRUE,$S$1=TRUE,$S$4=FALSE)=TRUE,IF(OR($Q$4=TRUE,$Q$5=TRUE,$S$2=TRUE),VLOOKUP($G160,'KO Calc'!$H:$AW,12,FALSE),VLOOKUP($G160,'KO Calc'!$H166:$AW166,12,FALSE)),IF(AND($Q$1=TRUE,$S$4=FALSE),IF(OR($Q$4=TRUE,$Q$5=TRUE,$S$2=TRUE),VLOOKUP($G160,'KO Calc'!$H:$AW,2,FALSE),VLOOKUP($G160,'KO Calc'!$H166:$AW166,2,FALSE)),
IF(AND($Q$1=TRUE,$S$1=TRUE,$S$4=TRUE)=TRUE,IF(OR($Q$4=TRUE,$Q$5=TRUE,$S$2=TRUE),VLOOKUP($G160,'KO Calc'!$H:$AW,17,FALSE),VLOOKUP($G160,'KO Calc'!$H166:$AW166,17,FALSE)),IF(AND($Q$1=TRUE,$S$4=TRUE),IF(OR($Q$4=TRUE,$Q$5=TRUE,$S$2=TRUE),VLOOKUP($G160,'KO Calc'!$H:$AW,7,FALSE),VLOOKUP($G160,'KO Calc'!$H166:$AW166,7,FALSE)),
IF(AND($S$3=TRUE,$S$1=TRUE,$S$4=FALSE)=TRUE,IF(OR($Q$4=TRUE,$Q$5=TRUE,$S$2=TRUE),VLOOKUP($G160,'KO Calc'!$H:$AW,32,FALSE),VLOOKUP($G160,'KO Calc'!$H166:$AW166,32,FALSE)),IF(AND($S$3=TRUE,$S$4=FALSE),IF(OR($Q$4=TRUE,$Q$5=TRUE,$S$2=TRUE),VLOOKUP($G160,'KO Calc'!$H:$AW,22,FALSE),VLOOKUP($G160,'KO Calc'!$H166:$AW166,22,FALSE)),
IF(AND($S$3=TRUE,$S$1=TRUE,$S$4=TRUE)=TRUE,IF(OR($Q$4=TRUE,$Q$5=TRUE,$S$2=TRUE),VLOOKUP($G160,'KO Calc'!$H:$AW,37,FALSE),VLOOKUP($G160,'KO Calc'!$H166:$AW166,37,FALSE)),IF(AND($S$3=TRUE,$S$4=TRUE),IF(OR($Q$4=TRUE,$Q$5=TRUE,$S$2=TRUE),VLOOKUP($G160,'KO Calc'!$H:$AW,27,FALSE),VLOOKUP($G160,'KO Calc'!$H166:$AW166,27,FALSE)))))))))))))</f>
        <v>-</v>
      </c>
      <c r="I160" s="36" t="str">
        <f>IF(AND($Q$1=FALSE,$S$3=FALSE),"-",IF(AND($Q$1=TRUE,$S$3=TRUE),"-",IF(AND($Q$1=FALSE,$S$3=FALSE),"-",IF(AND($Q$1=TRUE,$S$1=TRUE,$S$4=FALSE)=TRUE,IF(OR($Q$4=TRUE,$Q$5=TRUE,$S$2=TRUE),VLOOKUP($G160,'KO Calc'!$H:$AW,13,FALSE),VLOOKUP($G160,'KO Calc'!$H166:$AW166,13,FALSE)),IF(AND($Q$1=TRUE,$S$4=FALSE),IF(OR($Q$4=TRUE,$Q$5=TRUE,$S$2=TRUE),VLOOKUP($G160,'KO Calc'!$H:$AW,3,FALSE),VLOOKUP($G160,'KO Calc'!$H166:$AW166,3,FALSE)),
IF(AND($Q$1=TRUE,$S$1=TRUE,$S$4=TRUE)=TRUE,IF(OR($Q$4=TRUE,$Q$5=TRUE,$S$2=TRUE),VLOOKUP($G160,'KO Calc'!$H:$AW,18,FALSE),VLOOKUP($G160,'KO Calc'!$H166:$AW166,18,FALSE)),IF(AND($Q$1=TRUE,$S$4=TRUE),IF(OR($Q$4=TRUE,$Q$5=TRUE,$S$2=TRUE),VLOOKUP($G160,'KO Calc'!$H:$AW,8,FALSE),VLOOKUP($G160,'KO Calc'!$H166:$AW166,8,FALSE)),
IF(AND($S$3=TRUE,$S$1=TRUE,$S$4=FALSE)=TRUE,IF(OR($Q$4=TRUE,$Q$5=TRUE,$S$2=TRUE),VLOOKUP($G160,'KO Calc'!$H:$AW,33,FALSE),VLOOKUP($G160,'KO Calc'!$H166:$AW166,33,FALSE)),IF(AND($S$3=TRUE,$S$4=FALSE),IF(OR($Q$4=TRUE,$Q$5=TRUE,$S$2=TRUE),VLOOKUP($G160,'KO Calc'!$H:$AW,23,FALSE),VLOOKUP($G160,'KO Calc'!$H166:$AW166,23,FALSE)),
IF(AND($S$3=TRUE,$S$1=TRUE,$S$4=TRUE)=TRUE,IF(OR($Q$4=TRUE,$Q$5=TRUE,$S$2=TRUE),VLOOKUP($G160,'KO Calc'!$H:$AW,38,FALSE),VLOOKUP($G160,'KO Calc'!$H166:$AW166,38,FALSE)),IF(AND($S$3=TRUE,$S$4=TRUE),IF(OR($Q$4=TRUE,$Q$5=TRUE,$S$2=TRUE),VLOOKUP($G160,'KO Calc'!$H:$AW,28,FALSE),VLOOKUP($G160,'KO Calc'!$H166:$AW166,28,FALSE)))))))))))))</f>
        <v>-</v>
      </c>
      <c r="J160" s="36" t="str">
        <f>IF(AND($Q$1=FALSE,$S$3=FALSE),"-",IF(AND($Q$1=TRUE,$S$3=TRUE),"-",IF(AND($Q$1=FALSE,$S$3=FALSE),"-",IF(AND($Q$1=TRUE,$S$1=TRUE,$S$4=FALSE)=TRUE,IF(OR($Q$4=TRUE,$Q$5=TRUE,$S$2=TRUE),VLOOKUP($G160,'KO Calc'!$H:$AW,FALSE),VLOOKUP($G160,'KO Calc'!$H166:$AW166,14,FALSE)),IF(AND($Q$1=TRUE,$S$4=FALSE),IF(OR($Q$4=TRUE,$Q$5=TRUE,$S$2=TRUE),VLOOKUP($G160,'KO Calc'!$H:$AW,4,FALSE),VLOOKUP($G160,'KO Calc'!$H166:$AW166,4,FALSE)),
IF(AND($Q$1=TRUE,$S$1=TRUE,$S$4=TRUE)=TRUE,IF(OR($Q$4=TRUE,$Q$5=TRUE,$S$2=TRUE),VLOOKUP($G160,'KO Calc'!$H:$AW,19,FALSE),VLOOKUP($G160,'KO Calc'!$H166:$AW166,19,FALSE)),IF(AND($Q$1=TRUE,$S$4=TRUE),IF(OR($Q$4=TRUE,$Q$5=TRUE,$S$2=TRUE),VLOOKUP($G160,'KO Calc'!$H:$AW,9,FALSE),VLOOKUP($G160,'KO Calc'!$H166:$AW166,9,FALSE)),
IF(AND($S$3=TRUE,$S$1=TRUE,$S$4=FALSE)=TRUE,IF(OR($Q$4=TRUE,$Q$5=TRUE,$S$2=TRUE),VLOOKUP($G160,'KO Calc'!$H:$AW,34,FALSE),VLOOKUP($G160,'KO Calc'!$H166:$AW166,34,FALSE)),IF(AND($S$3=TRUE,$S$4=FALSE),IF(OR($Q$4=TRUE,$Q$5=TRUE,$S$2=TRUE),VLOOKUP($G160,'KO Calc'!$H:$AW,24,FALSE),VLOOKUP($G160,'KO Calc'!$H166:$AW166,24,FALSE)),
IF(AND($S$3=TRUE,$S$1=TRUE,$S$4=TRUE)=TRUE,IF(OR($Q$4=TRUE,$Q$5=TRUE,$S$2=TRUE),VLOOKUP($G160,'KO Calc'!$H:$AW,39,FALSE),VLOOKUP($G160,'KO Calc'!$H166:$AW166,39,FALSE)),IF(AND($S$3=TRUE,$S$4=TRUE),IF(OR($Q$4=TRUE,$Q$5=TRUE,$S$2=TRUE),VLOOKUP($G160,'KO Calc'!$H:$AW,29,FALSE),VLOOKUP($G160,'KO Calc'!$H166:$AW166,29,FALSE)))))))))))))</f>
        <v>-</v>
      </c>
      <c r="K160" s="36" t="str">
        <f>IF(AND($Q$1=FALSE,$S$3=FALSE),"-",IF(AND($Q$1=TRUE,$S$3=TRUE),"-",IF(AND($Q$1=FALSE,$S$3=FALSE),"-",IF(AND($Q$1=TRUE,$S$1=TRUE,$S$4=FALSE)=TRUE,IF(OR($Q$4=TRUE,$Q$5=TRUE,$S$2=TRUE),VLOOKUP($G160,'KO Calc'!$H:$AW,15,FALSE),VLOOKUP($G160,'KO Calc'!$H166:$AW166,15,FALSE)),IF(AND($Q$1=TRUE,$S$4=FALSE),IF(OR($Q$4=TRUE,$Q$5=TRUE,$S$2=TRUE),VLOOKUP($G160,'KO Calc'!$H:$AW,5,FALSE),VLOOKUP($G160,'KO Calc'!$H166:$AW166,5,FALSE)),
IF(AND($Q$1=TRUE,$S$1=TRUE,$S$4=TRUE)=TRUE,IF(OR($Q$4=TRUE,$Q$5=TRUE,$S$2=TRUE),VLOOKUP($G160,'KO Calc'!$H:$AW,20,FALSE),VLOOKUP($G160,'KO Calc'!$H166:$AW166,20,FALSE)),IF(AND($Q$1=TRUE,$S$4=TRUE),IF(OR($Q$4=TRUE,$Q$5=TRUE,$S$2=TRUE),VLOOKUP($G160,'KO Calc'!$H:$AW,10,FALSE),VLOOKUP($G160,'KO Calc'!$H166:$AW166,10,FALSE)),
IF(AND($S$3=TRUE,$S$1=TRUE,$S$4=FALSE)=TRUE,IF(OR($Q$4=TRUE,$Q$5=TRUE,$S$2=TRUE),VLOOKUP($G160,'KO Calc'!$H:$AW,35,FALSE),VLOOKUP($G160,'KO Calc'!$H166:$AW166,35,FALSE)),IF(AND($S$3=TRUE,$S$4=FALSE),IF(OR($Q$4=TRUE,$Q$5=TRUE,$S$2=TRUE),VLOOKUP($G160,'KO Calc'!$H:$AW,25,FALSE),VLOOKUP($G160,'KO Calc'!$H166:$AW166,25,FALSE)),
IF(AND($S$3=TRUE,$S$1=TRUE,$S$4=TRUE)=TRUE,IF(OR($Q$4=TRUE,$Q$5=TRUE,$S$2=TRUE),VLOOKUP($G160,'KO Calc'!$H:$AW,40,FALSE),VLOOKUP($G160,'KO Calc'!$H166:$AW166,40,FALSE)),IF(AND($S$3=TRUE,$S$4=TRUE),IF(OR($Q$4=TRUE,$Q$5=TRUE,$S$2=TRUE),VLOOKUP($G160,'KO Calc'!$H:$AW,30,FALSE),VLOOKUP($G160,'KO Calc'!$H166:$AW166,30,FALSE)))))))))))))</f>
        <v>-</v>
      </c>
      <c r="L160" s="36" t="str">
        <f>IFERROR(VLOOKUP($E160,'Status Thresholds'!$E:$AS,41,FALSE),"-")</f>
        <v>-</v>
      </c>
    </row>
    <row r="161" spans="1:14" x14ac:dyDescent="0.25">
      <c r="B161" s="64" t="str">
        <f>VLOOKUP(C161,'Status Thresholds'!B:C,2,FALSE)</f>
        <v>MHGen</v>
      </c>
      <c r="C161" s="46" t="str">
        <f>IF(ISBLANK('KO Calc'!C157)=TRUE,"",'KO Calc'!C157)</f>
        <v>Brachydios (Raging)</v>
      </c>
      <c r="D161" s="78"/>
      <c r="E161" s="62"/>
      <c r="G161" s="36"/>
      <c r="L161" s="36" t="str">
        <f>IFERROR(VLOOKUP($E161,'Status Thresholds'!$E:$AS,41,FALSE),"-")</f>
        <v>-</v>
      </c>
    </row>
    <row r="162" spans="1:14" s="36" customFormat="1" x14ac:dyDescent="0.25">
      <c r="B162" s="64" t="str">
        <f>VLOOKUP(C162,'Status Thresholds'!B:C,2,FALSE)</f>
        <v>Deviant</v>
      </c>
      <c r="C162" s="46" t="str">
        <f>IF(ISBLANK('KO Calc'!C158)=TRUE,"",'KO Calc'!C158)</f>
        <v>Bulldrome</v>
      </c>
      <c r="D162" s="65" t="s">
        <v>0</v>
      </c>
      <c r="E162" s="62" t="str">
        <f t="shared" si="5"/>
        <v>BulldromePara</v>
      </c>
      <c r="F162" s="36" t="s">
        <v>2</v>
      </c>
      <c r="G162" s="36" t="str">
        <f t="shared" si="6"/>
        <v>BulldromePara lvl 2</v>
      </c>
      <c r="H162" s="36" t="str">
        <f>IFERROR(ROUNDUP(IF(AND($Q$1=FALSE,$S$3=FALSE),"-",IF(AND($Q$1=TRUE,$S$3=TRUE),"-",IF(AND($Q$1=TRUE,$S$1=TRUE,$S$4=FALSE),VLOOKUP($E162,'Status Thresholds'!$E:$AS,12,FALSE),IF(AND($Q$1=TRUE,$S$4=FALSE),VLOOKUP($E162,'Status Thresholds'!$E:$AS,2,FALSE), IF(AND($Q$1=TRUE,$S$1=TRUE,$S$4=TRUE),VLOOKUP($E162,'Status Thresholds'!$E:$AS,17,FALSE),IF(AND($Q$1=TRUE,$S$4=TRUE),VLOOKUP($E162,'Status Thresholds'!$E:$AS,7,FALSE),IF(AND($S$3=TRUE,$S$1=TRUE,$S$4=FALSE),VLOOKUP($E162,'Status Thresholds'!$E:$AS,32,FALSE),IF(AND($S$3=TRUE,$S$4=FALSE),VLOOKUP($E162,'Status Thresholds'!$E:$AS,22,FALSE),IF(AND($S$3=TRUE,$S$1=TRUE,$S$4=TRUE),VLOOKUP($E162,'Status Thresholds'!$E:$AS,37,FALSE),IF(AND($S$3=TRUE,$S$4=TRUE),VLOOKUP($E162,'Status Thresholds'!$E:$AS,27,FALSE),""))))))))/IF(OR($Q$3=TRUE,AND($Q$2=TRUE,$Q$7=TRUE),AND($Q$3=TRUE,$Q$7=TRUE))=TRUE,'Shots and Status'!$F$5,IF((OR($Q$2,$Q$7)=TRUE),'Shots and Status'!$D$5,'Shots and Status'!$C$5)))),0),"-")</f>
        <v>-</v>
      </c>
      <c r="I162" s="36" t="str">
        <f>IFERROR(ROUNDUP(IF(AND($Q$1=FALSE,$S$3=FALSE),"-",IF(AND($Q$1=TRUE,$S$3=TRUE),"-",IF(AND($Q$1=TRUE,$S$1=TRUE,$S$4=FALSE),VLOOKUP($E162,'Status Thresholds'!$E:$AS,13,FALSE),IF(AND($Q$1=TRUE,$S$4=FALSE),VLOOKUP($E162,'Status Thresholds'!$E:$AS,3,FALSE), IF(AND($Q$1=TRUE,$S$1=TRUE,$S$4=TRUE),VLOOKUP($E162,'Status Thresholds'!$E:$AS,18,FALSE),IF(AND($Q$1=TRUE,$S$4=TRUE),VLOOKUP($E162,'Status Thresholds'!$E:$AS,8,FALSE),IF(AND($S$3=TRUE,$S$1=TRUE,$S$4=FALSE),VLOOKUP($E162,'Status Thresholds'!$E:$AS,33,FALSE),IF(AND($S$3=TRUE,$S$4=FALSE),VLOOKUP($E162,'Status Thresholds'!$E:$AS,23,FALSE),IF(AND($S$3=TRUE,$S$1=TRUE,$S$4=TRUE),VLOOKUP($E162,'Status Thresholds'!$E:$AS,38,FALSE),IF(AND($S$3=TRUE,$S$4=TRUE),VLOOKUP($E162,'Status Thresholds'!$E:$AS,28,FALSE),""))))))))/IF(OR($Q$3=TRUE,AND($Q$2=TRUE,$Q$7=TRUE),AND($Q$3=TRUE,$Q$7=TRUE))=TRUE,'Shots and Status'!$F$5,IF((OR($Q$2,$Q$7)=TRUE),'Shots and Status'!$D$5,'Shots and Status'!$C$5)))),0),"-")</f>
        <v>-</v>
      </c>
      <c r="J162" s="36" t="str">
        <f>IFERROR(ROUNDUP(IF(AND($Q$1=FALSE,$S$3=FALSE),"-",IF(AND($Q$1=TRUE,$S$3=TRUE),"-",IF(AND($Q$1=TRUE,$S$1=TRUE,$S$4=FALSE),VLOOKUP($E162,'Status Thresholds'!$E:$AS,14,FALSE),IF(AND($Q$1=TRUE,$S$4=FALSE),VLOOKUP($E162,'Status Thresholds'!$E:$AS,4,FALSE), IF(AND($Q$1=TRUE,$S$1=TRUE,$S$4=TRUE),VLOOKUP($E162,'Status Thresholds'!$E:$AS,19,FALSE),IF(AND($Q$1=TRUE,$S$4=TRUE),VLOOKUP($E162,'Status Thresholds'!$E:$AS,9,FALSE),IF(AND($S$3=TRUE,$S$1=TRUE,$S$4=FALSE),VLOOKUP($E162,'Status Thresholds'!$E:$AS,34,FALSE),IF(AND($S$3=TRUE,$S$4=FALSE),VLOOKUP($E162,'Status Thresholds'!$E:$AS,24,FALSE),IF(AND($S$3=TRUE,$S$1=TRUE,$S$4=TRUE),VLOOKUP($E162,'Status Thresholds'!$E:$AS,39,FALSE),IF(AND($S$3=TRUE,$S$4=TRUE),VLOOKUP($E162,'Status Thresholds'!$E:$AS,29,FALSE),""))))))))/IF(OR($Q$3=TRUE,AND($Q$2=TRUE,$Q$7=TRUE),AND($Q$3=TRUE,$Q$7=TRUE))=TRUE,'Shots and Status'!$F$5,IF((OR($Q$2,$Q$7)=TRUE),'Shots and Status'!$D$5,'Shots and Status'!$C$5)))),0),"-")</f>
        <v>-</v>
      </c>
      <c r="K162" s="36" t="str">
        <f>IFERROR(ROUNDUP(IF(AND($Q$1=FALSE,$S$3=FALSE),"-",IF(AND($Q$1=TRUE,$S$3=TRUE),"-",IF(AND($Q$1=TRUE,$S$1=TRUE,$S$4=FALSE),VLOOKUP($E162,'Status Thresholds'!$E:$AS,15,FALSE),IF(AND($Q$1=TRUE,$S$4=FALSE),VLOOKUP($E162,'Status Thresholds'!$E:$AS,5,FALSE), IF(AND($Q$1=TRUE,$S$1=TRUE,$S$4=TRUE),VLOOKUP($E162,'Status Thresholds'!$E:$AS,20,FALSE),IF(AND($Q$1=TRUE,$S$4=TRUE),VLOOKUP($E162,'Status Thresholds'!$E:$AS,10,FALSE),IF(AND($S$3=TRUE,$S$1=TRUE,$S$4=FALSE),VLOOKUP($E162,'Status Thresholds'!$E:$AS,35,FALSE),IF(AND($S$3=TRUE,$S$4=FALSE),VLOOKUP($E162,'Status Thresholds'!$E:$AS,25,FALSE),IF(AND($S$3=TRUE,$S$1=TRUE,$S$4=TRUE),VLOOKUP($E162,'Status Thresholds'!$E:$AS,40,FALSE),IF(AND($S$3=TRUE,$S$4=TRUE),VLOOKUP($E162,'Status Thresholds'!$E:$AS,30,FALSE),""))))))))/IF(OR($Q$3=TRUE,AND($Q$2=TRUE,$Q$7=TRUE),AND($Q$3=TRUE,$Q$7=TRUE))=TRUE,'Shots and Status'!$F$5,IF((OR($Q$2,$Q$7)=TRUE),'Shots and Status'!$D$5,'Shots and Status'!$C$5)))),0),"-")</f>
        <v>-</v>
      </c>
      <c r="L162" s="36" t="str">
        <f>IFERROR(IF(AND($Q$1=FALSE,$S$3=FALSE),"-",VLOOKUP($E162,'Status Thresholds'!$E:$AU,41,FALSE)),"-")</f>
        <v>-</v>
      </c>
      <c r="M162" s="36" t="str">
        <f>IFERROR(IF(AND($Q$1=FALSE,$S$3=FALSE),"-",VLOOKUP($E162,'Status Thresholds'!$E:$AU,42,FALSE)),"-")</f>
        <v>-</v>
      </c>
      <c r="N162" s="36" t="str">
        <f>IFERROR(IF(AND($Q$1=FALSE,$S$3=FALSE),"-",VLOOKUP($E162,'Status Thresholds'!$E:$AU,43,FALSE)),"-")</f>
        <v>-</v>
      </c>
    </row>
    <row r="163" spans="1:14" s="59" customFormat="1" x14ac:dyDescent="0.25">
      <c r="A163" s="46"/>
      <c r="B163" s="64" t="str">
        <f>VLOOKUP(C163,'Status Thresholds'!B:C,2,FALSE)</f>
        <v>Deviant</v>
      </c>
      <c r="C163" s="46" t="str">
        <f>IF(ISBLANK('KO Calc'!C159)=TRUE,"",'KO Calc'!C159)</f>
        <v>Bulldrome</v>
      </c>
      <c r="D163" s="60" t="s">
        <v>32</v>
      </c>
      <c r="E163" s="62" t="str">
        <f t="shared" si="5"/>
        <v>BulldromeSleep</v>
      </c>
      <c r="F163" s="59" t="s">
        <v>5</v>
      </c>
      <c r="G163" s="36" t="str">
        <f t="shared" si="6"/>
        <v>BulldromeSleep lvl 2</v>
      </c>
      <c r="H163" s="36" t="str">
        <f>IFERROR(ROUNDUP(IF(AND($Q$1=FALSE,$S$3=FALSE),"-",IF(AND($Q$1=TRUE,$S$3=TRUE),"-",IF(AND($Q$1=TRUE,$S$1=TRUE,$S$4=FALSE),VLOOKUP($E163,'Status Thresholds'!$E:$AS,12,FALSE),IF(AND($Q$1=TRUE,$S$4=FALSE),VLOOKUP($E163,'Status Thresholds'!$E:$AS,2,FALSE), IF(AND($Q$1=TRUE,$S$1=TRUE,$S$4=TRUE),VLOOKUP($E163,'Status Thresholds'!$E:$AS,17,FALSE),IF(AND($Q$1=TRUE,$S$4=TRUE),VLOOKUP($E163,'Status Thresholds'!$E:$AS,7,FALSE),IF(AND($S$3=TRUE,$S$1=TRUE,$S$4=FALSE),VLOOKUP($E163,'Status Thresholds'!$E:$AS,32,FALSE),IF(AND($S$3=TRUE,$S$4=FALSE),VLOOKUP($E163,'Status Thresholds'!$E:$AS,22,FALSE),IF(AND($S$3=TRUE,$S$1=TRUE,$S$4=TRUE),VLOOKUP($E163,'Status Thresholds'!$E:$AS,37,FALSE),IF(AND($S$3=TRUE,$S$4=TRUE),VLOOKUP($E163,'Status Thresholds'!$E:$AS,27,FALSE),""))))))))/IF(OR($Q$3=TRUE,AND($Q$2=TRUE,$Q$7=TRUE),AND($Q$3=TRUE,$Q$7=TRUE))=TRUE,'Shots and Status'!$F$5,IF((OR($Q$2,$Q$7)=TRUE),'Shots and Status'!$D$5,'Shots and Status'!$C$5)))),0),"-")</f>
        <v>-</v>
      </c>
      <c r="I163" s="36" t="str">
        <f>IFERROR(ROUNDUP(IF(AND($Q$1=FALSE,$S$3=FALSE),"-",IF(AND($Q$1=TRUE,$S$3=TRUE),"-",IF(AND($Q$1=TRUE,$S$1=TRUE,$S$4=FALSE),VLOOKUP($E163,'Status Thresholds'!$E:$AS,13,FALSE),IF(AND($Q$1=TRUE,$S$4=FALSE),VLOOKUP($E163,'Status Thresholds'!$E:$AS,3,FALSE), IF(AND($Q$1=TRUE,$S$1=TRUE,$S$4=TRUE),VLOOKUP($E163,'Status Thresholds'!$E:$AS,18,FALSE),IF(AND($Q$1=TRUE,$S$4=TRUE),VLOOKUP($E163,'Status Thresholds'!$E:$AS,8,FALSE),IF(AND($S$3=TRUE,$S$1=TRUE,$S$4=FALSE),VLOOKUP($E163,'Status Thresholds'!$E:$AS,33,FALSE),IF(AND($S$3=TRUE,$S$4=FALSE),VLOOKUP($E163,'Status Thresholds'!$E:$AS,23,FALSE),IF(AND($S$3=TRUE,$S$1=TRUE,$S$4=TRUE),VLOOKUP($E163,'Status Thresholds'!$E:$AS,38,FALSE),IF(AND($S$3=TRUE,$S$4=TRUE),VLOOKUP($E163,'Status Thresholds'!$E:$AS,28,FALSE),""))))))))/IF(OR($Q$3=TRUE,AND($Q$2=TRUE,$Q$7=TRUE),AND($Q$3=TRUE,$Q$7=TRUE))=TRUE,'Shots and Status'!$F$5,IF((OR($Q$2,$Q$7)=TRUE),'Shots and Status'!$D$5,'Shots and Status'!$C$5)))),0),"-")</f>
        <v>-</v>
      </c>
      <c r="J163" s="36" t="str">
        <f>IFERROR(ROUNDUP(IF(AND($Q$1=FALSE,$S$3=FALSE),"-",IF(AND($Q$1=TRUE,$S$3=TRUE),"-",IF(AND($Q$1=TRUE,$S$1=TRUE,$S$4=FALSE),VLOOKUP($E163,'Status Thresholds'!$E:$AS,14,FALSE),IF(AND($Q$1=TRUE,$S$4=FALSE),VLOOKUP($E163,'Status Thresholds'!$E:$AS,4,FALSE), IF(AND($Q$1=TRUE,$S$1=TRUE,$S$4=TRUE),VLOOKUP($E163,'Status Thresholds'!$E:$AS,19,FALSE),IF(AND($Q$1=TRUE,$S$4=TRUE),VLOOKUP($E163,'Status Thresholds'!$E:$AS,9,FALSE),IF(AND($S$3=TRUE,$S$1=TRUE,$S$4=FALSE),VLOOKUP($E163,'Status Thresholds'!$E:$AS,34,FALSE),IF(AND($S$3=TRUE,$S$4=FALSE),VLOOKUP($E163,'Status Thresholds'!$E:$AS,24,FALSE),IF(AND($S$3=TRUE,$S$1=TRUE,$S$4=TRUE),VLOOKUP($E163,'Status Thresholds'!$E:$AS,39,FALSE),IF(AND($S$3=TRUE,$S$4=TRUE),VLOOKUP($E163,'Status Thresholds'!$E:$AS,29,FALSE),""))))))))/IF(OR($Q$3=TRUE,AND($Q$2=TRUE,$Q$7=TRUE),AND($Q$3=TRUE,$Q$7=TRUE))=TRUE,'Shots and Status'!$F$5,IF((OR($Q$2,$Q$7)=TRUE),'Shots and Status'!$D$5,'Shots and Status'!$C$5)))),0),"-")</f>
        <v>-</v>
      </c>
      <c r="K163" s="36" t="str">
        <f>IFERROR(ROUNDUP(IF(AND($Q$1=FALSE,$S$3=FALSE),"-",IF(AND($Q$1=TRUE,$S$3=TRUE),"-",IF(AND($Q$1=TRUE,$S$1=TRUE,$S$4=FALSE),VLOOKUP($E163,'Status Thresholds'!$E:$AS,15,FALSE),IF(AND($Q$1=TRUE,$S$4=FALSE),VLOOKUP($E163,'Status Thresholds'!$E:$AS,5,FALSE), IF(AND($Q$1=TRUE,$S$1=TRUE,$S$4=TRUE),VLOOKUP($E163,'Status Thresholds'!$E:$AS,20,FALSE),IF(AND($Q$1=TRUE,$S$4=TRUE),VLOOKUP($E163,'Status Thresholds'!$E:$AS,10,FALSE),IF(AND($S$3=TRUE,$S$1=TRUE,$S$4=FALSE),VLOOKUP($E163,'Status Thresholds'!$E:$AS,35,FALSE),IF(AND($S$3=TRUE,$S$4=FALSE),VLOOKUP($E163,'Status Thresholds'!$E:$AS,25,FALSE),IF(AND($S$3=TRUE,$S$1=TRUE,$S$4=TRUE),VLOOKUP($E163,'Status Thresholds'!$E:$AS,40,FALSE),IF(AND($S$3=TRUE,$S$4=TRUE),VLOOKUP($E163,'Status Thresholds'!$E:$AS,30,FALSE),""))))))))/IF(OR($Q$3=TRUE,AND($Q$2=TRUE,$Q$7=TRUE),AND($Q$3=TRUE,$Q$7=TRUE))=TRUE,'Shots and Status'!$F$5,IF((OR($Q$2,$Q$7)=TRUE),'Shots and Status'!$D$5,'Shots and Status'!$C$5)))),0),"-")</f>
        <v>-</v>
      </c>
      <c r="L163" s="36" t="str">
        <f>IFERROR(IF(AND($Q$1=FALSE,$S$3=FALSE),"-",VLOOKUP($E163,'Status Thresholds'!$E:$AU,41,FALSE)),"-")</f>
        <v>-</v>
      </c>
      <c r="M163" s="36" t="str">
        <f>IFERROR(IF(AND($Q$1=FALSE,$S$3=FALSE),"-",VLOOKUP($E163,'Status Thresholds'!$E:$AU,42,FALSE)),"-")</f>
        <v>-</v>
      </c>
      <c r="N163" s="36" t="str">
        <f>IFERROR(IF(AND($Q$1=FALSE,$S$3=FALSE),"-",VLOOKUP($E163,'Status Thresholds'!$E:$AU,43,FALSE)),"-")</f>
        <v>-</v>
      </c>
    </row>
    <row r="164" spans="1:14" s="59" customFormat="1" x14ac:dyDescent="0.25">
      <c r="A164" s="46"/>
      <c r="B164" s="64" t="str">
        <f>VLOOKUP(C164,'Status Thresholds'!B:C,2,FALSE)</f>
        <v>Deviant</v>
      </c>
      <c r="C164" s="46" t="str">
        <f>IF(ISBLANK('KO Calc'!C160)=TRUE,"",'KO Calc'!C160)</f>
        <v>Bulldrome</v>
      </c>
      <c r="D164" s="58" t="s">
        <v>33</v>
      </c>
      <c r="E164" s="62" t="str">
        <f t="shared" si="5"/>
        <v>BulldromePoison</v>
      </c>
      <c r="F164" s="59" t="s">
        <v>6</v>
      </c>
      <c r="G164" s="36" t="str">
        <f t="shared" si="6"/>
        <v>BulldromePoison lvl 2</v>
      </c>
      <c r="H164" s="36" t="str">
        <f>IFERROR(ROUNDUP(IF(AND($Q$1=FALSE,$S$3=FALSE),"-",IF(AND($Q$1=TRUE,$S$3=TRUE),"-",IF(AND($Q$1=TRUE,$S$1=TRUE,$S$4=FALSE),VLOOKUP($E164,'Status Thresholds'!$E:$AS,12,FALSE),IF(AND($Q$1=TRUE,$S$4=FALSE),VLOOKUP($E164,'Status Thresholds'!$E:$AS,2,FALSE), IF(AND($Q$1=TRUE,$S$1=TRUE,$S$4=TRUE),VLOOKUP($E164,'Status Thresholds'!$E:$AS,17,FALSE),IF(AND($Q$1=TRUE,$S$4=TRUE),VLOOKUP($E164,'Status Thresholds'!$E:$AS,7,FALSE),IF(AND($S$3=TRUE,$S$1=TRUE,$S$4=FALSE),VLOOKUP($E164,'Status Thresholds'!$E:$AS,32,FALSE),IF(AND($S$3=TRUE,$S$4=FALSE),VLOOKUP($E164,'Status Thresholds'!$E:$AS,22,FALSE),IF(AND($S$3=TRUE,$S$1=TRUE,$S$4=TRUE),VLOOKUP($E164,'Status Thresholds'!$E:$AS,37,FALSE),IF(AND($S$3=TRUE,$S$4=TRUE),VLOOKUP($E164,'Status Thresholds'!$E:$AS,27,FALSE),""))))))))/IF(OR($Q$3=TRUE,AND($Q$2=TRUE,$Q$7=TRUE),AND($Q$3=TRUE,$Q$7=TRUE))=TRUE,'Shots and Status'!$F$5,IF((OR($Q$2,$Q$7)=TRUE),'Shots and Status'!$D$5,'Shots and Status'!$C$5)))),0),"-")</f>
        <v>-</v>
      </c>
      <c r="I164" s="36" t="str">
        <f>IFERROR(ROUNDUP(IF(AND($Q$1=FALSE,$S$3=FALSE),"-",IF(AND($Q$1=TRUE,$S$3=TRUE),"-",IF(AND($Q$1=TRUE,$S$1=TRUE,$S$4=FALSE),VLOOKUP($E164,'Status Thresholds'!$E:$AS,13,FALSE),IF(AND($Q$1=TRUE,$S$4=FALSE),VLOOKUP($E164,'Status Thresholds'!$E:$AS,3,FALSE), IF(AND($Q$1=TRUE,$S$1=TRUE,$S$4=TRUE),VLOOKUP($E164,'Status Thresholds'!$E:$AS,18,FALSE),IF(AND($Q$1=TRUE,$S$4=TRUE),VLOOKUP($E164,'Status Thresholds'!$E:$AS,8,FALSE),IF(AND($S$3=TRUE,$S$1=TRUE,$S$4=FALSE),VLOOKUP($E164,'Status Thresholds'!$E:$AS,33,FALSE),IF(AND($S$3=TRUE,$S$4=FALSE),VLOOKUP($E164,'Status Thresholds'!$E:$AS,23,FALSE),IF(AND($S$3=TRUE,$S$1=TRUE,$S$4=TRUE),VLOOKUP($E164,'Status Thresholds'!$E:$AS,38,FALSE),IF(AND($S$3=TRUE,$S$4=TRUE),VLOOKUP($E164,'Status Thresholds'!$E:$AS,28,FALSE),""))))))))/IF(OR($Q$3=TRUE,AND($Q$2=TRUE,$Q$7=TRUE),AND($Q$3=TRUE,$Q$7=TRUE))=TRUE,'Shots and Status'!$F$5,IF((OR($Q$2,$Q$7)=TRUE),'Shots and Status'!$D$5,'Shots and Status'!$C$5)))),0),"-")</f>
        <v>-</v>
      </c>
      <c r="J164" s="36" t="str">
        <f>IFERROR(ROUNDUP(IF(AND($Q$1=FALSE,$S$3=FALSE),"-",IF(AND($Q$1=TRUE,$S$3=TRUE),"-",IF(AND($Q$1=TRUE,$S$1=TRUE,$S$4=FALSE),VLOOKUP($E164,'Status Thresholds'!$E:$AS,14,FALSE),IF(AND($Q$1=TRUE,$S$4=FALSE),VLOOKUP($E164,'Status Thresholds'!$E:$AS,4,FALSE), IF(AND($Q$1=TRUE,$S$1=TRUE,$S$4=TRUE),VLOOKUP($E164,'Status Thresholds'!$E:$AS,19,FALSE),IF(AND($Q$1=TRUE,$S$4=TRUE),VLOOKUP($E164,'Status Thresholds'!$E:$AS,9,FALSE),IF(AND($S$3=TRUE,$S$1=TRUE,$S$4=FALSE),VLOOKUP($E164,'Status Thresholds'!$E:$AS,34,FALSE),IF(AND($S$3=TRUE,$S$4=FALSE),VLOOKUP($E164,'Status Thresholds'!$E:$AS,24,FALSE),IF(AND($S$3=TRUE,$S$1=TRUE,$S$4=TRUE),VLOOKUP($E164,'Status Thresholds'!$E:$AS,39,FALSE),IF(AND($S$3=TRUE,$S$4=TRUE),VLOOKUP($E164,'Status Thresholds'!$E:$AS,29,FALSE),""))))))))/IF(OR($Q$3=TRUE,AND($Q$2=TRUE,$Q$7=TRUE),AND($Q$3=TRUE,$Q$7=TRUE))=TRUE,'Shots and Status'!$F$5,IF((OR($Q$2,$Q$7)=TRUE),'Shots and Status'!$D$5,'Shots and Status'!$C$5)))),0),"-")</f>
        <v>-</v>
      </c>
      <c r="K164" s="36" t="str">
        <f>IFERROR(ROUNDUP(IF(AND($Q$1=FALSE,$S$3=FALSE),"-",IF(AND($Q$1=TRUE,$S$3=TRUE),"-",IF(AND($Q$1=TRUE,$S$1=TRUE,$S$4=FALSE),VLOOKUP($E164,'Status Thresholds'!$E:$AS,15,FALSE),IF(AND($Q$1=TRUE,$S$4=FALSE),VLOOKUP($E164,'Status Thresholds'!$E:$AS,5,FALSE), IF(AND($Q$1=TRUE,$S$1=TRUE,$S$4=TRUE),VLOOKUP($E164,'Status Thresholds'!$E:$AS,20,FALSE),IF(AND($Q$1=TRUE,$S$4=TRUE),VLOOKUP($E164,'Status Thresholds'!$E:$AS,10,FALSE),IF(AND($S$3=TRUE,$S$1=TRUE,$S$4=FALSE),VLOOKUP($E164,'Status Thresholds'!$E:$AS,35,FALSE),IF(AND($S$3=TRUE,$S$4=FALSE),VLOOKUP($E164,'Status Thresholds'!$E:$AS,25,FALSE),IF(AND($S$3=TRUE,$S$1=TRUE,$S$4=TRUE),VLOOKUP($E164,'Status Thresholds'!$E:$AS,40,FALSE),IF(AND($S$3=TRUE,$S$4=TRUE),VLOOKUP($E164,'Status Thresholds'!$E:$AS,30,FALSE),""))))))))/IF(OR($Q$3=TRUE,AND($Q$2=TRUE,$Q$7=TRUE),AND($Q$3=TRUE,$Q$7=TRUE))=TRUE,'Shots and Status'!$F$5,IF((OR($Q$2,$Q$7)=TRUE),'Shots and Status'!$D$5,'Shots and Status'!$C$5)))),0),"-")</f>
        <v>-</v>
      </c>
      <c r="L164" s="36" t="str">
        <f>IFERROR(IF(AND($Q$1=FALSE,$S$3=FALSE),"-",VLOOKUP($E164,'Status Thresholds'!$E:$AU,41,FALSE)),"-")</f>
        <v>-</v>
      </c>
      <c r="M164" s="36" t="str">
        <f>IFERROR(IF(AND($Q$1=FALSE,$S$3=FALSE),"-",VLOOKUP($E164,'Status Thresholds'!$E:$AU,42,FALSE)),"-")</f>
        <v>-</v>
      </c>
      <c r="N164" s="36" t="str">
        <f>IFERROR(IF(AND($Q$1=FALSE,$S$3=FALSE),"-",VLOOKUP($E164,'Status Thresholds'!$E:$AU,43,FALSE)),"-")</f>
        <v>-</v>
      </c>
    </row>
    <row r="165" spans="1:14" s="36" customFormat="1" x14ac:dyDescent="0.25">
      <c r="A165" s="46"/>
      <c r="B165" s="64" t="str">
        <f>VLOOKUP(C165,'Status Thresholds'!B:C,2,FALSE)</f>
        <v>Deviant</v>
      </c>
      <c r="C165" s="46" t="str">
        <f>IF(ISBLANK('KO Calc'!C161)=TRUE,"",'KO Calc'!C161)</f>
        <v>Bulldrome</v>
      </c>
      <c r="D165" s="57" t="s">
        <v>22</v>
      </c>
      <c r="E165" s="62" t="str">
        <f t="shared" si="5"/>
        <v>BulldromeExhaust</v>
      </c>
      <c r="F165" s="36" t="s">
        <v>8</v>
      </c>
      <c r="G165" s="36" t="str">
        <f t="shared" si="6"/>
        <v>BulldromeExhaust lvl 2</v>
      </c>
      <c r="H165" s="36" t="str">
        <f>IFERROR(ROUNDUP(IF(AND($Q$1=FALSE,$S$3=FALSE),"-",IF(AND($Q$1=TRUE,$S$3=TRUE),"-",IF(AND($Q$1=TRUE,$S$1=TRUE,$S$4=FALSE),VLOOKUP($E165,'Status Thresholds'!$E:$AS,12,FALSE),IF(AND($Q$1=TRUE,$S$4=FALSE),VLOOKUP($E165,'Status Thresholds'!$E:$AS,2,FALSE), IF(AND($Q$1=TRUE,$S$1=TRUE,$S$4=TRUE),VLOOKUP($E165,'Status Thresholds'!$E:$AS,17,FALSE),IF(AND($Q$1=TRUE,$S$4=TRUE),VLOOKUP($E165,'Status Thresholds'!$E:$AS,7,FALSE),IF(AND($S$3=TRUE,$S$1=TRUE,$S$4=FALSE),VLOOKUP($E165,'Status Thresholds'!$E:$AS,32,FALSE),IF(AND($S$3=TRUE,$S$4=FALSE),VLOOKUP($E165,'Status Thresholds'!$E:$AS,22,FALSE),IF(AND($S$3=TRUE,$S$1=TRUE,$S$4=TRUE),VLOOKUP($E165,'Status Thresholds'!$E:$AS,37,FALSE),IF(AND($S$3=TRUE,$S$4=TRUE),VLOOKUP($E165,'Status Thresholds'!$E:$AS,27,FALSE),""))))))))/IF(OR($Q$3=TRUE,AND($Q$2=TRUE,$Q$7=TRUE),AND($Q$3=TRUE,$Q$7=TRUE))=TRUE,'Shots and Status'!$F$5,IF((OR($Q$2,$Q$7)=TRUE),'Shots and Status'!$D$5,'Shots and Status'!$C$5)))),0),"-")</f>
        <v>-</v>
      </c>
      <c r="I165" s="36" t="str">
        <f>IFERROR(ROUNDUP(IF(AND($Q$1=FALSE,$S$3=FALSE),"-",IF(AND($Q$1=TRUE,$S$3=TRUE),"-",IF(AND($Q$1=TRUE,$S$1=TRUE,$S$4=FALSE),VLOOKUP($E165,'Status Thresholds'!$E:$AS,13,FALSE),IF(AND($Q$1=TRUE,$S$4=FALSE),VLOOKUP($E165,'Status Thresholds'!$E:$AS,3,FALSE), IF(AND($Q$1=TRUE,$S$1=TRUE,$S$4=TRUE),VLOOKUP($E165,'Status Thresholds'!$E:$AS,18,FALSE),IF(AND($Q$1=TRUE,$S$4=TRUE),VLOOKUP($E165,'Status Thresholds'!$E:$AS,8,FALSE),IF(AND($S$3=TRUE,$S$1=TRUE,$S$4=FALSE),VLOOKUP($E165,'Status Thresholds'!$E:$AS,33,FALSE),IF(AND($S$3=TRUE,$S$4=FALSE),VLOOKUP($E165,'Status Thresholds'!$E:$AS,23,FALSE),IF(AND($S$3=TRUE,$S$1=TRUE,$S$4=TRUE),VLOOKUP($E165,'Status Thresholds'!$E:$AS,38,FALSE),IF(AND($S$3=TRUE,$S$4=TRUE),VLOOKUP($E165,'Status Thresholds'!$E:$AS,28,FALSE),""))))))))/IF(OR($Q$3=TRUE,AND($Q$2=TRUE,$Q$7=TRUE),AND($Q$3=TRUE,$Q$7=TRUE))=TRUE,'Shots and Status'!$F$5,IF((OR($Q$2,$Q$7)=TRUE),'Shots and Status'!$D$5,'Shots and Status'!$C$5)))),0),"-")</f>
        <v>-</v>
      </c>
      <c r="J165" s="36" t="str">
        <f>IFERROR(ROUNDUP(IF(AND($Q$1=FALSE,$S$3=FALSE),"-",IF(AND($Q$1=TRUE,$S$3=TRUE),"-",IF(AND($Q$1=TRUE,$S$1=TRUE,$S$4=FALSE),VLOOKUP($E165,'Status Thresholds'!$E:$AS,14,FALSE),IF(AND($Q$1=TRUE,$S$4=FALSE),VLOOKUP($E165,'Status Thresholds'!$E:$AS,4,FALSE), IF(AND($Q$1=TRUE,$S$1=TRUE,$S$4=TRUE),VLOOKUP($E165,'Status Thresholds'!$E:$AS,19,FALSE),IF(AND($Q$1=TRUE,$S$4=TRUE),VLOOKUP($E165,'Status Thresholds'!$E:$AS,9,FALSE),IF(AND($S$3=TRUE,$S$1=TRUE,$S$4=FALSE),VLOOKUP($E165,'Status Thresholds'!$E:$AS,34,FALSE),IF(AND($S$3=TRUE,$S$4=FALSE),VLOOKUP($E165,'Status Thresholds'!$E:$AS,24,FALSE),IF(AND($S$3=TRUE,$S$1=TRUE,$S$4=TRUE),VLOOKUP($E165,'Status Thresholds'!$E:$AS,39,FALSE),IF(AND($S$3=TRUE,$S$4=TRUE),VLOOKUP($E165,'Status Thresholds'!$E:$AS,29,FALSE),""))))))))/IF(OR($Q$3=TRUE,AND($Q$2=TRUE,$Q$7=TRUE),AND($Q$3=TRUE,$Q$7=TRUE))=TRUE,'Shots and Status'!$F$5,IF((OR($Q$2,$Q$7)=TRUE),'Shots and Status'!$D$5,'Shots and Status'!$C$5)))),0),"-")</f>
        <v>-</v>
      </c>
      <c r="K165" s="36" t="str">
        <f>IFERROR(ROUNDUP(IF(AND($Q$1=FALSE,$S$3=FALSE),"-",IF(AND($Q$1=TRUE,$S$3=TRUE),"-",IF(AND($Q$1=TRUE,$S$1=TRUE,$S$4=FALSE),VLOOKUP($E165,'Status Thresholds'!$E:$AS,15,FALSE),IF(AND($Q$1=TRUE,$S$4=FALSE),VLOOKUP($E165,'Status Thresholds'!$E:$AS,5,FALSE), IF(AND($Q$1=TRUE,$S$1=TRUE,$S$4=TRUE),VLOOKUP($E165,'Status Thresholds'!$E:$AS,20,FALSE),IF(AND($Q$1=TRUE,$S$4=TRUE),VLOOKUP($E165,'Status Thresholds'!$E:$AS,10,FALSE),IF(AND($S$3=TRUE,$S$1=TRUE,$S$4=FALSE),VLOOKUP($E165,'Status Thresholds'!$E:$AS,35,FALSE),IF(AND($S$3=TRUE,$S$4=FALSE),VLOOKUP($E165,'Status Thresholds'!$E:$AS,25,FALSE),IF(AND($S$3=TRUE,$S$1=TRUE,$S$4=TRUE),VLOOKUP($E165,'Status Thresholds'!$E:$AS,40,FALSE),IF(AND($S$3=TRUE,$S$4=TRUE),VLOOKUP($E165,'Status Thresholds'!$E:$AS,30,FALSE),""))))))))/IF(OR($Q$3=TRUE,AND($Q$2=TRUE,$Q$7=TRUE),AND($Q$3=TRUE,$Q$7=TRUE))=TRUE,'Shots and Status'!$F$5,IF((OR($Q$2,$Q$7)=TRUE),'Shots and Status'!$D$5,'Shots and Status'!$C$5)))),0),"-")</f>
        <v>-</v>
      </c>
      <c r="L165" s="36" t="str">
        <f>IFERROR(IF(AND($Q$1=FALSE,$S$3=FALSE),"-",VLOOKUP($E165,'Status Thresholds'!$E:$AU,41,FALSE)),"-")</f>
        <v>-</v>
      </c>
      <c r="M165" s="36" t="str">
        <f>IFERROR(IF(AND($Q$1=FALSE,$S$3=FALSE),"-",VLOOKUP($E165,'Status Thresholds'!$E:$AU,42,FALSE)),"-")</f>
        <v>-</v>
      </c>
      <c r="N165" s="36" t="str">
        <f>IFERROR(IF(AND($Q$1=FALSE,$S$3=FALSE),"-",VLOOKUP($E165,'Status Thresholds'!$E:$AU,43,FALSE)),"-")</f>
        <v>-</v>
      </c>
    </row>
    <row r="166" spans="1:14" s="36" customFormat="1" x14ac:dyDescent="0.25">
      <c r="A166" s="46"/>
      <c r="B166" s="64" t="str">
        <f>VLOOKUP(C166,'Status Thresholds'!B:C,2,FALSE)</f>
        <v>Deviant</v>
      </c>
      <c r="C166" s="46" t="str">
        <f>IF(ISBLANK('KO Calc'!C162)=TRUE,"",'KO Calc'!C162)</f>
        <v>Bulldrome</v>
      </c>
      <c r="D166" s="67" t="s">
        <v>14</v>
      </c>
      <c r="E166" s="62" t="str">
        <f t="shared" si="5"/>
        <v>BulldromeKO</v>
      </c>
      <c r="F166" s="36" t="s">
        <v>21</v>
      </c>
      <c r="G166" s="36" t="str">
        <f t="shared" si="6"/>
        <v>BulldromeTriblast</v>
      </c>
      <c r="H166" s="36" t="str">
        <f>IF(AND($Q$1=FALSE,$S$3=FALSE),"-",IF(AND($Q$1=TRUE,$S$3=TRUE),"-",IF(AND($Q$1=FALSE,$S$3=FALSE),"-",IF(AND($Q$1=TRUE,$S$1=TRUE,$S$4=FALSE)=TRUE,IF(OR($Q$4=TRUE,$Q$5=TRUE,$S$2=TRUE),VLOOKUP($G166,'KO Calc'!$H:$AW,12,FALSE),VLOOKUP($G166,'KO Calc'!$H172:$AW172,12,FALSE)),IF(AND($Q$1=TRUE,$S$4=FALSE),IF(OR($Q$4=TRUE,$Q$5=TRUE,$S$2=TRUE),VLOOKUP($G166,'KO Calc'!$H:$AW,2,FALSE),VLOOKUP($G166,'KO Calc'!$H172:$AW172,2,FALSE)),
IF(AND($Q$1=TRUE,$S$1=TRUE,$S$4=TRUE)=TRUE,IF(OR($Q$4=TRUE,$Q$5=TRUE,$S$2=TRUE),VLOOKUP($G166,'KO Calc'!$H:$AW,17,FALSE),VLOOKUP($G166,'KO Calc'!$H172:$AW172,17,FALSE)),IF(AND($Q$1=TRUE,$S$4=TRUE),IF(OR($Q$4=TRUE,$Q$5=TRUE,$S$2=TRUE),VLOOKUP($G166,'KO Calc'!$H:$AW,7,FALSE),VLOOKUP($G166,'KO Calc'!$H172:$AW172,7,FALSE)),
IF(AND($S$3=TRUE,$S$1=TRUE,$S$4=FALSE)=TRUE,IF(OR($Q$4=TRUE,$Q$5=TRUE,$S$2=TRUE),VLOOKUP($G166,'KO Calc'!$H:$AW,32,FALSE),VLOOKUP($G166,'KO Calc'!$H172:$AW172,32,FALSE)),IF(AND($S$3=TRUE,$S$4=FALSE),IF(OR($Q$4=TRUE,$Q$5=TRUE,$S$2=TRUE),VLOOKUP($G166,'KO Calc'!$H:$AW,22,FALSE),VLOOKUP($G166,'KO Calc'!$H172:$AW172,22,FALSE)),
IF(AND($S$3=TRUE,$S$1=TRUE,$S$4=TRUE)=TRUE,IF(OR($Q$4=TRUE,$Q$5=TRUE,$S$2=TRUE),VLOOKUP($G166,'KO Calc'!$H:$AW,37,FALSE),VLOOKUP($G166,'KO Calc'!$H172:$AW172,37,FALSE)),IF(AND($S$3=TRUE,$S$4=TRUE),IF(OR($Q$4=TRUE,$Q$5=TRUE,$S$2=TRUE),VLOOKUP($G166,'KO Calc'!$H:$AW,27,FALSE),VLOOKUP($G166,'KO Calc'!$H172:$AW172,27,FALSE)))))))))))))</f>
        <v>-</v>
      </c>
      <c r="I166" s="36" t="str">
        <f>IF(AND($Q$1=FALSE,$S$3=FALSE),"-",IF(AND($Q$1=TRUE,$S$3=TRUE),"-",IF(AND($Q$1=FALSE,$S$3=FALSE),"-",IF(AND($Q$1=TRUE,$S$1=TRUE,$S$4=FALSE)=TRUE,IF(OR($Q$4=TRUE,$Q$5=TRUE,$S$2=TRUE),VLOOKUP($G166,'KO Calc'!$H:$AW,13,FALSE),VLOOKUP($G166,'KO Calc'!$H172:$AW172,13,FALSE)),IF(AND($Q$1=TRUE,$S$4=FALSE),IF(OR($Q$4=TRUE,$Q$5=TRUE,$S$2=TRUE),VLOOKUP($G166,'KO Calc'!$H:$AW,3,FALSE),VLOOKUP($G166,'KO Calc'!$H172:$AW172,3,FALSE)),
IF(AND($Q$1=TRUE,$S$1=TRUE,$S$4=TRUE)=TRUE,IF(OR($Q$4=TRUE,$Q$5=TRUE,$S$2=TRUE),VLOOKUP($G166,'KO Calc'!$H:$AW,18,FALSE),VLOOKUP($G166,'KO Calc'!$H172:$AW172,18,FALSE)),IF(AND($Q$1=TRUE,$S$4=TRUE),IF(OR($Q$4=TRUE,$Q$5=TRUE,$S$2=TRUE),VLOOKUP($G166,'KO Calc'!$H:$AW,8,FALSE),VLOOKUP($G166,'KO Calc'!$H172:$AW172,8,FALSE)),
IF(AND($S$3=TRUE,$S$1=TRUE,$S$4=FALSE)=TRUE,IF(OR($Q$4=TRUE,$Q$5=TRUE,$S$2=TRUE),VLOOKUP($G166,'KO Calc'!$H:$AW,33,FALSE),VLOOKUP($G166,'KO Calc'!$H172:$AW172,33,FALSE)),IF(AND($S$3=TRUE,$S$4=FALSE),IF(OR($Q$4=TRUE,$Q$5=TRUE,$S$2=TRUE),VLOOKUP($G166,'KO Calc'!$H:$AW,23,FALSE),VLOOKUP($G166,'KO Calc'!$H172:$AW172,23,FALSE)),
IF(AND($S$3=TRUE,$S$1=TRUE,$S$4=TRUE)=TRUE,IF(OR($Q$4=TRUE,$Q$5=TRUE,$S$2=TRUE),VLOOKUP($G166,'KO Calc'!$H:$AW,38,FALSE),VLOOKUP($G166,'KO Calc'!$H172:$AW172,38,FALSE)),IF(AND($S$3=TRUE,$S$4=TRUE),IF(OR($Q$4=TRUE,$Q$5=TRUE,$S$2=TRUE),VLOOKUP($G166,'KO Calc'!$H:$AW,28,FALSE),VLOOKUP($G166,'KO Calc'!$H172:$AW172,28,FALSE)))))))))))))</f>
        <v>-</v>
      </c>
      <c r="J166" s="36" t="str">
        <f>IF(AND($Q$1=FALSE,$S$3=FALSE),"-",IF(AND($Q$1=TRUE,$S$3=TRUE),"-",IF(AND($Q$1=FALSE,$S$3=FALSE),"-",IF(AND($Q$1=TRUE,$S$1=TRUE,$S$4=FALSE)=TRUE,IF(OR($Q$4=TRUE,$Q$5=TRUE,$S$2=TRUE),VLOOKUP($G166,'KO Calc'!$H:$AW,FALSE),VLOOKUP($G166,'KO Calc'!$H172:$AW172,14,FALSE)),IF(AND($Q$1=TRUE,$S$4=FALSE),IF(OR($Q$4=TRUE,$Q$5=TRUE,$S$2=TRUE),VLOOKUP($G166,'KO Calc'!$H:$AW,4,FALSE),VLOOKUP($G166,'KO Calc'!$H172:$AW172,4,FALSE)),
IF(AND($Q$1=TRUE,$S$1=TRUE,$S$4=TRUE)=TRUE,IF(OR($Q$4=TRUE,$Q$5=TRUE,$S$2=TRUE),VLOOKUP($G166,'KO Calc'!$H:$AW,19,FALSE),VLOOKUP($G166,'KO Calc'!$H172:$AW172,19,FALSE)),IF(AND($Q$1=TRUE,$S$4=TRUE),IF(OR($Q$4=TRUE,$Q$5=TRUE,$S$2=TRUE),VLOOKUP($G166,'KO Calc'!$H:$AW,9,FALSE),VLOOKUP($G166,'KO Calc'!$H172:$AW172,9,FALSE)),
IF(AND($S$3=TRUE,$S$1=TRUE,$S$4=FALSE)=TRUE,IF(OR($Q$4=TRUE,$Q$5=TRUE,$S$2=TRUE),VLOOKUP($G166,'KO Calc'!$H:$AW,34,FALSE),VLOOKUP($G166,'KO Calc'!$H172:$AW172,34,FALSE)),IF(AND($S$3=TRUE,$S$4=FALSE),IF(OR($Q$4=TRUE,$Q$5=TRUE,$S$2=TRUE),VLOOKUP($G166,'KO Calc'!$H:$AW,24,FALSE),VLOOKUP($G166,'KO Calc'!$H172:$AW172,24,FALSE)),
IF(AND($S$3=TRUE,$S$1=TRUE,$S$4=TRUE)=TRUE,IF(OR($Q$4=TRUE,$Q$5=TRUE,$S$2=TRUE),VLOOKUP($G166,'KO Calc'!$H:$AW,39,FALSE),VLOOKUP($G166,'KO Calc'!$H172:$AW172,39,FALSE)),IF(AND($S$3=TRUE,$S$4=TRUE),IF(OR($Q$4=TRUE,$Q$5=TRUE,$S$2=TRUE),VLOOKUP($G166,'KO Calc'!$H:$AW,29,FALSE),VLOOKUP($G166,'KO Calc'!$H172:$AW172,29,FALSE)))))))))))))</f>
        <v>-</v>
      </c>
      <c r="K166" s="36" t="str">
        <f>IF(AND($Q$1=FALSE,$S$3=FALSE),"-",IF(AND($Q$1=TRUE,$S$3=TRUE),"-",IF(AND($Q$1=FALSE,$S$3=FALSE),"-",IF(AND($Q$1=TRUE,$S$1=TRUE,$S$4=FALSE)=TRUE,IF(OR($Q$4=TRUE,$Q$5=TRUE,$S$2=TRUE),VLOOKUP($G166,'KO Calc'!$H:$AW,15,FALSE),VLOOKUP($G166,'KO Calc'!$H172:$AW172,15,FALSE)),IF(AND($Q$1=TRUE,$S$4=FALSE),IF(OR($Q$4=TRUE,$Q$5=TRUE,$S$2=TRUE),VLOOKUP($G166,'KO Calc'!$H:$AW,5,FALSE),VLOOKUP($G166,'KO Calc'!$H172:$AW172,5,FALSE)),
IF(AND($Q$1=TRUE,$S$1=TRUE,$S$4=TRUE)=TRUE,IF(OR($Q$4=TRUE,$Q$5=TRUE,$S$2=TRUE),VLOOKUP($G166,'KO Calc'!$H:$AW,20,FALSE),VLOOKUP($G166,'KO Calc'!$H172:$AW172,20,FALSE)),IF(AND($Q$1=TRUE,$S$4=TRUE),IF(OR($Q$4=TRUE,$Q$5=TRUE,$S$2=TRUE),VLOOKUP($G166,'KO Calc'!$H:$AW,10,FALSE),VLOOKUP($G166,'KO Calc'!$H172:$AW172,10,FALSE)),
IF(AND($S$3=TRUE,$S$1=TRUE,$S$4=FALSE)=TRUE,IF(OR($Q$4=TRUE,$Q$5=TRUE,$S$2=TRUE),VLOOKUP($G166,'KO Calc'!$H:$AW,35,FALSE),VLOOKUP($G166,'KO Calc'!$H172:$AW172,35,FALSE)),IF(AND($S$3=TRUE,$S$4=FALSE),IF(OR($Q$4=TRUE,$Q$5=TRUE,$S$2=TRUE),VLOOKUP($G166,'KO Calc'!$H:$AW,25,FALSE),VLOOKUP($G166,'KO Calc'!$H172:$AW172,25,FALSE)),
IF(AND($S$3=TRUE,$S$1=TRUE,$S$4=TRUE)=TRUE,IF(OR($Q$4=TRUE,$Q$5=TRUE,$S$2=TRUE),VLOOKUP($G166,'KO Calc'!$H:$AW,40,FALSE),VLOOKUP($G166,'KO Calc'!$H172:$AW172,40,FALSE)),IF(AND($S$3=TRUE,$S$4=TRUE),IF(OR($Q$4=TRUE,$Q$5=TRUE,$S$2=TRUE),VLOOKUP($G166,'KO Calc'!$H:$AW,30,FALSE),VLOOKUP($G166,'KO Calc'!$H172:$AW172,30,FALSE)))))))))))))</f>
        <v>-</v>
      </c>
      <c r="L166" s="36" t="str">
        <f>IFERROR(IF(AND($Q$1=FALSE,$S$3=FALSE),"-",VLOOKUP($E166,'Status Thresholds'!$E:$AU,41,FALSE)),"-")</f>
        <v>-</v>
      </c>
      <c r="M166" s="36" t="str">
        <f>IFERROR(IF(AND($Q$1=FALSE,$S$3=FALSE),"-",VLOOKUP($E166,'Status Thresholds'!$E:$AU,42,FALSE)),"-")</f>
        <v>-</v>
      </c>
      <c r="N166" s="36" t="str">
        <f>IFERROR(IF(AND($Q$1=FALSE,$S$3=FALSE),"-",VLOOKUP($E166,'Status Thresholds'!$E:$AU,43,FALSE)),"-")</f>
        <v>-</v>
      </c>
    </row>
    <row r="167" spans="1:14" x14ac:dyDescent="0.25">
      <c r="B167" s="64" t="str">
        <f>VLOOKUP(C167,'Status Thresholds'!B:C,2,FALSE)</f>
        <v>Deviant</v>
      </c>
      <c r="C167" s="46" t="str">
        <f>IF(ISBLANK('KO Calc'!C163)=TRUE,"",'KO Calc'!C163)</f>
        <v>Bulldrome</v>
      </c>
      <c r="D167" s="78" t="s">
        <v>207</v>
      </c>
      <c r="E167" s="62" t="str">
        <f t="shared" si="5"/>
        <v>BulldromeShock Trap</v>
      </c>
      <c r="F167" t="s">
        <v>13</v>
      </c>
      <c r="G167" s="36" t="str">
        <f t="shared" si="6"/>
        <v>BulldromeCrag 3</v>
      </c>
      <c r="H167" s="36" t="str">
        <f>IF(AND($Q$1=FALSE,$S$3=FALSE),"-",IF(AND($Q$1=TRUE,$S$3=TRUE),"-",IF(AND($Q$1=FALSE,$S$3=FALSE),"-",IF(AND($Q$1=TRUE,$S$1=TRUE,$S$4=FALSE)=TRUE,IF(OR($Q$4=TRUE,$Q$5=TRUE,$S$2=TRUE),VLOOKUP($G167,'KO Calc'!$H:$AW,12,FALSE),VLOOKUP($G167,'KO Calc'!$H173:$AW173,12,FALSE)),IF(AND($Q$1=TRUE,$S$4=FALSE),IF(OR($Q$4=TRUE,$Q$5=TRUE,$S$2=TRUE),VLOOKUP($G167,'KO Calc'!$H:$AW,2,FALSE),VLOOKUP($G167,'KO Calc'!$H173:$AW173,2,FALSE)),
IF(AND($Q$1=TRUE,$S$1=TRUE,$S$4=TRUE)=TRUE,IF(OR($Q$4=TRUE,$Q$5=TRUE,$S$2=TRUE),VLOOKUP($G167,'KO Calc'!$H:$AW,17,FALSE),VLOOKUP($G167,'KO Calc'!$H173:$AW173,17,FALSE)),IF(AND($Q$1=TRUE,$S$4=TRUE),IF(OR($Q$4=TRUE,$Q$5=TRUE,$S$2=TRUE),VLOOKUP($G167,'KO Calc'!$H:$AW,7,FALSE),VLOOKUP($G167,'KO Calc'!$H173:$AW173,7,FALSE)),
IF(AND($S$3=TRUE,$S$1=TRUE,$S$4=FALSE)=TRUE,IF(OR($Q$4=TRUE,$Q$5=TRUE,$S$2=TRUE),VLOOKUP($G167,'KO Calc'!$H:$AW,32,FALSE),VLOOKUP($G167,'KO Calc'!$H173:$AW173,32,FALSE)),IF(AND($S$3=TRUE,$S$4=FALSE),IF(OR($Q$4=TRUE,$Q$5=TRUE,$S$2=TRUE),VLOOKUP($G167,'KO Calc'!$H:$AW,22,FALSE),VLOOKUP($G167,'KO Calc'!$H173:$AW173,22,FALSE)),
IF(AND($S$3=TRUE,$S$1=TRUE,$S$4=TRUE)=TRUE,IF(OR($Q$4=TRUE,$Q$5=TRUE,$S$2=TRUE),VLOOKUP($G167,'KO Calc'!$H:$AW,37,FALSE),VLOOKUP($G167,'KO Calc'!$H173:$AW173,37,FALSE)),IF(AND($S$3=TRUE,$S$4=TRUE),IF(OR($Q$4=TRUE,$Q$5=TRUE,$S$2=TRUE),VLOOKUP($G167,'KO Calc'!$H:$AW,27,FALSE),VLOOKUP($G167,'KO Calc'!$H173:$AW173,27,FALSE)))))))))))))</f>
        <v>-</v>
      </c>
      <c r="I167" s="36" t="str">
        <f>IF(AND($Q$1=FALSE,$S$3=FALSE),"-",IF(AND($Q$1=TRUE,$S$3=TRUE),"-",IF(AND($Q$1=FALSE,$S$3=FALSE),"-",IF(AND($Q$1=TRUE,$S$1=TRUE,$S$4=FALSE)=TRUE,IF(OR($Q$4=TRUE,$Q$5=TRUE,$S$2=TRUE),VLOOKUP($G167,'KO Calc'!$H:$AW,13,FALSE),VLOOKUP($G167,'KO Calc'!$H173:$AW173,13,FALSE)),IF(AND($Q$1=TRUE,$S$4=FALSE),IF(OR($Q$4=TRUE,$Q$5=TRUE,$S$2=TRUE),VLOOKUP($G167,'KO Calc'!$H:$AW,3,FALSE),VLOOKUP($G167,'KO Calc'!$H173:$AW173,3,FALSE)),
IF(AND($Q$1=TRUE,$S$1=TRUE,$S$4=TRUE)=TRUE,IF(OR($Q$4=TRUE,$Q$5=TRUE,$S$2=TRUE),VLOOKUP($G167,'KO Calc'!$H:$AW,18,FALSE),VLOOKUP($G167,'KO Calc'!$H173:$AW173,18,FALSE)),IF(AND($Q$1=TRUE,$S$4=TRUE),IF(OR($Q$4=TRUE,$Q$5=TRUE,$S$2=TRUE),VLOOKUP($G167,'KO Calc'!$H:$AW,8,FALSE),VLOOKUP($G167,'KO Calc'!$H173:$AW173,8,FALSE)),
IF(AND($S$3=TRUE,$S$1=TRUE,$S$4=FALSE)=TRUE,IF(OR($Q$4=TRUE,$Q$5=TRUE,$S$2=TRUE),VLOOKUP($G167,'KO Calc'!$H:$AW,33,FALSE),VLOOKUP($G167,'KO Calc'!$H173:$AW173,33,FALSE)),IF(AND($S$3=TRUE,$S$4=FALSE),IF(OR($Q$4=TRUE,$Q$5=TRUE,$S$2=TRUE),VLOOKUP($G167,'KO Calc'!$H:$AW,23,FALSE),VLOOKUP($G167,'KO Calc'!$H173:$AW173,23,FALSE)),
IF(AND($S$3=TRUE,$S$1=TRUE,$S$4=TRUE)=TRUE,IF(OR($Q$4=TRUE,$Q$5=TRUE,$S$2=TRUE),VLOOKUP($G167,'KO Calc'!$H:$AW,38,FALSE),VLOOKUP($G167,'KO Calc'!$H173:$AW173,38,FALSE)),IF(AND($S$3=TRUE,$S$4=TRUE),IF(OR($Q$4=TRUE,$Q$5=TRUE,$S$2=TRUE),VLOOKUP($G167,'KO Calc'!$H:$AW,28,FALSE),VLOOKUP($G167,'KO Calc'!$H173:$AW173,28,FALSE)))))))))))))</f>
        <v>-</v>
      </c>
      <c r="J167" s="36" t="str">
        <f>IF(AND($Q$1=FALSE,$S$3=FALSE),"-",IF(AND($Q$1=TRUE,$S$3=TRUE),"-",IF(AND($Q$1=FALSE,$S$3=FALSE),"-",IF(AND($Q$1=TRUE,$S$1=TRUE,$S$4=FALSE)=TRUE,IF(OR($Q$4=TRUE,$Q$5=TRUE,$S$2=TRUE),VLOOKUP($G167,'KO Calc'!$H:$AW,FALSE),VLOOKUP($G167,'KO Calc'!$H173:$AW173,14,FALSE)),IF(AND($Q$1=TRUE,$S$4=FALSE),IF(OR($Q$4=TRUE,$Q$5=TRUE,$S$2=TRUE),VLOOKUP($G167,'KO Calc'!$H:$AW,4,FALSE),VLOOKUP($G167,'KO Calc'!$H173:$AW173,4,FALSE)),
IF(AND($Q$1=TRUE,$S$1=TRUE,$S$4=TRUE)=TRUE,IF(OR($Q$4=TRUE,$Q$5=TRUE,$S$2=TRUE),VLOOKUP($G167,'KO Calc'!$H:$AW,19,FALSE),VLOOKUP($G167,'KO Calc'!$H173:$AW173,19,FALSE)),IF(AND($Q$1=TRUE,$S$4=TRUE),IF(OR($Q$4=TRUE,$Q$5=TRUE,$S$2=TRUE),VLOOKUP($G167,'KO Calc'!$H:$AW,9,FALSE),VLOOKUP($G167,'KO Calc'!$H173:$AW173,9,FALSE)),
IF(AND($S$3=TRUE,$S$1=TRUE,$S$4=FALSE)=TRUE,IF(OR($Q$4=TRUE,$Q$5=TRUE,$S$2=TRUE),VLOOKUP($G167,'KO Calc'!$H:$AW,34,FALSE),VLOOKUP($G167,'KO Calc'!$H173:$AW173,34,FALSE)),IF(AND($S$3=TRUE,$S$4=FALSE),IF(OR($Q$4=TRUE,$Q$5=TRUE,$S$2=TRUE),VLOOKUP($G167,'KO Calc'!$H:$AW,24,FALSE),VLOOKUP($G167,'KO Calc'!$H173:$AW173,24,FALSE)),
IF(AND($S$3=TRUE,$S$1=TRUE,$S$4=TRUE)=TRUE,IF(OR($Q$4=TRUE,$Q$5=TRUE,$S$2=TRUE),VLOOKUP($G167,'KO Calc'!$H:$AW,39,FALSE),VLOOKUP($G167,'KO Calc'!$H173:$AW173,39,FALSE)),IF(AND($S$3=TRUE,$S$4=TRUE),IF(OR($Q$4=TRUE,$Q$5=TRUE,$S$2=TRUE),VLOOKUP($G167,'KO Calc'!$H:$AW,29,FALSE),VLOOKUP($G167,'KO Calc'!$H173:$AW173,29,FALSE)))))))))))))</f>
        <v>-</v>
      </c>
      <c r="K167" s="36" t="str">
        <f>IF(AND($Q$1=FALSE,$S$3=FALSE),"-",IF(AND($Q$1=TRUE,$S$3=TRUE),"-",IF(AND($Q$1=FALSE,$S$3=FALSE),"-",IF(AND($Q$1=TRUE,$S$1=TRUE,$S$4=FALSE)=TRUE,IF(OR($Q$4=TRUE,$Q$5=TRUE,$S$2=TRUE),VLOOKUP($G167,'KO Calc'!$H:$AW,15,FALSE),VLOOKUP($G167,'KO Calc'!$H173:$AW173,15,FALSE)),IF(AND($Q$1=TRUE,$S$4=FALSE),IF(OR($Q$4=TRUE,$Q$5=TRUE,$S$2=TRUE),VLOOKUP($G167,'KO Calc'!$H:$AW,5,FALSE),VLOOKUP($G167,'KO Calc'!$H173:$AW173,5,FALSE)),
IF(AND($Q$1=TRUE,$S$1=TRUE,$S$4=TRUE)=TRUE,IF(OR($Q$4=TRUE,$Q$5=TRUE,$S$2=TRUE),VLOOKUP($G167,'KO Calc'!$H:$AW,20,FALSE),VLOOKUP($G167,'KO Calc'!$H173:$AW173,20,FALSE)),IF(AND($Q$1=TRUE,$S$4=TRUE),IF(OR($Q$4=TRUE,$Q$5=TRUE,$S$2=TRUE),VLOOKUP($G167,'KO Calc'!$H:$AW,10,FALSE),VLOOKUP($G167,'KO Calc'!$H173:$AW173,10,FALSE)),
IF(AND($S$3=TRUE,$S$1=TRUE,$S$4=FALSE)=TRUE,IF(OR($Q$4=TRUE,$Q$5=TRUE,$S$2=TRUE),VLOOKUP($G167,'KO Calc'!$H:$AW,35,FALSE),VLOOKUP($G167,'KO Calc'!$H173:$AW173,35,FALSE)),IF(AND($S$3=TRUE,$S$4=FALSE),IF(OR($Q$4=TRUE,$Q$5=TRUE,$S$2=TRUE),VLOOKUP($G167,'KO Calc'!$H:$AW,25,FALSE),VLOOKUP($G167,'KO Calc'!$H173:$AW173,25,FALSE)),
IF(AND($S$3=TRUE,$S$1=TRUE,$S$4=TRUE)=TRUE,IF(OR($Q$4=TRUE,$Q$5=TRUE,$S$2=TRUE),VLOOKUP($G167,'KO Calc'!$H:$AW,40,FALSE),VLOOKUP($G167,'KO Calc'!$H173:$AW173,40,FALSE)),IF(AND($S$3=TRUE,$S$4=TRUE),IF(OR($Q$4=TRUE,$Q$5=TRUE,$S$2=TRUE),VLOOKUP($G167,'KO Calc'!$H:$AW,30,FALSE),VLOOKUP($G167,'KO Calc'!$H173:$AW173,30,FALSE)))))))))))))</f>
        <v>-</v>
      </c>
      <c r="L167" s="36" t="str">
        <f>IFERROR(IF(AND($Q$1=FALSE,$S$3=FALSE),"-",VLOOKUP($E167,'Status Thresholds'!$E:$AU,43,FALSE)),"-")</f>
        <v>-</v>
      </c>
      <c r="M167" s="36" t="str">
        <f>IFERROR(IF(AND($Q$1=FALSE,$S$3=FALSE),"-",VLOOKUP($E167,'Status Thresholds'!$E:$AU,41,FALSE)),"-")</f>
        <v>-</v>
      </c>
      <c r="N167" s="36" t="str">
        <f>IFERROR(IF(AND($Q$1=FALSE,$S$3=FALSE),"-",VLOOKUP($E167,'Status Thresholds'!$E:$AU,42,FALSE)),"-")</f>
        <v>-</v>
      </c>
    </row>
    <row r="168" spans="1:14" x14ac:dyDescent="0.25">
      <c r="B168" s="64" t="str">
        <f>VLOOKUP(C168,'Status Thresholds'!B:C,2,FALSE)</f>
        <v>Deviant</v>
      </c>
      <c r="C168" s="46" t="str">
        <f>IF(ISBLANK('KO Calc'!C164)=TRUE,"",'KO Calc'!C164)</f>
        <v>Bulldrome</v>
      </c>
      <c r="D168" s="78" t="s">
        <v>213</v>
      </c>
      <c r="E168" s="62" t="str">
        <f t="shared" si="5"/>
        <v>BulldromePitfall Trap</v>
      </c>
      <c r="F168" t="s">
        <v>12</v>
      </c>
      <c r="G168" s="36" t="str">
        <f t="shared" si="6"/>
        <v>BulldromeCrag 2</v>
      </c>
      <c r="H168" s="36" t="str">
        <f>IF(AND($Q$1=FALSE,$S$3=FALSE),"-",IF(AND($Q$1=TRUE,$S$3=TRUE),"-",IF(AND($Q$1=FALSE,$S$3=FALSE),"-",IF(AND($Q$1=TRUE,$S$1=TRUE,$S$4=FALSE)=TRUE,IF(OR($Q$4=TRUE,$Q$5=TRUE,$S$2=TRUE),VLOOKUP($G168,'KO Calc'!$H:$AW,12,FALSE),VLOOKUP($G168,'KO Calc'!$H174:$AW174,12,FALSE)),IF(AND($Q$1=TRUE,$S$4=FALSE),IF(OR($Q$4=TRUE,$Q$5=TRUE,$S$2=TRUE),VLOOKUP($G168,'KO Calc'!$H:$AW,2,FALSE),VLOOKUP($G168,'KO Calc'!$H174:$AW174,2,FALSE)),
IF(AND($Q$1=TRUE,$S$1=TRUE,$S$4=TRUE)=TRUE,IF(OR($Q$4=TRUE,$Q$5=TRUE,$S$2=TRUE),VLOOKUP($G168,'KO Calc'!$H:$AW,17,FALSE),VLOOKUP($G168,'KO Calc'!$H174:$AW174,17,FALSE)),IF(AND($Q$1=TRUE,$S$4=TRUE),IF(OR($Q$4=TRUE,$Q$5=TRUE,$S$2=TRUE),VLOOKUP($G168,'KO Calc'!$H:$AW,7,FALSE),VLOOKUP($G168,'KO Calc'!$H174:$AW174,7,FALSE)),
IF(AND($S$3=TRUE,$S$1=TRUE,$S$4=FALSE)=TRUE,IF(OR($Q$4=TRUE,$Q$5=TRUE,$S$2=TRUE),VLOOKUP($G168,'KO Calc'!$H:$AW,32,FALSE),VLOOKUP($G168,'KO Calc'!$H174:$AW174,32,FALSE)),IF(AND($S$3=TRUE,$S$4=FALSE),IF(OR($Q$4=TRUE,$Q$5=TRUE,$S$2=TRUE),VLOOKUP($G168,'KO Calc'!$H:$AW,22,FALSE),VLOOKUP($G168,'KO Calc'!$H174:$AW174,22,FALSE)),
IF(AND($S$3=TRUE,$S$1=TRUE,$S$4=TRUE)=TRUE,IF(OR($Q$4=TRUE,$Q$5=TRUE,$S$2=TRUE),VLOOKUP($G168,'KO Calc'!$H:$AW,37,FALSE),VLOOKUP($G168,'KO Calc'!$H174:$AW174,37,FALSE)),IF(AND($S$3=TRUE,$S$4=TRUE),IF(OR($Q$4=TRUE,$Q$5=TRUE,$S$2=TRUE),VLOOKUP($G168,'KO Calc'!$H:$AW,27,FALSE),VLOOKUP($G168,'KO Calc'!$H174:$AW174,27,FALSE)))))))))))))</f>
        <v>-</v>
      </c>
      <c r="I168" s="36" t="str">
        <f>IF(AND($Q$1=FALSE,$S$3=FALSE),"-",IF(AND($Q$1=TRUE,$S$3=TRUE),"-",IF(AND($Q$1=FALSE,$S$3=FALSE),"-",IF(AND($Q$1=TRUE,$S$1=TRUE,$S$4=FALSE)=TRUE,IF(OR($Q$4=TRUE,$Q$5=TRUE,$S$2=TRUE),VLOOKUP($G168,'KO Calc'!$H:$AW,13,FALSE),VLOOKUP($G168,'KO Calc'!$H174:$AW174,13,FALSE)),IF(AND($Q$1=TRUE,$S$4=FALSE),IF(OR($Q$4=TRUE,$Q$5=TRUE,$S$2=TRUE),VLOOKUP($G168,'KO Calc'!$H:$AW,3,FALSE),VLOOKUP($G168,'KO Calc'!$H174:$AW174,3,FALSE)),
IF(AND($Q$1=TRUE,$S$1=TRUE,$S$4=TRUE)=TRUE,IF(OR($Q$4=TRUE,$Q$5=TRUE,$S$2=TRUE),VLOOKUP($G168,'KO Calc'!$H:$AW,18,FALSE),VLOOKUP($G168,'KO Calc'!$H174:$AW174,18,FALSE)),IF(AND($Q$1=TRUE,$S$4=TRUE),IF(OR($Q$4=TRUE,$Q$5=TRUE,$S$2=TRUE),VLOOKUP($G168,'KO Calc'!$H:$AW,8,FALSE),VLOOKUP($G168,'KO Calc'!$H174:$AW174,8,FALSE)),
IF(AND($S$3=TRUE,$S$1=TRUE,$S$4=FALSE)=TRUE,IF(OR($Q$4=TRUE,$Q$5=TRUE,$S$2=TRUE),VLOOKUP($G168,'KO Calc'!$H:$AW,33,FALSE),VLOOKUP($G168,'KO Calc'!$H174:$AW174,33,FALSE)),IF(AND($S$3=TRUE,$S$4=FALSE),IF(OR($Q$4=TRUE,$Q$5=TRUE,$S$2=TRUE),VLOOKUP($G168,'KO Calc'!$H:$AW,23,FALSE),VLOOKUP($G168,'KO Calc'!$H174:$AW174,23,FALSE)),
IF(AND($S$3=TRUE,$S$1=TRUE,$S$4=TRUE)=TRUE,IF(OR($Q$4=TRUE,$Q$5=TRUE,$S$2=TRUE),VLOOKUP($G168,'KO Calc'!$H:$AW,38,FALSE),VLOOKUP($G168,'KO Calc'!$H174:$AW174,38,FALSE)),IF(AND($S$3=TRUE,$S$4=TRUE),IF(OR($Q$4=TRUE,$Q$5=TRUE,$S$2=TRUE),VLOOKUP($G168,'KO Calc'!$H:$AW,28,FALSE),VLOOKUP($G168,'KO Calc'!$H174:$AW174,28,FALSE)))))))))))))</f>
        <v>-</v>
      </c>
      <c r="J168" s="36" t="str">
        <f>IF(AND($Q$1=FALSE,$S$3=FALSE),"-",IF(AND($Q$1=TRUE,$S$3=TRUE),"-",IF(AND($Q$1=FALSE,$S$3=FALSE),"-",IF(AND($Q$1=TRUE,$S$1=TRUE,$S$4=FALSE)=TRUE,IF(OR($Q$4=TRUE,$Q$5=TRUE,$S$2=TRUE),VLOOKUP($G168,'KO Calc'!$H:$AW,FALSE),VLOOKUP($G168,'KO Calc'!$H174:$AW174,14,FALSE)),IF(AND($Q$1=TRUE,$S$4=FALSE),IF(OR($Q$4=TRUE,$Q$5=TRUE,$S$2=TRUE),VLOOKUP($G168,'KO Calc'!$H:$AW,4,FALSE),VLOOKUP($G168,'KO Calc'!$H174:$AW174,4,FALSE)),
IF(AND($Q$1=TRUE,$S$1=TRUE,$S$4=TRUE)=TRUE,IF(OR($Q$4=TRUE,$Q$5=TRUE,$S$2=TRUE),VLOOKUP($G168,'KO Calc'!$H:$AW,19,FALSE),VLOOKUP($G168,'KO Calc'!$H174:$AW174,19,FALSE)),IF(AND($Q$1=TRUE,$S$4=TRUE),IF(OR($Q$4=TRUE,$Q$5=TRUE,$S$2=TRUE),VLOOKUP($G168,'KO Calc'!$H:$AW,9,FALSE),VLOOKUP($G168,'KO Calc'!$H174:$AW174,9,FALSE)),
IF(AND($S$3=TRUE,$S$1=TRUE,$S$4=FALSE)=TRUE,IF(OR($Q$4=TRUE,$Q$5=TRUE,$S$2=TRUE),VLOOKUP($G168,'KO Calc'!$H:$AW,34,FALSE),VLOOKUP($G168,'KO Calc'!$H174:$AW174,34,FALSE)),IF(AND($S$3=TRUE,$S$4=FALSE),IF(OR($Q$4=TRUE,$Q$5=TRUE,$S$2=TRUE),VLOOKUP($G168,'KO Calc'!$H:$AW,24,FALSE),VLOOKUP($G168,'KO Calc'!$H174:$AW174,24,FALSE)),
IF(AND($S$3=TRUE,$S$1=TRUE,$S$4=TRUE)=TRUE,IF(OR($Q$4=TRUE,$Q$5=TRUE,$S$2=TRUE),VLOOKUP($G168,'KO Calc'!$H:$AW,39,FALSE),VLOOKUP($G168,'KO Calc'!$H174:$AW174,39,FALSE)),IF(AND($S$3=TRUE,$S$4=TRUE),IF(OR($Q$4=TRUE,$Q$5=TRUE,$S$2=TRUE),VLOOKUP($G168,'KO Calc'!$H:$AW,29,FALSE),VLOOKUP($G168,'KO Calc'!$H174:$AW174,29,FALSE)))))))))))))</f>
        <v>-</v>
      </c>
      <c r="K168" s="36" t="str">
        <f>IF(AND($Q$1=FALSE,$S$3=FALSE),"-",IF(AND($Q$1=TRUE,$S$3=TRUE),"-",IF(AND($Q$1=FALSE,$S$3=FALSE),"-",IF(AND($Q$1=TRUE,$S$1=TRUE,$S$4=FALSE)=TRUE,IF(OR($Q$4=TRUE,$Q$5=TRUE,$S$2=TRUE),VLOOKUP($G168,'KO Calc'!$H:$AW,15,FALSE),VLOOKUP($G168,'KO Calc'!$H174:$AW174,15,FALSE)),IF(AND($Q$1=TRUE,$S$4=FALSE),IF(OR($Q$4=TRUE,$Q$5=TRUE,$S$2=TRUE),VLOOKUP($G168,'KO Calc'!$H:$AW,5,FALSE),VLOOKUP($G168,'KO Calc'!$H174:$AW174,5,FALSE)),
IF(AND($Q$1=TRUE,$S$1=TRUE,$S$4=TRUE)=TRUE,IF(OR($Q$4=TRUE,$Q$5=TRUE,$S$2=TRUE),VLOOKUP($G168,'KO Calc'!$H:$AW,20,FALSE),VLOOKUP($G168,'KO Calc'!$H174:$AW174,20,FALSE)),IF(AND($Q$1=TRUE,$S$4=TRUE),IF(OR($Q$4=TRUE,$Q$5=TRUE,$S$2=TRUE),VLOOKUP($G168,'KO Calc'!$H:$AW,10,FALSE),VLOOKUP($G168,'KO Calc'!$H174:$AW174,10,FALSE)),
IF(AND($S$3=TRUE,$S$1=TRUE,$S$4=FALSE)=TRUE,IF(OR($Q$4=TRUE,$Q$5=TRUE,$S$2=TRUE),VLOOKUP($G168,'KO Calc'!$H:$AW,35,FALSE),VLOOKUP($G168,'KO Calc'!$H174:$AW174,35,FALSE)),IF(AND($S$3=TRUE,$S$4=FALSE),IF(OR($Q$4=TRUE,$Q$5=TRUE,$S$2=TRUE),VLOOKUP($G168,'KO Calc'!$H:$AW,25,FALSE),VLOOKUP($G168,'KO Calc'!$H174:$AW174,25,FALSE)),
IF(AND($S$3=TRUE,$S$1=TRUE,$S$4=TRUE)=TRUE,IF(OR($Q$4=TRUE,$Q$5=TRUE,$S$2=TRUE),VLOOKUP($G168,'KO Calc'!$H:$AW,40,FALSE),VLOOKUP($G168,'KO Calc'!$H174:$AW174,40,FALSE)),IF(AND($S$3=TRUE,$S$4=TRUE),IF(OR($Q$4=TRUE,$Q$5=TRUE,$S$2=TRUE),VLOOKUP($G168,'KO Calc'!$H:$AW,30,FALSE),VLOOKUP($G168,'KO Calc'!$H174:$AW174,30,FALSE)))))))))))))</f>
        <v>-</v>
      </c>
      <c r="L168" s="36" t="str">
        <f>IFERROR(IF(AND($Q$1=FALSE,$S$3=FALSE),"-",VLOOKUP($E168,'Status Thresholds'!$E:$AU,43,FALSE)),"-")</f>
        <v>-</v>
      </c>
      <c r="M168" s="36" t="str">
        <f>IFERROR(IF(AND($Q$1=FALSE,$S$3=FALSE),"-",VLOOKUP($E168,'Status Thresholds'!$E:$AU,41,FALSE)),"-")</f>
        <v>-</v>
      </c>
      <c r="N168" s="36" t="str">
        <f>IFERROR(IF(AND($Q$1=FALSE,$S$3=FALSE),"-",VLOOKUP($E168,'Status Thresholds'!$E:$AU,42,FALSE)),"-")</f>
        <v>-</v>
      </c>
    </row>
    <row r="169" spans="1:14" x14ac:dyDescent="0.25">
      <c r="B169" s="64" t="str">
        <f>VLOOKUP(C169,'Status Thresholds'!B:C,2,FALSE)</f>
        <v>Deviant</v>
      </c>
      <c r="C169" s="46" t="str">
        <f>IF(ISBLANK('KO Calc'!C165)=TRUE,"",'KO Calc'!C165)</f>
        <v>Bulldrome</v>
      </c>
      <c r="D169" s="78"/>
      <c r="E169" s="62" t="str">
        <f t="shared" si="5"/>
        <v>Bulldrome</v>
      </c>
      <c r="F169" t="s">
        <v>11</v>
      </c>
      <c r="G169" s="36" t="str">
        <f t="shared" si="6"/>
        <v>BulldromeCrag 1</v>
      </c>
      <c r="H169" s="36" t="str">
        <f>IF(AND($Q$1=FALSE,$S$3=FALSE),"-",IF(AND($Q$1=TRUE,$S$3=TRUE),"-",IF(AND($Q$1=FALSE,$S$3=FALSE),"-",IF(AND($Q$1=TRUE,$S$1=TRUE,$S$4=FALSE)=TRUE,IF(OR($Q$4=TRUE,$Q$5=TRUE,$S$2=TRUE),VLOOKUP($G169,'KO Calc'!$H:$AW,12,FALSE),VLOOKUP($G169,'KO Calc'!$H175:$AW175,12,FALSE)),IF(AND($Q$1=TRUE,$S$4=FALSE),IF(OR($Q$4=TRUE,$Q$5=TRUE,$S$2=TRUE),VLOOKUP($G169,'KO Calc'!$H:$AW,2,FALSE),VLOOKUP($G169,'KO Calc'!$H175:$AW175,2,FALSE)),
IF(AND($Q$1=TRUE,$S$1=TRUE,$S$4=TRUE)=TRUE,IF(OR($Q$4=TRUE,$Q$5=TRUE,$S$2=TRUE),VLOOKUP($G169,'KO Calc'!$H:$AW,17,FALSE),VLOOKUP($G169,'KO Calc'!$H175:$AW175,17,FALSE)),IF(AND($Q$1=TRUE,$S$4=TRUE),IF(OR($Q$4=TRUE,$Q$5=TRUE,$S$2=TRUE),VLOOKUP($G169,'KO Calc'!$H:$AW,7,FALSE),VLOOKUP($G169,'KO Calc'!$H175:$AW175,7,FALSE)),
IF(AND($S$3=TRUE,$S$1=TRUE,$S$4=FALSE)=TRUE,IF(OR($Q$4=TRUE,$Q$5=TRUE,$S$2=TRUE),VLOOKUP($G169,'KO Calc'!$H:$AW,32,FALSE),VLOOKUP($G169,'KO Calc'!$H175:$AW175,32,FALSE)),IF(AND($S$3=TRUE,$S$4=FALSE),IF(OR($Q$4=TRUE,$Q$5=TRUE,$S$2=TRUE),VLOOKUP($G169,'KO Calc'!$H:$AW,22,FALSE),VLOOKUP($G169,'KO Calc'!$H175:$AW175,22,FALSE)),
IF(AND($S$3=TRUE,$S$1=TRUE,$S$4=TRUE)=TRUE,IF(OR($Q$4=TRUE,$Q$5=TRUE,$S$2=TRUE),VLOOKUP($G169,'KO Calc'!$H:$AW,37,FALSE),VLOOKUP($G169,'KO Calc'!$H175:$AW175,37,FALSE)),IF(AND($S$3=TRUE,$S$4=TRUE),IF(OR($Q$4=TRUE,$Q$5=TRUE,$S$2=TRUE),VLOOKUP($G169,'KO Calc'!$H:$AW,27,FALSE),VLOOKUP($G169,'KO Calc'!$H175:$AW175,27,FALSE)))))))))))))</f>
        <v>-</v>
      </c>
      <c r="I169" s="36" t="str">
        <f>IF(AND($Q$1=FALSE,$S$3=FALSE),"-",IF(AND($Q$1=TRUE,$S$3=TRUE),"-",IF(AND($Q$1=FALSE,$S$3=FALSE),"-",IF(AND($Q$1=TRUE,$S$1=TRUE,$S$4=FALSE)=TRUE,IF(OR($Q$4=TRUE,$Q$5=TRUE,$S$2=TRUE),VLOOKUP($G169,'KO Calc'!$H:$AW,13,FALSE),VLOOKUP($G169,'KO Calc'!$H175:$AW175,13,FALSE)),IF(AND($Q$1=TRUE,$S$4=FALSE),IF(OR($Q$4=TRUE,$Q$5=TRUE,$S$2=TRUE),VLOOKUP($G169,'KO Calc'!$H:$AW,3,FALSE),VLOOKUP($G169,'KO Calc'!$H175:$AW175,3,FALSE)),
IF(AND($Q$1=TRUE,$S$1=TRUE,$S$4=TRUE)=TRUE,IF(OR($Q$4=TRUE,$Q$5=TRUE,$S$2=TRUE),VLOOKUP($G169,'KO Calc'!$H:$AW,18,FALSE),VLOOKUP($G169,'KO Calc'!$H175:$AW175,18,FALSE)),IF(AND($Q$1=TRUE,$S$4=TRUE),IF(OR($Q$4=TRUE,$Q$5=TRUE,$S$2=TRUE),VLOOKUP($G169,'KO Calc'!$H:$AW,8,FALSE),VLOOKUP($G169,'KO Calc'!$H175:$AW175,8,FALSE)),
IF(AND($S$3=TRUE,$S$1=TRUE,$S$4=FALSE)=TRUE,IF(OR($Q$4=TRUE,$Q$5=TRUE,$S$2=TRUE),VLOOKUP($G169,'KO Calc'!$H:$AW,33,FALSE),VLOOKUP($G169,'KO Calc'!$H175:$AW175,33,FALSE)),IF(AND($S$3=TRUE,$S$4=FALSE),IF(OR($Q$4=TRUE,$Q$5=TRUE,$S$2=TRUE),VLOOKUP($G169,'KO Calc'!$H:$AW,23,FALSE),VLOOKUP($G169,'KO Calc'!$H175:$AW175,23,FALSE)),
IF(AND($S$3=TRUE,$S$1=TRUE,$S$4=TRUE)=TRUE,IF(OR($Q$4=TRUE,$Q$5=TRUE,$S$2=TRUE),VLOOKUP($G169,'KO Calc'!$H:$AW,38,FALSE),VLOOKUP($G169,'KO Calc'!$H175:$AW175,38,FALSE)),IF(AND($S$3=TRUE,$S$4=TRUE),IF(OR($Q$4=TRUE,$Q$5=TRUE,$S$2=TRUE),VLOOKUP($G169,'KO Calc'!$H:$AW,28,FALSE),VLOOKUP($G169,'KO Calc'!$H175:$AW175,28,FALSE)))))))))))))</f>
        <v>-</v>
      </c>
      <c r="J169" s="36" t="str">
        <f>IF(AND($Q$1=FALSE,$S$3=FALSE),"-",IF(AND($Q$1=TRUE,$S$3=TRUE),"-",IF(AND($Q$1=FALSE,$S$3=FALSE),"-",IF(AND($Q$1=TRUE,$S$1=TRUE,$S$4=FALSE)=TRUE,IF(OR($Q$4=TRUE,$Q$5=TRUE,$S$2=TRUE),VLOOKUP($G169,'KO Calc'!$H:$AW,FALSE),VLOOKUP($G169,'KO Calc'!$H175:$AW175,14,FALSE)),IF(AND($Q$1=TRUE,$S$4=FALSE),IF(OR($Q$4=TRUE,$Q$5=TRUE,$S$2=TRUE),VLOOKUP($G169,'KO Calc'!$H:$AW,4,FALSE),VLOOKUP($G169,'KO Calc'!$H175:$AW175,4,FALSE)),
IF(AND($Q$1=TRUE,$S$1=TRUE,$S$4=TRUE)=TRUE,IF(OR($Q$4=TRUE,$Q$5=TRUE,$S$2=TRUE),VLOOKUP($G169,'KO Calc'!$H:$AW,19,FALSE),VLOOKUP($G169,'KO Calc'!$H175:$AW175,19,FALSE)),IF(AND($Q$1=TRUE,$S$4=TRUE),IF(OR($Q$4=TRUE,$Q$5=TRUE,$S$2=TRUE),VLOOKUP($G169,'KO Calc'!$H:$AW,9,FALSE),VLOOKUP($G169,'KO Calc'!$H175:$AW175,9,FALSE)),
IF(AND($S$3=TRUE,$S$1=TRUE,$S$4=FALSE)=TRUE,IF(OR($Q$4=TRUE,$Q$5=TRUE,$S$2=TRUE),VLOOKUP($G169,'KO Calc'!$H:$AW,34,FALSE),VLOOKUP($G169,'KO Calc'!$H175:$AW175,34,FALSE)),IF(AND($S$3=TRUE,$S$4=FALSE),IF(OR($Q$4=TRUE,$Q$5=TRUE,$S$2=TRUE),VLOOKUP($G169,'KO Calc'!$H:$AW,24,FALSE),VLOOKUP($G169,'KO Calc'!$H175:$AW175,24,FALSE)),
IF(AND($S$3=TRUE,$S$1=TRUE,$S$4=TRUE)=TRUE,IF(OR($Q$4=TRUE,$Q$5=TRUE,$S$2=TRUE),VLOOKUP($G169,'KO Calc'!$H:$AW,39,FALSE),VLOOKUP($G169,'KO Calc'!$H175:$AW175,39,FALSE)),IF(AND($S$3=TRUE,$S$4=TRUE),IF(OR($Q$4=TRUE,$Q$5=TRUE,$S$2=TRUE),VLOOKUP($G169,'KO Calc'!$H:$AW,29,FALSE),VLOOKUP($G169,'KO Calc'!$H175:$AW175,29,FALSE)))))))))))))</f>
        <v>-</v>
      </c>
      <c r="K169" s="36" t="str">
        <f>IF(AND($Q$1=FALSE,$S$3=FALSE),"-",IF(AND($Q$1=TRUE,$S$3=TRUE),"-",IF(AND($Q$1=FALSE,$S$3=FALSE),"-",IF(AND($Q$1=TRUE,$S$1=TRUE,$S$4=FALSE)=TRUE,IF(OR($Q$4=TRUE,$Q$5=TRUE,$S$2=TRUE),VLOOKUP($G169,'KO Calc'!$H:$AW,15,FALSE),VLOOKUP($G169,'KO Calc'!$H175:$AW175,15,FALSE)),IF(AND($Q$1=TRUE,$S$4=FALSE),IF(OR($Q$4=TRUE,$Q$5=TRUE,$S$2=TRUE),VLOOKUP($G169,'KO Calc'!$H:$AW,5,FALSE),VLOOKUP($G169,'KO Calc'!$H175:$AW175,5,FALSE)),
IF(AND($Q$1=TRUE,$S$1=TRUE,$S$4=TRUE)=TRUE,IF(OR($Q$4=TRUE,$Q$5=TRUE,$S$2=TRUE),VLOOKUP($G169,'KO Calc'!$H:$AW,20,FALSE),VLOOKUP($G169,'KO Calc'!$H175:$AW175,20,FALSE)),IF(AND($Q$1=TRUE,$S$4=TRUE),IF(OR($Q$4=TRUE,$Q$5=TRUE,$S$2=TRUE),VLOOKUP($G169,'KO Calc'!$H:$AW,10,FALSE),VLOOKUP($G169,'KO Calc'!$H175:$AW175,10,FALSE)),
IF(AND($S$3=TRUE,$S$1=TRUE,$S$4=FALSE)=TRUE,IF(OR($Q$4=TRUE,$Q$5=TRUE,$S$2=TRUE),VLOOKUP($G169,'KO Calc'!$H:$AW,35,FALSE),VLOOKUP($G169,'KO Calc'!$H175:$AW175,35,FALSE)),IF(AND($S$3=TRUE,$S$4=FALSE),IF(OR($Q$4=TRUE,$Q$5=TRUE,$S$2=TRUE),VLOOKUP($G169,'KO Calc'!$H:$AW,25,FALSE),VLOOKUP($G169,'KO Calc'!$H175:$AW175,25,FALSE)),
IF(AND($S$3=TRUE,$S$1=TRUE,$S$4=TRUE)=TRUE,IF(OR($Q$4=TRUE,$Q$5=TRUE,$S$2=TRUE),VLOOKUP($G169,'KO Calc'!$H:$AW,40,FALSE),VLOOKUP($G169,'KO Calc'!$H175:$AW175,40,FALSE)),IF(AND($S$3=TRUE,$S$4=TRUE),IF(OR($Q$4=TRUE,$Q$5=TRUE,$S$2=TRUE),VLOOKUP($G169,'KO Calc'!$H:$AW,30,FALSE),VLOOKUP($G169,'KO Calc'!$H175:$AW175,30,FALSE)))))))))))))</f>
        <v>-</v>
      </c>
      <c r="L169" s="36" t="str">
        <f>IFERROR(VLOOKUP($E169,'Status Thresholds'!$E:$AS,41,FALSE),"-")</f>
        <v>-</v>
      </c>
    </row>
    <row r="170" spans="1:14" x14ac:dyDescent="0.25">
      <c r="B170" s="64" t="str">
        <f>VLOOKUP(C170,'Status Thresholds'!B:C,2,FALSE)</f>
        <v>Deviant</v>
      </c>
      <c r="C170" s="46" t="str">
        <f>IF(ISBLANK('KO Calc'!C166)=TRUE,"",'KO Calc'!C166)</f>
        <v>Bulldrome</v>
      </c>
      <c r="D170" s="78"/>
      <c r="E170" s="62"/>
      <c r="G170" s="36"/>
      <c r="L170" s="36" t="str">
        <f>IFERROR(VLOOKUP($E170,'Status Thresholds'!$E:$AS,41,FALSE),"-")</f>
        <v>-</v>
      </c>
    </row>
    <row r="171" spans="1:14" s="36" customFormat="1" x14ac:dyDescent="0.25">
      <c r="B171" s="64" t="str">
        <f>VLOOKUP(C171,'Status Thresholds'!B:C,2,FALSE)</f>
        <v>MHGen</v>
      </c>
      <c r="C171" s="46" t="str">
        <f>IF(ISBLANK('KO Calc'!C167)=TRUE,"",'KO Calc'!C167)</f>
        <v>Cephadrome</v>
      </c>
      <c r="D171" s="65" t="s">
        <v>0</v>
      </c>
      <c r="E171" s="62" t="str">
        <f t="shared" si="5"/>
        <v>CephadromePara</v>
      </c>
      <c r="F171" s="36" t="s">
        <v>2</v>
      </c>
      <c r="G171" s="36" t="str">
        <f t="shared" si="6"/>
        <v>CephadromePara lvl 2</v>
      </c>
      <c r="H171" s="36" t="str">
        <f>IFERROR(ROUNDUP(IF(AND($Q$1=FALSE,$S$3=FALSE),"-",IF(AND($Q$1=TRUE,$S$3=TRUE),"-",IF(AND($Q$1=TRUE,$S$1=TRUE,$S$4=FALSE),VLOOKUP($E171,'Status Thresholds'!$E:$AS,12,FALSE),IF(AND($Q$1=TRUE,$S$4=FALSE),VLOOKUP($E171,'Status Thresholds'!$E:$AS,2,FALSE), IF(AND($Q$1=TRUE,$S$1=TRUE,$S$4=TRUE),VLOOKUP($E171,'Status Thresholds'!$E:$AS,17,FALSE),IF(AND($Q$1=TRUE,$S$4=TRUE),VLOOKUP($E171,'Status Thresholds'!$E:$AS,7,FALSE),IF(AND($S$3=TRUE,$S$1=TRUE,$S$4=FALSE),VLOOKUP($E171,'Status Thresholds'!$E:$AS,32,FALSE),IF(AND($S$3=TRUE,$S$4=FALSE),VLOOKUP($E171,'Status Thresholds'!$E:$AS,22,FALSE),IF(AND($S$3=TRUE,$S$1=TRUE,$S$4=TRUE),VLOOKUP($E171,'Status Thresholds'!$E:$AS,37,FALSE),IF(AND($S$3=TRUE,$S$4=TRUE),VLOOKUP($E171,'Status Thresholds'!$E:$AS,27,FALSE),""))))))))/IF(OR($Q$3=TRUE,AND($Q$2=TRUE,$Q$7=TRUE),AND($Q$3=TRUE,$Q$7=TRUE))=TRUE,'Shots and Status'!$F$5,IF((OR($Q$2,$Q$7)=TRUE),'Shots and Status'!$D$5,'Shots and Status'!$C$5)))),0),"-")</f>
        <v>-</v>
      </c>
      <c r="I171" s="36" t="str">
        <f>IFERROR(ROUNDUP(IF(AND($Q$1=FALSE,$S$3=FALSE),"-",IF(AND($Q$1=TRUE,$S$3=TRUE),"-",IF(AND($Q$1=TRUE,$S$1=TRUE,$S$4=FALSE),VLOOKUP($E171,'Status Thresholds'!$E:$AS,13,FALSE),IF(AND($Q$1=TRUE,$S$4=FALSE),VLOOKUP($E171,'Status Thresholds'!$E:$AS,3,FALSE), IF(AND($Q$1=TRUE,$S$1=TRUE,$S$4=TRUE),VLOOKUP($E171,'Status Thresholds'!$E:$AS,18,FALSE),IF(AND($Q$1=TRUE,$S$4=TRUE),VLOOKUP($E171,'Status Thresholds'!$E:$AS,8,FALSE),IF(AND($S$3=TRUE,$S$1=TRUE,$S$4=FALSE),VLOOKUP($E171,'Status Thresholds'!$E:$AS,33,FALSE),IF(AND($S$3=TRUE,$S$4=FALSE),VLOOKUP($E171,'Status Thresholds'!$E:$AS,23,FALSE),IF(AND($S$3=TRUE,$S$1=TRUE,$S$4=TRUE),VLOOKUP($E171,'Status Thresholds'!$E:$AS,38,FALSE),IF(AND($S$3=TRUE,$S$4=TRUE),VLOOKUP($E171,'Status Thresholds'!$E:$AS,28,FALSE),""))))))))/IF(OR($Q$3=TRUE,AND($Q$2=TRUE,$Q$7=TRUE),AND($Q$3=TRUE,$Q$7=TRUE))=TRUE,'Shots and Status'!$F$5,IF((OR($Q$2,$Q$7)=TRUE),'Shots and Status'!$D$5,'Shots and Status'!$C$5)))),0),"-")</f>
        <v>-</v>
      </c>
      <c r="J171" s="36" t="str">
        <f>IFERROR(ROUNDUP(IF(AND($Q$1=FALSE,$S$3=FALSE),"-",IF(AND($Q$1=TRUE,$S$3=TRUE),"-",IF(AND($Q$1=TRUE,$S$1=TRUE,$S$4=FALSE),VLOOKUP($E171,'Status Thresholds'!$E:$AS,14,FALSE),IF(AND($Q$1=TRUE,$S$4=FALSE),VLOOKUP($E171,'Status Thresholds'!$E:$AS,4,FALSE), IF(AND($Q$1=TRUE,$S$1=TRUE,$S$4=TRUE),VLOOKUP($E171,'Status Thresholds'!$E:$AS,19,FALSE),IF(AND($Q$1=TRUE,$S$4=TRUE),VLOOKUP($E171,'Status Thresholds'!$E:$AS,9,FALSE),IF(AND($S$3=TRUE,$S$1=TRUE,$S$4=FALSE),VLOOKUP($E171,'Status Thresholds'!$E:$AS,34,FALSE),IF(AND($S$3=TRUE,$S$4=FALSE),VLOOKUP($E171,'Status Thresholds'!$E:$AS,24,FALSE),IF(AND($S$3=TRUE,$S$1=TRUE,$S$4=TRUE),VLOOKUP($E171,'Status Thresholds'!$E:$AS,39,FALSE),IF(AND($S$3=TRUE,$S$4=TRUE),VLOOKUP($E171,'Status Thresholds'!$E:$AS,29,FALSE),""))))))))/IF(OR($Q$3=TRUE,AND($Q$2=TRUE,$Q$7=TRUE),AND($Q$3=TRUE,$Q$7=TRUE))=TRUE,'Shots and Status'!$F$5,IF((OR($Q$2,$Q$7)=TRUE),'Shots and Status'!$D$5,'Shots and Status'!$C$5)))),0),"-")</f>
        <v>-</v>
      </c>
      <c r="K171" s="36" t="str">
        <f>IFERROR(ROUNDUP(IF(AND($Q$1=FALSE,$S$3=FALSE),"-",IF(AND($Q$1=TRUE,$S$3=TRUE),"-",IF(AND($Q$1=TRUE,$S$1=TRUE,$S$4=FALSE),VLOOKUP($E171,'Status Thresholds'!$E:$AS,15,FALSE),IF(AND($Q$1=TRUE,$S$4=FALSE),VLOOKUP($E171,'Status Thresholds'!$E:$AS,5,FALSE), IF(AND($Q$1=TRUE,$S$1=TRUE,$S$4=TRUE),VLOOKUP($E171,'Status Thresholds'!$E:$AS,20,FALSE),IF(AND($Q$1=TRUE,$S$4=TRUE),VLOOKUP($E171,'Status Thresholds'!$E:$AS,10,FALSE),IF(AND($S$3=TRUE,$S$1=TRUE,$S$4=FALSE),VLOOKUP($E171,'Status Thresholds'!$E:$AS,35,FALSE),IF(AND($S$3=TRUE,$S$4=FALSE),VLOOKUP($E171,'Status Thresholds'!$E:$AS,25,FALSE),IF(AND($S$3=TRUE,$S$1=TRUE,$S$4=TRUE),VLOOKUP($E171,'Status Thresholds'!$E:$AS,40,FALSE),IF(AND($S$3=TRUE,$S$4=TRUE),VLOOKUP($E171,'Status Thresholds'!$E:$AS,30,FALSE),""))))))))/IF(OR($Q$3=TRUE,AND($Q$2=TRUE,$Q$7=TRUE),AND($Q$3=TRUE,$Q$7=TRUE))=TRUE,'Shots and Status'!$F$5,IF((OR($Q$2,$Q$7)=TRUE),'Shots and Status'!$D$5,'Shots and Status'!$C$5)))),0),"-")</f>
        <v>-</v>
      </c>
      <c r="L171" s="36" t="str">
        <f>IFERROR(IF(AND($Q$1=FALSE,$S$3=FALSE),"-",VLOOKUP($E171,'Status Thresholds'!$E:$AU,41,FALSE)),"-")</f>
        <v>-</v>
      </c>
      <c r="M171" s="36" t="str">
        <f>IFERROR(IF(AND($Q$1=FALSE,$S$3=FALSE),"-",VLOOKUP($E171,'Status Thresholds'!$E:$AU,42,FALSE)),"-")</f>
        <v>-</v>
      </c>
      <c r="N171" s="36" t="str">
        <f>IFERROR(IF(AND($Q$1=FALSE,$S$3=FALSE),"-",VLOOKUP($E171,'Status Thresholds'!$E:$AU,43,FALSE)),"-")</f>
        <v>-</v>
      </c>
    </row>
    <row r="172" spans="1:14" s="59" customFormat="1" x14ac:dyDescent="0.25">
      <c r="A172" s="46"/>
      <c r="B172" s="64" t="str">
        <f>VLOOKUP(C172,'Status Thresholds'!B:C,2,FALSE)</f>
        <v>MHGen</v>
      </c>
      <c r="C172" s="46" t="str">
        <f>IF(ISBLANK('KO Calc'!C168)=TRUE,"",'KO Calc'!C168)</f>
        <v>Cephadrome</v>
      </c>
      <c r="D172" s="60" t="s">
        <v>32</v>
      </c>
      <c r="E172" s="62" t="str">
        <f t="shared" si="5"/>
        <v>CephadromeSleep</v>
      </c>
      <c r="F172" s="59" t="s">
        <v>5</v>
      </c>
      <c r="G172" s="36" t="str">
        <f t="shared" si="6"/>
        <v>CephadromeSleep lvl 2</v>
      </c>
      <c r="H172" s="36" t="str">
        <f>IFERROR(ROUNDUP(IF(AND($Q$1=FALSE,$S$3=FALSE),"-",IF(AND($Q$1=TRUE,$S$3=TRUE),"-",IF(AND($Q$1=TRUE,$S$1=TRUE,$S$4=FALSE),VLOOKUP($E172,'Status Thresholds'!$E:$AS,12,FALSE),IF(AND($Q$1=TRUE,$S$4=FALSE),VLOOKUP($E172,'Status Thresholds'!$E:$AS,2,FALSE), IF(AND($Q$1=TRUE,$S$1=TRUE,$S$4=TRUE),VLOOKUP($E172,'Status Thresholds'!$E:$AS,17,FALSE),IF(AND($Q$1=TRUE,$S$4=TRUE),VLOOKUP($E172,'Status Thresholds'!$E:$AS,7,FALSE),IF(AND($S$3=TRUE,$S$1=TRUE,$S$4=FALSE),VLOOKUP($E172,'Status Thresholds'!$E:$AS,32,FALSE),IF(AND($S$3=TRUE,$S$4=FALSE),VLOOKUP($E172,'Status Thresholds'!$E:$AS,22,FALSE),IF(AND($S$3=TRUE,$S$1=TRUE,$S$4=TRUE),VLOOKUP($E172,'Status Thresholds'!$E:$AS,37,FALSE),IF(AND($S$3=TRUE,$S$4=TRUE),VLOOKUP($E172,'Status Thresholds'!$E:$AS,27,FALSE),""))))))))/IF(OR($Q$3=TRUE,AND($Q$2=TRUE,$Q$7=TRUE),AND($Q$3=TRUE,$Q$7=TRUE))=TRUE,'Shots and Status'!$F$5,IF((OR($Q$2,$Q$7)=TRUE),'Shots and Status'!$D$5,'Shots and Status'!$C$5)))),0),"-")</f>
        <v>-</v>
      </c>
      <c r="I172" s="36" t="str">
        <f>IFERROR(ROUNDUP(IF(AND($Q$1=FALSE,$S$3=FALSE),"-",IF(AND($Q$1=TRUE,$S$3=TRUE),"-",IF(AND($Q$1=TRUE,$S$1=TRUE,$S$4=FALSE),VLOOKUP($E172,'Status Thresholds'!$E:$AS,13,FALSE),IF(AND($Q$1=TRUE,$S$4=FALSE),VLOOKUP($E172,'Status Thresholds'!$E:$AS,3,FALSE), IF(AND($Q$1=TRUE,$S$1=TRUE,$S$4=TRUE),VLOOKUP($E172,'Status Thresholds'!$E:$AS,18,FALSE),IF(AND($Q$1=TRUE,$S$4=TRUE),VLOOKUP($E172,'Status Thresholds'!$E:$AS,8,FALSE),IF(AND($S$3=TRUE,$S$1=TRUE,$S$4=FALSE),VLOOKUP($E172,'Status Thresholds'!$E:$AS,33,FALSE),IF(AND($S$3=TRUE,$S$4=FALSE),VLOOKUP($E172,'Status Thresholds'!$E:$AS,23,FALSE),IF(AND($S$3=TRUE,$S$1=TRUE,$S$4=TRUE),VLOOKUP($E172,'Status Thresholds'!$E:$AS,38,FALSE),IF(AND($S$3=TRUE,$S$4=TRUE),VLOOKUP($E172,'Status Thresholds'!$E:$AS,28,FALSE),""))))))))/IF(OR($Q$3=TRUE,AND($Q$2=TRUE,$Q$7=TRUE),AND($Q$3=TRUE,$Q$7=TRUE))=TRUE,'Shots and Status'!$F$5,IF((OR($Q$2,$Q$7)=TRUE),'Shots and Status'!$D$5,'Shots and Status'!$C$5)))),0),"-")</f>
        <v>-</v>
      </c>
      <c r="J172" s="36" t="str">
        <f>IFERROR(ROUNDUP(IF(AND($Q$1=FALSE,$S$3=FALSE),"-",IF(AND($Q$1=TRUE,$S$3=TRUE),"-",IF(AND($Q$1=TRUE,$S$1=TRUE,$S$4=FALSE),VLOOKUP($E172,'Status Thresholds'!$E:$AS,14,FALSE),IF(AND($Q$1=TRUE,$S$4=FALSE),VLOOKUP($E172,'Status Thresholds'!$E:$AS,4,FALSE), IF(AND($Q$1=TRUE,$S$1=TRUE,$S$4=TRUE),VLOOKUP($E172,'Status Thresholds'!$E:$AS,19,FALSE),IF(AND($Q$1=TRUE,$S$4=TRUE),VLOOKUP($E172,'Status Thresholds'!$E:$AS,9,FALSE),IF(AND($S$3=TRUE,$S$1=TRUE,$S$4=FALSE),VLOOKUP($E172,'Status Thresholds'!$E:$AS,34,FALSE),IF(AND($S$3=TRUE,$S$4=FALSE),VLOOKUP($E172,'Status Thresholds'!$E:$AS,24,FALSE),IF(AND($S$3=TRUE,$S$1=TRUE,$S$4=TRUE),VLOOKUP($E172,'Status Thresholds'!$E:$AS,39,FALSE),IF(AND($S$3=TRUE,$S$4=TRUE),VLOOKUP($E172,'Status Thresholds'!$E:$AS,29,FALSE),""))))))))/IF(OR($Q$3=TRUE,AND($Q$2=TRUE,$Q$7=TRUE),AND($Q$3=TRUE,$Q$7=TRUE))=TRUE,'Shots and Status'!$F$5,IF((OR($Q$2,$Q$7)=TRUE),'Shots and Status'!$D$5,'Shots and Status'!$C$5)))),0),"-")</f>
        <v>-</v>
      </c>
      <c r="K172" s="36" t="str">
        <f>IFERROR(ROUNDUP(IF(AND($Q$1=FALSE,$S$3=FALSE),"-",IF(AND($Q$1=TRUE,$S$3=TRUE),"-",IF(AND($Q$1=TRUE,$S$1=TRUE,$S$4=FALSE),VLOOKUP($E172,'Status Thresholds'!$E:$AS,15,FALSE),IF(AND($Q$1=TRUE,$S$4=FALSE),VLOOKUP($E172,'Status Thresholds'!$E:$AS,5,FALSE), IF(AND($Q$1=TRUE,$S$1=TRUE,$S$4=TRUE),VLOOKUP($E172,'Status Thresholds'!$E:$AS,20,FALSE),IF(AND($Q$1=TRUE,$S$4=TRUE),VLOOKUP($E172,'Status Thresholds'!$E:$AS,10,FALSE),IF(AND($S$3=TRUE,$S$1=TRUE,$S$4=FALSE),VLOOKUP($E172,'Status Thresholds'!$E:$AS,35,FALSE),IF(AND($S$3=TRUE,$S$4=FALSE),VLOOKUP($E172,'Status Thresholds'!$E:$AS,25,FALSE),IF(AND($S$3=TRUE,$S$1=TRUE,$S$4=TRUE),VLOOKUP($E172,'Status Thresholds'!$E:$AS,40,FALSE),IF(AND($S$3=TRUE,$S$4=TRUE),VLOOKUP($E172,'Status Thresholds'!$E:$AS,30,FALSE),""))))))))/IF(OR($Q$3=TRUE,AND($Q$2=TRUE,$Q$7=TRUE),AND($Q$3=TRUE,$Q$7=TRUE))=TRUE,'Shots and Status'!$F$5,IF((OR($Q$2,$Q$7)=TRUE),'Shots and Status'!$D$5,'Shots and Status'!$C$5)))),0),"-")</f>
        <v>-</v>
      </c>
      <c r="L172" s="36" t="str">
        <f>IFERROR(IF(AND($Q$1=FALSE,$S$3=FALSE),"-",VLOOKUP($E172,'Status Thresholds'!$E:$AU,41,FALSE)),"-")</f>
        <v>-</v>
      </c>
      <c r="M172" s="36" t="str">
        <f>IFERROR(IF(AND($Q$1=FALSE,$S$3=FALSE),"-",VLOOKUP($E172,'Status Thresholds'!$E:$AU,42,FALSE)),"-")</f>
        <v>-</v>
      </c>
      <c r="N172" s="36" t="str">
        <f>IFERROR(IF(AND($Q$1=FALSE,$S$3=FALSE),"-",VLOOKUP($E172,'Status Thresholds'!$E:$AU,43,FALSE)),"-")</f>
        <v>-</v>
      </c>
    </row>
    <row r="173" spans="1:14" s="59" customFormat="1" x14ac:dyDescent="0.25">
      <c r="A173" s="46"/>
      <c r="B173" s="64" t="str">
        <f>VLOOKUP(C173,'Status Thresholds'!B:C,2,FALSE)</f>
        <v>MHGen</v>
      </c>
      <c r="C173" s="46" t="str">
        <f>IF(ISBLANK('KO Calc'!C169)=TRUE,"",'KO Calc'!C169)</f>
        <v>Cephadrome</v>
      </c>
      <c r="D173" s="58" t="s">
        <v>33</v>
      </c>
      <c r="E173" s="62" t="str">
        <f t="shared" si="5"/>
        <v>CephadromePoison</v>
      </c>
      <c r="F173" s="59" t="s">
        <v>6</v>
      </c>
      <c r="G173" s="36" t="str">
        <f t="shared" si="6"/>
        <v>CephadromePoison lvl 2</v>
      </c>
      <c r="H173" s="36" t="str">
        <f>IFERROR(ROUNDUP(IF(AND($Q$1=FALSE,$S$3=FALSE),"-",IF(AND($Q$1=TRUE,$S$3=TRUE),"-",IF(AND($Q$1=TRUE,$S$1=TRUE,$S$4=FALSE),VLOOKUP($E173,'Status Thresholds'!$E:$AS,12,FALSE),IF(AND($Q$1=TRUE,$S$4=FALSE),VLOOKUP($E173,'Status Thresholds'!$E:$AS,2,FALSE), IF(AND($Q$1=TRUE,$S$1=TRUE,$S$4=TRUE),VLOOKUP($E173,'Status Thresholds'!$E:$AS,17,FALSE),IF(AND($Q$1=TRUE,$S$4=TRUE),VLOOKUP($E173,'Status Thresholds'!$E:$AS,7,FALSE),IF(AND($S$3=TRUE,$S$1=TRUE,$S$4=FALSE),VLOOKUP($E173,'Status Thresholds'!$E:$AS,32,FALSE),IF(AND($S$3=TRUE,$S$4=FALSE),VLOOKUP($E173,'Status Thresholds'!$E:$AS,22,FALSE),IF(AND($S$3=TRUE,$S$1=TRUE,$S$4=TRUE),VLOOKUP($E173,'Status Thresholds'!$E:$AS,37,FALSE),IF(AND($S$3=TRUE,$S$4=TRUE),VLOOKUP($E173,'Status Thresholds'!$E:$AS,27,FALSE),""))))))))/IF(OR($Q$3=TRUE,AND($Q$2=TRUE,$Q$7=TRUE),AND($Q$3=TRUE,$Q$7=TRUE))=TRUE,'Shots and Status'!$F$5,IF((OR($Q$2,$Q$7)=TRUE),'Shots and Status'!$D$5,'Shots and Status'!$C$5)))),0),"-")</f>
        <v>-</v>
      </c>
      <c r="I173" s="36" t="str">
        <f>IFERROR(ROUNDUP(IF(AND($Q$1=FALSE,$S$3=FALSE),"-",IF(AND($Q$1=TRUE,$S$3=TRUE),"-",IF(AND($Q$1=TRUE,$S$1=TRUE,$S$4=FALSE),VLOOKUP($E173,'Status Thresholds'!$E:$AS,13,FALSE),IF(AND($Q$1=TRUE,$S$4=FALSE),VLOOKUP($E173,'Status Thresholds'!$E:$AS,3,FALSE), IF(AND($Q$1=TRUE,$S$1=TRUE,$S$4=TRUE),VLOOKUP($E173,'Status Thresholds'!$E:$AS,18,FALSE),IF(AND($Q$1=TRUE,$S$4=TRUE),VLOOKUP($E173,'Status Thresholds'!$E:$AS,8,FALSE),IF(AND($S$3=TRUE,$S$1=TRUE,$S$4=FALSE),VLOOKUP($E173,'Status Thresholds'!$E:$AS,33,FALSE),IF(AND($S$3=TRUE,$S$4=FALSE),VLOOKUP($E173,'Status Thresholds'!$E:$AS,23,FALSE),IF(AND($S$3=TRUE,$S$1=TRUE,$S$4=TRUE),VLOOKUP($E173,'Status Thresholds'!$E:$AS,38,FALSE),IF(AND($S$3=TRUE,$S$4=TRUE),VLOOKUP($E173,'Status Thresholds'!$E:$AS,28,FALSE),""))))))))/IF(OR($Q$3=TRUE,AND($Q$2=TRUE,$Q$7=TRUE),AND($Q$3=TRUE,$Q$7=TRUE))=TRUE,'Shots and Status'!$F$5,IF((OR($Q$2,$Q$7)=TRUE),'Shots and Status'!$D$5,'Shots and Status'!$C$5)))),0),"-")</f>
        <v>-</v>
      </c>
      <c r="J173" s="36" t="str">
        <f>IFERROR(ROUNDUP(IF(AND($Q$1=FALSE,$S$3=FALSE),"-",IF(AND($Q$1=TRUE,$S$3=TRUE),"-",IF(AND($Q$1=TRUE,$S$1=TRUE,$S$4=FALSE),VLOOKUP($E173,'Status Thresholds'!$E:$AS,14,FALSE),IF(AND($Q$1=TRUE,$S$4=FALSE),VLOOKUP($E173,'Status Thresholds'!$E:$AS,4,FALSE), IF(AND($Q$1=TRUE,$S$1=TRUE,$S$4=TRUE),VLOOKUP($E173,'Status Thresholds'!$E:$AS,19,FALSE),IF(AND($Q$1=TRUE,$S$4=TRUE),VLOOKUP($E173,'Status Thresholds'!$E:$AS,9,FALSE),IF(AND($S$3=TRUE,$S$1=TRUE,$S$4=FALSE),VLOOKUP($E173,'Status Thresholds'!$E:$AS,34,FALSE),IF(AND($S$3=TRUE,$S$4=FALSE),VLOOKUP($E173,'Status Thresholds'!$E:$AS,24,FALSE),IF(AND($S$3=TRUE,$S$1=TRUE,$S$4=TRUE),VLOOKUP($E173,'Status Thresholds'!$E:$AS,39,FALSE),IF(AND($S$3=TRUE,$S$4=TRUE),VLOOKUP($E173,'Status Thresholds'!$E:$AS,29,FALSE),""))))))))/IF(OR($Q$3=TRUE,AND($Q$2=TRUE,$Q$7=TRUE),AND($Q$3=TRUE,$Q$7=TRUE))=TRUE,'Shots and Status'!$F$5,IF((OR($Q$2,$Q$7)=TRUE),'Shots and Status'!$D$5,'Shots and Status'!$C$5)))),0),"-")</f>
        <v>-</v>
      </c>
      <c r="K173" s="36" t="str">
        <f>IFERROR(ROUNDUP(IF(AND($Q$1=FALSE,$S$3=FALSE),"-",IF(AND($Q$1=TRUE,$S$3=TRUE),"-",IF(AND($Q$1=TRUE,$S$1=TRUE,$S$4=FALSE),VLOOKUP($E173,'Status Thresholds'!$E:$AS,15,FALSE),IF(AND($Q$1=TRUE,$S$4=FALSE),VLOOKUP($E173,'Status Thresholds'!$E:$AS,5,FALSE), IF(AND($Q$1=TRUE,$S$1=TRUE,$S$4=TRUE),VLOOKUP($E173,'Status Thresholds'!$E:$AS,20,FALSE),IF(AND($Q$1=TRUE,$S$4=TRUE),VLOOKUP($E173,'Status Thresholds'!$E:$AS,10,FALSE),IF(AND($S$3=TRUE,$S$1=TRUE,$S$4=FALSE),VLOOKUP($E173,'Status Thresholds'!$E:$AS,35,FALSE),IF(AND($S$3=TRUE,$S$4=FALSE),VLOOKUP($E173,'Status Thresholds'!$E:$AS,25,FALSE),IF(AND($S$3=TRUE,$S$1=TRUE,$S$4=TRUE),VLOOKUP($E173,'Status Thresholds'!$E:$AS,40,FALSE),IF(AND($S$3=TRUE,$S$4=TRUE),VLOOKUP($E173,'Status Thresholds'!$E:$AS,30,FALSE),""))))))))/IF(OR($Q$3=TRUE,AND($Q$2=TRUE,$Q$7=TRUE),AND($Q$3=TRUE,$Q$7=TRUE))=TRUE,'Shots and Status'!$F$5,IF((OR($Q$2,$Q$7)=TRUE),'Shots and Status'!$D$5,'Shots and Status'!$C$5)))),0),"-")</f>
        <v>-</v>
      </c>
      <c r="L173" s="36" t="str">
        <f>IFERROR(IF(AND($Q$1=FALSE,$S$3=FALSE),"-",VLOOKUP($E173,'Status Thresholds'!$E:$AU,41,FALSE)),"-")</f>
        <v>-</v>
      </c>
      <c r="M173" s="36" t="str">
        <f>IFERROR(IF(AND($Q$1=FALSE,$S$3=FALSE),"-",VLOOKUP($E173,'Status Thresholds'!$E:$AU,42,FALSE)),"-")</f>
        <v>-</v>
      </c>
      <c r="N173" s="36" t="str">
        <f>IFERROR(IF(AND($Q$1=FALSE,$S$3=FALSE),"-",VLOOKUP($E173,'Status Thresholds'!$E:$AU,43,FALSE)),"-")</f>
        <v>-</v>
      </c>
    </row>
    <row r="174" spans="1:14" s="36" customFormat="1" x14ac:dyDescent="0.25">
      <c r="A174" s="46"/>
      <c r="B174" s="64" t="str">
        <f>VLOOKUP(C174,'Status Thresholds'!B:C,2,FALSE)</f>
        <v>MHGen</v>
      </c>
      <c r="C174" s="46" t="str">
        <f>IF(ISBLANK('KO Calc'!C170)=TRUE,"",'KO Calc'!C170)</f>
        <v>Cephadrome</v>
      </c>
      <c r="D174" s="57" t="s">
        <v>22</v>
      </c>
      <c r="E174" s="62" t="str">
        <f t="shared" si="5"/>
        <v>CephadromeExhaust</v>
      </c>
      <c r="F174" s="36" t="s">
        <v>8</v>
      </c>
      <c r="G174" s="36" t="str">
        <f t="shared" si="6"/>
        <v>CephadromeExhaust lvl 2</v>
      </c>
      <c r="H174" s="36" t="str">
        <f>IFERROR(ROUNDUP(IF(AND($Q$1=FALSE,$S$3=FALSE),"-",IF(AND($Q$1=TRUE,$S$3=TRUE),"-",IF(AND($Q$1=TRUE,$S$1=TRUE,$S$4=FALSE),VLOOKUP($E174,'Status Thresholds'!$E:$AS,12,FALSE),IF(AND($Q$1=TRUE,$S$4=FALSE),VLOOKUP($E174,'Status Thresholds'!$E:$AS,2,FALSE), IF(AND($Q$1=TRUE,$S$1=TRUE,$S$4=TRUE),VLOOKUP($E174,'Status Thresholds'!$E:$AS,17,FALSE),IF(AND($Q$1=TRUE,$S$4=TRUE),VLOOKUP($E174,'Status Thresholds'!$E:$AS,7,FALSE),IF(AND($S$3=TRUE,$S$1=TRUE,$S$4=FALSE),VLOOKUP($E174,'Status Thresholds'!$E:$AS,32,FALSE),IF(AND($S$3=TRUE,$S$4=FALSE),VLOOKUP($E174,'Status Thresholds'!$E:$AS,22,FALSE),IF(AND($S$3=TRUE,$S$1=TRUE,$S$4=TRUE),VLOOKUP($E174,'Status Thresholds'!$E:$AS,37,FALSE),IF(AND($S$3=TRUE,$S$4=TRUE),VLOOKUP($E174,'Status Thresholds'!$E:$AS,27,FALSE),""))))))))/IF(OR($Q$3=TRUE,AND($Q$2=TRUE,$Q$7=TRUE),AND($Q$3=TRUE,$Q$7=TRUE))=TRUE,'Shots and Status'!$F$5,IF((OR($Q$2,$Q$7)=TRUE),'Shots and Status'!$D$5,'Shots and Status'!$C$5)))),0),"-")</f>
        <v>-</v>
      </c>
      <c r="I174" s="36" t="str">
        <f>IFERROR(ROUNDUP(IF(AND($Q$1=FALSE,$S$3=FALSE),"-",IF(AND($Q$1=TRUE,$S$3=TRUE),"-",IF(AND($Q$1=TRUE,$S$1=TRUE,$S$4=FALSE),VLOOKUP($E174,'Status Thresholds'!$E:$AS,13,FALSE),IF(AND($Q$1=TRUE,$S$4=FALSE),VLOOKUP($E174,'Status Thresholds'!$E:$AS,3,FALSE), IF(AND($Q$1=TRUE,$S$1=TRUE,$S$4=TRUE),VLOOKUP($E174,'Status Thresholds'!$E:$AS,18,FALSE),IF(AND($Q$1=TRUE,$S$4=TRUE),VLOOKUP($E174,'Status Thresholds'!$E:$AS,8,FALSE),IF(AND($S$3=TRUE,$S$1=TRUE,$S$4=FALSE),VLOOKUP($E174,'Status Thresholds'!$E:$AS,33,FALSE),IF(AND($S$3=TRUE,$S$4=FALSE),VLOOKUP($E174,'Status Thresholds'!$E:$AS,23,FALSE),IF(AND($S$3=TRUE,$S$1=TRUE,$S$4=TRUE),VLOOKUP($E174,'Status Thresholds'!$E:$AS,38,FALSE),IF(AND($S$3=TRUE,$S$4=TRUE),VLOOKUP($E174,'Status Thresholds'!$E:$AS,28,FALSE),""))))))))/IF(OR($Q$3=TRUE,AND($Q$2=TRUE,$Q$7=TRUE),AND($Q$3=TRUE,$Q$7=TRUE))=TRUE,'Shots and Status'!$F$5,IF((OR($Q$2,$Q$7)=TRUE),'Shots and Status'!$D$5,'Shots and Status'!$C$5)))),0),"-")</f>
        <v>-</v>
      </c>
      <c r="J174" s="36" t="str">
        <f>IFERROR(ROUNDUP(IF(AND($Q$1=FALSE,$S$3=FALSE),"-",IF(AND($Q$1=TRUE,$S$3=TRUE),"-",IF(AND($Q$1=TRUE,$S$1=TRUE,$S$4=FALSE),VLOOKUP($E174,'Status Thresholds'!$E:$AS,14,FALSE),IF(AND($Q$1=TRUE,$S$4=FALSE),VLOOKUP($E174,'Status Thresholds'!$E:$AS,4,FALSE), IF(AND($Q$1=TRUE,$S$1=TRUE,$S$4=TRUE),VLOOKUP($E174,'Status Thresholds'!$E:$AS,19,FALSE),IF(AND($Q$1=TRUE,$S$4=TRUE),VLOOKUP($E174,'Status Thresholds'!$E:$AS,9,FALSE),IF(AND($S$3=TRUE,$S$1=TRUE,$S$4=FALSE),VLOOKUP($E174,'Status Thresholds'!$E:$AS,34,FALSE),IF(AND($S$3=TRUE,$S$4=FALSE),VLOOKUP($E174,'Status Thresholds'!$E:$AS,24,FALSE),IF(AND($S$3=TRUE,$S$1=TRUE,$S$4=TRUE),VLOOKUP($E174,'Status Thresholds'!$E:$AS,39,FALSE),IF(AND($S$3=TRUE,$S$4=TRUE),VLOOKUP($E174,'Status Thresholds'!$E:$AS,29,FALSE),""))))))))/IF(OR($Q$3=TRUE,AND($Q$2=TRUE,$Q$7=TRUE),AND($Q$3=TRUE,$Q$7=TRUE))=TRUE,'Shots and Status'!$F$5,IF((OR($Q$2,$Q$7)=TRUE),'Shots and Status'!$D$5,'Shots and Status'!$C$5)))),0),"-")</f>
        <v>-</v>
      </c>
      <c r="K174" s="36" t="str">
        <f>IFERROR(ROUNDUP(IF(AND($Q$1=FALSE,$S$3=FALSE),"-",IF(AND($Q$1=TRUE,$S$3=TRUE),"-",IF(AND($Q$1=TRUE,$S$1=TRUE,$S$4=FALSE),VLOOKUP($E174,'Status Thresholds'!$E:$AS,15,FALSE),IF(AND($Q$1=TRUE,$S$4=FALSE),VLOOKUP($E174,'Status Thresholds'!$E:$AS,5,FALSE), IF(AND($Q$1=TRUE,$S$1=TRUE,$S$4=TRUE),VLOOKUP($E174,'Status Thresholds'!$E:$AS,20,FALSE),IF(AND($Q$1=TRUE,$S$4=TRUE),VLOOKUP($E174,'Status Thresholds'!$E:$AS,10,FALSE),IF(AND($S$3=TRUE,$S$1=TRUE,$S$4=FALSE),VLOOKUP($E174,'Status Thresholds'!$E:$AS,35,FALSE),IF(AND($S$3=TRUE,$S$4=FALSE),VLOOKUP($E174,'Status Thresholds'!$E:$AS,25,FALSE),IF(AND($S$3=TRUE,$S$1=TRUE,$S$4=TRUE),VLOOKUP($E174,'Status Thresholds'!$E:$AS,40,FALSE),IF(AND($S$3=TRUE,$S$4=TRUE),VLOOKUP($E174,'Status Thresholds'!$E:$AS,30,FALSE),""))))))))/IF(OR($Q$3=TRUE,AND($Q$2=TRUE,$Q$7=TRUE),AND($Q$3=TRUE,$Q$7=TRUE))=TRUE,'Shots and Status'!$F$5,IF((OR($Q$2,$Q$7)=TRUE),'Shots and Status'!$D$5,'Shots and Status'!$C$5)))),0),"-")</f>
        <v>-</v>
      </c>
      <c r="L174" s="36" t="str">
        <f>IFERROR(IF(AND($Q$1=FALSE,$S$3=FALSE),"-",VLOOKUP($E174,'Status Thresholds'!$E:$AU,41,FALSE)),"-")</f>
        <v>-</v>
      </c>
      <c r="M174" s="36" t="str">
        <f>IFERROR(IF(AND($Q$1=FALSE,$S$3=FALSE),"-",VLOOKUP($E174,'Status Thresholds'!$E:$AU,42,FALSE)),"-")</f>
        <v>-</v>
      </c>
      <c r="N174" s="36" t="str">
        <f>IFERROR(IF(AND($Q$1=FALSE,$S$3=FALSE),"-",VLOOKUP($E174,'Status Thresholds'!$E:$AU,43,FALSE)),"-")</f>
        <v>-</v>
      </c>
    </row>
    <row r="175" spans="1:14" s="36" customFormat="1" x14ac:dyDescent="0.25">
      <c r="A175" s="46"/>
      <c r="B175" s="64" t="str">
        <f>VLOOKUP(C175,'Status Thresholds'!B:C,2,FALSE)</f>
        <v>MHGen</v>
      </c>
      <c r="C175" s="46" t="str">
        <f>IF(ISBLANK('KO Calc'!C171)=TRUE,"",'KO Calc'!C171)</f>
        <v>Cephadrome</v>
      </c>
      <c r="D175" s="67" t="s">
        <v>14</v>
      </c>
      <c r="E175" s="62" t="str">
        <f t="shared" si="5"/>
        <v>CephadromeKO</v>
      </c>
      <c r="F175" s="36" t="s">
        <v>21</v>
      </c>
      <c r="G175" s="36" t="str">
        <f t="shared" si="6"/>
        <v>CephadromeTriblast</v>
      </c>
      <c r="H175" s="36" t="str">
        <f>IF(AND($Q$1=FALSE,$S$3=FALSE),"-",IF(AND($Q$1=TRUE,$S$3=TRUE),"-",IF(AND($Q$1=FALSE,$S$3=FALSE),"-",IF(AND($Q$1=TRUE,$S$1=TRUE,$S$4=FALSE)=TRUE,IF(OR($Q$4=TRUE,$Q$5=TRUE,$S$2=TRUE),VLOOKUP($G175,'KO Calc'!$H:$AW,12,FALSE),VLOOKUP($G175,'KO Calc'!$H181:$AW181,12,FALSE)),IF(AND($Q$1=TRUE,$S$4=FALSE),IF(OR($Q$4=TRUE,$Q$5=TRUE,$S$2=TRUE),VLOOKUP($G175,'KO Calc'!$H:$AW,2,FALSE),VLOOKUP($G175,'KO Calc'!$H181:$AW181,2,FALSE)),
IF(AND($Q$1=TRUE,$S$1=TRUE,$S$4=TRUE)=TRUE,IF(OR($Q$4=TRUE,$Q$5=TRUE,$S$2=TRUE),VLOOKUP($G175,'KO Calc'!$H:$AW,17,FALSE),VLOOKUP($G175,'KO Calc'!$H181:$AW181,17,FALSE)),IF(AND($Q$1=TRUE,$S$4=TRUE),IF(OR($Q$4=TRUE,$Q$5=TRUE,$S$2=TRUE),VLOOKUP($G175,'KO Calc'!$H:$AW,7,FALSE),VLOOKUP($G175,'KO Calc'!$H181:$AW181,7,FALSE)),
IF(AND($S$3=TRUE,$S$1=TRUE,$S$4=FALSE)=TRUE,IF(OR($Q$4=TRUE,$Q$5=TRUE,$S$2=TRUE),VLOOKUP($G175,'KO Calc'!$H:$AW,32,FALSE),VLOOKUP($G175,'KO Calc'!$H181:$AW181,32,FALSE)),IF(AND($S$3=TRUE,$S$4=FALSE),IF(OR($Q$4=TRUE,$Q$5=TRUE,$S$2=TRUE),VLOOKUP($G175,'KO Calc'!$H:$AW,22,FALSE),VLOOKUP($G175,'KO Calc'!$H181:$AW181,22,FALSE)),
IF(AND($S$3=TRUE,$S$1=TRUE,$S$4=TRUE)=TRUE,IF(OR($Q$4=TRUE,$Q$5=TRUE,$S$2=TRUE),VLOOKUP($G175,'KO Calc'!$H:$AW,37,FALSE),VLOOKUP($G175,'KO Calc'!$H181:$AW181,37,FALSE)),IF(AND($S$3=TRUE,$S$4=TRUE),IF(OR($Q$4=TRUE,$Q$5=TRUE,$S$2=TRUE),VLOOKUP($G175,'KO Calc'!$H:$AW,27,FALSE),VLOOKUP($G175,'KO Calc'!$H181:$AW181,27,FALSE)))))))))))))</f>
        <v>-</v>
      </c>
      <c r="I175" s="36" t="str">
        <f>IF(AND($Q$1=FALSE,$S$3=FALSE),"-",IF(AND($Q$1=TRUE,$S$3=TRUE),"-",IF(AND($Q$1=FALSE,$S$3=FALSE),"-",IF(AND($Q$1=TRUE,$S$1=TRUE,$S$4=FALSE)=TRUE,IF(OR($Q$4=TRUE,$Q$5=TRUE,$S$2=TRUE),VLOOKUP($G175,'KO Calc'!$H:$AW,13,FALSE),VLOOKUP($G175,'KO Calc'!$H181:$AW181,13,FALSE)),IF(AND($Q$1=TRUE,$S$4=FALSE),IF(OR($Q$4=TRUE,$Q$5=TRUE,$S$2=TRUE),VLOOKUP($G175,'KO Calc'!$H:$AW,3,FALSE),VLOOKUP($G175,'KO Calc'!$H181:$AW181,3,FALSE)),
IF(AND($Q$1=TRUE,$S$1=TRUE,$S$4=TRUE)=TRUE,IF(OR($Q$4=TRUE,$Q$5=TRUE,$S$2=TRUE),VLOOKUP($G175,'KO Calc'!$H:$AW,18,FALSE),VLOOKUP($G175,'KO Calc'!$H181:$AW181,18,FALSE)),IF(AND($Q$1=TRUE,$S$4=TRUE),IF(OR($Q$4=TRUE,$Q$5=TRUE,$S$2=TRUE),VLOOKUP($G175,'KO Calc'!$H:$AW,8,FALSE),VLOOKUP($G175,'KO Calc'!$H181:$AW181,8,FALSE)),
IF(AND($S$3=TRUE,$S$1=TRUE,$S$4=FALSE)=TRUE,IF(OR($Q$4=TRUE,$Q$5=TRUE,$S$2=TRUE),VLOOKUP($G175,'KO Calc'!$H:$AW,33,FALSE),VLOOKUP($G175,'KO Calc'!$H181:$AW181,33,FALSE)),IF(AND($S$3=TRUE,$S$4=FALSE),IF(OR($Q$4=TRUE,$Q$5=TRUE,$S$2=TRUE),VLOOKUP($G175,'KO Calc'!$H:$AW,23,FALSE),VLOOKUP($G175,'KO Calc'!$H181:$AW181,23,FALSE)),
IF(AND($S$3=TRUE,$S$1=TRUE,$S$4=TRUE)=TRUE,IF(OR($Q$4=TRUE,$Q$5=TRUE,$S$2=TRUE),VLOOKUP($G175,'KO Calc'!$H:$AW,38,FALSE),VLOOKUP($G175,'KO Calc'!$H181:$AW181,38,FALSE)),IF(AND($S$3=TRUE,$S$4=TRUE),IF(OR($Q$4=TRUE,$Q$5=TRUE,$S$2=TRUE),VLOOKUP($G175,'KO Calc'!$H:$AW,28,FALSE),VLOOKUP($G175,'KO Calc'!$H181:$AW181,28,FALSE)))))))))))))</f>
        <v>-</v>
      </c>
      <c r="J175" s="36" t="str">
        <f>IF(AND($Q$1=FALSE,$S$3=FALSE),"-",IF(AND($Q$1=TRUE,$S$3=TRUE),"-",IF(AND($Q$1=FALSE,$S$3=FALSE),"-",IF(AND($Q$1=TRUE,$S$1=TRUE,$S$4=FALSE)=TRUE,IF(OR($Q$4=TRUE,$Q$5=TRUE,$S$2=TRUE),VLOOKUP($G175,'KO Calc'!$H:$AW,FALSE),VLOOKUP($G175,'KO Calc'!$H181:$AW181,14,FALSE)),IF(AND($Q$1=TRUE,$S$4=FALSE),IF(OR($Q$4=TRUE,$Q$5=TRUE,$S$2=TRUE),VLOOKUP($G175,'KO Calc'!$H:$AW,4,FALSE),VLOOKUP($G175,'KO Calc'!$H181:$AW181,4,FALSE)),
IF(AND($Q$1=TRUE,$S$1=TRUE,$S$4=TRUE)=TRUE,IF(OR($Q$4=TRUE,$Q$5=TRUE,$S$2=TRUE),VLOOKUP($G175,'KO Calc'!$H:$AW,19,FALSE),VLOOKUP($G175,'KO Calc'!$H181:$AW181,19,FALSE)),IF(AND($Q$1=TRUE,$S$4=TRUE),IF(OR($Q$4=TRUE,$Q$5=TRUE,$S$2=TRUE),VLOOKUP($G175,'KO Calc'!$H:$AW,9,FALSE),VLOOKUP($G175,'KO Calc'!$H181:$AW181,9,FALSE)),
IF(AND($S$3=TRUE,$S$1=TRUE,$S$4=FALSE)=TRUE,IF(OR($Q$4=TRUE,$Q$5=TRUE,$S$2=TRUE),VLOOKUP($G175,'KO Calc'!$H:$AW,34,FALSE),VLOOKUP($G175,'KO Calc'!$H181:$AW181,34,FALSE)),IF(AND($S$3=TRUE,$S$4=FALSE),IF(OR($Q$4=TRUE,$Q$5=TRUE,$S$2=TRUE),VLOOKUP($G175,'KO Calc'!$H:$AW,24,FALSE),VLOOKUP($G175,'KO Calc'!$H181:$AW181,24,FALSE)),
IF(AND($S$3=TRUE,$S$1=TRUE,$S$4=TRUE)=TRUE,IF(OR($Q$4=TRUE,$Q$5=TRUE,$S$2=TRUE),VLOOKUP($G175,'KO Calc'!$H:$AW,39,FALSE),VLOOKUP($G175,'KO Calc'!$H181:$AW181,39,FALSE)),IF(AND($S$3=TRUE,$S$4=TRUE),IF(OR($Q$4=TRUE,$Q$5=TRUE,$S$2=TRUE),VLOOKUP($G175,'KO Calc'!$H:$AW,29,FALSE),VLOOKUP($G175,'KO Calc'!$H181:$AW181,29,FALSE)))))))))))))</f>
        <v>-</v>
      </c>
      <c r="K175" s="36" t="str">
        <f>IF(AND($Q$1=FALSE,$S$3=FALSE),"-",IF(AND($Q$1=TRUE,$S$3=TRUE),"-",IF(AND($Q$1=FALSE,$S$3=FALSE),"-",IF(AND($Q$1=TRUE,$S$1=TRUE,$S$4=FALSE)=TRUE,IF(OR($Q$4=TRUE,$Q$5=TRUE,$S$2=TRUE),VLOOKUP($G175,'KO Calc'!$H:$AW,15,FALSE),VLOOKUP($G175,'KO Calc'!$H181:$AW181,15,FALSE)),IF(AND($Q$1=TRUE,$S$4=FALSE),IF(OR($Q$4=TRUE,$Q$5=TRUE,$S$2=TRUE),VLOOKUP($G175,'KO Calc'!$H:$AW,5,FALSE),VLOOKUP($G175,'KO Calc'!$H181:$AW181,5,FALSE)),
IF(AND($Q$1=TRUE,$S$1=TRUE,$S$4=TRUE)=TRUE,IF(OR($Q$4=TRUE,$Q$5=TRUE,$S$2=TRUE),VLOOKUP($G175,'KO Calc'!$H:$AW,20,FALSE),VLOOKUP($G175,'KO Calc'!$H181:$AW181,20,FALSE)),IF(AND($Q$1=TRUE,$S$4=TRUE),IF(OR($Q$4=TRUE,$Q$5=TRUE,$S$2=TRUE),VLOOKUP($G175,'KO Calc'!$H:$AW,10,FALSE),VLOOKUP($G175,'KO Calc'!$H181:$AW181,10,FALSE)),
IF(AND($S$3=TRUE,$S$1=TRUE,$S$4=FALSE)=TRUE,IF(OR($Q$4=TRUE,$Q$5=TRUE,$S$2=TRUE),VLOOKUP($G175,'KO Calc'!$H:$AW,35,FALSE),VLOOKUP($G175,'KO Calc'!$H181:$AW181,35,FALSE)),IF(AND($S$3=TRUE,$S$4=FALSE),IF(OR($Q$4=TRUE,$Q$5=TRUE,$S$2=TRUE),VLOOKUP($G175,'KO Calc'!$H:$AW,25,FALSE),VLOOKUP($G175,'KO Calc'!$H181:$AW181,25,FALSE)),
IF(AND($S$3=TRUE,$S$1=TRUE,$S$4=TRUE)=TRUE,IF(OR($Q$4=TRUE,$Q$5=TRUE,$S$2=TRUE),VLOOKUP($G175,'KO Calc'!$H:$AW,40,FALSE),VLOOKUP($G175,'KO Calc'!$H181:$AW181,40,FALSE)),IF(AND($S$3=TRUE,$S$4=TRUE),IF(OR($Q$4=TRUE,$Q$5=TRUE,$S$2=TRUE),VLOOKUP($G175,'KO Calc'!$H:$AW,30,FALSE),VLOOKUP($G175,'KO Calc'!$H181:$AW181,30,FALSE)))))))))))))</f>
        <v>-</v>
      </c>
      <c r="L175" s="36" t="str">
        <f>IFERROR(IF(AND($Q$1=FALSE,$S$3=FALSE),"-",VLOOKUP($E175,'Status Thresholds'!$E:$AU,41,FALSE)),"-")</f>
        <v>-</v>
      </c>
      <c r="M175" s="36" t="str">
        <f>IFERROR(IF(AND($Q$1=FALSE,$S$3=FALSE),"-",VLOOKUP($E175,'Status Thresholds'!$E:$AU,42,FALSE)),"-")</f>
        <v>-</v>
      </c>
      <c r="N175" s="36" t="str">
        <f>IFERROR(IF(AND($Q$1=FALSE,$S$3=FALSE),"-",VLOOKUP($E175,'Status Thresholds'!$E:$AU,43,FALSE)),"-")</f>
        <v>-</v>
      </c>
    </row>
    <row r="176" spans="1:14" x14ac:dyDescent="0.25">
      <c r="B176" s="64" t="str">
        <f>VLOOKUP(C176,'Status Thresholds'!B:C,2,FALSE)</f>
        <v>MHGen</v>
      </c>
      <c r="C176" s="46" t="str">
        <f>IF(ISBLANK('KO Calc'!C172)=TRUE,"",'KO Calc'!C172)</f>
        <v>Cephadrome</v>
      </c>
      <c r="D176" s="78" t="s">
        <v>207</v>
      </c>
      <c r="E176" s="62" t="str">
        <f t="shared" si="5"/>
        <v>CephadromeShock Trap</v>
      </c>
      <c r="F176" t="s">
        <v>13</v>
      </c>
      <c r="G176" s="36" t="str">
        <f t="shared" si="6"/>
        <v>CephadromeCrag 3</v>
      </c>
      <c r="H176" s="36" t="str">
        <f>IF(AND($Q$1=FALSE,$S$3=FALSE),"-",IF(AND($Q$1=TRUE,$S$3=TRUE),"-",IF(AND($Q$1=FALSE,$S$3=FALSE),"-",IF(AND($Q$1=TRUE,$S$1=TRUE,$S$4=FALSE)=TRUE,IF(OR($Q$4=TRUE,$Q$5=TRUE,$S$2=TRUE),VLOOKUP($G176,'KO Calc'!$H:$AW,12,FALSE),VLOOKUP($G176,'KO Calc'!$H182:$AW182,12,FALSE)),IF(AND($Q$1=TRUE,$S$4=FALSE),IF(OR($Q$4=TRUE,$Q$5=TRUE,$S$2=TRUE),VLOOKUP($G176,'KO Calc'!$H:$AW,2,FALSE),VLOOKUP($G176,'KO Calc'!$H182:$AW182,2,FALSE)),
IF(AND($Q$1=TRUE,$S$1=TRUE,$S$4=TRUE)=TRUE,IF(OR($Q$4=TRUE,$Q$5=TRUE,$S$2=TRUE),VLOOKUP($G176,'KO Calc'!$H:$AW,17,FALSE),VLOOKUP($G176,'KO Calc'!$H182:$AW182,17,FALSE)),IF(AND($Q$1=TRUE,$S$4=TRUE),IF(OR($Q$4=TRUE,$Q$5=TRUE,$S$2=TRUE),VLOOKUP($G176,'KO Calc'!$H:$AW,7,FALSE),VLOOKUP($G176,'KO Calc'!$H182:$AW182,7,FALSE)),
IF(AND($S$3=TRUE,$S$1=TRUE,$S$4=FALSE)=TRUE,IF(OR($Q$4=TRUE,$Q$5=TRUE,$S$2=TRUE),VLOOKUP($G176,'KO Calc'!$H:$AW,32,FALSE),VLOOKUP($G176,'KO Calc'!$H182:$AW182,32,FALSE)),IF(AND($S$3=TRUE,$S$4=FALSE),IF(OR($Q$4=TRUE,$Q$5=TRUE,$S$2=TRUE),VLOOKUP($G176,'KO Calc'!$H:$AW,22,FALSE),VLOOKUP($G176,'KO Calc'!$H182:$AW182,22,FALSE)),
IF(AND($S$3=TRUE,$S$1=TRUE,$S$4=TRUE)=TRUE,IF(OR($Q$4=TRUE,$Q$5=TRUE,$S$2=TRUE),VLOOKUP($G176,'KO Calc'!$H:$AW,37,FALSE),VLOOKUP($G176,'KO Calc'!$H182:$AW182,37,FALSE)),IF(AND($S$3=TRUE,$S$4=TRUE),IF(OR($Q$4=TRUE,$Q$5=TRUE,$S$2=TRUE),VLOOKUP($G176,'KO Calc'!$H:$AW,27,FALSE),VLOOKUP($G176,'KO Calc'!$H182:$AW182,27,FALSE)))))))))))))</f>
        <v>-</v>
      </c>
      <c r="I176" s="36" t="str">
        <f>IF(AND($Q$1=FALSE,$S$3=FALSE),"-",IF(AND($Q$1=TRUE,$S$3=TRUE),"-",IF(AND($Q$1=FALSE,$S$3=FALSE),"-",IF(AND($Q$1=TRUE,$S$1=TRUE,$S$4=FALSE)=TRUE,IF(OR($Q$4=TRUE,$Q$5=TRUE,$S$2=TRUE),VLOOKUP($G176,'KO Calc'!$H:$AW,13,FALSE),VLOOKUP($G176,'KO Calc'!$H182:$AW182,13,FALSE)),IF(AND($Q$1=TRUE,$S$4=FALSE),IF(OR($Q$4=TRUE,$Q$5=TRUE,$S$2=TRUE),VLOOKUP($G176,'KO Calc'!$H:$AW,3,FALSE),VLOOKUP($G176,'KO Calc'!$H182:$AW182,3,FALSE)),
IF(AND($Q$1=TRUE,$S$1=TRUE,$S$4=TRUE)=TRUE,IF(OR($Q$4=TRUE,$Q$5=TRUE,$S$2=TRUE),VLOOKUP($G176,'KO Calc'!$H:$AW,18,FALSE),VLOOKUP($G176,'KO Calc'!$H182:$AW182,18,FALSE)),IF(AND($Q$1=TRUE,$S$4=TRUE),IF(OR($Q$4=TRUE,$Q$5=TRUE,$S$2=TRUE),VLOOKUP($G176,'KO Calc'!$H:$AW,8,FALSE),VLOOKUP($G176,'KO Calc'!$H182:$AW182,8,FALSE)),
IF(AND($S$3=TRUE,$S$1=TRUE,$S$4=FALSE)=TRUE,IF(OR($Q$4=TRUE,$Q$5=TRUE,$S$2=TRUE),VLOOKUP($G176,'KO Calc'!$H:$AW,33,FALSE),VLOOKUP($G176,'KO Calc'!$H182:$AW182,33,FALSE)),IF(AND($S$3=TRUE,$S$4=FALSE),IF(OR($Q$4=TRUE,$Q$5=TRUE,$S$2=TRUE),VLOOKUP($G176,'KO Calc'!$H:$AW,23,FALSE),VLOOKUP($G176,'KO Calc'!$H182:$AW182,23,FALSE)),
IF(AND($S$3=TRUE,$S$1=TRUE,$S$4=TRUE)=TRUE,IF(OR($Q$4=TRUE,$Q$5=TRUE,$S$2=TRUE),VLOOKUP($G176,'KO Calc'!$H:$AW,38,FALSE),VLOOKUP($G176,'KO Calc'!$H182:$AW182,38,FALSE)),IF(AND($S$3=TRUE,$S$4=TRUE),IF(OR($Q$4=TRUE,$Q$5=TRUE,$S$2=TRUE),VLOOKUP($G176,'KO Calc'!$H:$AW,28,FALSE),VLOOKUP($G176,'KO Calc'!$H182:$AW182,28,FALSE)))))))))))))</f>
        <v>-</v>
      </c>
      <c r="J176" s="36" t="str">
        <f>IF(AND($Q$1=FALSE,$S$3=FALSE),"-",IF(AND($Q$1=TRUE,$S$3=TRUE),"-",IF(AND($Q$1=FALSE,$S$3=FALSE),"-",IF(AND($Q$1=TRUE,$S$1=TRUE,$S$4=FALSE)=TRUE,IF(OR($Q$4=TRUE,$Q$5=TRUE,$S$2=TRUE),VLOOKUP($G176,'KO Calc'!$H:$AW,FALSE),VLOOKUP($G176,'KO Calc'!$H182:$AW182,14,FALSE)),IF(AND($Q$1=TRUE,$S$4=FALSE),IF(OR($Q$4=TRUE,$Q$5=TRUE,$S$2=TRUE),VLOOKUP($G176,'KO Calc'!$H:$AW,4,FALSE),VLOOKUP($G176,'KO Calc'!$H182:$AW182,4,FALSE)),
IF(AND($Q$1=TRUE,$S$1=TRUE,$S$4=TRUE)=TRUE,IF(OR($Q$4=TRUE,$Q$5=TRUE,$S$2=TRUE),VLOOKUP($G176,'KO Calc'!$H:$AW,19,FALSE),VLOOKUP($G176,'KO Calc'!$H182:$AW182,19,FALSE)),IF(AND($Q$1=TRUE,$S$4=TRUE),IF(OR($Q$4=TRUE,$Q$5=TRUE,$S$2=TRUE),VLOOKUP($G176,'KO Calc'!$H:$AW,9,FALSE),VLOOKUP($G176,'KO Calc'!$H182:$AW182,9,FALSE)),
IF(AND($S$3=TRUE,$S$1=TRUE,$S$4=FALSE)=TRUE,IF(OR($Q$4=TRUE,$Q$5=TRUE,$S$2=TRUE),VLOOKUP($G176,'KO Calc'!$H:$AW,34,FALSE),VLOOKUP($G176,'KO Calc'!$H182:$AW182,34,FALSE)),IF(AND($S$3=TRUE,$S$4=FALSE),IF(OR($Q$4=TRUE,$Q$5=TRUE,$S$2=TRUE),VLOOKUP($G176,'KO Calc'!$H:$AW,24,FALSE),VLOOKUP($G176,'KO Calc'!$H182:$AW182,24,FALSE)),
IF(AND($S$3=TRUE,$S$1=TRUE,$S$4=TRUE)=TRUE,IF(OR($Q$4=TRUE,$Q$5=TRUE,$S$2=TRUE),VLOOKUP($G176,'KO Calc'!$H:$AW,39,FALSE),VLOOKUP($G176,'KO Calc'!$H182:$AW182,39,FALSE)),IF(AND($S$3=TRUE,$S$4=TRUE),IF(OR($Q$4=TRUE,$Q$5=TRUE,$S$2=TRUE),VLOOKUP($G176,'KO Calc'!$H:$AW,29,FALSE),VLOOKUP($G176,'KO Calc'!$H182:$AW182,29,FALSE)))))))))))))</f>
        <v>-</v>
      </c>
      <c r="K176" s="36" t="str">
        <f>IF(AND($Q$1=FALSE,$S$3=FALSE),"-",IF(AND($Q$1=TRUE,$S$3=TRUE),"-",IF(AND($Q$1=FALSE,$S$3=FALSE),"-",IF(AND($Q$1=TRUE,$S$1=TRUE,$S$4=FALSE)=TRUE,IF(OR($Q$4=TRUE,$Q$5=TRUE,$S$2=TRUE),VLOOKUP($G176,'KO Calc'!$H:$AW,15,FALSE),VLOOKUP($G176,'KO Calc'!$H182:$AW182,15,FALSE)),IF(AND($Q$1=TRUE,$S$4=FALSE),IF(OR($Q$4=TRUE,$Q$5=TRUE,$S$2=TRUE),VLOOKUP($G176,'KO Calc'!$H:$AW,5,FALSE),VLOOKUP($G176,'KO Calc'!$H182:$AW182,5,FALSE)),
IF(AND($Q$1=TRUE,$S$1=TRUE,$S$4=TRUE)=TRUE,IF(OR($Q$4=TRUE,$Q$5=TRUE,$S$2=TRUE),VLOOKUP($G176,'KO Calc'!$H:$AW,20,FALSE),VLOOKUP($G176,'KO Calc'!$H182:$AW182,20,FALSE)),IF(AND($Q$1=TRUE,$S$4=TRUE),IF(OR($Q$4=TRUE,$Q$5=TRUE,$S$2=TRUE),VLOOKUP($G176,'KO Calc'!$H:$AW,10,FALSE),VLOOKUP($G176,'KO Calc'!$H182:$AW182,10,FALSE)),
IF(AND($S$3=TRUE,$S$1=TRUE,$S$4=FALSE)=TRUE,IF(OR($Q$4=TRUE,$Q$5=TRUE,$S$2=TRUE),VLOOKUP($G176,'KO Calc'!$H:$AW,35,FALSE),VLOOKUP($G176,'KO Calc'!$H182:$AW182,35,FALSE)),IF(AND($S$3=TRUE,$S$4=FALSE),IF(OR($Q$4=TRUE,$Q$5=TRUE,$S$2=TRUE),VLOOKUP($G176,'KO Calc'!$H:$AW,25,FALSE),VLOOKUP($G176,'KO Calc'!$H182:$AW182,25,FALSE)),
IF(AND($S$3=TRUE,$S$1=TRUE,$S$4=TRUE)=TRUE,IF(OR($Q$4=TRUE,$Q$5=TRUE,$S$2=TRUE),VLOOKUP($G176,'KO Calc'!$H:$AW,40,FALSE),VLOOKUP($G176,'KO Calc'!$H182:$AW182,40,FALSE)),IF(AND($S$3=TRUE,$S$4=TRUE),IF(OR($Q$4=TRUE,$Q$5=TRUE,$S$2=TRUE),VLOOKUP($G176,'KO Calc'!$H:$AW,30,FALSE),VLOOKUP($G176,'KO Calc'!$H182:$AW182,30,FALSE)))))))))))))</f>
        <v>-</v>
      </c>
      <c r="L176" s="36" t="str">
        <f>IFERROR(IF(AND($Q$1=FALSE,$S$3=FALSE),"-",VLOOKUP($E176,'Status Thresholds'!$E:$AU,43,FALSE)),"-")</f>
        <v>-</v>
      </c>
      <c r="M176" s="36" t="str">
        <f>IFERROR(IF(AND($Q$1=FALSE,$S$3=FALSE),"-",VLOOKUP($E176,'Status Thresholds'!$E:$AU,41,FALSE)),"-")</f>
        <v>-</v>
      </c>
      <c r="N176" s="36" t="str">
        <f>IFERROR(IF(AND($Q$1=FALSE,$S$3=FALSE),"-",VLOOKUP($E176,'Status Thresholds'!$E:$AU,42,FALSE)),"-")</f>
        <v>-</v>
      </c>
    </row>
    <row r="177" spans="1:14" x14ac:dyDescent="0.25">
      <c r="B177" s="64" t="str">
        <f>VLOOKUP(C177,'Status Thresholds'!B:C,2,FALSE)</f>
        <v>MHGen</v>
      </c>
      <c r="C177" s="46" t="str">
        <f>IF(ISBLANK('KO Calc'!C173)=TRUE,"",'KO Calc'!C173)</f>
        <v>Cephadrome</v>
      </c>
      <c r="D177" s="78" t="s">
        <v>213</v>
      </c>
      <c r="E177" s="62" t="str">
        <f t="shared" si="5"/>
        <v>CephadromePitfall Trap</v>
      </c>
      <c r="F177" t="s">
        <v>12</v>
      </c>
      <c r="G177" s="36" t="str">
        <f t="shared" si="6"/>
        <v>CephadromeCrag 2</v>
      </c>
      <c r="H177" s="36" t="str">
        <f>IF(AND($Q$1=FALSE,$S$3=FALSE),"-",IF(AND($Q$1=TRUE,$S$3=TRUE),"-",IF(AND($Q$1=FALSE,$S$3=FALSE),"-",IF(AND($Q$1=TRUE,$S$1=TRUE,$S$4=FALSE)=TRUE,IF(OR($Q$4=TRUE,$Q$5=TRUE,$S$2=TRUE),VLOOKUP($G177,'KO Calc'!$H:$AW,12,FALSE),VLOOKUP($G177,'KO Calc'!$H183:$AW183,12,FALSE)),IF(AND($Q$1=TRUE,$S$4=FALSE),IF(OR($Q$4=TRUE,$Q$5=TRUE,$S$2=TRUE),VLOOKUP($G177,'KO Calc'!$H:$AW,2,FALSE),VLOOKUP($G177,'KO Calc'!$H183:$AW183,2,FALSE)),
IF(AND($Q$1=TRUE,$S$1=TRUE,$S$4=TRUE)=TRUE,IF(OR($Q$4=TRUE,$Q$5=TRUE,$S$2=TRUE),VLOOKUP($G177,'KO Calc'!$H:$AW,17,FALSE),VLOOKUP($G177,'KO Calc'!$H183:$AW183,17,FALSE)),IF(AND($Q$1=TRUE,$S$4=TRUE),IF(OR($Q$4=TRUE,$Q$5=TRUE,$S$2=TRUE),VLOOKUP($G177,'KO Calc'!$H:$AW,7,FALSE),VLOOKUP($G177,'KO Calc'!$H183:$AW183,7,FALSE)),
IF(AND($S$3=TRUE,$S$1=TRUE,$S$4=FALSE)=TRUE,IF(OR($Q$4=TRUE,$Q$5=TRUE,$S$2=TRUE),VLOOKUP($G177,'KO Calc'!$H:$AW,32,FALSE),VLOOKUP($G177,'KO Calc'!$H183:$AW183,32,FALSE)),IF(AND($S$3=TRUE,$S$4=FALSE),IF(OR($Q$4=TRUE,$Q$5=TRUE,$S$2=TRUE),VLOOKUP($G177,'KO Calc'!$H:$AW,22,FALSE),VLOOKUP($G177,'KO Calc'!$H183:$AW183,22,FALSE)),
IF(AND($S$3=TRUE,$S$1=TRUE,$S$4=TRUE)=TRUE,IF(OR($Q$4=TRUE,$Q$5=TRUE,$S$2=TRUE),VLOOKUP($G177,'KO Calc'!$H:$AW,37,FALSE),VLOOKUP($G177,'KO Calc'!$H183:$AW183,37,FALSE)),IF(AND($S$3=TRUE,$S$4=TRUE),IF(OR($Q$4=TRUE,$Q$5=TRUE,$S$2=TRUE),VLOOKUP($G177,'KO Calc'!$H:$AW,27,FALSE),VLOOKUP($G177,'KO Calc'!$H183:$AW183,27,FALSE)))))))))))))</f>
        <v>-</v>
      </c>
      <c r="I177" s="36" t="str">
        <f>IF(AND($Q$1=FALSE,$S$3=FALSE),"-",IF(AND($Q$1=TRUE,$S$3=TRUE),"-",IF(AND($Q$1=FALSE,$S$3=FALSE),"-",IF(AND($Q$1=TRUE,$S$1=TRUE,$S$4=FALSE)=TRUE,IF(OR($Q$4=TRUE,$Q$5=TRUE,$S$2=TRUE),VLOOKUP($G177,'KO Calc'!$H:$AW,13,FALSE),VLOOKUP($G177,'KO Calc'!$H183:$AW183,13,FALSE)),IF(AND($Q$1=TRUE,$S$4=FALSE),IF(OR($Q$4=TRUE,$Q$5=TRUE,$S$2=TRUE),VLOOKUP($G177,'KO Calc'!$H:$AW,3,FALSE),VLOOKUP($G177,'KO Calc'!$H183:$AW183,3,FALSE)),
IF(AND($Q$1=TRUE,$S$1=TRUE,$S$4=TRUE)=TRUE,IF(OR($Q$4=TRUE,$Q$5=TRUE,$S$2=TRUE),VLOOKUP($G177,'KO Calc'!$H:$AW,18,FALSE),VLOOKUP($G177,'KO Calc'!$H183:$AW183,18,FALSE)),IF(AND($Q$1=TRUE,$S$4=TRUE),IF(OR($Q$4=TRUE,$Q$5=TRUE,$S$2=TRUE),VLOOKUP($G177,'KO Calc'!$H:$AW,8,FALSE),VLOOKUP($G177,'KO Calc'!$H183:$AW183,8,FALSE)),
IF(AND($S$3=TRUE,$S$1=TRUE,$S$4=FALSE)=TRUE,IF(OR($Q$4=TRUE,$Q$5=TRUE,$S$2=TRUE),VLOOKUP($G177,'KO Calc'!$H:$AW,33,FALSE),VLOOKUP($G177,'KO Calc'!$H183:$AW183,33,FALSE)),IF(AND($S$3=TRUE,$S$4=FALSE),IF(OR($Q$4=TRUE,$Q$5=TRUE,$S$2=TRUE),VLOOKUP($G177,'KO Calc'!$H:$AW,23,FALSE),VLOOKUP($G177,'KO Calc'!$H183:$AW183,23,FALSE)),
IF(AND($S$3=TRUE,$S$1=TRUE,$S$4=TRUE)=TRUE,IF(OR($Q$4=TRUE,$Q$5=TRUE,$S$2=TRUE),VLOOKUP($G177,'KO Calc'!$H:$AW,38,FALSE),VLOOKUP($G177,'KO Calc'!$H183:$AW183,38,FALSE)),IF(AND($S$3=TRUE,$S$4=TRUE),IF(OR($Q$4=TRUE,$Q$5=TRUE,$S$2=TRUE),VLOOKUP($G177,'KO Calc'!$H:$AW,28,FALSE),VLOOKUP($G177,'KO Calc'!$H183:$AW183,28,FALSE)))))))))))))</f>
        <v>-</v>
      </c>
      <c r="J177" s="36" t="str">
        <f>IF(AND($Q$1=FALSE,$S$3=FALSE),"-",IF(AND($Q$1=TRUE,$S$3=TRUE),"-",IF(AND($Q$1=FALSE,$S$3=FALSE),"-",IF(AND($Q$1=TRUE,$S$1=TRUE,$S$4=FALSE)=TRUE,IF(OR($Q$4=TRUE,$Q$5=TRUE,$S$2=TRUE),VLOOKUP($G177,'KO Calc'!$H:$AW,FALSE),VLOOKUP($G177,'KO Calc'!$H183:$AW183,14,FALSE)),IF(AND($Q$1=TRUE,$S$4=FALSE),IF(OR($Q$4=TRUE,$Q$5=TRUE,$S$2=TRUE),VLOOKUP($G177,'KO Calc'!$H:$AW,4,FALSE),VLOOKUP($G177,'KO Calc'!$H183:$AW183,4,FALSE)),
IF(AND($Q$1=TRUE,$S$1=TRUE,$S$4=TRUE)=TRUE,IF(OR($Q$4=TRUE,$Q$5=TRUE,$S$2=TRUE),VLOOKUP($G177,'KO Calc'!$H:$AW,19,FALSE),VLOOKUP($G177,'KO Calc'!$H183:$AW183,19,FALSE)),IF(AND($Q$1=TRUE,$S$4=TRUE),IF(OR($Q$4=TRUE,$Q$5=TRUE,$S$2=TRUE),VLOOKUP($G177,'KO Calc'!$H:$AW,9,FALSE),VLOOKUP($G177,'KO Calc'!$H183:$AW183,9,FALSE)),
IF(AND($S$3=TRUE,$S$1=TRUE,$S$4=FALSE)=TRUE,IF(OR($Q$4=TRUE,$Q$5=TRUE,$S$2=TRUE),VLOOKUP($G177,'KO Calc'!$H:$AW,34,FALSE),VLOOKUP($G177,'KO Calc'!$H183:$AW183,34,FALSE)),IF(AND($S$3=TRUE,$S$4=FALSE),IF(OR($Q$4=TRUE,$Q$5=TRUE,$S$2=TRUE),VLOOKUP($G177,'KO Calc'!$H:$AW,24,FALSE),VLOOKUP($G177,'KO Calc'!$H183:$AW183,24,FALSE)),
IF(AND($S$3=TRUE,$S$1=TRUE,$S$4=TRUE)=TRUE,IF(OR($Q$4=TRUE,$Q$5=TRUE,$S$2=TRUE),VLOOKUP($G177,'KO Calc'!$H:$AW,39,FALSE),VLOOKUP($G177,'KO Calc'!$H183:$AW183,39,FALSE)),IF(AND($S$3=TRUE,$S$4=TRUE),IF(OR($Q$4=TRUE,$Q$5=TRUE,$S$2=TRUE),VLOOKUP($G177,'KO Calc'!$H:$AW,29,FALSE),VLOOKUP($G177,'KO Calc'!$H183:$AW183,29,FALSE)))))))))))))</f>
        <v>-</v>
      </c>
      <c r="K177" s="36" t="str">
        <f>IF(AND($Q$1=FALSE,$S$3=FALSE),"-",IF(AND($Q$1=TRUE,$S$3=TRUE),"-",IF(AND($Q$1=FALSE,$S$3=FALSE),"-",IF(AND($Q$1=TRUE,$S$1=TRUE,$S$4=FALSE)=TRUE,IF(OR($Q$4=TRUE,$Q$5=TRUE,$S$2=TRUE),VLOOKUP($G177,'KO Calc'!$H:$AW,15,FALSE),VLOOKUP($G177,'KO Calc'!$H183:$AW183,15,FALSE)),IF(AND($Q$1=TRUE,$S$4=FALSE),IF(OR($Q$4=TRUE,$Q$5=TRUE,$S$2=TRUE),VLOOKUP($G177,'KO Calc'!$H:$AW,5,FALSE),VLOOKUP($G177,'KO Calc'!$H183:$AW183,5,FALSE)),
IF(AND($Q$1=TRUE,$S$1=TRUE,$S$4=TRUE)=TRUE,IF(OR($Q$4=TRUE,$Q$5=TRUE,$S$2=TRUE),VLOOKUP($G177,'KO Calc'!$H:$AW,20,FALSE),VLOOKUP($G177,'KO Calc'!$H183:$AW183,20,FALSE)),IF(AND($Q$1=TRUE,$S$4=TRUE),IF(OR($Q$4=TRUE,$Q$5=TRUE,$S$2=TRUE),VLOOKUP($G177,'KO Calc'!$H:$AW,10,FALSE),VLOOKUP($G177,'KO Calc'!$H183:$AW183,10,FALSE)),
IF(AND($S$3=TRUE,$S$1=TRUE,$S$4=FALSE)=TRUE,IF(OR($Q$4=TRUE,$Q$5=TRUE,$S$2=TRUE),VLOOKUP($G177,'KO Calc'!$H:$AW,35,FALSE),VLOOKUP($G177,'KO Calc'!$H183:$AW183,35,FALSE)),IF(AND($S$3=TRUE,$S$4=FALSE),IF(OR($Q$4=TRUE,$Q$5=TRUE,$S$2=TRUE),VLOOKUP($G177,'KO Calc'!$H:$AW,25,FALSE),VLOOKUP($G177,'KO Calc'!$H183:$AW183,25,FALSE)),
IF(AND($S$3=TRUE,$S$1=TRUE,$S$4=TRUE)=TRUE,IF(OR($Q$4=TRUE,$Q$5=TRUE,$S$2=TRUE),VLOOKUP($G177,'KO Calc'!$H:$AW,40,FALSE),VLOOKUP($G177,'KO Calc'!$H183:$AW183,40,FALSE)),IF(AND($S$3=TRUE,$S$4=TRUE),IF(OR($Q$4=TRUE,$Q$5=TRUE,$S$2=TRUE),VLOOKUP($G177,'KO Calc'!$H:$AW,30,FALSE),VLOOKUP($G177,'KO Calc'!$H183:$AW183,30,FALSE)))))))))))))</f>
        <v>-</v>
      </c>
      <c r="L177" s="36" t="str">
        <f>IFERROR(IF(AND($Q$1=FALSE,$S$3=FALSE),"-",VLOOKUP($E177,'Status Thresholds'!$E:$AU,43,FALSE)),"-")</f>
        <v>-</v>
      </c>
      <c r="M177" s="36" t="str">
        <f>IFERROR(IF(AND($Q$1=FALSE,$S$3=FALSE),"-",VLOOKUP($E177,'Status Thresholds'!$E:$AU,41,FALSE)),"-")</f>
        <v>-</v>
      </c>
      <c r="N177" s="36" t="str">
        <f>IFERROR(IF(AND($Q$1=FALSE,$S$3=FALSE),"-",VLOOKUP($E177,'Status Thresholds'!$E:$AU,42,FALSE)),"-")</f>
        <v>-</v>
      </c>
    </row>
    <row r="178" spans="1:14" x14ac:dyDescent="0.25">
      <c r="B178" s="64" t="str">
        <f>VLOOKUP(C178,'Status Thresholds'!B:C,2,FALSE)</f>
        <v>MHGen</v>
      </c>
      <c r="C178" s="46" t="str">
        <f>IF(ISBLANK('KO Calc'!C174)=TRUE,"",'KO Calc'!C174)</f>
        <v>Cephadrome</v>
      </c>
      <c r="D178" s="78"/>
      <c r="E178" s="62" t="str">
        <f t="shared" si="5"/>
        <v>Cephadrome</v>
      </c>
      <c r="F178" t="s">
        <v>11</v>
      </c>
      <c r="G178" s="36" t="str">
        <f t="shared" si="6"/>
        <v>CephadromeCrag 1</v>
      </c>
      <c r="H178" s="36" t="str">
        <f>IF(AND($Q$1=FALSE,$S$3=FALSE),"-",IF(AND($Q$1=TRUE,$S$3=TRUE),"-",IF(AND($Q$1=FALSE,$S$3=FALSE),"-",IF(AND($Q$1=TRUE,$S$1=TRUE,$S$4=FALSE)=TRUE,IF(OR($Q$4=TRUE,$Q$5=TRUE,$S$2=TRUE),VLOOKUP($G178,'KO Calc'!$H:$AW,12,FALSE),VLOOKUP($G178,'KO Calc'!$H184:$AW184,12,FALSE)),IF(AND($Q$1=TRUE,$S$4=FALSE),IF(OR($Q$4=TRUE,$Q$5=TRUE,$S$2=TRUE),VLOOKUP($G178,'KO Calc'!$H:$AW,2,FALSE),VLOOKUP($G178,'KO Calc'!$H184:$AW184,2,FALSE)),
IF(AND($Q$1=TRUE,$S$1=TRUE,$S$4=TRUE)=TRUE,IF(OR($Q$4=TRUE,$Q$5=TRUE,$S$2=TRUE),VLOOKUP($G178,'KO Calc'!$H:$AW,17,FALSE),VLOOKUP($G178,'KO Calc'!$H184:$AW184,17,FALSE)),IF(AND($Q$1=TRUE,$S$4=TRUE),IF(OR($Q$4=TRUE,$Q$5=TRUE,$S$2=TRUE),VLOOKUP($G178,'KO Calc'!$H:$AW,7,FALSE),VLOOKUP($G178,'KO Calc'!$H184:$AW184,7,FALSE)),
IF(AND($S$3=TRUE,$S$1=TRUE,$S$4=FALSE)=TRUE,IF(OR($Q$4=TRUE,$Q$5=TRUE,$S$2=TRUE),VLOOKUP($G178,'KO Calc'!$H:$AW,32,FALSE),VLOOKUP($G178,'KO Calc'!$H184:$AW184,32,FALSE)),IF(AND($S$3=TRUE,$S$4=FALSE),IF(OR($Q$4=TRUE,$Q$5=TRUE,$S$2=TRUE),VLOOKUP($G178,'KO Calc'!$H:$AW,22,FALSE),VLOOKUP($G178,'KO Calc'!$H184:$AW184,22,FALSE)),
IF(AND($S$3=TRUE,$S$1=TRUE,$S$4=TRUE)=TRUE,IF(OR($Q$4=TRUE,$Q$5=TRUE,$S$2=TRUE),VLOOKUP($G178,'KO Calc'!$H:$AW,37,FALSE),VLOOKUP($G178,'KO Calc'!$H184:$AW184,37,FALSE)),IF(AND($S$3=TRUE,$S$4=TRUE),IF(OR($Q$4=TRUE,$Q$5=TRUE,$S$2=TRUE),VLOOKUP($G178,'KO Calc'!$H:$AW,27,FALSE),VLOOKUP($G178,'KO Calc'!$H184:$AW184,27,FALSE)))))))))))))</f>
        <v>-</v>
      </c>
      <c r="I178" s="36" t="str">
        <f>IF(AND($Q$1=FALSE,$S$3=FALSE),"-",IF(AND($Q$1=TRUE,$S$3=TRUE),"-",IF(AND($Q$1=FALSE,$S$3=FALSE),"-",IF(AND($Q$1=TRUE,$S$1=TRUE,$S$4=FALSE)=TRUE,IF(OR($Q$4=TRUE,$Q$5=TRUE,$S$2=TRUE),VLOOKUP($G178,'KO Calc'!$H:$AW,13,FALSE),VLOOKUP($G178,'KO Calc'!$H184:$AW184,13,FALSE)),IF(AND($Q$1=TRUE,$S$4=FALSE),IF(OR($Q$4=TRUE,$Q$5=TRUE,$S$2=TRUE),VLOOKUP($G178,'KO Calc'!$H:$AW,3,FALSE),VLOOKUP($G178,'KO Calc'!$H184:$AW184,3,FALSE)),
IF(AND($Q$1=TRUE,$S$1=TRUE,$S$4=TRUE)=TRUE,IF(OR($Q$4=TRUE,$Q$5=TRUE,$S$2=TRUE),VLOOKUP($G178,'KO Calc'!$H:$AW,18,FALSE),VLOOKUP($G178,'KO Calc'!$H184:$AW184,18,FALSE)),IF(AND($Q$1=TRUE,$S$4=TRUE),IF(OR($Q$4=TRUE,$Q$5=TRUE,$S$2=TRUE),VLOOKUP($G178,'KO Calc'!$H:$AW,8,FALSE),VLOOKUP($G178,'KO Calc'!$H184:$AW184,8,FALSE)),
IF(AND($S$3=TRUE,$S$1=TRUE,$S$4=FALSE)=TRUE,IF(OR($Q$4=TRUE,$Q$5=TRUE,$S$2=TRUE),VLOOKUP($G178,'KO Calc'!$H:$AW,33,FALSE),VLOOKUP($G178,'KO Calc'!$H184:$AW184,33,FALSE)),IF(AND($S$3=TRUE,$S$4=FALSE),IF(OR($Q$4=TRUE,$Q$5=TRUE,$S$2=TRUE),VLOOKUP($G178,'KO Calc'!$H:$AW,23,FALSE),VLOOKUP($G178,'KO Calc'!$H184:$AW184,23,FALSE)),
IF(AND($S$3=TRUE,$S$1=TRUE,$S$4=TRUE)=TRUE,IF(OR($Q$4=TRUE,$Q$5=TRUE,$S$2=TRUE),VLOOKUP($G178,'KO Calc'!$H:$AW,38,FALSE),VLOOKUP($G178,'KO Calc'!$H184:$AW184,38,FALSE)),IF(AND($S$3=TRUE,$S$4=TRUE),IF(OR($Q$4=TRUE,$Q$5=TRUE,$S$2=TRUE),VLOOKUP($G178,'KO Calc'!$H:$AW,28,FALSE),VLOOKUP($G178,'KO Calc'!$H184:$AW184,28,FALSE)))))))))))))</f>
        <v>-</v>
      </c>
      <c r="J178" s="36" t="str">
        <f>IF(AND($Q$1=FALSE,$S$3=FALSE),"-",IF(AND($Q$1=TRUE,$S$3=TRUE),"-",IF(AND($Q$1=FALSE,$S$3=FALSE),"-",IF(AND($Q$1=TRUE,$S$1=TRUE,$S$4=FALSE)=TRUE,IF(OR($Q$4=TRUE,$Q$5=TRUE,$S$2=TRUE),VLOOKUP($G178,'KO Calc'!$H:$AW,FALSE),VLOOKUP($G178,'KO Calc'!$H184:$AW184,14,FALSE)),IF(AND($Q$1=TRUE,$S$4=FALSE),IF(OR($Q$4=TRUE,$Q$5=TRUE,$S$2=TRUE),VLOOKUP($G178,'KO Calc'!$H:$AW,4,FALSE),VLOOKUP($G178,'KO Calc'!$H184:$AW184,4,FALSE)),
IF(AND($Q$1=TRUE,$S$1=TRUE,$S$4=TRUE)=TRUE,IF(OR($Q$4=TRUE,$Q$5=TRUE,$S$2=TRUE),VLOOKUP($G178,'KO Calc'!$H:$AW,19,FALSE),VLOOKUP($G178,'KO Calc'!$H184:$AW184,19,FALSE)),IF(AND($Q$1=TRUE,$S$4=TRUE),IF(OR($Q$4=TRUE,$Q$5=TRUE,$S$2=TRUE),VLOOKUP($G178,'KO Calc'!$H:$AW,9,FALSE),VLOOKUP($G178,'KO Calc'!$H184:$AW184,9,FALSE)),
IF(AND($S$3=TRUE,$S$1=TRUE,$S$4=FALSE)=TRUE,IF(OR($Q$4=TRUE,$Q$5=TRUE,$S$2=TRUE),VLOOKUP($G178,'KO Calc'!$H:$AW,34,FALSE),VLOOKUP($G178,'KO Calc'!$H184:$AW184,34,FALSE)),IF(AND($S$3=TRUE,$S$4=FALSE),IF(OR($Q$4=TRUE,$Q$5=TRUE,$S$2=TRUE),VLOOKUP($G178,'KO Calc'!$H:$AW,24,FALSE),VLOOKUP($G178,'KO Calc'!$H184:$AW184,24,FALSE)),
IF(AND($S$3=TRUE,$S$1=TRUE,$S$4=TRUE)=TRUE,IF(OR($Q$4=TRUE,$Q$5=TRUE,$S$2=TRUE),VLOOKUP($G178,'KO Calc'!$H:$AW,39,FALSE),VLOOKUP($G178,'KO Calc'!$H184:$AW184,39,FALSE)),IF(AND($S$3=TRUE,$S$4=TRUE),IF(OR($Q$4=TRUE,$Q$5=TRUE,$S$2=TRUE),VLOOKUP($G178,'KO Calc'!$H:$AW,29,FALSE),VLOOKUP($G178,'KO Calc'!$H184:$AW184,29,FALSE)))))))))))))</f>
        <v>-</v>
      </c>
      <c r="K178" s="36" t="str">
        <f>IF(AND($Q$1=FALSE,$S$3=FALSE),"-",IF(AND($Q$1=TRUE,$S$3=TRUE),"-",IF(AND($Q$1=FALSE,$S$3=FALSE),"-",IF(AND($Q$1=TRUE,$S$1=TRUE,$S$4=FALSE)=TRUE,IF(OR($Q$4=TRUE,$Q$5=TRUE,$S$2=TRUE),VLOOKUP($G178,'KO Calc'!$H:$AW,15,FALSE),VLOOKUP($G178,'KO Calc'!$H184:$AW184,15,FALSE)),IF(AND($Q$1=TRUE,$S$4=FALSE),IF(OR($Q$4=TRUE,$Q$5=TRUE,$S$2=TRUE),VLOOKUP($G178,'KO Calc'!$H:$AW,5,FALSE),VLOOKUP($G178,'KO Calc'!$H184:$AW184,5,FALSE)),
IF(AND($Q$1=TRUE,$S$1=TRUE,$S$4=TRUE)=TRUE,IF(OR($Q$4=TRUE,$Q$5=TRUE,$S$2=TRUE),VLOOKUP($G178,'KO Calc'!$H:$AW,20,FALSE),VLOOKUP($G178,'KO Calc'!$H184:$AW184,20,FALSE)),IF(AND($Q$1=TRUE,$S$4=TRUE),IF(OR($Q$4=TRUE,$Q$5=TRUE,$S$2=TRUE),VLOOKUP($G178,'KO Calc'!$H:$AW,10,FALSE),VLOOKUP($G178,'KO Calc'!$H184:$AW184,10,FALSE)),
IF(AND($S$3=TRUE,$S$1=TRUE,$S$4=FALSE)=TRUE,IF(OR($Q$4=TRUE,$Q$5=TRUE,$S$2=TRUE),VLOOKUP($G178,'KO Calc'!$H:$AW,35,FALSE),VLOOKUP($G178,'KO Calc'!$H184:$AW184,35,FALSE)),IF(AND($S$3=TRUE,$S$4=FALSE),IF(OR($Q$4=TRUE,$Q$5=TRUE,$S$2=TRUE),VLOOKUP($G178,'KO Calc'!$H:$AW,25,FALSE),VLOOKUP($G178,'KO Calc'!$H184:$AW184,25,FALSE)),
IF(AND($S$3=TRUE,$S$1=TRUE,$S$4=TRUE)=TRUE,IF(OR($Q$4=TRUE,$Q$5=TRUE,$S$2=TRUE),VLOOKUP($G178,'KO Calc'!$H:$AW,40,FALSE),VLOOKUP($G178,'KO Calc'!$H184:$AW184,40,FALSE)),IF(AND($S$3=TRUE,$S$4=TRUE),IF(OR($Q$4=TRUE,$Q$5=TRUE,$S$2=TRUE),VLOOKUP($G178,'KO Calc'!$H:$AW,30,FALSE),VLOOKUP($G178,'KO Calc'!$H184:$AW184,30,FALSE)))))))))))))</f>
        <v>-</v>
      </c>
      <c r="L178" s="36" t="str">
        <f>IFERROR(VLOOKUP($E178,'Status Thresholds'!$E:$AS,41,FALSE),"-")</f>
        <v>-</v>
      </c>
    </row>
    <row r="179" spans="1:14" x14ac:dyDescent="0.25">
      <c r="B179" s="64" t="str">
        <f>VLOOKUP(C179,'Status Thresholds'!B:C,2,FALSE)</f>
        <v>MHGen</v>
      </c>
      <c r="C179" s="46" t="str">
        <f>IF(ISBLANK('KO Calc'!C175)=TRUE,"",'KO Calc'!C175)</f>
        <v>Cephadrome</v>
      </c>
      <c r="D179" s="78"/>
      <c r="E179" s="62"/>
      <c r="G179" s="36"/>
      <c r="L179" s="36" t="str">
        <f>IFERROR(VLOOKUP($E179,'Status Thresholds'!$E:$AS,41,FALSE),"-")</f>
        <v>-</v>
      </c>
    </row>
    <row r="180" spans="1:14" s="36" customFormat="1" x14ac:dyDescent="0.25">
      <c r="B180" s="64" t="str">
        <f>VLOOKUP(C180,'Status Thresholds'!B:C,2,FALSE)</f>
        <v>MHGen</v>
      </c>
      <c r="C180" s="46" t="str">
        <f>IF(ISBLANK('KO Calc'!C176)=TRUE,"",'KO Calc'!C176)</f>
        <v>Chamelos</v>
      </c>
      <c r="D180" s="65" t="s">
        <v>0</v>
      </c>
      <c r="E180" s="62" t="str">
        <f t="shared" si="5"/>
        <v>ChamelosPara</v>
      </c>
      <c r="F180" s="36" t="s">
        <v>2</v>
      </c>
      <c r="G180" s="36" t="str">
        <f t="shared" si="6"/>
        <v>ChamelosPara lvl 2</v>
      </c>
      <c r="H180" s="36" t="str">
        <f>IFERROR(ROUNDUP(IF(AND($Q$1=FALSE,$S$3=FALSE),"-",IF(AND($Q$1=TRUE,$S$3=TRUE),"-",IF(AND($Q$1=TRUE,$S$1=TRUE,$S$4=FALSE),VLOOKUP($E180,'Status Thresholds'!$E:$AS,12,FALSE),IF(AND($Q$1=TRUE,$S$4=FALSE),VLOOKUP($E180,'Status Thresholds'!$E:$AS,2,FALSE), IF(AND($Q$1=TRUE,$S$1=TRUE,$S$4=TRUE),VLOOKUP($E180,'Status Thresholds'!$E:$AS,17,FALSE),IF(AND($Q$1=TRUE,$S$4=TRUE),VLOOKUP($E180,'Status Thresholds'!$E:$AS,7,FALSE),IF(AND($S$3=TRUE,$S$1=TRUE,$S$4=FALSE),VLOOKUP($E180,'Status Thresholds'!$E:$AS,32,FALSE),IF(AND($S$3=TRUE,$S$4=FALSE),VLOOKUP($E180,'Status Thresholds'!$E:$AS,22,FALSE),IF(AND($S$3=TRUE,$S$1=TRUE,$S$4=TRUE),VLOOKUP($E180,'Status Thresholds'!$E:$AS,37,FALSE),IF(AND($S$3=TRUE,$S$4=TRUE),VLOOKUP($E180,'Status Thresholds'!$E:$AS,27,FALSE),""))))))))/IF(OR($Q$3=TRUE,AND($Q$2=TRUE,$Q$7=TRUE),AND($Q$3=TRUE,$Q$7=TRUE))=TRUE,'Shots and Status'!$F$5,IF((OR($Q$2,$Q$7)=TRUE),'Shots and Status'!$D$5,'Shots and Status'!$C$5)))),0),"-")</f>
        <v>-</v>
      </c>
      <c r="I180" s="36" t="str">
        <f>IFERROR(ROUNDUP(IF(AND($Q$1=FALSE,$S$3=FALSE),"-",IF(AND($Q$1=TRUE,$S$3=TRUE),"-",IF(AND($Q$1=TRUE,$S$1=TRUE,$S$4=FALSE),VLOOKUP($E180,'Status Thresholds'!$E:$AS,13,FALSE),IF(AND($Q$1=TRUE,$S$4=FALSE),VLOOKUP($E180,'Status Thresholds'!$E:$AS,3,FALSE), IF(AND($Q$1=TRUE,$S$1=TRUE,$S$4=TRUE),VLOOKUP($E180,'Status Thresholds'!$E:$AS,18,FALSE),IF(AND($Q$1=TRUE,$S$4=TRUE),VLOOKUP($E180,'Status Thresholds'!$E:$AS,8,FALSE),IF(AND($S$3=TRUE,$S$1=TRUE,$S$4=FALSE),VLOOKUP($E180,'Status Thresholds'!$E:$AS,33,FALSE),IF(AND($S$3=TRUE,$S$4=FALSE),VLOOKUP($E180,'Status Thresholds'!$E:$AS,23,FALSE),IF(AND($S$3=TRUE,$S$1=TRUE,$S$4=TRUE),VLOOKUP($E180,'Status Thresholds'!$E:$AS,38,FALSE),IF(AND($S$3=TRUE,$S$4=TRUE),VLOOKUP($E180,'Status Thresholds'!$E:$AS,28,FALSE),""))))))))/IF(OR($Q$3=TRUE,AND($Q$2=TRUE,$Q$7=TRUE),AND($Q$3=TRUE,$Q$7=TRUE))=TRUE,'Shots and Status'!$F$5,IF((OR($Q$2,$Q$7)=TRUE),'Shots and Status'!$D$5,'Shots and Status'!$C$5)))),0),"-")</f>
        <v>-</v>
      </c>
      <c r="J180" s="36" t="str">
        <f>IFERROR(ROUNDUP(IF(AND($Q$1=FALSE,$S$3=FALSE),"-",IF(AND($Q$1=TRUE,$S$3=TRUE),"-",IF(AND($Q$1=TRUE,$S$1=TRUE,$S$4=FALSE),VLOOKUP($E180,'Status Thresholds'!$E:$AS,14,FALSE),IF(AND($Q$1=TRUE,$S$4=FALSE),VLOOKUP($E180,'Status Thresholds'!$E:$AS,4,FALSE), IF(AND($Q$1=TRUE,$S$1=TRUE,$S$4=TRUE),VLOOKUP($E180,'Status Thresholds'!$E:$AS,19,FALSE),IF(AND($Q$1=TRUE,$S$4=TRUE),VLOOKUP($E180,'Status Thresholds'!$E:$AS,9,FALSE),IF(AND($S$3=TRUE,$S$1=TRUE,$S$4=FALSE),VLOOKUP($E180,'Status Thresholds'!$E:$AS,34,FALSE),IF(AND($S$3=TRUE,$S$4=FALSE),VLOOKUP($E180,'Status Thresholds'!$E:$AS,24,FALSE),IF(AND($S$3=TRUE,$S$1=TRUE,$S$4=TRUE),VLOOKUP($E180,'Status Thresholds'!$E:$AS,39,FALSE),IF(AND($S$3=TRUE,$S$4=TRUE),VLOOKUP($E180,'Status Thresholds'!$E:$AS,29,FALSE),""))))))))/IF(OR($Q$3=TRUE,AND($Q$2=TRUE,$Q$7=TRUE),AND($Q$3=TRUE,$Q$7=TRUE))=TRUE,'Shots and Status'!$F$5,IF((OR($Q$2,$Q$7)=TRUE),'Shots and Status'!$D$5,'Shots and Status'!$C$5)))),0),"-")</f>
        <v>-</v>
      </c>
      <c r="K180" s="36" t="str">
        <f>IFERROR(ROUNDUP(IF(AND($Q$1=FALSE,$S$3=FALSE),"-",IF(AND($Q$1=TRUE,$S$3=TRUE),"-",IF(AND($Q$1=TRUE,$S$1=TRUE,$S$4=FALSE),VLOOKUP($E180,'Status Thresholds'!$E:$AS,15,FALSE),IF(AND($Q$1=TRUE,$S$4=FALSE),VLOOKUP($E180,'Status Thresholds'!$E:$AS,5,FALSE), IF(AND($Q$1=TRUE,$S$1=TRUE,$S$4=TRUE),VLOOKUP($E180,'Status Thresholds'!$E:$AS,20,FALSE),IF(AND($Q$1=TRUE,$S$4=TRUE),VLOOKUP($E180,'Status Thresholds'!$E:$AS,10,FALSE),IF(AND($S$3=TRUE,$S$1=TRUE,$S$4=FALSE),VLOOKUP($E180,'Status Thresholds'!$E:$AS,35,FALSE),IF(AND($S$3=TRUE,$S$4=FALSE),VLOOKUP($E180,'Status Thresholds'!$E:$AS,25,FALSE),IF(AND($S$3=TRUE,$S$1=TRUE,$S$4=TRUE),VLOOKUP($E180,'Status Thresholds'!$E:$AS,40,FALSE),IF(AND($S$3=TRUE,$S$4=TRUE),VLOOKUP($E180,'Status Thresholds'!$E:$AS,30,FALSE),""))))))))/IF(OR($Q$3=TRUE,AND($Q$2=TRUE,$Q$7=TRUE),AND($Q$3=TRUE,$Q$7=TRUE))=TRUE,'Shots and Status'!$F$5,IF((OR($Q$2,$Q$7)=TRUE),'Shots and Status'!$D$5,'Shots and Status'!$C$5)))),0),"-")</f>
        <v>-</v>
      </c>
      <c r="L180" s="36" t="str">
        <f>IFERROR(IF(AND($Q$1=FALSE,$S$3=FALSE),"-",VLOOKUP($E180,'Status Thresholds'!$E:$AU,41,FALSE)),"-")</f>
        <v>-</v>
      </c>
      <c r="M180" s="36" t="str">
        <f>IFERROR(IF(AND($Q$1=FALSE,$S$3=FALSE),"-",VLOOKUP($E180,'Status Thresholds'!$E:$AU,42,FALSE)),"-")</f>
        <v>-</v>
      </c>
      <c r="N180" s="36" t="str">
        <f>IFERROR(IF(AND($Q$1=FALSE,$S$3=FALSE),"-",VLOOKUP($E180,'Status Thresholds'!$E:$AU,43,FALSE)),"-")</f>
        <v>-</v>
      </c>
    </row>
    <row r="181" spans="1:14" s="59" customFormat="1" x14ac:dyDescent="0.25">
      <c r="A181" s="46"/>
      <c r="B181" s="64" t="str">
        <f>VLOOKUP(C181,'Status Thresholds'!B:C,2,FALSE)</f>
        <v>MHGen</v>
      </c>
      <c r="C181" s="46" t="str">
        <f>IF(ISBLANK('KO Calc'!C177)=TRUE,"",'KO Calc'!C177)</f>
        <v>Chamelos</v>
      </c>
      <c r="D181" s="60" t="s">
        <v>32</v>
      </c>
      <c r="E181" s="62" t="str">
        <f t="shared" si="5"/>
        <v>ChamelosSleep</v>
      </c>
      <c r="F181" s="59" t="s">
        <v>5</v>
      </c>
      <c r="G181" s="36" t="str">
        <f t="shared" si="6"/>
        <v>ChamelosSleep lvl 2</v>
      </c>
      <c r="H181" s="36" t="str">
        <f>IFERROR(ROUNDUP(IF(AND($Q$1=FALSE,$S$3=FALSE),"-",IF(AND($Q$1=TRUE,$S$3=TRUE),"-",IF(AND($Q$1=TRUE,$S$1=TRUE,$S$4=FALSE),VLOOKUP($E181,'Status Thresholds'!$E:$AS,12,FALSE),IF(AND($Q$1=TRUE,$S$4=FALSE),VLOOKUP($E181,'Status Thresholds'!$E:$AS,2,FALSE), IF(AND($Q$1=TRUE,$S$1=TRUE,$S$4=TRUE),VLOOKUP($E181,'Status Thresholds'!$E:$AS,17,FALSE),IF(AND($Q$1=TRUE,$S$4=TRUE),VLOOKUP($E181,'Status Thresholds'!$E:$AS,7,FALSE),IF(AND($S$3=TRUE,$S$1=TRUE,$S$4=FALSE),VLOOKUP($E181,'Status Thresholds'!$E:$AS,32,FALSE),IF(AND($S$3=TRUE,$S$4=FALSE),VLOOKUP($E181,'Status Thresholds'!$E:$AS,22,FALSE),IF(AND($S$3=TRUE,$S$1=TRUE,$S$4=TRUE),VLOOKUP($E181,'Status Thresholds'!$E:$AS,37,FALSE),IF(AND($S$3=TRUE,$S$4=TRUE),VLOOKUP($E181,'Status Thresholds'!$E:$AS,27,FALSE),""))))))))/IF(OR($Q$3=TRUE,AND($Q$2=TRUE,$Q$7=TRUE),AND($Q$3=TRUE,$Q$7=TRUE))=TRUE,'Shots and Status'!$F$5,IF((OR($Q$2,$Q$7)=TRUE),'Shots and Status'!$D$5,'Shots and Status'!$C$5)))),0),"-")</f>
        <v>-</v>
      </c>
      <c r="I181" s="36" t="str">
        <f>IFERROR(ROUNDUP(IF(AND($Q$1=FALSE,$S$3=FALSE),"-",IF(AND($Q$1=TRUE,$S$3=TRUE),"-",IF(AND($Q$1=TRUE,$S$1=TRUE,$S$4=FALSE),VLOOKUP($E181,'Status Thresholds'!$E:$AS,13,FALSE),IF(AND($Q$1=TRUE,$S$4=FALSE),VLOOKUP($E181,'Status Thresholds'!$E:$AS,3,FALSE), IF(AND($Q$1=TRUE,$S$1=TRUE,$S$4=TRUE),VLOOKUP($E181,'Status Thresholds'!$E:$AS,18,FALSE),IF(AND($Q$1=TRUE,$S$4=TRUE),VLOOKUP($E181,'Status Thresholds'!$E:$AS,8,FALSE),IF(AND($S$3=TRUE,$S$1=TRUE,$S$4=FALSE),VLOOKUP($E181,'Status Thresholds'!$E:$AS,33,FALSE),IF(AND($S$3=TRUE,$S$4=FALSE),VLOOKUP($E181,'Status Thresholds'!$E:$AS,23,FALSE),IF(AND($S$3=TRUE,$S$1=TRUE,$S$4=TRUE),VLOOKUP($E181,'Status Thresholds'!$E:$AS,38,FALSE),IF(AND($S$3=TRUE,$S$4=TRUE),VLOOKUP($E181,'Status Thresholds'!$E:$AS,28,FALSE),""))))))))/IF(OR($Q$3=TRUE,AND($Q$2=TRUE,$Q$7=TRUE),AND($Q$3=TRUE,$Q$7=TRUE))=TRUE,'Shots and Status'!$F$5,IF((OR($Q$2,$Q$7)=TRUE),'Shots and Status'!$D$5,'Shots and Status'!$C$5)))),0),"-")</f>
        <v>-</v>
      </c>
      <c r="J181" s="36" t="str">
        <f>IFERROR(ROUNDUP(IF(AND($Q$1=FALSE,$S$3=FALSE),"-",IF(AND($Q$1=TRUE,$S$3=TRUE),"-",IF(AND($Q$1=TRUE,$S$1=TRUE,$S$4=FALSE),VLOOKUP($E181,'Status Thresholds'!$E:$AS,14,FALSE),IF(AND($Q$1=TRUE,$S$4=FALSE),VLOOKUP($E181,'Status Thresholds'!$E:$AS,4,FALSE), IF(AND($Q$1=TRUE,$S$1=TRUE,$S$4=TRUE),VLOOKUP($E181,'Status Thresholds'!$E:$AS,19,FALSE),IF(AND($Q$1=TRUE,$S$4=TRUE),VLOOKUP($E181,'Status Thresholds'!$E:$AS,9,FALSE),IF(AND($S$3=TRUE,$S$1=TRUE,$S$4=FALSE),VLOOKUP($E181,'Status Thresholds'!$E:$AS,34,FALSE),IF(AND($S$3=TRUE,$S$4=FALSE),VLOOKUP($E181,'Status Thresholds'!$E:$AS,24,FALSE),IF(AND($S$3=TRUE,$S$1=TRUE,$S$4=TRUE),VLOOKUP($E181,'Status Thresholds'!$E:$AS,39,FALSE),IF(AND($S$3=TRUE,$S$4=TRUE),VLOOKUP($E181,'Status Thresholds'!$E:$AS,29,FALSE),""))))))))/IF(OR($Q$3=TRUE,AND($Q$2=TRUE,$Q$7=TRUE),AND($Q$3=TRUE,$Q$7=TRUE))=TRUE,'Shots and Status'!$F$5,IF((OR($Q$2,$Q$7)=TRUE),'Shots and Status'!$D$5,'Shots and Status'!$C$5)))),0),"-")</f>
        <v>-</v>
      </c>
      <c r="K181" s="36" t="str">
        <f>IFERROR(ROUNDUP(IF(AND($Q$1=FALSE,$S$3=FALSE),"-",IF(AND($Q$1=TRUE,$S$3=TRUE),"-",IF(AND($Q$1=TRUE,$S$1=TRUE,$S$4=FALSE),VLOOKUP($E181,'Status Thresholds'!$E:$AS,15,FALSE),IF(AND($Q$1=TRUE,$S$4=FALSE),VLOOKUP($E181,'Status Thresholds'!$E:$AS,5,FALSE), IF(AND($Q$1=TRUE,$S$1=TRUE,$S$4=TRUE),VLOOKUP($E181,'Status Thresholds'!$E:$AS,20,FALSE),IF(AND($Q$1=TRUE,$S$4=TRUE),VLOOKUP($E181,'Status Thresholds'!$E:$AS,10,FALSE),IF(AND($S$3=TRUE,$S$1=TRUE,$S$4=FALSE),VLOOKUP($E181,'Status Thresholds'!$E:$AS,35,FALSE),IF(AND($S$3=TRUE,$S$4=FALSE),VLOOKUP($E181,'Status Thresholds'!$E:$AS,25,FALSE),IF(AND($S$3=TRUE,$S$1=TRUE,$S$4=TRUE),VLOOKUP($E181,'Status Thresholds'!$E:$AS,40,FALSE),IF(AND($S$3=TRUE,$S$4=TRUE),VLOOKUP($E181,'Status Thresholds'!$E:$AS,30,FALSE),""))))))))/IF(OR($Q$3=TRUE,AND($Q$2=TRUE,$Q$7=TRUE),AND($Q$3=TRUE,$Q$7=TRUE))=TRUE,'Shots and Status'!$F$5,IF((OR($Q$2,$Q$7)=TRUE),'Shots and Status'!$D$5,'Shots and Status'!$C$5)))),0),"-")</f>
        <v>-</v>
      </c>
      <c r="L181" s="36" t="str">
        <f>IFERROR(IF(AND($Q$1=FALSE,$S$3=FALSE),"-",VLOOKUP($E181,'Status Thresholds'!$E:$AU,41,FALSE)),"-")</f>
        <v>-</v>
      </c>
      <c r="M181" s="36" t="str">
        <f>IFERROR(IF(AND($Q$1=FALSE,$S$3=FALSE),"-",VLOOKUP($E181,'Status Thresholds'!$E:$AU,42,FALSE)),"-")</f>
        <v>-</v>
      </c>
      <c r="N181" s="36" t="str">
        <f>IFERROR(IF(AND($Q$1=FALSE,$S$3=FALSE),"-",VLOOKUP($E181,'Status Thresholds'!$E:$AU,43,FALSE)),"-")</f>
        <v>-</v>
      </c>
    </row>
    <row r="182" spans="1:14" s="59" customFormat="1" x14ac:dyDescent="0.25">
      <c r="A182" s="46"/>
      <c r="B182" s="64" t="str">
        <f>VLOOKUP(C182,'Status Thresholds'!B:C,2,FALSE)</f>
        <v>MHGen</v>
      </c>
      <c r="C182" s="46" t="str">
        <f>IF(ISBLANK('KO Calc'!C178)=TRUE,"",'KO Calc'!C178)</f>
        <v>Chamelos</v>
      </c>
      <c r="D182" s="58" t="s">
        <v>33</v>
      </c>
      <c r="E182" s="62" t="str">
        <f t="shared" si="5"/>
        <v>ChamelosPoison</v>
      </c>
      <c r="F182" s="59" t="s">
        <v>6</v>
      </c>
      <c r="G182" s="36" t="str">
        <f t="shared" si="6"/>
        <v>ChamelosPoison lvl 2</v>
      </c>
      <c r="H182" s="36" t="str">
        <f>IFERROR(ROUNDUP(IF(AND($Q$1=FALSE,$S$3=FALSE),"-",IF(AND($Q$1=TRUE,$S$3=TRUE),"-",IF(AND($Q$1=TRUE,$S$1=TRUE,$S$4=FALSE),VLOOKUP($E182,'Status Thresholds'!$E:$AS,12,FALSE),IF(AND($Q$1=TRUE,$S$4=FALSE),VLOOKUP($E182,'Status Thresholds'!$E:$AS,2,FALSE), IF(AND($Q$1=TRUE,$S$1=TRUE,$S$4=TRUE),VLOOKUP($E182,'Status Thresholds'!$E:$AS,17,FALSE),IF(AND($Q$1=TRUE,$S$4=TRUE),VLOOKUP($E182,'Status Thresholds'!$E:$AS,7,FALSE),IF(AND($S$3=TRUE,$S$1=TRUE,$S$4=FALSE),VLOOKUP($E182,'Status Thresholds'!$E:$AS,32,FALSE),IF(AND($S$3=TRUE,$S$4=FALSE),VLOOKUP($E182,'Status Thresholds'!$E:$AS,22,FALSE),IF(AND($S$3=TRUE,$S$1=TRUE,$S$4=TRUE),VLOOKUP($E182,'Status Thresholds'!$E:$AS,37,FALSE),IF(AND($S$3=TRUE,$S$4=TRUE),VLOOKUP($E182,'Status Thresholds'!$E:$AS,27,FALSE),""))))))))/IF(OR($Q$3=TRUE,AND($Q$2=TRUE,$Q$7=TRUE),AND($Q$3=TRUE,$Q$7=TRUE))=TRUE,'Shots and Status'!$F$5,IF((OR($Q$2,$Q$7)=TRUE),'Shots and Status'!$D$5,'Shots and Status'!$C$5)))),0),"-")</f>
        <v>-</v>
      </c>
      <c r="I182" s="36" t="str">
        <f>IFERROR(ROUNDUP(IF(AND($Q$1=FALSE,$S$3=FALSE),"-",IF(AND($Q$1=TRUE,$S$3=TRUE),"-",IF(AND($Q$1=TRUE,$S$1=TRUE,$S$4=FALSE),VLOOKUP($E182,'Status Thresholds'!$E:$AS,13,FALSE),IF(AND($Q$1=TRUE,$S$4=FALSE),VLOOKUP($E182,'Status Thresholds'!$E:$AS,3,FALSE), IF(AND($Q$1=TRUE,$S$1=TRUE,$S$4=TRUE),VLOOKUP($E182,'Status Thresholds'!$E:$AS,18,FALSE),IF(AND($Q$1=TRUE,$S$4=TRUE),VLOOKUP($E182,'Status Thresholds'!$E:$AS,8,FALSE),IF(AND($S$3=TRUE,$S$1=TRUE,$S$4=FALSE),VLOOKUP($E182,'Status Thresholds'!$E:$AS,33,FALSE),IF(AND($S$3=TRUE,$S$4=FALSE),VLOOKUP($E182,'Status Thresholds'!$E:$AS,23,FALSE),IF(AND($S$3=TRUE,$S$1=TRUE,$S$4=TRUE),VLOOKUP($E182,'Status Thresholds'!$E:$AS,38,FALSE),IF(AND($S$3=TRUE,$S$4=TRUE),VLOOKUP($E182,'Status Thresholds'!$E:$AS,28,FALSE),""))))))))/IF(OR($Q$3=TRUE,AND($Q$2=TRUE,$Q$7=TRUE),AND($Q$3=TRUE,$Q$7=TRUE))=TRUE,'Shots and Status'!$F$5,IF((OR($Q$2,$Q$7)=TRUE),'Shots and Status'!$D$5,'Shots and Status'!$C$5)))),0),"-")</f>
        <v>-</v>
      </c>
      <c r="J182" s="36" t="str">
        <f>IFERROR(ROUNDUP(IF(AND($Q$1=FALSE,$S$3=FALSE),"-",IF(AND($Q$1=TRUE,$S$3=TRUE),"-",IF(AND($Q$1=TRUE,$S$1=TRUE,$S$4=FALSE),VLOOKUP($E182,'Status Thresholds'!$E:$AS,14,FALSE),IF(AND($Q$1=TRUE,$S$4=FALSE),VLOOKUP($E182,'Status Thresholds'!$E:$AS,4,FALSE), IF(AND($Q$1=TRUE,$S$1=TRUE,$S$4=TRUE),VLOOKUP($E182,'Status Thresholds'!$E:$AS,19,FALSE),IF(AND($Q$1=TRUE,$S$4=TRUE),VLOOKUP($E182,'Status Thresholds'!$E:$AS,9,FALSE),IF(AND($S$3=TRUE,$S$1=TRUE,$S$4=FALSE),VLOOKUP($E182,'Status Thresholds'!$E:$AS,34,FALSE),IF(AND($S$3=TRUE,$S$4=FALSE),VLOOKUP($E182,'Status Thresholds'!$E:$AS,24,FALSE),IF(AND($S$3=TRUE,$S$1=TRUE,$S$4=TRUE),VLOOKUP($E182,'Status Thresholds'!$E:$AS,39,FALSE),IF(AND($S$3=TRUE,$S$4=TRUE),VLOOKUP($E182,'Status Thresholds'!$E:$AS,29,FALSE),""))))))))/IF(OR($Q$3=TRUE,AND($Q$2=TRUE,$Q$7=TRUE),AND($Q$3=TRUE,$Q$7=TRUE))=TRUE,'Shots and Status'!$F$5,IF((OR($Q$2,$Q$7)=TRUE),'Shots and Status'!$D$5,'Shots and Status'!$C$5)))),0),"-")</f>
        <v>-</v>
      </c>
      <c r="K182" s="36" t="str">
        <f>IFERROR(ROUNDUP(IF(AND($Q$1=FALSE,$S$3=FALSE),"-",IF(AND($Q$1=TRUE,$S$3=TRUE),"-",IF(AND($Q$1=TRUE,$S$1=TRUE,$S$4=FALSE),VLOOKUP($E182,'Status Thresholds'!$E:$AS,15,FALSE),IF(AND($Q$1=TRUE,$S$4=FALSE),VLOOKUP($E182,'Status Thresholds'!$E:$AS,5,FALSE), IF(AND($Q$1=TRUE,$S$1=TRUE,$S$4=TRUE),VLOOKUP($E182,'Status Thresholds'!$E:$AS,20,FALSE),IF(AND($Q$1=TRUE,$S$4=TRUE),VLOOKUP($E182,'Status Thresholds'!$E:$AS,10,FALSE),IF(AND($S$3=TRUE,$S$1=TRUE,$S$4=FALSE),VLOOKUP($E182,'Status Thresholds'!$E:$AS,35,FALSE),IF(AND($S$3=TRUE,$S$4=FALSE),VLOOKUP($E182,'Status Thresholds'!$E:$AS,25,FALSE),IF(AND($S$3=TRUE,$S$1=TRUE,$S$4=TRUE),VLOOKUP($E182,'Status Thresholds'!$E:$AS,40,FALSE),IF(AND($S$3=TRUE,$S$4=TRUE),VLOOKUP($E182,'Status Thresholds'!$E:$AS,30,FALSE),""))))))))/IF(OR($Q$3=TRUE,AND($Q$2=TRUE,$Q$7=TRUE),AND($Q$3=TRUE,$Q$7=TRUE))=TRUE,'Shots and Status'!$F$5,IF((OR($Q$2,$Q$7)=TRUE),'Shots and Status'!$D$5,'Shots and Status'!$C$5)))),0),"-")</f>
        <v>-</v>
      </c>
      <c r="L182" s="36" t="str">
        <f>IFERROR(IF(AND($Q$1=FALSE,$S$3=FALSE),"-",VLOOKUP($E182,'Status Thresholds'!$E:$AU,41,FALSE)),"-")</f>
        <v>-</v>
      </c>
      <c r="M182" s="36" t="str">
        <f>IFERROR(IF(AND($Q$1=FALSE,$S$3=FALSE),"-",VLOOKUP($E182,'Status Thresholds'!$E:$AU,42,FALSE)),"-")</f>
        <v>-</v>
      </c>
      <c r="N182" s="36" t="str">
        <f>IFERROR(IF(AND($Q$1=FALSE,$S$3=FALSE),"-",VLOOKUP($E182,'Status Thresholds'!$E:$AU,43,FALSE)),"-")</f>
        <v>-</v>
      </c>
    </row>
    <row r="183" spans="1:14" s="36" customFormat="1" x14ac:dyDescent="0.25">
      <c r="A183" s="46"/>
      <c r="B183" s="64" t="str">
        <f>VLOOKUP(C183,'Status Thresholds'!B:C,2,FALSE)</f>
        <v>MHGen</v>
      </c>
      <c r="C183" s="46" t="str">
        <f>IF(ISBLANK('KO Calc'!C179)=TRUE,"",'KO Calc'!C179)</f>
        <v>Chamelos</v>
      </c>
      <c r="D183" s="57" t="s">
        <v>22</v>
      </c>
      <c r="E183" s="62" t="str">
        <f t="shared" si="5"/>
        <v>ChamelosExhaust</v>
      </c>
      <c r="F183" s="36" t="s">
        <v>8</v>
      </c>
      <c r="G183" s="36" t="str">
        <f t="shared" si="6"/>
        <v>ChamelosExhaust lvl 2</v>
      </c>
      <c r="H183" s="36" t="str">
        <f>IFERROR(ROUNDUP(IF(AND($Q$1=FALSE,$S$3=FALSE),"-",IF(AND($Q$1=TRUE,$S$3=TRUE),"-",IF(AND($Q$1=TRUE,$S$1=TRUE,$S$4=FALSE),VLOOKUP($E183,'Status Thresholds'!$E:$AS,12,FALSE),IF(AND($Q$1=TRUE,$S$4=FALSE),VLOOKUP($E183,'Status Thresholds'!$E:$AS,2,FALSE), IF(AND($Q$1=TRUE,$S$1=TRUE,$S$4=TRUE),VLOOKUP($E183,'Status Thresholds'!$E:$AS,17,FALSE),IF(AND($Q$1=TRUE,$S$4=TRUE),VLOOKUP($E183,'Status Thresholds'!$E:$AS,7,FALSE),IF(AND($S$3=TRUE,$S$1=TRUE,$S$4=FALSE),VLOOKUP($E183,'Status Thresholds'!$E:$AS,32,FALSE),IF(AND($S$3=TRUE,$S$4=FALSE),VLOOKUP($E183,'Status Thresholds'!$E:$AS,22,FALSE),IF(AND($S$3=TRUE,$S$1=TRUE,$S$4=TRUE),VLOOKUP($E183,'Status Thresholds'!$E:$AS,37,FALSE),IF(AND($S$3=TRUE,$S$4=TRUE),VLOOKUP($E183,'Status Thresholds'!$E:$AS,27,FALSE),""))))))))/IF(OR($Q$3=TRUE,AND($Q$2=TRUE,$Q$7=TRUE),AND($Q$3=TRUE,$Q$7=TRUE))=TRUE,'Shots and Status'!$F$5,IF((OR($Q$2,$Q$7)=TRUE),'Shots and Status'!$D$5,'Shots and Status'!$C$5)))),0),"-")</f>
        <v>-</v>
      </c>
      <c r="I183" s="36" t="str">
        <f>IFERROR(ROUNDUP(IF(AND($Q$1=FALSE,$S$3=FALSE),"-",IF(AND($Q$1=TRUE,$S$3=TRUE),"-",IF(AND($Q$1=TRUE,$S$1=TRUE,$S$4=FALSE),VLOOKUP($E183,'Status Thresholds'!$E:$AS,13,FALSE),IF(AND($Q$1=TRUE,$S$4=FALSE),VLOOKUP($E183,'Status Thresholds'!$E:$AS,3,FALSE), IF(AND($Q$1=TRUE,$S$1=TRUE,$S$4=TRUE),VLOOKUP($E183,'Status Thresholds'!$E:$AS,18,FALSE),IF(AND($Q$1=TRUE,$S$4=TRUE),VLOOKUP($E183,'Status Thresholds'!$E:$AS,8,FALSE),IF(AND($S$3=TRUE,$S$1=TRUE,$S$4=FALSE),VLOOKUP($E183,'Status Thresholds'!$E:$AS,33,FALSE),IF(AND($S$3=TRUE,$S$4=FALSE),VLOOKUP($E183,'Status Thresholds'!$E:$AS,23,FALSE),IF(AND($S$3=TRUE,$S$1=TRUE,$S$4=TRUE),VLOOKUP($E183,'Status Thresholds'!$E:$AS,38,FALSE),IF(AND($S$3=TRUE,$S$4=TRUE),VLOOKUP($E183,'Status Thresholds'!$E:$AS,28,FALSE),""))))))))/IF(OR($Q$3=TRUE,AND($Q$2=TRUE,$Q$7=TRUE),AND($Q$3=TRUE,$Q$7=TRUE))=TRUE,'Shots and Status'!$F$5,IF((OR($Q$2,$Q$7)=TRUE),'Shots and Status'!$D$5,'Shots and Status'!$C$5)))),0),"-")</f>
        <v>-</v>
      </c>
      <c r="J183" s="36" t="str">
        <f>IFERROR(ROUNDUP(IF(AND($Q$1=FALSE,$S$3=FALSE),"-",IF(AND($Q$1=TRUE,$S$3=TRUE),"-",IF(AND($Q$1=TRUE,$S$1=TRUE,$S$4=FALSE),VLOOKUP($E183,'Status Thresholds'!$E:$AS,14,FALSE),IF(AND($Q$1=TRUE,$S$4=FALSE),VLOOKUP($E183,'Status Thresholds'!$E:$AS,4,FALSE), IF(AND($Q$1=TRUE,$S$1=TRUE,$S$4=TRUE),VLOOKUP($E183,'Status Thresholds'!$E:$AS,19,FALSE),IF(AND($Q$1=TRUE,$S$4=TRUE),VLOOKUP($E183,'Status Thresholds'!$E:$AS,9,FALSE),IF(AND($S$3=TRUE,$S$1=TRUE,$S$4=FALSE),VLOOKUP($E183,'Status Thresholds'!$E:$AS,34,FALSE),IF(AND($S$3=TRUE,$S$4=FALSE),VLOOKUP($E183,'Status Thresholds'!$E:$AS,24,FALSE),IF(AND($S$3=TRUE,$S$1=TRUE,$S$4=TRUE),VLOOKUP($E183,'Status Thresholds'!$E:$AS,39,FALSE),IF(AND($S$3=TRUE,$S$4=TRUE),VLOOKUP($E183,'Status Thresholds'!$E:$AS,29,FALSE),""))))))))/IF(OR($Q$3=TRUE,AND($Q$2=TRUE,$Q$7=TRUE),AND($Q$3=TRUE,$Q$7=TRUE))=TRUE,'Shots and Status'!$F$5,IF((OR($Q$2,$Q$7)=TRUE),'Shots and Status'!$D$5,'Shots and Status'!$C$5)))),0),"-")</f>
        <v>-</v>
      </c>
      <c r="K183" s="36" t="str">
        <f>IFERROR(ROUNDUP(IF(AND($Q$1=FALSE,$S$3=FALSE),"-",IF(AND($Q$1=TRUE,$S$3=TRUE),"-",IF(AND($Q$1=TRUE,$S$1=TRUE,$S$4=FALSE),VLOOKUP($E183,'Status Thresholds'!$E:$AS,15,FALSE),IF(AND($Q$1=TRUE,$S$4=FALSE),VLOOKUP($E183,'Status Thresholds'!$E:$AS,5,FALSE), IF(AND($Q$1=TRUE,$S$1=TRUE,$S$4=TRUE),VLOOKUP($E183,'Status Thresholds'!$E:$AS,20,FALSE),IF(AND($Q$1=TRUE,$S$4=TRUE),VLOOKUP($E183,'Status Thresholds'!$E:$AS,10,FALSE),IF(AND($S$3=TRUE,$S$1=TRUE,$S$4=FALSE),VLOOKUP($E183,'Status Thresholds'!$E:$AS,35,FALSE),IF(AND($S$3=TRUE,$S$4=FALSE),VLOOKUP($E183,'Status Thresholds'!$E:$AS,25,FALSE),IF(AND($S$3=TRUE,$S$1=TRUE,$S$4=TRUE),VLOOKUP($E183,'Status Thresholds'!$E:$AS,40,FALSE),IF(AND($S$3=TRUE,$S$4=TRUE),VLOOKUP($E183,'Status Thresholds'!$E:$AS,30,FALSE),""))))))))/IF(OR($Q$3=TRUE,AND($Q$2=TRUE,$Q$7=TRUE),AND($Q$3=TRUE,$Q$7=TRUE))=TRUE,'Shots and Status'!$F$5,IF((OR($Q$2,$Q$7)=TRUE),'Shots and Status'!$D$5,'Shots and Status'!$C$5)))),0),"-")</f>
        <v>-</v>
      </c>
      <c r="L183" s="36" t="str">
        <f>IFERROR(IF(AND($Q$1=FALSE,$S$3=FALSE),"-",VLOOKUP($E183,'Status Thresholds'!$E:$AU,41,FALSE)),"-")</f>
        <v>-</v>
      </c>
      <c r="M183" s="36" t="str">
        <f>IFERROR(IF(AND($Q$1=FALSE,$S$3=FALSE),"-",VLOOKUP($E183,'Status Thresholds'!$E:$AU,42,FALSE)),"-")</f>
        <v>-</v>
      </c>
      <c r="N183" s="36" t="str">
        <f>IFERROR(IF(AND($Q$1=FALSE,$S$3=FALSE),"-",VLOOKUP($E183,'Status Thresholds'!$E:$AU,43,FALSE)),"-")</f>
        <v>-</v>
      </c>
    </row>
    <row r="184" spans="1:14" s="36" customFormat="1" x14ac:dyDescent="0.25">
      <c r="A184" s="46"/>
      <c r="B184" s="64" t="str">
        <f>VLOOKUP(C184,'Status Thresholds'!B:C,2,FALSE)</f>
        <v>MHGen</v>
      </c>
      <c r="C184" s="46" t="str">
        <f>IF(ISBLANK('KO Calc'!C180)=TRUE,"",'KO Calc'!C180)</f>
        <v>Chamelos</v>
      </c>
      <c r="D184" s="67" t="s">
        <v>14</v>
      </c>
      <c r="E184" s="62" t="str">
        <f t="shared" si="5"/>
        <v>ChamelosKO</v>
      </c>
      <c r="F184" s="36" t="s">
        <v>21</v>
      </c>
      <c r="G184" s="36" t="str">
        <f t="shared" si="6"/>
        <v>ChamelosTriblast</v>
      </c>
      <c r="H184" s="36" t="str">
        <f>IF(AND($Q$1=FALSE,$S$3=FALSE),"-",IF(AND($Q$1=TRUE,$S$3=TRUE),"-",IF(AND($Q$1=FALSE,$S$3=FALSE),"-",IF(AND($Q$1=TRUE,$S$1=TRUE,$S$4=FALSE)=TRUE,IF(OR($Q$4=TRUE,$Q$5=TRUE,$S$2=TRUE),VLOOKUP($G184,'KO Calc'!$H:$AW,12,FALSE),VLOOKUP($G184,'KO Calc'!$H190:$AW190,12,FALSE)),IF(AND($Q$1=TRUE,$S$4=FALSE),IF(OR($Q$4=TRUE,$Q$5=TRUE,$S$2=TRUE),VLOOKUP($G184,'KO Calc'!$H:$AW,2,FALSE),VLOOKUP($G184,'KO Calc'!$H190:$AW190,2,FALSE)),
IF(AND($Q$1=TRUE,$S$1=TRUE,$S$4=TRUE)=TRUE,IF(OR($Q$4=TRUE,$Q$5=TRUE,$S$2=TRUE),VLOOKUP($G184,'KO Calc'!$H:$AW,17,FALSE),VLOOKUP($G184,'KO Calc'!$H190:$AW190,17,FALSE)),IF(AND($Q$1=TRUE,$S$4=TRUE),IF(OR($Q$4=TRUE,$Q$5=TRUE,$S$2=TRUE),VLOOKUP($G184,'KO Calc'!$H:$AW,7,FALSE),VLOOKUP($G184,'KO Calc'!$H190:$AW190,7,FALSE)),
IF(AND($S$3=TRUE,$S$1=TRUE,$S$4=FALSE)=TRUE,IF(OR($Q$4=TRUE,$Q$5=TRUE,$S$2=TRUE),VLOOKUP($G184,'KO Calc'!$H:$AW,32,FALSE),VLOOKUP($G184,'KO Calc'!$H190:$AW190,32,FALSE)),IF(AND($S$3=TRUE,$S$4=FALSE),IF(OR($Q$4=TRUE,$Q$5=TRUE,$S$2=TRUE),VLOOKUP($G184,'KO Calc'!$H:$AW,22,FALSE),VLOOKUP($G184,'KO Calc'!$H190:$AW190,22,FALSE)),
IF(AND($S$3=TRUE,$S$1=TRUE,$S$4=TRUE)=TRUE,IF(OR($Q$4=TRUE,$Q$5=TRUE,$S$2=TRUE),VLOOKUP($G184,'KO Calc'!$H:$AW,37,FALSE),VLOOKUP($G184,'KO Calc'!$H190:$AW190,37,FALSE)),IF(AND($S$3=TRUE,$S$4=TRUE),IF(OR($Q$4=TRUE,$Q$5=TRUE,$S$2=TRUE),VLOOKUP($G184,'KO Calc'!$H:$AW,27,FALSE),VLOOKUP($G184,'KO Calc'!$H190:$AW190,27,FALSE)))))))))))))</f>
        <v>-</v>
      </c>
      <c r="I184" s="36" t="str">
        <f>IF(AND($Q$1=FALSE,$S$3=FALSE),"-",IF(AND($Q$1=TRUE,$S$3=TRUE),"-",IF(AND($Q$1=FALSE,$S$3=FALSE),"-",IF(AND($Q$1=TRUE,$S$1=TRUE,$S$4=FALSE)=TRUE,IF(OR($Q$4=TRUE,$Q$5=TRUE,$S$2=TRUE),VLOOKUP($G184,'KO Calc'!$H:$AW,13,FALSE),VLOOKUP($G184,'KO Calc'!$H190:$AW190,13,FALSE)),IF(AND($Q$1=TRUE,$S$4=FALSE),IF(OR($Q$4=TRUE,$Q$5=TRUE,$S$2=TRUE),VLOOKUP($G184,'KO Calc'!$H:$AW,3,FALSE),VLOOKUP($G184,'KO Calc'!$H190:$AW190,3,FALSE)),
IF(AND($Q$1=TRUE,$S$1=TRUE,$S$4=TRUE)=TRUE,IF(OR($Q$4=TRUE,$Q$5=TRUE,$S$2=TRUE),VLOOKUP($G184,'KO Calc'!$H:$AW,18,FALSE),VLOOKUP($G184,'KO Calc'!$H190:$AW190,18,FALSE)),IF(AND($Q$1=TRUE,$S$4=TRUE),IF(OR($Q$4=TRUE,$Q$5=TRUE,$S$2=TRUE),VLOOKUP($G184,'KO Calc'!$H:$AW,8,FALSE),VLOOKUP($G184,'KO Calc'!$H190:$AW190,8,FALSE)),
IF(AND($S$3=TRUE,$S$1=TRUE,$S$4=FALSE)=TRUE,IF(OR($Q$4=TRUE,$Q$5=TRUE,$S$2=TRUE),VLOOKUP($G184,'KO Calc'!$H:$AW,33,FALSE),VLOOKUP($G184,'KO Calc'!$H190:$AW190,33,FALSE)),IF(AND($S$3=TRUE,$S$4=FALSE),IF(OR($Q$4=TRUE,$Q$5=TRUE,$S$2=TRUE),VLOOKUP($G184,'KO Calc'!$H:$AW,23,FALSE),VLOOKUP($G184,'KO Calc'!$H190:$AW190,23,FALSE)),
IF(AND($S$3=TRUE,$S$1=TRUE,$S$4=TRUE)=TRUE,IF(OR($Q$4=TRUE,$Q$5=TRUE,$S$2=TRUE),VLOOKUP($G184,'KO Calc'!$H:$AW,38,FALSE),VLOOKUP($G184,'KO Calc'!$H190:$AW190,38,FALSE)),IF(AND($S$3=TRUE,$S$4=TRUE),IF(OR($Q$4=TRUE,$Q$5=TRUE,$S$2=TRUE),VLOOKUP($G184,'KO Calc'!$H:$AW,28,FALSE),VLOOKUP($G184,'KO Calc'!$H190:$AW190,28,FALSE)))))))))))))</f>
        <v>-</v>
      </c>
      <c r="J184" s="36" t="str">
        <f>IF(AND($Q$1=FALSE,$S$3=FALSE),"-",IF(AND($Q$1=TRUE,$S$3=TRUE),"-",IF(AND($Q$1=FALSE,$S$3=FALSE),"-",IF(AND($Q$1=TRUE,$S$1=TRUE,$S$4=FALSE)=TRUE,IF(OR($Q$4=TRUE,$Q$5=TRUE,$S$2=TRUE),VLOOKUP($G184,'KO Calc'!$H:$AW,FALSE),VLOOKUP($G184,'KO Calc'!$H190:$AW190,14,FALSE)),IF(AND($Q$1=TRUE,$S$4=FALSE),IF(OR($Q$4=TRUE,$Q$5=TRUE,$S$2=TRUE),VLOOKUP($G184,'KO Calc'!$H:$AW,4,FALSE),VLOOKUP($G184,'KO Calc'!$H190:$AW190,4,FALSE)),
IF(AND($Q$1=TRUE,$S$1=TRUE,$S$4=TRUE)=TRUE,IF(OR($Q$4=TRUE,$Q$5=TRUE,$S$2=TRUE),VLOOKUP($G184,'KO Calc'!$H:$AW,19,FALSE),VLOOKUP($G184,'KO Calc'!$H190:$AW190,19,FALSE)),IF(AND($Q$1=TRUE,$S$4=TRUE),IF(OR($Q$4=TRUE,$Q$5=TRUE,$S$2=TRUE),VLOOKUP($G184,'KO Calc'!$H:$AW,9,FALSE),VLOOKUP($G184,'KO Calc'!$H190:$AW190,9,FALSE)),
IF(AND($S$3=TRUE,$S$1=TRUE,$S$4=FALSE)=TRUE,IF(OR($Q$4=TRUE,$Q$5=TRUE,$S$2=TRUE),VLOOKUP($G184,'KO Calc'!$H:$AW,34,FALSE),VLOOKUP($G184,'KO Calc'!$H190:$AW190,34,FALSE)),IF(AND($S$3=TRUE,$S$4=FALSE),IF(OR($Q$4=TRUE,$Q$5=TRUE,$S$2=TRUE),VLOOKUP($G184,'KO Calc'!$H:$AW,24,FALSE),VLOOKUP($G184,'KO Calc'!$H190:$AW190,24,FALSE)),
IF(AND($S$3=TRUE,$S$1=TRUE,$S$4=TRUE)=TRUE,IF(OR($Q$4=TRUE,$Q$5=TRUE,$S$2=TRUE),VLOOKUP($G184,'KO Calc'!$H:$AW,39,FALSE),VLOOKUP($G184,'KO Calc'!$H190:$AW190,39,FALSE)),IF(AND($S$3=TRUE,$S$4=TRUE),IF(OR($Q$4=TRUE,$Q$5=TRUE,$S$2=TRUE),VLOOKUP($G184,'KO Calc'!$H:$AW,29,FALSE),VLOOKUP($G184,'KO Calc'!$H190:$AW190,29,FALSE)))))))))))))</f>
        <v>-</v>
      </c>
      <c r="K184" s="36" t="str">
        <f>IF(AND($Q$1=FALSE,$S$3=FALSE),"-",IF(AND($Q$1=TRUE,$S$3=TRUE),"-",IF(AND($Q$1=FALSE,$S$3=FALSE),"-",IF(AND($Q$1=TRUE,$S$1=TRUE,$S$4=FALSE)=TRUE,IF(OR($Q$4=TRUE,$Q$5=TRUE,$S$2=TRUE),VLOOKUP($G184,'KO Calc'!$H:$AW,15,FALSE),VLOOKUP($G184,'KO Calc'!$H190:$AW190,15,FALSE)),IF(AND($Q$1=TRUE,$S$4=FALSE),IF(OR($Q$4=TRUE,$Q$5=TRUE,$S$2=TRUE),VLOOKUP($G184,'KO Calc'!$H:$AW,5,FALSE),VLOOKUP($G184,'KO Calc'!$H190:$AW190,5,FALSE)),
IF(AND($Q$1=TRUE,$S$1=TRUE,$S$4=TRUE)=TRUE,IF(OR($Q$4=TRUE,$Q$5=TRUE,$S$2=TRUE),VLOOKUP($G184,'KO Calc'!$H:$AW,20,FALSE),VLOOKUP($G184,'KO Calc'!$H190:$AW190,20,FALSE)),IF(AND($Q$1=TRUE,$S$4=TRUE),IF(OR($Q$4=TRUE,$Q$5=TRUE,$S$2=TRUE),VLOOKUP($G184,'KO Calc'!$H:$AW,10,FALSE),VLOOKUP($G184,'KO Calc'!$H190:$AW190,10,FALSE)),
IF(AND($S$3=TRUE,$S$1=TRUE,$S$4=FALSE)=TRUE,IF(OR($Q$4=TRUE,$Q$5=TRUE,$S$2=TRUE),VLOOKUP($G184,'KO Calc'!$H:$AW,35,FALSE),VLOOKUP($G184,'KO Calc'!$H190:$AW190,35,FALSE)),IF(AND($S$3=TRUE,$S$4=FALSE),IF(OR($Q$4=TRUE,$Q$5=TRUE,$S$2=TRUE),VLOOKUP($G184,'KO Calc'!$H:$AW,25,FALSE),VLOOKUP($G184,'KO Calc'!$H190:$AW190,25,FALSE)),
IF(AND($S$3=TRUE,$S$1=TRUE,$S$4=TRUE)=TRUE,IF(OR($Q$4=TRUE,$Q$5=TRUE,$S$2=TRUE),VLOOKUP($G184,'KO Calc'!$H:$AW,40,FALSE),VLOOKUP($G184,'KO Calc'!$H190:$AW190,40,FALSE)),IF(AND($S$3=TRUE,$S$4=TRUE),IF(OR($Q$4=TRUE,$Q$5=TRUE,$S$2=TRUE),VLOOKUP($G184,'KO Calc'!$H:$AW,30,FALSE),VLOOKUP($G184,'KO Calc'!$H190:$AW190,30,FALSE)))))))))))))</f>
        <v>-</v>
      </c>
      <c r="L184" s="36" t="str">
        <f>IFERROR(IF(AND($Q$1=FALSE,$S$3=FALSE),"-",VLOOKUP($E184,'Status Thresholds'!$E:$AU,41,FALSE)),"-")</f>
        <v>-</v>
      </c>
      <c r="M184" s="36" t="str">
        <f>IFERROR(IF(AND($Q$1=FALSE,$S$3=FALSE),"-",VLOOKUP($E184,'Status Thresholds'!$E:$AU,42,FALSE)),"-")</f>
        <v>-</v>
      </c>
      <c r="N184" s="36" t="str">
        <f>IFERROR(IF(AND($Q$1=FALSE,$S$3=FALSE),"-",VLOOKUP($E184,'Status Thresholds'!$E:$AU,43,FALSE)),"-")</f>
        <v>-</v>
      </c>
    </row>
    <row r="185" spans="1:14" x14ac:dyDescent="0.25">
      <c r="B185" s="64" t="str">
        <f>VLOOKUP(C185,'Status Thresholds'!B:C,2,FALSE)</f>
        <v>MHGen</v>
      </c>
      <c r="C185" s="46" t="str">
        <f>IF(ISBLANK('KO Calc'!C181)=TRUE,"",'KO Calc'!C181)</f>
        <v>Chamelos</v>
      </c>
      <c r="D185" s="78" t="s">
        <v>207</v>
      </c>
      <c r="E185" s="62" t="str">
        <f t="shared" si="5"/>
        <v>ChamelosShock Trap</v>
      </c>
      <c r="F185" t="s">
        <v>13</v>
      </c>
      <c r="G185" s="36" t="str">
        <f t="shared" si="6"/>
        <v>ChamelosCrag 3</v>
      </c>
      <c r="H185" s="36" t="str">
        <f>IF(AND($Q$1=FALSE,$S$3=FALSE),"-",IF(AND($Q$1=TRUE,$S$3=TRUE),"-",IF(AND($Q$1=FALSE,$S$3=FALSE),"-",IF(AND($Q$1=TRUE,$S$1=TRUE,$S$4=FALSE)=TRUE,IF(OR($Q$4=TRUE,$Q$5=TRUE,$S$2=TRUE),VLOOKUP($G185,'KO Calc'!$H:$AW,12,FALSE),VLOOKUP($G185,'KO Calc'!$H191:$AW191,12,FALSE)),IF(AND($Q$1=TRUE,$S$4=FALSE),IF(OR($Q$4=TRUE,$Q$5=TRUE,$S$2=TRUE),VLOOKUP($G185,'KO Calc'!$H:$AW,2,FALSE),VLOOKUP($G185,'KO Calc'!$H191:$AW191,2,FALSE)),
IF(AND($Q$1=TRUE,$S$1=TRUE,$S$4=TRUE)=TRUE,IF(OR($Q$4=TRUE,$Q$5=TRUE,$S$2=TRUE),VLOOKUP($G185,'KO Calc'!$H:$AW,17,FALSE),VLOOKUP($G185,'KO Calc'!$H191:$AW191,17,FALSE)),IF(AND($Q$1=TRUE,$S$4=TRUE),IF(OR($Q$4=TRUE,$Q$5=TRUE,$S$2=TRUE),VLOOKUP($G185,'KO Calc'!$H:$AW,7,FALSE),VLOOKUP($G185,'KO Calc'!$H191:$AW191,7,FALSE)),
IF(AND($S$3=TRUE,$S$1=TRUE,$S$4=FALSE)=TRUE,IF(OR($Q$4=TRUE,$Q$5=TRUE,$S$2=TRUE),VLOOKUP($G185,'KO Calc'!$H:$AW,32,FALSE),VLOOKUP($G185,'KO Calc'!$H191:$AW191,32,FALSE)),IF(AND($S$3=TRUE,$S$4=FALSE),IF(OR($Q$4=TRUE,$Q$5=TRUE,$S$2=TRUE),VLOOKUP($G185,'KO Calc'!$H:$AW,22,FALSE),VLOOKUP($G185,'KO Calc'!$H191:$AW191,22,FALSE)),
IF(AND($S$3=TRUE,$S$1=TRUE,$S$4=TRUE)=TRUE,IF(OR($Q$4=TRUE,$Q$5=TRUE,$S$2=TRUE),VLOOKUP($G185,'KO Calc'!$H:$AW,37,FALSE),VLOOKUP($G185,'KO Calc'!$H191:$AW191,37,FALSE)),IF(AND($S$3=TRUE,$S$4=TRUE),IF(OR($Q$4=TRUE,$Q$5=TRUE,$S$2=TRUE),VLOOKUP($G185,'KO Calc'!$H:$AW,27,FALSE),VLOOKUP($G185,'KO Calc'!$H191:$AW191,27,FALSE)))))))))))))</f>
        <v>-</v>
      </c>
      <c r="I185" s="36" t="str">
        <f>IF(AND($Q$1=FALSE,$S$3=FALSE),"-",IF(AND($Q$1=TRUE,$S$3=TRUE),"-",IF(AND($Q$1=FALSE,$S$3=FALSE),"-",IF(AND($Q$1=TRUE,$S$1=TRUE,$S$4=FALSE)=TRUE,IF(OR($Q$4=TRUE,$Q$5=TRUE,$S$2=TRUE),VLOOKUP($G185,'KO Calc'!$H:$AW,13,FALSE),VLOOKUP($G185,'KO Calc'!$H191:$AW191,13,FALSE)),IF(AND($Q$1=TRUE,$S$4=FALSE),IF(OR($Q$4=TRUE,$Q$5=TRUE,$S$2=TRUE),VLOOKUP($G185,'KO Calc'!$H:$AW,3,FALSE),VLOOKUP($G185,'KO Calc'!$H191:$AW191,3,FALSE)),
IF(AND($Q$1=TRUE,$S$1=TRUE,$S$4=TRUE)=TRUE,IF(OR($Q$4=TRUE,$Q$5=TRUE,$S$2=TRUE),VLOOKUP($G185,'KO Calc'!$H:$AW,18,FALSE),VLOOKUP($G185,'KO Calc'!$H191:$AW191,18,FALSE)),IF(AND($Q$1=TRUE,$S$4=TRUE),IF(OR($Q$4=TRUE,$Q$5=TRUE,$S$2=TRUE),VLOOKUP($G185,'KO Calc'!$H:$AW,8,FALSE),VLOOKUP($G185,'KO Calc'!$H191:$AW191,8,FALSE)),
IF(AND($S$3=TRUE,$S$1=TRUE,$S$4=FALSE)=TRUE,IF(OR($Q$4=TRUE,$Q$5=TRUE,$S$2=TRUE),VLOOKUP($G185,'KO Calc'!$H:$AW,33,FALSE),VLOOKUP($G185,'KO Calc'!$H191:$AW191,33,FALSE)),IF(AND($S$3=TRUE,$S$4=FALSE),IF(OR($Q$4=TRUE,$Q$5=TRUE,$S$2=TRUE),VLOOKUP($G185,'KO Calc'!$H:$AW,23,FALSE),VLOOKUP($G185,'KO Calc'!$H191:$AW191,23,FALSE)),
IF(AND($S$3=TRUE,$S$1=TRUE,$S$4=TRUE)=TRUE,IF(OR($Q$4=TRUE,$Q$5=TRUE,$S$2=TRUE),VLOOKUP($G185,'KO Calc'!$H:$AW,38,FALSE),VLOOKUP($G185,'KO Calc'!$H191:$AW191,38,FALSE)),IF(AND($S$3=TRUE,$S$4=TRUE),IF(OR($Q$4=TRUE,$Q$5=TRUE,$S$2=TRUE),VLOOKUP($G185,'KO Calc'!$H:$AW,28,FALSE),VLOOKUP($G185,'KO Calc'!$H191:$AW191,28,FALSE)))))))))))))</f>
        <v>-</v>
      </c>
      <c r="J185" s="36" t="str">
        <f>IF(AND($Q$1=FALSE,$S$3=FALSE),"-",IF(AND($Q$1=TRUE,$S$3=TRUE),"-",IF(AND($Q$1=FALSE,$S$3=FALSE),"-",IF(AND($Q$1=TRUE,$S$1=TRUE,$S$4=FALSE)=TRUE,IF(OR($Q$4=TRUE,$Q$5=TRUE,$S$2=TRUE),VLOOKUP($G185,'KO Calc'!$H:$AW,FALSE),VLOOKUP($G185,'KO Calc'!$H191:$AW191,14,FALSE)),IF(AND($Q$1=TRUE,$S$4=FALSE),IF(OR($Q$4=TRUE,$Q$5=TRUE,$S$2=TRUE),VLOOKUP($G185,'KO Calc'!$H:$AW,4,FALSE),VLOOKUP($G185,'KO Calc'!$H191:$AW191,4,FALSE)),
IF(AND($Q$1=TRUE,$S$1=TRUE,$S$4=TRUE)=TRUE,IF(OR($Q$4=TRUE,$Q$5=TRUE,$S$2=TRUE),VLOOKUP($G185,'KO Calc'!$H:$AW,19,FALSE),VLOOKUP($G185,'KO Calc'!$H191:$AW191,19,FALSE)),IF(AND($Q$1=TRUE,$S$4=TRUE),IF(OR($Q$4=TRUE,$Q$5=TRUE,$S$2=TRUE),VLOOKUP($G185,'KO Calc'!$H:$AW,9,FALSE),VLOOKUP($G185,'KO Calc'!$H191:$AW191,9,FALSE)),
IF(AND($S$3=TRUE,$S$1=TRUE,$S$4=FALSE)=TRUE,IF(OR($Q$4=TRUE,$Q$5=TRUE,$S$2=TRUE),VLOOKUP($G185,'KO Calc'!$H:$AW,34,FALSE),VLOOKUP($G185,'KO Calc'!$H191:$AW191,34,FALSE)),IF(AND($S$3=TRUE,$S$4=FALSE),IF(OR($Q$4=TRUE,$Q$5=TRUE,$S$2=TRUE),VLOOKUP($G185,'KO Calc'!$H:$AW,24,FALSE),VLOOKUP($G185,'KO Calc'!$H191:$AW191,24,FALSE)),
IF(AND($S$3=TRUE,$S$1=TRUE,$S$4=TRUE)=TRUE,IF(OR($Q$4=TRUE,$Q$5=TRUE,$S$2=TRUE),VLOOKUP($G185,'KO Calc'!$H:$AW,39,FALSE),VLOOKUP($G185,'KO Calc'!$H191:$AW191,39,FALSE)),IF(AND($S$3=TRUE,$S$4=TRUE),IF(OR($Q$4=TRUE,$Q$5=TRUE,$S$2=TRUE),VLOOKUP($G185,'KO Calc'!$H:$AW,29,FALSE),VLOOKUP($G185,'KO Calc'!$H191:$AW191,29,FALSE)))))))))))))</f>
        <v>-</v>
      </c>
      <c r="K185" s="36" t="str">
        <f>IF(AND($Q$1=FALSE,$S$3=FALSE),"-",IF(AND($Q$1=TRUE,$S$3=TRUE),"-",IF(AND($Q$1=FALSE,$S$3=FALSE),"-",IF(AND($Q$1=TRUE,$S$1=TRUE,$S$4=FALSE)=TRUE,IF(OR($Q$4=TRUE,$Q$5=TRUE,$S$2=TRUE),VLOOKUP($G185,'KO Calc'!$H:$AW,15,FALSE),VLOOKUP($G185,'KO Calc'!$H191:$AW191,15,FALSE)),IF(AND($Q$1=TRUE,$S$4=FALSE),IF(OR($Q$4=TRUE,$Q$5=TRUE,$S$2=TRUE),VLOOKUP($G185,'KO Calc'!$H:$AW,5,FALSE),VLOOKUP($G185,'KO Calc'!$H191:$AW191,5,FALSE)),
IF(AND($Q$1=TRUE,$S$1=TRUE,$S$4=TRUE)=TRUE,IF(OR($Q$4=TRUE,$Q$5=TRUE,$S$2=TRUE),VLOOKUP($G185,'KO Calc'!$H:$AW,20,FALSE),VLOOKUP($G185,'KO Calc'!$H191:$AW191,20,FALSE)),IF(AND($Q$1=TRUE,$S$4=TRUE),IF(OR($Q$4=TRUE,$Q$5=TRUE,$S$2=TRUE),VLOOKUP($G185,'KO Calc'!$H:$AW,10,FALSE),VLOOKUP($G185,'KO Calc'!$H191:$AW191,10,FALSE)),
IF(AND($S$3=TRUE,$S$1=TRUE,$S$4=FALSE)=TRUE,IF(OR($Q$4=TRUE,$Q$5=TRUE,$S$2=TRUE),VLOOKUP($G185,'KO Calc'!$H:$AW,35,FALSE),VLOOKUP($G185,'KO Calc'!$H191:$AW191,35,FALSE)),IF(AND($S$3=TRUE,$S$4=FALSE),IF(OR($Q$4=TRUE,$Q$5=TRUE,$S$2=TRUE),VLOOKUP($G185,'KO Calc'!$H:$AW,25,FALSE),VLOOKUP($G185,'KO Calc'!$H191:$AW191,25,FALSE)),
IF(AND($S$3=TRUE,$S$1=TRUE,$S$4=TRUE)=TRUE,IF(OR($Q$4=TRUE,$Q$5=TRUE,$S$2=TRUE),VLOOKUP($G185,'KO Calc'!$H:$AW,40,FALSE),VLOOKUP($G185,'KO Calc'!$H191:$AW191,40,FALSE)),IF(AND($S$3=TRUE,$S$4=TRUE),IF(OR($Q$4=TRUE,$Q$5=TRUE,$S$2=TRUE),VLOOKUP($G185,'KO Calc'!$H:$AW,30,FALSE),VLOOKUP($G185,'KO Calc'!$H191:$AW191,30,FALSE)))))))))))))</f>
        <v>-</v>
      </c>
      <c r="L185" s="36" t="str">
        <f>IFERROR(IF(AND($Q$1=FALSE,$S$3=FALSE),"-",VLOOKUP($E185,'Status Thresholds'!$E:$AU,43,FALSE)),"-")</f>
        <v>-</v>
      </c>
      <c r="M185" s="36" t="str">
        <f>IFERROR(IF(AND($Q$1=FALSE,$S$3=FALSE),"-",VLOOKUP($E185,'Status Thresholds'!$E:$AU,41,FALSE)),"-")</f>
        <v>-</v>
      </c>
      <c r="N185" s="36" t="str">
        <f>IFERROR(IF(AND($Q$1=FALSE,$S$3=FALSE),"-",VLOOKUP($E185,'Status Thresholds'!$E:$AU,42,FALSE)),"-")</f>
        <v>-</v>
      </c>
    </row>
    <row r="186" spans="1:14" x14ac:dyDescent="0.25">
      <c r="B186" s="64" t="str">
        <f>VLOOKUP(C186,'Status Thresholds'!B:C,2,FALSE)</f>
        <v>MHGen</v>
      </c>
      <c r="C186" s="46" t="str">
        <f>IF(ISBLANK('KO Calc'!C182)=TRUE,"",'KO Calc'!C182)</f>
        <v>Chamelos</v>
      </c>
      <c r="D186" s="78" t="s">
        <v>213</v>
      </c>
      <c r="E186" s="62" t="str">
        <f t="shared" si="5"/>
        <v>ChamelosPitfall Trap</v>
      </c>
      <c r="F186" t="s">
        <v>12</v>
      </c>
      <c r="G186" s="36" t="str">
        <f t="shared" si="6"/>
        <v>ChamelosCrag 2</v>
      </c>
      <c r="H186" s="36" t="str">
        <f>IF(AND($Q$1=FALSE,$S$3=FALSE),"-",IF(AND($Q$1=TRUE,$S$3=TRUE),"-",IF(AND($Q$1=FALSE,$S$3=FALSE),"-",IF(AND($Q$1=TRUE,$S$1=TRUE,$S$4=FALSE)=TRUE,IF(OR($Q$4=TRUE,$Q$5=TRUE,$S$2=TRUE),VLOOKUP($G186,'KO Calc'!$H:$AW,12,FALSE),VLOOKUP($G186,'KO Calc'!$H192:$AW192,12,FALSE)),IF(AND($Q$1=TRUE,$S$4=FALSE),IF(OR($Q$4=TRUE,$Q$5=TRUE,$S$2=TRUE),VLOOKUP($G186,'KO Calc'!$H:$AW,2,FALSE),VLOOKUP($G186,'KO Calc'!$H192:$AW192,2,FALSE)),
IF(AND($Q$1=TRUE,$S$1=TRUE,$S$4=TRUE)=TRUE,IF(OR($Q$4=TRUE,$Q$5=TRUE,$S$2=TRUE),VLOOKUP($G186,'KO Calc'!$H:$AW,17,FALSE),VLOOKUP($G186,'KO Calc'!$H192:$AW192,17,FALSE)),IF(AND($Q$1=TRUE,$S$4=TRUE),IF(OR($Q$4=TRUE,$Q$5=TRUE,$S$2=TRUE),VLOOKUP($G186,'KO Calc'!$H:$AW,7,FALSE),VLOOKUP($G186,'KO Calc'!$H192:$AW192,7,FALSE)),
IF(AND($S$3=TRUE,$S$1=TRUE,$S$4=FALSE)=TRUE,IF(OR($Q$4=TRUE,$Q$5=TRUE,$S$2=TRUE),VLOOKUP($G186,'KO Calc'!$H:$AW,32,FALSE),VLOOKUP($G186,'KO Calc'!$H192:$AW192,32,FALSE)),IF(AND($S$3=TRUE,$S$4=FALSE),IF(OR($Q$4=TRUE,$Q$5=TRUE,$S$2=TRUE),VLOOKUP($G186,'KO Calc'!$H:$AW,22,FALSE),VLOOKUP($G186,'KO Calc'!$H192:$AW192,22,FALSE)),
IF(AND($S$3=TRUE,$S$1=TRUE,$S$4=TRUE)=TRUE,IF(OR($Q$4=TRUE,$Q$5=TRUE,$S$2=TRUE),VLOOKUP($G186,'KO Calc'!$H:$AW,37,FALSE),VLOOKUP($G186,'KO Calc'!$H192:$AW192,37,FALSE)),IF(AND($S$3=TRUE,$S$4=TRUE),IF(OR($Q$4=TRUE,$Q$5=TRUE,$S$2=TRUE),VLOOKUP($G186,'KO Calc'!$H:$AW,27,FALSE),VLOOKUP($G186,'KO Calc'!$H192:$AW192,27,FALSE)))))))))))))</f>
        <v>-</v>
      </c>
      <c r="I186" s="36" t="str">
        <f>IF(AND($Q$1=FALSE,$S$3=FALSE),"-",IF(AND($Q$1=TRUE,$S$3=TRUE),"-",IF(AND($Q$1=FALSE,$S$3=FALSE),"-",IF(AND($Q$1=TRUE,$S$1=TRUE,$S$4=FALSE)=TRUE,IF(OR($Q$4=TRUE,$Q$5=TRUE,$S$2=TRUE),VLOOKUP($G186,'KO Calc'!$H:$AW,13,FALSE),VLOOKUP($G186,'KO Calc'!$H192:$AW192,13,FALSE)),IF(AND($Q$1=TRUE,$S$4=FALSE),IF(OR($Q$4=TRUE,$Q$5=TRUE,$S$2=TRUE),VLOOKUP($G186,'KO Calc'!$H:$AW,3,FALSE),VLOOKUP($G186,'KO Calc'!$H192:$AW192,3,FALSE)),
IF(AND($Q$1=TRUE,$S$1=TRUE,$S$4=TRUE)=TRUE,IF(OR($Q$4=TRUE,$Q$5=TRUE,$S$2=TRUE),VLOOKUP($G186,'KO Calc'!$H:$AW,18,FALSE),VLOOKUP($G186,'KO Calc'!$H192:$AW192,18,FALSE)),IF(AND($Q$1=TRUE,$S$4=TRUE),IF(OR($Q$4=TRUE,$Q$5=TRUE,$S$2=TRUE),VLOOKUP($G186,'KO Calc'!$H:$AW,8,FALSE),VLOOKUP($G186,'KO Calc'!$H192:$AW192,8,FALSE)),
IF(AND($S$3=TRUE,$S$1=TRUE,$S$4=FALSE)=TRUE,IF(OR($Q$4=TRUE,$Q$5=TRUE,$S$2=TRUE),VLOOKUP($G186,'KO Calc'!$H:$AW,33,FALSE),VLOOKUP($G186,'KO Calc'!$H192:$AW192,33,FALSE)),IF(AND($S$3=TRUE,$S$4=FALSE),IF(OR($Q$4=TRUE,$Q$5=TRUE,$S$2=TRUE),VLOOKUP($G186,'KO Calc'!$H:$AW,23,FALSE),VLOOKUP($G186,'KO Calc'!$H192:$AW192,23,FALSE)),
IF(AND($S$3=TRUE,$S$1=TRUE,$S$4=TRUE)=TRUE,IF(OR($Q$4=TRUE,$Q$5=TRUE,$S$2=TRUE),VLOOKUP($G186,'KO Calc'!$H:$AW,38,FALSE),VLOOKUP($G186,'KO Calc'!$H192:$AW192,38,FALSE)),IF(AND($S$3=TRUE,$S$4=TRUE),IF(OR($Q$4=TRUE,$Q$5=TRUE,$S$2=TRUE),VLOOKUP($G186,'KO Calc'!$H:$AW,28,FALSE),VLOOKUP($G186,'KO Calc'!$H192:$AW192,28,FALSE)))))))))))))</f>
        <v>-</v>
      </c>
      <c r="J186" s="36" t="str">
        <f>IF(AND($Q$1=FALSE,$S$3=FALSE),"-",IF(AND($Q$1=TRUE,$S$3=TRUE),"-",IF(AND($Q$1=FALSE,$S$3=FALSE),"-",IF(AND($Q$1=TRUE,$S$1=TRUE,$S$4=FALSE)=TRUE,IF(OR($Q$4=TRUE,$Q$5=TRUE,$S$2=TRUE),VLOOKUP($G186,'KO Calc'!$H:$AW,FALSE),VLOOKUP($G186,'KO Calc'!$H192:$AW192,14,FALSE)),IF(AND($Q$1=TRUE,$S$4=FALSE),IF(OR($Q$4=TRUE,$Q$5=TRUE,$S$2=TRUE),VLOOKUP($G186,'KO Calc'!$H:$AW,4,FALSE),VLOOKUP($G186,'KO Calc'!$H192:$AW192,4,FALSE)),
IF(AND($Q$1=TRUE,$S$1=TRUE,$S$4=TRUE)=TRUE,IF(OR($Q$4=TRUE,$Q$5=TRUE,$S$2=TRUE),VLOOKUP($G186,'KO Calc'!$H:$AW,19,FALSE),VLOOKUP($G186,'KO Calc'!$H192:$AW192,19,FALSE)),IF(AND($Q$1=TRUE,$S$4=TRUE),IF(OR($Q$4=TRUE,$Q$5=TRUE,$S$2=TRUE),VLOOKUP($G186,'KO Calc'!$H:$AW,9,FALSE),VLOOKUP($G186,'KO Calc'!$H192:$AW192,9,FALSE)),
IF(AND($S$3=TRUE,$S$1=TRUE,$S$4=FALSE)=TRUE,IF(OR($Q$4=TRUE,$Q$5=TRUE,$S$2=TRUE),VLOOKUP($G186,'KO Calc'!$H:$AW,34,FALSE),VLOOKUP($G186,'KO Calc'!$H192:$AW192,34,FALSE)),IF(AND($S$3=TRUE,$S$4=FALSE),IF(OR($Q$4=TRUE,$Q$5=TRUE,$S$2=TRUE),VLOOKUP($G186,'KO Calc'!$H:$AW,24,FALSE),VLOOKUP($G186,'KO Calc'!$H192:$AW192,24,FALSE)),
IF(AND($S$3=TRUE,$S$1=TRUE,$S$4=TRUE)=TRUE,IF(OR($Q$4=TRUE,$Q$5=TRUE,$S$2=TRUE),VLOOKUP($G186,'KO Calc'!$H:$AW,39,FALSE),VLOOKUP($G186,'KO Calc'!$H192:$AW192,39,FALSE)),IF(AND($S$3=TRUE,$S$4=TRUE),IF(OR($Q$4=TRUE,$Q$5=TRUE,$S$2=TRUE),VLOOKUP($G186,'KO Calc'!$H:$AW,29,FALSE),VLOOKUP($G186,'KO Calc'!$H192:$AW192,29,FALSE)))))))))))))</f>
        <v>-</v>
      </c>
      <c r="K186" s="36" t="str">
        <f>IF(AND($Q$1=FALSE,$S$3=FALSE),"-",IF(AND($Q$1=TRUE,$S$3=TRUE),"-",IF(AND($Q$1=FALSE,$S$3=FALSE),"-",IF(AND($Q$1=TRUE,$S$1=TRUE,$S$4=FALSE)=TRUE,IF(OR($Q$4=TRUE,$Q$5=TRUE,$S$2=TRUE),VLOOKUP($G186,'KO Calc'!$H:$AW,15,FALSE),VLOOKUP($G186,'KO Calc'!$H192:$AW192,15,FALSE)),IF(AND($Q$1=TRUE,$S$4=FALSE),IF(OR($Q$4=TRUE,$Q$5=TRUE,$S$2=TRUE),VLOOKUP($G186,'KO Calc'!$H:$AW,5,FALSE),VLOOKUP($G186,'KO Calc'!$H192:$AW192,5,FALSE)),
IF(AND($Q$1=TRUE,$S$1=TRUE,$S$4=TRUE)=TRUE,IF(OR($Q$4=TRUE,$Q$5=TRUE,$S$2=TRUE),VLOOKUP($G186,'KO Calc'!$H:$AW,20,FALSE),VLOOKUP($G186,'KO Calc'!$H192:$AW192,20,FALSE)),IF(AND($Q$1=TRUE,$S$4=TRUE),IF(OR($Q$4=TRUE,$Q$5=TRUE,$S$2=TRUE),VLOOKUP($G186,'KO Calc'!$H:$AW,10,FALSE),VLOOKUP($G186,'KO Calc'!$H192:$AW192,10,FALSE)),
IF(AND($S$3=TRUE,$S$1=TRUE,$S$4=FALSE)=TRUE,IF(OR($Q$4=TRUE,$Q$5=TRUE,$S$2=TRUE),VLOOKUP($G186,'KO Calc'!$H:$AW,35,FALSE),VLOOKUP($G186,'KO Calc'!$H192:$AW192,35,FALSE)),IF(AND($S$3=TRUE,$S$4=FALSE),IF(OR($Q$4=TRUE,$Q$5=TRUE,$S$2=TRUE),VLOOKUP($G186,'KO Calc'!$H:$AW,25,FALSE),VLOOKUP($G186,'KO Calc'!$H192:$AW192,25,FALSE)),
IF(AND($S$3=TRUE,$S$1=TRUE,$S$4=TRUE)=TRUE,IF(OR($Q$4=TRUE,$Q$5=TRUE,$S$2=TRUE),VLOOKUP($G186,'KO Calc'!$H:$AW,40,FALSE),VLOOKUP($G186,'KO Calc'!$H192:$AW192,40,FALSE)),IF(AND($S$3=TRUE,$S$4=TRUE),IF(OR($Q$4=TRUE,$Q$5=TRUE,$S$2=TRUE),VLOOKUP($G186,'KO Calc'!$H:$AW,30,FALSE),VLOOKUP($G186,'KO Calc'!$H192:$AW192,30,FALSE)))))))))))))</f>
        <v>-</v>
      </c>
      <c r="L186" s="36" t="str">
        <f>IFERROR(IF(AND($Q$1=FALSE,$S$3=FALSE),"-",VLOOKUP($E186,'Status Thresholds'!$E:$AU,43,FALSE)),"-")</f>
        <v>-</v>
      </c>
      <c r="M186" s="36" t="str">
        <f>IFERROR(IF(AND($Q$1=FALSE,$S$3=FALSE),"-",VLOOKUP($E186,'Status Thresholds'!$E:$AU,41,FALSE)),"-")</f>
        <v>-</v>
      </c>
      <c r="N186" s="36" t="str">
        <f>IFERROR(IF(AND($Q$1=FALSE,$S$3=FALSE),"-",VLOOKUP($E186,'Status Thresholds'!$E:$AU,42,FALSE)),"-")</f>
        <v>-</v>
      </c>
    </row>
    <row r="187" spans="1:14" x14ac:dyDescent="0.25">
      <c r="B187" s="64" t="str">
        <f>VLOOKUP(C187,'Status Thresholds'!B:C,2,FALSE)</f>
        <v>MHGen</v>
      </c>
      <c r="C187" s="46" t="str">
        <f>IF(ISBLANK('KO Calc'!C183)=TRUE,"",'KO Calc'!C183)</f>
        <v>Chamelos</v>
      </c>
      <c r="D187" s="78"/>
      <c r="E187" s="62" t="str">
        <f t="shared" si="5"/>
        <v>Chamelos</v>
      </c>
      <c r="F187" t="s">
        <v>11</v>
      </c>
      <c r="G187" s="36" t="str">
        <f t="shared" si="6"/>
        <v>ChamelosCrag 1</v>
      </c>
      <c r="H187" s="36" t="str">
        <f>IF(AND($Q$1=FALSE,$S$3=FALSE),"-",IF(AND($Q$1=TRUE,$S$3=TRUE),"-",IF(AND($Q$1=FALSE,$S$3=FALSE),"-",IF(AND($Q$1=TRUE,$S$1=TRUE,$S$4=FALSE)=TRUE,IF(OR($Q$4=TRUE,$Q$5=TRUE,$S$2=TRUE),VLOOKUP($G187,'KO Calc'!$H:$AW,12,FALSE),VLOOKUP($G187,'KO Calc'!$H193:$AW193,12,FALSE)),IF(AND($Q$1=TRUE,$S$4=FALSE),IF(OR($Q$4=TRUE,$Q$5=TRUE,$S$2=TRUE),VLOOKUP($G187,'KO Calc'!$H:$AW,2,FALSE),VLOOKUP($G187,'KO Calc'!$H193:$AW193,2,FALSE)),
IF(AND($Q$1=TRUE,$S$1=TRUE,$S$4=TRUE)=TRUE,IF(OR($Q$4=TRUE,$Q$5=TRUE,$S$2=TRUE),VLOOKUP($G187,'KO Calc'!$H:$AW,17,FALSE),VLOOKUP($G187,'KO Calc'!$H193:$AW193,17,FALSE)),IF(AND($Q$1=TRUE,$S$4=TRUE),IF(OR($Q$4=TRUE,$Q$5=TRUE,$S$2=TRUE),VLOOKUP($G187,'KO Calc'!$H:$AW,7,FALSE),VLOOKUP($G187,'KO Calc'!$H193:$AW193,7,FALSE)),
IF(AND($S$3=TRUE,$S$1=TRUE,$S$4=FALSE)=TRUE,IF(OR($Q$4=TRUE,$Q$5=TRUE,$S$2=TRUE),VLOOKUP($G187,'KO Calc'!$H:$AW,32,FALSE),VLOOKUP($G187,'KO Calc'!$H193:$AW193,32,FALSE)),IF(AND($S$3=TRUE,$S$4=FALSE),IF(OR($Q$4=TRUE,$Q$5=TRUE,$S$2=TRUE),VLOOKUP($G187,'KO Calc'!$H:$AW,22,FALSE),VLOOKUP($G187,'KO Calc'!$H193:$AW193,22,FALSE)),
IF(AND($S$3=TRUE,$S$1=TRUE,$S$4=TRUE)=TRUE,IF(OR($Q$4=TRUE,$Q$5=TRUE,$S$2=TRUE),VLOOKUP($G187,'KO Calc'!$H:$AW,37,FALSE),VLOOKUP($G187,'KO Calc'!$H193:$AW193,37,FALSE)),IF(AND($S$3=TRUE,$S$4=TRUE),IF(OR($Q$4=TRUE,$Q$5=TRUE,$S$2=TRUE),VLOOKUP($G187,'KO Calc'!$H:$AW,27,FALSE),VLOOKUP($G187,'KO Calc'!$H193:$AW193,27,FALSE)))))))))))))</f>
        <v>-</v>
      </c>
      <c r="I187" s="36" t="str">
        <f>IF(AND($Q$1=FALSE,$S$3=FALSE),"-",IF(AND($Q$1=TRUE,$S$3=TRUE),"-",IF(AND($Q$1=FALSE,$S$3=FALSE),"-",IF(AND($Q$1=TRUE,$S$1=TRUE,$S$4=FALSE)=TRUE,IF(OR($Q$4=TRUE,$Q$5=TRUE,$S$2=TRUE),VLOOKUP($G187,'KO Calc'!$H:$AW,13,FALSE),VLOOKUP($G187,'KO Calc'!$H193:$AW193,13,FALSE)),IF(AND($Q$1=TRUE,$S$4=FALSE),IF(OR($Q$4=TRUE,$Q$5=TRUE,$S$2=TRUE),VLOOKUP($G187,'KO Calc'!$H:$AW,3,FALSE),VLOOKUP($G187,'KO Calc'!$H193:$AW193,3,FALSE)),
IF(AND($Q$1=TRUE,$S$1=TRUE,$S$4=TRUE)=TRUE,IF(OR($Q$4=TRUE,$Q$5=TRUE,$S$2=TRUE),VLOOKUP($G187,'KO Calc'!$H:$AW,18,FALSE),VLOOKUP($G187,'KO Calc'!$H193:$AW193,18,FALSE)),IF(AND($Q$1=TRUE,$S$4=TRUE),IF(OR($Q$4=TRUE,$Q$5=TRUE,$S$2=TRUE),VLOOKUP($G187,'KO Calc'!$H:$AW,8,FALSE),VLOOKUP($G187,'KO Calc'!$H193:$AW193,8,FALSE)),
IF(AND($S$3=TRUE,$S$1=TRUE,$S$4=FALSE)=TRUE,IF(OR($Q$4=TRUE,$Q$5=TRUE,$S$2=TRUE),VLOOKUP($G187,'KO Calc'!$H:$AW,33,FALSE),VLOOKUP($G187,'KO Calc'!$H193:$AW193,33,FALSE)),IF(AND($S$3=TRUE,$S$4=FALSE),IF(OR($Q$4=TRUE,$Q$5=TRUE,$S$2=TRUE),VLOOKUP($G187,'KO Calc'!$H:$AW,23,FALSE),VLOOKUP($G187,'KO Calc'!$H193:$AW193,23,FALSE)),
IF(AND($S$3=TRUE,$S$1=TRUE,$S$4=TRUE)=TRUE,IF(OR($Q$4=TRUE,$Q$5=TRUE,$S$2=TRUE),VLOOKUP($G187,'KO Calc'!$H:$AW,38,FALSE),VLOOKUP($G187,'KO Calc'!$H193:$AW193,38,FALSE)),IF(AND($S$3=TRUE,$S$4=TRUE),IF(OR($Q$4=TRUE,$Q$5=TRUE,$S$2=TRUE),VLOOKUP($G187,'KO Calc'!$H:$AW,28,FALSE),VLOOKUP($G187,'KO Calc'!$H193:$AW193,28,FALSE)))))))))))))</f>
        <v>-</v>
      </c>
      <c r="J187" s="36" t="str">
        <f>IF(AND($Q$1=FALSE,$S$3=FALSE),"-",IF(AND($Q$1=TRUE,$S$3=TRUE),"-",IF(AND($Q$1=FALSE,$S$3=FALSE),"-",IF(AND($Q$1=TRUE,$S$1=TRUE,$S$4=FALSE)=TRUE,IF(OR($Q$4=TRUE,$Q$5=TRUE,$S$2=TRUE),VLOOKUP($G187,'KO Calc'!$H:$AW,FALSE),VLOOKUP($G187,'KO Calc'!$H193:$AW193,14,FALSE)),IF(AND($Q$1=TRUE,$S$4=FALSE),IF(OR($Q$4=TRUE,$Q$5=TRUE,$S$2=TRUE),VLOOKUP($G187,'KO Calc'!$H:$AW,4,FALSE),VLOOKUP($G187,'KO Calc'!$H193:$AW193,4,FALSE)),
IF(AND($Q$1=TRUE,$S$1=TRUE,$S$4=TRUE)=TRUE,IF(OR($Q$4=TRUE,$Q$5=TRUE,$S$2=TRUE),VLOOKUP($G187,'KO Calc'!$H:$AW,19,FALSE),VLOOKUP($G187,'KO Calc'!$H193:$AW193,19,FALSE)),IF(AND($Q$1=TRUE,$S$4=TRUE),IF(OR($Q$4=TRUE,$Q$5=TRUE,$S$2=TRUE),VLOOKUP($G187,'KO Calc'!$H:$AW,9,FALSE),VLOOKUP($G187,'KO Calc'!$H193:$AW193,9,FALSE)),
IF(AND($S$3=TRUE,$S$1=TRUE,$S$4=FALSE)=TRUE,IF(OR($Q$4=TRUE,$Q$5=TRUE,$S$2=TRUE),VLOOKUP($G187,'KO Calc'!$H:$AW,34,FALSE),VLOOKUP($G187,'KO Calc'!$H193:$AW193,34,FALSE)),IF(AND($S$3=TRUE,$S$4=FALSE),IF(OR($Q$4=TRUE,$Q$5=TRUE,$S$2=TRUE),VLOOKUP($G187,'KO Calc'!$H:$AW,24,FALSE),VLOOKUP($G187,'KO Calc'!$H193:$AW193,24,FALSE)),
IF(AND($S$3=TRUE,$S$1=TRUE,$S$4=TRUE)=TRUE,IF(OR($Q$4=TRUE,$Q$5=TRUE,$S$2=TRUE),VLOOKUP($G187,'KO Calc'!$H:$AW,39,FALSE),VLOOKUP($G187,'KO Calc'!$H193:$AW193,39,FALSE)),IF(AND($S$3=TRUE,$S$4=TRUE),IF(OR($Q$4=TRUE,$Q$5=TRUE,$S$2=TRUE),VLOOKUP($G187,'KO Calc'!$H:$AW,29,FALSE),VLOOKUP($G187,'KO Calc'!$H193:$AW193,29,FALSE)))))))))))))</f>
        <v>-</v>
      </c>
      <c r="K187" s="36" t="str">
        <f>IF(AND($Q$1=FALSE,$S$3=FALSE),"-",IF(AND($Q$1=TRUE,$S$3=TRUE),"-",IF(AND($Q$1=FALSE,$S$3=FALSE),"-",IF(AND($Q$1=TRUE,$S$1=TRUE,$S$4=FALSE)=TRUE,IF(OR($Q$4=TRUE,$Q$5=TRUE,$S$2=TRUE),VLOOKUP($G187,'KO Calc'!$H:$AW,15,FALSE),VLOOKUP($G187,'KO Calc'!$H193:$AW193,15,FALSE)),IF(AND($Q$1=TRUE,$S$4=FALSE),IF(OR($Q$4=TRUE,$Q$5=TRUE,$S$2=TRUE),VLOOKUP($G187,'KO Calc'!$H:$AW,5,FALSE),VLOOKUP($G187,'KO Calc'!$H193:$AW193,5,FALSE)),
IF(AND($Q$1=TRUE,$S$1=TRUE,$S$4=TRUE)=TRUE,IF(OR($Q$4=TRUE,$Q$5=TRUE,$S$2=TRUE),VLOOKUP($G187,'KO Calc'!$H:$AW,20,FALSE),VLOOKUP($G187,'KO Calc'!$H193:$AW193,20,FALSE)),IF(AND($Q$1=TRUE,$S$4=TRUE),IF(OR($Q$4=TRUE,$Q$5=TRUE,$S$2=TRUE),VLOOKUP($G187,'KO Calc'!$H:$AW,10,FALSE),VLOOKUP($G187,'KO Calc'!$H193:$AW193,10,FALSE)),
IF(AND($S$3=TRUE,$S$1=TRUE,$S$4=FALSE)=TRUE,IF(OR($Q$4=TRUE,$Q$5=TRUE,$S$2=TRUE),VLOOKUP($G187,'KO Calc'!$H:$AW,35,FALSE),VLOOKUP($G187,'KO Calc'!$H193:$AW193,35,FALSE)),IF(AND($S$3=TRUE,$S$4=FALSE),IF(OR($Q$4=TRUE,$Q$5=TRUE,$S$2=TRUE),VLOOKUP($G187,'KO Calc'!$H:$AW,25,FALSE),VLOOKUP($G187,'KO Calc'!$H193:$AW193,25,FALSE)),
IF(AND($S$3=TRUE,$S$1=TRUE,$S$4=TRUE)=TRUE,IF(OR($Q$4=TRUE,$Q$5=TRUE,$S$2=TRUE),VLOOKUP($G187,'KO Calc'!$H:$AW,40,FALSE),VLOOKUP($G187,'KO Calc'!$H193:$AW193,40,FALSE)),IF(AND($S$3=TRUE,$S$4=TRUE),IF(OR($Q$4=TRUE,$Q$5=TRUE,$S$2=TRUE),VLOOKUP($G187,'KO Calc'!$H:$AW,30,FALSE),VLOOKUP($G187,'KO Calc'!$H193:$AW193,30,FALSE)))))))))))))</f>
        <v>-</v>
      </c>
      <c r="L187" s="36" t="str">
        <f>IFERROR(VLOOKUP($E187,'Status Thresholds'!$E:$AS,41,FALSE),"-")</f>
        <v>-</v>
      </c>
    </row>
    <row r="188" spans="1:14" x14ac:dyDescent="0.25">
      <c r="B188" s="64" t="str">
        <f>VLOOKUP(C188,'Status Thresholds'!B:C,2,FALSE)</f>
        <v>MHGen</v>
      </c>
      <c r="C188" s="46" t="str">
        <f>IF(ISBLANK('KO Calc'!C184)=TRUE,"",'KO Calc'!C184)</f>
        <v>Chamelos</v>
      </c>
      <c r="D188" s="78"/>
      <c r="E188" s="62"/>
      <c r="G188" s="36"/>
      <c r="L188" s="36" t="str">
        <f>IFERROR(VLOOKUP($E188,'Status Thresholds'!$E:$AS,41,FALSE),"-")</f>
        <v>-</v>
      </c>
    </row>
    <row r="189" spans="1:14" s="36" customFormat="1" x14ac:dyDescent="0.25">
      <c r="B189" s="64" t="str">
        <f>VLOOKUP(C189,'Status Thresholds'!B:C,2,FALSE)</f>
        <v>MHGU</v>
      </c>
      <c r="C189" s="46" t="str">
        <f>IF(ISBLANK('KO Calc'!C185)=TRUE,"",'KO Calc'!C185)</f>
        <v>Congalala</v>
      </c>
      <c r="D189" s="65" t="s">
        <v>0</v>
      </c>
      <c r="E189" s="62" t="str">
        <f t="shared" si="5"/>
        <v>CongalalaPara</v>
      </c>
      <c r="F189" s="36" t="s">
        <v>2</v>
      </c>
      <c r="G189" s="36" t="str">
        <f t="shared" si="6"/>
        <v>CongalalaPara lvl 2</v>
      </c>
      <c r="H189" s="36" t="str">
        <f>IFERROR(ROUNDUP(IF(AND($Q$1=FALSE,$S$3=FALSE),"-",IF(AND($Q$1=TRUE,$S$3=TRUE),"-",IF(AND($Q$1=TRUE,$S$1=TRUE,$S$4=FALSE),VLOOKUP($E189,'Status Thresholds'!$E:$AS,12,FALSE),IF(AND($Q$1=TRUE,$S$4=FALSE),VLOOKUP($E189,'Status Thresholds'!$E:$AS,2,FALSE), IF(AND($Q$1=TRUE,$S$1=TRUE,$S$4=TRUE),VLOOKUP($E189,'Status Thresholds'!$E:$AS,17,FALSE),IF(AND($Q$1=TRUE,$S$4=TRUE),VLOOKUP($E189,'Status Thresholds'!$E:$AS,7,FALSE),IF(AND($S$3=TRUE,$S$1=TRUE,$S$4=FALSE),VLOOKUP($E189,'Status Thresholds'!$E:$AS,32,FALSE),IF(AND($S$3=TRUE,$S$4=FALSE),VLOOKUP($E189,'Status Thresholds'!$E:$AS,22,FALSE),IF(AND($S$3=TRUE,$S$1=TRUE,$S$4=TRUE),VLOOKUP($E189,'Status Thresholds'!$E:$AS,37,FALSE),IF(AND($S$3=TRUE,$S$4=TRUE),VLOOKUP($E189,'Status Thresholds'!$E:$AS,27,FALSE),""))))))))/IF(OR($Q$3=TRUE,AND($Q$2=TRUE,$Q$7=TRUE),AND($Q$3=TRUE,$Q$7=TRUE))=TRUE,'Shots and Status'!$F$5,IF((OR($Q$2,$Q$7)=TRUE),'Shots and Status'!$D$5,'Shots and Status'!$C$5)))),0),"-")</f>
        <v>-</v>
      </c>
      <c r="I189" s="36" t="str">
        <f>IFERROR(ROUNDUP(IF(AND($Q$1=FALSE,$S$3=FALSE),"-",IF(AND($Q$1=TRUE,$S$3=TRUE),"-",IF(AND($Q$1=TRUE,$S$1=TRUE,$S$4=FALSE),VLOOKUP($E189,'Status Thresholds'!$E:$AS,13,FALSE),IF(AND($Q$1=TRUE,$S$4=FALSE),VLOOKUP($E189,'Status Thresholds'!$E:$AS,3,FALSE), IF(AND($Q$1=TRUE,$S$1=TRUE,$S$4=TRUE),VLOOKUP($E189,'Status Thresholds'!$E:$AS,18,FALSE),IF(AND($Q$1=TRUE,$S$4=TRUE),VLOOKUP($E189,'Status Thresholds'!$E:$AS,8,FALSE),IF(AND($S$3=TRUE,$S$1=TRUE,$S$4=FALSE),VLOOKUP($E189,'Status Thresholds'!$E:$AS,33,FALSE),IF(AND($S$3=TRUE,$S$4=FALSE),VLOOKUP($E189,'Status Thresholds'!$E:$AS,23,FALSE),IF(AND($S$3=TRUE,$S$1=TRUE,$S$4=TRUE),VLOOKUP($E189,'Status Thresholds'!$E:$AS,38,FALSE),IF(AND($S$3=TRUE,$S$4=TRUE),VLOOKUP($E189,'Status Thresholds'!$E:$AS,28,FALSE),""))))))))/IF(OR($Q$3=TRUE,AND($Q$2=TRUE,$Q$7=TRUE),AND($Q$3=TRUE,$Q$7=TRUE))=TRUE,'Shots and Status'!$F$5,IF((OR($Q$2,$Q$7)=TRUE),'Shots and Status'!$D$5,'Shots and Status'!$C$5)))),0),"-")</f>
        <v>-</v>
      </c>
      <c r="J189" s="36" t="str">
        <f>IFERROR(ROUNDUP(IF(AND($Q$1=FALSE,$S$3=FALSE),"-",IF(AND($Q$1=TRUE,$S$3=TRUE),"-",IF(AND($Q$1=TRUE,$S$1=TRUE,$S$4=FALSE),VLOOKUP($E189,'Status Thresholds'!$E:$AS,14,FALSE),IF(AND($Q$1=TRUE,$S$4=FALSE),VLOOKUP($E189,'Status Thresholds'!$E:$AS,4,FALSE), IF(AND($Q$1=TRUE,$S$1=TRUE,$S$4=TRUE),VLOOKUP($E189,'Status Thresholds'!$E:$AS,19,FALSE),IF(AND($Q$1=TRUE,$S$4=TRUE),VLOOKUP($E189,'Status Thresholds'!$E:$AS,9,FALSE),IF(AND($S$3=TRUE,$S$1=TRUE,$S$4=FALSE),VLOOKUP($E189,'Status Thresholds'!$E:$AS,34,FALSE),IF(AND($S$3=TRUE,$S$4=FALSE),VLOOKUP($E189,'Status Thresholds'!$E:$AS,24,FALSE),IF(AND($S$3=TRUE,$S$1=TRUE,$S$4=TRUE),VLOOKUP($E189,'Status Thresholds'!$E:$AS,39,FALSE),IF(AND($S$3=TRUE,$S$4=TRUE),VLOOKUP($E189,'Status Thresholds'!$E:$AS,29,FALSE),""))))))))/IF(OR($Q$3=TRUE,AND($Q$2=TRUE,$Q$7=TRUE),AND($Q$3=TRUE,$Q$7=TRUE))=TRUE,'Shots and Status'!$F$5,IF((OR($Q$2,$Q$7)=TRUE),'Shots and Status'!$D$5,'Shots and Status'!$C$5)))),0),"-")</f>
        <v>-</v>
      </c>
      <c r="K189" s="36" t="str">
        <f>IFERROR(ROUNDUP(IF(AND($Q$1=FALSE,$S$3=FALSE),"-",IF(AND($Q$1=TRUE,$S$3=TRUE),"-",IF(AND($Q$1=TRUE,$S$1=TRUE,$S$4=FALSE),VLOOKUP($E189,'Status Thresholds'!$E:$AS,15,FALSE),IF(AND($Q$1=TRUE,$S$4=FALSE),VLOOKUP($E189,'Status Thresholds'!$E:$AS,5,FALSE), IF(AND($Q$1=TRUE,$S$1=TRUE,$S$4=TRUE),VLOOKUP($E189,'Status Thresholds'!$E:$AS,20,FALSE),IF(AND($Q$1=TRUE,$S$4=TRUE),VLOOKUP($E189,'Status Thresholds'!$E:$AS,10,FALSE),IF(AND($S$3=TRUE,$S$1=TRUE,$S$4=FALSE),VLOOKUP($E189,'Status Thresholds'!$E:$AS,35,FALSE),IF(AND($S$3=TRUE,$S$4=FALSE),VLOOKUP($E189,'Status Thresholds'!$E:$AS,25,FALSE),IF(AND($S$3=TRUE,$S$1=TRUE,$S$4=TRUE),VLOOKUP($E189,'Status Thresholds'!$E:$AS,40,FALSE),IF(AND($S$3=TRUE,$S$4=TRUE),VLOOKUP($E189,'Status Thresholds'!$E:$AS,30,FALSE),""))))))))/IF(OR($Q$3=TRUE,AND($Q$2=TRUE,$Q$7=TRUE),AND($Q$3=TRUE,$Q$7=TRUE))=TRUE,'Shots and Status'!$F$5,IF((OR($Q$2,$Q$7)=TRUE),'Shots and Status'!$D$5,'Shots and Status'!$C$5)))),0),"-")</f>
        <v>-</v>
      </c>
      <c r="L189" s="36" t="str">
        <f>IFERROR(IF(AND($Q$1=FALSE,$S$3=FALSE),"-",VLOOKUP($E189,'Status Thresholds'!$E:$AU,41,FALSE)),"-")</f>
        <v>-</v>
      </c>
      <c r="M189" s="36" t="str">
        <f>IFERROR(IF(AND($Q$1=FALSE,$S$3=FALSE),"-",VLOOKUP($E189,'Status Thresholds'!$E:$AU,42,FALSE)),"-")</f>
        <v>-</v>
      </c>
      <c r="N189" s="36" t="str">
        <f>IFERROR(IF(AND($Q$1=FALSE,$S$3=FALSE),"-",VLOOKUP($E189,'Status Thresholds'!$E:$AU,43,FALSE)),"-")</f>
        <v>-</v>
      </c>
    </row>
    <row r="190" spans="1:14" s="59" customFormat="1" x14ac:dyDescent="0.25">
      <c r="A190" s="46"/>
      <c r="B190" s="64" t="str">
        <f>VLOOKUP(C190,'Status Thresholds'!B:C,2,FALSE)</f>
        <v>MHGU</v>
      </c>
      <c r="C190" s="46" t="str">
        <f>IF(ISBLANK('KO Calc'!C186)=TRUE,"",'KO Calc'!C186)</f>
        <v>Congalala</v>
      </c>
      <c r="D190" s="60" t="s">
        <v>32</v>
      </c>
      <c r="E190" s="62" t="str">
        <f t="shared" si="5"/>
        <v>CongalalaSleep</v>
      </c>
      <c r="F190" s="59" t="s">
        <v>5</v>
      </c>
      <c r="G190" s="36" t="str">
        <f t="shared" si="6"/>
        <v>CongalalaSleep lvl 2</v>
      </c>
      <c r="H190" s="36" t="str">
        <f>IFERROR(ROUNDUP(IF(AND($Q$1=FALSE,$S$3=FALSE),"-",IF(AND($Q$1=TRUE,$S$3=TRUE),"-",IF(AND($Q$1=TRUE,$S$1=TRUE,$S$4=FALSE),VLOOKUP($E190,'Status Thresholds'!$E:$AS,12,FALSE),IF(AND($Q$1=TRUE,$S$4=FALSE),VLOOKUP($E190,'Status Thresholds'!$E:$AS,2,FALSE), IF(AND($Q$1=TRUE,$S$1=TRUE,$S$4=TRUE),VLOOKUP($E190,'Status Thresholds'!$E:$AS,17,FALSE),IF(AND($Q$1=TRUE,$S$4=TRUE),VLOOKUP($E190,'Status Thresholds'!$E:$AS,7,FALSE),IF(AND($S$3=TRUE,$S$1=TRUE,$S$4=FALSE),VLOOKUP($E190,'Status Thresholds'!$E:$AS,32,FALSE),IF(AND($S$3=TRUE,$S$4=FALSE),VLOOKUP($E190,'Status Thresholds'!$E:$AS,22,FALSE),IF(AND($S$3=TRUE,$S$1=TRUE,$S$4=TRUE),VLOOKUP($E190,'Status Thresholds'!$E:$AS,37,FALSE),IF(AND($S$3=TRUE,$S$4=TRUE),VLOOKUP($E190,'Status Thresholds'!$E:$AS,27,FALSE),""))))))))/IF(OR($Q$3=TRUE,AND($Q$2=TRUE,$Q$7=TRUE),AND($Q$3=TRUE,$Q$7=TRUE))=TRUE,'Shots and Status'!$F$5,IF((OR($Q$2,$Q$7)=TRUE),'Shots and Status'!$D$5,'Shots and Status'!$C$5)))),0),"-")</f>
        <v>-</v>
      </c>
      <c r="I190" s="36" t="str">
        <f>IFERROR(ROUNDUP(IF(AND($Q$1=FALSE,$S$3=FALSE),"-",IF(AND($Q$1=TRUE,$S$3=TRUE),"-",IF(AND($Q$1=TRUE,$S$1=TRUE,$S$4=FALSE),VLOOKUP($E190,'Status Thresholds'!$E:$AS,13,FALSE),IF(AND($Q$1=TRUE,$S$4=FALSE),VLOOKUP($E190,'Status Thresholds'!$E:$AS,3,FALSE), IF(AND($Q$1=TRUE,$S$1=TRUE,$S$4=TRUE),VLOOKUP($E190,'Status Thresholds'!$E:$AS,18,FALSE),IF(AND($Q$1=TRUE,$S$4=TRUE),VLOOKUP($E190,'Status Thresholds'!$E:$AS,8,FALSE),IF(AND($S$3=TRUE,$S$1=TRUE,$S$4=FALSE),VLOOKUP($E190,'Status Thresholds'!$E:$AS,33,FALSE),IF(AND($S$3=TRUE,$S$4=FALSE),VLOOKUP($E190,'Status Thresholds'!$E:$AS,23,FALSE),IF(AND($S$3=TRUE,$S$1=TRUE,$S$4=TRUE),VLOOKUP($E190,'Status Thresholds'!$E:$AS,38,FALSE),IF(AND($S$3=TRUE,$S$4=TRUE),VLOOKUP($E190,'Status Thresholds'!$E:$AS,28,FALSE),""))))))))/IF(OR($Q$3=TRUE,AND($Q$2=TRUE,$Q$7=TRUE),AND($Q$3=TRUE,$Q$7=TRUE))=TRUE,'Shots and Status'!$F$5,IF((OR($Q$2,$Q$7)=TRUE),'Shots and Status'!$D$5,'Shots and Status'!$C$5)))),0),"-")</f>
        <v>-</v>
      </c>
      <c r="J190" s="36" t="str">
        <f>IFERROR(ROUNDUP(IF(AND($Q$1=FALSE,$S$3=FALSE),"-",IF(AND($Q$1=TRUE,$S$3=TRUE),"-",IF(AND($Q$1=TRUE,$S$1=TRUE,$S$4=FALSE),VLOOKUP($E190,'Status Thresholds'!$E:$AS,14,FALSE),IF(AND($Q$1=TRUE,$S$4=FALSE),VLOOKUP($E190,'Status Thresholds'!$E:$AS,4,FALSE), IF(AND($Q$1=TRUE,$S$1=TRUE,$S$4=TRUE),VLOOKUP($E190,'Status Thresholds'!$E:$AS,19,FALSE),IF(AND($Q$1=TRUE,$S$4=TRUE),VLOOKUP($E190,'Status Thresholds'!$E:$AS,9,FALSE),IF(AND($S$3=TRUE,$S$1=TRUE,$S$4=FALSE),VLOOKUP($E190,'Status Thresholds'!$E:$AS,34,FALSE),IF(AND($S$3=TRUE,$S$4=FALSE),VLOOKUP($E190,'Status Thresholds'!$E:$AS,24,FALSE),IF(AND($S$3=TRUE,$S$1=TRUE,$S$4=TRUE),VLOOKUP($E190,'Status Thresholds'!$E:$AS,39,FALSE),IF(AND($S$3=TRUE,$S$4=TRUE),VLOOKUP($E190,'Status Thresholds'!$E:$AS,29,FALSE),""))))))))/IF(OR($Q$3=TRUE,AND($Q$2=TRUE,$Q$7=TRUE),AND($Q$3=TRUE,$Q$7=TRUE))=TRUE,'Shots and Status'!$F$5,IF((OR($Q$2,$Q$7)=TRUE),'Shots and Status'!$D$5,'Shots and Status'!$C$5)))),0),"-")</f>
        <v>-</v>
      </c>
      <c r="K190" s="36" t="str">
        <f>IFERROR(ROUNDUP(IF(AND($Q$1=FALSE,$S$3=FALSE),"-",IF(AND($Q$1=TRUE,$S$3=TRUE),"-",IF(AND($Q$1=TRUE,$S$1=TRUE,$S$4=FALSE),VLOOKUP($E190,'Status Thresholds'!$E:$AS,15,FALSE),IF(AND($Q$1=TRUE,$S$4=FALSE),VLOOKUP($E190,'Status Thresholds'!$E:$AS,5,FALSE), IF(AND($Q$1=TRUE,$S$1=TRUE,$S$4=TRUE),VLOOKUP($E190,'Status Thresholds'!$E:$AS,20,FALSE),IF(AND($Q$1=TRUE,$S$4=TRUE),VLOOKUP($E190,'Status Thresholds'!$E:$AS,10,FALSE),IF(AND($S$3=TRUE,$S$1=TRUE,$S$4=FALSE),VLOOKUP($E190,'Status Thresholds'!$E:$AS,35,FALSE),IF(AND($S$3=TRUE,$S$4=FALSE),VLOOKUP($E190,'Status Thresholds'!$E:$AS,25,FALSE),IF(AND($S$3=TRUE,$S$1=TRUE,$S$4=TRUE),VLOOKUP($E190,'Status Thresholds'!$E:$AS,40,FALSE),IF(AND($S$3=TRUE,$S$4=TRUE),VLOOKUP($E190,'Status Thresholds'!$E:$AS,30,FALSE),""))))))))/IF(OR($Q$3=TRUE,AND($Q$2=TRUE,$Q$7=TRUE),AND($Q$3=TRUE,$Q$7=TRUE))=TRUE,'Shots and Status'!$F$5,IF((OR($Q$2,$Q$7)=TRUE),'Shots and Status'!$D$5,'Shots and Status'!$C$5)))),0),"-")</f>
        <v>-</v>
      </c>
      <c r="L190" s="36" t="str">
        <f>IFERROR(IF(AND($Q$1=FALSE,$S$3=FALSE),"-",VLOOKUP($E190,'Status Thresholds'!$E:$AU,41,FALSE)),"-")</f>
        <v>-</v>
      </c>
      <c r="M190" s="36" t="str">
        <f>IFERROR(IF(AND($Q$1=FALSE,$S$3=FALSE),"-",VLOOKUP($E190,'Status Thresholds'!$E:$AU,42,FALSE)),"-")</f>
        <v>-</v>
      </c>
      <c r="N190" s="36" t="str">
        <f>IFERROR(IF(AND($Q$1=FALSE,$S$3=FALSE),"-",VLOOKUP($E190,'Status Thresholds'!$E:$AU,43,FALSE)),"-")</f>
        <v>-</v>
      </c>
    </row>
    <row r="191" spans="1:14" s="59" customFormat="1" x14ac:dyDescent="0.25">
      <c r="A191" s="46"/>
      <c r="B191" s="64" t="str">
        <f>VLOOKUP(C191,'Status Thresholds'!B:C,2,FALSE)</f>
        <v>MHGU</v>
      </c>
      <c r="C191" s="46" t="str">
        <f>IF(ISBLANK('KO Calc'!C187)=TRUE,"",'KO Calc'!C187)</f>
        <v>Congalala</v>
      </c>
      <c r="D191" s="58" t="s">
        <v>33</v>
      </c>
      <c r="E191" s="62" t="str">
        <f t="shared" si="5"/>
        <v>CongalalaPoison</v>
      </c>
      <c r="F191" s="59" t="s">
        <v>6</v>
      </c>
      <c r="G191" s="36" t="str">
        <f t="shared" si="6"/>
        <v>CongalalaPoison lvl 2</v>
      </c>
      <c r="H191" s="36" t="str">
        <f>IFERROR(ROUNDUP(IF(AND($Q$1=FALSE,$S$3=FALSE),"-",IF(AND($Q$1=TRUE,$S$3=TRUE),"-",IF(AND($Q$1=TRUE,$S$1=TRUE,$S$4=FALSE),VLOOKUP($E191,'Status Thresholds'!$E:$AS,12,FALSE),IF(AND($Q$1=TRUE,$S$4=FALSE),VLOOKUP($E191,'Status Thresholds'!$E:$AS,2,FALSE), IF(AND($Q$1=TRUE,$S$1=TRUE,$S$4=TRUE),VLOOKUP($E191,'Status Thresholds'!$E:$AS,17,FALSE),IF(AND($Q$1=TRUE,$S$4=TRUE),VLOOKUP($E191,'Status Thresholds'!$E:$AS,7,FALSE),IF(AND($S$3=TRUE,$S$1=TRUE,$S$4=FALSE),VLOOKUP($E191,'Status Thresholds'!$E:$AS,32,FALSE),IF(AND($S$3=TRUE,$S$4=FALSE),VLOOKUP($E191,'Status Thresholds'!$E:$AS,22,FALSE),IF(AND($S$3=TRUE,$S$1=TRUE,$S$4=TRUE),VLOOKUP($E191,'Status Thresholds'!$E:$AS,37,FALSE),IF(AND($S$3=TRUE,$S$4=TRUE),VLOOKUP($E191,'Status Thresholds'!$E:$AS,27,FALSE),""))))))))/IF(OR($Q$3=TRUE,AND($Q$2=TRUE,$Q$7=TRUE),AND($Q$3=TRUE,$Q$7=TRUE))=TRUE,'Shots and Status'!$F$5,IF((OR($Q$2,$Q$7)=TRUE),'Shots and Status'!$D$5,'Shots and Status'!$C$5)))),0),"-")</f>
        <v>-</v>
      </c>
      <c r="I191" s="36" t="str">
        <f>IFERROR(ROUNDUP(IF(AND($Q$1=FALSE,$S$3=FALSE),"-",IF(AND($Q$1=TRUE,$S$3=TRUE),"-",IF(AND($Q$1=TRUE,$S$1=TRUE,$S$4=FALSE),VLOOKUP($E191,'Status Thresholds'!$E:$AS,13,FALSE),IF(AND($Q$1=TRUE,$S$4=FALSE),VLOOKUP($E191,'Status Thresholds'!$E:$AS,3,FALSE), IF(AND($Q$1=TRUE,$S$1=TRUE,$S$4=TRUE),VLOOKUP($E191,'Status Thresholds'!$E:$AS,18,FALSE),IF(AND($Q$1=TRUE,$S$4=TRUE),VLOOKUP($E191,'Status Thresholds'!$E:$AS,8,FALSE),IF(AND($S$3=TRUE,$S$1=TRUE,$S$4=FALSE),VLOOKUP($E191,'Status Thresholds'!$E:$AS,33,FALSE),IF(AND($S$3=TRUE,$S$4=FALSE),VLOOKUP($E191,'Status Thresholds'!$E:$AS,23,FALSE),IF(AND($S$3=TRUE,$S$1=TRUE,$S$4=TRUE),VLOOKUP($E191,'Status Thresholds'!$E:$AS,38,FALSE),IF(AND($S$3=TRUE,$S$4=TRUE),VLOOKUP($E191,'Status Thresholds'!$E:$AS,28,FALSE),""))))))))/IF(OR($Q$3=TRUE,AND($Q$2=TRUE,$Q$7=TRUE),AND($Q$3=TRUE,$Q$7=TRUE))=TRUE,'Shots and Status'!$F$5,IF((OR($Q$2,$Q$7)=TRUE),'Shots and Status'!$D$5,'Shots and Status'!$C$5)))),0),"-")</f>
        <v>-</v>
      </c>
      <c r="J191" s="36" t="str">
        <f>IFERROR(ROUNDUP(IF(AND($Q$1=FALSE,$S$3=FALSE),"-",IF(AND($Q$1=TRUE,$S$3=TRUE),"-",IF(AND($Q$1=TRUE,$S$1=TRUE,$S$4=FALSE),VLOOKUP($E191,'Status Thresholds'!$E:$AS,14,FALSE),IF(AND($Q$1=TRUE,$S$4=FALSE),VLOOKUP($E191,'Status Thresholds'!$E:$AS,4,FALSE), IF(AND($Q$1=TRUE,$S$1=TRUE,$S$4=TRUE),VLOOKUP($E191,'Status Thresholds'!$E:$AS,19,FALSE),IF(AND($Q$1=TRUE,$S$4=TRUE),VLOOKUP($E191,'Status Thresholds'!$E:$AS,9,FALSE),IF(AND($S$3=TRUE,$S$1=TRUE,$S$4=FALSE),VLOOKUP($E191,'Status Thresholds'!$E:$AS,34,FALSE),IF(AND($S$3=TRUE,$S$4=FALSE),VLOOKUP($E191,'Status Thresholds'!$E:$AS,24,FALSE),IF(AND($S$3=TRUE,$S$1=TRUE,$S$4=TRUE),VLOOKUP($E191,'Status Thresholds'!$E:$AS,39,FALSE),IF(AND($S$3=TRUE,$S$4=TRUE),VLOOKUP($E191,'Status Thresholds'!$E:$AS,29,FALSE),""))))))))/IF(OR($Q$3=TRUE,AND($Q$2=TRUE,$Q$7=TRUE),AND($Q$3=TRUE,$Q$7=TRUE))=TRUE,'Shots and Status'!$F$5,IF((OR($Q$2,$Q$7)=TRUE),'Shots and Status'!$D$5,'Shots and Status'!$C$5)))),0),"-")</f>
        <v>-</v>
      </c>
      <c r="K191" s="36" t="str">
        <f>IFERROR(ROUNDUP(IF(AND($Q$1=FALSE,$S$3=FALSE),"-",IF(AND($Q$1=TRUE,$S$3=TRUE),"-",IF(AND($Q$1=TRUE,$S$1=TRUE,$S$4=FALSE),VLOOKUP($E191,'Status Thresholds'!$E:$AS,15,FALSE),IF(AND($Q$1=TRUE,$S$4=FALSE),VLOOKUP($E191,'Status Thresholds'!$E:$AS,5,FALSE), IF(AND($Q$1=TRUE,$S$1=TRUE,$S$4=TRUE),VLOOKUP($E191,'Status Thresholds'!$E:$AS,20,FALSE),IF(AND($Q$1=TRUE,$S$4=TRUE),VLOOKUP($E191,'Status Thresholds'!$E:$AS,10,FALSE),IF(AND($S$3=TRUE,$S$1=TRUE,$S$4=FALSE),VLOOKUP($E191,'Status Thresholds'!$E:$AS,35,FALSE),IF(AND($S$3=TRUE,$S$4=FALSE),VLOOKUP($E191,'Status Thresholds'!$E:$AS,25,FALSE),IF(AND($S$3=TRUE,$S$1=TRUE,$S$4=TRUE),VLOOKUP($E191,'Status Thresholds'!$E:$AS,40,FALSE),IF(AND($S$3=TRUE,$S$4=TRUE),VLOOKUP($E191,'Status Thresholds'!$E:$AS,30,FALSE),""))))))))/IF(OR($Q$3=TRUE,AND($Q$2=TRUE,$Q$7=TRUE),AND($Q$3=TRUE,$Q$7=TRUE))=TRUE,'Shots and Status'!$F$5,IF((OR($Q$2,$Q$7)=TRUE),'Shots and Status'!$D$5,'Shots and Status'!$C$5)))),0),"-")</f>
        <v>-</v>
      </c>
      <c r="L191" s="36" t="str">
        <f>IFERROR(IF(AND($Q$1=FALSE,$S$3=FALSE),"-",VLOOKUP($E191,'Status Thresholds'!$E:$AU,41,FALSE)),"-")</f>
        <v>-</v>
      </c>
      <c r="M191" s="36" t="str">
        <f>IFERROR(IF(AND($Q$1=FALSE,$S$3=FALSE),"-",VLOOKUP($E191,'Status Thresholds'!$E:$AU,42,FALSE)),"-")</f>
        <v>-</v>
      </c>
      <c r="N191" s="36" t="str">
        <f>IFERROR(IF(AND($Q$1=FALSE,$S$3=FALSE),"-",VLOOKUP($E191,'Status Thresholds'!$E:$AU,43,FALSE)),"-")</f>
        <v>-</v>
      </c>
    </row>
    <row r="192" spans="1:14" s="36" customFormat="1" x14ac:dyDescent="0.25">
      <c r="A192" s="46"/>
      <c r="B192" s="64" t="str">
        <f>VLOOKUP(C192,'Status Thresholds'!B:C,2,FALSE)</f>
        <v>MHGU</v>
      </c>
      <c r="C192" s="46" t="str">
        <f>IF(ISBLANK('KO Calc'!C188)=TRUE,"",'KO Calc'!C188)</f>
        <v>Congalala</v>
      </c>
      <c r="D192" s="57" t="s">
        <v>22</v>
      </c>
      <c r="E192" s="62" t="str">
        <f t="shared" si="5"/>
        <v>CongalalaExhaust</v>
      </c>
      <c r="F192" s="36" t="s">
        <v>8</v>
      </c>
      <c r="G192" s="36" t="str">
        <f t="shared" si="6"/>
        <v>CongalalaExhaust lvl 2</v>
      </c>
      <c r="H192" s="36" t="str">
        <f>IFERROR(ROUNDUP(IF(AND($Q$1=FALSE,$S$3=FALSE),"-",IF(AND($Q$1=TRUE,$S$3=TRUE),"-",IF(AND($Q$1=TRUE,$S$1=TRUE,$S$4=FALSE),VLOOKUP($E192,'Status Thresholds'!$E:$AS,12,FALSE),IF(AND($Q$1=TRUE,$S$4=FALSE),VLOOKUP($E192,'Status Thresholds'!$E:$AS,2,FALSE), IF(AND($Q$1=TRUE,$S$1=TRUE,$S$4=TRUE),VLOOKUP($E192,'Status Thresholds'!$E:$AS,17,FALSE),IF(AND($Q$1=TRUE,$S$4=TRUE),VLOOKUP($E192,'Status Thresholds'!$E:$AS,7,FALSE),IF(AND($S$3=TRUE,$S$1=TRUE,$S$4=FALSE),VLOOKUP($E192,'Status Thresholds'!$E:$AS,32,FALSE),IF(AND($S$3=TRUE,$S$4=FALSE),VLOOKUP($E192,'Status Thresholds'!$E:$AS,22,FALSE),IF(AND($S$3=TRUE,$S$1=TRUE,$S$4=TRUE),VLOOKUP($E192,'Status Thresholds'!$E:$AS,37,FALSE),IF(AND($S$3=TRUE,$S$4=TRUE),VLOOKUP($E192,'Status Thresholds'!$E:$AS,27,FALSE),""))))))))/IF(OR($Q$3=TRUE,AND($Q$2=TRUE,$Q$7=TRUE),AND($Q$3=TRUE,$Q$7=TRUE))=TRUE,'Shots and Status'!$F$5,IF((OR($Q$2,$Q$7)=TRUE),'Shots and Status'!$D$5,'Shots and Status'!$C$5)))),0),"-")</f>
        <v>-</v>
      </c>
      <c r="I192" s="36" t="str">
        <f>IFERROR(ROUNDUP(IF(AND($Q$1=FALSE,$S$3=FALSE),"-",IF(AND($Q$1=TRUE,$S$3=TRUE),"-",IF(AND($Q$1=TRUE,$S$1=TRUE,$S$4=FALSE),VLOOKUP($E192,'Status Thresholds'!$E:$AS,13,FALSE),IF(AND($Q$1=TRUE,$S$4=FALSE),VLOOKUP($E192,'Status Thresholds'!$E:$AS,3,FALSE), IF(AND($Q$1=TRUE,$S$1=TRUE,$S$4=TRUE),VLOOKUP($E192,'Status Thresholds'!$E:$AS,18,FALSE),IF(AND($Q$1=TRUE,$S$4=TRUE),VLOOKUP($E192,'Status Thresholds'!$E:$AS,8,FALSE),IF(AND($S$3=TRUE,$S$1=TRUE,$S$4=FALSE),VLOOKUP($E192,'Status Thresholds'!$E:$AS,33,FALSE),IF(AND($S$3=TRUE,$S$4=FALSE),VLOOKUP($E192,'Status Thresholds'!$E:$AS,23,FALSE),IF(AND($S$3=TRUE,$S$1=TRUE,$S$4=TRUE),VLOOKUP($E192,'Status Thresholds'!$E:$AS,38,FALSE),IF(AND($S$3=TRUE,$S$4=TRUE),VLOOKUP($E192,'Status Thresholds'!$E:$AS,28,FALSE),""))))))))/IF(OR($Q$3=TRUE,AND($Q$2=TRUE,$Q$7=TRUE),AND($Q$3=TRUE,$Q$7=TRUE))=TRUE,'Shots and Status'!$F$5,IF((OR($Q$2,$Q$7)=TRUE),'Shots and Status'!$D$5,'Shots and Status'!$C$5)))),0),"-")</f>
        <v>-</v>
      </c>
      <c r="J192" s="36" t="str">
        <f>IFERROR(ROUNDUP(IF(AND($Q$1=FALSE,$S$3=FALSE),"-",IF(AND($Q$1=TRUE,$S$3=TRUE),"-",IF(AND($Q$1=TRUE,$S$1=TRUE,$S$4=FALSE),VLOOKUP($E192,'Status Thresholds'!$E:$AS,14,FALSE),IF(AND($Q$1=TRUE,$S$4=FALSE),VLOOKUP($E192,'Status Thresholds'!$E:$AS,4,FALSE), IF(AND($Q$1=TRUE,$S$1=TRUE,$S$4=TRUE),VLOOKUP($E192,'Status Thresholds'!$E:$AS,19,FALSE),IF(AND($Q$1=TRUE,$S$4=TRUE),VLOOKUP($E192,'Status Thresholds'!$E:$AS,9,FALSE),IF(AND($S$3=TRUE,$S$1=TRUE,$S$4=FALSE),VLOOKUP($E192,'Status Thresholds'!$E:$AS,34,FALSE),IF(AND($S$3=TRUE,$S$4=FALSE),VLOOKUP($E192,'Status Thresholds'!$E:$AS,24,FALSE),IF(AND($S$3=TRUE,$S$1=TRUE,$S$4=TRUE),VLOOKUP($E192,'Status Thresholds'!$E:$AS,39,FALSE),IF(AND($S$3=TRUE,$S$4=TRUE),VLOOKUP($E192,'Status Thresholds'!$E:$AS,29,FALSE),""))))))))/IF(OR($Q$3=TRUE,AND($Q$2=TRUE,$Q$7=TRUE),AND($Q$3=TRUE,$Q$7=TRUE))=TRUE,'Shots and Status'!$F$5,IF((OR($Q$2,$Q$7)=TRUE),'Shots and Status'!$D$5,'Shots and Status'!$C$5)))),0),"-")</f>
        <v>-</v>
      </c>
      <c r="K192" s="36" t="str">
        <f>IFERROR(ROUNDUP(IF(AND($Q$1=FALSE,$S$3=FALSE),"-",IF(AND($Q$1=TRUE,$S$3=TRUE),"-",IF(AND($Q$1=TRUE,$S$1=TRUE,$S$4=FALSE),VLOOKUP($E192,'Status Thresholds'!$E:$AS,15,FALSE),IF(AND($Q$1=TRUE,$S$4=FALSE),VLOOKUP($E192,'Status Thresholds'!$E:$AS,5,FALSE), IF(AND($Q$1=TRUE,$S$1=TRUE,$S$4=TRUE),VLOOKUP($E192,'Status Thresholds'!$E:$AS,20,FALSE),IF(AND($Q$1=TRUE,$S$4=TRUE),VLOOKUP($E192,'Status Thresholds'!$E:$AS,10,FALSE),IF(AND($S$3=TRUE,$S$1=TRUE,$S$4=FALSE),VLOOKUP($E192,'Status Thresholds'!$E:$AS,35,FALSE),IF(AND($S$3=TRUE,$S$4=FALSE),VLOOKUP($E192,'Status Thresholds'!$E:$AS,25,FALSE),IF(AND($S$3=TRUE,$S$1=TRUE,$S$4=TRUE),VLOOKUP($E192,'Status Thresholds'!$E:$AS,40,FALSE),IF(AND($S$3=TRUE,$S$4=TRUE),VLOOKUP($E192,'Status Thresholds'!$E:$AS,30,FALSE),""))))))))/IF(OR($Q$3=TRUE,AND($Q$2=TRUE,$Q$7=TRUE),AND($Q$3=TRUE,$Q$7=TRUE))=TRUE,'Shots and Status'!$F$5,IF((OR($Q$2,$Q$7)=TRUE),'Shots and Status'!$D$5,'Shots and Status'!$C$5)))),0),"-")</f>
        <v>-</v>
      </c>
      <c r="L192" s="36" t="str">
        <f>IFERROR(IF(AND($Q$1=FALSE,$S$3=FALSE),"-",VLOOKUP($E192,'Status Thresholds'!$E:$AU,41,FALSE)),"-")</f>
        <v>-</v>
      </c>
      <c r="M192" s="36" t="str">
        <f>IFERROR(IF(AND($Q$1=FALSE,$S$3=FALSE),"-",VLOOKUP($E192,'Status Thresholds'!$E:$AU,42,FALSE)),"-")</f>
        <v>-</v>
      </c>
      <c r="N192" s="36" t="str">
        <f>IFERROR(IF(AND($Q$1=FALSE,$S$3=FALSE),"-",VLOOKUP($E192,'Status Thresholds'!$E:$AU,43,FALSE)),"-")</f>
        <v>-</v>
      </c>
    </row>
    <row r="193" spans="1:14" s="36" customFormat="1" x14ac:dyDescent="0.25">
      <c r="A193" s="46"/>
      <c r="B193" s="64" t="str">
        <f>VLOOKUP(C193,'Status Thresholds'!B:C,2,FALSE)</f>
        <v>MHGU</v>
      </c>
      <c r="C193" s="46" t="str">
        <f>IF(ISBLANK('KO Calc'!C189)=TRUE,"",'KO Calc'!C189)</f>
        <v>Congalala</v>
      </c>
      <c r="D193" s="67" t="s">
        <v>14</v>
      </c>
      <c r="E193" s="62" t="str">
        <f t="shared" si="5"/>
        <v>CongalalaKO</v>
      </c>
      <c r="F193" s="36" t="s">
        <v>21</v>
      </c>
      <c r="G193" s="36" t="str">
        <f t="shared" si="6"/>
        <v>CongalalaTriblast</v>
      </c>
      <c r="H193" s="36" t="str">
        <f>IF(AND($Q$1=FALSE,$S$3=FALSE),"-",IF(AND($Q$1=TRUE,$S$3=TRUE),"-",IF(AND($Q$1=FALSE,$S$3=FALSE),"-",IF(AND($Q$1=TRUE,$S$1=TRUE,$S$4=FALSE)=TRUE,IF(OR($Q$4=TRUE,$Q$5=TRUE,$S$2=TRUE),VLOOKUP($G193,'KO Calc'!$H:$AW,12,FALSE),VLOOKUP($G193,'KO Calc'!$H199:$AW199,12,FALSE)),IF(AND($Q$1=TRUE,$S$4=FALSE),IF(OR($Q$4=TRUE,$Q$5=TRUE,$S$2=TRUE),VLOOKUP($G193,'KO Calc'!$H:$AW,2,FALSE),VLOOKUP($G193,'KO Calc'!$H199:$AW199,2,FALSE)),
IF(AND($Q$1=TRUE,$S$1=TRUE,$S$4=TRUE)=TRUE,IF(OR($Q$4=TRUE,$Q$5=TRUE,$S$2=TRUE),VLOOKUP($G193,'KO Calc'!$H:$AW,17,FALSE),VLOOKUP($G193,'KO Calc'!$H199:$AW199,17,FALSE)),IF(AND($Q$1=TRUE,$S$4=TRUE),IF(OR($Q$4=TRUE,$Q$5=TRUE,$S$2=TRUE),VLOOKUP($G193,'KO Calc'!$H:$AW,7,FALSE),VLOOKUP($G193,'KO Calc'!$H199:$AW199,7,FALSE)),
IF(AND($S$3=TRUE,$S$1=TRUE,$S$4=FALSE)=TRUE,IF(OR($Q$4=TRUE,$Q$5=TRUE,$S$2=TRUE),VLOOKUP($G193,'KO Calc'!$H:$AW,32,FALSE),VLOOKUP($G193,'KO Calc'!$H199:$AW199,32,FALSE)),IF(AND($S$3=TRUE,$S$4=FALSE),IF(OR($Q$4=TRUE,$Q$5=TRUE,$S$2=TRUE),VLOOKUP($G193,'KO Calc'!$H:$AW,22,FALSE),VLOOKUP($G193,'KO Calc'!$H199:$AW199,22,FALSE)),
IF(AND($S$3=TRUE,$S$1=TRUE,$S$4=TRUE)=TRUE,IF(OR($Q$4=TRUE,$Q$5=TRUE,$S$2=TRUE),VLOOKUP($G193,'KO Calc'!$H:$AW,37,FALSE),VLOOKUP($G193,'KO Calc'!$H199:$AW199,37,FALSE)),IF(AND($S$3=TRUE,$S$4=TRUE),IF(OR($Q$4=TRUE,$Q$5=TRUE,$S$2=TRUE),VLOOKUP($G193,'KO Calc'!$H:$AW,27,FALSE),VLOOKUP($G193,'KO Calc'!$H199:$AW199,27,FALSE)))))))))))))</f>
        <v>-</v>
      </c>
      <c r="I193" s="36" t="str">
        <f>IF(AND($Q$1=FALSE,$S$3=FALSE),"-",IF(AND($Q$1=TRUE,$S$3=TRUE),"-",IF(AND($Q$1=FALSE,$S$3=FALSE),"-",IF(AND($Q$1=TRUE,$S$1=TRUE,$S$4=FALSE)=TRUE,IF(OR($Q$4=TRUE,$Q$5=TRUE,$S$2=TRUE),VLOOKUP($G193,'KO Calc'!$H:$AW,13,FALSE),VLOOKUP($G193,'KO Calc'!$H199:$AW199,13,FALSE)),IF(AND($Q$1=TRUE,$S$4=FALSE),IF(OR($Q$4=TRUE,$Q$5=TRUE,$S$2=TRUE),VLOOKUP($G193,'KO Calc'!$H:$AW,3,FALSE),VLOOKUP($G193,'KO Calc'!$H199:$AW199,3,FALSE)),
IF(AND($Q$1=TRUE,$S$1=TRUE,$S$4=TRUE)=TRUE,IF(OR($Q$4=TRUE,$Q$5=TRUE,$S$2=TRUE),VLOOKUP($G193,'KO Calc'!$H:$AW,18,FALSE),VLOOKUP($G193,'KO Calc'!$H199:$AW199,18,FALSE)),IF(AND($Q$1=TRUE,$S$4=TRUE),IF(OR($Q$4=TRUE,$Q$5=TRUE,$S$2=TRUE),VLOOKUP($G193,'KO Calc'!$H:$AW,8,FALSE),VLOOKUP($G193,'KO Calc'!$H199:$AW199,8,FALSE)),
IF(AND($S$3=TRUE,$S$1=TRUE,$S$4=FALSE)=TRUE,IF(OR($Q$4=TRUE,$Q$5=TRUE,$S$2=TRUE),VLOOKUP($G193,'KO Calc'!$H:$AW,33,FALSE),VLOOKUP($G193,'KO Calc'!$H199:$AW199,33,FALSE)),IF(AND($S$3=TRUE,$S$4=FALSE),IF(OR($Q$4=TRUE,$Q$5=TRUE,$S$2=TRUE),VLOOKUP($G193,'KO Calc'!$H:$AW,23,FALSE),VLOOKUP($G193,'KO Calc'!$H199:$AW199,23,FALSE)),
IF(AND($S$3=TRUE,$S$1=TRUE,$S$4=TRUE)=TRUE,IF(OR($Q$4=TRUE,$Q$5=TRUE,$S$2=TRUE),VLOOKUP($G193,'KO Calc'!$H:$AW,38,FALSE),VLOOKUP($G193,'KO Calc'!$H199:$AW199,38,FALSE)),IF(AND($S$3=TRUE,$S$4=TRUE),IF(OR($Q$4=TRUE,$Q$5=TRUE,$S$2=TRUE),VLOOKUP($G193,'KO Calc'!$H:$AW,28,FALSE),VLOOKUP($G193,'KO Calc'!$H199:$AW199,28,FALSE)))))))))))))</f>
        <v>-</v>
      </c>
      <c r="J193" s="36" t="str">
        <f>IF(AND($Q$1=FALSE,$S$3=FALSE),"-",IF(AND($Q$1=TRUE,$S$3=TRUE),"-",IF(AND($Q$1=FALSE,$S$3=FALSE),"-",IF(AND($Q$1=TRUE,$S$1=TRUE,$S$4=FALSE)=TRUE,IF(OR($Q$4=TRUE,$Q$5=TRUE,$S$2=TRUE),VLOOKUP($G193,'KO Calc'!$H:$AW,FALSE),VLOOKUP($G193,'KO Calc'!$H199:$AW199,14,FALSE)),IF(AND($Q$1=TRUE,$S$4=FALSE),IF(OR($Q$4=TRUE,$Q$5=TRUE,$S$2=TRUE),VLOOKUP($G193,'KO Calc'!$H:$AW,4,FALSE),VLOOKUP($G193,'KO Calc'!$H199:$AW199,4,FALSE)),
IF(AND($Q$1=TRUE,$S$1=TRUE,$S$4=TRUE)=TRUE,IF(OR($Q$4=TRUE,$Q$5=TRUE,$S$2=TRUE),VLOOKUP($G193,'KO Calc'!$H:$AW,19,FALSE),VLOOKUP($G193,'KO Calc'!$H199:$AW199,19,FALSE)),IF(AND($Q$1=TRUE,$S$4=TRUE),IF(OR($Q$4=TRUE,$Q$5=TRUE,$S$2=TRUE),VLOOKUP($G193,'KO Calc'!$H:$AW,9,FALSE),VLOOKUP($G193,'KO Calc'!$H199:$AW199,9,FALSE)),
IF(AND($S$3=TRUE,$S$1=TRUE,$S$4=FALSE)=TRUE,IF(OR($Q$4=TRUE,$Q$5=TRUE,$S$2=TRUE),VLOOKUP($G193,'KO Calc'!$H:$AW,34,FALSE),VLOOKUP($G193,'KO Calc'!$H199:$AW199,34,FALSE)),IF(AND($S$3=TRUE,$S$4=FALSE),IF(OR($Q$4=TRUE,$Q$5=TRUE,$S$2=TRUE),VLOOKUP($G193,'KO Calc'!$H:$AW,24,FALSE),VLOOKUP($G193,'KO Calc'!$H199:$AW199,24,FALSE)),
IF(AND($S$3=TRUE,$S$1=TRUE,$S$4=TRUE)=TRUE,IF(OR($Q$4=TRUE,$Q$5=TRUE,$S$2=TRUE),VLOOKUP($G193,'KO Calc'!$H:$AW,39,FALSE),VLOOKUP($G193,'KO Calc'!$H199:$AW199,39,FALSE)),IF(AND($S$3=TRUE,$S$4=TRUE),IF(OR($Q$4=TRUE,$Q$5=TRUE,$S$2=TRUE),VLOOKUP($G193,'KO Calc'!$H:$AW,29,FALSE),VLOOKUP($G193,'KO Calc'!$H199:$AW199,29,FALSE)))))))))))))</f>
        <v>-</v>
      </c>
      <c r="K193" s="36" t="str">
        <f>IF(AND($Q$1=FALSE,$S$3=FALSE),"-",IF(AND($Q$1=TRUE,$S$3=TRUE),"-",IF(AND($Q$1=FALSE,$S$3=FALSE),"-",IF(AND($Q$1=TRUE,$S$1=TRUE,$S$4=FALSE)=TRUE,IF(OR($Q$4=TRUE,$Q$5=TRUE,$S$2=TRUE),VLOOKUP($G193,'KO Calc'!$H:$AW,15,FALSE),VLOOKUP($G193,'KO Calc'!$H199:$AW199,15,FALSE)),IF(AND($Q$1=TRUE,$S$4=FALSE),IF(OR($Q$4=TRUE,$Q$5=TRUE,$S$2=TRUE),VLOOKUP($G193,'KO Calc'!$H:$AW,5,FALSE),VLOOKUP($G193,'KO Calc'!$H199:$AW199,5,FALSE)),
IF(AND($Q$1=TRUE,$S$1=TRUE,$S$4=TRUE)=TRUE,IF(OR($Q$4=TRUE,$Q$5=TRUE,$S$2=TRUE),VLOOKUP($G193,'KO Calc'!$H:$AW,20,FALSE),VLOOKUP($G193,'KO Calc'!$H199:$AW199,20,FALSE)),IF(AND($Q$1=TRUE,$S$4=TRUE),IF(OR($Q$4=TRUE,$Q$5=TRUE,$S$2=TRUE),VLOOKUP($G193,'KO Calc'!$H:$AW,10,FALSE),VLOOKUP($G193,'KO Calc'!$H199:$AW199,10,FALSE)),
IF(AND($S$3=TRUE,$S$1=TRUE,$S$4=FALSE)=TRUE,IF(OR($Q$4=TRUE,$Q$5=TRUE,$S$2=TRUE),VLOOKUP($G193,'KO Calc'!$H:$AW,35,FALSE),VLOOKUP($G193,'KO Calc'!$H199:$AW199,35,FALSE)),IF(AND($S$3=TRUE,$S$4=FALSE),IF(OR($Q$4=TRUE,$Q$5=TRUE,$S$2=TRUE),VLOOKUP($G193,'KO Calc'!$H:$AW,25,FALSE),VLOOKUP($G193,'KO Calc'!$H199:$AW199,25,FALSE)),
IF(AND($S$3=TRUE,$S$1=TRUE,$S$4=TRUE)=TRUE,IF(OR($Q$4=TRUE,$Q$5=TRUE,$S$2=TRUE),VLOOKUP($G193,'KO Calc'!$H:$AW,40,FALSE),VLOOKUP($G193,'KO Calc'!$H199:$AW199,40,FALSE)),IF(AND($S$3=TRUE,$S$4=TRUE),IF(OR($Q$4=TRUE,$Q$5=TRUE,$S$2=TRUE),VLOOKUP($G193,'KO Calc'!$H:$AW,30,FALSE),VLOOKUP($G193,'KO Calc'!$H199:$AW199,30,FALSE)))))))))))))</f>
        <v>-</v>
      </c>
      <c r="L193" s="36" t="str">
        <f>IFERROR(IF(AND($Q$1=FALSE,$S$3=FALSE),"-",VLOOKUP($E193,'Status Thresholds'!$E:$AU,41,FALSE)),"-")</f>
        <v>-</v>
      </c>
      <c r="M193" s="36" t="str">
        <f>IFERROR(IF(AND($Q$1=FALSE,$S$3=FALSE),"-",VLOOKUP($E193,'Status Thresholds'!$E:$AU,42,FALSE)),"-")</f>
        <v>-</v>
      </c>
      <c r="N193" s="36" t="str">
        <f>IFERROR(IF(AND($Q$1=FALSE,$S$3=FALSE),"-",VLOOKUP($E193,'Status Thresholds'!$E:$AU,43,FALSE)),"-")</f>
        <v>-</v>
      </c>
    </row>
    <row r="194" spans="1:14" x14ac:dyDescent="0.25">
      <c r="B194" s="64" t="str">
        <f>VLOOKUP(C194,'Status Thresholds'!B:C,2,FALSE)</f>
        <v>MHGU</v>
      </c>
      <c r="C194" s="46" t="str">
        <f>IF(ISBLANK('KO Calc'!C190)=TRUE,"",'KO Calc'!C190)</f>
        <v>Congalala</v>
      </c>
      <c r="D194" s="78" t="s">
        <v>207</v>
      </c>
      <c r="E194" s="62" t="str">
        <f t="shared" si="5"/>
        <v>CongalalaShock Trap</v>
      </c>
      <c r="F194" t="s">
        <v>13</v>
      </c>
      <c r="G194" s="36" t="str">
        <f t="shared" si="6"/>
        <v>CongalalaCrag 3</v>
      </c>
      <c r="H194" s="36" t="str">
        <f>IF(AND($Q$1=FALSE,$S$3=FALSE),"-",IF(AND($Q$1=TRUE,$S$3=TRUE),"-",IF(AND($Q$1=FALSE,$S$3=FALSE),"-",IF(AND($Q$1=TRUE,$S$1=TRUE,$S$4=FALSE)=TRUE,IF(OR($Q$4=TRUE,$Q$5=TRUE,$S$2=TRUE),VLOOKUP($G194,'KO Calc'!$H:$AW,12,FALSE),VLOOKUP($G194,'KO Calc'!$H200:$AW200,12,FALSE)),IF(AND($Q$1=TRUE,$S$4=FALSE),IF(OR($Q$4=TRUE,$Q$5=TRUE,$S$2=TRUE),VLOOKUP($G194,'KO Calc'!$H:$AW,2,FALSE),VLOOKUP($G194,'KO Calc'!$H200:$AW200,2,FALSE)),
IF(AND($Q$1=TRUE,$S$1=TRUE,$S$4=TRUE)=TRUE,IF(OR($Q$4=TRUE,$Q$5=TRUE,$S$2=TRUE),VLOOKUP($G194,'KO Calc'!$H:$AW,17,FALSE),VLOOKUP($G194,'KO Calc'!$H200:$AW200,17,FALSE)),IF(AND($Q$1=TRUE,$S$4=TRUE),IF(OR($Q$4=TRUE,$Q$5=TRUE,$S$2=TRUE),VLOOKUP($G194,'KO Calc'!$H:$AW,7,FALSE),VLOOKUP($G194,'KO Calc'!$H200:$AW200,7,FALSE)),
IF(AND($S$3=TRUE,$S$1=TRUE,$S$4=FALSE)=TRUE,IF(OR($Q$4=TRUE,$Q$5=TRUE,$S$2=TRUE),VLOOKUP($G194,'KO Calc'!$H:$AW,32,FALSE),VLOOKUP($G194,'KO Calc'!$H200:$AW200,32,FALSE)),IF(AND($S$3=TRUE,$S$4=FALSE),IF(OR($Q$4=TRUE,$Q$5=TRUE,$S$2=TRUE),VLOOKUP($G194,'KO Calc'!$H:$AW,22,FALSE),VLOOKUP($G194,'KO Calc'!$H200:$AW200,22,FALSE)),
IF(AND($S$3=TRUE,$S$1=TRUE,$S$4=TRUE)=TRUE,IF(OR($Q$4=TRUE,$Q$5=TRUE,$S$2=TRUE),VLOOKUP($G194,'KO Calc'!$H:$AW,37,FALSE),VLOOKUP($G194,'KO Calc'!$H200:$AW200,37,FALSE)),IF(AND($S$3=TRUE,$S$4=TRUE),IF(OR($Q$4=TRUE,$Q$5=TRUE,$S$2=TRUE),VLOOKUP($G194,'KO Calc'!$H:$AW,27,FALSE),VLOOKUP($G194,'KO Calc'!$H200:$AW200,27,FALSE)))))))))))))</f>
        <v>-</v>
      </c>
      <c r="I194" s="36" t="str">
        <f>IF(AND($Q$1=FALSE,$S$3=FALSE),"-",IF(AND($Q$1=TRUE,$S$3=TRUE),"-",IF(AND($Q$1=FALSE,$S$3=FALSE),"-",IF(AND($Q$1=TRUE,$S$1=TRUE,$S$4=FALSE)=TRUE,IF(OR($Q$4=TRUE,$Q$5=TRUE,$S$2=TRUE),VLOOKUP($G194,'KO Calc'!$H:$AW,13,FALSE),VLOOKUP($G194,'KO Calc'!$H200:$AW200,13,FALSE)),IF(AND($Q$1=TRUE,$S$4=FALSE),IF(OR($Q$4=TRUE,$Q$5=TRUE,$S$2=TRUE),VLOOKUP($G194,'KO Calc'!$H:$AW,3,FALSE),VLOOKUP($G194,'KO Calc'!$H200:$AW200,3,FALSE)),
IF(AND($Q$1=TRUE,$S$1=TRUE,$S$4=TRUE)=TRUE,IF(OR($Q$4=TRUE,$Q$5=TRUE,$S$2=TRUE),VLOOKUP($G194,'KO Calc'!$H:$AW,18,FALSE),VLOOKUP($G194,'KO Calc'!$H200:$AW200,18,FALSE)),IF(AND($Q$1=TRUE,$S$4=TRUE),IF(OR($Q$4=TRUE,$Q$5=TRUE,$S$2=TRUE),VLOOKUP($G194,'KO Calc'!$H:$AW,8,FALSE),VLOOKUP($G194,'KO Calc'!$H200:$AW200,8,FALSE)),
IF(AND($S$3=TRUE,$S$1=TRUE,$S$4=FALSE)=TRUE,IF(OR($Q$4=TRUE,$Q$5=TRUE,$S$2=TRUE),VLOOKUP($G194,'KO Calc'!$H:$AW,33,FALSE),VLOOKUP($G194,'KO Calc'!$H200:$AW200,33,FALSE)),IF(AND($S$3=TRUE,$S$4=FALSE),IF(OR($Q$4=TRUE,$Q$5=TRUE,$S$2=TRUE),VLOOKUP($G194,'KO Calc'!$H:$AW,23,FALSE),VLOOKUP($G194,'KO Calc'!$H200:$AW200,23,FALSE)),
IF(AND($S$3=TRUE,$S$1=TRUE,$S$4=TRUE)=TRUE,IF(OR($Q$4=TRUE,$Q$5=TRUE,$S$2=TRUE),VLOOKUP($G194,'KO Calc'!$H:$AW,38,FALSE),VLOOKUP($G194,'KO Calc'!$H200:$AW200,38,FALSE)),IF(AND($S$3=TRUE,$S$4=TRUE),IF(OR($Q$4=TRUE,$Q$5=TRUE,$S$2=TRUE),VLOOKUP($G194,'KO Calc'!$H:$AW,28,FALSE),VLOOKUP($G194,'KO Calc'!$H200:$AW200,28,FALSE)))))))))))))</f>
        <v>-</v>
      </c>
      <c r="J194" s="36" t="str">
        <f>IF(AND($Q$1=FALSE,$S$3=FALSE),"-",IF(AND($Q$1=TRUE,$S$3=TRUE),"-",IF(AND($Q$1=FALSE,$S$3=FALSE),"-",IF(AND($Q$1=TRUE,$S$1=TRUE,$S$4=FALSE)=TRUE,IF(OR($Q$4=TRUE,$Q$5=TRUE,$S$2=TRUE),VLOOKUP($G194,'KO Calc'!$H:$AW,FALSE),VLOOKUP($G194,'KO Calc'!$H200:$AW200,14,FALSE)),IF(AND($Q$1=TRUE,$S$4=FALSE),IF(OR($Q$4=TRUE,$Q$5=TRUE,$S$2=TRUE),VLOOKUP($G194,'KO Calc'!$H:$AW,4,FALSE),VLOOKUP($G194,'KO Calc'!$H200:$AW200,4,FALSE)),
IF(AND($Q$1=TRUE,$S$1=TRUE,$S$4=TRUE)=TRUE,IF(OR($Q$4=TRUE,$Q$5=TRUE,$S$2=TRUE),VLOOKUP($G194,'KO Calc'!$H:$AW,19,FALSE),VLOOKUP($G194,'KO Calc'!$H200:$AW200,19,FALSE)),IF(AND($Q$1=TRUE,$S$4=TRUE),IF(OR($Q$4=TRUE,$Q$5=TRUE,$S$2=TRUE),VLOOKUP($G194,'KO Calc'!$H:$AW,9,FALSE),VLOOKUP($G194,'KO Calc'!$H200:$AW200,9,FALSE)),
IF(AND($S$3=TRUE,$S$1=TRUE,$S$4=FALSE)=TRUE,IF(OR($Q$4=TRUE,$Q$5=TRUE,$S$2=TRUE),VLOOKUP($G194,'KO Calc'!$H:$AW,34,FALSE),VLOOKUP($G194,'KO Calc'!$H200:$AW200,34,FALSE)),IF(AND($S$3=TRUE,$S$4=FALSE),IF(OR($Q$4=TRUE,$Q$5=TRUE,$S$2=TRUE),VLOOKUP($G194,'KO Calc'!$H:$AW,24,FALSE),VLOOKUP($G194,'KO Calc'!$H200:$AW200,24,FALSE)),
IF(AND($S$3=TRUE,$S$1=TRUE,$S$4=TRUE)=TRUE,IF(OR($Q$4=TRUE,$Q$5=TRUE,$S$2=TRUE),VLOOKUP($G194,'KO Calc'!$H:$AW,39,FALSE),VLOOKUP($G194,'KO Calc'!$H200:$AW200,39,FALSE)),IF(AND($S$3=TRUE,$S$4=TRUE),IF(OR($Q$4=TRUE,$Q$5=TRUE,$S$2=TRUE),VLOOKUP($G194,'KO Calc'!$H:$AW,29,FALSE),VLOOKUP($G194,'KO Calc'!$H200:$AW200,29,FALSE)))))))))))))</f>
        <v>-</v>
      </c>
      <c r="K194" s="36" t="str">
        <f>IF(AND($Q$1=FALSE,$S$3=FALSE),"-",IF(AND($Q$1=TRUE,$S$3=TRUE),"-",IF(AND($Q$1=FALSE,$S$3=FALSE),"-",IF(AND($Q$1=TRUE,$S$1=TRUE,$S$4=FALSE)=TRUE,IF(OR($Q$4=TRUE,$Q$5=TRUE,$S$2=TRUE),VLOOKUP($G194,'KO Calc'!$H:$AW,15,FALSE),VLOOKUP($G194,'KO Calc'!$H200:$AW200,15,FALSE)),IF(AND($Q$1=TRUE,$S$4=FALSE),IF(OR($Q$4=TRUE,$Q$5=TRUE,$S$2=TRUE),VLOOKUP($G194,'KO Calc'!$H:$AW,5,FALSE),VLOOKUP($G194,'KO Calc'!$H200:$AW200,5,FALSE)),
IF(AND($Q$1=TRUE,$S$1=TRUE,$S$4=TRUE)=TRUE,IF(OR($Q$4=TRUE,$Q$5=TRUE,$S$2=TRUE),VLOOKUP($G194,'KO Calc'!$H:$AW,20,FALSE),VLOOKUP($G194,'KO Calc'!$H200:$AW200,20,FALSE)),IF(AND($Q$1=TRUE,$S$4=TRUE),IF(OR($Q$4=TRUE,$Q$5=TRUE,$S$2=TRUE),VLOOKUP($G194,'KO Calc'!$H:$AW,10,FALSE),VLOOKUP($G194,'KO Calc'!$H200:$AW200,10,FALSE)),
IF(AND($S$3=TRUE,$S$1=TRUE,$S$4=FALSE)=TRUE,IF(OR($Q$4=TRUE,$Q$5=TRUE,$S$2=TRUE),VLOOKUP($G194,'KO Calc'!$H:$AW,35,FALSE),VLOOKUP($G194,'KO Calc'!$H200:$AW200,35,FALSE)),IF(AND($S$3=TRUE,$S$4=FALSE),IF(OR($Q$4=TRUE,$Q$5=TRUE,$S$2=TRUE),VLOOKUP($G194,'KO Calc'!$H:$AW,25,FALSE),VLOOKUP($G194,'KO Calc'!$H200:$AW200,25,FALSE)),
IF(AND($S$3=TRUE,$S$1=TRUE,$S$4=TRUE)=TRUE,IF(OR($Q$4=TRUE,$Q$5=TRUE,$S$2=TRUE),VLOOKUP($G194,'KO Calc'!$H:$AW,40,FALSE),VLOOKUP($G194,'KO Calc'!$H200:$AW200,40,FALSE)),IF(AND($S$3=TRUE,$S$4=TRUE),IF(OR($Q$4=TRUE,$Q$5=TRUE,$S$2=TRUE),VLOOKUP($G194,'KO Calc'!$H:$AW,30,FALSE),VLOOKUP($G194,'KO Calc'!$H200:$AW200,30,FALSE)))))))))))))</f>
        <v>-</v>
      </c>
      <c r="L194" s="36" t="str">
        <f>IFERROR(IF(AND($Q$1=FALSE,$S$3=FALSE),"-",VLOOKUP($E194,'Status Thresholds'!$E:$AU,43,FALSE)),"-")</f>
        <v>-</v>
      </c>
      <c r="M194" s="36" t="str">
        <f>IFERROR(IF(AND($Q$1=FALSE,$S$3=FALSE),"-",VLOOKUP($E194,'Status Thresholds'!$E:$AU,41,FALSE)),"-")</f>
        <v>-</v>
      </c>
      <c r="N194" s="36" t="str">
        <f>IFERROR(IF(AND($Q$1=FALSE,$S$3=FALSE),"-",VLOOKUP($E194,'Status Thresholds'!$E:$AU,42,FALSE)),"-")</f>
        <v>-</v>
      </c>
    </row>
    <row r="195" spans="1:14" x14ac:dyDescent="0.25">
      <c r="B195" s="64" t="str">
        <f>VLOOKUP(C195,'Status Thresholds'!B:C,2,FALSE)</f>
        <v>MHGU</v>
      </c>
      <c r="C195" s="46" t="str">
        <f>IF(ISBLANK('KO Calc'!C191)=TRUE,"",'KO Calc'!C191)</f>
        <v>Congalala</v>
      </c>
      <c r="D195" s="78" t="s">
        <v>213</v>
      </c>
      <c r="E195" s="62" t="str">
        <f t="shared" si="5"/>
        <v>CongalalaPitfall Trap</v>
      </c>
      <c r="F195" t="s">
        <v>12</v>
      </c>
      <c r="G195" s="36" t="str">
        <f t="shared" si="6"/>
        <v>CongalalaCrag 2</v>
      </c>
      <c r="H195" s="36" t="str">
        <f>IF(AND($Q$1=FALSE,$S$3=FALSE),"-",IF(AND($Q$1=TRUE,$S$3=TRUE),"-",IF(AND($Q$1=FALSE,$S$3=FALSE),"-",IF(AND($Q$1=TRUE,$S$1=TRUE,$S$4=FALSE)=TRUE,IF(OR($Q$4=TRUE,$Q$5=TRUE,$S$2=TRUE),VLOOKUP($G195,'KO Calc'!$H:$AW,12,FALSE),VLOOKUP($G195,'KO Calc'!$H201:$AW201,12,FALSE)),IF(AND($Q$1=TRUE,$S$4=FALSE),IF(OR($Q$4=TRUE,$Q$5=TRUE,$S$2=TRUE),VLOOKUP($G195,'KO Calc'!$H:$AW,2,FALSE),VLOOKUP($G195,'KO Calc'!$H201:$AW201,2,FALSE)),
IF(AND($Q$1=TRUE,$S$1=TRUE,$S$4=TRUE)=TRUE,IF(OR($Q$4=TRUE,$Q$5=TRUE,$S$2=TRUE),VLOOKUP($G195,'KO Calc'!$H:$AW,17,FALSE),VLOOKUP($G195,'KO Calc'!$H201:$AW201,17,FALSE)),IF(AND($Q$1=TRUE,$S$4=TRUE),IF(OR($Q$4=TRUE,$Q$5=TRUE,$S$2=TRUE),VLOOKUP($G195,'KO Calc'!$H:$AW,7,FALSE),VLOOKUP($G195,'KO Calc'!$H201:$AW201,7,FALSE)),
IF(AND($S$3=TRUE,$S$1=TRUE,$S$4=FALSE)=TRUE,IF(OR($Q$4=TRUE,$Q$5=TRUE,$S$2=TRUE),VLOOKUP($G195,'KO Calc'!$H:$AW,32,FALSE),VLOOKUP($G195,'KO Calc'!$H201:$AW201,32,FALSE)),IF(AND($S$3=TRUE,$S$4=FALSE),IF(OR($Q$4=TRUE,$Q$5=TRUE,$S$2=TRUE),VLOOKUP($G195,'KO Calc'!$H:$AW,22,FALSE),VLOOKUP($G195,'KO Calc'!$H201:$AW201,22,FALSE)),
IF(AND($S$3=TRUE,$S$1=TRUE,$S$4=TRUE)=TRUE,IF(OR($Q$4=TRUE,$Q$5=TRUE,$S$2=TRUE),VLOOKUP($G195,'KO Calc'!$H:$AW,37,FALSE),VLOOKUP($G195,'KO Calc'!$H201:$AW201,37,FALSE)),IF(AND($S$3=TRUE,$S$4=TRUE),IF(OR($Q$4=TRUE,$Q$5=TRUE,$S$2=TRUE),VLOOKUP($G195,'KO Calc'!$H:$AW,27,FALSE),VLOOKUP($G195,'KO Calc'!$H201:$AW201,27,FALSE)))))))))))))</f>
        <v>-</v>
      </c>
      <c r="I195" s="36" t="str">
        <f>IF(AND($Q$1=FALSE,$S$3=FALSE),"-",IF(AND($Q$1=TRUE,$S$3=TRUE),"-",IF(AND($Q$1=FALSE,$S$3=FALSE),"-",IF(AND($Q$1=TRUE,$S$1=TRUE,$S$4=FALSE)=TRUE,IF(OR($Q$4=TRUE,$Q$5=TRUE,$S$2=TRUE),VLOOKUP($G195,'KO Calc'!$H:$AW,13,FALSE),VLOOKUP($G195,'KO Calc'!$H201:$AW201,13,FALSE)),IF(AND($Q$1=TRUE,$S$4=FALSE),IF(OR($Q$4=TRUE,$Q$5=TRUE,$S$2=TRUE),VLOOKUP($G195,'KO Calc'!$H:$AW,3,FALSE),VLOOKUP($G195,'KO Calc'!$H201:$AW201,3,FALSE)),
IF(AND($Q$1=TRUE,$S$1=TRUE,$S$4=TRUE)=TRUE,IF(OR($Q$4=TRUE,$Q$5=TRUE,$S$2=TRUE),VLOOKUP($G195,'KO Calc'!$H:$AW,18,FALSE),VLOOKUP($G195,'KO Calc'!$H201:$AW201,18,FALSE)),IF(AND($Q$1=TRUE,$S$4=TRUE),IF(OR($Q$4=TRUE,$Q$5=TRUE,$S$2=TRUE),VLOOKUP($G195,'KO Calc'!$H:$AW,8,FALSE),VLOOKUP($G195,'KO Calc'!$H201:$AW201,8,FALSE)),
IF(AND($S$3=TRUE,$S$1=TRUE,$S$4=FALSE)=TRUE,IF(OR($Q$4=TRUE,$Q$5=TRUE,$S$2=TRUE),VLOOKUP($G195,'KO Calc'!$H:$AW,33,FALSE),VLOOKUP($G195,'KO Calc'!$H201:$AW201,33,FALSE)),IF(AND($S$3=TRUE,$S$4=FALSE),IF(OR($Q$4=TRUE,$Q$5=TRUE,$S$2=TRUE),VLOOKUP($G195,'KO Calc'!$H:$AW,23,FALSE),VLOOKUP($G195,'KO Calc'!$H201:$AW201,23,FALSE)),
IF(AND($S$3=TRUE,$S$1=TRUE,$S$4=TRUE)=TRUE,IF(OR($Q$4=TRUE,$Q$5=TRUE,$S$2=TRUE),VLOOKUP($G195,'KO Calc'!$H:$AW,38,FALSE),VLOOKUP($G195,'KO Calc'!$H201:$AW201,38,FALSE)),IF(AND($S$3=TRUE,$S$4=TRUE),IF(OR($Q$4=TRUE,$Q$5=TRUE,$S$2=TRUE),VLOOKUP($G195,'KO Calc'!$H:$AW,28,FALSE),VLOOKUP($G195,'KO Calc'!$H201:$AW201,28,FALSE)))))))))))))</f>
        <v>-</v>
      </c>
      <c r="J195" s="36" t="str">
        <f>IF(AND($Q$1=FALSE,$S$3=FALSE),"-",IF(AND($Q$1=TRUE,$S$3=TRUE),"-",IF(AND($Q$1=FALSE,$S$3=FALSE),"-",IF(AND($Q$1=TRUE,$S$1=TRUE,$S$4=FALSE)=TRUE,IF(OR($Q$4=TRUE,$Q$5=TRUE,$S$2=TRUE),VLOOKUP($G195,'KO Calc'!$H:$AW,FALSE),VLOOKUP($G195,'KO Calc'!$H201:$AW201,14,FALSE)),IF(AND($Q$1=TRUE,$S$4=FALSE),IF(OR($Q$4=TRUE,$Q$5=TRUE,$S$2=TRUE),VLOOKUP($G195,'KO Calc'!$H:$AW,4,FALSE),VLOOKUP($G195,'KO Calc'!$H201:$AW201,4,FALSE)),
IF(AND($Q$1=TRUE,$S$1=TRUE,$S$4=TRUE)=TRUE,IF(OR($Q$4=TRUE,$Q$5=TRUE,$S$2=TRUE),VLOOKUP($G195,'KO Calc'!$H:$AW,19,FALSE),VLOOKUP($G195,'KO Calc'!$H201:$AW201,19,FALSE)),IF(AND($Q$1=TRUE,$S$4=TRUE),IF(OR($Q$4=TRUE,$Q$5=TRUE,$S$2=TRUE),VLOOKUP($G195,'KO Calc'!$H:$AW,9,FALSE),VLOOKUP($G195,'KO Calc'!$H201:$AW201,9,FALSE)),
IF(AND($S$3=TRUE,$S$1=TRUE,$S$4=FALSE)=TRUE,IF(OR($Q$4=TRUE,$Q$5=TRUE,$S$2=TRUE),VLOOKUP($G195,'KO Calc'!$H:$AW,34,FALSE),VLOOKUP($G195,'KO Calc'!$H201:$AW201,34,FALSE)),IF(AND($S$3=TRUE,$S$4=FALSE),IF(OR($Q$4=TRUE,$Q$5=TRUE,$S$2=TRUE),VLOOKUP($G195,'KO Calc'!$H:$AW,24,FALSE),VLOOKUP($G195,'KO Calc'!$H201:$AW201,24,FALSE)),
IF(AND($S$3=TRUE,$S$1=TRUE,$S$4=TRUE)=TRUE,IF(OR($Q$4=TRUE,$Q$5=TRUE,$S$2=TRUE),VLOOKUP($G195,'KO Calc'!$H:$AW,39,FALSE),VLOOKUP($G195,'KO Calc'!$H201:$AW201,39,FALSE)),IF(AND($S$3=TRUE,$S$4=TRUE),IF(OR($Q$4=TRUE,$Q$5=TRUE,$S$2=TRUE),VLOOKUP($G195,'KO Calc'!$H:$AW,29,FALSE),VLOOKUP($G195,'KO Calc'!$H201:$AW201,29,FALSE)))))))))))))</f>
        <v>-</v>
      </c>
      <c r="K195" s="36" t="str">
        <f>IF(AND($Q$1=FALSE,$S$3=FALSE),"-",IF(AND($Q$1=TRUE,$S$3=TRUE),"-",IF(AND($Q$1=FALSE,$S$3=FALSE),"-",IF(AND($Q$1=TRUE,$S$1=TRUE,$S$4=FALSE)=TRUE,IF(OR($Q$4=TRUE,$Q$5=TRUE,$S$2=TRUE),VLOOKUP($G195,'KO Calc'!$H:$AW,15,FALSE),VLOOKUP($G195,'KO Calc'!$H201:$AW201,15,FALSE)),IF(AND($Q$1=TRUE,$S$4=FALSE),IF(OR($Q$4=TRUE,$Q$5=TRUE,$S$2=TRUE),VLOOKUP($G195,'KO Calc'!$H:$AW,5,FALSE),VLOOKUP($G195,'KO Calc'!$H201:$AW201,5,FALSE)),
IF(AND($Q$1=TRUE,$S$1=TRUE,$S$4=TRUE)=TRUE,IF(OR($Q$4=TRUE,$Q$5=TRUE,$S$2=TRUE),VLOOKUP($G195,'KO Calc'!$H:$AW,20,FALSE),VLOOKUP($G195,'KO Calc'!$H201:$AW201,20,FALSE)),IF(AND($Q$1=TRUE,$S$4=TRUE),IF(OR($Q$4=TRUE,$Q$5=TRUE,$S$2=TRUE),VLOOKUP($G195,'KO Calc'!$H:$AW,10,FALSE),VLOOKUP($G195,'KO Calc'!$H201:$AW201,10,FALSE)),
IF(AND($S$3=TRUE,$S$1=TRUE,$S$4=FALSE)=TRUE,IF(OR($Q$4=TRUE,$Q$5=TRUE,$S$2=TRUE),VLOOKUP($G195,'KO Calc'!$H:$AW,35,FALSE),VLOOKUP($G195,'KO Calc'!$H201:$AW201,35,FALSE)),IF(AND($S$3=TRUE,$S$4=FALSE),IF(OR($Q$4=TRUE,$Q$5=TRUE,$S$2=TRUE),VLOOKUP($G195,'KO Calc'!$H:$AW,25,FALSE),VLOOKUP($G195,'KO Calc'!$H201:$AW201,25,FALSE)),
IF(AND($S$3=TRUE,$S$1=TRUE,$S$4=TRUE)=TRUE,IF(OR($Q$4=TRUE,$Q$5=TRUE,$S$2=TRUE),VLOOKUP($G195,'KO Calc'!$H:$AW,40,FALSE),VLOOKUP($G195,'KO Calc'!$H201:$AW201,40,FALSE)),IF(AND($S$3=TRUE,$S$4=TRUE),IF(OR($Q$4=TRUE,$Q$5=TRUE,$S$2=TRUE),VLOOKUP($G195,'KO Calc'!$H:$AW,30,FALSE),VLOOKUP($G195,'KO Calc'!$H201:$AW201,30,FALSE)))))))))))))</f>
        <v>-</v>
      </c>
      <c r="L195" s="36" t="str">
        <f>IFERROR(IF(AND($Q$1=FALSE,$S$3=FALSE),"-",VLOOKUP($E195,'Status Thresholds'!$E:$AU,43,FALSE)),"-")</f>
        <v>-</v>
      </c>
      <c r="M195" s="36" t="str">
        <f>IFERROR(IF(AND($Q$1=FALSE,$S$3=FALSE),"-",VLOOKUP($E195,'Status Thresholds'!$E:$AU,41,FALSE)),"-")</f>
        <v>-</v>
      </c>
      <c r="N195" s="36" t="str">
        <f>IFERROR(IF(AND($Q$1=FALSE,$S$3=FALSE),"-",VLOOKUP($E195,'Status Thresholds'!$E:$AU,42,FALSE)),"-")</f>
        <v>-</v>
      </c>
    </row>
    <row r="196" spans="1:14" x14ac:dyDescent="0.25">
      <c r="B196" s="64" t="str">
        <f>VLOOKUP(C196,'Status Thresholds'!B:C,2,FALSE)</f>
        <v>MHGU</v>
      </c>
      <c r="C196" s="46" t="str">
        <f>IF(ISBLANK('KO Calc'!C192)=TRUE,"",'KO Calc'!C192)</f>
        <v>Congalala</v>
      </c>
      <c r="D196" s="78"/>
      <c r="E196" s="62" t="str">
        <f t="shared" si="5"/>
        <v>Congalala</v>
      </c>
      <c r="F196" t="s">
        <v>11</v>
      </c>
      <c r="G196" s="36" t="str">
        <f t="shared" si="6"/>
        <v>CongalalaCrag 1</v>
      </c>
      <c r="H196" s="36" t="str">
        <f>IF(AND($Q$1=FALSE,$S$3=FALSE),"-",IF(AND($Q$1=TRUE,$S$3=TRUE),"-",IF(AND($Q$1=FALSE,$S$3=FALSE),"-",IF(AND($Q$1=TRUE,$S$1=TRUE,$S$4=FALSE)=TRUE,IF(OR($Q$4=TRUE,$Q$5=TRUE,$S$2=TRUE),VLOOKUP($G196,'KO Calc'!$H:$AW,12,FALSE),VLOOKUP($G196,'KO Calc'!$H202:$AW202,12,FALSE)),IF(AND($Q$1=TRUE,$S$4=FALSE),IF(OR($Q$4=TRUE,$Q$5=TRUE,$S$2=TRUE),VLOOKUP($G196,'KO Calc'!$H:$AW,2,FALSE),VLOOKUP($G196,'KO Calc'!$H202:$AW202,2,FALSE)),
IF(AND($Q$1=TRUE,$S$1=TRUE,$S$4=TRUE)=TRUE,IF(OR($Q$4=TRUE,$Q$5=TRUE,$S$2=TRUE),VLOOKUP($G196,'KO Calc'!$H:$AW,17,FALSE),VLOOKUP($G196,'KO Calc'!$H202:$AW202,17,FALSE)),IF(AND($Q$1=TRUE,$S$4=TRUE),IF(OR($Q$4=TRUE,$Q$5=TRUE,$S$2=TRUE),VLOOKUP($G196,'KO Calc'!$H:$AW,7,FALSE),VLOOKUP($G196,'KO Calc'!$H202:$AW202,7,FALSE)),
IF(AND($S$3=TRUE,$S$1=TRUE,$S$4=FALSE)=TRUE,IF(OR($Q$4=TRUE,$Q$5=TRUE,$S$2=TRUE),VLOOKUP($G196,'KO Calc'!$H:$AW,32,FALSE),VLOOKUP($G196,'KO Calc'!$H202:$AW202,32,FALSE)),IF(AND($S$3=TRUE,$S$4=FALSE),IF(OR($Q$4=TRUE,$Q$5=TRUE,$S$2=TRUE),VLOOKUP($G196,'KO Calc'!$H:$AW,22,FALSE),VLOOKUP($G196,'KO Calc'!$H202:$AW202,22,FALSE)),
IF(AND($S$3=TRUE,$S$1=TRUE,$S$4=TRUE)=TRUE,IF(OR($Q$4=TRUE,$Q$5=TRUE,$S$2=TRUE),VLOOKUP($G196,'KO Calc'!$H:$AW,37,FALSE),VLOOKUP($G196,'KO Calc'!$H202:$AW202,37,FALSE)),IF(AND($S$3=TRUE,$S$4=TRUE),IF(OR($Q$4=TRUE,$Q$5=TRUE,$S$2=TRUE),VLOOKUP($G196,'KO Calc'!$H:$AW,27,FALSE),VLOOKUP($G196,'KO Calc'!$H202:$AW202,27,FALSE)))))))))))))</f>
        <v>-</v>
      </c>
      <c r="I196" s="36" t="str">
        <f>IF(AND($Q$1=FALSE,$S$3=FALSE),"-",IF(AND($Q$1=TRUE,$S$3=TRUE),"-",IF(AND($Q$1=FALSE,$S$3=FALSE),"-",IF(AND($Q$1=TRUE,$S$1=TRUE,$S$4=FALSE)=TRUE,IF(OR($Q$4=TRUE,$Q$5=TRUE,$S$2=TRUE),VLOOKUP($G196,'KO Calc'!$H:$AW,13,FALSE),VLOOKUP($G196,'KO Calc'!$H202:$AW202,13,FALSE)),IF(AND($Q$1=TRUE,$S$4=FALSE),IF(OR($Q$4=TRUE,$Q$5=TRUE,$S$2=TRUE),VLOOKUP($G196,'KO Calc'!$H:$AW,3,FALSE),VLOOKUP($G196,'KO Calc'!$H202:$AW202,3,FALSE)),
IF(AND($Q$1=TRUE,$S$1=TRUE,$S$4=TRUE)=TRUE,IF(OR($Q$4=TRUE,$Q$5=TRUE,$S$2=TRUE),VLOOKUP($G196,'KO Calc'!$H:$AW,18,FALSE),VLOOKUP($G196,'KO Calc'!$H202:$AW202,18,FALSE)),IF(AND($Q$1=TRUE,$S$4=TRUE),IF(OR($Q$4=TRUE,$Q$5=TRUE,$S$2=TRUE),VLOOKUP($G196,'KO Calc'!$H:$AW,8,FALSE),VLOOKUP($G196,'KO Calc'!$H202:$AW202,8,FALSE)),
IF(AND($S$3=TRUE,$S$1=TRUE,$S$4=FALSE)=TRUE,IF(OR($Q$4=TRUE,$Q$5=TRUE,$S$2=TRUE),VLOOKUP($G196,'KO Calc'!$H:$AW,33,FALSE),VLOOKUP($G196,'KO Calc'!$H202:$AW202,33,FALSE)),IF(AND($S$3=TRUE,$S$4=FALSE),IF(OR($Q$4=TRUE,$Q$5=TRUE,$S$2=TRUE),VLOOKUP($G196,'KO Calc'!$H:$AW,23,FALSE),VLOOKUP($G196,'KO Calc'!$H202:$AW202,23,FALSE)),
IF(AND($S$3=TRUE,$S$1=TRUE,$S$4=TRUE)=TRUE,IF(OR($Q$4=TRUE,$Q$5=TRUE,$S$2=TRUE),VLOOKUP($G196,'KO Calc'!$H:$AW,38,FALSE),VLOOKUP($G196,'KO Calc'!$H202:$AW202,38,FALSE)),IF(AND($S$3=TRUE,$S$4=TRUE),IF(OR($Q$4=TRUE,$Q$5=TRUE,$S$2=TRUE),VLOOKUP($G196,'KO Calc'!$H:$AW,28,FALSE),VLOOKUP($G196,'KO Calc'!$H202:$AW202,28,FALSE)))))))))))))</f>
        <v>-</v>
      </c>
      <c r="J196" s="36" t="str">
        <f>IF(AND($Q$1=FALSE,$S$3=FALSE),"-",IF(AND($Q$1=TRUE,$S$3=TRUE),"-",IF(AND($Q$1=FALSE,$S$3=FALSE),"-",IF(AND($Q$1=TRUE,$S$1=TRUE,$S$4=FALSE)=TRUE,IF(OR($Q$4=TRUE,$Q$5=TRUE,$S$2=TRUE),VLOOKUP($G196,'KO Calc'!$H:$AW,FALSE),VLOOKUP($G196,'KO Calc'!$H202:$AW202,14,FALSE)),IF(AND($Q$1=TRUE,$S$4=FALSE),IF(OR($Q$4=TRUE,$Q$5=TRUE,$S$2=TRUE),VLOOKUP($G196,'KO Calc'!$H:$AW,4,FALSE),VLOOKUP($G196,'KO Calc'!$H202:$AW202,4,FALSE)),
IF(AND($Q$1=TRUE,$S$1=TRUE,$S$4=TRUE)=TRUE,IF(OR($Q$4=TRUE,$Q$5=TRUE,$S$2=TRUE),VLOOKUP($G196,'KO Calc'!$H:$AW,19,FALSE),VLOOKUP($G196,'KO Calc'!$H202:$AW202,19,FALSE)),IF(AND($Q$1=TRUE,$S$4=TRUE),IF(OR($Q$4=TRUE,$Q$5=TRUE,$S$2=TRUE),VLOOKUP($G196,'KO Calc'!$H:$AW,9,FALSE),VLOOKUP($G196,'KO Calc'!$H202:$AW202,9,FALSE)),
IF(AND($S$3=TRUE,$S$1=TRUE,$S$4=FALSE)=TRUE,IF(OR($Q$4=TRUE,$Q$5=TRUE,$S$2=TRUE),VLOOKUP($G196,'KO Calc'!$H:$AW,34,FALSE),VLOOKUP($G196,'KO Calc'!$H202:$AW202,34,FALSE)),IF(AND($S$3=TRUE,$S$4=FALSE),IF(OR($Q$4=TRUE,$Q$5=TRUE,$S$2=TRUE),VLOOKUP($G196,'KO Calc'!$H:$AW,24,FALSE),VLOOKUP($G196,'KO Calc'!$H202:$AW202,24,FALSE)),
IF(AND($S$3=TRUE,$S$1=TRUE,$S$4=TRUE)=TRUE,IF(OR($Q$4=TRUE,$Q$5=TRUE,$S$2=TRUE),VLOOKUP($G196,'KO Calc'!$H:$AW,39,FALSE),VLOOKUP($G196,'KO Calc'!$H202:$AW202,39,FALSE)),IF(AND($S$3=TRUE,$S$4=TRUE),IF(OR($Q$4=TRUE,$Q$5=TRUE,$S$2=TRUE),VLOOKUP($G196,'KO Calc'!$H:$AW,29,FALSE),VLOOKUP($G196,'KO Calc'!$H202:$AW202,29,FALSE)))))))))))))</f>
        <v>-</v>
      </c>
      <c r="K196" s="36" t="str">
        <f>IF(AND($Q$1=FALSE,$S$3=FALSE),"-",IF(AND($Q$1=TRUE,$S$3=TRUE),"-",IF(AND($Q$1=FALSE,$S$3=FALSE),"-",IF(AND($Q$1=TRUE,$S$1=TRUE,$S$4=FALSE)=TRUE,IF(OR($Q$4=TRUE,$Q$5=TRUE,$S$2=TRUE),VLOOKUP($G196,'KO Calc'!$H:$AW,15,FALSE),VLOOKUP($G196,'KO Calc'!$H202:$AW202,15,FALSE)),IF(AND($Q$1=TRUE,$S$4=FALSE),IF(OR($Q$4=TRUE,$Q$5=TRUE,$S$2=TRUE),VLOOKUP($G196,'KO Calc'!$H:$AW,5,FALSE),VLOOKUP($G196,'KO Calc'!$H202:$AW202,5,FALSE)),
IF(AND($Q$1=TRUE,$S$1=TRUE,$S$4=TRUE)=TRUE,IF(OR($Q$4=TRUE,$Q$5=TRUE,$S$2=TRUE),VLOOKUP($G196,'KO Calc'!$H:$AW,20,FALSE),VLOOKUP($G196,'KO Calc'!$H202:$AW202,20,FALSE)),IF(AND($Q$1=TRUE,$S$4=TRUE),IF(OR($Q$4=TRUE,$Q$5=TRUE,$S$2=TRUE),VLOOKUP($G196,'KO Calc'!$H:$AW,10,FALSE),VLOOKUP($G196,'KO Calc'!$H202:$AW202,10,FALSE)),
IF(AND($S$3=TRUE,$S$1=TRUE,$S$4=FALSE)=TRUE,IF(OR($Q$4=TRUE,$Q$5=TRUE,$S$2=TRUE),VLOOKUP($G196,'KO Calc'!$H:$AW,35,FALSE),VLOOKUP($G196,'KO Calc'!$H202:$AW202,35,FALSE)),IF(AND($S$3=TRUE,$S$4=FALSE),IF(OR($Q$4=TRUE,$Q$5=TRUE,$S$2=TRUE),VLOOKUP($G196,'KO Calc'!$H:$AW,25,FALSE),VLOOKUP($G196,'KO Calc'!$H202:$AW202,25,FALSE)),
IF(AND($S$3=TRUE,$S$1=TRUE,$S$4=TRUE)=TRUE,IF(OR($Q$4=TRUE,$Q$5=TRUE,$S$2=TRUE),VLOOKUP($G196,'KO Calc'!$H:$AW,40,FALSE),VLOOKUP($G196,'KO Calc'!$H202:$AW202,40,FALSE)),IF(AND($S$3=TRUE,$S$4=TRUE),IF(OR($Q$4=TRUE,$Q$5=TRUE,$S$2=TRUE),VLOOKUP($G196,'KO Calc'!$H:$AW,30,FALSE),VLOOKUP($G196,'KO Calc'!$H202:$AW202,30,FALSE)))))))))))))</f>
        <v>-</v>
      </c>
      <c r="L196" s="36" t="str">
        <f>IFERROR(VLOOKUP($E196,'Status Thresholds'!$E:$AS,41,FALSE),"-")</f>
        <v>-</v>
      </c>
    </row>
    <row r="197" spans="1:14" x14ac:dyDescent="0.25">
      <c r="B197" s="64" t="str">
        <f>VLOOKUP(C197,'Status Thresholds'!B:C,2,FALSE)</f>
        <v>MHGU</v>
      </c>
      <c r="C197" s="46" t="str">
        <f>IF(ISBLANK('KO Calc'!C193)=TRUE,"",'KO Calc'!C193)</f>
        <v>Congalala</v>
      </c>
      <c r="D197" s="78"/>
      <c r="E197" s="62"/>
      <c r="G197" s="36"/>
      <c r="L197" s="36" t="str">
        <f>IFERROR(VLOOKUP($E197,'Status Thresholds'!$E:$AS,41,FALSE),"-")</f>
        <v>-</v>
      </c>
    </row>
    <row r="198" spans="1:14" s="36" customFormat="1" x14ac:dyDescent="0.25">
      <c r="B198" s="64" t="str">
        <f>VLOOKUP(C198,'Status Thresholds'!B:C,2,FALSE)</f>
        <v>Deviant</v>
      </c>
      <c r="C198" s="46" t="str">
        <f>IF(ISBLANK('KO Calc'!C194)=TRUE,"",'KO Calc'!C194)</f>
        <v>Crystal beard Uragaan</v>
      </c>
      <c r="D198" s="65" t="s">
        <v>0</v>
      </c>
      <c r="E198" s="62" t="str">
        <f t="shared" si="5"/>
        <v>Crystal beard UragaanPara</v>
      </c>
      <c r="F198" s="36" t="s">
        <v>2</v>
      </c>
      <c r="G198" s="36" t="str">
        <f t="shared" si="6"/>
        <v>Crystal beard UragaanPara lvl 2</v>
      </c>
      <c r="H198" s="36" t="str">
        <f>IFERROR(ROUNDUP(IF(AND($Q$1=FALSE,$S$3=FALSE),"-",IF(AND($Q$1=TRUE,$S$3=TRUE),"-",IF(AND($Q$1=TRUE,$S$1=TRUE,$S$4=FALSE),VLOOKUP($E198,'Status Thresholds'!$E:$AS,12,FALSE),IF(AND($Q$1=TRUE,$S$4=FALSE),VLOOKUP($E198,'Status Thresholds'!$E:$AS,2,FALSE), IF(AND($Q$1=TRUE,$S$1=TRUE,$S$4=TRUE),VLOOKUP($E198,'Status Thresholds'!$E:$AS,17,FALSE),IF(AND($Q$1=TRUE,$S$4=TRUE),VLOOKUP($E198,'Status Thresholds'!$E:$AS,7,FALSE),IF(AND($S$3=TRUE,$S$1=TRUE,$S$4=FALSE),VLOOKUP($E198,'Status Thresholds'!$E:$AS,32,FALSE),IF(AND($S$3=TRUE,$S$4=FALSE),VLOOKUP($E198,'Status Thresholds'!$E:$AS,22,FALSE),IF(AND($S$3=TRUE,$S$1=TRUE,$S$4=TRUE),VLOOKUP($E198,'Status Thresholds'!$E:$AS,37,FALSE),IF(AND($S$3=TRUE,$S$4=TRUE),VLOOKUP($E198,'Status Thresholds'!$E:$AS,27,FALSE),""))))))))/IF(OR($Q$3=TRUE,AND($Q$2=TRUE,$Q$7=TRUE),AND($Q$3=TRUE,$Q$7=TRUE))=TRUE,'Shots and Status'!$F$5,IF((OR($Q$2,$Q$7)=TRUE),'Shots and Status'!$D$5,'Shots and Status'!$C$5)))),0),"-")</f>
        <v>-</v>
      </c>
      <c r="I198" s="36" t="str">
        <f>IFERROR(ROUNDUP(IF(AND($Q$1=FALSE,$S$3=FALSE),"-",IF(AND($Q$1=TRUE,$S$3=TRUE),"-",IF(AND($Q$1=TRUE,$S$1=TRUE,$S$4=FALSE),VLOOKUP($E198,'Status Thresholds'!$E:$AS,13,FALSE),IF(AND($Q$1=TRUE,$S$4=FALSE),VLOOKUP($E198,'Status Thresholds'!$E:$AS,3,FALSE), IF(AND($Q$1=TRUE,$S$1=TRUE,$S$4=TRUE),VLOOKUP($E198,'Status Thresholds'!$E:$AS,18,FALSE),IF(AND($Q$1=TRUE,$S$4=TRUE),VLOOKUP($E198,'Status Thresholds'!$E:$AS,8,FALSE),IF(AND($S$3=TRUE,$S$1=TRUE,$S$4=FALSE),VLOOKUP($E198,'Status Thresholds'!$E:$AS,33,FALSE),IF(AND($S$3=TRUE,$S$4=FALSE),VLOOKUP($E198,'Status Thresholds'!$E:$AS,23,FALSE),IF(AND($S$3=TRUE,$S$1=TRUE,$S$4=TRUE),VLOOKUP($E198,'Status Thresholds'!$E:$AS,38,FALSE),IF(AND($S$3=TRUE,$S$4=TRUE),VLOOKUP($E198,'Status Thresholds'!$E:$AS,28,FALSE),""))))))))/IF(OR($Q$3=TRUE,AND($Q$2=TRUE,$Q$7=TRUE),AND($Q$3=TRUE,$Q$7=TRUE))=TRUE,'Shots and Status'!$F$5,IF((OR($Q$2,$Q$7)=TRUE),'Shots and Status'!$D$5,'Shots and Status'!$C$5)))),0),"-")</f>
        <v>-</v>
      </c>
      <c r="J198" s="36" t="str">
        <f>IFERROR(ROUNDUP(IF(AND($Q$1=FALSE,$S$3=FALSE),"-",IF(AND($Q$1=TRUE,$S$3=TRUE),"-",IF(AND($Q$1=TRUE,$S$1=TRUE,$S$4=FALSE),VLOOKUP($E198,'Status Thresholds'!$E:$AS,14,FALSE),IF(AND($Q$1=TRUE,$S$4=FALSE),VLOOKUP($E198,'Status Thresholds'!$E:$AS,4,FALSE), IF(AND($Q$1=TRUE,$S$1=TRUE,$S$4=TRUE),VLOOKUP($E198,'Status Thresholds'!$E:$AS,19,FALSE),IF(AND($Q$1=TRUE,$S$4=TRUE),VLOOKUP($E198,'Status Thresholds'!$E:$AS,9,FALSE),IF(AND($S$3=TRUE,$S$1=TRUE,$S$4=FALSE),VLOOKUP($E198,'Status Thresholds'!$E:$AS,34,FALSE),IF(AND($S$3=TRUE,$S$4=FALSE),VLOOKUP($E198,'Status Thresholds'!$E:$AS,24,FALSE),IF(AND($S$3=TRUE,$S$1=TRUE,$S$4=TRUE),VLOOKUP($E198,'Status Thresholds'!$E:$AS,39,FALSE),IF(AND($S$3=TRUE,$S$4=TRUE),VLOOKUP($E198,'Status Thresholds'!$E:$AS,29,FALSE),""))))))))/IF(OR($Q$3=TRUE,AND($Q$2=TRUE,$Q$7=TRUE),AND($Q$3=TRUE,$Q$7=TRUE))=TRUE,'Shots and Status'!$F$5,IF((OR($Q$2,$Q$7)=TRUE),'Shots and Status'!$D$5,'Shots and Status'!$C$5)))),0),"-")</f>
        <v>-</v>
      </c>
      <c r="K198" s="36" t="str">
        <f>IFERROR(ROUNDUP(IF(AND($Q$1=FALSE,$S$3=FALSE),"-",IF(AND($Q$1=TRUE,$S$3=TRUE),"-",IF(AND($Q$1=TRUE,$S$1=TRUE,$S$4=FALSE),VLOOKUP($E198,'Status Thresholds'!$E:$AS,15,FALSE),IF(AND($Q$1=TRUE,$S$4=FALSE),VLOOKUP($E198,'Status Thresholds'!$E:$AS,5,FALSE), IF(AND($Q$1=TRUE,$S$1=TRUE,$S$4=TRUE),VLOOKUP($E198,'Status Thresholds'!$E:$AS,20,FALSE),IF(AND($Q$1=TRUE,$S$4=TRUE),VLOOKUP($E198,'Status Thresholds'!$E:$AS,10,FALSE),IF(AND($S$3=TRUE,$S$1=TRUE,$S$4=FALSE),VLOOKUP($E198,'Status Thresholds'!$E:$AS,35,FALSE),IF(AND($S$3=TRUE,$S$4=FALSE),VLOOKUP($E198,'Status Thresholds'!$E:$AS,25,FALSE),IF(AND($S$3=TRUE,$S$1=TRUE,$S$4=TRUE),VLOOKUP($E198,'Status Thresholds'!$E:$AS,40,FALSE),IF(AND($S$3=TRUE,$S$4=TRUE),VLOOKUP($E198,'Status Thresholds'!$E:$AS,30,FALSE),""))))))))/IF(OR($Q$3=TRUE,AND($Q$2=TRUE,$Q$7=TRUE),AND($Q$3=TRUE,$Q$7=TRUE))=TRUE,'Shots and Status'!$F$5,IF((OR($Q$2,$Q$7)=TRUE),'Shots and Status'!$D$5,'Shots and Status'!$C$5)))),0),"-")</f>
        <v>-</v>
      </c>
      <c r="L198" s="36" t="str">
        <f>IFERROR(IF(AND($Q$1=FALSE,$S$3=FALSE),"-",VLOOKUP($E198,'Status Thresholds'!$E:$AU,41,FALSE)),"-")</f>
        <v>-</v>
      </c>
      <c r="M198" s="36" t="str">
        <f>IFERROR(IF(AND($Q$1=FALSE,$S$3=FALSE),"-",VLOOKUP($E198,'Status Thresholds'!$E:$AU,42,FALSE)),"-")</f>
        <v>-</v>
      </c>
      <c r="N198" s="36" t="str">
        <f>IFERROR(IF(AND($Q$1=FALSE,$S$3=FALSE),"-",VLOOKUP($E198,'Status Thresholds'!$E:$AU,43,FALSE)),"-")</f>
        <v>-</v>
      </c>
    </row>
    <row r="199" spans="1:14" s="59" customFormat="1" x14ac:dyDescent="0.25">
      <c r="A199" s="46"/>
      <c r="B199" s="64" t="str">
        <f>VLOOKUP(C199,'Status Thresholds'!B:C,2,FALSE)</f>
        <v>Deviant</v>
      </c>
      <c r="C199" s="46" t="str">
        <f>IF(ISBLANK('KO Calc'!C195)=TRUE,"",'KO Calc'!C195)</f>
        <v>Crystal beard Uragaan</v>
      </c>
      <c r="D199" s="60" t="s">
        <v>32</v>
      </c>
      <c r="E199" s="62" t="str">
        <f t="shared" si="5"/>
        <v>Crystal beard UragaanSleep</v>
      </c>
      <c r="F199" s="59" t="s">
        <v>5</v>
      </c>
      <c r="G199" s="36" t="str">
        <f t="shared" si="6"/>
        <v>Crystal beard UragaanSleep lvl 2</v>
      </c>
      <c r="H199" s="36" t="str">
        <f>IFERROR(ROUNDUP(IF(AND($Q$1=FALSE,$S$3=FALSE),"-",IF(AND($Q$1=TRUE,$S$3=TRUE),"-",IF(AND($Q$1=TRUE,$S$1=TRUE,$S$4=FALSE),VLOOKUP($E199,'Status Thresholds'!$E:$AS,12,FALSE),IF(AND($Q$1=TRUE,$S$4=FALSE),VLOOKUP($E199,'Status Thresholds'!$E:$AS,2,FALSE), IF(AND($Q$1=TRUE,$S$1=TRUE,$S$4=TRUE),VLOOKUP($E199,'Status Thresholds'!$E:$AS,17,FALSE),IF(AND($Q$1=TRUE,$S$4=TRUE),VLOOKUP($E199,'Status Thresholds'!$E:$AS,7,FALSE),IF(AND($S$3=TRUE,$S$1=TRUE,$S$4=FALSE),VLOOKUP($E199,'Status Thresholds'!$E:$AS,32,FALSE),IF(AND($S$3=TRUE,$S$4=FALSE),VLOOKUP($E199,'Status Thresholds'!$E:$AS,22,FALSE),IF(AND($S$3=TRUE,$S$1=TRUE,$S$4=TRUE),VLOOKUP($E199,'Status Thresholds'!$E:$AS,37,FALSE),IF(AND($S$3=TRUE,$S$4=TRUE),VLOOKUP($E199,'Status Thresholds'!$E:$AS,27,FALSE),""))))))))/IF(OR($Q$3=TRUE,AND($Q$2=TRUE,$Q$7=TRUE),AND($Q$3=TRUE,$Q$7=TRUE))=TRUE,'Shots and Status'!$F$5,IF((OR($Q$2,$Q$7)=TRUE),'Shots and Status'!$D$5,'Shots and Status'!$C$5)))),0),"-")</f>
        <v>-</v>
      </c>
      <c r="I199" s="36" t="str">
        <f>IFERROR(ROUNDUP(IF(AND($Q$1=FALSE,$S$3=FALSE),"-",IF(AND($Q$1=TRUE,$S$3=TRUE),"-",IF(AND($Q$1=TRUE,$S$1=TRUE,$S$4=FALSE),VLOOKUP($E199,'Status Thresholds'!$E:$AS,13,FALSE),IF(AND($Q$1=TRUE,$S$4=FALSE),VLOOKUP($E199,'Status Thresholds'!$E:$AS,3,FALSE), IF(AND($Q$1=TRUE,$S$1=TRUE,$S$4=TRUE),VLOOKUP($E199,'Status Thresholds'!$E:$AS,18,FALSE),IF(AND($Q$1=TRUE,$S$4=TRUE),VLOOKUP($E199,'Status Thresholds'!$E:$AS,8,FALSE),IF(AND($S$3=TRUE,$S$1=TRUE,$S$4=FALSE),VLOOKUP($E199,'Status Thresholds'!$E:$AS,33,FALSE),IF(AND($S$3=TRUE,$S$4=FALSE),VLOOKUP($E199,'Status Thresholds'!$E:$AS,23,FALSE),IF(AND($S$3=TRUE,$S$1=TRUE,$S$4=TRUE),VLOOKUP($E199,'Status Thresholds'!$E:$AS,38,FALSE),IF(AND($S$3=TRUE,$S$4=TRUE),VLOOKUP($E199,'Status Thresholds'!$E:$AS,28,FALSE),""))))))))/IF(OR($Q$3=TRUE,AND($Q$2=TRUE,$Q$7=TRUE),AND($Q$3=TRUE,$Q$7=TRUE))=TRUE,'Shots and Status'!$F$5,IF((OR($Q$2,$Q$7)=TRUE),'Shots and Status'!$D$5,'Shots and Status'!$C$5)))),0),"-")</f>
        <v>-</v>
      </c>
      <c r="J199" s="36" t="str">
        <f>IFERROR(ROUNDUP(IF(AND($Q$1=FALSE,$S$3=FALSE),"-",IF(AND($Q$1=TRUE,$S$3=TRUE),"-",IF(AND($Q$1=TRUE,$S$1=TRUE,$S$4=FALSE),VLOOKUP($E199,'Status Thresholds'!$E:$AS,14,FALSE),IF(AND($Q$1=TRUE,$S$4=FALSE),VLOOKUP($E199,'Status Thresholds'!$E:$AS,4,FALSE), IF(AND($Q$1=TRUE,$S$1=TRUE,$S$4=TRUE),VLOOKUP($E199,'Status Thresholds'!$E:$AS,19,FALSE),IF(AND($Q$1=TRUE,$S$4=TRUE),VLOOKUP($E199,'Status Thresholds'!$E:$AS,9,FALSE),IF(AND($S$3=TRUE,$S$1=TRUE,$S$4=FALSE),VLOOKUP($E199,'Status Thresholds'!$E:$AS,34,FALSE),IF(AND($S$3=TRUE,$S$4=FALSE),VLOOKUP($E199,'Status Thresholds'!$E:$AS,24,FALSE),IF(AND($S$3=TRUE,$S$1=TRUE,$S$4=TRUE),VLOOKUP($E199,'Status Thresholds'!$E:$AS,39,FALSE),IF(AND($S$3=TRUE,$S$4=TRUE),VLOOKUP($E199,'Status Thresholds'!$E:$AS,29,FALSE),""))))))))/IF(OR($Q$3=TRUE,AND($Q$2=TRUE,$Q$7=TRUE),AND($Q$3=TRUE,$Q$7=TRUE))=TRUE,'Shots and Status'!$F$5,IF((OR($Q$2,$Q$7)=TRUE),'Shots and Status'!$D$5,'Shots and Status'!$C$5)))),0),"-")</f>
        <v>-</v>
      </c>
      <c r="K199" s="36" t="str">
        <f>IFERROR(ROUNDUP(IF(AND($Q$1=FALSE,$S$3=FALSE),"-",IF(AND($Q$1=TRUE,$S$3=TRUE),"-",IF(AND($Q$1=TRUE,$S$1=TRUE,$S$4=FALSE),VLOOKUP($E199,'Status Thresholds'!$E:$AS,15,FALSE),IF(AND($Q$1=TRUE,$S$4=FALSE),VLOOKUP($E199,'Status Thresholds'!$E:$AS,5,FALSE), IF(AND($Q$1=TRUE,$S$1=TRUE,$S$4=TRUE),VLOOKUP($E199,'Status Thresholds'!$E:$AS,20,FALSE),IF(AND($Q$1=TRUE,$S$4=TRUE),VLOOKUP($E199,'Status Thresholds'!$E:$AS,10,FALSE),IF(AND($S$3=TRUE,$S$1=TRUE,$S$4=FALSE),VLOOKUP($E199,'Status Thresholds'!$E:$AS,35,FALSE),IF(AND($S$3=TRUE,$S$4=FALSE),VLOOKUP($E199,'Status Thresholds'!$E:$AS,25,FALSE),IF(AND($S$3=TRUE,$S$1=TRUE,$S$4=TRUE),VLOOKUP($E199,'Status Thresholds'!$E:$AS,40,FALSE),IF(AND($S$3=TRUE,$S$4=TRUE),VLOOKUP($E199,'Status Thresholds'!$E:$AS,30,FALSE),""))))))))/IF(OR($Q$3=TRUE,AND($Q$2=TRUE,$Q$7=TRUE),AND($Q$3=TRUE,$Q$7=TRUE))=TRUE,'Shots and Status'!$F$5,IF((OR($Q$2,$Q$7)=TRUE),'Shots and Status'!$D$5,'Shots and Status'!$C$5)))),0),"-")</f>
        <v>-</v>
      </c>
      <c r="L199" s="36" t="str">
        <f>IFERROR(IF(AND($Q$1=FALSE,$S$3=FALSE),"-",VLOOKUP($E199,'Status Thresholds'!$E:$AU,41,FALSE)),"-")</f>
        <v>-</v>
      </c>
      <c r="M199" s="36" t="str">
        <f>IFERROR(IF(AND($Q$1=FALSE,$S$3=FALSE),"-",VLOOKUP($E199,'Status Thresholds'!$E:$AU,42,FALSE)),"-")</f>
        <v>-</v>
      </c>
      <c r="N199" s="36" t="str">
        <f>IFERROR(IF(AND($Q$1=FALSE,$S$3=FALSE),"-",VLOOKUP($E199,'Status Thresholds'!$E:$AU,43,FALSE)),"-")</f>
        <v>-</v>
      </c>
    </row>
    <row r="200" spans="1:14" s="59" customFormat="1" x14ac:dyDescent="0.25">
      <c r="A200" s="46"/>
      <c r="B200" s="64" t="str">
        <f>VLOOKUP(C200,'Status Thresholds'!B:C,2,FALSE)</f>
        <v>Deviant</v>
      </c>
      <c r="C200" s="46" t="str">
        <f>IF(ISBLANK('KO Calc'!C196)=TRUE,"",'KO Calc'!C196)</f>
        <v>Crystal beard Uragaan</v>
      </c>
      <c r="D200" s="58" t="s">
        <v>33</v>
      </c>
      <c r="E200" s="62" t="str">
        <f t="shared" si="5"/>
        <v>Crystal beard UragaanPoison</v>
      </c>
      <c r="F200" s="59" t="s">
        <v>6</v>
      </c>
      <c r="G200" s="36" t="str">
        <f t="shared" si="6"/>
        <v>Crystal beard UragaanPoison lvl 2</v>
      </c>
      <c r="H200" s="36" t="str">
        <f>IFERROR(ROUNDUP(IF(AND($Q$1=FALSE,$S$3=FALSE),"-",IF(AND($Q$1=TRUE,$S$3=TRUE),"-",IF(AND($Q$1=TRUE,$S$1=TRUE,$S$4=FALSE),VLOOKUP($E200,'Status Thresholds'!$E:$AS,12,FALSE),IF(AND($Q$1=TRUE,$S$4=FALSE),VLOOKUP($E200,'Status Thresholds'!$E:$AS,2,FALSE), IF(AND($Q$1=TRUE,$S$1=TRUE,$S$4=TRUE),VLOOKUP($E200,'Status Thresholds'!$E:$AS,17,FALSE),IF(AND($Q$1=TRUE,$S$4=TRUE),VLOOKUP($E200,'Status Thresholds'!$E:$AS,7,FALSE),IF(AND($S$3=TRUE,$S$1=TRUE,$S$4=FALSE),VLOOKUP($E200,'Status Thresholds'!$E:$AS,32,FALSE),IF(AND($S$3=TRUE,$S$4=FALSE),VLOOKUP($E200,'Status Thresholds'!$E:$AS,22,FALSE),IF(AND($S$3=TRUE,$S$1=TRUE,$S$4=TRUE),VLOOKUP($E200,'Status Thresholds'!$E:$AS,37,FALSE),IF(AND($S$3=TRUE,$S$4=TRUE),VLOOKUP($E200,'Status Thresholds'!$E:$AS,27,FALSE),""))))))))/IF(OR($Q$3=TRUE,AND($Q$2=TRUE,$Q$7=TRUE),AND($Q$3=TRUE,$Q$7=TRUE))=TRUE,'Shots and Status'!$F$5,IF((OR($Q$2,$Q$7)=TRUE),'Shots and Status'!$D$5,'Shots and Status'!$C$5)))),0),"-")</f>
        <v>-</v>
      </c>
      <c r="I200" s="36" t="str">
        <f>IFERROR(ROUNDUP(IF(AND($Q$1=FALSE,$S$3=FALSE),"-",IF(AND($Q$1=TRUE,$S$3=TRUE),"-",IF(AND($Q$1=TRUE,$S$1=TRUE,$S$4=FALSE),VLOOKUP($E200,'Status Thresholds'!$E:$AS,13,FALSE),IF(AND($Q$1=TRUE,$S$4=FALSE),VLOOKUP($E200,'Status Thresholds'!$E:$AS,3,FALSE), IF(AND($Q$1=TRUE,$S$1=TRUE,$S$4=TRUE),VLOOKUP($E200,'Status Thresholds'!$E:$AS,18,FALSE),IF(AND($Q$1=TRUE,$S$4=TRUE),VLOOKUP($E200,'Status Thresholds'!$E:$AS,8,FALSE),IF(AND($S$3=TRUE,$S$1=TRUE,$S$4=FALSE),VLOOKUP($E200,'Status Thresholds'!$E:$AS,33,FALSE),IF(AND($S$3=TRUE,$S$4=FALSE),VLOOKUP($E200,'Status Thresholds'!$E:$AS,23,FALSE),IF(AND($S$3=TRUE,$S$1=TRUE,$S$4=TRUE),VLOOKUP($E200,'Status Thresholds'!$E:$AS,38,FALSE),IF(AND($S$3=TRUE,$S$4=TRUE),VLOOKUP($E200,'Status Thresholds'!$E:$AS,28,FALSE),""))))))))/IF(OR($Q$3=TRUE,AND($Q$2=TRUE,$Q$7=TRUE),AND($Q$3=TRUE,$Q$7=TRUE))=TRUE,'Shots and Status'!$F$5,IF((OR($Q$2,$Q$7)=TRUE),'Shots and Status'!$D$5,'Shots and Status'!$C$5)))),0),"-")</f>
        <v>-</v>
      </c>
      <c r="J200" s="36" t="str">
        <f>IFERROR(ROUNDUP(IF(AND($Q$1=FALSE,$S$3=FALSE),"-",IF(AND($Q$1=TRUE,$S$3=TRUE),"-",IF(AND($Q$1=TRUE,$S$1=TRUE,$S$4=FALSE),VLOOKUP($E200,'Status Thresholds'!$E:$AS,14,FALSE),IF(AND($Q$1=TRUE,$S$4=FALSE),VLOOKUP($E200,'Status Thresholds'!$E:$AS,4,FALSE), IF(AND($Q$1=TRUE,$S$1=TRUE,$S$4=TRUE),VLOOKUP($E200,'Status Thresholds'!$E:$AS,19,FALSE),IF(AND($Q$1=TRUE,$S$4=TRUE),VLOOKUP($E200,'Status Thresholds'!$E:$AS,9,FALSE),IF(AND($S$3=TRUE,$S$1=TRUE,$S$4=FALSE),VLOOKUP($E200,'Status Thresholds'!$E:$AS,34,FALSE),IF(AND($S$3=TRUE,$S$4=FALSE),VLOOKUP($E200,'Status Thresholds'!$E:$AS,24,FALSE),IF(AND($S$3=TRUE,$S$1=TRUE,$S$4=TRUE),VLOOKUP($E200,'Status Thresholds'!$E:$AS,39,FALSE),IF(AND($S$3=TRUE,$S$4=TRUE),VLOOKUP($E200,'Status Thresholds'!$E:$AS,29,FALSE),""))))))))/IF(OR($Q$3=TRUE,AND($Q$2=TRUE,$Q$7=TRUE),AND($Q$3=TRUE,$Q$7=TRUE))=TRUE,'Shots and Status'!$F$5,IF((OR($Q$2,$Q$7)=TRUE),'Shots and Status'!$D$5,'Shots and Status'!$C$5)))),0),"-")</f>
        <v>-</v>
      </c>
      <c r="K200" s="36" t="str">
        <f>IFERROR(ROUNDUP(IF(AND($Q$1=FALSE,$S$3=FALSE),"-",IF(AND($Q$1=TRUE,$S$3=TRUE),"-",IF(AND($Q$1=TRUE,$S$1=TRUE,$S$4=FALSE),VLOOKUP($E200,'Status Thresholds'!$E:$AS,15,FALSE),IF(AND($Q$1=TRUE,$S$4=FALSE),VLOOKUP($E200,'Status Thresholds'!$E:$AS,5,FALSE), IF(AND($Q$1=TRUE,$S$1=TRUE,$S$4=TRUE),VLOOKUP($E200,'Status Thresholds'!$E:$AS,20,FALSE),IF(AND($Q$1=TRUE,$S$4=TRUE),VLOOKUP($E200,'Status Thresholds'!$E:$AS,10,FALSE),IF(AND($S$3=TRUE,$S$1=TRUE,$S$4=FALSE),VLOOKUP($E200,'Status Thresholds'!$E:$AS,35,FALSE),IF(AND($S$3=TRUE,$S$4=FALSE),VLOOKUP($E200,'Status Thresholds'!$E:$AS,25,FALSE),IF(AND($S$3=TRUE,$S$1=TRUE,$S$4=TRUE),VLOOKUP($E200,'Status Thresholds'!$E:$AS,40,FALSE),IF(AND($S$3=TRUE,$S$4=TRUE),VLOOKUP($E200,'Status Thresholds'!$E:$AS,30,FALSE),""))))))))/IF(OR($Q$3=TRUE,AND($Q$2=TRUE,$Q$7=TRUE),AND($Q$3=TRUE,$Q$7=TRUE))=TRUE,'Shots and Status'!$F$5,IF((OR($Q$2,$Q$7)=TRUE),'Shots and Status'!$D$5,'Shots and Status'!$C$5)))),0),"-")</f>
        <v>-</v>
      </c>
      <c r="L200" s="36" t="str">
        <f>IFERROR(IF(AND($Q$1=FALSE,$S$3=FALSE),"-",VLOOKUP($E200,'Status Thresholds'!$E:$AU,41,FALSE)),"-")</f>
        <v>-</v>
      </c>
      <c r="M200" s="36" t="str">
        <f>IFERROR(IF(AND($Q$1=FALSE,$S$3=FALSE),"-",VLOOKUP($E200,'Status Thresholds'!$E:$AU,42,FALSE)),"-")</f>
        <v>-</v>
      </c>
      <c r="N200" s="36" t="str">
        <f>IFERROR(IF(AND($Q$1=FALSE,$S$3=FALSE),"-",VLOOKUP($E200,'Status Thresholds'!$E:$AU,43,FALSE)),"-")</f>
        <v>-</v>
      </c>
    </row>
    <row r="201" spans="1:14" s="36" customFormat="1" x14ac:dyDescent="0.25">
      <c r="A201" s="46"/>
      <c r="B201" s="64" t="str">
        <f>VLOOKUP(C201,'Status Thresholds'!B:C,2,FALSE)</f>
        <v>Deviant</v>
      </c>
      <c r="C201" s="46" t="str">
        <f>IF(ISBLANK('KO Calc'!C197)=TRUE,"",'KO Calc'!C197)</f>
        <v>Crystal beard Uragaan</v>
      </c>
      <c r="D201" s="57" t="s">
        <v>22</v>
      </c>
      <c r="E201" s="62" t="str">
        <f t="shared" si="5"/>
        <v>Crystal beard UragaanExhaust</v>
      </c>
      <c r="F201" s="36" t="s">
        <v>8</v>
      </c>
      <c r="G201" s="36" t="str">
        <f t="shared" si="6"/>
        <v>Crystal beard UragaanExhaust lvl 2</v>
      </c>
      <c r="H201" s="36" t="str">
        <f>IFERROR(ROUNDUP(IF(AND($Q$1=FALSE,$S$3=FALSE),"-",IF(AND($Q$1=TRUE,$S$3=TRUE),"-",IF(AND($Q$1=TRUE,$S$1=TRUE,$S$4=FALSE),VLOOKUP($E201,'Status Thresholds'!$E:$AS,12,FALSE),IF(AND($Q$1=TRUE,$S$4=FALSE),VLOOKUP($E201,'Status Thresholds'!$E:$AS,2,FALSE), IF(AND($Q$1=TRUE,$S$1=TRUE,$S$4=TRUE),VLOOKUP($E201,'Status Thresholds'!$E:$AS,17,FALSE),IF(AND($Q$1=TRUE,$S$4=TRUE),VLOOKUP($E201,'Status Thresholds'!$E:$AS,7,FALSE),IF(AND($S$3=TRUE,$S$1=TRUE,$S$4=FALSE),VLOOKUP($E201,'Status Thresholds'!$E:$AS,32,FALSE),IF(AND($S$3=TRUE,$S$4=FALSE),VLOOKUP($E201,'Status Thresholds'!$E:$AS,22,FALSE),IF(AND($S$3=TRUE,$S$1=TRUE,$S$4=TRUE),VLOOKUP($E201,'Status Thresholds'!$E:$AS,37,FALSE),IF(AND($S$3=TRUE,$S$4=TRUE),VLOOKUP($E201,'Status Thresholds'!$E:$AS,27,FALSE),""))))))))/IF(OR($Q$3=TRUE,AND($Q$2=TRUE,$Q$7=TRUE),AND($Q$3=TRUE,$Q$7=TRUE))=TRUE,'Shots and Status'!$F$5,IF((OR($Q$2,$Q$7)=TRUE),'Shots and Status'!$D$5,'Shots and Status'!$C$5)))),0),"-")</f>
        <v>-</v>
      </c>
      <c r="I201" s="36" t="str">
        <f>IFERROR(ROUNDUP(IF(AND($Q$1=FALSE,$S$3=FALSE),"-",IF(AND($Q$1=TRUE,$S$3=TRUE),"-",IF(AND($Q$1=TRUE,$S$1=TRUE,$S$4=FALSE),VLOOKUP($E201,'Status Thresholds'!$E:$AS,13,FALSE),IF(AND($Q$1=TRUE,$S$4=FALSE),VLOOKUP($E201,'Status Thresholds'!$E:$AS,3,FALSE), IF(AND($Q$1=TRUE,$S$1=TRUE,$S$4=TRUE),VLOOKUP($E201,'Status Thresholds'!$E:$AS,18,FALSE),IF(AND($Q$1=TRUE,$S$4=TRUE),VLOOKUP($E201,'Status Thresholds'!$E:$AS,8,FALSE),IF(AND($S$3=TRUE,$S$1=TRUE,$S$4=FALSE),VLOOKUP($E201,'Status Thresholds'!$E:$AS,33,FALSE),IF(AND($S$3=TRUE,$S$4=FALSE),VLOOKUP($E201,'Status Thresholds'!$E:$AS,23,FALSE),IF(AND($S$3=TRUE,$S$1=TRUE,$S$4=TRUE),VLOOKUP($E201,'Status Thresholds'!$E:$AS,38,FALSE),IF(AND($S$3=TRUE,$S$4=TRUE),VLOOKUP($E201,'Status Thresholds'!$E:$AS,28,FALSE),""))))))))/IF(OR($Q$3=TRUE,AND($Q$2=TRUE,$Q$7=TRUE),AND($Q$3=TRUE,$Q$7=TRUE))=TRUE,'Shots and Status'!$F$5,IF((OR($Q$2,$Q$7)=TRUE),'Shots and Status'!$D$5,'Shots and Status'!$C$5)))),0),"-")</f>
        <v>-</v>
      </c>
      <c r="J201" s="36" t="str">
        <f>IFERROR(ROUNDUP(IF(AND($Q$1=FALSE,$S$3=FALSE),"-",IF(AND($Q$1=TRUE,$S$3=TRUE),"-",IF(AND($Q$1=TRUE,$S$1=TRUE,$S$4=FALSE),VLOOKUP($E201,'Status Thresholds'!$E:$AS,14,FALSE),IF(AND($Q$1=TRUE,$S$4=FALSE),VLOOKUP($E201,'Status Thresholds'!$E:$AS,4,FALSE), IF(AND($Q$1=TRUE,$S$1=TRUE,$S$4=TRUE),VLOOKUP($E201,'Status Thresholds'!$E:$AS,19,FALSE),IF(AND($Q$1=TRUE,$S$4=TRUE),VLOOKUP($E201,'Status Thresholds'!$E:$AS,9,FALSE),IF(AND($S$3=TRUE,$S$1=TRUE,$S$4=FALSE),VLOOKUP($E201,'Status Thresholds'!$E:$AS,34,FALSE),IF(AND($S$3=TRUE,$S$4=FALSE),VLOOKUP($E201,'Status Thresholds'!$E:$AS,24,FALSE),IF(AND($S$3=TRUE,$S$1=TRUE,$S$4=TRUE),VLOOKUP($E201,'Status Thresholds'!$E:$AS,39,FALSE),IF(AND($S$3=TRUE,$S$4=TRUE),VLOOKUP($E201,'Status Thresholds'!$E:$AS,29,FALSE),""))))))))/IF(OR($Q$3=TRUE,AND($Q$2=TRUE,$Q$7=TRUE),AND($Q$3=TRUE,$Q$7=TRUE))=TRUE,'Shots and Status'!$F$5,IF((OR($Q$2,$Q$7)=TRUE),'Shots and Status'!$D$5,'Shots and Status'!$C$5)))),0),"-")</f>
        <v>-</v>
      </c>
      <c r="K201" s="36" t="str">
        <f>IFERROR(ROUNDUP(IF(AND($Q$1=FALSE,$S$3=FALSE),"-",IF(AND($Q$1=TRUE,$S$3=TRUE),"-",IF(AND($Q$1=TRUE,$S$1=TRUE,$S$4=FALSE),VLOOKUP($E201,'Status Thresholds'!$E:$AS,15,FALSE),IF(AND($Q$1=TRUE,$S$4=FALSE),VLOOKUP($E201,'Status Thresholds'!$E:$AS,5,FALSE), IF(AND($Q$1=TRUE,$S$1=TRUE,$S$4=TRUE),VLOOKUP($E201,'Status Thresholds'!$E:$AS,20,FALSE),IF(AND($Q$1=TRUE,$S$4=TRUE),VLOOKUP($E201,'Status Thresholds'!$E:$AS,10,FALSE),IF(AND($S$3=TRUE,$S$1=TRUE,$S$4=FALSE),VLOOKUP($E201,'Status Thresholds'!$E:$AS,35,FALSE),IF(AND($S$3=TRUE,$S$4=FALSE),VLOOKUP($E201,'Status Thresholds'!$E:$AS,25,FALSE),IF(AND($S$3=TRUE,$S$1=TRUE,$S$4=TRUE),VLOOKUP($E201,'Status Thresholds'!$E:$AS,40,FALSE),IF(AND($S$3=TRUE,$S$4=TRUE),VLOOKUP($E201,'Status Thresholds'!$E:$AS,30,FALSE),""))))))))/IF(OR($Q$3=TRUE,AND($Q$2=TRUE,$Q$7=TRUE),AND($Q$3=TRUE,$Q$7=TRUE))=TRUE,'Shots and Status'!$F$5,IF((OR($Q$2,$Q$7)=TRUE),'Shots and Status'!$D$5,'Shots and Status'!$C$5)))),0),"-")</f>
        <v>-</v>
      </c>
      <c r="L201" s="36" t="str">
        <f>IFERROR(IF(AND($Q$1=FALSE,$S$3=FALSE),"-",VLOOKUP($E201,'Status Thresholds'!$E:$AU,41,FALSE)),"-")</f>
        <v>-</v>
      </c>
      <c r="M201" s="36" t="str">
        <f>IFERROR(IF(AND($Q$1=FALSE,$S$3=FALSE),"-",VLOOKUP($E201,'Status Thresholds'!$E:$AU,42,FALSE)),"-")</f>
        <v>-</v>
      </c>
      <c r="N201" s="36" t="str">
        <f>IFERROR(IF(AND($Q$1=FALSE,$S$3=FALSE),"-",VLOOKUP($E201,'Status Thresholds'!$E:$AU,43,FALSE)),"-")</f>
        <v>-</v>
      </c>
    </row>
    <row r="202" spans="1:14" s="36" customFormat="1" x14ac:dyDescent="0.25">
      <c r="A202" s="46"/>
      <c r="B202" s="64" t="str">
        <f>VLOOKUP(C202,'Status Thresholds'!B:C,2,FALSE)</f>
        <v>Deviant</v>
      </c>
      <c r="C202" s="46" t="str">
        <f>IF(ISBLANK('KO Calc'!C198)=TRUE,"",'KO Calc'!C198)</f>
        <v>Crystal beard Uragaan</v>
      </c>
      <c r="D202" s="67" t="s">
        <v>14</v>
      </c>
      <c r="E202" s="62" t="str">
        <f t="shared" si="5"/>
        <v>Crystal beard UragaanKO</v>
      </c>
      <c r="F202" s="36" t="s">
        <v>21</v>
      </c>
      <c r="G202" s="36" t="str">
        <f t="shared" si="6"/>
        <v>Crystal beard UragaanTriblast</v>
      </c>
      <c r="H202" s="36" t="str">
        <f>IF(AND($Q$1=FALSE,$S$3=FALSE),"-",IF(AND($Q$1=TRUE,$S$3=TRUE),"-",IF(AND($Q$1=FALSE,$S$3=FALSE),"-",IF(AND($Q$1=TRUE,$S$1=TRUE,$S$4=FALSE)=TRUE,IF(OR($Q$4=TRUE,$Q$5=TRUE,$S$2=TRUE),VLOOKUP($G202,'KO Calc'!$H:$AW,12,FALSE),VLOOKUP($G202,'KO Calc'!$H208:$AW208,12,FALSE)),IF(AND($Q$1=TRUE,$S$4=FALSE),IF(OR($Q$4=TRUE,$Q$5=TRUE,$S$2=TRUE),VLOOKUP($G202,'KO Calc'!$H:$AW,2,FALSE),VLOOKUP($G202,'KO Calc'!$H208:$AW208,2,FALSE)),
IF(AND($Q$1=TRUE,$S$1=TRUE,$S$4=TRUE)=TRUE,IF(OR($Q$4=TRUE,$Q$5=TRUE,$S$2=TRUE),VLOOKUP($G202,'KO Calc'!$H:$AW,17,FALSE),VLOOKUP($G202,'KO Calc'!$H208:$AW208,17,FALSE)),IF(AND($Q$1=TRUE,$S$4=TRUE),IF(OR($Q$4=TRUE,$Q$5=TRUE,$S$2=TRUE),VLOOKUP($G202,'KO Calc'!$H:$AW,7,FALSE),VLOOKUP($G202,'KO Calc'!$H208:$AW208,7,FALSE)),
IF(AND($S$3=TRUE,$S$1=TRUE,$S$4=FALSE)=TRUE,IF(OR($Q$4=TRUE,$Q$5=TRUE,$S$2=TRUE),VLOOKUP($G202,'KO Calc'!$H:$AW,32,FALSE),VLOOKUP($G202,'KO Calc'!$H208:$AW208,32,FALSE)),IF(AND($S$3=TRUE,$S$4=FALSE),IF(OR($Q$4=TRUE,$Q$5=TRUE,$S$2=TRUE),VLOOKUP($G202,'KO Calc'!$H:$AW,22,FALSE),VLOOKUP($G202,'KO Calc'!$H208:$AW208,22,FALSE)),
IF(AND($S$3=TRUE,$S$1=TRUE,$S$4=TRUE)=TRUE,IF(OR($Q$4=TRUE,$Q$5=TRUE,$S$2=TRUE),VLOOKUP($G202,'KO Calc'!$H:$AW,37,FALSE),VLOOKUP($G202,'KO Calc'!$H208:$AW208,37,FALSE)),IF(AND($S$3=TRUE,$S$4=TRUE),IF(OR($Q$4=TRUE,$Q$5=TRUE,$S$2=TRUE),VLOOKUP($G202,'KO Calc'!$H:$AW,27,FALSE),VLOOKUP($G202,'KO Calc'!$H208:$AW208,27,FALSE)))))))))))))</f>
        <v>-</v>
      </c>
      <c r="I202" s="36" t="str">
        <f>IF(AND($Q$1=FALSE,$S$3=FALSE),"-",IF(AND($Q$1=TRUE,$S$3=TRUE),"-",IF(AND($Q$1=FALSE,$S$3=FALSE),"-",IF(AND($Q$1=TRUE,$S$1=TRUE,$S$4=FALSE)=TRUE,IF(OR($Q$4=TRUE,$Q$5=TRUE,$S$2=TRUE),VLOOKUP($G202,'KO Calc'!$H:$AW,13,FALSE),VLOOKUP($G202,'KO Calc'!$H208:$AW208,13,FALSE)),IF(AND($Q$1=TRUE,$S$4=FALSE),IF(OR($Q$4=TRUE,$Q$5=TRUE,$S$2=TRUE),VLOOKUP($G202,'KO Calc'!$H:$AW,3,FALSE),VLOOKUP($G202,'KO Calc'!$H208:$AW208,3,FALSE)),
IF(AND($Q$1=TRUE,$S$1=TRUE,$S$4=TRUE)=TRUE,IF(OR($Q$4=TRUE,$Q$5=TRUE,$S$2=TRUE),VLOOKUP($G202,'KO Calc'!$H:$AW,18,FALSE),VLOOKUP($G202,'KO Calc'!$H208:$AW208,18,FALSE)),IF(AND($Q$1=TRUE,$S$4=TRUE),IF(OR($Q$4=TRUE,$Q$5=TRUE,$S$2=TRUE),VLOOKUP($G202,'KO Calc'!$H:$AW,8,FALSE),VLOOKUP($G202,'KO Calc'!$H208:$AW208,8,FALSE)),
IF(AND($S$3=TRUE,$S$1=TRUE,$S$4=FALSE)=TRUE,IF(OR($Q$4=TRUE,$Q$5=TRUE,$S$2=TRUE),VLOOKUP($G202,'KO Calc'!$H:$AW,33,FALSE),VLOOKUP($G202,'KO Calc'!$H208:$AW208,33,FALSE)),IF(AND($S$3=TRUE,$S$4=FALSE),IF(OR($Q$4=TRUE,$Q$5=TRUE,$S$2=TRUE),VLOOKUP($G202,'KO Calc'!$H:$AW,23,FALSE),VLOOKUP($G202,'KO Calc'!$H208:$AW208,23,FALSE)),
IF(AND($S$3=TRUE,$S$1=TRUE,$S$4=TRUE)=TRUE,IF(OR($Q$4=TRUE,$Q$5=TRUE,$S$2=TRUE),VLOOKUP($G202,'KO Calc'!$H:$AW,38,FALSE),VLOOKUP($G202,'KO Calc'!$H208:$AW208,38,FALSE)),IF(AND($S$3=TRUE,$S$4=TRUE),IF(OR($Q$4=TRUE,$Q$5=TRUE,$S$2=TRUE),VLOOKUP($G202,'KO Calc'!$H:$AW,28,FALSE),VLOOKUP($G202,'KO Calc'!$H208:$AW208,28,FALSE)))))))))))))</f>
        <v>-</v>
      </c>
      <c r="J202" s="36" t="str">
        <f>IF(AND($Q$1=FALSE,$S$3=FALSE),"-",IF(AND($Q$1=TRUE,$S$3=TRUE),"-",IF(AND($Q$1=FALSE,$S$3=FALSE),"-",IF(AND($Q$1=TRUE,$S$1=TRUE,$S$4=FALSE)=TRUE,IF(OR($Q$4=TRUE,$Q$5=TRUE,$S$2=TRUE),VLOOKUP($G202,'KO Calc'!$H:$AW,FALSE),VLOOKUP($G202,'KO Calc'!$H208:$AW208,14,FALSE)),IF(AND($Q$1=TRUE,$S$4=FALSE),IF(OR($Q$4=TRUE,$Q$5=TRUE,$S$2=TRUE),VLOOKUP($G202,'KO Calc'!$H:$AW,4,FALSE),VLOOKUP($G202,'KO Calc'!$H208:$AW208,4,FALSE)),
IF(AND($Q$1=TRUE,$S$1=TRUE,$S$4=TRUE)=TRUE,IF(OR($Q$4=TRUE,$Q$5=TRUE,$S$2=TRUE),VLOOKUP($G202,'KO Calc'!$H:$AW,19,FALSE),VLOOKUP($G202,'KO Calc'!$H208:$AW208,19,FALSE)),IF(AND($Q$1=TRUE,$S$4=TRUE),IF(OR($Q$4=TRUE,$Q$5=TRUE,$S$2=TRUE),VLOOKUP($G202,'KO Calc'!$H:$AW,9,FALSE),VLOOKUP($G202,'KO Calc'!$H208:$AW208,9,FALSE)),
IF(AND($S$3=TRUE,$S$1=TRUE,$S$4=FALSE)=TRUE,IF(OR($Q$4=TRUE,$Q$5=TRUE,$S$2=TRUE),VLOOKUP($G202,'KO Calc'!$H:$AW,34,FALSE),VLOOKUP($G202,'KO Calc'!$H208:$AW208,34,FALSE)),IF(AND($S$3=TRUE,$S$4=FALSE),IF(OR($Q$4=TRUE,$Q$5=TRUE,$S$2=TRUE),VLOOKUP($G202,'KO Calc'!$H:$AW,24,FALSE),VLOOKUP($G202,'KO Calc'!$H208:$AW208,24,FALSE)),
IF(AND($S$3=TRUE,$S$1=TRUE,$S$4=TRUE)=TRUE,IF(OR($Q$4=TRUE,$Q$5=TRUE,$S$2=TRUE),VLOOKUP($G202,'KO Calc'!$H:$AW,39,FALSE),VLOOKUP($G202,'KO Calc'!$H208:$AW208,39,FALSE)),IF(AND($S$3=TRUE,$S$4=TRUE),IF(OR($Q$4=TRUE,$Q$5=TRUE,$S$2=TRUE),VLOOKUP($G202,'KO Calc'!$H:$AW,29,FALSE),VLOOKUP($G202,'KO Calc'!$H208:$AW208,29,FALSE)))))))))))))</f>
        <v>-</v>
      </c>
      <c r="K202" s="36" t="str">
        <f>IF(AND($Q$1=FALSE,$S$3=FALSE),"-",IF(AND($Q$1=TRUE,$S$3=TRUE),"-",IF(AND($Q$1=FALSE,$S$3=FALSE),"-",IF(AND($Q$1=TRUE,$S$1=TRUE,$S$4=FALSE)=TRUE,IF(OR($Q$4=TRUE,$Q$5=TRUE,$S$2=TRUE),VLOOKUP($G202,'KO Calc'!$H:$AW,15,FALSE),VLOOKUP($G202,'KO Calc'!$H208:$AW208,15,FALSE)),IF(AND($Q$1=TRUE,$S$4=FALSE),IF(OR($Q$4=TRUE,$Q$5=TRUE,$S$2=TRUE),VLOOKUP($G202,'KO Calc'!$H:$AW,5,FALSE),VLOOKUP($G202,'KO Calc'!$H208:$AW208,5,FALSE)),
IF(AND($Q$1=TRUE,$S$1=TRUE,$S$4=TRUE)=TRUE,IF(OR($Q$4=TRUE,$Q$5=TRUE,$S$2=TRUE),VLOOKUP($G202,'KO Calc'!$H:$AW,20,FALSE),VLOOKUP($G202,'KO Calc'!$H208:$AW208,20,FALSE)),IF(AND($Q$1=TRUE,$S$4=TRUE),IF(OR($Q$4=TRUE,$Q$5=TRUE,$S$2=TRUE),VLOOKUP($G202,'KO Calc'!$H:$AW,10,FALSE),VLOOKUP($G202,'KO Calc'!$H208:$AW208,10,FALSE)),
IF(AND($S$3=TRUE,$S$1=TRUE,$S$4=FALSE)=TRUE,IF(OR($Q$4=TRUE,$Q$5=TRUE,$S$2=TRUE),VLOOKUP($G202,'KO Calc'!$H:$AW,35,FALSE),VLOOKUP($G202,'KO Calc'!$H208:$AW208,35,FALSE)),IF(AND($S$3=TRUE,$S$4=FALSE),IF(OR($Q$4=TRUE,$Q$5=TRUE,$S$2=TRUE),VLOOKUP($G202,'KO Calc'!$H:$AW,25,FALSE),VLOOKUP($G202,'KO Calc'!$H208:$AW208,25,FALSE)),
IF(AND($S$3=TRUE,$S$1=TRUE,$S$4=TRUE)=TRUE,IF(OR($Q$4=TRUE,$Q$5=TRUE,$S$2=TRUE),VLOOKUP($G202,'KO Calc'!$H:$AW,40,FALSE),VLOOKUP($G202,'KO Calc'!$H208:$AW208,40,FALSE)),IF(AND($S$3=TRUE,$S$4=TRUE),IF(OR($Q$4=TRUE,$Q$5=TRUE,$S$2=TRUE),VLOOKUP($G202,'KO Calc'!$H:$AW,30,FALSE),VLOOKUP($G202,'KO Calc'!$H208:$AW208,30,FALSE)))))))))))))</f>
        <v>-</v>
      </c>
      <c r="L202" s="36" t="str">
        <f>IFERROR(IF(AND($Q$1=FALSE,$S$3=FALSE),"-",VLOOKUP($E202,'Status Thresholds'!$E:$AU,41,FALSE)),"-")</f>
        <v>-</v>
      </c>
      <c r="M202" s="36" t="str">
        <f>IFERROR(IF(AND($Q$1=FALSE,$S$3=FALSE),"-",VLOOKUP($E202,'Status Thresholds'!$E:$AU,42,FALSE)),"-")</f>
        <v>-</v>
      </c>
      <c r="N202" s="36" t="str">
        <f>IFERROR(IF(AND($Q$1=FALSE,$S$3=FALSE),"-",VLOOKUP($E202,'Status Thresholds'!$E:$AU,43,FALSE)),"-")</f>
        <v>-</v>
      </c>
    </row>
    <row r="203" spans="1:14" x14ac:dyDescent="0.25">
      <c r="B203" s="64" t="str">
        <f>VLOOKUP(C203,'Status Thresholds'!B:C,2,FALSE)</f>
        <v>Deviant</v>
      </c>
      <c r="C203" s="46" t="str">
        <f>IF(ISBLANK('KO Calc'!C199)=TRUE,"",'KO Calc'!C199)</f>
        <v>Crystal beard Uragaan</v>
      </c>
      <c r="D203" s="78" t="s">
        <v>207</v>
      </c>
      <c r="E203" s="62" t="str">
        <f t="shared" si="5"/>
        <v>Crystal beard UragaanShock Trap</v>
      </c>
      <c r="F203" t="s">
        <v>13</v>
      </c>
      <c r="G203" s="36" t="str">
        <f t="shared" si="6"/>
        <v>Crystal beard UragaanCrag 3</v>
      </c>
      <c r="H203" s="36" t="str">
        <f>IF(AND($Q$1=FALSE,$S$3=FALSE),"-",IF(AND($Q$1=TRUE,$S$3=TRUE),"-",IF(AND($Q$1=FALSE,$S$3=FALSE),"-",IF(AND($Q$1=TRUE,$S$1=TRUE,$S$4=FALSE)=TRUE,IF(OR($Q$4=TRUE,$Q$5=TRUE,$S$2=TRUE),VLOOKUP($G203,'KO Calc'!$H:$AW,12,FALSE),VLOOKUP($G203,'KO Calc'!$H209:$AW209,12,FALSE)),IF(AND($Q$1=TRUE,$S$4=FALSE),IF(OR($Q$4=TRUE,$Q$5=TRUE,$S$2=TRUE),VLOOKUP($G203,'KO Calc'!$H:$AW,2,FALSE),VLOOKUP($G203,'KO Calc'!$H209:$AW209,2,FALSE)),
IF(AND($Q$1=TRUE,$S$1=TRUE,$S$4=TRUE)=TRUE,IF(OR($Q$4=TRUE,$Q$5=TRUE,$S$2=TRUE),VLOOKUP($G203,'KO Calc'!$H:$AW,17,FALSE),VLOOKUP($G203,'KO Calc'!$H209:$AW209,17,FALSE)),IF(AND($Q$1=TRUE,$S$4=TRUE),IF(OR($Q$4=TRUE,$Q$5=TRUE,$S$2=TRUE),VLOOKUP($G203,'KO Calc'!$H:$AW,7,FALSE),VLOOKUP($G203,'KO Calc'!$H209:$AW209,7,FALSE)),
IF(AND($S$3=TRUE,$S$1=TRUE,$S$4=FALSE)=TRUE,IF(OR($Q$4=TRUE,$Q$5=TRUE,$S$2=TRUE),VLOOKUP($G203,'KO Calc'!$H:$AW,32,FALSE),VLOOKUP($G203,'KO Calc'!$H209:$AW209,32,FALSE)),IF(AND($S$3=TRUE,$S$4=FALSE),IF(OR($Q$4=TRUE,$Q$5=TRUE,$S$2=TRUE),VLOOKUP($G203,'KO Calc'!$H:$AW,22,FALSE),VLOOKUP($G203,'KO Calc'!$H209:$AW209,22,FALSE)),
IF(AND($S$3=TRUE,$S$1=TRUE,$S$4=TRUE)=TRUE,IF(OR($Q$4=TRUE,$Q$5=TRUE,$S$2=TRUE),VLOOKUP($G203,'KO Calc'!$H:$AW,37,FALSE),VLOOKUP($G203,'KO Calc'!$H209:$AW209,37,FALSE)),IF(AND($S$3=TRUE,$S$4=TRUE),IF(OR($Q$4=TRUE,$Q$5=TRUE,$S$2=TRUE),VLOOKUP($G203,'KO Calc'!$H:$AW,27,FALSE),VLOOKUP($G203,'KO Calc'!$H209:$AW209,27,FALSE)))))))))))))</f>
        <v>-</v>
      </c>
      <c r="I203" s="36" t="str">
        <f>IF(AND($Q$1=FALSE,$S$3=FALSE),"-",IF(AND($Q$1=TRUE,$S$3=TRUE),"-",IF(AND($Q$1=FALSE,$S$3=FALSE),"-",IF(AND($Q$1=TRUE,$S$1=TRUE,$S$4=FALSE)=TRUE,IF(OR($Q$4=TRUE,$Q$5=TRUE,$S$2=TRUE),VLOOKUP($G203,'KO Calc'!$H:$AW,13,FALSE),VLOOKUP($G203,'KO Calc'!$H209:$AW209,13,FALSE)),IF(AND($Q$1=TRUE,$S$4=FALSE),IF(OR($Q$4=TRUE,$Q$5=TRUE,$S$2=TRUE),VLOOKUP($G203,'KO Calc'!$H:$AW,3,FALSE),VLOOKUP($G203,'KO Calc'!$H209:$AW209,3,FALSE)),
IF(AND($Q$1=TRUE,$S$1=TRUE,$S$4=TRUE)=TRUE,IF(OR($Q$4=TRUE,$Q$5=TRUE,$S$2=TRUE),VLOOKUP($G203,'KO Calc'!$H:$AW,18,FALSE),VLOOKUP($G203,'KO Calc'!$H209:$AW209,18,FALSE)),IF(AND($Q$1=TRUE,$S$4=TRUE),IF(OR($Q$4=TRUE,$Q$5=TRUE,$S$2=TRUE),VLOOKUP($G203,'KO Calc'!$H:$AW,8,FALSE),VLOOKUP($G203,'KO Calc'!$H209:$AW209,8,FALSE)),
IF(AND($S$3=TRUE,$S$1=TRUE,$S$4=FALSE)=TRUE,IF(OR($Q$4=TRUE,$Q$5=TRUE,$S$2=TRUE),VLOOKUP($G203,'KO Calc'!$H:$AW,33,FALSE),VLOOKUP($G203,'KO Calc'!$H209:$AW209,33,FALSE)),IF(AND($S$3=TRUE,$S$4=FALSE),IF(OR($Q$4=TRUE,$Q$5=TRUE,$S$2=TRUE),VLOOKUP($G203,'KO Calc'!$H:$AW,23,FALSE),VLOOKUP($G203,'KO Calc'!$H209:$AW209,23,FALSE)),
IF(AND($S$3=TRUE,$S$1=TRUE,$S$4=TRUE)=TRUE,IF(OR($Q$4=TRUE,$Q$5=TRUE,$S$2=TRUE),VLOOKUP($G203,'KO Calc'!$H:$AW,38,FALSE),VLOOKUP($G203,'KO Calc'!$H209:$AW209,38,FALSE)),IF(AND($S$3=TRUE,$S$4=TRUE),IF(OR($Q$4=TRUE,$Q$5=TRUE,$S$2=TRUE),VLOOKUP($G203,'KO Calc'!$H:$AW,28,FALSE),VLOOKUP($G203,'KO Calc'!$H209:$AW209,28,FALSE)))))))))))))</f>
        <v>-</v>
      </c>
      <c r="J203" s="36" t="str">
        <f>IF(AND($Q$1=FALSE,$S$3=FALSE),"-",IF(AND($Q$1=TRUE,$S$3=TRUE),"-",IF(AND($Q$1=FALSE,$S$3=FALSE),"-",IF(AND($Q$1=TRUE,$S$1=TRUE,$S$4=FALSE)=TRUE,IF(OR($Q$4=TRUE,$Q$5=TRUE,$S$2=TRUE),VLOOKUP($G203,'KO Calc'!$H:$AW,FALSE),VLOOKUP($G203,'KO Calc'!$H209:$AW209,14,FALSE)),IF(AND($Q$1=TRUE,$S$4=FALSE),IF(OR($Q$4=TRUE,$Q$5=TRUE,$S$2=TRUE),VLOOKUP($G203,'KO Calc'!$H:$AW,4,FALSE),VLOOKUP($G203,'KO Calc'!$H209:$AW209,4,FALSE)),
IF(AND($Q$1=TRUE,$S$1=TRUE,$S$4=TRUE)=TRUE,IF(OR($Q$4=TRUE,$Q$5=TRUE,$S$2=TRUE),VLOOKUP($G203,'KO Calc'!$H:$AW,19,FALSE),VLOOKUP($G203,'KO Calc'!$H209:$AW209,19,FALSE)),IF(AND($Q$1=TRUE,$S$4=TRUE),IF(OR($Q$4=TRUE,$Q$5=TRUE,$S$2=TRUE),VLOOKUP($G203,'KO Calc'!$H:$AW,9,FALSE),VLOOKUP($G203,'KO Calc'!$H209:$AW209,9,FALSE)),
IF(AND($S$3=TRUE,$S$1=TRUE,$S$4=FALSE)=TRUE,IF(OR($Q$4=TRUE,$Q$5=TRUE,$S$2=TRUE),VLOOKUP($G203,'KO Calc'!$H:$AW,34,FALSE),VLOOKUP($G203,'KO Calc'!$H209:$AW209,34,FALSE)),IF(AND($S$3=TRUE,$S$4=FALSE),IF(OR($Q$4=TRUE,$Q$5=TRUE,$S$2=TRUE),VLOOKUP($G203,'KO Calc'!$H:$AW,24,FALSE),VLOOKUP($G203,'KO Calc'!$H209:$AW209,24,FALSE)),
IF(AND($S$3=TRUE,$S$1=TRUE,$S$4=TRUE)=TRUE,IF(OR($Q$4=TRUE,$Q$5=TRUE,$S$2=TRUE),VLOOKUP($G203,'KO Calc'!$H:$AW,39,FALSE),VLOOKUP($G203,'KO Calc'!$H209:$AW209,39,FALSE)),IF(AND($S$3=TRUE,$S$4=TRUE),IF(OR($Q$4=TRUE,$Q$5=TRUE,$S$2=TRUE),VLOOKUP($G203,'KO Calc'!$H:$AW,29,FALSE),VLOOKUP($G203,'KO Calc'!$H209:$AW209,29,FALSE)))))))))))))</f>
        <v>-</v>
      </c>
      <c r="K203" s="36" t="str">
        <f>IF(AND($Q$1=FALSE,$S$3=FALSE),"-",IF(AND($Q$1=TRUE,$S$3=TRUE),"-",IF(AND($Q$1=FALSE,$S$3=FALSE),"-",IF(AND($Q$1=TRUE,$S$1=TRUE,$S$4=FALSE)=TRUE,IF(OR($Q$4=TRUE,$Q$5=TRUE,$S$2=TRUE),VLOOKUP($G203,'KO Calc'!$H:$AW,15,FALSE),VLOOKUP($G203,'KO Calc'!$H209:$AW209,15,FALSE)),IF(AND($Q$1=TRUE,$S$4=FALSE),IF(OR($Q$4=TRUE,$Q$5=TRUE,$S$2=TRUE),VLOOKUP($G203,'KO Calc'!$H:$AW,5,FALSE),VLOOKUP($G203,'KO Calc'!$H209:$AW209,5,FALSE)),
IF(AND($Q$1=TRUE,$S$1=TRUE,$S$4=TRUE)=TRUE,IF(OR($Q$4=TRUE,$Q$5=TRUE,$S$2=TRUE),VLOOKUP($G203,'KO Calc'!$H:$AW,20,FALSE),VLOOKUP($G203,'KO Calc'!$H209:$AW209,20,FALSE)),IF(AND($Q$1=TRUE,$S$4=TRUE),IF(OR($Q$4=TRUE,$Q$5=TRUE,$S$2=TRUE),VLOOKUP($G203,'KO Calc'!$H:$AW,10,FALSE),VLOOKUP($G203,'KO Calc'!$H209:$AW209,10,FALSE)),
IF(AND($S$3=TRUE,$S$1=TRUE,$S$4=FALSE)=TRUE,IF(OR($Q$4=TRUE,$Q$5=TRUE,$S$2=TRUE),VLOOKUP($G203,'KO Calc'!$H:$AW,35,FALSE),VLOOKUP($G203,'KO Calc'!$H209:$AW209,35,FALSE)),IF(AND($S$3=TRUE,$S$4=FALSE),IF(OR($Q$4=TRUE,$Q$5=TRUE,$S$2=TRUE),VLOOKUP($G203,'KO Calc'!$H:$AW,25,FALSE),VLOOKUP($G203,'KO Calc'!$H209:$AW209,25,FALSE)),
IF(AND($S$3=TRUE,$S$1=TRUE,$S$4=TRUE)=TRUE,IF(OR($Q$4=TRUE,$Q$5=TRUE,$S$2=TRUE),VLOOKUP($G203,'KO Calc'!$H:$AW,40,FALSE),VLOOKUP($G203,'KO Calc'!$H209:$AW209,40,FALSE)),IF(AND($S$3=TRUE,$S$4=TRUE),IF(OR($Q$4=TRUE,$Q$5=TRUE,$S$2=TRUE),VLOOKUP($G203,'KO Calc'!$H:$AW,30,FALSE),VLOOKUP($G203,'KO Calc'!$H209:$AW209,30,FALSE)))))))))))))</f>
        <v>-</v>
      </c>
      <c r="L203" s="36" t="str">
        <f>IFERROR(IF(AND($Q$1=FALSE,$S$3=FALSE),"-",VLOOKUP($E203,'Status Thresholds'!$E:$AU,43,FALSE)),"-")</f>
        <v>-</v>
      </c>
      <c r="M203" s="36" t="str">
        <f>IFERROR(IF(AND($Q$1=FALSE,$S$3=FALSE),"-",VLOOKUP($E203,'Status Thresholds'!$E:$AU,41,FALSE)),"-")</f>
        <v>-</v>
      </c>
      <c r="N203" s="36" t="str">
        <f>IFERROR(IF(AND($Q$1=FALSE,$S$3=FALSE),"-",VLOOKUP($E203,'Status Thresholds'!$E:$AU,42,FALSE)),"-")</f>
        <v>-</v>
      </c>
    </row>
    <row r="204" spans="1:14" x14ac:dyDescent="0.25">
      <c r="B204" s="64" t="str">
        <f>VLOOKUP(C204,'Status Thresholds'!B:C,2,FALSE)</f>
        <v>Deviant</v>
      </c>
      <c r="C204" s="46" t="str">
        <f>IF(ISBLANK('KO Calc'!C200)=TRUE,"",'KO Calc'!C200)</f>
        <v>Crystal beard Uragaan</v>
      </c>
      <c r="D204" s="78" t="s">
        <v>213</v>
      </c>
      <c r="E204" s="62" t="str">
        <f t="shared" si="5"/>
        <v>Crystal beard UragaanPitfall Trap</v>
      </c>
      <c r="F204" t="s">
        <v>12</v>
      </c>
      <c r="G204" s="36" t="str">
        <f t="shared" si="6"/>
        <v>Crystal beard UragaanCrag 2</v>
      </c>
      <c r="H204" s="36" t="str">
        <f>IF(AND($Q$1=FALSE,$S$3=FALSE),"-",IF(AND($Q$1=TRUE,$S$3=TRUE),"-",IF(AND($Q$1=FALSE,$S$3=FALSE),"-",IF(AND($Q$1=TRUE,$S$1=TRUE,$S$4=FALSE)=TRUE,IF(OR($Q$4=TRUE,$Q$5=TRUE,$S$2=TRUE),VLOOKUP($G204,'KO Calc'!$H:$AW,12,FALSE),VLOOKUP($G204,'KO Calc'!$H210:$AW210,12,FALSE)),IF(AND($Q$1=TRUE,$S$4=FALSE),IF(OR($Q$4=TRUE,$Q$5=TRUE,$S$2=TRUE),VLOOKUP($G204,'KO Calc'!$H:$AW,2,FALSE),VLOOKUP($G204,'KO Calc'!$H210:$AW210,2,FALSE)),
IF(AND($Q$1=TRUE,$S$1=TRUE,$S$4=TRUE)=TRUE,IF(OR($Q$4=TRUE,$Q$5=TRUE,$S$2=TRUE),VLOOKUP($G204,'KO Calc'!$H:$AW,17,FALSE),VLOOKUP($G204,'KO Calc'!$H210:$AW210,17,FALSE)),IF(AND($Q$1=TRUE,$S$4=TRUE),IF(OR($Q$4=TRUE,$Q$5=TRUE,$S$2=TRUE),VLOOKUP($G204,'KO Calc'!$H:$AW,7,FALSE),VLOOKUP($G204,'KO Calc'!$H210:$AW210,7,FALSE)),
IF(AND($S$3=TRUE,$S$1=TRUE,$S$4=FALSE)=TRUE,IF(OR($Q$4=TRUE,$Q$5=TRUE,$S$2=TRUE),VLOOKUP($G204,'KO Calc'!$H:$AW,32,FALSE),VLOOKUP($G204,'KO Calc'!$H210:$AW210,32,FALSE)),IF(AND($S$3=TRUE,$S$4=FALSE),IF(OR($Q$4=TRUE,$Q$5=TRUE,$S$2=TRUE),VLOOKUP($G204,'KO Calc'!$H:$AW,22,FALSE),VLOOKUP($G204,'KO Calc'!$H210:$AW210,22,FALSE)),
IF(AND($S$3=TRUE,$S$1=TRUE,$S$4=TRUE)=TRUE,IF(OR($Q$4=TRUE,$Q$5=TRUE,$S$2=TRUE),VLOOKUP($G204,'KO Calc'!$H:$AW,37,FALSE),VLOOKUP($G204,'KO Calc'!$H210:$AW210,37,FALSE)),IF(AND($S$3=TRUE,$S$4=TRUE),IF(OR($Q$4=TRUE,$Q$5=TRUE,$S$2=TRUE),VLOOKUP($G204,'KO Calc'!$H:$AW,27,FALSE),VLOOKUP($G204,'KO Calc'!$H210:$AW210,27,FALSE)))))))))))))</f>
        <v>-</v>
      </c>
      <c r="I204" s="36" t="str">
        <f>IF(AND($Q$1=FALSE,$S$3=FALSE),"-",IF(AND($Q$1=TRUE,$S$3=TRUE),"-",IF(AND($Q$1=FALSE,$S$3=FALSE),"-",IF(AND($Q$1=TRUE,$S$1=TRUE,$S$4=FALSE)=TRUE,IF(OR($Q$4=TRUE,$Q$5=TRUE,$S$2=TRUE),VLOOKUP($G204,'KO Calc'!$H:$AW,13,FALSE),VLOOKUP($G204,'KO Calc'!$H210:$AW210,13,FALSE)),IF(AND($Q$1=TRUE,$S$4=FALSE),IF(OR($Q$4=TRUE,$Q$5=TRUE,$S$2=TRUE),VLOOKUP($G204,'KO Calc'!$H:$AW,3,FALSE),VLOOKUP($G204,'KO Calc'!$H210:$AW210,3,FALSE)),
IF(AND($Q$1=TRUE,$S$1=TRUE,$S$4=TRUE)=TRUE,IF(OR($Q$4=TRUE,$Q$5=TRUE,$S$2=TRUE),VLOOKUP($G204,'KO Calc'!$H:$AW,18,FALSE),VLOOKUP($G204,'KO Calc'!$H210:$AW210,18,FALSE)),IF(AND($Q$1=TRUE,$S$4=TRUE),IF(OR($Q$4=TRUE,$Q$5=TRUE,$S$2=TRUE),VLOOKUP($G204,'KO Calc'!$H:$AW,8,FALSE),VLOOKUP($G204,'KO Calc'!$H210:$AW210,8,FALSE)),
IF(AND($S$3=TRUE,$S$1=TRUE,$S$4=FALSE)=TRUE,IF(OR($Q$4=TRUE,$Q$5=TRUE,$S$2=TRUE),VLOOKUP($G204,'KO Calc'!$H:$AW,33,FALSE),VLOOKUP($G204,'KO Calc'!$H210:$AW210,33,FALSE)),IF(AND($S$3=TRUE,$S$4=FALSE),IF(OR($Q$4=TRUE,$Q$5=TRUE,$S$2=TRUE),VLOOKUP($G204,'KO Calc'!$H:$AW,23,FALSE),VLOOKUP($G204,'KO Calc'!$H210:$AW210,23,FALSE)),
IF(AND($S$3=TRUE,$S$1=TRUE,$S$4=TRUE)=TRUE,IF(OR($Q$4=TRUE,$Q$5=TRUE,$S$2=TRUE),VLOOKUP($G204,'KO Calc'!$H:$AW,38,FALSE),VLOOKUP($G204,'KO Calc'!$H210:$AW210,38,FALSE)),IF(AND($S$3=TRUE,$S$4=TRUE),IF(OR($Q$4=TRUE,$Q$5=TRUE,$S$2=TRUE),VLOOKUP($G204,'KO Calc'!$H:$AW,28,FALSE),VLOOKUP($G204,'KO Calc'!$H210:$AW210,28,FALSE)))))))))))))</f>
        <v>-</v>
      </c>
      <c r="J204" s="36" t="str">
        <f>IF(AND($Q$1=FALSE,$S$3=FALSE),"-",IF(AND($Q$1=TRUE,$S$3=TRUE),"-",IF(AND($Q$1=FALSE,$S$3=FALSE),"-",IF(AND($Q$1=TRUE,$S$1=TRUE,$S$4=FALSE)=TRUE,IF(OR($Q$4=TRUE,$Q$5=TRUE,$S$2=TRUE),VLOOKUP($G204,'KO Calc'!$H:$AW,FALSE),VLOOKUP($G204,'KO Calc'!$H210:$AW210,14,FALSE)),IF(AND($Q$1=TRUE,$S$4=FALSE),IF(OR($Q$4=TRUE,$Q$5=TRUE,$S$2=TRUE),VLOOKUP($G204,'KO Calc'!$H:$AW,4,FALSE),VLOOKUP($G204,'KO Calc'!$H210:$AW210,4,FALSE)),
IF(AND($Q$1=TRUE,$S$1=TRUE,$S$4=TRUE)=TRUE,IF(OR($Q$4=TRUE,$Q$5=TRUE,$S$2=TRUE),VLOOKUP($G204,'KO Calc'!$H:$AW,19,FALSE),VLOOKUP($G204,'KO Calc'!$H210:$AW210,19,FALSE)),IF(AND($Q$1=TRUE,$S$4=TRUE),IF(OR($Q$4=TRUE,$Q$5=TRUE,$S$2=TRUE),VLOOKUP($G204,'KO Calc'!$H:$AW,9,FALSE),VLOOKUP($G204,'KO Calc'!$H210:$AW210,9,FALSE)),
IF(AND($S$3=TRUE,$S$1=TRUE,$S$4=FALSE)=TRUE,IF(OR($Q$4=TRUE,$Q$5=TRUE,$S$2=TRUE),VLOOKUP($G204,'KO Calc'!$H:$AW,34,FALSE),VLOOKUP($G204,'KO Calc'!$H210:$AW210,34,FALSE)),IF(AND($S$3=TRUE,$S$4=FALSE),IF(OR($Q$4=TRUE,$Q$5=TRUE,$S$2=TRUE),VLOOKUP($G204,'KO Calc'!$H:$AW,24,FALSE),VLOOKUP($G204,'KO Calc'!$H210:$AW210,24,FALSE)),
IF(AND($S$3=TRUE,$S$1=TRUE,$S$4=TRUE)=TRUE,IF(OR($Q$4=TRUE,$Q$5=TRUE,$S$2=TRUE),VLOOKUP($G204,'KO Calc'!$H:$AW,39,FALSE),VLOOKUP($G204,'KO Calc'!$H210:$AW210,39,FALSE)),IF(AND($S$3=TRUE,$S$4=TRUE),IF(OR($Q$4=TRUE,$Q$5=TRUE,$S$2=TRUE),VLOOKUP($G204,'KO Calc'!$H:$AW,29,FALSE),VLOOKUP($G204,'KO Calc'!$H210:$AW210,29,FALSE)))))))))))))</f>
        <v>-</v>
      </c>
      <c r="K204" s="36" t="str">
        <f>IF(AND($Q$1=FALSE,$S$3=FALSE),"-",IF(AND($Q$1=TRUE,$S$3=TRUE),"-",IF(AND($Q$1=FALSE,$S$3=FALSE),"-",IF(AND($Q$1=TRUE,$S$1=TRUE,$S$4=FALSE)=TRUE,IF(OR($Q$4=TRUE,$Q$5=TRUE,$S$2=TRUE),VLOOKUP($G204,'KO Calc'!$H:$AW,15,FALSE),VLOOKUP($G204,'KO Calc'!$H210:$AW210,15,FALSE)),IF(AND($Q$1=TRUE,$S$4=FALSE),IF(OR($Q$4=TRUE,$Q$5=TRUE,$S$2=TRUE),VLOOKUP($G204,'KO Calc'!$H:$AW,5,FALSE),VLOOKUP($G204,'KO Calc'!$H210:$AW210,5,FALSE)),
IF(AND($Q$1=TRUE,$S$1=TRUE,$S$4=TRUE)=TRUE,IF(OR($Q$4=TRUE,$Q$5=TRUE,$S$2=TRUE),VLOOKUP($G204,'KO Calc'!$H:$AW,20,FALSE),VLOOKUP($G204,'KO Calc'!$H210:$AW210,20,FALSE)),IF(AND($Q$1=TRUE,$S$4=TRUE),IF(OR($Q$4=TRUE,$Q$5=TRUE,$S$2=TRUE),VLOOKUP($G204,'KO Calc'!$H:$AW,10,FALSE),VLOOKUP($G204,'KO Calc'!$H210:$AW210,10,FALSE)),
IF(AND($S$3=TRUE,$S$1=TRUE,$S$4=FALSE)=TRUE,IF(OR($Q$4=TRUE,$Q$5=TRUE,$S$2=TRUE),VLOOKUP($G204,'KO Calc'!$H:$AW,35,FALSE),VLOOKUP($G204,'KO Calc'!$H210:$AW210,35,FALSE)),IF(AND($S$3=TRUE,$S$4=FALSE),IF(OR($Q$4=TRUE,$Q$5=TRUE,$S$2=TRUE),VLOOKUP($G204,'KO Calc'!$H:$AW,25,FALSE),VLOOKUP($G204,'KO Calc'!$H210:$AW210,25,FALSE)),
IF(AND($S$3=TRUE,$S$1=TRUE,$S$4=TRUE)=TRUE,IF(OR($Q$4=TRUE,$Q$5=TRUE,$S$2=TRUE),VLOOKUP($G204,'KO Calc'!$H:$AW,40,FALSE),VLOOKUP($G204,'KO Calc'!$H210:$AW210,40,FALSE)),IF(AND($S$3=TRUE,$S$4=TRUE),IF(OR($Q$4=TRUE,$Q$5=TRUE,$S$2=TRUE),VLOOKUP($G204,'KO Calc'!$H:$AW,30,FALSE),VLOOKUP($G204,'KO Calc'!$H210:$AW210,30,FALSE)))))))))))))</f>
        <v>-</v>
      </c>
      <c r="L204" s="36" t="str">
        <f>IFERROR(IF(AND($Q$1=FALSE,$S$3=FALSE),"-",VLOOKUP($E204,'Status Thresholds'!$E:$AU,43,FALSE)),"-")</f>
        <v>-</v>
      </c>
      <c r="M204" s="36" t="str">
        <f>IFERROR(IF(AND($Q$1=FALSE,$S$3=FALSE),"-",VLOOKUP($E204,'Status Thresholds'!$E:$AU,41,FALSE)),"-")</f>
        <v>-</v>
      </c>
      <c r="N204" s="36" t="str">
        <f>IFERROR(IF(AND($Q$1=FALSE,$S$3=FALSE),"-",VLOOKUP($E204,'Status Thresholds'!$E:$AU,42,FALSE)),"-")</f>
        <v>-</v>
      </c>
    </row>
    <row r="205" spans="1:14" x14ac:dyDescent="0.25">
      <c r="B205" s="64" t="str">
        <f>VLOOKUP(C205,'Status Thresholds'!B:C,2,FALSE)</f>
        <v>Deviant</v>
      </c>
      <c r="C205" s="46" t="str">
        <f>IF(ISBLANK('KO Calc'!C201)=TRUE,"",'KO Calc'!C201)</f>
        <v>Crystal beard Uragaan</v>
      </c>
      <c r="D205" s="78"/>
      <c r="E205" s="62" t="str">
        <f t="shared" si="5"/>
        <v>Crystal beard Uragaan</v>
      </c>
      <c r="F205" t="s">
        <v>11</v>
      </c>
      <c r="G205" s="36" t="str">
        <f t="shared" si="6"/>
        <v>Crystal beard UragaanCrag 1</v>
      </c>
      <c r="H205" s="36" t="str">
        <f>IF(AND($Q$1=FALSE,$S$3=FALSE),"-",IF(AND($Q$1=TRUE,$S$3=TRUE),"-",IF(AND($Q$1=FALSE,$S$3=FALSE),"-",IF(AND($Q$1=TRUE,$S$1=TRUE,$S$4=FALSE)=TRUE,IF(OR($Q$4=TRUE,$Q$5=TRUE,$S$2=TRUE),VLOOKUP($G205,'KO Calc'!$H:$AW,12,FALSE),VLOOKUP($G205,'KO Calc'!$H211:$AW211,12,FALSE)),IF(AND($Q$1=TRUE,$S$4=FALSE),IF(OR($Q$4=TRUE,$Q$5=TRUE,$S$2=TRUE),VLOOKUP($G205,'KO Calc'!$H:$AW,2,FALSE),VLOOKUP($G205,'KO Calc'!$H211:$AW211,2,FALSE)),
IF(AND($Q$1=TRUE,$S$1=TRUE,$S$4=TRUE)=TRUE,IF(OR($Q$4=TRUE,$Q$5=TRUE,$S$2=TRUE),VLOOKUP($G205,'KO Calc'!$H:$AW,17,FALSE),VLOOKUP($G205,'KO Calc'!$H211:$AW211,17,FALSE)),IF(AND($Q$1=TRUE,$S$4=TRUE),IF(OR($Q$4=TRUE,$Q$5=TRUE,$S$2=TRUE),VLOOKUP($G205,'KO Calc'!$H:$AW,7,FALSE),VLOOKUP($G205,'KO Calc'!$H211:$AW211,7,FALSE)),
IF(AND($S$3=TRUE,$S$1=TRUE,$S$4=FALSE)=TRUE,IF(OR($Q$4=TRUE,$Q$5=TRUE,$S$2=TRUE),VLOOKUP($G205,'KO Calc'!$H:$AW,32,FALSE),VLOOKUP($G205,'KO Calc'!$H211:$AW211,32,FALSE)),IF(AND($S$3=TRUE,$S$4=FALSE),IF(OR($Q$4=TRUE,$Q$5=TRUE,$S$2=TRUE),VLOOKUP($G205,'KO Calc'!$H:$AW,22,FALSE),VLOOKUP($G205,'KO Calc'!$H211:$AW211,22,FALSE)),
IF(AND($S$3=TRUE,$S$1=TRUE,$S$4=TRUE)=TRUE,IF(OR($Q$4=TRUE,$Q$5=TRUE,$S$2=TRUE),VLOOKUP($G205,'KO Calc'!$H:$AW,37,FALSE),VLOOKUP($G205,'KO Calc'!$H211:$AW211,37,FALSE)),IF(AND($S$3=TRUE,$S$4=TRUE),IF(OR($Q$4=TRUE,$Q$5=TRUE,$S$2=TRUE),VLOOKUP($G205,'KO Calc'!$H:$AW,27,FALSE),VLOOKUP($G205,'KO Calc'!$H211:$AW211,27,FALSE)))))))))))))</f>
        <v>-</v>
      </c>
      <c r="I205" s="36" t="str">
        <f>IF(AND($Q$1=FALSE,$S$3=FALSE),"-",IF(AND($Q$1=TRUE,$S$3=TRUE),"-",IF(AND($Q$1=FALSE,$S$3=FALSE),"-",IF(AND($Q$1=TRUE,$S$1=TRUE,$S$4=FALSE)=TRUE,IF(OR($Q$4=TRUE,$Q$5=TRUE,$S$2=TRUE),VLOOKUP($G205,'KO Calc'!$H:$AW,13,FALSE),VLOOKUP($G205,'KO Calc'!$H211:$AW211,13,FALSE)),IF(AND($Q$1=TRUE,$S$4=FALSE),IF(OR($Q$4=TRUE,$Q$5=TRUE,$S$2=TRUE),VLOOKUP($G205,'KO Calc'!$H:$AW,3,FALSE),VLOOKUP($G205,'KO Calc'!$H211:$AW211,3,FALSE)),
IF(AND($Q$1=TRUE,$S$1=TRUE,$S$4=TRUE)=TRUE,IF(OR($Q$4=TRUE,$Q$5=TRUE,$S$2=TRUE),VLOOKUP($G205,'KO Calc'!$H:$AW,18,FALSE),VLOOKUP($G205,'KO Calc'!$H211:$AW211,18,FALSE)),IF(AND($Q$1=TRUE,$S$4=TRUE),IF(OR($Q$4=TRUE,$Q$5=TRUE,$S$2=TRUE),VLOOKUP($G205,'KO Calc'!$H:$AW,8,FALSE),VLOOKUP($G205,'KO Calc'!$H211:$AW211,8,FALSE)),
IF(AND($S$3=TRUE,$S$1=TRUE,$S$4=FALSE)=TRUE,IF(OR($Q$4=TRUE,$Q$5=TRUE,$S$2=TRUE),VLOOKUP($G205,'KO Calc'!$H:$AW,33,FALSE),VLOOKUP($G205,'KO Calc'!$H211:$AW211,33,FALSE)),IF(AND($S$3=TRUE,$S$4=FALSE),IF(OR($Q$4=TRUE,$Q$5=TRUE,$S$2=TRUE),VLOOKUP($G205,'KO Calc'!$H:$AW,23,FALSE),VLOOKUP($G205,'KO Calc'!$H211:$AW211,23,FALSE)),
IF(AND($S$3=TRUE,$S$1=TRUE,$S$4=TRUE)=TRUE,IF(OR($Q$4=TRUE,$Q$5=TRUE,$S$2=TRUE),VLOOKUP($G205,'KO Calc'!$H:$AW,38,FALSE),VLOOKUP($G205,'KO Calc'!$H211:$AW211,38,FALSE)),IF(AND($S$3=TRUE,$S$4=TRUE),IF(OR($Q$4=TRUE,$Q$5=TRUE,$S$2=TRUE),VLOOKUP($G205,'KO Calc'!$H:$AW,28,FALSE),VLOOKUP($G205,'KO Calc'!$H211:$AW211,28,FALSE)))))))))))))</f>
        <v>-</v>
      </c>
      <c r="J205" s="36" t="str">
        <f>IF(AND($Q$1=FALSE,$S$3=FALSE),"-",IF(AND($Q$1=TRUE,$S$3=TRUE),"-",IF(AND($Q$1=FALSE,$S$3=FALSE),"-",IF(AND($Q$1=TRUE,$S$1=TRUE,$S$4=FALSE)=TRUE,IF(OR($Q$4=TRUE,$Q$5=TRUE,$S$2=TRUE),VLOOKUP($G205,'KO Calc'!$H:$AW,FALSE),VLOOKUP($G205,'KO Calc'!$H211:$AW211,14,FALSE)),IF(AND($Q$1=TRUE,$S$4=FALSE),IF(OR($Q$4=TRUE,$Q$5=TRUE,$S$2=TRUE),VLOOKUP($G205,'KO Calc'!$H:$AW,4,FALSE),VLOOKUP($G205,'KO Calc'!$H211:$AW211,4,FALSE)),
IF(AND($Q$1=TRUE,$S$1=TRUE,$S$4=TRUE)=TRUE,IF(OR($Q$4=TRUE,$Q$5=TRUE,$S$2=TRUE),VLOOKUP($G205,'KO Calc'!$H:$AW,19,FALSE),VLOOKUP($G205,'KO Calc'!$H211:$AW211,19,FALSE)),IF(AND($Q$1=TRUE,$S$4=TRUE),IF(OR($Q$4=TRUE,$Q$5=TRUE,$S$2=TRUE),VLOOKUP($G205,'KO Calc'!$H:$AW,9,FALSE),VLOOKUP($G205,'KO Calc'!$H211:$AW211,9,FALSE)),
IF(AND($S$3=TRUE,$S$1=TRUE,$S$4=FALSE)=TRUE,IF(OR($Q$4=TRUE,$Q$5=TRUE,$S$2=TRUE),VLOOKUP($G205,'KO Calc'!$H:$AW,34,FALSE),VLOOKUP($G205,'KO Calc'!$H211:$AW211,34,FALSE)),IF(AND($S$3=TRUE,$S$4=FALSE),IF(OR($Q$4=TRUE,$Q$5=TRUE,$S$2=TRUE),VLOOKUP($G205,'KO Calc'!$H:$AW,24,FALSE),VLOOKUP($G205,'KO Calc'!$H211:$AW211,24,FALSE)),
IF(AND($S$3=TRUE,$S$1=TRUE,$S$4=TRUE)=TRUE,IF(OR($Q$4=TRUE,$Q$5=TRUE,$S$2=TRUE),VLOOKUP($G205,'KO Calc'!$H:$AW,39,FALSE),VLOOKUP($G205,'KO Calc'!$H211:$AW211,39,FALSE)),IF(AND($S$3=TRUE,$S$4=TRUE),IF(OR($Q$4=TRUE,$Q$5=TRUE,$S$2=TRUE),VLOOKUP($G205,'KO Calc'!$H:$AW,29,FALSE),VLOOKUP($G205,'KO Calc'!$H211:$AW211,29,FALSE)))))))))))))</f>
        <v>-</v>
      </c>
      <c r="K205" s="36" t="str">
        <f>IF(AND($Q$1=FALSE,$S$3=FALSE),"-",IF(AND($Q$1=TRUE,$S$3=TRUE),"-",IF(AND($Q$1=FALSE,$S$3=FALSE),"-",IF(AND($Q$1=TRUE,$S$1=TRUE,$S$4=FALSE)=TRUE,IF(OR($Q$4=TRUE,$Q$5=TRUE,$S$2=TRUE),VLOOKUP($G205,'KO Calc'!$H:$AW,15,FALSE),VLOOKUP($G205,'KO Calc'!$H211:$AW211,15,FALSE)),IF(AND($Q$1=TRUE,$S$4=FALSE),IF(OR($Q$4=TRUE,$Q$5=TRUE,$S$2=TRUE),VLOOKUP($G205,'KO Calc'!$H:$AW,5,FALSE),VLOOKUP($G205,'KO Calc'!$H211:$AW211,5,FALSE)),
IF(AND($Q$1=TRUE,$S$1=TRUE,$S$4=TRUE)=TRUE,IF(OR($Q$4=TRUE,$Q$5=TRUE,$S$2=TRUE),VLOOKUP($G205,'KO Calc'!$H:$AW,20,FALSE),VLOOKUP($G205,'KO Calc'!$H211:$AW211,20,FALSE)),IF(AND($Q$1=TRUE,$S$4=TRUE),IF(OR($Q$4=TRUE,$Q$5=TRUE,$S$2=TRUE),VLOOKUP($G205,'KO Calc'!$H:$AW,10,FALSE),VLOOKUP($G205,'KO Calc'!$H211:$AW211,10,FALSE)),
IF(AND($S$3=TRUE,$S$1=TRUE,$S$4=FALSE)=TRUE,IF(OR($Q$4=TRUE,$Q$5=TRUE,$S$2=TRUE),VLOOKUP($G205,'KO Calc'!$H:$AW,35,FALSE),VLOOKUP($G205,'KO Calc'!$H211:$AW211,35,FALSE)),IF(AND($S$3=TRUE,$S$4=FALSE),IF(OR($Q$4=TRUE,$Q$5=TRUE,$S$2=TRUE),VLOOKUP($G205,'KO Calc'!$H:$AW,25,FALSE),VLOOKUP($G205,'KO Calc'!$H211:$AW211,25,FALSE)),
IF(AND($S$3=TRUE,$S$1=TRUE,$S$4=TRUE)=TRUE,IF(OR($Q$4=TRUE,$Q$5=TRUE,$S$2=TRUE),VLOOKUP($G205,'KO Calc'!$H:$AW,40,FALSE),VLOOKUP($G205,'KO Calc'!$H211:$AW211,40,FALSE)),IF(AND($S$3=TRUE,$S$4=TRUE),IF(OR($Q$4=TRUE,$Q$5=TRUE,$S$2=TRUE),VLOOKUP($G205,'KO Calc'!$H:$AW,30,FALSE),VLOOKUP($G205,'KO Calc'!$H211:$AW211,30,FALSE)))))))))))))</f>
        <v>-</v>
      </c>
      <c r="L205" s="36" t="str">
        <f>IFERROR(VLOOKUP($E205,'Status Thresholds'!$E:$AS,41,FALSE),"-")</f>
        <v>-</v>
      </c>
    </row>
    <row r="206" spans="1:14" x14ac:dyDescent="0.25">
      <c r="B206" s="64" t="str">
        <f>VLOOKUP(C206,'Status Thresholds'!B:C,2,FALSE)</f>
        <v>Deviant</v>
      </c>
      <c r="C206" s="46" t="str">
        <f>IF(ISBLANK('KO Calc'!C202)=TRUE,"",'KO Calc'!C202)</f>
        <v>Crystal beard Uragaan</v>
      </c>
      <c r="D206" s="78"/>
      <c r="E206" s="62"/>
      <c r="G206" s="36"/>
      <c r="L206" s="36" t="str">
        <f>IFERROR(VLOOKUP($E206,'Status Thresholds'!$E:$AS,41,FALSE),"-")</f>
        <v>-</v>
      </c>
    </row>
    <row r="207" spans="1:14" s="36" customFormat="1" ht="13.15" customHeight="1" x14ac:dyDescent="0.25">
      <c r="B207" s="64" t="str">
        <f>VLOOKUP(C207,'Status Thresholds'!B:C,2,FALSE)</f>
        <v>MHGen</v>
      </c>
      <c r="C207" s="46" t="str">
        <f>IF(ISBLANK('KO Calc'!C203)=TRUE,"",'KO Calc'!C203)</f>
        <v>Daimyo Hermitaur</v>
      </c>
      <c r="D207" s="65" t="s">
        <v>0</v>
      </c>
      <c r="E207" s="62" t="str">
        <f t="shared" si="5"/>
        <v>Daimyo HermitaurPara</v>
      </c>
      <c r="F207" s="36" t="s">
        <v>2</v>
      </c>
      <c r="G207" s="36" t="str">
        <f t="shared" si="6"/>
        <v>Daimyo HermitaurPara lvl 2</v>
      </c>
      <c r="H207" s="36" t="str">
        <f>IFERROR(ROUNDUP(IF(AND($Q$1=FALSE,$S$3=FALSE),"-",IF(AND($Q$1=TRUE,$S$3=TRUE),"-",IF(AND($Q$1=TRUE,$S$1=TRUE,$S$4=FALSE),VLOOKUP($E207,'Status Thresholds'!$E:$AS,12,FALSE),IF(AND($Q$1=TRUE,$S$4=FALSE),VLOOKUP($E207,'Status Thresholds'!$E:$AS,2,FALSE), IF(AND($Q$1=TRUE,$S$1=TRUE,$S$4=TRUE),VLOOKUP($E207,'Status Thresholds'!$E:$AS,17,FALSE),IF(AND($Q$1=TRUE,$S$4=TRUE),VLOOKUP($E207,'Status Thresholds'!$E:$AS,7,FALSE),IF(AND($S$3=TRUE,$S$1=TRUE,$S$4=FALSE),VLOOKUP($E207,'Status Thresholds'!$E:$AS,32,FALSE),IF(AND($S$3=TRUE,$S$4=FALSE),VLOOKUP($E207,'Status Thresholds'!$E:$AS,22,FALSE),IF(AND($S$3=TRUE,$S$1=TRUE,$S$4=TRUE),VLOOKUP($E207,'Status Thresholds'!$E:$AS,37,FALSE),IF(AND($S$3=TRUE,$S$4=TRUE),VLOOKUP($E207,'Status Thresholds'!$E:$AS,27,FALSE),""))))))))/IF(OR($Q$3=TRUE,AND($Q$2=TRUE,$Q$7=TRUE),AND($Q$3=TRUE,$Q$7=TRUE))=TRUE,'Shots and Status'!$F$5,IF((OR($Q$2,$Q$7)=TRUE),'Shots and Status'!$D$5,'Shots and Status'!$C$5)))),0),"-")</f>
        <v>-</v>
      </c>
      <c r="I207" s="36" t="str">
        <f>IFERROR(ROUNDUP(IF(AND($Q$1=FALSE,$S$3=FALSE),"-",IF(AND($Q$1=TRUE,$S$3=TRUE),"-",IF(AND($Q$1=TRUE,$S$1=TRUE,$S$4=FALSE),VLOOKUP($E207,'Status Thresholds'!$E:$AS,13,FALSE),IF(AND($Q$1=TRUE,$S$4=FALSE),VLOOKUP($E207,'Status Thresholds'!$E:$AS,3,FALSE), IF(AND($Q$1=TRUE,$S$1=TRUE,$S$4=TRUE),VLOOKUP($E207,'Status Thresholds'!$E:$AS,18,FALSE),IF(AND($Q$1=TRUE,$S$4=TRUE),VLOOKUP($E207,'Status Thresholds'!$E:$AS,8,FALSE),IF(AND($S$3=TRUE,$S$1=TRUE,$S$4=FALSE),VLOOKUP($E207,'Status Thresholds'!$E:$AS,33,FALSE),IF(AND($S$3=TRUE,$S$4=FALSE),VLOOKUP($E207,'Status Thresholds'!$E:$AS,23,FALSE),IF(AND($S$3=TRUE,$S$1=TRUE,$S$4=TRUE),VLOOKUP($E207,'Status Thresholds'!$E:$AS,38,FALSE),IF(AND($S$3=TRUE,$S$4=TRUE),VLOOKUP($E207,'Status Thresholds'!$E:$AS,28,FALSE),""))))))))/IF(OR($Q$3=TRUE,AND($Q$2=TRUE,$Q$7=TRUE),AND($Q$3=TRUE,$Q$7=TRUE))=TRUE,'Shots and Status'!$F$5,IF((OR($Q$2,$Q$7)=TRUE),'Shots and Status'!$D$5,'Shots and Status'!$C$5)))),0),"-")</f>
        <v>-</v>
      </c>
      <c r="J207" s="36" t="str">
        <f>IFERROR(ROUNDUP(IF(AND($Q$1=FALSE,$S$3=FALSE),"-",IF(AND($Q$1=TRUE,$S$3=TRUE),"-",IF(AND($Q$1=TRUE,$S$1=TRUE,$S$4=FALSE),VLOOKUP($E207,'Status Thresholds'!$E:$AS,14,FALSE),IF(AND($Q$1=TRUE,$S$4=FALSE),VLOOKUP($E207,'Status Thresholds'!$E:$AS,4,FALSE), IF(AND($Q$1=TRUE,$S$1=TRUE,$S$4=TRUE),VLOOKUP($E207,'Status Thresholds'!$E:$AS,19,FALSE),IF(AND($Q$1=TRUE,$S$4=TRUE),VLOOKUP($E207,'Status Thresholds'!$E:$AS,9,FALSE),IF(AND($S$3=TRUE,$S$1=TRUE,$S$4=FALSE),VLOOKUP($E207,'Status Thresholds'!$E:$AS,34,FALSE),IF(AND($S$3=TRUE,$S$4=FALSE),VLOOKUP($E207,'Status Thresholds'!$E:$AS,24,FALSE),IF(AND($S$3=TRUE,$S$1=TRUE,$S$4=TRUE),VLOOKUP($E207,'Status Thresholds'!$E:$AS,39,FALSE),IF(AND($S$3=TRUE,$S$4=TRUE),VLOOKUP($E207,'Status Thresholds'!$E:$AS,29,FALSE),""))))))))/IF(OR($Q$3=TRUE,AND($Q$2=TRUE,$Q$7=TRUE),AND($Q$3=TRUE,$Q$7=TRUE))=TRUE,'Shots and Status'!$F$5,IF((OR($Q$2,$Q$7)=TRUE),'Shots and Status'!$D$5,'Shots and Status'!$C$5)))),0),"-")</f>
        <v>-</v>
      </c>
      <c r="K207" s="36" t="str">
        <f>IFERROR(ROUNDUP(IF(AND($Q$1=FALSE,$S$3=FALSE),"-",IF(AND($Q$1=TRUE,$S$3=TRUE),"-",IF(AND($Q$1=TRUE,$S$1=TRUE,$S$4=FALSE),VLOOKUP($E207,'Status Thresholds'!$E:$AS,15,FALSE),IF(AND($Q$1=TRUE,$S$4=FALSE),VLOOKUP($E207,'Status Thresholds'!$E:$AS,5,FALSE), IF(AND($Q$1=TRUE,$S$1=TRUE,$S$4=TRUE),VLOOKUP($E207,'Status Thresholds'!$E:$AS,20,FALSE),IF(AND($Q$1=TRUE,$S$4=TRUE),VLOOKUP($E207,'Status Thresholds'!$E:$AS,10,FALSE),IF(AND($S$3=TRUE,$S$1=TRUE,$S$4=FALSE),VLOOKUP($E207,'Status Thresholds'!$E:$AS,35,FALSE),IF(AND($S$3=TRUE,$S$4=FALSE),VLOOKUP($E207,'Status Thresholds'!$E:$AS,25,FALSE),IF(AND($S$3=TRUE,$S$1=TRUE,$S$4=TRUE),VLOOKUP($E207,'Status Thresholds'!$E:$AS,40,FALSE),IF(AND($S$3=TRUE,$S$4=TRUE),VLOOKUP($E207,'Status Thresholds'!$E:$AS,30,FALSE),""))))))))/IF(OR($Q$3=TRUE,AND($Q$2=TRUE,$Q$7=TRUE),AND($Q$3=TRUE,$Q$7=TRUE))=TRUE,'Shots and Status'!$F$5,IF((OR($Q$2,$Q$7)=TRUE),'Shots and Status'!$D$5,'Shots and Status'!$C$5)))),0),"-")</f>
        <v>-</v>
      </c>
      <c r="L207" s="36" t="str">
        <f>IFERROR(IF(AND($Q$1=FALSE,$S$3=FALSE),"-",VLOOKUP($E207,'Status Thresholds'!$E:$AU,41,FALSE)),"-")</f>
        <v>-</v>
      </c>
      <c r="M207" s="36" t="str">
        <f>IFERROR(IF(AND($Q$1=FALSE,$S$3=FALSE),"-",VLOOKUP($E207,'Status Thresholds'!$E:$AU,42,FALSE)),"-")</f>
        <v>-</v>
      </c>
      <c r="N207" s="36" t="str">
        <f>IFERROR(IF(AND($Q$1=FALSE,$S$3=FALSE),"-",VLOOKUP($E207,'Status Thresholds'!$E:$AU,43,FALSE)),"-")</f>
        <v>-</v>
      </c>
    </row>
    <row r="208" spans="1:14" s="59" customFormat="1" x14ac:dyDescent="0.25">
      <c r="A208" s="46"/>
      <c r="B208" s="64" t="str">
        <f>VLOOKUP(C208,'Status Thresholds'!B:C,2,FALSE)</f>
        <v>MHGen</v>
      </c>
      <c r="C208" s="46" t="str">
        <f>IF(ISBLANK('KO Calc'!C204)=TRUE,"",'KO Calc'!C204)</f>
        <v>Daimyo Hermitaur</v>
      </c>
      <c r="D208" s="60" t="s">
        <v>32</v>
      </c>
      <c r="E208" s="62" t="str">
        <f t="shared" si="5"/>
        <v>Daimyo HermitaurSleep</v>
      </c>
      <c r="F208" s="59" t="s">
        <v>5</v>
      </c>
      <c r="G208" s="36" t="str">
        <f t="shared" si="6"/>
        <v>Daimyo HermitaurSleep lvl 2</v>
      </c>
      <c r="H208" s="36" t="str">
        <f>IFERROR(ROUNDUP(IF(AND($Q$1=FALSE,$S$3=FALSE),"-",IF(AND($Q$1=TRUE,$S$3=TRUE),"-",IF(AND($Q$1=TRUE,$S$1=TRUE,$S$4=FALSE),VLOOKUP($E208,'Status Thresholds'!$E:$AS,12,FALSE),IF(AND($Q$1=TRUE,$S$4=FALSE),VLOOKUP($E208,'Status Thresholds'!$E:$AS,2,FALSE), IF(AND($Q$1=TRUE,$S$1=TRUE,$S$4=TRUE),VLOOKUP($E208,'Status Thresholds'!$E:$AS,17,FALSE),IF(AND($Q$1=TRUE,$S$4=TRUE),VLOOKUP($E208,'Status Thresholds'!$E:$AS,7,FALSE),IF(AND($S$3=TRUE,$S$1=TRUE,$S$4=FALSE),VLOOKUP($E208,'Status Thresholds'!$E:$AS,32,FALSE),IF(AND($S$3=TRUE,$S$4=FALSE),VLOOKUP($E208,'Status Thresholds'!$E:$AS,22,FALSE),IF(AND($S$3=TRUE,$S$1=TRUE,$S$4=TRUE),VLOOKUP($E208,'Status Thresholds'!$E:$AS,37,FALSE),IF(AND($S$3=TRUE,$S$4=TRUE),VLOOKUP($E208,'Status Thresholds'!$E:$AS,27,FALSE),""))))))))/IF(OR($Q$3=TRUE,AND($Q$2=TRUE,$Q$7=TRUE),AND($Q$3=TRUE,$Q$7=TRUE))=TRUE,'Shots and Status'!$F$5,IF((OR($Q$2,$Q$7)=TRUE),'Shots and Status'!$D$5,'Shots and Status'!$C$5)))),0),"-")</f>
        <v>-</v>
      </c>
      <c r="I208" s="36" t="str">
        <f>IFERROR(ROUNDUP(IF(AND($Q$1=FALSE,$S$3=FALSE),"-",IF(AND($Q$1=TRUE,$S$3=TRUE),"-",IF(AND($Q$1=TRUE,$S$1=TRUE,$S$4=FALSE),VLOOKUP($E208,'Status Thresholds'!$E:$AS,13,FALSE),IF(AND($Q$1=TRUE,$S$4=FALSE),VLOOKUP($E208,'Status Thresholds'!$E:$AS,3,FALSE), IF(AND($Q$1=TRUE,$S$1=TRUE,$S$4=TRUE),VLOOKUP($E208,'Status Thresholds'!$E:$AS,18,FALSE),IF(AND($Q$1=TRUE,$S$4=TRUE),VLOOKUP($E208,'Status Thresholds'!$E:$AS,8,FALSE),IF(AND($S$3=TRUE,$S$1=TRUE,$S$4=FALSE),VLOOKUP($E208,'Status Thresholds'!$E:$AS,33,FALSE),IF(AND($S$3=TRUE,$S$4=FALSE),VLOOKUP($E208,'Status Thresholds'!$E:$AS,23,FALSE),IF(AND($S$3=TRUE,$S$1=TRUE,$S$4=TRUE),VLOOKUP($E208,'Status Thresholds'!$E:$AS,38,FALSE),IF(AND($S$3=TRUE,$S$4=TRUE),VLOOKUP($E208,'Status Thresholds'!$E:$AS,28,FALSE),""))))))))/IF(OR($Q$3=TRUE,AND($Q$2=TRUE,$Q$7=TRUE),AND($Q$3=TRUE,$Q$7=TRUE))=TRUE,'Shots and Status'!$F$5,IF((OR($Q$2,$Q$7)=TRUE),'Shots and Status'!$D$5,'Shots and Status'!$C$5)))),0),"-")</f>
        <v>-</v>
      </c>
      <c r="J208" s="36" t="str">
        <f>IFERROR(ROUNDUP(IF(AND($Q$1=FALSE,$S$3=FALSE),"-",IF(AND($Q$1=TRUE,$S$3=TRUE),"-",IF(AND($Q$1=TRUE,$S$1=TRUE,$S$4=FALSE),VLOOKUP($E208,'Status Thresholds'!$E:$AS,14,FALSE),IF(AND($Q$1=TRUE,$S$4=FALSE),VLOOKUP($E208,'Status Thresholds'!$E:$AS,4,FALSE), IF(AND($Q$1=TRUE,$S$1=TRUE,$S$4=TRUE),VLOOKUP($E208,'Status Thresholds'!$E:$AS,19,FALSE),IF(AND($Q$1=TRUE,$S$4=TRUE),VLOOKUP($E208,'Status Thresholds'!$E:$AS,9,FALSE),IF(AND($S$3=TRUE,$S$1=TRUE,$S$4=FALSE),VLOOKUP($E208,'Status Thresholds'!$E:$AS,34,FALSE),IF(AND($S$3=TRUE,$S$4=FALSE),VLOOKUP($E208,'Status Thresholds'!$E:$AS,24,FALSE),IF(AND($S$3=TRUE,$S$1=TRUE,$S$4=TRUE),VLOOKUP($E208,'Status Thresholds'!$E:$AS,39,FALSE),IF(AND($S$3=TRUE,$S$4=TRUE),VLOOKUP($E208,'Status Thresholds'!$E:$AS,29,FALSE),""))))))))/IF(OR($Q$3=TRUE,AND($Q$2=TRUE,$Q$7=TRUE),AND($Q$3=TRUE,$Q$7=TRUE))=TRUE,'Shots and Status'!$F$5,IF((OR($Q$2,$Q$7)=TRUE),'Shots and Status'!$D$5,'Shots and Status'!$C$5)))),0),"-")</f>
        <v>-</v>
      </c>
      <c r="K208" s="36" t="str">
        <f>IFERROR(ROUNDUP(IF(AND($Q$1=FALSE,$S$3=FALSE),"-",IF(AND($Q$1=TRUE,$S$3=TRUE),"-",IF(AND($Q$1=TRUE,$S$1=TRUE,$S$4=FALSE),VLOOKUP($E208,'Status Thresholds'!$E:$AS,15,FALSE),IF(AND($Q$1=TRUE,$S$4=FALSE),VLOOKUP($E208,'Status Thresholds'!$E:$AS,5,FALSE), IF(AND($Q$1=TRUE,$S$1=TRUE,$S$4=TRUE),VLOOKUP($E208,'Status Thresholds'!$E:$AS,20,FALSE),IF(AND($Q$1=TRUE,$S$4=TRUE),VLOOKUP($E208,'Status Thresholds'!$E:$AS,10,FALSE),IF(AND($S$3=TRUE,$S$1=TRUE,$S$4=FALSE),VLOOKUP($E208,'Status Thresholds'!$E:$AS,35,FALSE),IF(AND($S$3=TRUE,$S$4=FALSE),VLOOKUP($E208,'Status Thresholds'!$E:$AS,25,FALSE),IF(AND($S$3=TRUE,$S$1=TRUE,$S$4=TRUE),VLOOKUP($E208,'Status Thresholds'!$E:$AS,40,FALSE),IF(AND($S$3=TRUE,$S$4=TRUE),VLOOKUP($E208,'Status Thresholds'!$E:$AS,30,FALSE),""))))))))/IF(OR($Q$3=TRUE,AND($Q$2=TRUE,$Q$7=TRUE),AND($Q$3=TRUE,$Q$7=TRUE))=TRUE,'Shots and Status'!$F$5,IF((OR($Q$2,$Q$7)=TRUE),'Shots and Status'!$D$5,'Shots and Status'!$C$5)))),0),"-")</f>
        <v>-</v>
      </c>
      <c r="L208" s="36" t="str">
        <f>IFERROR(IF(AND($Q$1=FALSE,$S$3=FALSE),"-",VLOOKUP($E208,'Status Thresholds'!$E:$AU,41,FALSE)),"-")</f>
        <v>-</v>
      </c>
      <c r="M208" s="36" t="str">
        <f>IFERROR(IF(AND($Q$1=FALSE,$S$3=FALSE),"-",VLOOKUP($E208,'Status Thresholds'!$E:$AU,42,FALSE)),"-")</f>
        <v>-</v>
      </c>
      <c r="N208" s="36" t="str">
        <f>IFERROR(IF(AND($Q$1=FALSE,$S$3=FALSE),"-",VLOOKUP($E208,'Status Thresholds'!$E:$AU,43,FALSE)),"-")</f>
        <v>-</v>
      </c>
    </row>
    <row r="209" spans="1:14" s="59" customFormat="1" x14ac:dyDescent="0.25">
      <c r="A209" s="46"/>
      <c r="B209" s="64" t="str">
        <f>VLOOKUP(C209,'Status Thresholds'!B:C,2,FALSE)</f>
        <v>MHGen</v>
      </c>
      <c r="C209" s="46" t="str">
        <f>IF(ISBLANK('KO Calc'!C205)=TRUE,"",'KO Calc'!C205)</f>
        <v>Daimyo Hermitaur</v>
      </c>
      <c r="D209" s="58" t="s">
        <v>33</v>
      </c>
      <c r="E209" s="62" t="str">
        <f t="shared" si="5"/>
        <v>Daimyo HermitaurPoison</v>
      </c>
      <c r="F209" s="59" t="s">
        <v>6</v>
      </c>
      <c r="G209" s="36" t="str">
        <f t="shared" si="6"/>
        <v>Daimyo HermitaurPoison lvl 2</v>
      </c>
      <c r="H209" s="36" t="str">
        <f>IFERROR(ROUNDUP(IF(AND($Q$1=FALSE,$S$3=FALSE),"-",IF(AND($Q$1=TRUE,$S$3=TRUE),"-",IF(AND($Q$1=TRUE,$S$1=TRUE,$S$4=FALSE),VLOOKUP($E209,'Status Thresholds'!$E:$AS,12,FALSE),IF(AND($Q$1=TRUE,$S$4=FALSE),VLOOKUP($E209,'Status Thresholds'!$E:$AS,2,FALSE), IF(AND($Q$1=TRUE,$S$1=TRUE,$S$4=TRUE),VLOOKUP($E209,'Status Thresholds'!$E:$AS,17,FALSE),IF(AND($Q$1=TRUE,$S$4=TRUE),VLOOKUP($E209,'Status Thresholds'!$E:$AS,7,FALSE),IF(AND($S$3=TRUE,$S$1=TRUE,$S$4=FALSE),VLOOKUP($E209,'Status Thresholds'!$E:$AS,32,FALSE),IF(AND($S$3=TRUE,$S$4=FALSE),VLOOKUP($E209,'Status Thresholds'!$E:$AS,22,FALSE),IF(AND($S$3=TRUE,$S$1=TRUE,$S$4=TRUE),VLOOKUP($E209,'Status Thresholds'!$E:$AS,37,FALSE),IF(AND($S$3=TRUE,$S$4=TRUE),VLOOKUP($E209,'Status Thresholds'!$E:$AS,27,FALSE),""))))))))/IF(OR($Q$3=TRUE,AND($Q$2=TRUE,$Q$7=TRUE),AND($Q$3=TRUE,$Q$7=TRUE))=TRUE,'Shots and Status'!$F$5,IF((OR($Q$2,$Q$7)=TRUE),'Shots and Status'!$D$5,'Shots and Status'!$C$5)))),0),"-")</f>
        <v>-</v>
      </c>
      <c r="I209" s="36" t="str">
        <f>IFERROR(ROUNDUP(IF(AND($Q$1=FALSE,$S$3=FALSE),"-",IF(AND($Q$1=TRUE,$S$3=TRUE),"-",IF(AND($Q$1=TRUE,$S$1=TRUE,$S$4=FALSE),VLOOKUP($E209,'Status Thresholds'!$E:$AS,13,FALSE),IF(AND($Q$1=TRUE,$S$4=FALSE),VLOOKUP($E209,'Status Thresholds'!$E:$AS,3,FALSE), IF(AND($Q$1=TRUE,$S$1=TRUE,$S$4=TRUE),VLOOKUP($E209,'Status Thresholds'!$E:$AS,18,FALSE),IF(AND($Q$1=TRUE,$S$4=TRUE),VLOOKUP($E209,'Status Thresholds'!$E:$AS,8,FALSE),IF(AND($S$3=TRUE,$S$1=TRUE,$S$4=FALSE),VLOOKUP($E209,'Status Thresholds'!$E:$AS,33,FALSE),IF(AND($S$3=TRUE,$S$4=FALSE),VLOOKUP($E209,'Status Thresholds'!$E:$AS,23,FALSE),IF(AND($S$3=TRUE,$S$1=TRUE,$S$4=TRUE),VLOOKUP($E209,'Status Thresholds'!$E:$AS,38,FALSE),IF(AND($S$3=TRUE,$S$4=TRUE),VLOOKUP($E209,'Status Thresholds'!$E:$AS,28,FALSE),""))))))))/IF(OR($Q$3=TRUE,AND($Q$2=TRUE,$Q$7=TRUE),AND($Q$3=TRUE,$Q$7=TRUE))=TRUE,'Shots and Status'!$F$5,IF((OR($Q$2,$Q$7)=TRUE),'Shots and Status'!$D$5,'Shots and Status'!$C$5)))),0),"-")</f>
        <v>-</v>
      </c>
      <c r="J209" s="36" t="str">
        <f>IFERROR(ROUNDUP(IF(AND($Q$1=FALSE,$S$3=FALSE),"-",IF(AND($Q$1=TRUE,$S$3=TRUE),"-",IF(AND($Q$1=TRUE,$S$1=TRUE,$S$4=FALSE),VLOOKUP($E209,'Status Thresholds'!$E:$AS,14,FALSE),IF(AND($Q$1=TRUE,$S$4=FALSE),VLOOKUP($E209,'Status Thresholds'!$E:$AS,4,FALSE), IF(AND($Q$1=TRUE,$S$1=TRUE,$S$4=TRUE),VLOOKUP($E209,'Status Thresholds'!$E:$AS,19,FALSE),IF(AND($Q$1=TRUE,$S$4=TRUE),VLOOKUP($E209,'Status Thresholds'!$E:$AS,9,FALSE),IF(AND($S$3=TRUE,$S$1=TRUE,$S$4=FALSE),VLOOKUP($E209,'Status Thresholds'!$E:$AS,34,FALSE),IF(AND($S$3=TRUE,$S$4=FALSE),VLOOKUP($E209,'Status Thresholds'!$E:$AS,24,FALSE),IF(AND($S$3=TRUE,$S$1=TRUE,$S$4=TRUE),VLOOKUP($E209,'Status Thresholds'!$E:$AS,39,FALSE),IF(AND($S$3=TRUE,$S$4=TRUE),VLOOKUP($E209,'Status Thresholds'!$E:$AS,29,FALSE),""))))))))/IF(OR($Q$3=TRUE,AND($Q$2=TRUE,$Q$7=TRUE),AND($Q$3=TRUE,$Q$7=TRUE))=TRUE,'Shots and Status'!$F$5,IF((OR($Q$2,$Q$7)=TRUE),'Shots and Status'!$D$5,'Shots and Status'!$C$5)))),0),"-")</f>
        <v>-</v>
      </c>
      <c r="K209" s="36" t="str">
        <f>IFERROR(ROUNDUP(IF(AND($Q$1=FALSE,$S$3=FALSE),"-",IF(AND($Q$1=TRUE,$S$3=TRUE),"-",IF(AND($Q$1=TRUE,$S$1=TRUE,$S$4=FALSE),VLOOKUP($E209,'Status Thresholds'!$E:$AS,15,FALSE),IF(AND($Q$1=TRUE,$S$4=FALSE),VLOOKUP($E209,'Status Thresholds'!$E:$AS,5,FALSE), IF(AND($Q$1=TRUE,$S$1=TRUE,$S$4=TRUE),VLOOKUP($E209,'Status Thresholds'!$E:$AS,20,FALSE),IF(AND($Q$1=TRUE,$S$4=TRUE),VLOOKUP($E209,'Status Thresholds'!$E:$AS,10,FALSE),IF(AND($S$3=TRUE,$S$1=TRUE,$S$4=FALSE),VLOOKUP($E209,'Status Thresholds'!$E:$AS,35,FALSE),IF(AND($S$3=TRUE,$S$4=FALSE),VLOOKUP($E209,'Status Thresholds'!$E:$AS,25,FALSE),IF(AND($S$3=TRUE,$S$1=TRUE,$S$4=TRUE),VLOOKUP($E209,'Status Thresholds'!$E:$AS,40,FALSE),IF(AND($S$3=TRUE,$S$4=TRUE),VLOOKUP($E209,'Status Thresholds'!$E:$AS,30,FALSE),""))))))))/IF(OR($Q$3=TRUE,AND($Q$2=TRUE,$Q$7=TRUE),AND($Q$3=TRUE,$Q$7=TRUE))=TRUE,'Shots and Status'!$F$5,IF((OR($Q$2,$Q$7)=TRUE),'Shots and Status'!$D$5,'Shots and Status'!$C$5)))),0),"-")</f>
        <v>-</v>
      </c>
      <c r="L209" s="36" t="str">
        <f>IFERROR(IF(AND($Q$1=FALSE,$S$3=FALSE),"-",VLOOKUP($E209,'Status Thresholds'!$E:$AU,41,FALSE)),"-")</f>
        <v>-</v>
      </c>
      <c r="M209" s="36" t="str">
        <f>IFERROR(IF(AND($Q$1=FALSE,$S$3=FALSE),"-",VLOOKUP($E209,'Status Thresholds'!$E:$AU,42,FALSE)),"-")</f>
        <v>-</v>
      </c>
      <c r="N209" s="36" t="str">
        <f>IFERROR(IF(AND($Q$1=FALSE,$S$3=FALSE),"-",VLOOKUP($E209,'Status Thresholds'!$E:$AU,43,FALSE)),"-")</f>
        <v>-</v>
      </c>
    </row>
    <row r="210" spans="1:14" s="36" customFormat="1" x14ac:dyDescent="0.25">
      <c r="A210" s="46"/>
      <c r="B210" s="64" t="str">
        <f>VLOOKUP(C210,'Status Thresholds'!B:C,2,FALSE)</f>
        <v>MHGen</v>
      </c>
      <c r="C210" s="46" t="str">
        <f>IF(ISBLANK('KO Calc'!C206)=TRUE,"",'KO Calc'!C206)</f>
        <v>Daimyo Hermitaur</v>
      </c>
      <c r="D210" s="57" t="s">
        <v>22</v>
      </c>
      <c r="E210" s="62" t="str">
        <f t="shared" si="5"/>
        <v>Daimyo HermitaurExhaust</v>
      </c>
      <c r="F210" s="36" t="s">
        <v>8</v>
      </c>
      <c r="G210" s="36" t="str">
        <f t="shared" si="6"/>
        <v>Daimyo HermitaurExhaust lvl 2</v>
      </c>
      <c r="H210" s="36" t="str">
        <f>IFERROR(ROUNDUP(IF(AND($Q$1=FALSE,$S$3=FALSE),"-",IF(AND($Q$1=TRUE,$S$3=TRUE),"-",IF(AND($Q$1=TRUE,$S$1=TRUE,$S$4=FALSE),VLOOKUP($E210,'Status Thresholds'!$E:$AS,12,FALSE),IF(AND($Q$1=TRUE,$S$4=FALSE),VLOOKUP($E210,'Status Thresholds'!$E:$AS,2,FALSE), IF(AND($Q$1=TRUE,$S$1=TRUE,$S$4=TRUE),VLOOKUP($E210,'Status Thresholds'!$E:$AS,17,FALSE),IF(AND($Q$1=TRUE,$S$4=TRUE),VLOOKUP($E210,'Status Thresholds'!$E:$AS,7,FALSE),IF(AND($S$3=TRUE,$S$1=TRUE,$S$4=FALSE),VLOOKUP($E210,'Status Thresholds'!$E:$AS,32,FALSE),IF(AND($S$3=TRUE,$S$4=FALSE),VLOOKUP($E210,'Status Thresholds'!$E:$AS,22,FALSE),IF(AND($S$3=TRUE,$S$1=TRUE,$S$4=TRUE),VLOOKUP($E210,'Status Thresholds'!$E:$AS,37,FALSE),IF(AND($S$3=TRUE,$S$4=TRUE),VLOOKUP($E210,'Status Thresholds'!$E:$AS,27,FALSE),""))))))))/IF(OR($Q$3=TRUE,AND($Q$2=TRUE,$Q$7=TRUE),AND($Q$3=TRUE,$Q$7=TRUE))=TRUE,'Shots and Status'!$F$5,IF((OR($Q$2,$Q$7)=TRUE),'Shots and Status'!$D$5,'Shots and Status'!$C$5)))),0),"-")</f>
        <v>-</v>
      </c>
      <c r="I210" s="36" t="str">
        <f>IFERROR(ROUNDUP(IF(AND($Q$1=FALSE,$S$3=FALSE),"-",IF(AND($Q$1=TRUE,$S$3=TRUE),"-",IF(AND($Q$1=TRUE,$S$1=TRUE,$S$4=FALSE),VLOOKUP($E210,'Status Thresholds'!$E:$AS,13,FALSE),IF(AND($Q$1=TRUE,$S$4=FALSE),VLOOKUP($E210,'Status Thresholds'!$E:$AS,3,FALSE), IF(AND($Q$1=TRUE,$S$1=TRUE,$S$4=TRUE),VLOOKUP($E210,'Status Thresholds'!$E:$AS,18,FALSE),IF(AND($Q$1=TRUE,$S$4=TRUE),VLOOKUP($E210,'Status Thresholds'!$E:$AS,8,FALSE),IF(AND($S$3=TRUE,$S$1=TRUE,$S$4=FALSE),VLOOKUP($E210,'Status Thresholds'!$E:$AS,33,FALSE),IF(AND($S$3=TRUE,$S$4=FALSE),VLOOKUP($E210,'Status Thresholds'!$E:$AS,23,FALSE),IF(AND($S$3=TRUE,$S$1=TRUE,$S$4=TRUE),VLOOKUP($E210,'Status Thresholds'!$E:$AS,38,FALSE),IF(AND($S$3=TRUE,$S$4=TRUE),VLOOKUP($E210,'Status Thresholds'!$E:$AS,28,FALSE),""))))))))/IF(OR($Q$3=TRUE,AND($Q$2=TRUE,$Q$7=TRUE),AND($Q$3=TRUE,$Q$7=TRUE))=TRUE,'Shots and Status'!$F$5,IF((OR($Q$2,$Q$7)=TRUE),'Shots and Status'!$D$5,'Shots and Status'!$C$5)))),0),"-")</f>
        <v>-</v>
      </c>
      <c r="J210" s="36" t="str">
        <f>IFERROR(ROUNDUP(IF(AND($Q$1=FALSE,$S$3=FALSE),"-",IF(AND($Q$1=TRUE,$S$3=TRUE),"-",IF(AND($Q$1=TRUE,$S$1=TRUE,$S$4=FALSE),VLOOKUP($E210,'Status Thresholds'!$E:$AS,14,FALSE),IF(AND($Q$1=TRUE,$S$4=FALSE),VLOOKUP($E210,'Status Thresholds'!$E:$AS,4,FALSE), IF(AND($Q$1=TRUE,$S$1=TRUE,$S$4=TRUE),VLOOKUP($E210,'Status Thresholds'!$E:$AS,19,FALSE),IF(AND($Q$1=TRUE,$S$4=TRUE),VLOOKUP($E210,'Status Thresholds'!$E:$AS,9,FALSE),IF(AND($S$3=TRUE,$S$1=TRUE,$S$4=FALSE),VLOOKUP($E210,'Status Thresholds'!$E:$AS,34,FALSE),IF(AND($S$3=TRUE,$S$4=FALSE),VLOOKUP($E210,'Status Thresholds'!$E:$AS,24,FALSE),IF(AND($S$3=TRUE,$S$1=TRUE,$S$4=TRUE),VLOOKUP($E210,'Status Thresholds'!$E:$AS,39,FALSE),IF(AND($S$3=TRUE,$S$4=TRUE),VLOOKUP($E210,'Status Thresholds'!$E:$AS,29,FALSE),""))))))))/IF(OR($Q$3=TRUE,AND($Q$2=TRUE,$Q$7=TRUE),AND($Q$3=TRUE,$Q$7=TRUE))=TRUE,'Shots and Status'!$F$5,IF((OR($Q$2,$Q$7)=TRUE),'Shots and Status'!$D$5,'Shots and Status'!$C$5)))),0),"-")</f>
        <v>-</v>
      </c>
      <c r="K210" s="36" t="str">
        <f>IFERROR(ROUNDUP(IF(AND($Q$1=FALSE,$S$3=FALSE),"-",IF(AND($Q$1=TRUE,$S$3=TRUE),"-",IF(AND($Q$1=TRUE,$S$1=TRUE,$S$4=FALSE),VLOOKUP($E210,'Status Thresholds'!$E:$AS,15,FALSE),IF(AND($Q$1=TRUE,$S$4=FALSE),VLOOKUP($E210,'Status Thresholds'!$E:$AS,5,FALSE), IF(AND($Q$1=TRUE,$S$1=TRUE,$S$4=TRUE),VLOOKUP($E210,'Status Thresholds'!$E:$AS,20,FALSE),IF(AND($Q$1=TRUE,$S$4=TRUE),VLOOKUP($E210,'Status Thresholds'!$E:$AS,10,FALSE),IF(AND($S$3=TRUE,$S$1=TRUE,$S$4=FALSE),VLOOKUP($E210,'Status Thresholds'!$E:$AS,35,FALSE),IF(AND($S$3=TRUE,$S$4=FALSE),VLOOKUP($E210,'Status Thresholds'!$E:$AS,25,FALSE),IF(AND($S$3=TRUE,$S$1=TRUE,$S$4=TRUE),VLOOKUP($E210,'Status Thresholds'!$E:$AS,40,FALSE),IF(AND($S$3=TRUE,$S$4=TRUE),VLOOKUP($E210,'Status Thresholds'!$E:$AS,30,FALSE),""))))))))/IF(OR($Q$3=TRUE,AND($Q$2=TRUE,$Q$7=TRUE),AND($Q$3=TRUE,$Q$7=TRUE))=TRUE,'Shots and Status'!$F$5,IF((OR($Q$2,$Q$7)=TRUE),'Shots and Status'!$D$5,'Shots and Status'!$C$5)))),0),"-")</f>
        <v>-</v>
      </c>
      <c r="L210" s="36" t="str">
        <f>IFERROR(IF(AND($Q$1=FALSE,$S$3=FALSE),"-",VLOOKUP($E210,'Status Thresholds'!$E:$AU,41,FALSE)),"-")</f>
        <v>-</v>
      </c>
      <c r="M210" s="36" t="str">
        <f>IFERROR(IF(AND($Q$1=FALSE,$S$3=FALSE),"-",VLOOKUP($E210,'Status Thresholds'!$E:$AU,42,FALSE)),"-")</f>
        <v>-</v>
      </c>
      <c r="N210" s="36" t="str">
        <f>IFERROR(IF(AND($Q$1=FALSE,$S$3=FALSE),"-",VLOOKUP($E210,'Status Thresholds'!$E:$AU,43,FALSE)),"-")</f>
        <v>-</v>
      </c>
    </row>
    <row r="211" spans="1:14" s="36" customFormat="1" x14ac:dyDescent="0.25">
      <c r="A211" s="46"/>
      <c r="B211" s="64" t="str">
        <f>VLOOKUP(C211,'Status Thresholds'!B:C,2,FALSE)</f>
        <v>MHGen</v>
      </c>
      <c r="C211" s="46" t="str">
        <f>IF(ISBLANK('KO Calc'!C207)=TRUE,"",'KO Calc'!C207)</f>
        <v>Daimyo Hermitaur</v>
      </c>
      <c r="D211" s="67" t="s">
        <v>14</v>
      </c>
      <c r="E211" s="62" t="str">
        <f t="shared" si="5"/>
        <v>Daimyo HermitaurKO</v>
      </c>
      <c r="F211" s="36" t="s">
        <v>21</v>
      </c>
      <c r="G211" s="36" t="str">
        <f t="shared" si="6"/>
        <v>Daimyo HermitaurTriblast</v>
      </c>
      <c r="H211" s="36" t="str">
        <f>IF(AND($Q$1=FALSE,$S$3=FALSE),"-",IF(AND($Q$1=TRUE,$S$3=TRUE),"-",IF(AND($Q$1=FALSE,$S$3=FALSE),"-",IF(AND($Q$1=TRUE,$S$1=TRUE,$S$4=FALSE)=TRUE,IF(OR($Q$4=TRUE,$Q$5=TRUE,$S$2=TRUE),VLOOKUP($G211,'KO Calc'!$H:$AW,12,FALSE),VLOOKUP($G211,'KO Calc'!$H217:$AW217,12,FALSE)),IF(AND($Q$1=TRUE,$S$4=FALSE),IF(OR($Q$4=TRUE,$Q$5=TRUE,$S$2=TRUE),VLOOKUP($G211,'KO Calc'!$H:$AW,2,FALSE),VLOOKUP($G211,'KO Calc'!$H217:$AW217,2,FALSE)),
IF(AND($Q$1=TRUE,$S$1=TRUE,$S$4=TRUE)=TRUE,IF(OR($Q$4=TRUE,$Q$5=TRUE,$S$2=TRUE),VLOOKUP($G211,'KO Calc'!$H:$AW,17,FALSE),VLOOKUP($G211,'KO Calc'!$H217:$AW217,17,FALSE)),IF(AND($Q$1=TRUE,$S$4=TRUE),IF(OR($Q$4=TRUE,$Q$5=TRUE,$S$2=TRUE),VLOOKUP($G211,'KO Calc'!$H:$AW,7,FALSE),VLOOKUP($G211,'KO Calc'!$H217:$AW217,7,FALSE)),
IF(AND($S$3=TRUE,$S$1=TRUE,$S$4=FALSE)=TRUE,IF(OR($Q$4=TRUE,$Q$5=TRUE,$S$2=TRUE),VLOOKUP($G211,'KO Calc'!$H:$AW,32,FALSE),VLOOKUP($G211,'KO Calc'!$H217:$AW217,32,FALSE)),IF(AND($S$3=TRUE,$S$4=FALSE),IF(OR($Q$4=TRUE,$Q$5=TRUE,$S$2=TRUE),VLOOKUP($G211,'KO Calc'!$H:$AW,22,FALSE),VLOOKUP($G211,'KO Calc'!$H217:$AW217,22,FALSE)),
IF(AND($S$3=TRUE,$S$1=TRUE,$S$4=TRUE)=TRUE,IF(OR($Q$4=TRUE,$Q$5=TRUE,$S$2=TRUE),VLOOKUP($G211,'KO Calc'!$H:$AW,37,FALSE),VLOOKUP($G211,'KO Calc'!$H217:$AW217,37,FALSE)),IF(AND($S$3=TRUE,$S$4=TRUE),IF(OR($Q$4=TRUE,$Q$5=TRUE,$S$2=TRUE),VLOOKUP($G211,'KO Calc'!$H:$AW,27,FALSE),VLOOKUP($G211,'KO Calc'!$H217:$AW217,27,FALSE)))))))))))))</f>
        <v>-</v>
      </c>
      <c r="I211" s="36" t="str">
        <f>IF(AND($Q$1=FALSE,$S$3=FALSE),"-",IF(AND($Q$1=TRUE,$S$3=TRUE),"-",IF(AND($Q$1=FALSE,$S$3=FALSE),"-",IF(AND($Q$1=TRUE,$S$1=TRUE,$S$4=FALSE)=TRUE,IF(OR($Q$4=TRUE,$Q$5=TRUE,$S$2=TRUE),VLOOKUP($G211,'KO Calc'!$H:$AW,13,FALSE),VLOOKUP($G211,'KO Calc'!$H217:$AW217,13,FALSE)),IF(AND($Q$1=TRUE,$S$4=FALSE),IF(OR($Q$4=TRUE,$Q$5=TRUE,$S$2=TRUE),VLOOKUP($G211,'KO Calc'!$H:$AW,3,FALSE),VLOOKUP($G211,'KO Calc'!$H217:$AW217,3,FALSE)),
IF(AND($Q$1=TRUE,$S$1=TRUE,$S$4=TRUE)=TRUE,IF(OR($Q$4=TRUE,$Q$5=TRUE,$S$2=TRUE),VLOOKUP($G211,'KO Calc'!$H:$AW,18,FALSE),VLOOKUP($G211,'KO Calc'!$H217:$AW217,18,FALSE)),IF(AND($Q$1=TRUE,$S$4=TRUE),IF(OR($Q$4=TRUE,$Q$5=TRUE,$S$2=TRUE),VLOOKUP($G211,'KO Calc'!$H:$AW,8,FALSE),VLOOKUP($G211,'KO Calc'!$H217:$AW217,8,FALSE)),
IF(AND($S$3=TRUE,$S$1=TRUE,$S$4=FALSE)=TRUE,IF(OR($Q$4=TRUE,$Q$5=TRUE,$S$2=TRUE),VLOOKUP($G211,'KO Calc'!$H:$AW,33,FALSE),VLOOKUP($G211,'KO Calc'!$H217:$AW217,33,FALSE)),IF(AND($S$3=TRUE,$S$4=FALSE),IF(OR($Q$4=TRUE,$Q$5=TRUE,$S$2=TRUE),VLOOKUP($G211,'KO Calc'!$H:$AW,23,FALSE),VLOOKUP($G211,'KO Calc'!$H217:$AW217,23,FALSE)),
IF(AND($S$3=TRUE,$S$1=TRUE,$S$4=TRUE)=TRUE,IF(OR($Q$4=TRUE,$Q$5=TRUE,$S$2=TRUE),VLOOKUP($G211,'KO Calc'!$H:$AW,38,FALSE),VLOOKUP($G211,'KO Calc'!$H217:$AW217,38,FALSE)),IF(AND($S$3=TRUE,$S$4=TRUE),IF(OR($Q$4=TRUE,$Q$5=TRUE,$S$2=TRUE),VLOOKUP($G211,'KO Calc'!$H:$AW,28,FALSE),VLOOKUP($G211,'KO Calc'!$H217:$AW217,28,FALSE)))))))))))))</f>
        <v>-</v>
      </c>
      <c r="J211" s="36" t="str">
        <f>IF(AND($Q$1=FALSE,$S$3=FALSE),"-",IF(AND($Q$1=TRUE,$S$3=TRUE),"-",IF(AND($Q$1=FALSE,$S$3=FALSE),"-",IF(AND($Q$1=TRUE,$S$1=TRUE,$S$4=FALSE)=TRUE,IF(OR($Q$4=TRUE,$Q$5=TRUE,$S$2=TRUE),VLOOKUP($G211,'KO Calc'!$H:$AW,FALSE),VLOOKUP($G211,'KO Calc'!$H217:$AW217,14,FALSE)),IF(AND($Q$1=TRUE,$S$4=FALSE),IF(OR($Q$4=TRUE,$Q$5=TRUE,$S$2=TRUE),VLOOKUP($G211,'KO Calc'!$H:$AW,4,FALSE),VLOOKUP($G211,'KO Calc'!$H217:$AW217,4,FALSE)),
IF(AND($Q$1=TRUE,$S$1=TRUE,$S$4=TRUE)=TRUE,IF(OR($Q$4=TRUE,$Q$5=TRUE,$S$2=TRUE),VLOOKUP($G211,'KO Calc'!$H:$AW,19,FALSE),VLOOKUP($G211,'KO Calc'!$H217:$AW217,19,FALSE)),IF(AND($Q$1=TRUE,$S$4=TRUE),IF(OR($Q$4=TRUE,$Q$5=TRUE,$S$2=TRUE),VLOOKUP($G211,'KO Calc'!$H:$AW,9,FALSE),VLOOKUP($G211,'KO Calc'!$H217:$AW217,9,FALSE)),
IF(AND($S$3=TRUE,$S$1=TRUE,$S$4=FALSE)=TRUE,IF(OR($Q$4=TRUE,$Q$5=TRUE,$S$2=TRUE),VLOOKUP($G211,'KO Calc'!$H:$AW,34,FALSE),VLOOKUP($G211,'KO Calc'!$H217:$AW217,34,FALSE)),IF(AND($S$3=TRUE,$S$4=FALSE),IF(OR($Q$4=TRUE,$Q$5=TRUE,$S$2=TRUE),VLOOKUP($G211,'KO Calc'!$H:$AW,24,FALSE),VLOOKUP($G211,'KO Calc'!$H217:$AW217,24,FALSE)),
IF(AND($S$3=TRUE,$S$1=TRUE,$S$4=TRUE)=TRUE,IF(OR($Q$4=TRUE,$Q$5=TRUE,$S$2=TRUE),VLOOKUP($G211,'KO Calc'!$H:$AW,39,FALSE),VLOOKUP($G211,'KO Calc'!$H217:$AW217,39,FALSE)),IF(AND($S$3=TRUE,$S$4=TRUE),IF(OR($Q$4=TRUE,$Q$5=TRUE,$S$2=TRUE),VLOOKUP($G211,'KO Calc'!$H:$AW,29,FALSE),VLOOKUP($G211,'KO Calc'!$H217:$AW217,29,FALSE)))))))))))))</f>
        <v>-</v>
      </c>
      <c r="K211" s="36" t="str">
        <f>IF(AND($Q$1=FALSE,$S$3=FALSE),"-",IF(AND($Q$1=TRUE,$S$3=TRUE),"-",IF(AND($Q$1=FALSE,$S$3=FALSE),"-",IF(AND($Q$1=TRUE,$S$1=TRUE,$S$4=FALSE)=TRUE,IF(OR($Q$4=TRUE,$Q$5=TRUE,$S$2=TRUE),VLOOKUP($G211,'KO Calc'!$H:$AW,15,FALSE),VLOOKUP($G211,'KO Calc'!$H217:$AW217,15,FALSE)),IF(AND($Q$1=TRUE,$S$4=FALSE),IF(OR($Q$4=TRUE,$Q$5=TRUE,$S$2=TRUE),VLOOKUP($G211,'KO Calc'!$H:$AW,5,FALSE),VLOOKUP($G211,'KO Calc'!$H217:$AW217,5,FALSE)),
IF(AND($Q$1=TRUE,$S$1=TRUE,$S$4=TRUE)=TRUE,IF(OR($Q$4=TRUE,$Q$5=TRUE,$S$2=TRUE),VLOOKUP($G211,'KO Calc'!$H:$AW,20,FALSE),VLOOKUP($G211,'KO Calc'!$H217:$AW217,20,FALSE)),IF(AND($Q$1=TRUE,$S$4=TRUE),IF(OR($Q$4=TRUE,$Q$5=TRUE,$S$2=TRUE),VLOOKUP($G211,'KO Calc'!$H:$AW,10,FALSE),VLOOKUP($G211,'KO Calc'!$H217:$AW217,10,FALSE)),
IF(AND($S$3=TRUE,$S$1=TRUE,$S$4=FALSE)=TRUE,IF(OR($Q$4=TRUE,$Q$5=TRUE,$S$2=TRUE),VLOOKUP($G211,'KO Calc'!$H:$AW,35,FALSE),VLOOKUP($G211,'KO Calc'!$H217:$AW217,35,FALSE)),IF(AND($S$3=TRUE,$S$4=FALSE),IF(OR($Q$4=TRUE,$Q$5=TRUE,$S$2=TRUE),VLOOKUP($G211,'KO Calc'!$H:$AW,25,FALSE),VLOOKUP($G211,'KO Calc'!$H217:$AW217,25,FALSE)),
IF(AND($S$3=TRUE,$S$1=TRUE,$S$4=TRUE)=TRUE,IF(OR($Q$4=TRUE,$Q$5=TRUE,$S$2=TRUE),VLOOKUP($G211,'KO Calc'!$H:$AW,40,FALSE),VLOOKUP($G211,'KO Calc'!$H217:$AW217,40,FALSE)),IF(AND($S$3=TRUE,$S$4=TRUE),IF(OR($Q$4=TRUE,$Q$5=TRUE,$S$2=TRUE),VLOOKUP($G211,'KO Calc'!$H:$AW,30,FALSE),VLOOKUP($G211,'KO Calc'!$H217:$AW217,30,FALSE)))))))))))))</f>
        <v>-</v>
      </c>
      <c r="L211" s="36" t="str">
        <f>IFERROR(IF(AND($Q$1=FALSE,$S$3=FALSE),"-",VLOOKUP($E211,'Status Thresholds'!$E:$AU,41,FALSE)),"-")</f>
        <v>-</v>
      </c>
      <c r="M211" s="36" t="str">
        <f>IFERROR(IF(AND($Q$1=FALSE,$S$3=FALSE),"-",VLOOKUP($E211,'Status Thresholds'!$E:$AU,42,FALSE)),"-")</f>
        <v>-</v>
      </c>
      <c r="N211" s="36" t="str">
        <f>IFERROR(IF(AND($Q$1=FALSE,$S$3=FALSE),"-",VLOOKUP($E211,'Status Thresholds'!$E:$AU,43,FALSE)),"-")</f>
        <v>-</v>
      </c>
    </row>
    <row r="212" spans="1:14" x14ac:dyDescent="0.25">
      <c r="B212" s="64" t="str">
        <f>VLOOKUP(C212,'Status Thresholds'!B:C,2,FALSE)</f>
        <v>MHGen</v>
      </c>
      <c r="C212" s="46" t="str">
        <f>IF(ISBLANK('KO Calc'!C208)=TRUE,"",'KO Calc'!C208)</f>
        <v>Daimyo Hermitaur</v>
      </c>
      <c r="D212" s="78" t="s">
        <v>207</v>
      </c>
      <c r="E212" s="62" t="str">
        <f t="shared" si="5"/>
        <v>Daimyo HermitaurShock Trap</v>
      </c>
      <c r="F212" t="s">
        <v>13</v>
      </c>
      <c r="G212" s="36" t="str">
        <f t="shared" si="6"/>
        <v>Daimyo HermitaurCrag 3</v>
      </c>
      <c r="H212" s="36" t="str">
        <f>IF(AND($Q$1=FALSE,$S$3=FALSE),"-",IF(AND($Q$1=TRUE,$S$3=TRUE),"-",IF(AND($Q$1=FALSE,$S$3=FALSE),"-",IF(AND($Q$1=TRUE,$S$1=TRUE,$S$4=FALSE)=TRUE,IF(OR($Q$4=TRUE,$Q$5=TRUE,$S$2=TRUE),VLOOKUP($G212,'KO Calc'!$H:$AW,12,FALSE),VLOOKUP($G212,'KO Calc'!$H218:$AW218,12,FALSE)),IF(AND($Q$1=TRUE,$S$4=FALSE),IF(OR($Q$4=TRUE,$Q$5=TRUE,$S$2=TRUE),VLOOKUP($G212,'KO Calc'!$H:$AW,2,FALSE),VLOOKUP($G212,'KO Calc'!$H218:$AW218,2,FALSE)),
IF(AND($Q$1=TRUE,$S$1=TRUE,$S$4=TRUE)=TRUE,IF(OR($Q$4=TRUE,$Q$5=TRUE,$S$2=TRUE),VLOOKUP($G212,'KO Calc'!$H:$AW,17,FALSE),VLOOKUP($G212,'KO Calc'!$H218:$AW218,17,FALSE)),IF(AND($Q$1=TRUE,$S$4=TRUE),IF(OR($Q$4=TRUE,$Q$5=TRUE,$S$2=TRUE),VLOOKUP($G212,'KO Calc'!$H:$AW,7,FALSE),VLOOKUP($G212,'KO Calc'!$H218:$AW218,7,FALSE)),
IF(AND($S$3=TRUE,$S$1=TRUE,$S$4=FALSE)=TRUE,IF(OR($Q$4=TRUE,$Q$5=TRUE,$S$2=TRUE),VLOOKUP($G212,'KO Calc'!$H:$AW,32,FALSE),VLOOKUP($G212,'KO Calc'!$H218:$AW218,32,FALSE)),IF(AND($S$3=TRUE,$S$4=FALSE),IF(OR($Q$4=TRUE,$Q$5=TRUE,$S$2=TRUE),VLOOKUP($G212,'KO Calc'!$H:$AW,22,FALSE),VLOOKUP($G212,'KO Calc'!$H218:$AW218,22,FALSE)),
IF(AND($S$3=TRUE,$S$1=TRUE,$S$4=TRUE)=TRUE,IF(OR($Q$4=TRUE,$Q$5=TRUE,$S$2=TRUE),VLOOKUP($G212,'KO Calc'!$H:$AW,37,FALSE),VLOOKUP($G212,'KO Calc'!$H218:$AW218,37,FALSE)),IF(AND($S$3=TRUE,$S$4=TRUE),IF(OR($Q$4=TRUE,$Q$5=TRUE,$S$2=TRUE),VLOOKUP($G212,'KO Calc'!$H:$AW,27,FALSE),VLOOKUP($G212,'KO Calc'!$H218:$AW218,27,FALSE)))))))))))))</f>
        <v>-</v>
      </c>
      <c r="I212" s="36" t="str">
        <f>IF(AND($Q$1=FALSE,$S$3=FALSE),"-",IF(AND($Q$1=TRUE,$S$3=TRUE),"-",IF(AND($Q$1=FALSE,$S$3=FALSE),"-",IF(AND($Q$1=TRUE,$S$1=TRUE,$S$4=FALSE)=TRUE,IF(OR($Q$4=TRUE,$Q$5=TRUE,$S$2=TRUE),VLOOKUP($G212,'KO Calc'!$H:$AW,13,FALSE),VLOOKUP($G212,'KO Calc'!$H218:$AW218,13,FALSE)),IF(AND($Q$1=TRUE,$S$4=FALSE),IF(OR($Q$4=TRUE,$Q$5=TRUE,$S$2=TRUE),VLOOKUP($G212,'KO Calc'!$H:$AW,3,FALSE),VLOOKUP($G212,'KO Calc'!$H218:$AW218,3,FALSE)),
IF(AND($Q$1=TRUE,$S$1=TRUE,$S$4=TRUE)=TRUE,IF(OR($Q$4=TRUE,$Q$5=TRUE,$S$2=TRUE),VLOOKUP($G212,'KO Calc'!$H:$AW,18,FALSE),VLOOKUP($G212,'KO Calc'!$H218:$AW218,18,FALSE)),IF(AND($Q$1=TRUE,$S$4=TRUE),IF(OR($Q$4=TRUE,$Q$5=TRUE,$S$2=TRUE),VLOOKUP($G212,'KO Calc'!$H:$AW,8,FALSE),VLOOKUP($G212,'KO Calc'!$H218:$AW218,8,FALSE)),
IF(AND($S$3=TRUE,$S$1=TRUE,$S$4=FALSE)=TRUE,IF(OR($Q$4=TRUE,$Q$5=TRUE,$S$2=TRUE),VLOOKUP($G212,'KO Calc'!$H:$AW,33,FALSE),VLOOKUP($G212,'KO Calc'!$H218:$AW218,33,FALSE)),IF(AND($S$3=TRUE,$S$4=FALSE),IF(OR($Q$4=TRUE,$Q$5=TRUE,$S$2=TRUE),VLOOKUP($G212,'KO Calc'!$H:$AW,23,FALSE),VLOOKUP($G212,'KO Calc'!$H218:$AW218,23,FALSE)),
IF(AND($S$3=TRUE,$S$1=TRUE,$S$4=TRUE)=TRUE,IF(OR($Q$4=TRUE,$Q$5=TRUE,$S$2=TRUE),VLOOKUP($G212,'KO Calc'!$H:$AW,38,FALSE),VLOOKUP($G212,'KO Calc'!$H218:$AW218,38,FALSE)),IF(AND($S$3=TRUE,$S$4=TRUE),IF(OR($Q$4=TRUE,$Q$5=TRUE,$S$2=TRUE),VLOOKUP($G212,'KO Calc'!$H:$AW,28,FALSE),VLOOKUP($G212,'KO Calc'!$H218:$AW218,28,FALSE)))))))))))))</f>
        <v>-</v>
      </c>
      <c r="J212" s="36" t="str">
        <f>IF(AND($Q$1=FALSE,$S$3=FALSE),"-",IF(AND($Q$1=TRUE,$S$3=TRUE),"-",IF(AND($Q$1=FALSE,$S$3=FALSE),"-",IF(AND($Q$1=TRUE,$S$1=TRUE,$S$4=FALSE)=TRUE,IF(OR($Q$4=TRUE,$Q$5=TRUE,$S$2=TRUE),VLOOKUP($G212,'KO Calc'!$H:$AW,FALSE),VLOOKUP($G212,'KO Calc'!$H218:$AW218,14,FALSE)),IF(AND($Q$1=TRUE,$S$4=FALSE),IF(OR($Q$4=TRUE,$Q$5=TRUE,$S$2=TRUE),VLOOKUP($G212,'KO Calc'!$H:$AW,4,FALSE),VLOOKUP($G212,'KO Calc'!$H218:$AW218,4,FALSE)),
IF(AND($Q$1=TRUE,$S$1=TRUE,$S$4=TRUE)=TRUE,IF(OR($Q$4=TRUE,$Q$5=TRUE,$S$2=TRUE),VLOOKUP($G212,'KO Calc'!$H:$AW,19,FALSE),VLOOKUP($G212,'KO Calc'!$H218:$AW218,19,FALSE)),IF(AND($Q$1=TRUE,$S$4=TRUE),IF(OR($Q$4=TRUE,$Q$5=TRUE,$S$2=TRUE),VLOOKUP($G212,'KO Calc'!$H:$AW,9,FALSE),VLOOKUP($G212,'KO Calc'!$H218:$AW218,9,FALSE)),
IF(AND($S$3=TRUE,$S$1=TRUE,$S$4=FALSE)=TRUE,IF(OR($Q$4=TRUE,$Q$5=TRUE,$S$2=TRUE),VLOOKUP($G212,'KO Calc'!$H:$AW,34,FALSE),VLOOKUP($G212,'KO Calc'!$H218:$AW218,34,FALSE)),IF(AND($S$3=TRUE,$S$4=FALSE),IF(OR($Q$4=TRUE,$Q$5=TRUE,$S$2=TRUE),VLOOKUP($G212,'KO Calc'!$H:$AW,24,FALSE),VLOOKUP($G212,'KO Calc'!$H218:$AW218,24,FALSE)),
IF(AND($S$3=TRUE,$S$1=TRUE,$S$4=TRUE)=TRUE,IF(OR($Q$4=TRUE,$Q$5=TRUE,$S$2=TRUE),VLOOKUP($G212,'KO Calc'!$H:$AW,39,FALSE),VLOOKUP($G212,'KO Calc'!$H218:$AW218,39,FALSE)),IF(AND($S$3=TRUE,$S$4=TRUE),IF(OR($Q$4=TRUE,$Q$5=TRUE,$S$2=TRUE),VLOOKUP($G212,'KO Calc'!$H:$AW,29,FALSE),VLOOKUP($G212,'KO Calc'!$H218:$AW218,29,FALSE)))))))))))))</f>
        <v>-</v>
      </c>
      <c r="K212" s="36" t="str">
        <f>IF(AND($Q$1=FALSE,$S$3=FALSE),"-",IF(AND($Q$1=TRUE,$S$3=TRUE),"-",IF(AND($Q$1=FALSE,$S$3=FALSE),"-",IF(AND($Q$1=TRUE,$S$1=TRUE,$S$4=FALSE)=TRUE,IF(OR($Q$4=TRUE,$Q$5=TRUE,$S$2=TRUE),VLOOKUP($G212,'KO Calc'!$H:$AW,15,FALSE),VLOOKUP($G212,'KO Calc'!$H218:$AW218,15,FALSE)),IF(AND($Q$1=TRUE,$S$4=FALSE),IF(OR($Q$4=TRUE,$Q$5=TRUE,$S$2=TRUE),VLOOKUP($G212,'KO Calc'!$H:$AW,5,FALSE),VLOOKUP($G212,'KO Calc'!$H218:$AW218,5,FALSE)),
IF(AND($Q$1=TRUE,$S$1=TRUE,$S$4=TRUE)=TRUE,IF(OR($Q$4=TRUE,$Q$5=TRUE,$S$2=TRUE),VLOOKUP($G212,'KO Calc'!$H:$AW,20,FALSE),VLOOKUP($G212,'KO Calc'!$H218:$AW218,20,FALSE)),IF(AND($Q$1=TRUE,$S$4=TRUE),IF(OR($Q$4=TRUE,$Q$5=TRUE,$S$2=TRUE),VLOOKUP($G212,'KO Calc'!$H:$AW,10,FALSE),VLOOKUP($G212,'KO Calc'!$H218:$AW218,10,FALSE)),
IF(AND($S$3=TRUE,$S$1=TRUE,$S$4=FALSE)=TRUE,IF(OR($Q$4=TRUE,$Q$5=TRUE,$S$2=TRUE),VLOOKUP($G212,'KO Calc'!$H:$AW,35,FALSE),VLOOKUP($G212,'KO Calc'!$H218:$AW218,35,FALSE)),IF(AND($S$3=TRUE,$S$4=FALSE),IF(OR($Q$4=TRUE,$Q$5=TRUE,$S$2=TRUE),VLOOKUP($G212,'KO Calc'!$H:$AW,25,FALSE),VLOOKUP($G212,'KO Calc'!$H218:$AW218,25,FALSE)),
IF(AND($S$3=TRUE,$S$1=TRUE,$S$4=TRUE)=TRUE,IF(OR($Q$4=TRUE,$Q$5=TRUE,$S$2=TRUE),VLOOKUP($G212,'KO Calc'!$H:$AW,40,FALSE),VLOOKUP($G212,'KO Calc'!$H218:$AW218,40,FALSE)),IF(AND($S$3=TRUE,$S$4=TRUE),IF(OR($Q$4=TRUE,$Q$5=TRUE,$S$2=TRUE),VLOOKUP($G212,'KO Calc'!$H:$AW,30,FALSE),VLOOKUP($G212,'KO Calc'!$H218:$AW218,30,FALSE)))))))))))))</f>
        <v>-</v>
      </c>
      <c r="L212" s="36" t="str">
        <f>IFERROR(IF(AND($Q$1=FALSE,$S$3=FALSE),"-",VLOOKUP($E212,'Status Thresholds'!$E:$AU,43,FALSE)),"-")</f>
        <v>-</v>
      </c>
      <c r="M212" s="36" t="str">
        <f>IFERROR(IF(AND($Q$1=FALSE,$S$3=FALSE),"-",VLOOKUP($E212,'Status Thresholds'!$E:$AU,41,FALSE)),"-")</f>
        <v>-</v>
      </c>
      <c r="N212" s="36" t="str">
        <f>IFERROR(IF(AND($Q$1=FALSE,$S$3=FALSE),"-",VLOOKUP($E212,'Status Thresholds'!$E:$AU,42,FALSE)),"-")</f>
        <v>-</v>
      </c>
    </row>
    <row r="213" spans="1:14" x14ac:dyDescent="0.25">
      <c r="B213" s="64" t="str">
        <f>VLOOKUP(C213,'Status Thresholds'!B:C,2,FALSE)</f>
        <v>MHGen</v>
      </c>
      <c r="C213" s="46" t="str">
        <f>IF(ISBLANK('KO Calc'!C209)=TRUE,"",'KO Calc'!C209)</f>
        <v>Daimyo Hermitaur</v>
      </c>
      <c r="D213" s="78" t="s">
        <v>213</v>
      </c>
      <c r="E213" s="62" t="str">
        <f t="shared" si="5"/>
        <v>Daimyo HermitaurPitfall Trap</v>
      </c>
      <c r="F213" t="s">
        <v>12</v>
      </c>
      <c r="G213" s="36" t="str">
        <f t="shared" si="6"/>
        <v>Daimyo HermitaurCrag 2</v>
      </c>
      <c r="H213" s="36" t="str">
        <f>IF(AND($Q$1=FALSE,$S$3=FALSE),"-",IF(AND($Q$1=TRUE,$S$3=TRUE),"-",IF(AND($Q$1=FALSE,$S$3=FALSE),"-",IF(AND($Q$1=TRUE,$S$1=TRUE,$S$4=FALSE)=TRUE,IF(OR($Q$4=TRUE,$Q$5=TRUE,$S$2=TRUE),VLOOKUP($G213,'KO Calc'!$H:$AW,12,FALSE),VLOOKUP($G213,'KO Calc'!$H219:$AW219,12,FALSE)),IF(AND($Q$1=TRUE,$S$4=FALSE),IF(OR($Q$4=TRUE,$Q$5=TRUE,$S$2=TRUE),VLOOKUP($G213,'KO Calc'!$H:$AW,2,FALSE),VLOOKUP($G213,'KO Calc'!$H219:$AW219,2,FALSE)),
IF(AND($Q$1=TRUE,$S$1=TRUE,$S$4=TRUE)=TRUE,IF(OR($Q$4=TRUE,$Q$5=TRUE,$S$2=TRUE),VLOOKUP($G213,'KO Calc'!$H:$AW,17,FALSE),VLOOKUP($G213,'KO Calc'!$H219:$AW219,17,FALSE)),IF(AND($Q$1=TRUE,$S$4=TRUE),IF(OR($Q$4=TRUE,$Q$5=TRUE,$S$2=TRUE),VLOOKUP($G213,'KO Calc'!$H:$AW,7,FALSE),VLOOKUP($G213,'KO Calc'!$H219:$AW219,7,FALSE)),
IF(AND($S$3=TRUE,$S$1=TRUE,$S$4=FALSE)=TRUE,IF(OR($Q$4=TRUE,$Q$5=TRUE,$S$2=TRUE),VLOOKUP($G213,'KO Calc'!$H:$AW,32,FALSE),VLOOKUP($G213,'KO Calc'!$H219:$AW219,32,FALSE)),IF(AND($S$3=TRUE,$S$4=FALSE),IF(OR($Q$4=TRUE,$Q$5=TRUE,$S$2=TRUE),VLOOKUP($G213,'KO Calc'!$H:$AW,22,FALSE),VLOOKUP($G213,'KO Calc'!$H219:$AW219,22,FALSE)),
IF(AND($S$3=TRUE,$S$1=TRUE,$S$4=TRUE)=TRUE,IF(OR($Q$4=TRUE,$Q$5=TRUE,$S$2=TRUE),VLOOKUP($G213,'KO Calc'!$H:$AW,37,FALSE),VLOOKUP($G213,'KO Calc'!$H219:$AW219,37,FALSE)),IF(AND($S$3=TRUE,$S$4=TRUE),IF(OR($Q$4=TRUE,$Q$5=TRUE,$S$2=TRUE),VLOOKUP($G213,'KO Calc'!$H:$AW,27,FALSE),VLOOKUP($G213,'KO Calc'!$H219:$AW219,27,FALSE)))))))))))))</f>
        <v>-</v>
      </c>
      <c r="I213" s="36" t="str">
        <f>IF(AND($Q$1=FALSE,$S$3=FALSE),"-",IF(AND($Q$1=TRUE,$S$3=TRUE),"-",IF(AND($Q$1=FALSE,$S$3=FALSE),"-",IF(AND($Q$1=TRUE,$S$1=TRUE,$S$4=FALSE)=TRUE,IF(OR($Q$4=TRUE,$Q$5=TRUE,$S$2=TRUE),VLOOKUP($G213,'KO Calc'!$H:$AW,13,FALSE),VLOOKUP($G213,'KO Calc'!$H219:$AW219,13,FALSE)),IF(AND($Q$1=TRUE,$S$4=FALSE),IF(OR($Q$4=TRUE,$Q$5=TRUE,$S$2=TRUE),VLOOKUP($G213,'KO Calc'!$H:$AW,3,FALSE),VLOOKUP($G213,'KO Calc'!$H219:$AW219,3,FALSE)),
IF(AND($Q$1=TRUE,$S$1=TRUE,$S$4=TRUE)=TRUE,IF(OR($Q$4=TRUE,$Q$5=TRUE,$S$2=TRUE),VLOOKUP($G213,'KO Calc'!$H:$AW,18,FALSE),VLOOKUP($G213,'KO Calc'!$H219:$AW219,18,FALSE)),IF(AND($Q$1=TRUE,$S$4=TRUE),IF(OR($Q$4=TRUE,$Q$5=TRUE,$S$2=TRUE),VLOOKUP($G213,'KO Calc'!$H:$AW,8,FALSE),VLOOKUP($G213,'KO Calc'!$H219:$AW219,8,FALSE)),
IF(AND($S$3=TRUE,$S$1=TRUE,$S$4=FALSE)=TRUE,IF(OR($Q$4=TRUE,$Q$5=TRUE,$S$2=TRUE),VLOOKUP($G213,'KO Calc'!$H:$AW,33,FALSE),VLOOKUP($G213,'KO Calc'!$H219:$AW219,33,FALSE)),IF(AND($S$3=TRUE,$S$4=FALSE),IF(OR($Q$4=TRUE,$Q$5=TRUE,$S$2=TRUE),VLOOKUP($G213,'KO Calc'!$H:$AW,23,FALSE),VLOOKUP($G213,'KO Calc'!$H219:$AW219,23,FALSE)),
IF(AND($S$3=TRUE,$S$1=TRUE,$S$4=TRUE)=TRUE,IF(OR($Q$4=TRUE,$Q$5=TRUE,$S$2=TRUE),VLOOKUP($G213,'KO Calc'!$H:$AW,38,FALSE),VLOOKUP($G213,'KO Calc'!$H219:$AW219,38,FALSE)),IF(AND($S$3=TRUE,$S$4=TRUE),IF(OR($Q$4=TRUE,$Q$5=TRUE,$S$2=TRUE),VLOOKUP($G213,'KO Calc'!$H:$AW,28,FALSE),VLOOKUP($G213,'KO Calc'!$H219:$AW219,28,FALSE)))))))))))))</f>
        <v>-</v>
      </c>
      <c r="J213" s="36" t="str">
        <f>IF(AND($Q$1=FALSE,$S$3=FALSE),"-",IF(AND($Q$1=TRUE,$S$3=TRUE),"-",IF(AND($Q$1=FALSE,$S$3=FALSE),"-",IF(AND($Q$1=TRUE,$S$1=TRUE,$S$4=FALSE)=TRUE,IF(OR($Q$4=TRUE,$Q$5=TRUE,$S$2=TRUE),VLOOKUP($G213,'KO Calc'!$H:$AW,FALSE),VLOOKUP($G213,'KO Calc'!$H219:$AW219,14,FALSE)),IF(AND($Q$1=TRUE,$S$4=FALSE),IF(OR($Q$4=TRUE,$Q$5=TRUE,$S$2=TRUE),VLOOKUP($G213,'KO Calc'!$H:$AW,4,FALSE),VLOOKUP($G213,'KO Calc'!$H219:$AW219,4,FALSE)),
IF(AND($Q$1=TRUE,$S$1=TRUE,$S$4=TRUE)=TRUE,IF(OR($Q$4=TRUE,$Q$5=TRUE,$S$2=TRUE),VLOOKUP($G213,'KO Calc'!$H:$AW,19,FALSE),VLOOKUP($G213,'KO Calc'!$H219:$AW219,19,FALSE)),IF(AND($Q$1=TRUE,$S$4=TRUE),IF(OR($Q$4=TRUE,$Q$5=TRUE,$S$2=TRUE),VLOOKUP($G213,'KO Calc'!$H:$AW,9,FALSE),VLOOKUP($G213,'KO Calc'!$H219:$AW219,9,FALSE)),
IF(AND($S$3=TRUE,$S$1=TRUE,$S$4=FALSE)=TRUE,IF(OR($Q$4=TRUE,$Q$5=TRUE,$S$2=TRUE),VLOOKUP($G213,'KO Calc'!$H:$AW,34,FALSE),VLOOKUP($G213,'KO Calc'!$H219:$AW219,34,FALSE)),IF(AND($S$3=TRUE,$S$4=FALSE),IF(OR($Q$4=TRUE,$Q$5=TRUE,$S$2=TRUE),VLOOKUP($G213,'KO Calc'!$H:$AW,24,FALSE),VLOOKUP($G213,'KO Calc'!$H219:$AW219,24,FALSE)),
IF(AND($S$3=TRUE,$S$1=TRUE,$S$4=TRUE)=TRUE,IF(OR($Q$4=TRUE,$Q$5=TRUE,$S$2=TRUE),VLOOKUP($G213,'KO Calc'!$H:$AW,39,FALSE),VLOOKUP($G213,'KO Calc'!$H219:$AW219,39,FALSE)),IF(AND($S$3=TRUE,$S$4=TRUE),IF(OR($Q$4=TRUE,$Q$5=TRUE,$S$2=TRUE),VLOOKUP($G213,'KO Calc'!$H:$AW,29,FALSE),VLOOKUP($G213,'KO Calc'!$H219:$AW219,29,FALSE)))))))))))))</f>
        <v>-</v>
      </c>
      <c r="K213" s="36" t="str">
        <f>IF(AND($Q$1=FALSE,$S$3=FALSE),"-",IF(AND($Q$1=TRUE,$S$3=TRUE),"-",IF(AND($Q$1=FALSE,$S$3=FALSE),"-",IF(AND($Q$1=TRUE,$S$1=TRUE,$S$4=FALSE)=TRUE,IF(OR($Q$4=TRUE,$Q$5=TRUE,$S$2=TRUE),VLOOKUP($G213,'KO Calc'!$H:$AW,15,FALSE),VLOOKUP($G213,'KO Calc'!$H219:$AW219,15,FALSE)),IF(AND($Q$1=TRUE,$S$4=FALSE),IF(OR($Q$4=TRUE,$Q$5=TRUE,$S$2=TRUE),VLOOKUP($G213,'KO Calc'!$H:$AW,5,FALSE),VLOOKUP($G213,'KO Calc'!$H219:$AW219,5,FALSE)),
IF(AND($Q$1=TRUE,$S$1=TRUE,$S$4=TRUE)=TRUE,IF(OR($Q$4=TRUE,$Q$5=TRUE,$S$2=TRUE),VLOOKUP($G213,'KO Calc'!$H:$AW,20,FALSE),VLOOKUP($G213,'KO Calc'!$H219:$AW219,20,FALSE)),IF(AND($Q$1=TRUE,$S$4=TRUE),IF(OR($Q$4=TRUE,$Q$5=TRUE,$S$2=TRUE),VLOOKUP($G213,'KO Calc'!$H:$AW,10,FALSE),VLOOKUP($G213,'KO Calc'!$H219:$AW219,10,FALSE)),
IF(AND($S$3=TRUE,$S$1=TRUE,$S$4=FALSE)=TRUE,IF(OR($Q$4=TRUE,$Q$5=TRUE,$S$2=TRUE),VLOOKUP($G213,'KO Calc'!$H:$AW,35,FALSE),VLOOKUP($G213,'KO Calc'!$H219:$AW219,35,FALSE)),IF(AND($S$3=TRUE,$S$4=FALSE),IF(OR($Q$4=TRUE,$Q$5=TRUE,$S$2=TRUE),VLOOKUP($G213,'KO Calc'!$H:$AW,25,FALSE),VLOOKUP($G213,'KO Calc'!$H219:$AW219,25,FALSE)),
IF(AND($S$3=TRUE,$S$1=TRUE,$S$4=TRUE)=TRUE,IF(OR($Q$4=TRUE,$Q$5=TRUE,$S$2=TRUE),VLOOKUP($G213,'KO Calc'!$H:$AW,40,FALSE),VLOOKUP($G213,'KO Calc'!$H219:$AW219,40,FALSE)),IF(AND($S$3=TRUE,$S$4=TRUE),IF(OR($Q$4=TRUE,$Q$5=TRUE,$S$2=TRUE),VLOOKUP($G213,'KO Calc'!$H:$AW,30,FALSE),VLOOKUP($G213,'KO Calc'!$H219:$AW219,30,FALSE)))))))))))))</f>
        <v>-</v>
      </c>
      <c r="L213" s="36" t="str">
        <f>IFERROR(IF(AND($Q$1=FALSE,$S$3=FALSE),"-",VLOOKUP($E213,'Status Thresholds'!$E:$AU,43,FALSE)),"-")</f>
        <v>-</v>
      </c>
      <c r="M213" s="36" t="str">
        <f>IFERROR(IF(AND($Q$1=FALSE,$S$3=FALSE),"-",VLOOKUP($E213,'Status Thresholds'!$E:$AU,41,FALSE)),"-")</f>
        <v>-</v>
      </c>
      <c r="N213" s="36" t="str">
        <f>IFERROR(IF(AND($Q$1=FALSE,$S$3=FALSE),"-",VLOOKUP($E213,'Status Thresholds'!$E:$AU,42,FALSE)),"-")</f>
        <v>-</v>
      </c>
    </row>
    <row r="214" spans="1:14" x14ac:dyDescent="0.25">
      <c r="B214" s="64" t="str">
        <f>VLOOKUP(C214,'Status Thresholds'!B:C,2,FALSE)</f>
        <v>MHGen</v>
      </c>
      <c r="C214" s="46" t="str">
        <f>IF(ISBLANK('KO Calc'!C210)=TRUE,"",'KO Calc'!C210)</f>
        <v>Daimyo Hermitaur</v>
      </c>
      <c r="D214" s="78"/>
      <c r="E214" s="62" t="str">
        <f t="shared" si="5"/>
        <v>Daimyo Hermitaur</v>
      </c>
      <c r="F214" t="s">
        <v>11</v>
      </c>
      <c r="G214" s="36" t="str">
        <f t="shared" si="6"/>
        <v>Daimyo HermitaurCrag 1</v>
      </c>
      <c r="H214" s="36" t="str">
        <f>IF(AND($Q$1=FALSE,$S$3=FALSE),"-",IF(AND($Q$1=TRUE,$S$3=TRUE),"-",IF(AND($Q$1=FALSE,$S$3=FALSE),"-",IF(AND($Q$1=TRUE,$S$1=TRUE,$S$4=FALSE)=TRUE,IF(OR($Q$4=TRUE,$Q$5=TRUE,$S$2=TRUE),VLOOKUP($G214,'KO Calc'!$H:$AW,12,FALSE),VLOOKUP($G214,'KO Calc'!$H220:$AW220,12,FALSE)),IF(AND($Q$1=TRUE,$S$4=FALSE),IF(OR($Q$4=TRUE,$Q$5=TRUE,$S$2=TRUE),VLOOKUP($G214,'KO Calc'!$H:$AW,2,FALSE),VLOOKUP($G214,'KO Calc'!$H220:$AW220,2,FALSE)),
IF(AND($Q$1=TRUE,$S$1=TRUE,$S$4=TRUE)=TRUE,IF(OR($Q$4=TRUE,$Q$5=TRUE,$S$2=TRUE),VLOOKUP($G214,'KO Calc'!$H:$AW,17,FALSE),VLOOKUP($G214,'KO Calc'!$H220:$AW220,17,FALSE)),IF(AND($Q$1=TRUE,$S$4=TRUE),IF(OR($Q$4=TRUE,$Q$5=TRUE,$S$2=TRUE),VLOOKUP($G214,'KO Calc'!$H:$AW,7,FALSE),VLOOKUP($G214,'KO Calc'!$H220:$AW220,7,FALSE)),
IF(AND($S$3=TRUE,$S$1=TRUE,$S$4=FALSE)=TRUE,IF(OR($Q$4=TRUE,$Q$5=TRUE,$S$2=TRUE),VLOOKUP($G214,'KO Calc'!$H:$AW,32,FALSE),VLOOKUP($G214,'KO Calc'!$H220:$AW220,32,FALSE)),IF(AND($S$3=TRUE,$S$4=FALSE),IF(OR($Q$4=TRUE,$Q$5=TRUE,$S$2=TRUE),VLOOKUP($G214,'KO Calc'!$H:$AW,22,FALSE),VLOOKUP($G214,'KO Calc'!$H220:$AW220,22,FALSE)),
IF(AND($S$3=TRUE,$S$1=TRUE,$S$4=TRUE)=TRUE,IF(OR($Q$4=TRUE,$Q$5=TRUE,$S$2=TRUE),VLOOKUP($G214,'KO Calc'!$H:$AW,37,FALSE),VLOOKUP($G214,'KO Calc'!$H220:$AW220,37,FALSE)),IF(AND($S$3=TRUE,$S$4=TRUE),IF(OR($Q$4=TRUE,$Q$5=TRUE,$S$2=TRUE),VLOOKUP($G214,'KO Calc'!$H:$AW,27,FALSE),VLOOKUP($G214,'KO Calc'!$H220:$AW220,27,FALSE)))))))))))))</f>
        <v>-</v>
      </c>
      <c r="I214" s="36" t="str">
        <f>IF(AND($Q$1=FALSE,$S$3=FALSE),"-",IF(AND($Q$1=TRUE,$S$3=TRUE),"-",IF(AND($Q$1=FALSE,$S$3=FALSE),"-",IF(AND($Q$1=TRUE,$S$1=TRUE,$S$4=FALSE)=TRUE,IF(OR($Q$4=TRUE,$Q$5=TRUE,$S$2=TRUE),VLOOKUP($G214,'KO Calc'!$H:$AW,13,FALSE),VLOOKUP($G214,'KO Calc'!$H220:$AW220,13,FALSE)),IF(AND($Q$1=TRUE,$S$4=FALSE),IF(OR($Q$4=TRUE,$Q$5=TRUE,$S$2=TRUE),VLOOKUP($G214,'KO Calc'!$H:$AW,3,FALSE),VLOOKUP($G214,'KO Calc'!$H220:$AW220,3,FALSE)),
IF(AND($Q$1=TRUE,$S$1=TRUE,$S$4=TRUE)=TRUE,IF(OR($Q$4=TRUE,$Q$5=TRUE,$S$2=TRUE),VLOOKUP($G214,'KO Calc'!$H:$AW,18,FALSE),VLOOKUP($G214,'KO Calc'!$H220:$AW220,18,FALSE)),IF(AND($Q$1=TRUE,$S$4=TRUE),IF(OR($Q$4=TRUE,$Q$5=TRUE,$S$2=TRUE),VLOOKUP($G214,'KO Calc'!$H:$AW,8,FALSE),VLOOKUP($G214,'KO Calc'!$H220:$AW220,8,FALSE)),
IF(AND($S$3=TRUE,$S$1=TRUE,$S$4=FALSE)=TRUE,IF(OR($Q$4=TRUE,$Q$5=TRUE,$S$2=TRUE),VLOOKUP($G214,'KO Calc'!$H:$AW,33,FALSE),VLOOKUP($G214,'KO Calc'!$H220:$AW220,33,FALSE)),IF(AND($S$3=TRUE,$S$4=FALSE),IF(OR($Q$4=TRUE,$Q$5=TRUE,$S$2=TRUE),VLOOKUP($G214,'KO Calc'!$H:$AW,23,FALSE),VLOOKUP($G214,'KO Calc'!$H220:$AW220,23,FALSE)),
IF(AND($S$3=TRUE,$S$1=TRUE,$S$4=TRUE)=TRUE,IF(OR($Q$4=TRUE,$Q$5=TRUE,$S$2=TRUE),VLOOKUP($G214,'KO Calc'!$H:$AW,38,FALSE),VLOOKUP($G214,'KO Calc'!$H220:$AW220,38,FALSE)),IF(AND($S$3=TRUE,$S$4=TRUE),IF(OR($Q$4=TRUE,$Q$5=TRUE,$S$2=TRUE),VLOOKUP($G214,'KO Calc'!$H:$AW,28,FALSE),VLOOKUP($G214,'KO Calc'!$H220:$AW220,28,FALSE)))))))))))))</f>
        <v>-</v>
      </c>
      <c r="J214" s="36" t="str">
        <f>IF(AND($Q$1=FALSE,$S$3=FALSE),"-",IF(AND($Q$1=TRUE,$S$3=TRUE),"-",IF(AND($Q$1=FALSE,$S$3=FALSE),"-",IF(AND($Q$1=TRUE,$S$1=TRUE,$S$4=FALSE)=TRUE,IF(OR($Q$4=TRUE,$Q$5=TRUE,$S$2=TRUE),VLOOKUP($G214,'KO Calc'!$H:$AW,FALSE),VLOOKUP($G214,'KO Calc'!$H220:$AW220,14,FALSE)),IF(AND($Q$1=TRUE,$S$4=FALSE),IF(OR($Q$4=TRUE,$Q$5=TRUE,$S$2=TRUE),VLOOKUP($G214,'KO Calc'!$H:$AW,4,FALSE),VLOOKUP($G214,'KO Calc'!$H220:$AW220,4,FALSE)),
IF(AND($Q$1=TRUE,$S$1=TRUE,$S$4=TRUE)=TRUE,IF(OR($Q$4=TRUE,$Q$5=TRUE,$S$2=TRUE),VLOOKUP($G214,'KO Calc'!$H:$AW,19,FALSE),VLOOKUP($G214,'KO Calc'!$H220:$AW220,19,FALSE)),IF(AND($Q$1=TRUE,$S$4=TRUE),IF(OR($Q$4=TRUE,$Q$5=TRUE,$S$2=TRUE),VLOOKUP($G214,'KO Calc'!$H:$AW,9,FALSE),VLOOKUP($G214,'KO Calc'!$H220:$AW220,9,FALSE)),
IF(AND($S$3=TRUE,$S$1=TRUE,$S$4=FALSE)=TRUE,IF(OR($Q$4=TRUE,$Q$5=TRUE,$S$2=TRUE),VLOOKUP($G214,'KO Calc'!$H:$AW,34,FALSE),VLOOKUP($G214,'KO Calc'!$H220:$AW220,34,FALSE)),IF(AND($S$3=TRUE,$S$4=FALSE),IF(OR($Q$4=TRUE,$Q$5=TRUE,$S$2=TRUE),VLOOKUP($G214,'KO Calc'!$H:$AW,24,FALSE),VLOOKUP($G214,'KO Calc'!$H220:$AW220,24,FALSE)),
IF(AND($S$3=TRUE,$S$1=TRUE,$S$4=TRUE)=TRUE,IF(OR($Q$4=TRUE,$Q$5=TRUE,$S$2=TRUE),VLOOKUP($G214,'KO Calc'!$H:$AW,39,FALSE),VLOOKUP($G214,'KO Calc'!$H220:$AW220,39,FALSE)),IF(AND($S$3=TRUE,$S$4=TRUE),IF(OR($Q$4=TRUE,$Q$5=TRUE,$S$2=TRUE),VLOOKUP($G214,'KO Calc'!$H:$AW,29,FALSE),VLOOKUP($G214,'KO Calc'!$H220:$AW220,29,FALSE)))))))))))))</f>
        <v>-</v>
      </c>
      <c r="K214" s="36" t="str">
        <f>IF(AND($Q$1=FALSE,$S$3=FALSE),"-",IF(AND($Q$1=TRUE,$S$3=TRUE),"-",IF(AND($Q$1=FALSE,$S$3=FALSE),"-",IF(AND($Q$1=TRUE,$S$1=TRUE,$S$4=FALSE)=TRUE,IF(OR($Q$4=TRUE,$Q$5=TRUE,$S$2=TRUE),VLOOKUP($G214,'KO Calc'!$H:$AW,15,FALSE),VLOOKUP($G214,'KO Calc'!$H220:$AW220,15,FALSE)),IF(AND($Q$1=TRUE,$S$4=FALSE),IF(OR($Q$4=TRUE,$Q$5=TRUE,$S$2=TRUE),VLOOKUP($G214,'KO Calc'!$H:$AW,5,FALSE),VLOOKUP($G214,'KO Calc'!$H220:$AW220,5,FALSE)),
IF(AND($Q$1=TRUE,$S$1=TRUE,$S$4=TRUE)=TRUE,IF(OR($Q$4=TRUE,$Q$5=TRUE,$S$2=TRUE),VLOOKUP($G214,'KO Calc'!$H:$AW,20,FALSE),VLOOKUP($G214,'KO Calc'!$H220:$AW220,20,FALSE)),IF(AND($Q$1=TRUE,$S$4=TRUE),IF(OR($Q$4=TRUE,$Q$5=TRUE,$S$2=TRUE),VLOOKUP($G214,'KO Calc'!$H:$AW,10,FALSE),VLOOKUP($G214,'KO Calc'!$H220:$AW220,10,FALSE)),
IF(AND($S$3=TRUE,$S$1=TRUE,$S$4=FALSE)=TRUE,IF(OR($Q$4=TRUE,$Q$5=TRUE,$S$2=TRUE),VLOOKUP($G214,'KO Calc'!$H:$AW,35,FALSE),VLOOKUP($G214,'KO Calc'!$H220:$AW220,35,FALSE)),IF(AND($S$3=TRUE,$S$4=FALSE),IF(OR($Q$4=TRUE,$Q$5=TRUE,$S$2=TRUE),VLOOKUP($G214,'KO Calc'!$H:$AW,25,FALSE),VLOOKUP($G214,'KO Calc'!$H220:$AW220,25,FALSE)),
IF(AND($S$3=TRUE,$S$1=TRUE,$S$4=TRUE)=TRUE,IF(OR($Q$4=TRUE,$Q$5=TRUE,$S$2=TRUE),VLOOKUP($G214,'KO Calc'!$H:$AW,40,FALSE),VLOOKUP($G214,'KO Calc'!$H220:$AW220,40,FALSE)),IF(AND($S$3=TRUE,$S$4=TRUE),IF(OR($Q$4=TRUE,$Q$5=TRUE,$S$2=TRUE),VLOOKUP($G214,'KO Calc'!$H:$AW,30,FALSE),VLOOKUP($G214,'KO Calc'!$H220:$AW220,30,FALSE)))))))))))))</f>
        <v>-</v>
      </c>
      <c r="L214" s="36" t="str">
        <f>IFERROR(VLOOKUP($E214,'Status Thresholds'!$E:$AS,41,FALSE),"-")</f>
        <v>-</v>
      </c>
    </row>
    <row r="215" spans="1:14" x14ac:dyDescent="0.25">
      <c r="B215" s="64" t="str">
        <f>VLOOKUP(C215,'Status Thresholds'!B:C,2,FALSE)</f>
        <v>MHGen</v>
      </c>
      <c r="C215" s="46" t="str">
        <f>IF(ISBLANK('KO Calc'!C211)=TRUE,"",'KO Calc'!C211)</f>
        <v>Daimyo Hermitaur</v>
      </c>
      <c r="D215" s="78"/>
      <c r="E215" s="62"/>
      <c r="G215" s="36"/>
      <c r="L215" s="36" t="str">
        <f>IFERROR(VLOOKUP($E215,'Status Thresholds'!$E:$AS,41,FALSE),"-")</f>
        <v>-</v>
      </c>
    </row>
    <row r="216" spans="1:14" s="36" customFormat="1" x14ac:dyDescent="0.25">
      <c r="B216" s="64" t="str">
        <f>VLOOKUP(C216,'Status Thresholds'!B:C,2,FALSE)</f>
        <v>Deviant</v>
      </c>
      <c r="C216" s="46" t="str">
        <f>IF(ISBLANK('KO Calc'!C212)=TRUE,"",'KO Calc'!C212)</f>
        <v>Deadeye Yian Garuga</v>
      </c>
      <c r="D216" s="65" t="s">
        <v>0</v>
      </c>
      <c r="E216" s="62" t="str">
        <f t="shared" si="5"/>
        <v>Deadeye Yian GarugaPara</v>
      </c>
      <c r="F216" s="36" t="s">
        <v>2</v>
      </c>
      <c r="G216" s="36" t="str">
        <f t="shared" si="6"/>
        <v>Deadeye Yian GarugaPara lvl 2</v>
      </c>
      <c r="H216" s="36" t="str">
        <f>IFERROR(ROUNDUP(IF(AND($Q$1=FALSE,$S$3=FALSE),"-",IF(AND($Q$1=TRUE,$S$3=TRUE),"-",IF(AND($Q$1=TRUE,$S$1=TRUE,$S$4=FALSE),VLOOKUP($E216,'Status Thresholds'!$E:$AS,12,FALSE),IF(AND($Q$1=TRUE,$S$4=FALSE),VLOOKUP($E216,'Status Thresholds'!$E:$AS,2,FALSE), IF(AND($Q$1=TRUE,$S$1=TRUE,$S$4=TRUE),VLOOKUP($E216,'Status Thresholds'!$E:$AS,17,FALSE),IF(AND($Q$1=TRUE,$S$4=TRUE),VLOOKUP($E216,'Status Thresholds'!$E:$AS,7,FALSE),IF(AND($S$3=TRUE,$S$1=TRUE,$S$4=FALSE),VLOOKUP($E216,'Status Thresholds'!$E:$AS,32,FALSE),IF(AND($S$3=TRUE,$S$4=FALSE),VLOOKUP($E216,'Status Thresholds'!$E:$AS,22,FALSE),IF(AND($S$3=TRUE,$S$1=TRUE,$S$4=TRUE),VLOOKUP($E216,'Status Thresholds'!$E:$AS,37,FALSE),IF(AND($S$3=TRUE,$S$4=TRUE),VLOOKUP($E216,'Status Thresholds'!$E:$AS,27,FALSE),""))))))))/IF(OR($Q$3=TRUE,AND($Q$2=TRUE,$Q$7=TRUE),AND($Q$3=TRUE,$Q$7=TRUE))=TRUE,'Shots and Status'!$F$5,IF((OR($Q$2,$Q$7)=TRUE),'Shots and Status'!$D$5,'Shots and Status'!$C$5)))),0),"-")</f>
        <v>-</v>
      </c>
      <c r="I216" s="36" t="str">
        <f>IFERROR(ROUNDUP(IF(AND($Q$1=FALSE,$S$3=FALSE),"-",IF(AND($Q$1=TRUE,$S$3=TRUE),"-",IF(AND($Q$1=TRUE,$S$1=TRUE,$S$4=FALSE),VLOOKUP($E216,'Status Thresholds'!$E:$AS,13,FALSE),IF(AND($Q$1=TRUE,$S$4=FALSE),VLOOKUP($E216,'Status Thresholds'!$E:$AS,3,FALSE), IF(AND($Q$1=TRUE,$S$1=TRUE,$S$4=TRUE),VLOOKUP($E216,'Status Thresholds'!$E:$AS,18,FALSE),IF(AND($Q$1=TRUE,$S$4=TRUE),VLOOKUP($E216,'Status Thresholds'!$E:$AS,8,FALSE),IF(AND($S$3=TRUE,$S$1=TRUE,$S$4=FALSE),VLOOKUP($E216,'Status Thresholds'!$E:$AS,33,FALSE),IF(AND($S$3=TRUE,$S$4=FALSE),VLOOKUP($E216,'Status Thresholds'!$E:$AS,23,FALSE),IF(AND($S$3=TRUE,$S$1=TRUE,$S$4=TRUE),VLOOKUP($E216,'Status Thresholds'!$E:$AS,38,FALSE),IF(AND($S$3=TRUE,$S$4=TRUE),VLOOKUP($E216,'Status Thresholds'!$E:$AS,28,FALSE),""))))))))/IF(OR($Q$3=TRUE,AND($Q$2=TRUE,$Q$7=TRUE),AND($Q$3=TRUE,$Q$7=TRUE))=TRUE,'Shots and Status'!$F$5,IF((OR($Q$2,$Q$7)=TRUE),'Shots and Status'!$D$5,'Shots and Status'!$C$5)))),0),"-")</f>
        <v>-</v>
      </c>
      <c r="J216" s="36" t="str">
        <f>IFERROR(ROUNDUP(IF(AND($Q$1=FALSE,$S$3=FALSE),"-",IF(AND($Q$1=TRUE,$S$3=TRUE),"-",IF(AND($Q$1=TRUE,$S$1=TRUE,$S$4=FALSE),VLOOKUP($E216,'Status Thresholds'!$E:$AS,14,FALSE),IF(AND($Q$1=TRUE,$S$4=FALSE),VLOOKUP($E216,'Status Thresholds'!$E:$AS,4,FALSE), IF(AND($Q$1=TRUE,$S$1=TRUE,$S$4=TRUE),VLOOKUP($E216,'Status Thresholds'!$E:$AS,19,FALSE),IF(AND($Q$1=TRUE,$S$4=TRUE),VLOOKUP($E216,'Status Thresholds'!$E:$AS,9,FALSE),IF(AND($S$3=TRUE,$S$1=TRUE,$S$4=FALSE),VLOOKUP($E216,'Status Thresholds'!$E:$AS,34,FALSE),IF(AND($S$3=TRUE,$S$4=FALSE),VLOOKUP($E216,'Status Thresholds'!$E:$AS,24,FALSE),IF(AND($S$3=TRUE,$S$1=TRUE,$S$4=TRUE),VLOOKUP($E216,'Status Thresholds'!$E:$AS,39,FALSE),IF(AND($S$3=TRUE,$S$4=TRUE),VLOOKUP($E216,'Status Thresholds'!$E:$AS,29,FALSE),""))))))))/IF(OR($Q$3=TRUE,AND($Q$2=TRUE,$Q$7=TRUE),AND($Q$3=TRUE,$Q$7=TRUE))=TRUE,'Shots and Status'!$F$5,IF((OR($Q$2,$Q$7)=TRUE),'Shots and Status'!$D$5,'Shots and Status'!$C$5)))),0),"-")</f>
        <v>-</v>
      </c>
      <c r="K216" s="36" t="str">
        <f>IFERROR(ROUNDUP(IF(AND($Q$1=FALSE,$S$3=FALSE),"-",IF(AND($Q$1=TRUE,$S$3=TRUE),"-",IF(AND($Q$1=TRUE,$S$1=TRUE,$S$4=FALSE),VLOOKUP($E216,'Status Thresholds'!$E:$AS,15,FALSE),IF(AND($Q$1=TRUE,$S$4=FALSE),VLOOKUP($E216,'Status Thresholds'!$E:$AS,5,FALSE), IF(AND($Q$1=TRUE,$S$1=TRUE,$S$4=TRUE),VLOOKUP($E216,'Status Thresholds'!$E:$AS,20,FALSE),IF(AND($Q$1=TRUE,$S$4=TRUE),VLOOKUP($E216,'Status Thresholds'!$E:$AS,10,FALSE),IF(AND($S$3=TRUE,$S$1=TRUE,$S$4=FALSE),VLOOKUP($E216,'Status Thresholds'!$E:$AS,35,FALSE),IF(AND($S$3=TRUE,$S$4=FALSE),VLOOKUP($E216,'Status Thresholds'!$E:$AS,25,FALSE),IF(AND($S$3=TRUE,$S$1=TRUE,$S$4=TRUE),VLOOKUP($E216,'Status Thresholds'!$E:$AS,40,FALSE),IF(AND($S$3=TRUE,$S$4=TRUE),VLOOKUP($E216,'Status Thresholds'!$E:$AS,30,FALSE),""))))))))/IF(OR($Q$3=TRUE,AND($Q$2=TRUE,$Q$7=TRUE),AND($Q$3=TRUE,$Q$7=TRUE))=TRUE,'Shots and Status'!$F$5,IF((OR($Q$2,$Q$7)=TRUE),'Shots and Status'!$D$5,'Shots and Status'!$C$5)))),0),"-")</f>
        <v>-</v>
      </c>
      <c r="L216" s="36" t="str">
        <f>IFERROR(IF(AND($Q$1=FALSE,$S$3=FALSE),"-",VLOOKUP($E216,'Status Thresholds'!$E:$AU,41,FALSE)),"-")</f>
        <v>-</v>
      </c>
      <c r="M216" s="36" t="str">
        <f>IFERROR(IF(AND($Q$1=FALSE,$S$3=FALSE),"-",VLOOKUP($E216,'Status Thresholds'!$E:$AU,42,FALSE)),"-")</f>
        <v>-</v>
      </c>
      <c r="N216" s="36" t="str">
        <f>IFERROR(IF(AND($Q$1=FALSE,$S$3=FALSE),"-",VLOOKUP($E216,'Status Thresholds'!$E:$AU,43,FALSE)),"-")</f>
        <v>-</v>
      </c>
    </row>
    <row r="217" spans="1:14" s="59" customFormat="1" x14ac:dyDescent="0.25">
      <c r="A217" s="46"/>
      <c r="B217" s="64" t="str">
        <f>VLOOKUP(C217,'Status Thresholds'!B:C,2,FALSE)</f>
        <v>Deviant</v>
      </c>
      <c r="C217" s="46" t="str">
        <f>IF(ISBLANK('KO Calc'!C213)=TRUE,"",'KO Calc'!C213)</f>
        <v>Deadeye Yian Garuga</v>
      </c>
      <c r="D217" s="60" t="s">
        <v>32</v>
      </c>
      <c r="E217" s="62" t="str">
        <f t="shared" ref="E217:E288" si="7">C217&amp;D217</f>
        <v>Deadeye Yian GarugaSleep</v>
      </c>
      <c r="F217" s="59" t="s">
        <v>5</v>
      </c>
      <c r="G217" s="36" t="str">
        <f t="shared" si="6"/>
        <v>Deadeye Yian GarugaSleep lvl 2</v>
      </c>
      <c r="H217" s="36" t="str">
        <f>IFERROR(ROUNDUP(IF(AND($Q$1=FALSE,$S$3=FALSE),"-",IF(AND($Q$1=TRUE,$S$3=TRUE),"-",IF(AND($Q$1=TRUE,$S$1=TRUE,$S$4=FALSE),VLOOKUP($E217,'Status Thresholds'!$E:$AS,12,FALSE),IF(AND($Q$1=TRUE,$S$4=FALSE),VLOOKUP($E217,'Status Thresholds'!$E:$AS,2,FALSE), IF(AND($Q$1=TRUE,$S$1=TRUE,$S$4=TRUE),VLOOKUP($E217,'Status Thresholds'!$E:$AS,17,FALSE),IF(AND($Q$1=TRUE,$S$4=TRUE),VLOOKUP($E217,'Status Thresholds'!$E:$AS,7,FALSE),IF(AND($S$3=TRUE,$S$1=TRUE,$S$4=FALSE),VLOOKUP($E217,'Status Thresholds'!$E:$AS,32,FALSE),IF(AND($S$3=TRUE,$S$4=FALSE),VLOOKUP($E217,'Status Thresholds'!$E:$AS,22,FALSE),IF(AND($S$3=TRUE,$S$1=TRUE,$S$4=TRUE),VLOOKUP($E217,'Status Thresholds'!$E:$AS,37,FALSE),IF(AND($S$3=TRUE,$S$4=TRUE),VLOOKUP($E217,'Status Thresholds'!$E:$AS,27,FALSE),""))))))))/IF(OR($Q$3=TRUE,AND($Q$2=TRUE,$Q$7=TRUE),AND($Q$3=TRUE,$Q$7=TRUE))=TRUE,'Shots and Status'!$F$5,IF((OR($Q$2,$Q$7)=TRUE),'Shots and Status'!$D$5,'Shots and Status'!$C$5)))),0),"-")</f>
        <v>-</v>
      </c>
      <c r="I217" s="36" t="str">
        <f>IFERROR(ROUNDUP(IF(AND($Q$1=FALSE,$S$3=FALSE),"-",IF(AND($Q$1=TRUE,$S$3=TRUE),"-",IF(AND($Q$1=TRUE,$S$1=TRUE,$S$4=FALSE),VLOOKUP($E217,'Status Thresholds'!$E:$AS,13,FALSE),IF(AND($Q$1=TRUE,$S$4=FALSE),VLOOKUP($E217,'Status Thresholds'!$E:$AS,3,FALSE), IF(AND($Q$1=TRUE,$S$1=TRUE,$S$4=TRUE),VLOOKUP($E217,'Status Thresholds'!$E:$AS,18,FALSE),IF(AND($Q$1=TRUE,$S$4=TRUE),VLOOKUP($E217,'Status Thresholds'!$E:$AS,8,FALSE),IF(AND($S$3=TRUE,$S$1=TRUE,$S$4=FALSE),VLOOKUP($E217,'Status Thresholds'!$E:$AS,33,FALSE),IF(AND($S$3=TRUE,$S$4=FALSE),VLOOKUP($E217,'Status Thresholds'!$E:$AS,23,FALSE),IF(AND($S$3=TRUE,$S$1=TRUE,$S$4=TRUE),VLOOKUP($E217,'Status Thresholds'!$E:$AS,38,FALSE),IF(AND($S$3=TRUE,$S$4=TRUE),VLOOKUP($E217,'Status Thresholds'!$E:$AS,28,FALSE),""))))))))/IF(OR($Q$3=TRUE,AND($Q$2=TRUE,$Q$7=TRUE),AND($Q$3=TRUE,$Q$7=TRUE))=TRUE,'Shots and Status'!$F$5,IF((OR($Q$2,$Q$7)=TRUE),'Shots and Status'!$D$5,'Shots and Status'!$C$5)))),0),"-")</f>
        <v>-</v>
      </c>
      <c r="J217" s="36" t="str">
        <f>IFERROR(ROUNDUP(IF(AND($Q$1=FALSE,$S$3=FALSE),"-",IF(AND($Q$1=TRUE,$S$3=TRUE),"-",IF(AND($Q$1=TRUE,$S$1=TRUE,$S$4=FALSE),VLOOKUP($E217,'Status Thresholds'!$E:$AS,14,FALSE),IF(AND($Q$1=TRUE,$S$4=FALSE),VLOOKUP($E217,'Status Thresholds'!$E:$AS,4,FALSE), IF(AND($Q$1=TRUE,$S$1=TRUE,$S$4=TRUE),VLOOKUP($E217,'Status Thresholds'!$E:$AS,19,FALSE),IF(AND($Q$1=TRUE,$S$4=TRUE),VLOOKUP($E217,'Status Thresholds'!$E:$AS,9,FALSE),IF(AND($S$3=TRUE,$S$1=TRUE,$S$4=FALSE),VLOOKUP($E217,'Status Thresholds'!$E:$AS,34,FALSE),IF(AND($S$3=TRUE,$S$4=FALSE),VLOOKUP($E217,'Status Thresholds'!$E:$AS,24,FALSE),IF(AND($S$3=TRUE,$S$1=TRUE,$S$4=TRUE),VLOOKUP($E217,'Status Thresholds'!$E:$AS,39,FALSE),IF(AND($S$3=TRUE,$S$4=TRUE),VLOOKUP($E217,'Status Thresholds'!$E:$AS,29,FALSE),""))))))))/IF(OR($Q$3=TRUE,AND($Q$2=TRUE,$Q$7=TRUE),AND($Q$3=TRUE,$Q$7=TRUE))=TRUE,'Shots and Status'!$F$5,IF((OR($Q$2,$Q$7)=TRUE),'Shots and Status'!$D$5,'Shots and Status'!$C$5)))),0),"-")</f>
        <v>-</v>
      </c>
      <c r="K217" s="36" t="str">
        <f>IFERROR(ROUNDUP(IF(AND($Q$1=FALSE,$S$3=FALSE),"-",IF(AND($Q$1=TRUE,$S$3=TRUE),"-",IF(AND($Q$1=TRUE,$S$1=TRUE,$S$4=FALSE),VLOOKUP($E217,'Status Thresholds'!$E:$AS,15,FALSE),IF(AND($Q$1=TRUE,$S$4=FALSE),VLOOKUP($E217,'Status Thresholds'!$E:$AS,5,FALSE), IF(AND($Q$1=TRUE,$S$1=TRUE,$S$4=TRUE),VLOOKUP($E217,'Status Thresholds'!$E:$AS,20,FALSE),IF(AND($Q$1=TRUE,$S$4=TRUE),VLOOKUP($E217,'Status Thresholds'!$E:$AS,10,FALSE),IF(AND($S$3=TRUE,$S$1=TRUE,$S$4=FALSE),VLOOKUP($E217,'Status Thresholds'!$E:$AS,35,FALSE),IF(AND($S$3=TRUE,$S$4=FALSE),VLOOKUP($E217,'Status Thresholds'!$E:$AS,25,FALSE),IF(AND($S$3=TRUE,$S$1=TRUE,$S$4=TRUE),VLOOKUP($E217,'Status Thresholds'!$E:$AS,40,FALSE),IF(AND($S$3=TRUE,$S$4=TRUE),VLOOKUP($E217,'Status Thresholds'!$E:$AS,30,FALSE),""))))))))/IF(OR($Q$3=TRUE,AND($Q$2=TRUE,$Q$7=TRUE),AND($Q$3=TRUE,$Q$7=TRUE))=TRUE,'Shots and Status'!$F$5,IF((OR($Q$2,$Q$7)=TRUE),'Shots and Status'!$D$5,'Shots and Status'!$C$5)))),0),"-")</f>
        <v>-</v>
      </c>
      <c r="L217" s="36" t="str">
        <f>IFERROR(IF(AND($Q$1=FALSE,$S$3=FALSE),"-",VLOOKUP($E217,'Status Thresholds'!$E:$AU,41,FALSE)),"-")</f>
        <v>-</v>
      </c>
      <c r="M217" s="36" t="str">
        <f>IFERROR(IF(AND($Q$1=FALSE,$S$3=FALSE),"-",VLOOKUP($E217,'Status Thresholds'!$E:$AU,42,FALSE)),"-")</f>
        <v>-</v>
      </c>
      <c r="N217" s="36" t="str">
        <f>IFERROR(IF(AND($Q$1=FALSE,$S$3=FALSE),"-",VLOOKUP($E217,'Status Thresholds'!$E:$AU,43,FALSE)),"-")</f>
        <v>-</v>
      </c>
    </row>
    <row r="218" spans="1:14" s="59" customFormat="1" x14ac:dyDescent="0.25">
      <c r="A218" s="46"/>
      <c r="B218" s="64" t="str">
        <f>VLOOKUP(C218,'Status Thresholds'!B:C,2,FALSE)</f>
        <v>Deviant</v>
      </c>
      <c r="C218" s="46" t="str">
        <f>IF(ISBLANK('KO Calc'!C214)=TRUE,"",'KO Calc'!C214)</f>
        <v>Deadeye Yian Garuga</v>
      </c>
      <c r="D218" s="58" t="s">
        <v>33</v>
      </c>
      <c r="E218" s="62" t="str">
        <f t="shared" si="7"/>
        <v>Deadeye Yian GarugaPoison</v>
      </c>
      <c r="F218" s="59" t="s">
        <v>6</v>
      </c>
      <c r="G218" s="36" t="str">
        <f t="shared" si="6"/>
        <v>Deadeye Yian GarugaPoison lvl 2</v>
      </c>
      <c r="H218" s="36" t="str">
        <f>IFERROR(ROUNDUP(IF(AND($Q$1=FALSE,$S$3=FALSE),"-",IF(AND($Q$1=TRUE,$S$3=TRUE),"-",IF(AND($Q$1=TRUE,$S$1=TRUE,$S$4=FALSE),VLOOKUP($E218,'Status Thresholds'!$E:$AS,12,FALSE),IF(AND($Q$1=TRUE,$S$4=FALSE),VLOOKUP($E218,'Status Thresholds'!$E:$AS,2,FALSE), IF(AND($Q$1=TRUE,$S$1=TRUE,$S$4=TRUE),VLOOKUP($E218,'Status Thresholds'!$E:$AS,17,FALSE),IF(AND($Q$1=TRUE,$S$4=TRUE),VLOOKUP($E218,'Status Thresholds'!$E:$AS,7,FALSE),IF(AND($S$3=TRUE,$S$1=TRUE,$S$4=FALSE),VLOOKUP($E218,'Status Thresholds'!$E:$AS,32,FALSE),IF(AND($S$3=TRUE,$S$4=FALSE),VLOOKUP($E218,'Status Thresholds'!$E:$AS,22,FALSE),IF(AND($S$3=TRUE,$S$1=TRUE,$S$4=TRUE),VLOOKUP($E218,'Status Thresholds'!$E:$AS,37,FALSE),IF(AND($S$3=TRUE,$S$4=TRUE),VLOOKUP($E218,'Status Thresholds'!$E:$AS,27,FALSE),""))))))))/IF(OR($Q$3=TRUE,AND($Q$2=TRUE,$Q$7=TRUE),AND($Q$3=TRUE,$Q$7=TRUE))=TRUE,'Shots and Status'!$F$5,IF((OR($Q$2,$Q$7)=TRUE),'Shots and Status'!$D$5,'Shots and Status'!$C$5)))),0),"-")</f>
        <v>-</v>
      </c>
      <c r="I218" s="36" t="str">
        <f>IFERROR(ROUNDUP(IF(AND($Q$1=FALSE,$S$3=FALSE),"-",IF(AND($Q$1=TRUE,$S$3=TRUE),"-",IF(AND($Q$1=TRUE,$S$1=TRUE,$S$4=FALSE),VLOOKUP($E218,'Status Thresholds'!$E:$AS,13,FALSE),IF(AND($Q$1=TRUE,$S$4=FALSE),VLOOKUP($E218,'Status Thresholds'!$E:$AS,3,FALSE), IF(AND($Q$1=TRUE,$S$1=TRUE,$S$4=TRUE),VLOOKUP($E218,'Status Thresholds'!$E:$AS,18,FALSE),IF(AND($Q$1=TRUE,$S$4=TRUE),VLOOKUP($E218,'Status Thresholds'!$E:$AS,8,FALSE),IF(AND($S$3=TRUE,$S$1=TRUE,$S$4=FALSE),VLOOKUP($E218,'Status Thresholds'!$E:$AS,33,FALSE),IF(AND($S$3=TRUE,$S$4=FALSE),VLOOKUP($E218,'Status Thresholds'!$E:$AS,23,FALSE),IF(AND($S$3=TRUE,$S$1=TRUE,$S$4=TRUE),VLOOKUP($E218,'Status Thresholds'!$E:$AS,38,FALSE),IF(AND($S$3=TRUE,$S$4=TRUE),VLOOKUP($E218,'Status Thresholds'!$E:$AS,28,FALSE),""))))))))/IF(OR($Q$3=TRUE,AND($Q$2=TRUE,$Q$7=TRUE),AND($Q$3=TRUE,$Q$7=TRUE))=TRUE,'Shots and Status'!$F$5,IF((OR($Q$2,$Q$7)=TRUE),'Shots and Status'!$D$5,'Shots and Status'!$C$5)))),0),"-")</f>
        <v>-</v>
      </c>
      <c r="J218" s="36" t="str">
        <f>IFERROR(ROUNDUP(IF(AND($Q$1=FALSE,$S$3=FALSE),"-",IF(AND($Q$1=TRUE,$S$3=TRUE),"-",IF(AND($Q$1=TRUE,$S$1=TRUE,$S$4=FALSE),VLOOKUP($E218,'Status Thresholds'!$E:$AS,14,FALSE),IF(AND($Q$1=TRUE,$S$4=FALSE),VLOOKUP($E218,'Status Thresholds'!$E:$AS,4,FALSE), IF(AND($Q$1=TRUE,$S$1=TRUE,$S$4=TRUE),VLOOKUP($E218,'Status Thresholds'!$E:$AS,19,FALSE),IF(AND($Q$1=TRUE,$S$4=TRUE),VLOOKUP($E218,'Status Thresholds'!$E:$AS,9,FALSE),IF(AND($S$3=TRUE,$S$1=TRUE,$S$4=FALSE),VLOOKUP($E218,'Status Thresholds'!$E:$AS,34,FALSE),IF(AND($S$3=TRUE,$S$4=FALSE),VLOOKUP($E218,'Status Thresholds'!$E:$AS,24,FALSE),IF(AND($S$3=TRUE,$S$1=TRUE,$S$4=TRUE),VLOOKUP($E218,'Status Thresholds'!$E:$AS,39,FALSE),IF(AND($S$3=TRUE,$S$4=TRUE),VLOOKUP($E218,'Status Thresholds'!$E:$AS,29,FALSE),""))))))))/IF(OR($Q$3=TRUE,AND($Q$2=TRUE,$Q$7=TRUE),AND($Q$3=TRUE,$Q$7=TRUE))=TRUE,'Shots and Status'!$F$5,IF((OR($Q$2,$Q$7)=TRUE),'Shots and Status'!$D$5,'Shots and Status'!$C$5)))),0),"-")</f>
        <v>-</v>
      </c>
      <c r="K218" s="36" t="str">
        <f>IFERROR(ROUNDUP(IF(AND($Q$1=FALSE,$S$3=FALSE),"-",IF(AND($Q$1=TRUE,$S$3=TRUE),"-",IF(AND($Q$1=TRUE,$S$1=TRUE,$S$4=FALSE),VLOOKUP($E218,'Status Thresholds'!$E:$AS,15,FALSE),IF(AND($Q$1=TRUE,$S$4=FALSE),VLOOKUP($E218,'Status Thresholds'!$E:$AS,5,FALSE), IF(AND($Q$1=TRUE,$S$1=TRUE,$S$4=TRUE),VLOOKUP($E218,'Status Thresholds'!$E:$AS,20,FALSE),IF(AND($Q$1=TRUE,$S$4=TRUE),VLOOKUP($E218,'Status Thresholds'!$E:$AS,10,FALSE),IF(AND($S$3=TRUE,$S$1=TRUE,$S$4=FALSE),VLOOKUP($E218,'Status Thresholds'!$E:$AS,35,FALSE),IF(AND($S$3=TRUE,$S$4=FALSE),VLOOKUP($E218,'Status Thresholds'!$E:$AS,25,FALSE),IF(AND($S$3=TRUE,$S$1=TRUE,$S$4=TRUE),VLOOKUP($E218,'Status Thresholds'!$E:$AS,40,FALSE),IF(AND($S$3=TRUE,$S$4=TRUE),VLOOKUP($E218,'Status Thresholds'!$E:$AS,30,FALSE),""))))))))/IF(OR($Q$3=TRUE,AND($Q$2=TRUE,$Q$7=TRUE),AND($Q$3=TRUE,$Q$7=TRUE))=TRUE,'Shots and Status'!$F$5,IF((OR($Q$2,$Q$7)=TRUE),'Shots and Status'!$D$5,'Shots and Status'!$C$5)))),0),"-")</f>
        <v>-</v>
      </c>
      <c r="L218" s="36" t="str">
        <f>IFERROR(IF(AND($Q$1=FALSE,$S$3=FALSE),"-",VLOOKUP($E218,'Status Thresholds'!$E:$AU,41,FALSE)),"-")</f>
        <v>-</v>
      </c>
      <c r="M218" s="36" t="str">
        <f>IFERROR(IF(AND($Q$1=FALSE,$S$3=FALSE),"-",VLOOKUP($E218,'Status Thresholds'!$E:$AU,42,FALSE)),"-")</f>
        <v>-</v>
      </c>
      <c r="N218" s="36" t="str">
        <f>IFERROR(IF(AND($Q$1=FALSE,$S$3=FALSE),"-",VLOOKUP($E218,'Status Thresholds'!$E:$AU,43,FALSE)),"-")</f>
        <v>-</v>
      </c>
    </row>
    <row r="219" spans="1:14" s="36" customFormat="1" x14ac:dyDescent="0.25">
      <c r="A219" s="46"/>
      <c r="B219" s="64" t="str">
        <f>VLOOKUP(C219,'Status Thresholds'!B:C,2,FALSE)</f>
        <v>Deviant</v>
      </c>
      <c r="C219" s="46" t="str">
        <f>IF(ISBLANK('KO Calc'!C215)=TRUE,"",'KO Calc'!C215)</f>
        <v>Deadeye Yian Garuga</v>
      </c>
      <c r="D219" s="57" t="s">
        <v>22</v>
      </c>
      <c r="E219" s="62" t="str">
        <f t="shared" si="7"/>
        <v>Deadeye Yian GarugaExhaust</v>
      </c>
      <c r="F219" s="36" t="s">
        <v>8</v>
      </c>
      <c r="G219" s="36" t="str">
        <f t="shared" si="6"/>
        <v>Deadeye Yian GarugaExhaust lvl 2</v>
      </c>
      <c r="H219" s="36" t="str">
        <f>IFERROR(ROUNDUP(IF(AND($Q$1=FALSE,$S$3=FALSE),"-",IF(AND($Q$1=TRUE,$S$3=TRUE),"-",IF(AND($Q$1=TRUE,$S$1=TRUE,$S$4=FALSE),VLOOKUP($E219,'Status Thresholds'!$E:$AS,12,FALSE),IF(AND($Q$1=TRUE,$S$4=FALSE),VLOOKUP($E219,'Status Thresholds'!$E:$AS,2,FALSE), IF(AND($Q$1=TRUE,$S$1=TRUE,$S$4=TRUE),VLOOKUP($E219,'Status Thresholds'!$E:$AS,17,FALSE),IF(AND($Q$1=TRUE,$S$4=TRUE),VLOOKUP($E219,'Status Thresholds'!$E:$AS,7,FALSE),IF(AND($S$3=TRUE,$S$1=TRUE,$S$4=FALSE),VLOOKUP($E219,'Status Thresholds'!$E:$AS,32,FALSE),IF(AND($S$3=TRUE,$S$4=FALSE),VLOOKUP($E219,'Status Thresholds'!$E:$AS,22,FALSE),IF(AND($S$3=TRUE,$S$1=TRUE,$S$4=TRUE),VLOOKUP($E219,'Status Thresholds'!$E:$AS,37,FALSE),IF(AND($S$3=TRUE,$S$4=TRUE),VLOOKUP($E219,'Status Thresholds'!$E:$AS,27,FALSE),""))))))))/IF(OR($Q$3=TRUE,AND($Q$2=TRUE,$Q$7=TRUE),AND($Q$3=TRUE,$Q$7=TRUE))=TRUE,'Shots and Status'!$F$5,IF((OR($Q$2,$Q$7)=TRUE),'Shots and Status'!$D$5,'Shots and Status'!$C$5)))),0),"-")</f>
        <v>-</v>
      </c>
      <c r="I219" s="36" t="str">
        <f>IFERROR(ROUNDUP(IF(AND($Q$1=FALSE,$S$3=FALSE),"-",IF(AND($Q$1=TRUE,$S$3=TRUE),"-",IF(AND($Q$1=TRUE,$S$1=TRUE,$S$4=FALSE),VLOOKUP($E219,'Status Thresholds'!$E:$AS,13,FALSE),IF(AND($Q$1=TRUE,$S$4=FALSE),VLOOKUP($E219,'Status Thresholds'!$E:$AS,3,FALSE), IF(AND($Q$1=TRUE,$S$1=TRUE,$S$4=TRUE),VLOOKUP($E219,'Status Thresholds'!$E:$AS,18,FALSE),IF(AND($Q$1=TRUE,$S$4=TRUE),VLOOKUP($E219,'Status Thresholds'!$E:$AS,8,FALSE),IF(AND($S$3=TRUE,$S$1=TRUE,$S$4=FALSE),VLOOKUP($E219,'Status Thresholds'!$E:$AS,33,FALSE),IF(AND($S$3=TRUE,$S$4=FALSE),VLOOKUP($E219,'Status Thresholds'!$E:$AS,23,FALSE),IF(AND($S$3=TRUE,$S$1=TRUE,$S$4=TRUE),VLOOKUP($E219,'Status Thresholds'!$E:$AS,38,FALSE),IF(AND($S$3=TRUE,$S$4=TRUE),VLOOKUP($E219,'Status Thresholds'!$E:$AS,28,FALSE),""))))))))/IF(OR($Q$3=TRUE,AND($Q$2=TRUE,$Q$7=TRUE),AND($Q$3=TRUE,$Q$7=TRUE))=TRUE,'Shots and Status'!$F$5,IF((OR($Q$2,$Q$7)=TRUE),'Shots and Status'!$D$5,'Shots and Status'!$C$5)))),0),"-")</f>
        <v>-</v>
      </c>
      <c r="J219" s="36" t="str">
        <f>IFERROR(ROUNDUP(IF(AND($Q$1=FALSE,$S$3=FALSE),"-",IF(AND($Q$1=TRUE,$S$3=TRUE),"-",IF(AND($Q$1=TRUE,$S$1=TRUE,$S$4=FALSE),VLOOKUP($E219,'Status Thresholds'!$E:$AS,14,FALSE),IF(AND($Q$1=TRUE,$S$4=FALSE),VLOOKUP($E219,'Status Thresholds'!$E:$AS,4,FALSE), IF(AND($Q$1=TRUE,$S$1=TRUE,$S$4=TRUE),VLOOKUP($E219,'Status Thresholds'!$E:$AS,19,FALSE),IF(AND($Q$1=TRUE,$S$4=TRUE),VLOOKUP($E219,'Status Thresholds'!$E:$AS,9,FALSE),IF(AND($S$3=TRUE,$S$1=TRUE,$S$4=FALSE),VLOOKUP($E219,'Status Thresholds'!$E:$AS,34,FALSE),IF(AND($S$3=TRUE,$S$4=FALSE),VLOOKUP($E219,'Status Thresholds'!$E:$AS,24,FALSE),IF(AND($S$3=TRUE,$S$1=TRUE,$S$4=TRUE),VLOOKUP($E219,'Status Thresholds'!$E:$AS,39,FALSE),IF(AND($S$3=TRUE,$S$4=TRUE),VLOOKUP($E219,'Status Thresholds'!$E:$AS,29,FALSE),""))))))))/IF(OR($Q$3=TRUE,AND($Q$2=TRUE,$Q$7=TRUE),AND($Q$3=TRUE,$Q$7=TRUE))=TRUE,'Shots and Status'!$F$5,IF((OR($Q$2,$Q$7)=TRUE),'Shots and Status'!$D$5,'Shots and Status'!$C$5)))),0),"-")</f>
        <v>-</v>
      </c>
      <c r="K219" s="36" t="str">
        <f>IFERROR(ROUNDUP(IF(AND($Q$1=FALSE,$S$3=FALSE),"-",IF(AND($Q$1=TRUE,$S$3=TRUE),"-",IF(AND($Q$1=TRUE,$S$1=TRUE,$S$4=FALSE),VLOOKUP($E219,'Status Thresholds'!$E:$AS,15,FALSE),IF(AND($Q$1=TRUE,$S$4=FALSE),VLOOKUP($E219,'Status Thresholds'!$E:$AS,5,FALSE), IF(AND($Q$1=TRUE,$S$1=TRUE,$S$4=TRUE),VLOOKUP($E219,'Status Thresholds'!$E:$AS,20,FALSE),IF(AND($Q$1=TRUE,$S$4=TRUE),VLOOKUP($E219,'Status Thresholds'!$E:$AS,10,FALSE),IF(AND($S$3=TRUE,$S$1=TRUE,$S$4=FALSE),VLOOKUP($E219,'Status Thresholds'!$E:$AS,35,FALSE),IF(AND($S$3=TRUE,$S$4=FALSE),VLOOKUP($E219,'Status Thresholds'!$E:$AS,25,FALSE),IF(AND($S$3=TRUE,$S$1=TRUE,$S$4=TRUE),VLOOKUP($E219,'Status Thresholds'!$E:$AS,40,FALSE),IF(AND($S$3=TRUE,$S$4=TRUE),VLOOKUP($E219,'Status Thresholds'!$E:$AS,30,FALSE),""))))))))/IF(OR($Q$3=TRUE,AND($Q$2=TRUE,$Q$7=TRUE),AND($Q$3=TRUE,$Q$7=TRUE))=TRUE,'Shots and Status'!$F$5,IF((OR($Q$2,$Q$7)=TRUE),'Shots and Status'!$D$5,'Shots and Status'!$C$5)))),0),"-")</f>
        <v>-</v>
      </c>
      <c r="L219" s="36" t="str">
        <f>IFERROR(IF(AND($Q$1=FALSE,$S$3=FALSE),"-",VLOOKUP($E219,'Status Thresholds'!$E:$AU,41,FALSE)),"-")</f>
        <v>-</v>
      </c>
      <c r="M219" s="36" t="str">
        <f>IFERROR(IF(AND($Q$1=FALSE,$S$3=FALSE),"-",VLOOKUP($E219,'Status Thresholds'!$E:$AU,42,FALSE)),"-")</f>
        <v>-</v>
      </c>
      <c r="N219" s="36" t="str">
        <f>IFERROR(IF(AND($Q$1=FALSE,$S$3=FALSE),"-",VLOOKUP($E219,'Status Thresholds'!$E:$AU,43,FALSE)),"-")</f>
        <v>-</v>
      </c>
    </row>
    <row r="220" spans="1:14" s="36" customFormat="1" x14ac:dyDescent="0.25">
      <c r="A220" s="46"/>
      <c r="B220" s="64" t="str">
        <f>VLOOKUP(C220,'Status Thresholds'!B:C,2,FALSE)</f>
        <v>Deviant</v>
      </c>
      <c r="C220" s="46" t="str">
        <f>IF(ISBLANK('KO Calc'!C216)=TRUE,"",'KO Calc'!C216)</f>
        <v>Deadeye Yian Garuga</v>
      </c>
      <c r="D220" s="67" t="s">
        <v>14</v>
      </c>
      <c r="E220" s="62" t="str">
        <f t="shared" si="7"/>
        <v>Deadeye Yian GarugaKO</v>
      </c>
      <c r="F220" s="36" t="s">
        <v>21</v>
      </c>
      <c r="G220" s="36" t="str">
        <f t="shared" si="6"/>
        <v>Deadeye Yian GarugaTriblast</v>
      </c>
      <c r="H220" s="36" t="str">
        <f>IF(AND($Q$1=FALSE,$S$3=FALSE),"-",IF(AND($Q$1=TRUE,$S$3=TRUE),"-",IF(AND($Q$1=FALSE,$S$3=FALSE),"-",IF(AND($Q$1=TRUE,$S$1=TRUE,$S$4=FALSE)=TRUE,IF(OR($Q$4=TRUE,$Q$5=TRUE,$S$2=TRUE),VLOOKUP($G220,'KO Calc'!$H:$AW,12,FALSE),VLOOKUP($G220,'KO Calc'!$H226:$AW226,12,FALSE)),IF(AND($Q$1=TRUE,$S$4=FALSE),IF(OR($Q$4=TRUE,$Q$5=TRUE,$S$2=TRUE),VLOOKUP($G220,'KO Calc'!$H:$AW,2,FALSE),VLOOKUP($G220,'KO Calc'!$H226:$AW226,2,FALSE)),
IF(AND($Q$1=TRUE,$S$1=TRUE,$S$4=TRUE)=TRUE,IF(OR($Q$4=TRUE,$Q$5=TRUE,$S$2=TRUE),VLOOKUP($G220,'KO Calc'!$H:$AW,17,FALSE),VLOOKUP($G220,'KO Calc'!$H226:$AW226,17,FALSE)),IF(AND($Q$1=TRUE,$S$4=TRUE),IF(OR($Q$4=TRUE,$Q$5=TRUE,$S$2=TRUE),VLOOKUP($G220,'KO Calc'!$H:$AW,7,FALSE),VLOOKUP($G220,'KO Calc'!$H226:$AW226,7,FALSE)),
IF(AND($S$3=TRUE,$S$1=TRUE,$S$4=FALSE)=TRUE,IF(OR($Q$4=TRUE,$Q$5=TRUE,$S$2=TRUE),VLOOKUP($G220,'KO Calc'!$H:$AW,32,FALSE),VLOOKUP($G220,'KO Calc'!$H226:$AW226,32,FALSE)),IF(AND($S$3=TRUE,$S$4=FALSE),IF(OR($Q$4=TRUE,$Q$5=TRUE,$S$2=TRUE),VLOOKUP($G220,'KO Calc'!$H:$AW,22,FALSE),VLOOKUP($G220,'KO Calc'!$H226:$AW226,22,FALSE)),
IF(AND($S$3=TRUE,$S$1=TRUE,$S$4=TRUE)=TRUE,IF(OR($Q$4=TRUE,$Q$5=TRUE,$S$2=TRUE),VLOOKUP($G220,'KO Calc'!$H:$AW,37,FALSE),VLOOKUP($G220,'KO Calc'!$H226:$AW226,37,FALSE)),IF(AND($S$3=TRUE,$S$4=TRUE),IF(OR($Q$4=TRUE,$Q$5=TRUE,$S$2=TRUE),VLOOKUP($G220,'KO Calc'!$H:$AW,27,FALSE),VLOOKUP($G220,'KO Calc'!$H226:$AW226,27,FALSE)))))))))))))</f>
        <v>-</v>
      </c>
      <c r="I220" s="36" t="str">
        <f>IF(AND($Q$1=FALSE,$S$3=FALSE),"-",IF(AND($Q$1=TRUE,$S$3=TRUE),"-",IF(AND($Q$1=FALSE,$S$3=FALSE),"-",IF(AND($Q$1=TRUE,$S$1=TRUE,$S$4=FALSE)=TRUE,IF(OR($Q$4=TRUE,$Q$5=TRUE,$S$2=TRUE),VLOOKUP($G220,'KO Calc'!$H:$AW,13,FALSE),VLOOKUP($G220,'KO Calc'!$H226:$AW226,13,FALSE)),IF(AND($Q$1=TRUE,$S$4=FALSE),IF(OR($Q$4=TRUE,$Q$5=TRUE,$S$2=TRUE),VLOOKUP($G220,'KO Calc'!$H:$AW,3,FALSE),VLOOKUP($G220,'KO Calc'!$H226:$AW226,3,FALSE)),
IF(AND($Q$1=TRUE,$S$1=TRUE,$S$4=TRUE)=TRUE,IF(OR($Q$4=TRUE,$Q$5=TRUE,$S$2=TRUE),VLOOKUP($G220,'KO Calc'!$H:$AW,18,FALSE),VLOOKUP($G220,'KO Calc'!$H226:$AW226,18,FALSE)),IF(AND($Q$1=TRUE,$S$4=TRUE),IF(OR($Q$4=TRUE,$Q$5=TRUE,$S$2=TRUE),VLOOKUP($G220,'KO Calc'!$H:$AW,8,FALSE),VLOOKUP($G220,'KO Calc'!$H226:$AW226,8,FALSE)),
IF(AND($S$3=TRUE,$S$1=TRUE,$S$4=FALSE)=TRUE,IF(OR($Q$4=TRUE,$Q$5=TRUE,$S$2=TRUE),VLOOKUP($G220,'KO Calc'!$H:$AW,33,FALSE),VLOOKUP($G220,'KO Calc'!$H226:$AW226,33,FALSE)),IF(AND($S$3=TRUE,$S$4=FALSE),IF(OR($Q$4=TRUE,$Q$5=TRUE,$S$2=TRUE),VLOOKUP($G220,'KO Calc'!$H:$AW,23,FALSE),VLOOKUP($G220,'KO Calc'!$H226:$AW226,23,FALSE)),
IF(AND($S$3=TRUE,$S$1=TRUE,$S$4=TRUE)=TRUE,IF(OR($Q$4=TRUE,$Q$5=TRUE,$S$2=TRUE),VLOOKUP($G220,'KO Calc'!$H:$AW,38,FALSE),VLOOKUP($G220,'KO Calc'!$H226:$AW226,38,FALSE)),IF(AND($S$3=TRUE,$S$4=TRUE),IF(OR($Q$4=TRUE,$Q$5=TRUE,$S$2=TRUE),VLOOKUP($G220,'KO Calc'!$H:$AW,28,FALSE),VLOOKUP($G220,'KO Calc'!$H226:$AW226,28,FALSE)))))))))))))</f>
        <v>-</v>
      </c>
      <c r="J220" s="36" t="str">
        <f>IF(AND($Q$1=FALSE,$S$3=FALSE),"-",IF(AND($Q$1=TRUE,$S$3=TRUE),"-",IF(AND($Q$1=FALSE,$S$3=FALSE),"-",IF(AND($Q$1=TRUE,$S$1=TRUE,$S$4=FALSE)=TRUE,IF(OR($Q$4=TRUE,$Q$5=TRUE,$S$2=TRUE),VLOOKUP($G220,'KO Calc'!$H:$AW,FALSE),VLOOKUP($G220,'KO Calc'!$H226:$AW226,14,FALSE)),IF(AND($Q$1=TRUE,$S$4=FALSE),IF(OR($Q$4=TRUE,$Q$5=TRUE,$S$2=TRUE),VLOOKUP($G220,'KO Calc'!$H:$AW,4,FALSE),VLOOKUP($G220,'KO Calc'!$H226:$AW226,4,FALSE)),
IF(AND($Q$1=TRUE,$S$1=TRUE,$S$4=TRUE)=TRUE,IF(OR($Q$4=TRUE,$Q$5=TRUE,$S$2=TRUE),VLOOKUP($G220,'KO Calc'!$H:$AW,19,FALSE),VLOOKUP($G220,'KO Calc'!$H226:$AW226,19,FALSE)),IF(AND($Q$1=TRUE,$S$4=TRUE),IF(OR($Q$4=TRUE,$Q$5=TRUE,$S$2=TRUE),VLOOKUP($G220,'KO Calc'!$H:$AW,9,FALSE),VLOOKUP($G220,'KO Calc'!$H226:$AW226,9,FALSE)),
IF(AND($S$3=TRUE,$S$1=TRUE,$S$4=FALSE)=TRUE,IF(OR($Q$4=TRUE,$Q$5=TRUE,$S$2=TRUE),VLOOKUP($G220,'KO Calc'!$H:$AW,34,FALSE),VLOOKUP($G220,'KO Calc'!$H226:$AW226,34,FALSE)),IF(AND($S$3=TRUE,$S$4=FALSE),IF(OR($Q$4=TRUE,$Q$5=TRUE,$S$2=TRUE),VLOOKUP($G220,'KO Calc'!$H:$AW,24,FALSE),VLOOKUP($G220,'KO Calc'!$H226:$AW226,24,FALSE)),
IF(AND($S$3=TRUE,$S$1=TRUE,$S$4=TRUE)=TRUE,IF(OR($Q$4=TRUE,$Q$5=TRUE,$S$2=TRUE),VLOOKUP($G220,'KO Calc'!$H:$AW,39,FALSE),VLOOKUP($G220,'KO Calc'!$H226:$AW226,39,FALSE)),IF(AND($S$3=TRUE,$S$4=TRUE),IF(OR($Q$4=TRUE,$Q$5=TRUE,$S$2=TRUE),VLOOKUP($G220,'KO Calc'!$H:$AW,29,FALSE),VLOOKUP($G220,'KO Calc'!$H226:$AW226,29,FALSE)))))))))))))</f>
        <v>-</v>
      </c>
      <c r="K220" s="36" t="str">
        <f>IF(AND($Q$1=FALSE,$S$3=FALSE),"-",IF(AND($Q$1=TRUE,$S$3=TRUE),"-",IF(AND($Q$1=FALSE,$S$3=FALSE),"-",IF(AND($Q$1=TRUE,$S$1=TRUE,$S$4=FALSE)=TRUE,IF(OR($Q$4=TRUE,$Q$5=TRUE,$S$2=TRUE),VLOOKUP($G220,'KO Calc'!$H:$AW,15,FALSE),VLOOKUP($G220,'KO Calc'!$H226:$AW226,15,FALSE)),IF(AND($Q$1=TRUE,$S$4=FALSE),IF(OR($Q$4=TRUE,$Q$5=TRUE,$S$2=TRUE),VLOOKUP($G220,'KO Calc'!$H:$AW,5,FALSE),VLOOKUP($G220,'KO Calc'!$H226:$AW226,5,FALSE)),
IF(AND($Q$1=TRUE,$S$1=TRUE,$S$4=TRUE)=TRUE,IF(OR($Q$4=TRUE,$Q$5=TRUE,$S$2=TRUE),VLOOKUP($G220,'KO Calc'!$H:$AW,20,FALSE),VLOOKUP($G220,'KO Calc'!$H226:$AW226,20,FALSE)),IF(AND($Q$1=TRUE,$S$4=TRUE),IF(OR($Q$4=TRUE,$Q$5=TRUE,$S$2=TRUE),VLOOKUP($G220,'KO Calc'!$H:$AW,10,FALSE),VLOOKUP($G220,'KO Calc'!$H226:$AW226,10,FALSE)),
IF(AND($S$3=TRUE,$S$1=TRUE,$S$4=FALSE)=TRUE,IF(OR($Q$4=TRUE,$Q$5=TRUE,$S$2=TRUE),VLOOKUP($G220,'KO Calc'!$H:$AW,35,FALSE),VLOOKUP($G220,'KO Calc'!$H226:$AW226,35,FALSE)),IF(AND($S$3=TRUE,$S$4=FALSE),IF(OR($Q$4=TRUE,$Q$5=TRUE,$S$2=TRUE),VLOOKUP($G220,'KO Calc'!$H:$AW,25,FALSE),VLOOKUP($G220,'KO Calc'!$H226:$AW226,25,FALSE)),
IF(AND($S$3=TRUE,$S$1=TRUE,$S$4=TRUE)=TRUE,IF(OR($Q$4=TRUE,$Q$5=TRUE,$S$2=TRUE),VLOOKUP($G220,'KO Calc'!$H:$AW,40,FALSE),VLOOKUP($G220,'KO Calc'!$H226:$AW226,40,FALSE)),IF(AND($S$3=TRUE,$S$4=TRUE),IF(OR($Q$4=TRUE,$Q$5=TRUE,$S$2=TRUE),VLOOKUP($G220,'KO Calc'!$H:$AW,30,FALSE),VLOOKUP($G220,'KO Calc'!$H226:$AW226,30,FALSE)))))))))))))</f>
        <v>-</v>
      </c>
      <c r="L220" s="36" t="str">
        <f>IFERROR(IF(AND($Q$1=FALSE,$S$3=FALSE),"-",VLOOKUP($E220,'Status Thresholds'!$E:$AU,41,FALSE)),"-")</f>
        <v>-</v>
      </c>
      <c r="M220" s="36" t="str">
        <f>IFERROR(IF(AND($Q$1=FALSE,$S$3=FALSE),"-",VLOOKUP($E220,'Status Thresholds'!$E:$AU,42,FALSE)),"-")</f>
        <v>-</v>
      </c>
      <c r="N220" s="36" t="str">
        <f>IFERROR(IF(AND($Q$1=FALSE,$S$3=FALSE),"-",VLOOKUP($E220,'Status Thresholds'!$E:$AU,43,FALSE)),"-")</f>
        <v>-</v>
      </c>
    </row>
    <row r="221" spans="1:14" x14ac:dyDescent="0.25">
      <c r="B221" s="64" t="str">
        <f>VLOOKUP(C221,'Status Thresholds'!B:C,2,FALSE)</f>
        <v>Deviant</v>
      </c>
      <c r="C221" s="46" t="str">
        <f>IF(ISBLANK('KO Calc'!C217)=TRUE,"",'KO Calc'!C217)</f>
        <v>Deadeye Yian Garuga</v>
      </c>
      <c r="D221" s="78" t="s">
        <v>207</v>
      </c>
      <c r="E221" s="62" t="str">
        <f t="shared" si="7"/>
        <v>Deadeye Yian GarugaShock Trap</v>
      </c>
      <c r="F221" t="s">
        <v>13</v>
      </c>
      <c r="G221" s="36" t="str">
        <f t="shared" ref="G221:G292" si="8">C221&amp;F221</f>
        <v>Deadeye Yian GarugaCrag 3</v>
      </c>
      <c r="H221" s="36" t="str">
        <f>IF(AND($Q$1=FALSE,$S$3=FALSE),"-",IF(AND($Q$1=TRUE,$S$3=TRUE),"-",IF(AND($Q$1=FALSE,$S$3=FALSE),"-",IF(AND($Q$1=TRUE,$S$1=TRUE,$S$4=FALSE)=TRUE,IF(OR($Q$4=TRUE,$Q$5=TRUE,$S$2=TRUE),VLOOKUP($G221,'KO Calc'!$H:$AW,12,FALSE),VLOOKUP($G221,'KO Calc'!$H227:$AW227,12,FALSE)),IF(AND($Q$1=TRUE,$S$4=FALSE),IF(OR($Q$4=TRUE,$Q$5=TRUE,$S$2=TRUE),VLOOKUP($G221,'KO Calc'!$H:$AW,2,FALSE),VLOOKUP($G221,'KO Calc'!$H227:$AW227,2,FALSE)),
IF(AND($Q$1=TRUE,$S$1=TRUE,$S$4=TRUE)=TRUE,IF(OR($Q$4=TRUE,$Q$5=TRUE,$S$2=TRUE),VLOOKUP($G221,'KO Calc'!$H:$AW,17,FALSE),VLOOKUP($G221,'KO Calc'!$H227:$AW227,17,FALSE)),IF(AND($Q$1=TRUE,$S$4=TRUE),IF(OR($Q$4=TRUE,$Q$5=TRUE,$S$2=TRUE),VLOOKUP($G221,'KO Calc'!$H:$AW,7,FALSE),VLOOKUP($G221,'KO Calc'!$H227:$AW227,7,FALSE)),
IF(AND($S$3=TRUE,$S$1=TRUE,$S$4=FALSE)=TRUE,IF(OR($Q$4=TRUE,$Q$5=TRUE,$S$2=TRUE),VLOOKUP($G221,'KO Calc'!$H:$AW,32,FALSE),VLOOKUP($G221,'KO Calc'!$H227:$AW227,32,FALSE)),IF(AND($S$3=TRUE,$S$4=FALSE),IF(OR($Q$4=TRUE,$Q$5=TRUE,$S$2=TRUE),VLOOKUP($G221,'KO Calc'!$H:$AW,22,FALSE),VLOOKUP($G221,'KO Calc'!$H227:$AW227,22,FALSE)),
IF(AND($S$3=TRUE,$S$1=TRUE,$S$4=TRUE)=TRUE,IF(OR($Q$4=TRUE,$Q$5=TRUE,$S$2=TRUE),VLOOKUP($G221,'KO Calc'!$H:$AW,37,FALSE),VLOOKUP($G221,'KO Calc'!$H227:$AW227,37,FALSE)),IF(AND($S$3=TRUE,$S$4=TRUE),IF(OR($Q$4=TRUE,$Q$5=TRUE,$S$2=TRUE),VLOOKUP($G221,'KO Calc'!$H:$AW,27,FALSE),VLOOKUP($G221,'KO Calc'!$H227:$AW227,27,FALSE)))))))))))))</f>
        <v>-</v>
      </c>
      <c r="I221" s="36" t="str">
        <f>IF(AND($Q$1=FALSE,$S$3=FALSE),"-",IF(AND($Q$1=TRUE,$S$3=TRUE),"-",IF(AND($Q$1=FALSE,$S$3=FALSE),"-",IF(AND($Q$1=TRUE,$S$1=TRUE,$S$4=FALSE)=TRUE,IF(OR($Q$4=TRUE,$Q$5=TRUE,$S$2=TRUE),VLOOKUP($G221,'KO Calc'!$H:$AW,13,FALSE),VLOOKUP($G221,'KO Calc'!$H227:$AW227,13,FALSE)),IF(AND($Q$1=TRUE,$S$4=FALSE),IF(OR($Q$4=TRUE,$Q$5=TRUE,$S$2=TRUE),VLOOKUP($G221,'KO Calc'!$H:$AW,3,FALSE),VLOOKUP($G221,'KO Calc'!$H227:$AW227,3,FALSE)),
IF(AND($Q$1=TRUE,$S$1=TRUE,$S$4=TRUE)=TRUE,IF(OR($Q$4=TRUE,$Q$5=TRUE,$S$2=TRUE),VLOOKUP($G221,'KO Calc'!$H:$AW,18,FALSE),VLOOKUP($G221,'KO Calc'!$H227:$AW227,18,FALSE)),IF(AND($Q$1=TRUE,$S$4=TRUE),IF(OR($Q$4=TRUE,$Q$5=TRUE,$S$2=TRUE),VLOOKUP($G221,'KO Calc'!$H:$AW,8,FALSE),VLOOKUP($G221,'KO Calc'!$H227:$AW227,8,FALSE)),
IF(AND($S$3=TRUE,$S$1=TRUE,$S$4=FALSE)=TRUE,IF(OR($Q$4=TRUE,$Q$5=TRUE,$S$2=TRUE),VLOOKUP($G221,'KO Calc'!$H:$AW,33,FALSE),VLOOKUP($G221,'KO Calc'!$H227:$AW227,33,FALSE)),IF(AND($S$3=TRUE,$S$4=FALSE),IF(OR($Q$4=TRUE,$Q$5=TRUE,$S$2=TRUE),VLOOKUP($G221,'KO Calc'!$H:$AW,23,FALSE),VLOOKUP($G221,'KO Calc'!$H227:$AW227,23,FALSE)),
IF(AND($S$3=TRUE,$S$1=TRUE,$S$4=TRUE)=TRUE,IF(OR($Q$4=TRUE,$Q$5=TRUE,$S$2=TRUE),VLOOKUP($G221,'KO Calc'!$H:$AW,38,FALSE),VLOOKUP($G221,'KO Calc'!$H227:$AW227,38,FALSE)),IF(AND($S$3=TRUE,$S$4=TRUE),IF(OR($Q$4=TRUE,$Q$5=TRUE,$S$2=TRUE),VLOOKUP($G221,'KO Calc'!$H:$AW,28,FALSE),VLOOKUP($G221,'KO Calc'!$H227:$AW227,28,FALSE)))))))))))))</f>
        <v>-</v>
      </c>
      <c r="J221" s="36" t="str">
        <f>IF(AND($Q$1=FALSE,$S$3=FALSE),"-",IF(AND($Q$1=TRUE,$S$3=TRUE),"-",IF(AND($Q$1=FALSE,$S$3=FALSE),"-",IF(AND($Q$1=TRUE,$S$1=TRUE,$S$4=FALSE)=TRUE,IF(OR($Q$4=TRUE,$Q$5=TRUE,$S$2=TRUE),VLOOKUP($G221,'KO Calc'!$H:$AW,FALSE),VLOOKUP($G221,'KO Calc'!$H227:$AW227,14,FALSE)),IF(AND($Q$1=TRUE,$S$4=FALSE),IF(OR($Q$4=TRUE,$Q$5=TRUE,$S$2=TRUE),VLOOKUP($G221,'KO Calc'!$H:$AW,4,FALSE),VLOOKUP($G221,'KO Calc'!$H227:$AW227,4,FALSE)),
IF(AND($Q$1=TRUE,$S$1=TRUE,$S$4=TRUE)=TRUE,IF(OR($Q$4=TRUE,$Q$5=TRUE,$S$2=TRUE),VLOOKUP($G221,'KO Calc'!$H:$AW,19,FALSE),VLOOKUP($G221,'KO Calc'!$H227:$AW227,19,FALSE)),IF(AND($Q$1=TRUE,$S$4=TRUE),IF(OR($Q$4=TRUE,$Q$5=TRUE,$S$2=TRUE),VLOOKUP($G221,'KO Calc'!$H:$AW,9,FALSE),VLOOKUP($G221,'KO Calc'!$H227:$AW227,9,FALSE)),
IF(AND($S$3=TRUE,$S$1=TRUE,$S$4=FALSE)=TRUE,IF(OR($Q$4=TRUE,$Q$5=TRUE,$S$2=TRUE),VLOOKUP($G221,'KO Calc'!$H:$AW,34,FALSE),VLOOKUP($G221,'KO Calc'!$H227:$AW227,34,FALSE)),IF(AND($S$3=TRUE,$S$4=FALSE),IF(OR($Q$4=TRUE,$Q$5=TRUE,$S$2=TRUE),VLOOKUP($G221,'KO Calc'!$H:$AW,24,FALSE),VLOOKUP($G221,'KO Calc'!$H227:$AW227,24,FALSE)),
IF(AND($S$3=TRUE,$S$1=TRUE,$S$4=TRUE)=TRUE,IF(OR($Q$4=TRUE,$Q$5=TRUE,$S$2=TRUE),VLOOKUP($G221,'KO Calc'!$H:$AW,39,FALSE),VLOOKUP($G221,'KO Calc'!$H227:$AW227,39,FALSE)),IF(AND($S$3=TRUE,$S$4=TRUE),IF(OR($Q$4=TRUE,$Q$5=TRUE,$S$2=TRUE),VLOOKUP($G221,'KO Calc'!$H:$AW,29,FALSE),VLOOKUP($G221,'KO Calc'!$H227:$AW227,29,FALSE)))))))))))))</f>
        <v>-</v>
      </c>
      <c r="K221" s="36" t="str">
        <f>IF(AND($Q$1=FALSE,$S$3=FALSE),"-",IF(AND($Q$1=TRUE,$S$3=TRUE),"-",IF(AND($Q$1=FALSE,$S$3=FALSE),"-",IF(AND($Q$1=TRUE,$S$1=TRUE,$S$4=FALSE)=TRUE,IF(OR($Q$4=TRUE,$Q$5=TRUE,$S$2=TRUE),VLOOKUP($G221,'KO Calc'!$H:$AW,15,FALSE),VLOOKUP($G221,'KO Calc'!$H227:$AW227,15,FALSE)),IF(AND($Q$1=TRUE,$S$4=FALSE),IF(OR($Q$4=TRUE,$Q$5=TRUE,$S$2=TRUE),VLOOKUP($G221,'KO Calc'!$H:$AW,5,FALSE),VLOOKUP($G221,'KO Calc'!$H227:$AW227,5,FALSE)),
IF(AND($Q$1=TRUE,$S$1=TRUE,$S$4=TRUE)=TRUE,IF(OR($Q$4=TRUE,$Q$5=TRUE,$S$2=TRUE),VLOOKUP($G221,'KO Calc'!$H:$AW,20,FALSE),VLOOKUP($G221,'KO Calc'!$H227:$AW227,20,FALSE)),IF(AND($Q$1=TRUE,$S$4=TRUE),IF(OR($Q$4=TRUE,$Q$5=TRUE,$S$2=TRUE),VLOOKUP($G221,'KO Calc'!$H:$AW,10,FALSE),VLOOKUP($G221,'KO Calc'!$H227:$AW227,10,FALSE)),
IF(AND($S$3=TRUE,$S$1=TRUE,$S$4=FALSE)=TRUE,IF(OR($Q$4=TRUE,$Q$5=TRUE,$S$2=TRUE),VLOOKUP($G221,'KO Calc'!$H:$AW,35,FALSE),VLOOKUP($G221,'KO Calc'!$H227:$AW227,35,FALSE)),IF(AND($S$3=TRUE,$S$4=FALSE),IF(OR($Q$4=TRUE,$Q$5=TRUE,$S$2=TRUE),VLOOKUP($G221,'KO Calc'!$H:$AW,25,FALSE),VLOOKUP($G221,'KO Calc'!$H227:$AW227,25,FALSE)),
IF(AND($S$3=TRUE,$S$1=TRUE,$S$4=TRUE)=TRUE,IF(OR($Q$4=TRUE,$Q$5=TRUE,$S$2=TRUE),VLOOKUP($G221,'KO Calc'!$H:$AW,40,FALSE),VLOOKUP($G221,'KO Calc'!$H227:$AW227,40,FALSE)),IF(AND($S$3=TRUE,$S$4=TRUE),IF(OR($Q$4=TRUE,$Q$5=TRUE,$S$2=TRUE),VLOOKUP($G221,'KO Calc'!$H:$AW,30,FALSE),VLOOKUP($G221,'KO Calc'!$H227:$AW227,30,FALSE)))))))))))))</f>
        <v>-</v>
      </c>
      <c r="L221" s="36" t="str">
        <f>IFERROR(IF(AND($Q$1=FALSE,$S$3=FALSE),"-",VLOOKUP($E221,'Status Thresholds'!$E:$AU,43,FALSE)),"-")</f>
        <v>-</v>
      </c>
      <c r="M221" s="36" t="str">
        <f>IFERROR(IF(AND($Q$1=FALSE,$S$3=FALSE),"-",VLOOKUP($E221,'Status Thresholds'!$E:$AU,41,FALSE)),"-")</f>
        <v>-</v>
      </c>
      <c r="N221" s="36" t="str">
        <f>IFERROR(IF(AND($Q$1=FALSE,$S$3=FALSE),"-",VLOOKUP($E221,'Status Thresholds'!$E:$AU,42,FALSE)),"-")</f>
        <v>-</v>
      </c>
    </row>
    <row r="222" spans="1:14" x14ac:dyDescent="0.25">
      <c r="B222" s="64" t="str">
        <f>VLOOKUP(C222,'Status Thresholds'!B:C,2,FALSE)</f>
        <v>Deviant</v>
      </c>
      <c r="C222" s="46" t="str">
        <f>IF(ISBLANK('KO Calc'!C218)=TRUE,"",'KO Calc'!C218)</f>
        <v>Deadeye Yian Garuga</v>
      </c>
      <c r="D222" s="78" t="s">
        <v>213</v>
      </c>
      <c r="E222" s="62" t="str">
        <f t="shared" si="7"/>
        <v>Deadeye Yian GarugaPitfall Trap</v>
      </c>
      <c r="F222" t="s">
        <v>12</v>
      </c>
      <c r="G222" s="36" t="str">
        <f t="shared" si="8"/>
        <v>Deadeye Yian GarugaCrag 2</v>
      </c>
      <c r="H222" s="36" t="str">
        <f>IF(AND($Q$1=FALSE,$S$3=FALSE),"-",IF(AND($Q$1=TRUE,$S$3=TRUE),"-",IF(AND($Q$1=FALSE,$S$3=FALSE),"-",IF(AND($Q$1=TRUE,$S$1=TRUE,$S$4=FALSE)=TRUE,IF(OR($Q$4=TRUE,$Q$5=TRUE,$S$2=TRUE),VLOOKUP($G222,'KO Calc'!$H:$AW,12,FALSE),VLOOKUP($G222,'KO Calc'!$H228:$AW228,12,FALSE)),IF(AND($Q$1=TRUE,$S$4=FALSE),IF(OR($Q$4=TRUE,$Q$5=TRUE,$S$2=TRUE),VLOOKUP($G222,'KO Calc'!$H:$AW,2,FALSE),VLOOKUP($G222,'KO Calc'!$H228:$AW228,2,FALSE)),
IF(AND($Q$1=TRUE,$S$1=TRUE,$S$4=TRUE)=TRUE,IF(OR($Q$4=TRUE,$Q$5=TRUE,$S$2=TRUE),VLOOKUP($G222,'KO Calc'!$H:$AW,17,FALSE),VLOOKUP($G222,'KO Calc'!$H228:$AW228,17,FALSE)),IF(AND($Q$1=TRUE,$S$4=TRUE),IF(OR($Q$4=TRUE,$Q$5=TRUE,$S$2=TRUE),VLOOKUP($G222,'KO Calc'!$H:$AW,7,FALSE),VLOOKUP($G222,'KO Calc'!$H228:$AW228,7,FALSE)),
IF(AND($S$3=TRUE,$S$1=TRUE,$S$4=FALSE)=TRUE,IF(OR($Q$4=TRUE,$Q$5=TRUE,$S$2=TRUE),VLOOKUP($G222,'KO Calc'!$H:$AW,32,FALSE),VLOOKUP($G222,'KO Calc'!$H228:$AW228,32,FALSE)),IF(AND($S$3=TRUE,$S$4=FALSE),IF(OR($Q$4=TRUE,$Q$5=TRUE,$S$2=TRUE),VLOOKUP($G222,'KO Calc'!$H:$AW,22,FALSE),VLOOKUP($G222,'KO Calc'!$H228:$AW228,22,FALSE)),
IF(AND($S$3=TRUE,$S$1=TRUE,$S$4=TRUE)=TRUE,IF(OR($Q$4=TRUE,$Q$5=TRUE,$S$2=TRUE),VLOOKUP($G222,'KO Calc'!$H:$AW,37,FALSE),VLOOKUP($G222,'KO Calc'!$H228:$AW228,37,FALSE)),IF(AND($S$3=TRUE,$S$4=TRUE),IF(OR($Q$4=TRUE,$Q$5=TRUE,$S$2=TRUE),VLOOKUP($G222,'KO Calc'!$H:$AW,27,FALSE),VLOOKUP($G222,'KO Calc'!$H228:$AW228,27,FALSE)))))))))))))</f>
        <v>-</v>
      </c>
      <c r="I222" s="36" t="str">
        <f>IF(AND($Q$1=FALSE,$S$3=FALSE),"-",IF(AND($Q$1=TRUE,$S$3=TRUE),"-",IF(AND($Q$1=FALSE,$S$3=FALSE),"-",IF(AND($Q$1=TRUE,$S$1=TRUE,$S$4=FALSE)=TRUE,IF(OR($Q$4=TRUE,$Q$5=TRUE,$S$2=TRUE),VLOOKUP($G222,'KO Calc'!$H:$AW,13,FALSE),VLOOKUP($G222,'KO Calc'!$H228:$AW228,13,FALSE)),IF(AND($Q$1=TRUE,$S$4=FALSE),IF(OR($Q$4=TRUE,$Q$5=TRUE,$S$2=TRUE),VLOOKUP($G222,'KO Calc'!$H:$AW,3,FALSE),VLOOKUP($G222,'KO Calc'!$H228:$AW228,3,FALSE)),
IF(AND($Q$1=TRUE,$S$1=TRUE,$S$4=TRUE)=TRUE,IF(OR($Q$4=TRUE,$Q$5=TRUE,$S$2=TRUE),VLOOKUP($G222,'KO Calc'!$H:$AW,18,FALSE),VLOOKUP($G222,'KO Calc'!$H228:$AW228,18,FALSE)),IF(AND($Q$1=TRUE,$S$4=TRUE),IF(OR($Q$4=TRUE,$Q$5=TRUE,$S$2=TRUE),VLOOKUP($G222,'KO Calc'!$H:$AW,8,FALSE),VLOOKUP($G222,'KO Calc'!$H228:$AW228,8,FALSE)),
IF(AND($S$3=TRUE,$S$1=TRUE,$S$4=FALSE)=TRUE,IF(OR($Q$4=TRUE,$Q$5=TRUE,$S$2=TRUE),VLOOKUP($G222,'KO Calc'!$H:$AW,33,FALSE),VLOOKUP($G222,'KO Calc'!$H228:$AW228,33,FALSE)),IF(AND($S$3=TRUE,$S$4=FALSE),IF(OR($Q$4=TRUE,$Q$5=TRUE,$S$2=TRUE),VLOOKUP($G222,'KO Calc'!$H:$AW,23,FALSE),VLOOKUP($G222,'KO Calc'!$H228:$AW228,23,FALSE)),
IF(AND($S$3=TRUE,$S$1=TRUE,$S$4=TRUE)=TRUE,IF(OR($Q$4=TRUE,$Q$5=TRUE,$S$2=TRUE),VLOOKUP($G222,'KO Calc'!$H:$AW,38,FALSE),VLOOKUP($G222,'KO Calc'!$H228:$AW228,38,FALSE)),IF(AND($S$3=TRUE,$S$4=TRUE),IF(OR($Q$4=TRUE,$Q$5=TRUE,$S$2=TRUE),VLOOKUP($G222,'KO Calc'!$H:$AW,28,FALSE),VLOOKUP($G222,'KO Calc'!$H228:$AW228,28,FALSE)))))))))))))</f>
        <v>-</v>
      </c>
      <c r="J222" s="36" t="str">
        <f>IF(AND($Q$1=FALSE,$S$3=FALSE),"-",IF(AND($Q$1=TRUE,$S$3=TRUE),"-",IF(AND($Q$1=FALSE,$S$3=FALSE),"-",IF(AND($Q$1=TRUE,$S$1=TRUE,$S$4=FALSE)=TRUE,IF(OR($Q$4=TRUE,$Q$5=TRUE,$S$2=TRUE),VLOOKUP($G222,'KO Calc'!$H:$AW,FALSE),VLOOKUP($G222,'KO Calc'!$H228:$AW228,14,FALSE)),IF(AND($Q$1=TRUE,$S$4=FALSE),IF(OR($Q$4=TRUE,$Q$5=TRUE,$S$2=TRUE),VLOOKUP($G222,'KO Calc'!$H:$AW,4,FALSE),VLOOKUP($G222,'KO Calc'!$H228:$AW228,4,FALSE)),
IF(AND($Q$1=TRUE,$S$1=TRUE,$S$4=TRUE)=TRUE,IF(OR($Q$4=TRUE,$Q$5=TRUE,$S$2=TRUE),VLOOKUP($G222,'KO Calc'!$H:$AW,19,FALSE),VLOOKUP($G222,'KO Calc'!$H228:$AW228,19,FALSE)),IF(AND($Q$1=TRUE,$S$4=TRUE),IF(OR($Q$4=TRUE,$Q$5=TRUE,$S$2=TRUE),VLOOKUP($G222,'KO Calc'!$H:$AW,9,FALSE),VLOOKUP($G222,'KO Calc'!$H228:$AW228,9,FALSE)),
IF(AND($S$3=TRUE,$S$1=TRUE,$S$4=FALSE)=TRUE,IF(OR($Q$4=TRUE,$Q$5=TRUE,$S$2=TRUE),VLOOKUP($G222,'KO Calc'!$H:$AW,34,FALSE),VLOOKUP($G222,'KO Calc'!$H228:$AW228,34,FALSE)),IF(AND($S$3=TRUE,$S$4=FALSE),IF(OR($Q$4=TRUE,$Q$5=TRUE,$S$2=TRUE),VLOOKUP($G222,'KO Calc'!$H:$AW,24,FALSE),VLOOKUP($G222,'KO Calc'!$H228:$AW228,24,FALSE)),
IF(AND($S$3=TRUE,$S$1=TRUE,$S$4=TRUE)=TRUE,IF(OR($Q$4=TRUE,$Q$5=TRUE,$S$2=TRUE),VLOOKUP($G222,'KO Calc'!$H:$AW,39,FALSE),VLOOKUP($G222,'KO Calc'!$H228:$AW228,39,FALSE)),IF(AND($S$3=TRUE,$S$4=TRUE),IF(OR($Q$4=TRUE,$Q$5=TRUE,$S$2=TRUE),VLOOKUP($G222,'KO Calc'!$H:$AW,29,FALSE),VLOOKUP($G222,'KO Calc'!$H228:$AW228,29,FALSE)))))))))))))</f>
        <v>-</v>
      </c>
      <c r="K222" s="36" t="str">
        <f>IF(AND($Q$1=FALSE,$S$3=FALSE),"-",IF(AND($Q$1=TRUE,$S$3=TRUE),"-",IF(AND($Q$1=FALSE,$S$3=FALSE),"-",IF(AND($Q$1=TRUE,$S$1=TRUE,$S$4=FALSE)=TRUE,IF(OR($Q$4=TRUE,$Q$5=TRUE,$S$2=TRUE),VLOOKUP($G222,'KO Calc'!$H:$AW,15,FALSE),VLOOKUP($G222,'KO Calc'!$H228:$AW228,15,FALSE)),IF(AND($Q$1=TRUE,$S$4=FALSE),IF(OR($Q$4=TRUE,$Q$5=TRUE,$S$2=TRUE),VLOOKUP($G222,'KO Calc'!$H:$AW,5,FALSE),VLOOKUP($G222,'KO Calc'!$H228:$AW228,5,FALSE)),
IF(AND($Q$1=TRUE,$S$1=TRUE,$S$4=TRUE)=TRUE,IF(OR($Q$4=TRUE,$Q$5=TRUE,$S$2=TRUE),VLOOKUP($G222,'KO Calc'!$H:$AW,20,FALSE),VLOOKUP($G222,'KO Calc'!$H228:$AW228,20,FALSE)),IF(AND($Q$1=TRUE,$S$4=TRUE),IF(OR($Q$4=TRUE,$Q$5=TRUE,$S$2=TRUE),VLOOKUP($G222,'KO Calc'!$H:$AW,10,FALSE),VLOOKUP($G222,'KO Calc'!$H228:$AW228,10,FALSE)),
IF(AND($S$3=TRUE,$S$1=TRUE,$S$4=FALSE)=TRUE,IF(OR($Q$4=TRUE,$Q$5=TRUE,$S$2=TRUE),VLOOKUP($G222,'KO Calc'!$H:$AW,35,FALSE),VLOOKUP($G222,'KO Calc'!$H228:$AW228,35,FALSE)),IF(AND($S$3=TRUE,$S$4=FALSE),IF(OR($Q$4=TRUE,$Q$5=TRUE,$S$2=TRUE),VLOOKUP($G222,'KO Calc'!$H:$AW,25,FALSE),VLOOKUP($G222,'KO Calc'!$H228:$AW228,25,FALSE)),
IF(AND($S$3=TRUE,$S$1=TRUE,$S$4=TRUE)=TRUE,IF(OR($Q$4=TRUE,$Q$5=TRUE,$S$2=TRUE),VLOOKUP($G222,'KO Calc'!$H:$AW,40,FALSE),VLOOKUP($G222,'KO Calc'!$H228:$AW228,40,FALSE)),IF(AND($S$3=TRUE,$S$4=TRUE),IF(OR($Q$4=TRUE,$Q$5=TRUE,$S$2=TRUE),VLOOKUP($G222,'KO Calc'!$H:$AW,30,FALSE),VLOOKUP($G222,'KO Calc'!$H228:$AW228,30,FALSE)))))))))))))</f>
        <v>-</v>
      </c>
      <c r="L222" s="36" t="str">
        <f>IFERROR(IF(AND($Q$1=FALSE,$S$3=FALSE),"-",VLOOKUP($E222,'Status Thresholds'!$E:$AU,43,FALSE)),"-")</f>
        <v>-</v>
      </c>
      <c r="M222" s="36" t="str">
        <f>IFERROR(IF(AND($Q$1=FALSE,$S$3=FALSE),"-",VLOOKUP($E222,'Status Thresholds'!$E:$AU,41,FALSE)),"-")</f>
        <v>-</v>
      </c>
      <c r="N222" s="36" t="str">
        <f>IFERROR(IF(AND($Q$1=FALSE,$S$3=FALSE),"-",VLOOKUP($E222,'Status Thresholds'!$E:$AU,42,FALSE)),"-")</f>
        <v>-</v>
      </c>
    </row>
    <row r="223" spans="1:14" x14ac:dyDescent="0.25">
      <c r="B223" s="64" t="str">
        <f>VLOOKUP(C223,'Status Thresholds'!B:C,2,FALSE)</f>
        <v>Deviant</v>
      </c>
      <c r="C223" s="46" t="str">
        <f>IF(ISBLANK('KO Calc'!C219)=TRUE,"",'KO Calc'!C219)</f>
        <v>Deadeye Yian Garuga</v>
      </c>
      <c r="D223" s="78"/>
      <c r="E223" s="62" t="str">
        <f t="shared" si="7"/>
        <v>Deadeye Yian Garuga</v>
      </c>
      <c r="F223" t="s">
        <v>11</v>
      </c>
      <c r="G223" s="36" t="str">
        <f t="shared" si="8"/>
        <v>Deadeye Yian GarugaCrag 1</v>
      </c>
      <c r="H223" s="36" t="str">
        <f>IF(AND($Q$1=FALSE,$S$3=FALSE),"-",IF(AND($Q$1=TRUE,$S$3=TRUE),"-",IF(AND($Q$1=FALSE,$S$3=FALSE),"-",IF(AND($Q$1=TRUE,$S$1=TRUE,$S$4=FALSE)=TRUE,IF(OR($Q$4=TRUE,$Q$5=TRUE,$S$2=TRUE),VLOOKUP($G223,'KO Calc'!$H:$AW,12,FALSE),VLOOKUP($G223,'KO Calc'!$H229:$AW229,12,FALSE)),IF(AND($Q$1=TRUE,$S$4=FALSE),IF(OR($Q$4=TRUE,$Q$5=TRUE,$S$2=TRUE),VLOOKUP($G223,'KO Calc'!$H:$AW,2,FALSE),VLOOKUP($G223,'KO Calc'!$H229:$AW229,2,FALSE)),
IF(AND($Q$1=TRUE,$S$1=TRUE,$S$4=TRUE)=TRUE,IF(OR($Q$4=TRUE,$Q$5=TRUE,$S$2=TRUE),VLOOKUP($G223,'KO Calc'!$H:$AW,17,FALSE),VLOOKUP($G223,'KO Calc'!$H229:$AW229,17,FALSE)),IF(AND($Q$1=TRUE,$S$4=TRUE),IF(OR($Q$4=TRUE,$Q$5=TRUE,$S$2=TRUE),VLOOKUP($G223,'KO Calc'!$H:$AW,7,FALSE),VLOOKUP($G223,'KO Calc'!$H229:$AW229,7,FALSE)),
IF(AND($S$3=TRUE,$S$1=TRUE,$S$4=FALSE)=TRUE,IF(OR($Q$4=TRUE,$Q$5=TRUE,$S$2=TRUE),VLOOKUP($G223,'KO Calc'!$H:$AW,32,FALSE),VLOOKUP($G223,'KO Calc'!$H229:$AW229,32,FALSE)),IF(AND($S$3=TRUE,$S$4=FALSE),IF(OR($Q$4=TRUE,$Q$5=TRUE,$S$2=TRUE),VLOOKUP($G223,'KO Calc'!$H:$AW,22,FALSE),VLOOKUP($G223,'KO Calc'!$H229:$AW229,22,FALSE)),
IF(AND($S$3=TRUE,$S$1=TRUE,$S$4=TRUE)=TRUE,IF(OR($Q$4=TRUE,$Q$5=TRUE,$S$2=TRUE),VLOOKUP($G223,'KO Calc'!$H:$AW,37,FALSE),VLOOKUP($G223,'KO Calc'!$H229:$AW229,37,FALSE)),IF(AND($S$3=TRUE,$S$4=TRUE),IF(OR($Q$4=TRUE,$Q$5=TRUE,$S$2=TRUE),VLOOKUP($G223,'KO Calc'!$H:$AW,27,FALSE),VLOOKUP($G223,'KO Calc'!$H229:$AW229,27,FALSE)))))))))))))</f>
        <v>-</v>
      </c>
      <c r="I223" s="36" t="str">
        <f>IF(AND($Q$1=FALSE,$S$3=FALSE),"-",IF(AND($Q$1=TRUE,$S$3=TRUE),"-",IF(AND($Q$1=FALSE,$S$3=FALSE),"-",IF(AND($Q$1=TRUE,$S$1=TRUE,$S$4=FALSE)=TRUE,IF(OR($Q$4=TRUE,$Q$5=TRUE,$S$2=TRUE),VLOOKUP($G223,'KO Calc'!$H:$AW,13,FALSE),VLOOKUP($G223,'KO Calc'!$H229:$AW229,13,FALSE)),IF(AND($Q$1=TRUE,$S$4=FALSE),IF(OR($Q$4=TRUE,$Q$5=TRUE,$S$2=TRUE),VLOOKUP($G223,'KO Calc'!$H:$AW,3,FALSE),VLOOKUP($G223,'KO Calc'!$H229:$AW229,3,FALSE)),
IF(AND($Q$1=TRUE,$S$1=TRUE,$S$4=TRUE)=TRUE,IF(OR($Q$4=TRUE,$Q$5=TRUE,$S$2=TRUE),VLOOKUP($G223,'KO Calc'!$H:$AW,18,FALSE),VLOOKUP($G223,'KO Calc'!$H229:$AW229,18,FALSE)),IF(AND($Q$1=TRUE,$S$4=TRUE),IF(OR($Q$4=TRUE,$Q$5=TRUE,$S$2=TRUE),VLOOKUP($G223,'KO Calc'!$H:$AW,8,FALSE),VLOOKUP($G223,'KO Calc'!$H229:$AW229,8,FALSE)),
IF(AND($S$3=TRUE,$S$1=TRUE,$S$4=FALSE)=TRUE,IF(OR($Q$4=TRUE,$Q$5=TRUE,$S$2=TRUE),VLOOKUP($G223,'KO Calc'!$H:$AW,33,FALSE),VLOOKUP($G223,'KO Calc'!$H229:$AW229,33,FALSE)),IF(AND($S$3=TRUE,$S$4=FALSE),IF(OR($Q$4=TRUE,$Q$5=TRUE,$S$2=TRUE),VLOOKUP($G223,'KO Calc'!$H:$AW,23,FALSE),VLOOKUP($G223,'KO Calc'!$H229:$AW229,23,FALSE)),
IF(AND($S$3=TRUE,$S$1=TRUE,$S$4=TRUE)=TRUE,IF(OR($Q$4=TRUE,$Q$5=TRUE,$S$2=TRUE),VLOOKUP($G223,'KO Calc'!$H:$AW,38,FALSE),VLOOKUP($G223,'KO Calc'!$H229:$AW229,38,FALSE)),IF(AND($S$3=TRUE,$S$4=TRUE),IF(OR($Q$4=TRUE,$Q$5=TRUE,$S$2=TRUE),VLOOKUP($G223,'KO Calc'!$H:$AW,28,FALSE),VLOOKUP($G223,'KO Calc'!$H229:$AW229,28,FALSE)))))))))))))</f>
        <v>-</v>
      </c>
      <c r="J223" s="36" t="str">
        <f>IF(AND($Q$1=FALSE,$S$3=FALSE),"-",IF(AND($Q$1=TRUE,$S$3=TRUE),"-",IF(AND($Q$1=FALSE,$S$3=FALSE),"-",IF(AND($Q$1=TRUE,$S$1=TRUE,$S$4=FALSE)=TRUE,IF(OR($Q$4=TRUE,$Q$5=TRUE,$S$2=TRUE),VLOOKUP($G223,'KO Calc'!$H:$AW,FALSE),VLOOKUP($G223,'KO Calc'!$H229:$AW229,14,FALSE)),IF(AND($Q$1=TRUE,$S$4=FALSE),IF(OR($Q$4=TRUE,$Q$5=TRUE,$S$2=TRUE),VLOOKUP($G223,'KO Calc'!$H:$AW,4,FALSE),VLOOKUP($G223,'KO Calc'!$H229:$AW229,4,FALSE)),
IF(AND($Q$1=TRUE,$S$1=TRUE,$S$4=TRUE)=TRUE,IF(OR($Q$4=TRUE,$Q$5=TRUE,$S$2=TRUE),VLOOKUP($G223,'KO Calc'!$H:$AW,19,FALSE),VLOOKUP($G223,'KO Calc'!$H229:$AW229,19,FALSE)),IF(AND($Q$1=TRUE,$S$4=TRUE),IF(OR($Q$4=TRUE,$Q$5=TRUE,$S$2=TRUE),VLOOKUP($G223,'KO Calc'!$H:$AW,9,FALSE),VLOOKUP($G223,'KO Calc'!$H229:$AW229,9,FALSE)),
IF(AND($S$3=TRUE,$S$1=TRUE,$S$4=FALSE)=TRUE,IF(OR($Q$4=TRUE,$Q$5=TRUE,$S$2=TRUE),VLOOKUP($G223,'KO Calc'!$H:$AW,34,FALSE),VLOOKUP($G223,'KO Calc'!$H229:$AW229,34,FALSE)),IF(AND($S$3=TRUE,$S$4=FALSE),IF(OR($Q$4=TRUE,$Q$5=TRUE,$S$2=TRUE),VLOOKUP($G223,'KO Calc'!$H:$AW,24,FALSE),VLOOKUP($G223,'KO Calc'!$H229:$AW229,24,FALSE)),
IF(AND($S$3=TRUE,$S$1=TRUE,$S$4=TRUE)=TRUE,IF(OR($Q$4=TRUE,$Q$5=TRUE,$S$2=TRUE),VLOOKUP($G223,'KO Calc'!$H:$AW,39,FALSE),VLOOKUP($G223,'KO Calc'!$H229:$AW229,39,FALSE)),IF(AND($S$3=TRUE,$S$4=TRUE),IF(OR($Q$4=TRUE,$Q$5=TRUE,$S$2=TRUE),VLOOKUP($G223,'KO Calc'!$H:$AW,29,FALSE),VLOOKUP($G223,'KO Calc'!$H229:$AW229,29,FALSE)))))))))))))</f>
        <v>-</v>
      </c>
      <c r="K223" s="36" t="str">
        <f>IF(AND($Q$1=FALSE,$S$3=FALSE),"-",IF(AND($Q$1=TRUE,$S$3=TRUE),"-",IF(AND($Q$1=FALSE,$S$3=FALSE),"-",IF(AND($Q$1=TRUE,$S$1=TRUE,$S$4=FALSE)=TRUE,IF(OR($Q$4=TRUE,$Q$5=TRUE,$S$2=TRUE),VLOOKUP($G223,'KO Calc'!$H:$AW,15,FALSE),VLOOKUP($G223,'KO Calc'!$H229:$AW229,15,FALSE)),IF(AND($Q$1=TRUE,$S$4=FALSE),IF(OR($Q$4=TRUE,$Q$5=TRUE,$S$2=TRUE),VLOOKUP($G223,'KO Calc'!$H:$AW,5,FALSE),VLOOKUP($G223,'KO Calc'!$H229:$AW229,5,FALSE)),
IF(AND($Q$1=TRUE,$S$1=TRUE,$S$4=TRUE)=TRUE,IF(OR($Q$4=TRUE,$Q$5=TRUE,$S$2=TRUE),VLOOKUP($G223,'KO Calc'!$H:$AW,20,FALSE),VLOOKUP($G223,'KO Calc'!$H229:$AW229,20,FALSE)),IF(AND($Q$1=TRUE,$S$4=TRUE),IF(OR($Q$4=TRUE,$Q$5=TRUE,$S$2=TRUE),VLOOKUP($G223,'KO Calc'!$H:$AW,10,FALSE),VLOOKUP($G223,'KO Calc'!$H229:$AW229,10,FALSE)),
IF(AND($S$3=TRUE,$S$1=TRUE,$S$4=FALSE)=TRUE,IF(OR($Q$4=TRUE,$Q$5=TRUE,$S$2=TRUE),VLOOKUP($G223,'KO Calc'!$H:$AW,35,FALSE),VLOOKUP($G223,'KO Calc'!$H229:$AW229,35,FALSE)),IF(AND($S$3=TRUE,$S$4=FALSE),IF(OR($Q$4=TRUE,$Q$5=TRUE,$S$2=TRUE),VLOOKUP($G223,'KO Calc'!$H:$AW,25,FALSE),VLOOKUP($G223,'KO Calc'!$H229:$AW229,25,FALSE)),
IF(AND($S$3=TRUE,$S$1=TRUE,$S$4=TRUE)=TRUE,IF(OR($Q$4=TRUE,$Q$5=TRUE,$S$2=TRUE),VLOOKUP($G223,'KO Calc'!$H:$AW,40,FALSE),VLOOKUP($G223,'KO Calc'!$H229:$AW229,40,FALSE)),IF(AND($S$3=TRUE,$S$4=TRUE),IF(OR($Q$4=TRUE,$Q$5=TRUE,$S$2=TRUE),VLOOKUP($G223,'KO Calc'!$H:$AW,30,FALSE),VLOOKUP($G223,'KO Calc'!$H229:$AW229,30,FALSE)))))))))))))</f>
        <v>-</v>
      </c>
      <c r="L223" s="36" t="str">
        <f>IFERROR(VLOOKUP($E223,'Status Thresholds'!$E:$AS,41,FALSE),"-")</f>
        <v>-</v>
      </c>
    </row>
    <row r="224" spans="1:14" x14ac:dyDescent="0.25">
      <c r="B224" s="64" t="str">
        <f>VLOOKUP(C224,'Status Thresholds'!B:C,2,FALSE)</f>
        <v>Deviant</v>
      </c>
      <c r="C224" s="46" t="str">
        <f>IF(ISBLANK('KO Calc'!C220)=TRUE,"",'KO Calc'!C220)</f>
        <v>Deadeye Yian Garuga</v>
      </c>
      <c r="D224" s="78"/>
      <c r="E224" s="62"/>
      <c r="G224" s="36"/>
      <c r="L224" s="36" t="str">
        <f>IFERROR(VLOOKUP($E224,'Status Thresholds'!$E:$AS,41,FALSE),"-")</f>
        <v>-</v>
      </c>
    </row>
    <row r="225" spans="1:14" s="36" customFormat="1" x14ac:dyDescent="0.25">
      <c r="B225" s="64" t="str">
        <f>VLOOKUP(C225,'Status Thresholds'!B:C,2,FALSE)</f>
        <v>MHGen</v>
      </c>
      <c r="C225" s="46" t="str">
        <f>IF(ISBLANK('KO Calc'!C221)=TRUE,"",'KO Calc'!C221)</f>
        <v>Devil Jho</v>
      </c>
      <c r="D225" s="65" t="s">
        <v>0</v>
      </c>
      <c r="E225" s="62" t="str">
        <f t="shared" si="7"/>
        <v>Devil JhoPara</v>
      </c>
      <c r="F225" s="36" t="s">
        <v>2</v>
      </c>
      <c r="G225" s="36" t="str">
        <f t="shared" si="8"/>
        <v>Devil JhoPara lvl 2</v>
      </c>
      <c r="H225" s="36" t="str">
        <f>IFERROR(ROUNDUP(IF(AND($Q$1=FALSE,$S$3=FALSE),"-",IF(AND($Q$1=TRUE,$S$3=TRUE),"-",IF(AND($Q$1=TRUE,$S$1=TRUE,$S$4=FALSE),VLOOKUP($E225,'Status Thresholds'!$E:$AS,12,FALSE),IF(AND($Q$1=TRUE,$S$4=FALSE),VLOOKUP($E225,'Status Thresholds'!$E:$AS,2,FALSE), IF(AND($Q$1=TRUE,$S$1=TRUE,$S$4=TRUE),VLOOKUP($E225,'Status Thresholds'!$E:$AS,17,FALSE),IF(AND($Q$1=TRUE,$S$4=TRUE),VLOOKUP($E225,'Status Thresholds'!$E:$AS,7,FALSE),IF(AND($S$3=TRUE,$S$1=TRUE,$S$4=FALSE),VLOOKUP($E225,'Status Thresholds'!$E:$AS,32,FALSE),IF(AND($S$3=TRUE,$S$4=FALSE),VLOOKUP($E225,'Status Thresholds'!$E:$AS,22,FALSE),IF(AND($S$3=TRUE,$S$1=TRUE,$S$4=TRUE),VLOOKUP($E225,'Status Thresholds'!$E:$AS,37,FALSE),IF(AND($S$3=TRUE,$S$4=TRUE),VLOOKUP($E225,'Status Thresholds'!$E:$AS,27,FALSE),""))))))))/IF(OR($Q$3=TRUE,AND($Q$2=TRUE,$Q$7=TRUE),AND($Q$3=TRUE,$Q$7=TRUE))=TRUE,'Shots and Status'!$F$5,IF((OR($Q$2,$Q$7)=TRUE),'Shots and Status'!$D$5,'Shots and Status'!$C$5)))),0),"-")</f>
        <v>-</v>
      </c>
      <c r="I225" s="36" t="str">
        <f>IFERROR(ROUNDUP(IF(AND($Q$1=FALSE,$S$3=FALSE),"-",IF(AND($Q$1=TRUE,$S$3=TRUE),"-",IF(AND($Q$1=TRUE,$S$1=TRUE,$S$4=FALSE),VLOOKUP($E225,'Status Thresholds'!$E:$AS,13,FALSE),IF(AND($Q$1=TRUE,$S$4=FALSE),VLOOKUP($E225,'Status Thresholds'!$E:$AS,3,FALSE), IF(AND($Q$1=TRUE,$S$1=TRUE,$S$4=TRUE),VLOOKUP($E225,'Status Thresholds'!$E:$AS,18,FALSE),IF(AND($Q$1=TRUE,$S$4=TRUE),VLOOKUP($E225,'Status Thresholds'!$E:$AS,8,FALSE),IF(AND($S$3=TRUE,$S$1=TRUE,$S$4=FALSE),VLOOKUP($E225,'Status Thresholds'!$E:$AS,33,FALSE),IF(AND($S$3=TRUE,$S$4=FALSE),VLOOKUP($E225,'Status Thresholds'!$E:$AS,23,FALSE),IF(AND($S$3=TRUE,$S$1=TRUE,$S$4=TRUE),VLOOKUP($E225,'Status Thresholds'!$E:$AS,38,FALSE),IF(AND($S$3=TRUE,$S$4=TRUE),VLOOKUP($E225,'Status Thresholds'!$E:$AS,28,FALSE),""))))))))/IF(OR($Q$3=TRUE,AND($Q$2=TRUE,$Q$7=TRUE),AND($Q$3=TRUE,$Q$7=TRUE))=TRUE,'Shots and Status'!$F$5,IF((OR($Q$2,$Q$7)=TRUE),'Shots and Status'!$D$5,'Shots and Status'!$C$5)))),0),"-")</f>
        <v>-</v>
      </c>
      <c r="J225" s="36" t="str">
        <f>IFERROR(ROUNDUP(IF(AND($Q$1=FALSE,$S$3=FALSE),"-",IF(AND($Q$1=TRUE,$S$3=TRUE),"-",IF(AND($Q$1=TRUE,$S$1=TRUE,$S$4=FALSE),VLOOKUP($E225,'Status Thresholds'!$E:$AS,14,FALSE),IF(AND($Q$1=TRUE,$S$4=FALSE),VLOOKUP($E225,'Status Thresholds'!$E:$AS,4,FALSE), IF(AND($Q$1=TRUE,$S$1=TRUE,$S$4=TRUE),VLOOKUP($E225,'Status Thresholds'!$E:$AS,19,FALSE),IF(AND($Q$1=TRUE,$S$4=TRUE),VLOOKUP($E225,'Status Thresholds'!$E:$AS,9,FALSE),IF(AND($S$3=TRUE,$S$1=TRUE,$S$4=FALSE),VLOOKUP($E225,'Status Thresholds'!$E:$AS,34,FALSE),IF(AND($S$3=TRUE,$S$4=FALSE),VLOOKUP($E225,'Status Thresholds'!$E:$AS,24,FALSE),IF(AND($S$3=TRUE,$S$1=TRUE,$S$4=TRUE),VLOOKUP($E225,'Status Thresholds'!$E:$AS,39,FALSE),IF(AND($S$3=TRUE,$S$4=TRUE),VLOOKUP($E225,'Status Thresholds'!$E:$AS,29,FALSE),""))))))))/IF(OR($Q$3=TRUE,AND($Q$2=TRUE,$Q$7=TRUE),AND($Q$3=TRUE,$Q$7=TRUE))=TRUE,'Shots and Status'!$F$5,IF((OR($Q$2,$Q$7)=TRUE),'Shots and Status'!$D$5,'Shots and Status'!$C$5)))),0),"-")</f>
        <v>-</v>
      </c>
      <c r="K225" s="36" t="str">
        <f>IFERROR(ROUNDUP(IF(AND($Q$1=FALSE,$S$3=FALSE),"-",IF(AND($Q$1=TRUE,$S$3=TRUE),"-",IF(AND($Q$1=TRUE,$S$1=TRUE,$S$4=FALSE),VLOOKUP($E225,'Status Thresholds'!$E:$AS,15,FALSE),IF(AND($Q$1=TRUE,$S$4=FALSE),VLOOKUP($E225,'Status Thresholds'!$E:$AS,5,FALSE), IF(AND($Q$1=TRUE,$S$1=TRUE,$S$4=TRUE),VLOOKUP($E225,'Status Thresholds'!$E:$AS,20,FALSE),IF(AND($Q$1=TRUE,$S$4=TRUE),VLOOKUP($E225,'Status Thresholds'!$E:$AS,10,FALSE),IF(AND($S$3=TRUE,$S$1=TRUE,$S$4=FALSE),VLOOKUP($E225,'Status Thresholds'!$E:$AS,35,FALSE),IF(AND($S$3=TRUE,$S$4=FALSE),VLOOKUP($E225,'Status Thresholds'!$E:$AS,25,FALSE),IF(AND($S$3=TRUE,$S$1=TRUE,$S$4=TRUE),VLOOKUP($E225,'Status Thresholds'!$E:$AS,40,FALSE),IF(AND($S$3=TRUE,$S$4=TRUE),VLOOKUP($E225,'Status Thresholds'!$E:$AS,30,FALSE),""))))))))/IF(OR($Q$3=TRUE,AND($Q$2=TRUE,$Q$7=TRUE),AND($Q$3=TRUE,$Q$7=TRUE))=TRUE,'Shots and Status'!$F$5,IF((OR($Q$2,$Q$7)=TRUE),'Shots and Status'!$D$5,'Shots and Status'!$C$5)))),0),"-")</f>
        <v>-</v>
      </c>
      <c r="L225" s="36" t="str">
        <f>IFERROR(IF(AND($Q$1=FALSE,$S$3=FALSE),"-",VLOOKUP($E225,'Status Thresholds'!$E:$AU,41,FALSE)),"-")</f>
        <v>-</v>
      </c>
      <c r="M225" s="36" t="str">
        <f>IFERROR(IF(AND($Q$1=FALSE,$S$3=FALSE),"-",VLOOKUP($E225,'Status Thresholds'!$E:$AU,42,FALSE)),"-")</f>
        <v>-</v>
      </c>
      <c r="N225" s="36" t="str">
        <f>IFERROR(IF(AND($Q$1=FALSE,$S$3=FALSE),"-",VLOOKUP($E225,'Status Thresholds'!$E:$AU,43,FALSE)),"-")</f>
        <v>-</v>
      </c>
    </row>
    <row r="226" spans="1:14" s="59" customFormat="1" x14ac:dyDescent="0.25">
      <c r="A226" s="46"/>
      <c r="B226" s="64" t="str">
        <f>VLOOKUP(C226,'Status Thresholds'!B:C,2,FALSE)</f>
        <v>MHGen</v>
      </c>
      <c r="C226" s="46" t="str">
        <f>IF(ISBLANK('KO Calc'!C222)=TRUE,"",'KO Calc'!C222)</f>
        <v>Devil Jho</v>
      </c>
      <c r="D226" s="60" t="s">
        <v>32</v>
      </c>
      <c r="E226" s="62" t="str">
        <f t="shared" si="7"/>
        <v>Devil JhoSleep</v>
      </c>
      <c r="F226" s="59" t="s">
        <v>5</v>
      </c>
      <c r="G226" s="36" t="str">
        <f t="shared" si="8"/>
        <v>Devil JhoSleep lvl 2</v>
      </c>
      <c r="H226" s="36" t="str">
        <f>IFERROR(ROUNDUP(IF(AND($Q$1=FALSE,$S$3=FALSE),"-",IF(AND($Q$1=TRUE,$S$3=TRUE),"-",IF(AND($Q$1=TRUE,$S$1=TRUE,$S$4=FALSE),VLOOKUP($E226,'Status Thresholds'!$E:$AS,12,FALSE),IF(AND($Q$1=TRUE,$S$4=FALSE),VLOOKUP($E226,'Status Thresholds'!$E:$AS,2,FALSE), IF(AND($Q$1=TRUE,$S$1=TRUE,$S$4=TRUE),VLOOKUP($E226,'Status Thresholds'!$E:$AS,17,FALSE),IF(AND($Q$1=TRUE,$S$4=TRUE),VLOOKUP($E226,'Status Thresholds'!$E:$AS,7,FALSE),IF(AND($S$3=TRUE,$S$1=TRUE,$S$4=FALSE),VLOOKUP($E226,'Status Thresholds'!$E:$AS,32,FALSE),IF(AND($S$3=TRUE,$S$4=FALSE),VLOOKUP($E226,'Status Thresholds'!$E:$AS,22,FALSE),IF(AND($S$3=TRUE,$S$1=TRUE,$S$4=TRUE),VLOOKUP($E226,'Status Thresholds'!$E:$AS,37,FALSE),IF(AND($S$3=TRUE,$S$4=TRUE),VLOOKUP($E226,'Status Thresholds'!$E:$AS,27,FALSE),""))))))))/IF(OR($Q$3=TRUE,AND($Q$2=TRUE,$Q$7=TRUE),AND($Q$3=TRUE,$Q$7=TRUE))=TRUE,'Shots and Status'!$F$5,IF((OR($Q$2,$Q$7)=TRUE),'Shots and Status'!$D$5,'Shots and Status'!$C$5)))),0),"-")</f>
        <v>-</v>
      </c>
      <c r="I226" s="36" t="str">
        <f>IFERROR(ROUNDUP(IF(AND($Q$1=FALSE,$S$3=FALSE),"-",IF(AND($Q$1=TRUE,$S$3=TRUE),"-",IF(AND($Q$1=TRUE,$S$1=TRUE,$S$4=FALSE),VLOOKUP($E226,'Status Thresholds'!$E:$AS,13,FALSE),IF(AND($Q$1=TRUE,$S$4=FALSE),VLOOKUP($E226,'Status Thresholds'!$E:$AS,3,FALSE), IF(AND($Q$1=TRUE,$S$1=TRUE,$S$4=TRUE),VLOOKUP($E226,'Status Thresholds'!$E:$AS,18,FALSE),IF(AND($Q$1=TRUE,$S$4=TRUE),VLOOKUP($E226,'Status Thresholds'!$E:$AS,8,FALSE),IF(AND($S$3=TRUE,$S$1=TRUE,$S$4=FALSE),VLOOKUP($E226,'Status Thresholds'!$E:$AS,33,FALSE),IF(AND($S$3=TRUE,$S$4=FALSE),VLOOKUP($E226,'Status Thresholds'!$E:$AS,23,FALSE),IF(AND($S$3=TRUE,$S$1=TRUE,$S$4=TRUE),VLOOKUP($E226,'Status Thresholds'!$E:$AS,38,FALSE),IF(AND($S$3=TRUE,$S$4=TRUE),VLOOKUP($E226,'Status Thresholds'!$E:$AS,28,FALSE),""))))))))/IF(OR($Q$3=TRUE,AND($Q$2=TRUE,$Q$7=TRUE),AND($Q$3=TRUE,$Q$7=TRUE))=TRUE,'Shots and Status'!$F$5,IF((OR($Q$2,$Q$7)=TRUE),'Shots and Status'!$D$5,'Shots and Status'!$C$5)))),0),"-")</f>
        <v>-</v>
      </c>
      <c r="J226" s="36" t="str">
        <f>IFERROR(ROUNDUP(IF(AND($Q$1=FALSE,$S$3=FALSE),"-",IF(AND($Q$1=TRUE,$S$3=TRUE),"-",IF(AND($Q$1=TRUE,$S$1=TRUE,$S$4=FALSE),VLOOKUP($E226,'Status Thresholds'!$E:$AS,14,FALSE),IF(AND($Q$1=TRUE,$S$4=FALSE),VLOOKUP($E226,'Status Thresholds'!$E:$AS,4,FALSE), IF(AND($Q$1=TRUE,$S$1=TRUE,$S$4=TRUE),VLOOKUP($E226,'Status Thresholds'!$E:$AS,19,FALSE),IF(AND($Q$1=TRUE,$S$4=TRUE),VLOOKUP($E226,'Status Thresholds'!$E:$AS,9,FALSE),IF(AND($S$3=TRUE,$S$1=TRUE,$S$4=FALSE),VLOOKUP($E226,'Status Thresholds'!$E:$AS,34,FALSE),IF(AND($S$3=TRUE,$S$4=FALSE),VLOOKUP($E226,'Status Thresholds'!$E:$AS,24,FALSE),IF(AND($S$3=TRUE,$S$1=TRUE,$S$4=TRUE),VLOOKUP($E226,'Status Thresholds'!$E:$AS,39,FALSE),IF(AND($S$3=TRUE,$S$4=TRUE),VLOOKUP($E226,'Status Thresholds'!$E:$AS,29,FALSE),""))))))))/IF(OR($Q$3=TRUE,AND($Q$2=TRUE,$Q$7=TRUE),AND($Q$3=TRUE,$Q$7=TRUE))=TRUE,'Shots and Status'!$F$5,IF((OR($Q$2,$Q$7)=TRUE),'Shots and Status'!$D$5,'Shots and Status'!$C$5)))),0),"-")</f>
        <v>-</v>
      </c>
      <c r="K226" s="36" t="str">
        <f>IFERROR(ROUNDUP(IF(AND($Q$1=FALSE,$S$3=FALSE),"-",IF(AND($Q$1=TRUE,$S$3=TRUE),"-",IF(AND($Q$1=TRUE,$S$1=TRUE,$S$4=FALSE),VLOOKUP($E226,'Status Thresholds'!$E:$AS,15,FALSE),IF(AND($Q$1=TRUE,$S$4=FALSE),VLOOKUP($E226,'Status Thresholds'!$E:$AS,5,FALSE), IF(AND($Q$1=TRUE,$S$1=TRUE,$S$4=TRUE),VLOOKUP($E226,'Status Thresholds'!$E:$AS,20,FALSE),IF(AND($Q$1=TRUE,$S$4=TRUE),VLOOKUP($E226,'Status Thresholds'!$E:$AS,10,FALSE),IF(AND($S$3=TRUE,$S$1=TRUE,$S$4=FALSE),VLOOKUP($E226,'Status Thresholds'!$E:$AS,35,FALSE),IF(AND($S$3=TRUE,$S$4=FALSE),VLOOKUP($E226,'Status Thresholds'!$E:$AS,25,FALSE),IF(AND($S$3=TRUE,$S$1=TRUE,$S$4=TRUE),VLOOKUP($E226,'Status Thresholds'!$E:$AS,40,FALSE),IF(AND($S$3=TRUE,$S$4=TRUE),VLOOKUP($E226,'Status Thresholds'!$E:$AS,30,FALSE),""))))))))/IF(OR($Q$3=TRUE,AND($Q$2=TRUE,$Q$7=TRUE),AND($Q$3=TRUE,$Q$7=TRUE))=TRUE,'Shots and Status'!$F$5,IF((OR($Q$2,$Q$7)=TRUE),'Shots and Status'!$D$5,'Shots and Status'!$C$5)))),0),"-")</f>
        <v>-</v>
      </c>
      <c r="L226" s="36" t="str">
        <f>IFERROR(IF(AND($Q$1=FALSE,$S$3=FALSE),"-",VLOOKUP($E226,'Status Thresholds'!$E:$AU,41,FALSE)),"-")</f>
        <v>-</v>
      </c>
      <c r="M226" s="36" t="str">
        <f>IFERROR(IF(AND($Q$1=FALSE,$S$3=FALSE),"-",VLOOKUP($E226,'Status Thresholds'!$E:$AU,42,FALSE)),"-")</f>
        <v>-</v>
      </c>
      <c r="N226" s="36" t="str">
        <f>IFERROR(IF(AND($Q$1=FALSE,$S$3=FALSE),"-",VLOOKUP($E226,'Status Thresholds'!$E:$AU,43,FALSE)),"-")</f>
        <v>-</v>
      </c>
    </row>
    <row r="227" spans="1:14" s="59" customFormat="1" x14ac:dyDescent="0.25">
      <c r="A227" s="46"/>
      <c r="B227" s="64" t="str">
        <f>VLOOKUP(C227,'Status Thresholds'!B:C,2,FALSE)</f>
        <v>MHGen</v>
      </c>
      <c r="C227" s="46" t="str">
        <f>IF(ISBLANK('KO Calc'!C223)=TRUE,"",'KO Calc'!C223)</f>
        <v>Devil Jho</v>
      </c>
      <c r="D227" s="58" t="s">
        <v>33</v>
      </c>
      <c r="E227" s="62" t="str">
        <f t="shared" si="7"/>
        <v>Devil JhoPoison</v>
      </c>
      <c r="F227" s="59" t="s">
        <v>6</v>
      </c>
      <c r="G227" s="36" t="str">
        <f t="shared" si="8"/>
        <v>Devil JhoPoison lvl 2</v>
      </c>
      <c r="H227" s="36" t="str">
        <f>IFERROR(ROUNDUP(IF(AND($Q$1=FALSE,$S$3=FALSE),"-",IF(AND($Q$1=TRUE,$S$3=TRUE),"-",IF(AND($Q$1=TRUE,$S$1=TRUE,$S$4=FALSE),VLOOKUP($E227,'Status Thresholds'!$E:$AS,12,FALSE),IF(AND($Q$1=TRUE,$S$4=FALSE),VLOOKUP($E227,'Status Thresholds'!$E:$AS,2,FALSE), IF(AND($Q$1=TRUE,$S$1=TRUE,$S$4=TRUE),VLOOKUP($E227,'Status Thresholds'!$E:$AS,17,FALSE),IF(AND($Q$1=TRUE,$S$4=TRUE),VLOOKUP($E227,'Status Thresholds'!$E:$AS,7,FALSE),IF(AND($S$3=TRUE,$S$1=TRUE,$S$4=FALSE),VLOOKUP($E227,'Status Thresholds'!$E:$AS,32,FALSE),IF(AND($S$3=TRUE,$S$4=FALSE),VLOOKUP($E227,'Status Thresholds'!$E:$AS,22,FALSE),IF(AND($S$3=TRUE,$S$1=TRUE,$S$4=TRUE),VLOOKUP($E227,'Status Thresholds'!$E:$AS,37,FALSE),IF(AND($S$3=TRUE,$S$4=TRUE),VLOOKUP($E227,'Status Thresholds'!$E:$AS,27,FALSE),""))))))))/IF(OR($Q$3=TRUE,AND($Q$2=TRUE,$Q$7=TRUE),AND($Q$3=TRUE,$Q$7=TRUE))=TRUE,'Shots and Status'!$F$5,IF((OR($Q$2,$Q$7)=TRUE),'Shots and Status'!$D$5,'Shots and Status'!$C$5)))),0),"-")</f>
        <v>-</v>
      </c>
      <c r="I227" s="36" t="str">
        <f>IFERROR(ROUNDUP(IF(AND($Q$1=FALSE,$S$3=FALSE),"-",IF(AND($Q$1=TRUE,$S$3=TRUE),"-",IF(AND($Q$1=TRUE,$S$1=TRUE,$S$4=FALSE),VLOOKUP($E227,'Status Thresholds'!$E:$AS,13,FALSE),IF(AND($Q$1=TRUE,$S$4=FALSE),VLOOKUP($E227,'Status Thresholds'!$E:$AS,3,FALSE), IF(AND($Q$1=TRUE,$S$1=TRUE,$S$4=TRUE),VLOOKUP($E227,'Status Thresholds'!$E:$AS,18,FALSE),IF(AND($Q$1=TRUE,$S$4=TRUE),VLOOKUP($E227,'Status Thresholds'!$E:$AS,8,FALSE),IF(AND($S$3=TRUE,$S$1=TRUE,$S$4=FALSE),VLOOKUP($E227,'Status Thresholds'!$E:$AS,33,FALSE),IF(AND($S$3=TRUE,$S$4=FALSE),VLOOKUP($E227,'Status Thresholds'!$E:$AS,23,FALSE),IF(AND($S$3=TRUE,$S$1=TRUE,$S$4=TRUE),VLOOKUP($E227,'Status Thresholds'!$E:$AS,38,FALSE),IF(AND($S$3=TRUE,$S$4=TRUE),VLOOKUP($E227,'Status Thresholds'!$E:$AS,28,FALSE),""))))))))/IF(OR($Q$3=TRUE,AND($Q$2=TRUE,$Q$7=TRUE),AND($Q$3=TRUE,$Q$7=TRUE))=TRUE,'Shots and Status'!$F$5,IF((OR($Q$2,$Q$7)=TRUE),'Shots and Status'!$D$5,'Shots and Status'!$C$5)))),0),"-")</f>
        <v>-</v>
      </c>
      <c r="J227" s="36" t="str">
        <f>IFERROR(ROUNDUP(IF(AND($Q$1=FALSE,$S$3=FALSE),"-",IF(AND($Q$1=TRUE,$S$3=TRUE),"-",IF(AND($Q$1=TRUE,$S$1=TRUE,$S$4=FALSE),VLOOKUP($E227,'Status Thresholds'!$E:$AS,14,FALSE),IF(AND($Q$1=TRUE,$S$4=FALSE),VLOOKUP($E227,'Status Thresholds'!$E:$AS,4,FALSE), IF(AND($Q$1=TRUE,$S$1=TRUE,$S$4=TRUE),VLOOKUP($E227,'Status Thresholds'!$E:$AS,19,FALSE),IF(AND($Q$1=TRUE,$S$4=TRUE),VLOOKUP($E227,'Status Thresholds'!$E:$AS,9,FALSE),IF(AND($S$3=TRUE,$S$1=TRUE,$S$4=FALSE),VLOOKUP($E227,'Status Thresholds'!$E:$AS,34,FALSE),IF(AND($S$3=TRUE,$S$4=FALSE),VLOOKUP($E227,'Status Thresholds'!$E:$AS,24,FALSE),IF(AND($S$3=TRUE,$S$1=TRUE,$S$4=TRUE),VLOOKUP($E227,'Status Thresholds'!$E:$AS,39,FALSE),IF(AND($S$3=TRUE,$S$4=TRUE),VLOOKUP($E227,'Status Thresholds'!$E:$AS,29,FALSE),""))))))))/IF(OR($Q$3=TRUE,AND($Q$2=TRUE,$Q$7=TRUE),AND($Q$3=TRUE,$Q$7=TRUE))=TRUE,'Shots and Status'!$F$5,IF((OR($Q$2,$Q$7)=TRUE),'Shots and Status'!$D$5,'Shots and Status'!$C$5)))),0),"-")</f>
        <v>-</v>
      </c>
      <c r="K227" s="36" t="str">
        <f>IFERROR(ROUNDUP(IF(AND($Q$1=FALSE,$S$3=FALSE),"-",IF(AND($Q$1=TRUE,$S$3=TRUE),"-",IF(AND($Q$1=TRUE,$S$1=TRUE,$S$4=FALSE),VLOOKUP($E227,'Status Thresholds'!$E:$AS,15,FALSE),IF(AND($Q$1=TRUE,$S$4=FALSE),VLOOKUP($E227,'Status Thresholds'!$E:$AS,5,FALSE), IF(AND($Q$1=TRUE,$S$1=TRUE,$S$4=TRUE),VLOOKUP($E227,'Status Thresholds'!$E:$AS,20,FALSE),IF(AND($Q$1=TRUE,$S$4=TRUE),VLOOKUP($E227,'Status Thresholds'!$E:$AS,10,FALSE),IF(AND($S$3=TRUE,$S$1=TRUE,$S$4=FALSE),VLOOKUP($E227,'Status Thresholds'!$E:$AS,35,FALSE),IF(AND($S$3=TRUE,$S$4=FALSE),VLOOKUP($E227,'Status Thresholds'!$E:$AS,25,FALSE),IF(AND($S$3=TRUE,$S$1=TRUE,$S$4=TRUE),VLOOKUP($E227,'Status Thresholds'!$E:$AS,40,FALSE),IF(AND($S$3=TRUE,$S$4=TRUE),VLOOKUP($E227,'Status Thresholds'!$E:$AS,30,FALSE),""))))))))/IF(OR($Q$3=TRUE,AND($Q$2=TRUE,$Q$7=TRUE),AND($Q$3=TRUE,$Q$7=TRUE))=TRUE,'Shots and Status'!$F$5,IF((OR($Q$2,$Q$7)=TRUE),'Shots and Status'!$D$5,'Shots and Status'!$C$5)))),0),"-")</f>
        <v>-</v>
      </c>
      <c r="L227" s="36" t="str">
        <f>IFERROR(IF(AND($Q$1=FALSE,$S$3=FALSE),"-",VLOOKUP($E227,'Status Thresholds'!$E:$AU,41,FALSE)),"-")</f>
        <v>-</v>
      </c>
      <c r="M227" s="36" t="str">
        <f>IFERROR(IF(AND($Q$1=FALSE,$S$3=FALSE),"-",VLOOKUP($E227,'Status Thresholds'!$E:$AU,42,FALSE)),"-")</f>
        <v>-</v>
      </c>
      <c r="N227" s="36" t="str">
        <f>IFERROR(IF(AND($Q$1=FALSE,$S$3=FALSE),"-",VLOOKUP($E227,'Status Thresholds'!$E:$AU,43,FALSE)),"-")</f>
        <v>-</v>
      </c>
    </row>
    <row r="228" spans="1:14" s="36" customFormat="1" x14ac:dyDescent="0.25">
      <c r="A228" s="46"/>
      <c r="B228" s="64" t="str">
        <f>VLOOKUP(C228,'Status Thresholds'!B:C,2,FALSE)</f>
        <v>MHGen</v>
      </c>
      <c r="C228" s="46" t="str">
        <f>IF(ISBLANK('KO Calc'!C224)=TRUE,"",'KO Calc'!C224)</f>
        <v>Devil Jho</v>
      </c>
      <c r="D228" s="57" t="s">
        <v>22</v>
      </c>
      <c r="E228" s="62" t="str">
        <f t="shared" si="7"/>
        <v>Devil JhoExhaust</v>
      </c>
      <c r="F228" s="36" t="s">
        <v>8</v>
      </c>
      <c r="G228" s="36" t="str">
        <f t="shared" si="8"/>
        <v>Devil JhoExhaust lvl 2</v>
      </c>
      <c r="H228" s="36" t="str">
        <f>IFERROR(ROUNDUP(IF(AND($Q$1=FALSE,$S$3=FALSE),"-",IF(AND($Q$1=TRUE,$S$3=TRUE),"-",IF(AND($Q$1=TRUE,$S$1=TRUE,$S$4=FALSE),VLOOKUP($E228,'Status Thresholds'!$E:$AS,12,FALSE),IF(AND($Q$1=TRUE,$S$4=FALSE),VLOOKUP($E228,'Status Thresholds'!$E:$AS,2,FALSE), IF(AND($Q$1=TRUE,$S$1=TRUE,$S$4=TRUE),VLOOKUP($E228,'Status Thresholds'!$E:$AS,17,FALSE),IF(AND($Q$1=TRUE,$S$4=TRUE),VLOOKUP($E228,'Status Thresholds'!$E:$AS,7,FALSE),IF(AND($S$3=TRUE,$S$1=TRUE,$S$4=FALSE),VLOOKUP($E228,'Status Thresholds'!$E:$AS,32,FALSE),IF(AND($S$3=TRUE,$S$4=FALSE),VLOOKUP($E228,'Status Thresholds'!$E:$AS,22,FALSE),IF(AND($S$3=TRUE,$S$1=TRUE,$S$4=TRUE),VLOOKUP($E228,'Status Thresholds'!$E:$AS,37,FALSE),IF(AND($S$3=TRUE,$S$4=TRUE),VLOOKUP($E228,'Status Thresholds'!$E:$AS,27,FALSE),""))))))))/IF(OR($Q$3=TRUE,AND($Q$2=TRUE,$Q$7=TRUE),AND($Q$3=TRUE,$Q$7=TRUE))=TRUE,'Shots and Status'!$F$5,IF((OR($Q$2,$Q$7)=TRUE),'Shots and Status'!$D$5,'Shots and Status'!$C$5)))),0),"-")</f>
        <v>-</v>
      </c>
      <c r="I228" s="36" t="str">
        <f>IFERROR(ROUNDUP(IF(AND($Q$1=FALSE,$S$3=FALSE),"-",IF(AND($Q$1=TRUE,$S$3=TRUE),"-",IF(AND($Q$1=TRUE,$S$1=TRUE,$S$4=FALSE),VLOOKUP($E228,'Status Thresholds'!$E:$AS,13,FALSE),IF(AND($Q$1=TRUE,$S$4=FALSE),VLOOKUP($E228,'Status Thresholds'!$E:$AS,3,FALSE), IF(AND($Q$1=TRUE,$S$1=TRUE,$S$4=TRUE),VLOOKUP($E228,'Status Thresholds'!$E:$AS,18,FALSE),IF(AND($Q$1=TRUE,$S$4=TRUE),VLOOKUP($E228,'Status Thresholds'!$E:$AS,8,FALSE),IF(AND($S$3=TRUE,$S$1=TRUE,$S$4=FALSE),VLOOKUP($E228,'Status Thresholds'!$E:$AS,33,FALSE),IF(AND($S$3=TRUE,$S$4=FALSE),VLOOKUP($E228,'Status Thresholds'!$E:$AS,23,FALSE),IF(AND($S$3=TRUE,$S$1=TRUE,$S$4=TRUE),VLOOKUP($E228,'Status Thresholds'!$E:$AS,38,FALSE),IF(AND($S$3=TRUE,$S$4=TRUE),VLOOKUP($E228,'Status Thresholds'!$E:$AS,28,FALSE),""))))))))/IF(OR($Q$3=TRUE,AND($Q$2=TRUE,$Q$7=TRUE),AND($Q$3=TRUE,$Q$7=TRUE))=TRUE,'Shots and Status'!$F$5,IF((OR($Q$2,$Q$7)=TRUE),'Shots and Status'!$D$5,'Shots and Status'!$C$5)))),0),"-")</f>
        <v>-</v>
      </c>
      <c r="J228" s="36" t="str">
        <f>IFERROR(ROUNDUP(IF(AND($Q$1=FALSE,$S$3=FALSE),"-",IF(AND($Q$1=TRUE,$S$3=TRUE),"-",IF(AND($Q$1=TRUE,$S$1=TRUE,$S$4=FALSE),VLOOKUP($E228,'Status Thresholds'!$E:$AS,14,FALSE),IF(AND($Q$1=TRUE,$S$4=FALSE),VLOOKUP($E228,'Status Thresholds'!$E:$AS,4,FALSE), IF(AND($Q$1=TRUE,$S$1=TRUE,$S$4=TRUE),VLOOKUP($E228,'Status Thresholds'!$E:$AS,19,FALSE),IF(AND($Q$1=TRUE,$S$4=TRUE),VLOOKUP($E228,'Status Thresholds'!$E:$AS,9,FALSE),IF(AND($S$3=TRUE,$S$1=TRUE,$S$4=FALSE),VLOOKUP($E228,'Status Thresholds'!$E:$AS,34,FALSE),IF(AND($S$3=TRUE,$S$4=FALSE),VLOOKUP($E228,'Status Thresholds'!$E:$AS,24,FALSE),IF(AND($S$3=TRUE,$S$1=TRUE,$S$4=TRUE),VLOOKUP($E228,'Status Thresholds'!$E:$AS,39,FALSE),IF(AND($S$3=TRUE,$S$4=TRUE),VLOOKUP($E228,'Status Thresholds'!$E:$AS,29,FALSE),""))))))))/IF(OR($Q$3=TRUE,AND($Q$2=TRUE,$Q$7=TRUE),AND($Q$3=TRUE,$Q$7=TRUE))=TRUE,'Shots and Status'!$F$5,IF((OR($Q$2,$Q$7)=TRUE),'Shots and Status'!$D$5,'Shots and Status'!$C$5)))),0),"-")</f>
        <v>-</v>
      </c>
      <c r="K228" s="36" t="str">
        <f>IFERROR(ROUNDUP(IF(AND($Q$1=FALSE,$S$3=FALSE),"-",IF(AND($Q$1=TRUE,$S$3=TRUE),"-",IF(AND($Q$1=TRUE,$S$1=TRUE,$S$4=FALSE),VLOOKUP($E228,'Status Thresholds'!$E:$AS,15,FALSE),IF(AND($Q$1=TRUE,$S$4=FALSE),VLOOKUP($E228,'Status Thresholds'!$E:$AS,5,FALSE), IF(AND($Q$1=TRUE,$S$1=TRUE,$S$4=TRUE),VLOOKUP($E228,'Status Thresholds'!$E:$AS,20,FALSE),IF(AND($Q$1=TRUE,$S$4=TRUE),VLOOKUP($E228,'Status Thresholds'!$E:$AS,10,FALSE),IF(AND($S$3=TRUE,$S$1=TRUE,$S$4=FALSE),VLOOKUP($E228,'Status Thresholds'!$E:$AS,35,FALSE),IF(AND($S$3=TRUE,$S$4=FALSE),VLOOKUP($E228,'Status Thresholds'!$E:$AS,25,FALSE),IF(AND($S$3=TRUE,$S$1=TRUE,$S$4=TRUE),VLOOKUP($E228,'Status Thresholds'!$E:$AS,40,FALSE),IF(AND($S$3=TRUE,$S$4=TRUE),VLOOKUP($E228,'Status Thresholds'!$E:$AS,30,FALSE),""))))))))/IF(OR($Q$3=TRUE,AND($Q$2=TRUE,$Q$7=TRUE),AND($Q$3=TRUE,$Q$7=TRUE))=TRUE,'Shots and Status'!$F$5,IF((OR($Q$2,$Q$7)=TRUE),'Shots and Status'!$D$5,'Shots and Status'!$C$5)))),0),"-")</f>
        <v>-</v>
      </c>
      <c r="L228" s="36" t="str">
        <f>IFERROR(IF(AND($Q$1=FALSE,$S$3=FALSE),"-",VLOOKUP($E228,'Status Thresholds'!$E:$AU,41,FALSE)),"-")</f>
        <v>-</v>
      </c>
      <c r="M228" s="36" t="str">
        <f>IFERROR(IF(AND($Q$1=FALSE,$S$3=FALSE),"-",VLOOKUP($E228,'Status Thresholds'!$E:$AU,42,FALSE)),"-")</f>
        <v>-</v>
      </c>
      <c r="N228" s="36" t="str">
        <f>IFERROR(IF(AND($Q$1=FALSE,$S$3=FALSE),"-",VLOOKUP($E228,'Status Thresholds'!$E:$AU,43,FALSE)),"-")</f>
        <v>-</v>
      </c>
    </row>
    <row r="229" spans="1:14" s="36" customFormat="1" x14ac:dyDescent="0.25">
      <c r="A229" s="46"/>
      <c r="B229" s="64" t="str">
        <f>VLOOKUP(C229,'Status Thresholds'!B:C,2,FALSE)</f>
        <v>MHGen</v>
      </c>
      <c r="C229" s="46" t="str">
        <f>IF(ISBLANK('KO Calc'!C225)=TRUE,"",'KO Calc'!C225)</f>
        <v>Devil Jho</v>
      </c>
      <c r="D229" s="67" t="s">
        <v>14</v>
      </c>
      <c r="E229" s="62" t="str">
        <f t="shared" si="7"/>
        <v>Devil JhoKO</v>
      </c>
      <c r="F229" s="36" t="s">
        <v>21</v>
      </c>
      <c r="G229" s="36" t="str">
        <f t="shared" si="8"/>
        <v>Devil JhoTriblast</v>
      </c>
      <c r="H229" s="36" t="str">
        <f>IF(AND($Q$1=FALSE,$S$3=FALSE),"-",IF(AND($Q$1=TRUE,$S$3=TRUE),"-",IF(AND($Q$1=FALSE,$S$3=FALSE),"-",IF(AND($Q$1=TRUE,$S$1=TRUE,$S$4=FALSE)=TRUE,IF(OR($Q$4=TRUE,$Q$5=TRUE,$S$2=TRUE),VLOOKUP($G229,'KO Calc'!$H:$AW,12,FALSE),VLOOKUP($G229,'KO Calc'!$H235:$AW235,12,FALSE)),IF(AND($Q$1=TRUE,$S$4=FALSE),IF(OR($Q$4=TRUE,$Q$5=TRUE,$S$2=TRUE),VLOOKUP($G229,'KO Calc'!$H:$AW,2,FALSE),VLOOKUP($G229,'KO Calc'!$H235:$AW235,2,FALSE)),
IF(AND($Q$1=TRUE,$S$1=TRUE,$S$4=TRUE)=TRUE,IF(OR($Q$4=TRUE,$Q$5=TRUE,$S$2=TRUE),VLOOKUP($G229,'KO Calc'!$H:$AW,17,FALSE),VLOOKUP($G229,'KO Calc'!$H235:$AW235,17,FALSE)),IF(AND($Q$1=TRUE,$S$4=TRUE),IF(OR($Q$4=TRUE,$Q$5=TRUE,$S$2=TRUE),VLOOKUP($G229,'KO Calc'!$H:$AW,7,FALSE),VLOOKUP($G229,'KO Calc'!$H235:$AW235,7,FALSE)),
IF(AND($S$3=TRUE,$S$1=TRUE,$S$4=FALSE)=TRUE,IF(OR($Q$4=TRUE,$Q$5=TRUE,$S$2=TRUE),VLOOKUP($G229,'KO Calc'!$H:$AW,32,FALSE),VLOOKUP($G229,'KO Calc'!$H235:$AW235,32,FALSE)),IF(AND($S$3=TRUE,$S$4=FALSE),IF(OR($Q$4=TRUE,$Q$5=TRUE,$S$2=TRUE),VLOOKUP($G229,'KO Calc'!$H:$AW,22,FALSE),VLOOKUP($G229,'KO Calc'!$H235:$AW235,22,FALSE)),
IF(AND($S$3=TRUE,$S$1=TRUE,$S$4=TRUE)=TRUE,IF(OR($Q$4=TRUE,$Q$5=TRUE,$S$2=TRUE),VLOOKUP($G229,'KO Calc'!$H:$AW,37,FALSE),VLOOKUP($G229,'KO Calc'!$H235:$AW235,37,FALSE)),IF(AND($S$3=TRUE,$S$4=TRUE),IF(OR($Q$4=TRUE,$Q$5=TRUE,$S$2=TRUE),VLOOKUP($G229,'KO Calc'!$H:$AW,27,FALSE),VLOOKUP($G229,'KO Calc'!$H235:$AW235,27,FALSE)))))))))))))</f>
        <v>-</v>
      </c>
      <c r="I229" s="36" t="str">
        <f>IF(AND($Q$1=FALSE,$S$3=FALSE),"-",IF(AND($Q$1=TRUE,$S$3=TRUE),"-",IF(AND($Q$1=FALSE,$S$3=FALSE),"-",IF(AND($Q$1=TRUE,$S$1=TRUE,$S$4=FALSE)=TRUE,IF(OR($Q$4=TRUE,$Q$5=TRUE,$S$2=TRUE),VLOOKUP($G229,'KO Calc'!$H:$AW,13,FALSE),VLOOKUP($G229,'KO Calc'!$H235:$AW235,13,FALSE)),IF(AND($Q$1=TRUE,$S$4=FALSE),IF(OR($Q$4=TRUE,$Q$5=TRUE,$S$2=TRUE),VLOOKUP($G229,'KO Calc'!$H:$AW,3,FALSE),VLOOKUP($G229,'KO Calc'!$H235:$AW235,3,FALSE)),
IF(AND($Q$1=TRUE,$S$1=TRUE,$S$4=TRUE)=TRUE,IF(OR($Q$4=TRUE,$Q$5=TRUE,$S$2=TRUE),VLOOKUP($G229,'KO Calc'!$H:$AW,18,FALSE),VLOOKUP($G229,'KO Calc'!$H235:$AW235,18,FALSE)),IF(AND($Q$1=TRUE,$S$4=TRUE),IF(OR($Q$4=TRUE,$Q$5=TRUE,$S$2=TRUE),VLOOKUP($G229,'KO Calc'!$H:$AW,8,FALSE),VLOOKUP($G229,'KO Calc'!$H235:$AW235,8,FALSE)),
IF(AND($S$3=TRUE,$S$1=TRUE,$S$4=FALSE)=TRUE,IF(OR($Q$4=TRUE,$Q$5=TRUE,$S$2=TRUE),VLOOKUP($G229,'KO Calc'!$H:$AW,33,FALSE),VLOOKUP($G229,'KO Calc'!$H235:$AW235,33,FALSE)),IF(AND($S$3=TRUE,$S$4=FALSE),IF(OR($Q$4=TRUE,$Q$5=TRUE,$S$2=TRUE),VLOOKUP($G229,'KO Calc'!$H:$AW,23,FALSE),VLOOKUP($G229,'KO Calc'!$H235:$AW235,23,FALSE)),
IF(AND($S$3=TRUE,$S$1=TRUE,$S$4=TRUE)=TRUE,IF(OR($Q$4=TRUE,$Q$5=TRUE,$S$2=TRUE),VLOOKUP($G229,'KO Calc'!$H:$AW,38,FALSE),VLOOKUP($G229,'KO Calc'!$H235:$AW235,38,FALSE)),IF(AND($S$3=TRUE,$S$4=TRUE),IF(OR($Q$4=TRUE,$Q$5=TRUE,$S$2=TRUE),VLOOKUP($G229,'KO Calc'!$H:$AW,28,FALSE),VLOOKUP($G229,'KO Calc'!$H235:$AW235,28,FALSE)))))))))))))</f>
        <v>-</v>
      </c>
      <c r="J229" s="36" t="str">
        <f>IF(AND($Q$1=FALSE,$S$3=FALSE),"-",IF(AND($Q$1=TRUE,$S$3=TRUE),"-",IF(AND($Q$1=FALSE,$S$3=FALSE),"-",IF(AND($Q$1=TRUE,$S$1=TRUE,$S$4=FALSE)=TRUE,IF(OR($Q$4=TRUE,$Q$5=TRUE,$S$2=TRUE),VLOOKUP($G229,'KO Calc'!$H:$AW,FALSE),VLOOKUP($G229,'KO Calc'!$H235:$AW235,14,FALSE)),IF(AND($Q$1=TRUE,$S$4=FALSE),IF(OR($Q$4=TRUE,$Q$5=TRUE,$S$2=TRUE),VLOOKUP($G229,'KO Calc'!$H:$AW,4,FALSE),VLOOKUP($G229,'KO Calc'!$H235:$AW235,4,FALSE)),
IF(AND($Q$1=TRUE,$S$1=TRUE,$S$4=TRUE)=TRUE,IF(OR($Q$4=TRUE,$Q$5=TRUE,$S$2=TRUE),VLOOKUP($G229,'KO Calc'!$H:$AW,19,FALSE),VLOOKUP($G229,'KO Calc'!$H235:$AW235,19,FALSE)),IF(AND($Q$1=TRUE,$S$4=TRUE),IF(OR($Q$4=TRUE,$Q$5=TRUE,$S$2=TRUE),VLOOKUP($G229,'KO Calc'!$H:$AW,9,FALSE),VLOOKUP($G229,'KO Calc'!$H235:$AW235,9,FALSE)),
IF(AND($S$3=TRUE,$S$1=TRUE,$S$4=FALSE)=TRUE,IF(OR($Q$4=TRUE,$Q$5=TRUE,$S$2=TRUE),VLOOKUP($G229,'KO Calc'!$H:$AW,34,FALSE),VLOOKUP($G229,'KO Calc'!$H235:$AW235,34,FALSE)),IF(AND($S$3=TRUE,$S$4=FALSE),IF(OR($Q$4=TRUE,$Q$5=TRUE,$S$2=TRUE),VLOOKUP($G229,'KO Calc'!$H:$AW,24,FALSE),VLOOKUP($G229,'KO Calc'!$H235:$AW235,24,FALSE)),
IF(AND($S$3=TRUE,$S$1=TRUE,$S$4=TRUE)=TRUE,IF(OR($Q$4=TRUE,$Q$5=TRUE,$S$2=TRUE),VLOOKUP($G229,'KO Calc'!$H:$AW,39,FALSE),VLOOKUP($G229,'KO Calc'!$H235:$AW235,39,FALSE)),IF(AND($S$3=TRUE,$S$4=TRUE),IF(OR($Q$4=TRUE,$Q$5=TRUE,$S$2=TRUE),VLOOKUP($G229,'KO Calc'!$H:$AW,29,FALSE),VLOOKUP($G229,'KO Calc'!$H235:$AW235,29,FALSE)))))))))))))</f>
        <v>-</v>
      </c>
      <c r="K229" s="36" t="str">
        <f>IF(AND($Q$1=FALSE,$S$3=FALSE),"-",IF(AND($Q$1=TRUE,$S$3=TRUE),"-",IF(AND($Q$1=FALSE,$S$3=FALSE),"-",IF(AND($Q$1=TRUE,$S$1=TRUE,$S$4=FALSE)=TRUE,IF(OR($Q$4=TRUE,$Q$5=TRUE,$S$2=TRUE),VLOOKUP($G229,'KO Calc'!$H:$AW,15,FALSE),VLOOKUP($G229,'KO Calc'!$H235:$AW235,15,FALSE)),IF(AND($Q$1=TRUE,$S$4=FALSE),IF(OR($Q$4=TRUE,$Q$5=TRUE,$S$2=TRUE),VLOOKUP($G229,'KO Calc'!$H:$AW,5,FALSE),VLOOKUP($G229,'KO Calc'!$H235:$AW235,5,FALSE)),
IF(AND($Q$1=TRUE,$S$1=TRUE,$S$4=TRUE)=TRUE,IF(OR($Q$4=TRUE,$Q$5=TRUE,$S$2=TRUE),VLOOKUP($G229,'KO Calc'!$H:$AW,20,FALSE),VLOOKUP($G229,'KO Calc'!$H235:$AW235,20,FALSE)),IF(AND($Q$1=TRUE,$S$4=TRUE),IF(OR($Q$4=TRUE,$Q$5=TRUE,$S$2=TRUE),VLOOKUP($G229,'KO Calc'!$H:$AW,10,FALSE),VLOOKUP($G229,'KO Calc'!$H235:$AW235,10,FALSE)),
IF(AND($S$3=TRUE,$S$1=TRUE,$S$4=FALSE)=TRUE,IF(OR($Q$4=TRUE,$Q$5=TRUE,$S$2=TRUE),VLOOKUP($G229,'KO Calc'!$H:$AW,35,FALSE),VLOOKUP($G229,'KO Calc'!$H235:$AW235,35,FALSE)),IF(AND($S$3=TRUE,$S$4=FALSE),IF(OR($Q$4=TRUE,$Q$5=TRUE,$S$2=TRUE),VLOOKUP($G229,'KO Calc'!$H:$AW,25,FALSE),VLOOKUP($G229,'KO Calc'!$H235:$AW235,25,FALSE)),
IF(AND($S$3=TRUE,$S$1=TRUE,$S$4=TRUE)=TRUE,IF(OR($Q$4=TRUE,$Q$5=TRUE,$S$2=TRUE),VLOOKUP($G229,'KO Calc'!$H:$AW,40,FALSE),VLOOKUP($G229,'KO Calc'!$H235:$AW235,40,FALSE)),IF(AND($S$3=TRUE,$S$4=TRUE),IF(OR($Q$4=TRUE,$Q$5=TRUE,$S$2=TRUE),VLOOKUP($G229,'KO Calc'!$H:$AW,30,FALSE),VLOOKUP($G229,'KO Calc'!$H235:$AW235,30,FALSE)))))))))))))</f>
        <v>-</v>
      </c>
      <c r="L229" s="36" t="str">
        <f>IFERROR(IF(AND($Q$1=FALSE,$S$3=FALSE),"-",VLOOKUP($E229,'Status Thresholds'!$E:$AU,41,FALSE)),"-")</f>
        <v>-</v>
      </c>
      <c r="M229" s="36" t="str">
        <f>IFERROR(IF(AND($Q$1=FALSE,$S$3=FALSE),"-",VLOOKUP($E229,'Status Thresholds'!$E:$AU,42,FALSE)),"-")</f>
        <v>-</v>
      </c>
      <c r="N229" s="36" t="str">
        <f>IFERROR(IF(AND($Q$1=FALSE,$S$3=FALSE),"-",VLOOKUP($E229,'Status Thresholds'!$E:$AU,43,FALSE)),"-")</f>
        <v>-</v>
      </c>
    </row>
    <row r="230" spans="1:14" x14ac:dyDescent="0.25">
      <c r="B230" s="64" t="str">
        <f>VLOOKUP(C230,'Status Thresholds'!B:C,2,FALSE)</f>
        <v>MHGen</v>
      </c>
      <c r="C230" s="46" t="str">
        <f>IF(ISBLANK('KO Calc'!C226)=TRUE,"",'KO Calc'!C226)</f>
        <v>Devil Jho</v>
      </c>
      <c r="D230" s="78" t="s">
        <v>207</v>
      </c>
      <c r="E230" s="62" t="str">
        <f t="shared" si="7"/>
        <v>Devil JhoShock Trap</v>
      </c>
      <c r="F230" t="s">
        <v>13</v>
      </c>
      <c r="G230" s="36" t="str">
        <f t="shared" si="8"/>
        <v>Devil JhoCrag 3</v>
      </c>
      <c r="H230" s="36" t="str">
        <f>IF(AND($Q$1=FALSE,$S$3=FALSE),"-",IF(AND($Q$1=TRUE,$S$3=TRUE),"-",IF(AND($Q$1=FALSE,$S$3=FALSE),"-",IF(AND($Q$1=TRUE,$S$1=TRUE,$S$4=FALSE)=TRUE,IF(OR($Q$4=TRUE,$Q$5=TRUE,$S$2=TRUE),VLOOKUP($G230,'KO Calc'!$H:$AW,12,FALSE),VLOOKUP($G230,'KO Calc'!$H236:$AW236,12,FALSE)),IF(AND($Q$1=TRUE,$S$4=FALSE),IF(OR($Q$4=TRUE,$Q$5=TRUE,$S$2=TRUE),VLOOKUP($G230,'KO Calc'!$H:$AW,2,FALSE),VLOOKUP($G230,'KO Calc'!$H236:$AW236,2,FALSE)),
IF(AND($Q$1=TRUE,$S$1=TRUE,$S$4=TRUE)=TRUE,IF(OR($Q$4=TRUE,$Q$5=TRUE,$S$2=TRUE),VLOOKUP($G230,'KO Calc'!$H:$AW,17,FALSE),VLOOKUP($G230,'KO Calc'!$H236:$AW236,17,FALSE)),IF(AND($Q$1=TRUE,$S$4=TRUE),IF(OR($Q$4=TRUE,$Q$5=TRUE,$S$2=TRUE),VLOOKUP($G230,'KO Calc'!$H:$AW,7,FALSE),VLOOKUP($G230,'KO Calc'!$H236:$AW236,7,FALSE)),
IF(AND($S$3=TRUE,$S$1=TRUE,$S$4=FALSE)=TRUE,IF(OR($Q$4=TRUE,$Q$5=TRUE,$S$2=TRUE),VLOOKUP($G230,'KO Calc'!$H:$AW,32,FALSE),VLOOKUP($G230,'KO Calc'!$H236:$AW236,32,FALSE)),IF(AND($S$3=TRUE,$S$4=FALSE),IF(OR($Q$4=TRUE,$Q$5=TRUE,$S$2=TRUE),VLOOKUP($G230,'KO Calc'!$H:$AW,22,FALSE),VLOOKUP($G230,'KO Calc'!$H236:$AW236,22,FALSE)),
IF(AND($S$3=TRUE,$S$1=TRUE,$S$4=TRUE)=TRUE,IF(OR($Q$4=TRUE,$Q$5=TRUE,$S$2=TRUE),VLOOKUP($G230,'KO Calc'!$H:$AW,37,FALSE),VLOOKUP($G230,'KO Calc'!$H236:$AW236,37,FALSE)),IF(AND($S$3=TRUE,$S$4=TRUE),IF(OR($Q$4=TRUE,$Q$5=TRUE,$S$2=TRUE),VLOOKUP($G230,'KO Calc'!$H:$AW,27,FALSE),VLOOKUP($G230,'KO Calc'!$H236:$AW236,27,FALSE)))))))))))))</f>
        <v>-</v>
      </c>
      <c r="I230" s="36" t="str">
        <f>IF(AND($Q$1=FALSE,$S$3=FALSE),"-",IF(AND($Q$1=TRUE,$S$3=TRUE),"-",IF(AND($Q$1=FALSE,$S$3=FALSE),"-",IF(AND($Q$1=TRUE,$S$1=TRUE,$S$4=FALSE)=TRUE,IF(OR($Q$4=TRUE,$Q$5=TRUE,$S$2=TRUE),VLOOKUP($G230,'KO Calc'!$H:$AW,13,FALSE),VLOOKUP($G230,'KO Calc'!$H236:$AW236,13,FALSE)),IF(AND($Q$1=TRUE,$S$4=FALSE),IF(OR($Q$4=TRUE,$Q$5=TRUE,$S$2=TRUE),VLOOKUP($G230,'KO Calc'!$H:$AW,3,FALSE),VLOOKUP($G230,'KO Calc'!$H236:$AW236,3,FALSE)),
IF(AND($Q$1=TRUE,$S$1=TRUE,$S$4=TRUE)=TRUE,IF(OR($Q$4=TRUE,$Q$5=TRUE,$S$2=TRUE),VLOOKUP($G230,'KO Calc'!$H:$AW,18,FALSE),VLOOKUP($G230,'KO Calc'!$H236:$AW236,18,FALSE)),IF(AND($Q$1=TRUE,$S$4=TRUE),IF(OR($Q$4=TRUE,$Q$5=TRUE,$S$2=TRUE),VLOOKUP($G230,'KO Calc'!$H:$AW,8,FALSE),VLOOKUP($G230,'KO Calc'!$H236:$AW236,8,FALSE)),
IF(AND($S$3=TRUE,$S$1=TRUE,$S$4=FALSE)=TRUE,IF(OR($Q$4=TRUE,$Q$5=TRUE,$S$2=TRUE),VLOOKUP($G230,'KO Calc'!$H:$AW,33,FALSE),VLOOKUP($G230,'KO Calc'!$H236:$AW236,33,FALSE)),IF(AND($S$3=TRUE,$S$4=FALSE),IF(OR($Q$4=TRUE,$Q$5=TRUE,$S$2=TRUE),VLOOKUP($G230,'KO Calc'!$H:$AW,23,FALSE),VLOOKUP($G230,'KO Calc'!$H236:$AW236,23,FALSE)),
IF(AND($S$3=TRUE,$S$1=TRUE,$S$4=TRUE)=TRUE,IF(OR($Q$4=TRUE,$Q$5=TRUE,$S$2=TRUE),VLOOKUP($G230,'KO Calc'!$H:$AW,38,FALSE),VLOOKUP($G230,'KO Calc'!$H236:$AW236,38,FALSE)),IF(AND($S$3=TRUE,$S$4=TRUE),IF(OR($Q$4=TRUE,$Q$5=TRUE,$S$2=TRUE),VLOOKUP($G230,'KO Calc'!$H:$AW,28,FALSE),VLOOKUP($G230,'KO Calc'!$H236:$AW236,28,FALSE)))))))))))))</f>
        <v>-</v>
      </c>
      <c r="J230" s="36" t="str">
        <f>IF(AND($Q$1=FALSE,$S$3=FALSE),"-",IF(AND($Q$1=TRUE,$S$3=TRUE),"-",IF(AND($Q$1=FALSE,$S$3=FALSE),"-",IF(AND($Q$1=TRUE,$S$1=TRUE,$S$4=FALSE)=TRUE,IF(OR($Q$4=TRUE,$Q$5=TRUE,$S$2=TRUE),VLOOKUP($G230,'KO Calc'!$H:$AW,FALSE),VLOOKUP($G230,'KO Calc'!$H236:$AW236,14,FALSE)),IF(AND($Q$1=TRUE,$S$4=FALSE),IF(OR($Q$4=TRUE,$Q$5=TRUE,$S$2=TRUE),VLOOKUP($G230,'KO Calc'!$H:$AW,4,FALSE),VLOOKUP($G230,'KO Calc'!$H236:$AW236,4,FALSE)),
IF(AND($Q$1=TRUE,$S$1=TRUE,$S$4=TRUE)=TRUE,IF(OR($Q$4=TRUE,$Q$5=TRUE,$S$2=TRUE),VLOOKUP($G230,'KO Calc'!$H:$AW,19,FALSE),VLOOKUP($G230,'KO Calc'!$H236:$AW236,19,FALSE)),IF(AND($Q$1=TRUE,$S$4=TRUE),IF(OR($Q$4=TRUE,$Q$5=TRUE,$S$2=TRUE),VLOOKUP($G230,'KO Calc'!$H:$AW,9,FALSE),VLOOKUP($G230,'KO Calc'!$H236:$AW236,9,FALSE)),
IF(AND($S$3=TRUE,$S$1=TRUE,$S$4=FALSE)=TRUE,IF(OR($Q$4=TRUE,$Q$5=TRUE,$S$2=TRUE),VLOOKUP($G230,'KO Calc'!$H:$AW,34,FALSE),VLOOKUP($G230,'KO Calc'!$H236:$AW236,34,FALSE)),IF(AND($S$3=TRUE,$S$4=FALSE),IF(OR($Q$4=TRUE,$Q$5=TRUE,$S$2=TRUE),VLOOKUP($G230,'KO Calc'!$H:$AW,24,FALSE),VLOOKUP($G230,'KO Calc'!$H236:$AW236,24,FALSE)),
IF(AND($S$3=TRUE,$S$1=TRUE,$S$4=TRUE)=TRUE,IF(OR($Q$4=TRUE,$Q$5=TRUE,$S$2=TRUE),VLOOKUP($G230,'KO Calc'!$H:$AW,39,FALSE),VLOOKUP($G230,'KO Calc'!$H236:$AW236,39,FALSE)),IF(AND($S$3=TRUE,$S$4=TRUE),IF(OR($Q$4=TRUE,$Q$5=TRUE,$S$2=TRUE),VLOOKUP($G230,'KO Calc'!$H:$AW,29,FALSE),VLOOKUP($G230,'KO Calc'!$H236:$AW236,29,FALSE)))))))))))))</f>
        <v>-</v>
      </c>
      <c r="K230" s="36" t="str">
        <f>IF(AND($Q$1=FALSE,$S$3=FALSE),"-",IF(AND($Q$1=TRUE,$S$3=TRUE),"-",IF(AND($Q$1=FALSE,$S$3=FALSE),"-",IF(AND($Q$1=TRUE,$S$1=TRUE,$S$4=FALSE)=TRUE,IF(OR($Q$4=TRUE,$Q$5=TRUE,$S$2=TRUE),VLOOKUP($G230,'KO Calc'!$H:$AW,15,FALSE),VLOOKUP($G230,'KO Calc'!$H236:$AW236,15,FALSE)),IF(AND($Q$1=TRUE,$S$4=FALSE),IF(OR($Q$4=TRUE,$Q$5=TRUE,$S$2=TRUE),VLOOKUP($G230,'KO Calc'!$H:$AW,5,FALSE),VLOOKUP($G230,'KO Calc'!$H236:$AW236,5,FALSE)),
IF(AND($Q$1=TRUE,$S$1=TRUE,$S$4=TRUE)=TRUE,IF(OR($Q$4=TRUE,$Q$5=TRUE,$S$2=TRUE),VLOOKUP($G230,'KO Calc'!$H:$AW,20,FALSE),VLOOKUP($G230,'KO Calc'!$H236:$AW236,20,FALSE)),IF(AND($Q$1=TRUE,$S$4=TRUE),IF(OR($Q$4=TRUE,$Q$5=TRUE,$S$2=TRUE),VLOOKUP($G230,'KO Calc'!$H:$AW,10,FALSE),VLOOKUP($G230,'KO Calc'!$H236:$AW236,10,FALSE)),
IF(AND($S$3=TRUE,$S$1=TRUE,$S$4=FALSE)=TRUE,IF(OR($Q$4=TRUE,$Q$5=TRUE,$S$2=TRUE),VLOOKUP($G230,'KO Calc'!$H:$AW,35,FALSE),VLOOKUP($G230,'KO Calc'!$H236:$AW236,35,FALSE)),IF(AND($S$3=TRUE,$S$4=FALSE),IF(OR($Q$4=TRUE,$Q$5=TRUE,$S$2=TRUE),VLOOKUP($G230,'KO Calc'!$H:$AW,25,FALSE),VLOOKUP($G230,'KO Calc'!$H236:$AW236,25,FALSE)),
IF(AND($S$3=TRUE,$S$1=TRUE,$S$4=TRUE)=TRUE,IF(OR($Q$4=TRUE,$Q$5=TRUE,$S$2=TRUE),VLOOKUP($G230,'KO Calc'!$H:$AW,40,FALSE),VLOOKUP($G230,'KO Calc'!$H236:$AW236,40,FALSE)),IF(AND($S$3=TRUE,$S$4=TRUE),IF(OR($Q$4=TRUE,$Q$5=TRUE,$S$2=TRUE),VLOOKUP($G230,'KO Calc'!$H:$AW,30,FALSE),VLOOKUP($G230,'KO Calc'!$H236:$AW236,30,FALSE)))))))))))))</f>
        <v>-</v>
      </c>
      <c r="L230" s="36" t="str">
        <f>IFERROR(IF(AND($Q$1=FALSE,$S$3=FALSE),"-",VLOOKUP($E230,'Status Thresholds'!$E:$AU,43,FALSE)),"-")</f>
        <v>-</v>
      </c>
      <c r="M230" s="36" t="str">
        <f>IFERROR(IF(AND($Q$1=FALSE,$S$3=FALSE),"-",VLOOKUP($E230,'Status Thresholds'!$E:$AU,41,FALSE)),"-")</f>
        <v>-</v>
      </c>
      <c r="N230" s="36" t="str">
        <f>IFERROR(IF(AND($Q$1=FALSE,$S$3=FALSE),"-",VLOOKUP($E230,'Status Thresholds'!$E:$AU,42,FALSE)),"-")</f>
        <v>-</v>
      </c>
    </row>
    <row r="231" spans="1:14" x14ac:dyDescent="0.25">
      <c r="B231" s="64" t="str">
        <f>VLOOKUP(C231,'Status Thresholds'!B:C,2,FALSE)</f>
        <v>MHGen</v>
      </c>
      <c r="C231" s="46" t="str">
        <f>IF(ISBLANK('KO Calc'!C227)=TRUE,"",'KO Calc'!C227)</f>
        <v>Devil Jho</v>
      </c>
      <c r="D231" s="78" t="s">
        <v>213</v>
      </c>
      <c r="E231" s="62" t="str">
        <f t="shared" si="7"/>
        <v>Devil JhoPitfall Trap</v>
      </c>
      <c r="F231" t="s">
        <v>12</v>
      </c>
      <c r="G231" s="36" t="str">
        <f t="shared" si="8"/>
        <v>Devil JhoCrag 2</v>
      </c>
      <c r="H231" s="36" t="str">
        <f>IF(AND($Q$1=FALSE,$S$3=FALSE),"-",IF(AND($Q$1=TRUE,$S$3=TRUE),"-",IF(AND($Q$1=FALSE,$S$3=FALSE),"-",IF(AND($Q$1=TRUE,$S$1=TRUE,$S$4=FALSE)=TRUE,IF(OR($Q$4=TRUE,$Q$5=TRUE,$S$2=TRUE),VLOOKUP($G231,'KO Calc'!$H:$AW,12,FALSE),VLOOKUP($G231,'KO Calc'!$H237:$AW237,12,FALSE)),IF(AND($Q$1=TRUE,$S$4=FALSE),IF(OR($Q$4=TRUE,$Q$5=TRUE,$S$2=TRUE),VLOOKUP($G231,'KO Calc'!$H:$AW,2,FALSE),VLOOKUP($G231,'KO Calc'!$H237:$AW237,2,FALSE)),
IF(AND($Q$1=TRUE,$S$1=TRUE,$S$4=TRUE)=TRUE,IF(OR($Q$4=TRUE,$Q$5=TRUE,$S$2=TRUE),VLOOKUP($G231,'KO Calc'!$H:$AW,17,FALSE),VLOOKUP($G231,'KO Calc'!$H237:$AW237,17,FALSE)),IF(AND($Q$1=TRUE,$S$4=TRUE),IF(OR($Q$4=TRUE,$Q$5=TRUE,$S$2=TRUE),VLOOKUP($G231,'KO Calc'!$H:$AW,7,FALSE),VLOOKUP($G231,'KO Calc'!$H237:$AW237,7,FALSE)),
IF(AND($S$3=TRUE,$S$1=TRUE,$S$4=FALSE)=TRUE,IF(OR($Q$4=TRUE,$Q$5=TRUE,$S$2=TRUE),VLOOKUP($G231,'KO Calc'!$H:$AW,32,FALSE),VLOOKUP($G231,'KO Calc'!$H237:$AW237,32,FALSE)),IF(AND($S$3=TRUE,$S$4=FALSE),IF(OR($Q$4=TRUE,$Q$5=TRUE,$S$2=TRUE),VLOOKUP($G231,'KO Calc'!$H:$AW,22,FALSE),VLOOKUP($G231,'KO Calc'!$H237:$AW237,22,FALSE)),
IF(AND($S$3=TRUE,$S$1=TRUE,$S$4=TRUE)=TRUE,IF(OR($Q$4=TRUE,$Q$5=TRUE,$S$2=TRUE),VLOOKUP($G231,'KO Calc'!$H:$AW,37,FALSE),VLOOKUP($G231,'KO Calc'!$H237:$AW237,37,FALSE)),IF(AND($S$3=TRUE,$S$4=TRUE),IF(OR($Q$4=TRUE,$Q$5=TRUE,$S$2=TRUE),VLOOKUP($G231,'KO Calc'!$H:$AW,27,FALSE),VLOOKUP($G231,'KO Calc'!$H237:$AW237,27,FALSE)))))))))))))</f>
        <v>-</v>
      </c>
      <c r="I231" s="36" t="str">
        <f>IF(AND($Q$1=FALSE,$S$3=FALSE),"-",IF(AND($Q$1=TRUE,$S$3=TRUE),"-",IF(AND($Q$1=FALSE,$S$3=FALSE),"-",IF(AND($Q$1=TRUE,$S$1=TRUE,$S$4=FALSE)=TRUE,IF(OR($Q$4=TRUE,$Q$5=TRUE,$S$2=TRUE),VLOOKUP($G231,'KO Calc'!$H:$AW,13,FALSE),VLOOKUP($G231,'KO Calc'!$H237:$AW237,13,FALSE)),IF(AND($Q$1=TRUE,$S$4=FALSE),IF(OR($Q$4=TRUE,$Q$5=TRUE,$S$2=TRUE),VLOOKUP($G231,'KO Calc'!$H:$AW,3,FALSE),VLOOKUP($G231,'KO Calc'!$H237:$AW237,3,FALSE)),
IF(AND($Q$1=TRUE,$S$1=TRUE,$S$4=TRUE)=TRUE,IF(OR($Q$4=TRUE,$Q$5=TRUE,$S$2=TRUE),VLOOKUP($G231,'KO Calc'!$H:$AW,18,FALSE),VLOOKUP($G231,'KO Calc'!$H237:$AW237,18,FALSE)),IF(AND($Q$1=TRUE,$S$4=TRUE),IF(OR($Q$4=TRUE,$Q$5=TRUE,$S$2=TRUE),VLOOKUP($G231,'KO Calc'!$H:$AW,8,FALSE),VLOOKUP($G231,'KO Calc'!$H237:$AW237,8,FALSE)),
IF(AND($S$3=TRUE,$S$1=TRUE,$S$4=FALSE)=TRUE,IF(OR($Q$4=TRUE,$Q$5=TRUE,$S$2=TRUE),VLOOKUP($G231,'KO Calc'!$H:$AW,33,FALSE),VLOOKUP($G231,'KO Calc'!$H237:$AW237,33,FALSE)),IF(AND($S$3=TRUE,$S$4=FALSE),IF(OR($Q$4=TRUE,$Q$5=TRUE,$S$2=TRUE),VLOOKUP($G231,'KO Calc'!$H:$AW,23,FALSE),VLOOKUP($G231,'KO Calc'!$H237:$AW237,23,FALSE)),
IF(AND($S$3=TRUE,$S$1=TRUE,$S$4=TRUE)=TRUE,IF(OR($Q$4=TRUE,$Q$5=TRUE,$S$2=TRUE),VLOOKUP($G231,'KO Calc'!$H:$AW,38,FALSE),VLOOKUP($G231,'KO Calc'!$H237:$AW237,38,FALSE)),IF(AND($S$3=TRUE,$S$4=TRUE),IF(OR($Q$4=TRUE,$Q$5=TRUE,$S$2=TRUE),VLOOKUP($G231,'KO Calc'!$H:$AW,28,FALSE),VLOOKUP($G231,'KO Calc'!$H237:$AW237,28,FALSE)))))))))))))</f>
        <v>-</v>
      </c>
      <c r="J231" s="36" t="str">
        <f>IF(AND($Q$1=FALSE,$S$3=FALSE),"-",IF(AND($Q$1=TRUE,$S$3=TRUE),"-",IF(AND($Q$1=FALSE,$S$3=FALSE),"-",IF(AND($Q$1=TRUE,$S$1=TRUE,$S$4=FALSE)=TRUE,IF(OR($Q$4=TRUE,$Q$5=TRUE,$S$2=TRUE),VLOOKUP($G231,'KO Calc'!$H:$AW,FALSE),VLOOKUP($G231,'KO Calc'!$H237:$AW237,14,FALSE)),IF(AND($Q$1=TRUE,$S$4=FALSE),IF(OR($Q$4=TRUE,$Q$5=TRUE,$S$2=TRUE),VLOOKUP($G231,'KO Calc'!$H:$AW,4,FALSE),VLOOKUP($G231,'KO Calc'!$H237:$AW237,4,FALSE)),
IF(AND($Q$1=TRUE,$S$1=TRUE,$S$4=TRUE)=TRUE,IF(OR($Q$4=TRUE,$Q$5=TRUE,$S$2=TRUE),VLOOKUP($G231,'KO Calc'!$H:$AW,19,FALSE),VLOOKUP($G231,'KO Calc'!$H237:$AW237,19,FALSE)),IF(AND($Q$1=TRUE,$S$4=TRUE),IF(OR($Q$4=TRUE,$Q$5=TRUE,$S$2=TRUE),VLOOKUP($G231,'KO Calc'!$H:$AW,9,FALSE),VLOOKUP($G231,'KO Calc'!$H237:$AW237,9,FALSE)),
IF(AND($S$3=TRUE,$S$1=TRUE,$S$4=FALSE)=TRUE,IF(OR($Q$4=TRUE,$Q$5=TRUE,$S$2=TRUE),VLOOKUP($G231,'KO Calc'!$H:$AW,34,FALSE),VLOOKUP($G231,'KO Calc'!$H237:$AW237,34,FALSE)),IF(AND($S$3=TRUE,$S$4=FALSE),IF(OR($Q$4=TRUE,$Q$5=TRUE,$S$2=TRUE),VLOOKUP($G231,'KO Calc'!$H:$AW,24,FALSE),VLOOKUP($G231,'KO Calc'!$H237:$AW237,24,FALSE)),
IF(AND($S$3=TRUE,$S$1=TRUE,$S$4=TRUE)=TRUE,IF(OR($Q$4=TRUE,$Q$5=TRUE,$S$2=TRUE),VLOOKUP($G231,'KO Calc'!$H:$AW,39,FALSE),VLOOKUP($G231,'KO Calc'!$H237:$AW237,39,FALSE)),IF(AND($S$3=TRUE,$S$4=TRUE),IF(OR($Q$4=TRUE,$Q$5=TRUE,$S$2=TRUE),VLOOKUP($G231,'KO Calc'!$H:$AW,29,FALSE),VLOOKUP($G231,'KO Calc'!$H237:$AW237,29,FALSE)))))))))))))</f>
        <v>-</v>
      </c>
      <c r="K231" s="36" t="str">
        <f>IF(AND($Q$1=FALSE,$S$3=FALSE),"-",IF(AND($Q$1=TRUE,$S$3=TRUE),"-",IF(AND($Q$1=FALSE,$S$3=FALSE),"-",IF(AND($Q$1=TRUE,$S$1=TRUE,$S$4=FALSE)=TRUE,IF(OR($Q$4=TRUE,$Q$5=TRUE,$S$2=TRUE),VLOOKUP($G231,'KO Calc'!$H:$AW,15,FALSE),VLOOKUP($G231,'KO Calc'!$H237:$AW237,15,FALSE)),IF(AND($Q$1=TRUE,$S$4=FALSE),IF(OR($Q$4=TRUE,$Q$5=TRUE,$S$2=TRUE),VLOOKUP($G231,'KO Calc'!$H:$AW,5,FALSE),VLOOKUP($G231,'KO Calc'!$H237:$AW237,5,FALSE)),
IF(AND($Q$1=TRUE,$S$1=TRUE,$S$4=TRUE)=TRUE,IF(OR($Q$4=TRUE,$Q$5=TRUE,$S$2=TRUE),VLOOKUP($G231,'KO Calc'!$H:$AW,20,FALSE),VLOOKUP($G231,'KO Calc'!$H237:$AW237,20,FALSE)),IF(AND($Q$1=TRUE,$S$4=TRUE),IF(OR($Q$4=TRUE,$Q$5=TRUE,$S$2=TRUE),VLOOKUP($G231,'KO Calc'!$H:$AW,10,FALSE),VLOOKUP($G231,'KO Calc'!$H237:$AW237,10,FALSE)),
IF(AND($S$3=TRUE,$S$1=TRUE,$S$4=FALSE)=TRUE,IF(OR($Q$4=TRUE,$Q$5=TRUE,$S$2=TRUE),VLOOKUP($G231,'KO Calc'!$H:$AW,35,FALSE),VLOOKUP($G231,'KO Calc'!$H237:$AW237,35,FALSE)),IF(AND($S$3=TRUE,$S$4=FALSE),IF(OR($Q$4=TRUE,$Q$5=TRUE,$S$2=TRUE),VLOOKUP($G231,'KO Calc'!$H:$AW,25,FALSE),VLOOKUP($G231,'KO Calc'!$H237:$AW237,25,FALSE)),
IF(AND($S$3=TRUE,$S$1=TRUE,$S$4=TRUE)=TRUE,IF(OR($Q$4=TRUE,$Q$5=TRUE,$S$2=TRUE),VLOOKUP($G231,'KO Calc'!$H:$AW,40,FALSE),VLOOKUP($G231,'KO Calc'!$H237:$AW237,40,FALSE)),IF(AND($S$3=TRUE,$S$4=TRUE),IF(OR($Q$4=TRUE,$Q$5=TRUE,$S$2=TRUE),VLOOKUP($G231,'KO Calc'!$H:$AW,30,FALSE),VLOOKUP($G231,'KO Calc'!$H237:$AW237,30,FALSE)))))))))))))</f>
        <v>-</v>
      </c>
      <c r="L231" s="36" t="str">
        <f>IFERROR(IF(AND($Q$1=FALSE,$S$3=FALSE),"-",VLOOKUP($E231,'Status Thresholds'!$E:$AU,43,FALSE)),"-")</f>
        <v>-</v>
      </c>
      <c r="M231" s="36" t="str">
        <f>IFERROR(IF(AND($Q$1=FALSE,$S$3=FALSE),"-",VLOOKUP($E231,'Status Thresholds'!$E:$AU,41,FALSE)),"-")</f>
        <v>-</v>
      </c>
      <c r="N231" s="36" t="str">
        <f>IFERROR(IF(AND($Q$1=FALSE,$S$3=FALSE),"-",VLOOKUP($E231,'Status Thresholds'!$E:$AU,42,FALSE)),"-")</f>
        <v>-</v>
      </c>
    </row>
    <row r="232" spans="1:14" x14ac:dyDescent="0.25">
      <c r="B232" s="64" t="str">
        <f>VLOOKUP(C232,'Status Thresholds'!B:C,2,FALSE)</f>
        <v>MHGen</v>
      </c>
      <c r="C232" s="46" t="str">
        <f>IF(ISBLANK('KO Calc'!C228)=TRUE,"",'KO Calc'!C228)</f>
        <v>Devil Jho</v>
      </c>
      <c r="D232" s="78"/>
      <c r="E232" s="62" t="str">
        <f t="shared" si="7"/>
        <v>Devil Jho</v>
      </c>
      <c r="F232" t="s">
        <v>11</v>
      </c>
      <c r="G232" s="36" t="str">
        <f t="shared" si="8"/>
        <v>Devil JhoCrag 1</v>
      </c>
      <c r="H232" s="36" t="str">
        <f>IF(AND($Q$1=FALSE,$S$3=FALSE),"-",IF(AND($Q$1=TRUE,$S$3=TRUE),"-",IF(AND($Q$1=FALSE,$S$3=FALSE),"-",IF(AND($Q$1=TRUE,$S$1=TRUE,$S$4=FALSE)=TRUE,IF(OR($Q$4=TRUE,$Q$5=TRUE,$S$2=TRUE),VLOOKUP($G232,'KO Calc'!$H:$AW,12,FALSE),VLOOKUP($G232,'KO Calc'!$H238:$AW238,12,FALSE)),IF(AND($Q$1=TRUE,$S$4=FALSE),IF(OR($Q$4=TRUE,$Q$5=TRUE,$S$2=TRUE),VLOOKUP($G232,'KO Calc'!$H:$AW,2,FALSE),VLOOKUP($G232,'KO Calc'!$H238:$AW238,2,FALSE)),
IF(AND($Q$1=TRUE,$S$1=TRUE,$S$4=TRUE)=TRUE,IF(OR($Q$4=TRUE,$Q$5=TRUE,$S$2=TRUE),VLOOKUP($G232,'KO Calc'!$H:$AW,17,FALSE),VLOOKUP($G232,'KO Calc'!$H238:$AW238,17,FALSE)),IF(AND($Q$1=TRUE,$S$4=TRUE),IF(OR($Q$4=TRUE,$Q$5=TRUE,$S$2=TRUE),VLOOKUP($G232,'KO Calc'!$H:$AW,7,FALSE),VLOOKUP($G232,'KO Calc'!$H238:$AW238,7,FALSE)),
IF(AND($S$3=TRUE,$S$1=TRUE,$S$4=FALSE)=TRUE,IF(OR($Q$4=TRUE,$Q$5=TRUE,$S$2=TRUE),VLOOKUP($G232,'KO Calc'!$H:$AW,32,FALSE),VLOOKUP($G232,'KO Calc'!$H238:$AW238,32,FALSE)),IF(AND($S$3=TRUE,$S$4=FALSE),IF(OR($Q$4=TRUE,$Q$5=TRUE,$S$2=TRUE),VLOOKUP($G232,'KO Calc'!$H:$AW,22,FALSE),VLOOKUP($G232,'KO Calc'!$H238:$AW238,22,FALSE)),
IF(AND($S$3=TRUE,$S$1=TRUE,$S$4=TRUE)=TRUE,IF(OR($Q$4=TRUE,$Q$5=TRUE,$S$2=TRUE),VLOOKUP($G232,'KO Calc'!$H:$AW,37,FALSE),VLOOKUP($G232,'KO Calc'!$H238:$AW238,37,FALSE)),IF(AND($S$3=TRUE,$S$4=TRUE),IF(OR($Q$4=TRUE,$Q$5=TRUE,$S$2=TRUE),VLOOKUP($G232,'KO Calc'!$H:$AW,27,FALSE),VLOOKUP($G232,'KO Calc'!$H238:$AW238,27,FALSE)))))))))))))</f>
        <v>-</v>
      </c>
      <c r="I232" s="36" t="str">
        <f>IF(AND($Q$1=FALSE,$S$3=FALSE),"-",IF(AND($Q$1=TRUE,$S$3=TRUE),"-",IF(AND($Q$1=FALSE,$S$3=FALSE),"-",IF(AND($Q$1=TRUE,$S$1=TRUE,$S$4=FALSE)=TRUE,IF(OR($Q$4=TRUE,$Q$5=TRUE,$S$2=TRUE),VLOOKUP($G232,'KO Calc'!$H:$AW,13,FALSE),VLOOKUP($G232,'KO Calc'!$H238:$AW238,13,FALSE)),IF(AND($Q$1=TRUE,$S$4=FALSE),IF(OR($Q$4=TRUE,$Q$5=TRUE,$S$2=TRUE),VLOOKUP($G232,'KO Calc'!$H:$AW,3,FALSE),VLOOKUP($G232,'KO Calc'!$H238:$AW238,3,FALSE)),
IF(AND($Q$1=TRUE,$S$1=TRUE,$S$4=TRUE)=TRUE,IF(OR($Q$4=TRUE,$Q$5=TRUE,$S$2=TRUE),VLOOKUP($G232,'KO Calc'!$H:$AW,18,FALSE),VLOOKUP($G232,'KO Calc'!$H238:$AW238,18,FALSE)),IF(AND($Q$1=TRUE,$S$4=TRUE),IF(OR($Q$4=TRUE,$Q$5=TRUE,$S$2=TRUE),VLOOKUP($G232,'KO Calc'!$H:$AW,8,FALSE),VLOOKUP($G232,'KO Calc'!$H238:$AW238,8,FALSE)),
IF(AND($S$3=TRUE,$S$1=TRUE,$S$4=FALSE)=TRUE,IF(OR($Q$4=TRUE,$Q$5=TRUE,$S$2=TRUE),VLOOKUP($G232,'KO Calc'!$H:$AW,33,FALSE),VLOOKUP($G232,'KO Calc'!$H238:$AW238,33,FALSE)),IF(AND($S$3=TRUE,$S$4=FALSE),IF(OR($Q$4=TRUE,$Q$5=TRUE,$S$2=TRUE),VLOOKUP($G232,'KO Calc'!$H:$AW,23,FALSE),VLOOKUP($G232,'KO Calc'!$H238:$AW238,23,FALSE)),
IF(AND($S$3=TRUE,$S$1=TRUE,$S$4=TRUE)=TRUE,IF(OR($Q$4=TRUE,$Q$5=TRUE,$S$2=TRUE),VLOOKUP($G232,'KO Calc'!$H:$AW,38,FALSE),VLOOKUP($G232,'KO Calc'!$H238:$AW238,38,FALSE)),IF(AND($S$3=TRUE,$S$4=TRUE),IF(OR($Q$4=TRUE,$Q$5=TRUE,$S$2=TRUE),VLOOKUP($G232,'KO Calc'!$H:$AW,28,FALSE),VLOOKUP($G232,'KO Calc'!$H238:$AW238,28,FALSE)))))))))))))</f>
        <v>-</v>
      </c>
      <c r="J232" s="36" t="str">
        <f>IF(AND($Q$1=FALSE,$S$3=FALSE),"-",IF(AND($Q$1=TRUE,$S$3=TRUE),"-",IF(AND($Q$1=FALSE,$S$3=FALSE),"-",IF(AND($Q$1=TRUE,$S$1=TRUE,$S$4=FALSE)=TRUE,IF(OR($Q$4=TRUE,$Q$5=TRUE,$S$2=TRUE),VLOOKUP($G232,'KO Calc'!$H:$AW,FALSE),VLOOKUP($G232,'KO Calc'!$H238:$AW238,14,FALSE)),IF(AND($Q$1=TRUE,$S$4=FALSE),IF(OR($Q$4=TRUE,$Q$5=TRUE,$S$2=TRUE),VLOOKUP($G232,'KO Calc'!$H:$AW,4,FALSE),VLOOKUP($G232,'KO Calc'!$H238:$AW238,4,FALSE)),
IF(AND($Q$1=TRUE,$S$1=TRUE,$S$4=TRUE)=TRUE,IF(OR($Q$4=TRUE,$Q$5=TRUE,$S$2=TRUE),VLOOKUP($G232,'KO Calc'!$H:$AW,19,FALSE),VLOOKUP($G232,'KO Calc'!$H238:$AW238,19,FALSE)),IF(AND($Q$1=TRUE,$S$4=TRUE),IF(OR($Q$4=TRUE,$Q$5=TRUE,$S$2=TRUE),VLOOKUP($G232,'KO Calc'!$H:$AW,9,FALSE),VLOOKUP($G232,'KO Calc'!$H238:$AW238,9,FALSE)),
IF(AND($S$3=TRUE,$S$1=TRUE,$S$4=FALSE)=TRUE,IF(OR($Q$4=TRUE,$Q$5=TRUE,$S$2=TRUE),VLOOKUP($G232,'KO Calc'!$H:$AW,34,FALSE),VLOOKUP($G232,'KO Calc'!$H238:$AW238,34,FALSE)),IF(AND($S$3=TRUE,$S$4=FALSE),IF(OR($Q$4=TRUE,$Q$5=TRUE,$S$2=TRUE),VLOOKUP($G232,'KO Calc'!$H:$AW,24,FALSE),VLOOKUP($G232,'KO Calc'!$H238:$AW238,24,FALSE)),
IF(AND($S$3=TRUE,$S$1=TRUE,$S$4=TRUE)=TRUE,IF(OR($Q$4=TRUE,$Q$5=TRUE,$S$2=TRUE),VLOOKUP($G232,'KO Calc'!$H:$AW,39,FALSE),VLOOKUP($G232,'KO Calc'!$H238:$AW238,39,FALSE)),IF(AND($S$3=TRUE,$S$4=TRUE),IF(OR($Q$4=TRUE,$Q$5=TRUE,$S$2=TRUE),VLOOKUP($G232,'KO Calc'!$H:$AW,29,FALSE),VLOOKUP($G232,'KO Calc'!$H238:$AW238,29,FALSE)))))))))))))</f>
        <v>-</v>
      </c>
      <c r="K232" s="36" t="str">
        <f>IF(AND($Q$1=FALSE,$S$3=FALSE),"-",IF(AND($Q$1=TRUE,$S$3=TRUE),"-",IF(AND($Q$1=FALSE,$S$3=FALSE),"-",IF(AND($Q$1=TRUE,$S$1=TRUE,$S$4=FALSE)=TRUE,IF(OR($Q$4=TRUE,$Q$5=TRUE,$S$2=TRUE),VLOOKUP($G232,'KO Calc'!$H:$AW,15,FALSE),VLOOKUP($G232,'KO Calc'!$H238:$AW238,15,FALSE)),IF(AND($Q$1=TRUE,$S$4=FALSE),IF(OR($Q$4=TRUE,$Q$5=TRUE,$S$2=TRUE),VLOOKUP($G232,'KO Calc'!$H:$AW,5,FALSE),VLOOKUP($G232,'KO Calc'!$H238:$AW238,5,FALSE)),
IF(AND($Q$1=TRUE,$S$1=TRUE,$S$4=TRUE)=TRUE,IF(OR($Q$4=TRUE,$Q$5=TRUE,$S$2=TRUE),VLOOKUP($G232,'KO Calc'!$H:$AW,20,FALSE),VLOOKUP($G232,'KO Calc'!$H238:$AW238,20,FALSE)),IF(AND($Q$1=TRUE,$S$4=TRUE),IF(OR($Q$4=TRUE,$Q$5=TRUE,$S$2=TRUE),VLOOKUP($G232,'KO Calc'!$H:$AW,10,FALSE),VLOOKUP($G232,'KO Calc'!$H238:$AW238,10,FALSE)),
IF(AND($S$3=TRUE,$S$1=TRUE,$S$4=FALSE)=TRUE,IF(OR($Q$4=TRUE,$Q$5=TRUE,$S$2=TRUE),VLOOKUP($G232,'KO Calc'!$H:$AW,35,FALSE),VLOOKUP($G232,'KO Calc'!$H238:$AW238,35,FALSE)),IF(AND($S$3=TRUE,$S$4=FALSE),IF(OR($Q$4=TRUE,$Q$5=TRUE,$S$2=TRUE),VLOOKUP($G232,'KO Calc'!$H:$AW,25,FALSE),VLOOKUP($G232,'KO Calc'!$H238:$AW238,25,FALSE)),
IF(AND($S$3=TRUE,$S$1=TRUE,$S$4=TRUE)=TRUE,IF(OR($Q$4=TRUE,$Q$5=TRUE,$S$2=TRUE),VLOOKUP($G232,'KO Calc'!$H:$AW,40,FALSE),VLOOKUP($G232,'KO Calc'!$H238:$AW238,40,FALSE)),IF(AND($S$3=TRUE,$S$4=TRUE),IF(OR($Q$4=TRUE,$Q$5=TRUE,$S$2=TRUE),VLOOKUP($G232,'KO Calc'!$H:$AW,30,FALSE),VLOOKUP($G232,'KO Calc'!$H238:$AW238,30,FALSE)))))))))))))</f>
        <v>-</v>
      </c>
      <c r="L232" s="36" t="str">
        <f>IFERROR(VLOOKUP($E232,'Status Thresholds'!$E:$AS,41,FALSE),"-")</f>
        <v>-</v>
      </c>
    </row>
    <row r="233" spans="1:14" x14ac:dyDescent="0.25">
      <c r="B233" s="64" t="str">
        <f>VLOOKUP(C233,'Status Thresholds'!B:C,2,FALSE)</f>
        <v>MHGen</v>
      </c>
      <c r="C233" s="46" t="str">
        <f>IF(ISBLANK('KO Calc'!C229)=TRUE,"",'KO Calc'!C229)</f>
        <v>Devil Jho</v>
      </c>
      <c r="D233" s="78"/>
      <c r="E233" s="62"/>
      <c r="G233" s="36"/>
      <c r="L233" s="36" t="str">
        <f>IFERROR(VLOOKUP($E233,'Status Thresholds'!$E:$AS,41,FALSE),"-")</f>
        <v>-</v>
      </c>
    </row>
    <row r="234" spans="1:14" s="36" customFormat="1" x14ac:dyDescent="0.25">
      <c r="B234" s="64" t="str">
        <f>VLOOKUP(C234,'Status Thresholds'!B:C,2,FALSE)</f>
        <v>MHGen</v>
      </c>
      <c r="C234" s="46" t="str">
        <f>IF(ISBLANK('KO Calc'!C230)=TRUE,"",'KO Calc'!C230)</f>
        <v>Devil Jho (Savage)</v>
      </c>
      <c r="D234" s="65" t="s">
        <v>0</v>
      </c>
      <c r="E234" s="62" t="str">
        <f t="shared" si="7"/>
        <v>Devil Jho (Savage)Para</v>
      </c>
      <c r="F234" s="36" t="s">
        <v>2</v>
      </c>
      <c r="G234" s="36" t="str">
        <f t="shared" si="8"/>
        <v>Devil Jho (Savage)Para lvl 2</v>
      </c>
      <c r="H234" s="36" t="str">
        <f>IFERROR(ROUNDUP(IF(AND($Q$1=FALSE,$S$3=FALSE),"-",IF(AND($Q$1=TRUE,$S$3=TRUE),"-",IF(AND($Q$1=TRUE,$S$1=TRUE,$S$4=FALSE),VLOOKUP($E234,'Status Thresholds'!$E:$AS,12,FALSE),IF(AND($Q$1=TRUE,$S$4=FALSE),VLOOKUP($E234,'Status Thresholds'!$E:$AS,2,FALSE), IF(AND($Q$1=TRUE,$S$1=TRUE,$S$4=TRUE),VLOOKUP($E234,'Status Thresholds'!$E:$AS,17,FALSE),IF(AND($Q$1=TRUE,$S$4=TRUE),VLOOKUP($E234,'Status Thresholds'!$E:$AS,7,FALSE),IF(AND($S$3=TRUE,$S$1=TRUE,$S$4=FALSE),VLOOKUP($E234,'Status Thresholds'!$E:$AS,32,FALSE),IF(AND($S$3=TRUE,$S$4=FALSE),VLOOKUP($E234,'Status Thresholds'!$E:$AS,22,FALSE),IF(AND($S$3=TRUE,$S$1=TRUE,$S$4=TRUE),VLOOKUP($E234,'Status Thresholds'!$E:$AS,37,FALSE),IF(AND($S$3=TRUE,$S$4=TRUE),VLOOKUP($E234,'Status Thresholds'!$E:$AS,27,FALSE),""))))))))/IF(OR($Q$3=TRUE,AND($Q$2=TRUE,$Q$7=TRUE),AND($Q$3=TRUE,$Q$7=TRUE))=TRUE,'Shots and Status'!$F$5,IF((OR($Q$2,$Q$7)=TRUE),'Shots and Status'!$D$5,'Shots and Status'!$C$5)))),0),"-")</f>
        <v>-</v>
      </c>
      <c r="I234" s="36" t="str">
        <f>IFERROR(ROUNDUP(IF(AND($Q$1=FALSE,$S$3=FALSE),"-",IF(AND($Q$1=TRUE,$S$3=TRUE),"-",IF(AND($Q$1=TRUE,$S$1=TRUE,$S$4=FALSE),VLOOKUP($E234,'Status Thresholds'!$E:$AS,13,FALSE),IF(AND($Q$1=TRUE,$S$4=FALSE),VLOOKUP($E234,'Status Thresholds'!$E:$AS,3,FALSE), IF(AND($Q$1=TRUE,$S$1=TRUE,$S$4=TRUE),VLOOKUP($E234,'Status Thresholds'!$E:$AS,18,FALSE),IF(AND($Q$1=TRUE,$S$4=TRUE),VLOOKUP($E234,'Status Thresholds'!$E:$AS,8,FALSE),IF(AND($S$3=TRUE,$S$1=TRUE,$S$4=FALSE),VLOOKUP($E234,'Status Thresholds'!$E:$AS,33,FALSE),IF(AND($S$3=TRUE,$S$4=FALSE),VLOOKUP($E234,'Status Thresholds'!$E:$AS,23,FALSE),IF(AND($S$3=TRUE,$S$1=TRUE,$S$4=TRUE),VLOOKUP($E234,'Status Thresholds'!$E:$AS,38,FALSE),IF(AND($S$3=TRUE,$S$4=TRUE),VLOOKUP($E234,'Status Thresholds'!$E:$AS,28,FALSE),""))))))))/IF(OR($Q$3=TRUE,AND($Q$2=TRUE,$Q$7=TRUE),AND($Q$3=TRUE,$Q$7=TRUE))=TRUE,'Shots and Status'!$F$5,IF((OR($Q$2,$Q$7)=TRUE),'Shots and Status'!$D$5,'Shots and Status'!$C$5)))),0),"-")</f>
        <v>-</v>
      </c>
      <c r="J234" s="36" t="str">
        <f>IFERROR(ROUNDUP(IF(AND($Q$1=FALSE,$S$3=FALSE),"-",IF(AND($Q$1=TRUE,$S$3=TRUE),"-",IF(AND($Q$1=TRUE,$S$1=TRUE,$S$4=FALSE),VLOOKUP($E234,'Status Thresholds'!$E:$AS,14,FALSE),IF(AND($Q$1=TRUE,$S$4=FALSE),VLOOKUP($E234,'Status Thresholds'!$E:$AS,4,FALSE), IF(AND($Q$1=TRUE,$S$1=TRUE,$S$4=TRUE),VLOOKUP($E234,'Status Thresholds'!$E:$AS,19,FALSE),IF(AND($Q$1=TRUE,$S$4=TRUE),VLOOKUP($E234,'Status Thresholds'!$E:$AS,9,FALSE),IF(AND($S$3=TRUE,$S$1=TRUE,$S$4=FALSE),VLOOKUP($E234,'Status Thresholds'!$E:$AS,34,FALSE),IF(AND($S$3=TRUE,$S$4=FALSE),VLOOKUP($E234,'Status Thresholds'!$E:$AS,24,FALSE),IF(AND($S$3=TRUE,$S$1=TRUE,$S$4=TRUE),VLOOKUP($E234,'Status Thresholds'!$E:$AS,39,FALSE),IF(AND($S$3=TRUE,$S$4=TRUE),VLOOKUP($E234,'Status Thresholds'!$E:$AS,29,FALSE),""))))))))/IF(OR($Q$3=TRUE,AND($Q$2=TRUE,$Q$7=TRUE),AND($Q$3=TRUE,$Q$7=TRUE))=TRUE,'Shots and Status'!$F$5,IF((OR($Q$2,$Q$7)=TRUE),'Shots and Status'!$D$5,'Shots and Status'!$C$5)))),0),"-")</f>
        <v>-</v>
      </c>
      <c r="K234" s="36" t="str">
        <f>IFERROR(ROUNDUP(IF(AND($Q$1=FALSE,$S$3=FALSE),"-",IF(AND($Q$1=TRUE,$S$3=TRUE),"-",IF(AND($Q$1=TRUE,$S$1=TRUE,$S$4=FALSE),VLOOKUP($E234,'Status Thresholds'!$E:$AS,15,FALSE),IF(AND($Q$1=TRUE,$S$4=FALSE),VLOOKUP($E234,'Status Thresholds'!$E:$AS,5,FALSE), IF(AND($Q$1=TRUE,$S$1=TRUE,$S$4=TRUE),VLOOKUP($E234,'Status Thresholds'!$E:$AS,20,FALSE),IF(AND($Q$1=TRUE,$S$4=TRUE),VLOOKUP($E234,'Status Thresholds'!$E:$AS,10,FALSE),IF(AND($S$3=TRUE,$S$1=TRUE,$S$4=FALSE),VLOOKUP($E234,'Status Thresholds'!$E:$AS,35,FALSE),IF(AND($S$3=TRUE,$S$4=FALSE),VLOOKUP($E234,'Status Thresholds'!$E:$AS,25,FALSE),IF(AND($S$3=TRUE,$S$1=TRUE,$S$4=TRUE),VLOOKUP($E234,'Status Thresholds'!$E:$AS,40,FALSE),IF(AND($S$3=TRUE,$S$4=TRUE),VLOOKUP($E234,'Status Thresholds'!$E:$AS,30,FALSE),""))))))))/IF(OR($Q$3=TRUE,AND($Q$2=TRUE,$Q$7=TRUE),AND($Q$3=TRUE,$Q$7=TRUE))=TRUE,'Shots and Status'!$F$5,IF((OR($Q$2,$Q$7)=TRUE),'Shots and Status'!$D$5,'Shots and Status'!$C$5)))),0),"-")</f>
        <v>-</v>
      </c>
      <c r="L234" s="36" t="str">
        <f>IFERROR(IF(AND($Q$1=FALSE,$S$3=FALSE),"-",VLOOKUP($E234,'Status Thresholds'!$E:$AU,41,FALSE)),"-")</f>
        <v>-</v>
      </c>
      <c r="M234" s="36" t="str">
        <f>IFERROR(IF(AND($Q$1=FALSE,$S$3=FALSE),"-",VLOOKUP($E234,'Status Thresholds'!$E:$AU,42,FALSE)),"-")</f>
        <v>-</v>
      </c>
      <c r="N234" s="36" t="str">
        <f>IFERROR(IF(AND($Q$1=FALSE,$S$3=FALSE),"-",VLOOKUP($E234,'Status Thresholds'!$E:$AU,43,FALSE)),"-")</f>
        <v>-</v>
      </c>
    </row>
    <row r="235" spans="1:14" s="59" customFormat="1" x14ac:dyDescent="0.25">
      <c r="A235" s="46"/>
      <c r="B235" s="64" t="str">
        <f>VLOOKUP(C235,'Status Thresholds'!B:C,2,FALSE)</f>
        <v>MHGen</v>
      </c>
      <c r="C235" s="46" t="str">
        <f>IF(ISBLANK('KO Calc'!C231)=TRUE,"",'KO Calc'!C231)</f>
        <v>Devil Jho (Savage)</v>
      </c>
      <c r="D235" s="60" t="s">
        <v>32</v>
      </c>
      <c r="E235" s="62" t="str">
        <f t="shared" si="7"/>
        <v>Devil Jho (Savage)Sleep</v>
      </c>
      <c r="F235" s="59" t="s">
        <v>5</v>
      </c>
      <c r="G235" s="36" t="str">
        <f t="shared" si="8"/>
        <v>Devil Jho (Savage)Sleep lvl 2</v>
      </c>
      <c r="H235" s="36" t="str">
        <f>IFERROR(ROUNDUP(IF(AND($Q$1=FALSE,$S$3=FALSE),"-",IF(AND($Q$1=TRUE,$S$3=TRUE),"-",IF(AND($Q$1=TRUE,$S$1=TRUE,$S$4=FALSE),VLOOKUP($E235,'Status Thresholds'!$E:$AS,12,FALSE),IF(AND($Q$1=TRUE,$S$4=FALSE),VLOOKUP($E235,'Status Thresholds'!$E:$AS,2,FALSE), IF(AND($Q$1=TRUE,$S$1=TRUE,$S$4=TRUE),VLOOKUP($E235,'Status Thresholds'!$E:$AS,17,FALSE),IF(AND($Q$1=TRUE,$S$4=TRUE),VLOOKUP($E235,'Status Thresholds'!$E:$AS,7,FALSE),IF(AND($S$3=TRUE,$S$1=TRUE,$S$4=FALSE),VLOOKUP($E235,'Status Thresholds'!$E:$AS,32,FALSE),IF(AND($S$3=TRUE,$S$4=FALSE),VLOOKUP($E235,'Status Thresholds'!$E:$AS,22,FALSE),IF(AND($S$3=TRUE,$S$1=TRUE,$S$4=TRUE),VLOOKUP($E235,'Status Thresholds'!$E:$AS,37,FALSE),IF(AND($S$3=TRUE,$S$4=TRUE),VLOOKUP($E235,'Status Thresholds'!$E:$AS,27,FALSE),""))))))))/IF(OR($Q$3=TRUE,AND($Q$2=TRUE,$Q$7=TRUE),AND($Q$3=TRUE,$Q$7=TRUE))=TRUE,'Shots and Status'!$F$5,IF((OR($Q$2,$Q$7)=TRUE),'Shots and Status'!$D$5,'Shots and Status'!$C$5)))),0),"-")</f>
        <v>-</v>
      </c>
      <c r="I235" s="36" t="str">
        <f>IFERROR(ROUNDUP(IF(AND($Q$1=FALSE,$S$3=FALSE),"-",IF(AND($Q$1=TRUE,$S$3=TRUE),"-",IF(AND($Q$1=TRUE,$S$1=TRUE,$S$4=FALSE),VLOOKUP($E235,'Status Thresholds'!$E:$AS,13,FALSE),IF(AND($Q$1=TRUE,$S$4=FALSE),VLOOKUP($E235,'Status Thresholds'!$E:$AS,3,FALSE), IF(AND($Q$1=TRUE,$S$1=TRUE,$S$4=TRUE),VLOOKUP($E235,'Status Thresholds'!$E:$AS,18,FALSE),IF(AND($Q$1=TRUE,$S$4=TRUE),VLOOKUP($E235,'Status Thresholds'!$E:$AS,8,FALSE),IF(AND($S$3=TRUE,$S$1=TRUE,$S$4=FALSE),VLOOKUP($E235,'Status Thresholds'!$E:$AS,33,FALSE),IF(AND($S$3=TRUE,$S$4=FALSE),VLOOKUP($E235,'Status Thresholds'!$E:$AS,23,FALSE),IF(AND($S$3=TRUE,$S$1=TRUE,$S$4=TRUE),VLOOKUP($E235,'Status Thresholds'!$E:$AS,38,FALSE),IF(AND($S$3=TRUE,$S$4=TRUE),VLOOKUP($E235,'Status Thresholds'!$E:$AS,28,FALSE),""))))))))/IF(OR($Q$3=TRUE,AND($Q$2=TRUE,$Q$7=TRUE),AND($Q$3=TRUE,$Q$7=TRUE))=TRUE,'Shots and Status'!$F$5,IF((OR($Q$2,$Q$7)=TRUE),'Shots and Status'!$D$5,'Shots and Status'!$C$5)))),0),"-")</f>
        <v>-</v>
      </c>
      <c r="J235" s="36" t="str">
        <f>IFERROR(ROUNDUP(IF(AND($Q$1=FALSE,$S$3=FALSE),"-",IF(AND($Q$1=TRUE,$S$3=TRUE),"-",IF(AND($Q$1=TRUE,$S$1=TRUE,$S$4=FALSE),VLOOKUP($E235,'Status Thresholds'!$E:$AS,14,FALSE),IF(AND($Q$1=TRUE,$S$4=FALSE),VLOOKUP($E235,'Status Thresholds'!$E:$AS,4,FALSE), IF(AND($Q$1=TRUE,$S$1=TRUE,$S$4=TRUE),VLOOKUP($E235,'Status Thresholds'!$E:$AS,19,FALSE),IF(AND($Q$1=TRUE,$S$4=TRUE),VLOOKUP($E235,'Status Thresholds'!$E:$AS,9,FALSE),IF(AND($S$3=TRUE,$S$1=TRUE,$S$4=FALSE),VLOOKUP($E235,'Status Thresholds'!$E:$AS,34,FALSE),IF(AND($S$3=TRUE,$S$4=FALSE),VLOOKUP($E235,'Status Thresholds'!$E:$AS,24,FALSE),IF(AND($S$3=TRUE,$S$1=TRUE,$S$4=TRUE),VLOOKUP($E235,'Status Thresholds'!$E:$AS,39,FALSE),IF(AND($S$3=TRUE,$S$4=TRUE),VLOOKUP($E235,'Status Thresholds'!$E:$AS,29,FALSE),""))))))))/IF(OR($Q$3=TRUE,AND($Q$2=TRUE,$Q$7=TRUE),AND($Q$3=TRUE,$Q$7=TRUE))=TRUE,'Shots and Status'!$F$5,IF((OR($Q$2,$Q$7)=TRUE),'Shots and Status'!$D$5,'Shots and Status'!$C$5)))),0),"-")</f>
        <v>-</v>
      </c>
      <c r="K235" s="36" t="str">
        <f>IFERROR(ROUNDUP(IF(AND($Q$1=FALSE,$S$3=FALSE),"-",IF(AND($Q$1=TRUE,$S$3=TRUE),"-",IF(AND($Q$1=TRUE,$S$1=TRUE,$S$4=FALSE),VLOOKUP($E235,'Status Thresholds'!$E:$AS,15,FALSE),IF(AND($Q$1=TRUE,$S$4=FALSE),VLOOKUP($E235,'Status Thresholds'!$E:$AS,5,FALSE), IF(AND($Q$1=TRUE,$S$1=TRUE,$S$4=TRUE),VLOOKUP($E235,'Status Thresholds'!$E:$AS,20,FALSE),IF(AND($Q$1=TRUE,$S$4=TRUE),VLOOKUP($E235,'Status Thresholds'!$E:$AS,10,FALSE),IF(AND($S$3=TRUE,$S$1=TRUE,$S$4=FALSE),VLOOKUP($E235,'Status Thresholds'!$E:$AS,35,FALSE),IF(AND($S$3=TRUE,$S$4=FALSE),VLOOKUP($E235,'Status Thresholds'!$E:$AS,25,FALSE),IF(AND($S$3=TRUE,$S$1=TRUE,$S$4=TRUE),VLOOKUP($E235,'Status Thresholds'!$E:$AS,40,FALSE),IF(AND($S$3=TRUE,$S$4=TRUE),VLOOKUP($E235,'Status Thresholds'!$E:$AS,30,FALSE),""))))))))/IF(OR($Q$3=TRUE,AND($Q$2=TRUE,$Q$7=TRUE),AND($Q$3=TRUE,$Q$7=TRUE))=TRUE,'Shots and Status'!$F$5,IF((OR($Q$2,$Q$7)=TRUE),'Shots and Status'!$D$5,'Shots and Status'!$C$5)))),0),"-")</f>
        <v>-</v>
      </c>
      <c r="L235" s="36" t="str">
        <f>IFERROR(IF(AND($Q$1=FALSE,$S$3=FALSE),"-",VLOOKUP($E235,'Status Thresholds'!$E:$AU,41,FALSE)),"-")</f>
        <v>-</v>
      </c>
      <c r="M235" s="36" t="str">
        <f>IFERROR(IF(AND($Q$1=FALSE,$S$3=FALSE),"-",VLOOKUP($E235,'Status Thresholds'!$E:$AU,42,FALSE)),"-")</f>
        <v>-</v>
      </c>
      <c r="N235" s="36" t="str">
        <f>IFERROR(IF(AND($Q$1=FALSE,$S$3=FALSE),"-",VLOOKUP($E235,'Status Thresholds'!$E:$AU,43,FALSE)),"-")</f>
        <v>-</v>
      </c>
    </row>
    <row r="236" spans="1:14" s="59" customFormat="1" x14ac:dyDescent="0.25">
      <c r="A236" s="46"/>
      <c r="B236" s="64" t="str">
        <f>VLOOKUP(C236,'Status Thresholds'!B:C,2,FALSE)</f>
        <v>MHGen</v>
      </c>
      <c r="C236" s="46" t="str">
        <f>IF(ISBLANK('KO Calc'!C232)=TRUE,"",'KO Calc'!C232)</f>
        <v>Devil Jho (Savage)</v>
      </c>
      <c r="D236" s="58" t="s">
        <v>33</v>
      </c>
      <c r="E236" s="62" t="str">
        <f t="shared" si="7"/>
        <v>Devil Jho (Savage)Poison</v>
      </c>
      <c r="F236" s="59" t="s">
        <v>6</v>
      </c>
      <c r="G236" s="36" t="str">
        <f t="shared" si="8"/>
        <v>Devil Jho (Savage)Poison lvl 2</v>
      </c>
      <c r="H236" s="36" t="str">
        <f>IFERROR(ROUNDUP(IF(AND($Q$1=FALSE,$S$3=FALSE),"-",IF(AND($Q$1=TRUE,$S$3=TRUE),"-",IF(AND($Q$1=TRUE,$S$1=TRUE,$S$4=FALSE),VLOOKUP($E236,'Status Thresholds'!$E:$AS,12,FALSE),IF(AND($Q$1=TRUE,$S$4=FALSE),VLOOKUP($E236,'Status Thresholds'!$E:$AS,2,FALSE), IF(AND($Q$1=TRUE,$S$1=TRUE,$S$4=TRUE),VLOOKUP($E236,'Status Thresholds'!$E:$AS,17,FALSE),IF(AND($Q$1=TRUE,$S$4=TRUE),VLOOKUP($E236,'Status Thresholds'!$E:$AS,7,FALSE),IF(AND($S$3=TRUE,$S$1=TRUE,$S$4=FALSE),VLOOKUP($E236,'Status Thresholds'!$E:$AS,32,FALSE),IF(AND($S$3=TRUE,$S$4=FALSE),VLOOKUP($E236,'Status Thresholds'!$E:$AS,22,FALSE),IF(AND($S$3=TRUE,$S$1=TRUE,$S$4=TRUE),VLOOKUP($E236,'Status Thresholds'!$E:$AS,37,FALSE),IF(AND($S$3=TRUE,$S$4=TRUE),VLOOKUP($E236,'Status Thresholds'!$E:$AS,27,FALSE),""))))))))/IF(OR($Q$3=TRUE,AND($Q$2=TRUE,$Q$7=TRUE),AND($Q$3=TRUE,$Q$7=TRUE))=TRUE,'Shots and Status'!$F$5,IF((OR($Q$2,$Q$7)=TRUE),'Shots and Status'!$D$5,'Shots and Status'!$C$5)))),0),"-")</f>
        <v>-</v>
      </c>
      <c r="I236" s="36" t="str">
        <f>IFERROR(ROUNDUP(IF(AND($Q$1=FALSE,$S$3=FALSE),"-",IF(AND($Q$1=TRUE,$S$3=TRUE),"-",IF(AND($Q$1=TRUE,$S$1=TRUE,$S$4=FALSE),VLOOKUP($E236,'Status Thresholds'!$E:$AS,13,FALSE),IF(AND($Q$1=TRUE,$S$4=FALSE),VLOOKUP($E236,'Status Thresholds'!$E:$AS,3,FALSE), IF(AND($Q$1=TRUE,$S$1=TRUE,$S$4=TRUE),VLOOKUP($E236,'Status Thresholds'!$E:$AS,18,FALSE),IF(AND($Q$1=TRUE,$S$4=TRUE),VLOOKUP($E236,'Status Thresholds'!$E:$AS,8,FALSE),IF(AND($S$3=TRUE,$S$1=TRUE,$S$4=FALSE),VLOOKUP($E236,'Status Thresholds'!$E:$AS,33,FALSE),IF(AND($S$3=TRUE,$S$4=FALSE),VLOOKUP($E236,'Status Thresholds'!$E:$AS,23,FALSE),IF(AND($S$3=TRUE,$S$1=TRUE,$S$4=TRUE),VLOOKUP($E236,'Status Thresholds'!$E:$AS,38,FALSE),IF(AND($S$3=TRUE,$S$4=TRUE),VLOOKUP($E236,'Status Thresholds'!$E:$AS,28,FALSE),""))))))))/IF(OR($Q$3=TRUE,AND($Q$2=TRUE,$Q$7=TRUE),AND($Q$3=TRUE,$Q$7=TRUE))=TRUE,'Shots and Status'!$F$5,IF((OR($Q$2,$Q$7)=TRUE),'Shots and Status'!$D$5,'Shots and Status'!$C$5)))),0),"-")</f>
        <v>-</v>
      </c>
      <c r="J236" s="36" t="str">
        <f>IFERROR(ROUNDUP(IF(AND($Q$1=FALSE,$S$3=FALSE),"-",IF(AND($Q$1=TRUE,$S$3=TRUE),"-",IF(AND($Q$1=TRUE,$S$1=TRUE,$S$4=FALSE),VLOOKUP($E236,'Status Thresholds'!$E:$AS,14,FALSE),IF(AND($Q$1=TRUE,$S$4=FALSE),VLOOKUP($E236,'Status Thresholds'!$E:$AS,4,FALSE), IF(AND($Q$1=TRUE,$S$1=TRUE,$S$4=TRUE),VLOOKUP($E236,'Status Thresholds'!$E:$AS,19,FALSE),IF(AND($Q$1=TRUE,$S$4=TRUE),VLOOKUP($E236,'Status Thresholds'!$E:$AS,9,FALSE),IF(AND($S$3=TRUE,$S$1=TRUE,$S$4=FALSE),VLOOKUP($E236,'Status Thresholds'!$E:$AS,34,FALSE),IF(AND($S$3=TRUE,$S$4=FALSE),VLOOKUP($E236,'Status Thresholds'!$E:$AS,24,FALSE),IF(AND($S$3=TRUE,$S$1=TRUE,$S$4=TRUE),VLOOKUP($E236,'Status Thresholds'!$E:$AS,39,FALSE),IF(AND($S$3=TRUE,$S$4=TRUE),VLOOKUP($E236,'Status Thresholds'!$E:$AS,29,FALSE),""))))))))/IF(OR($Q$3=TRUE,AND($Q$2=TRUE,$Q$7=TRUE),AND($Q$3=TRUE,$Q$7=TRUE))=TRUE,'Shots and Status'!$F$5,IF((OR($Q$2,$Q$7)=TRUE),'Shots and Status'!$D$5,'Shots and Status'!$C$5)))),0),"-")</f>
        <v>-</v>
      </c>
      <c r="K236" s="36" t="str">
        <f>IFERROR(ROUNDUP(IF(AND($Q$1=FALSE,$S$3=FALSE),"-",IF(AND($Q$1=TRUE,$S$3=TRUE),"-",IF(AND($Q$1=TRUE,$S$1=TRUE,$S$4=FALSE),VLOOKUP($E236,'Status Thresholds'!$E:$AS,15,FALSE),IF(AND($Q$1=TRUE,$S$4=FALSE),VLOOKUP($E236,'Status Thresholds'!$E:$AS,5,FALSE), IF(AND($Q$1=TRUE,$S$1=TRUE,$S$4=TRUE),VLOOKUP($E236,'Status Thresholds'!$E:$AS,20,FALSE),IF(AND($Q$1=TRUE,$S$4=TRUE),VLOOKUP($E236,'Status Thresholds'!$E:$AS,10,FALSE),IF(AND($S$3=TRUE,$S$1=TRUE,$S$4=FALSE),VLOOKUP($E236,'Status Thresholds'!$E:$AS,35,FALSE),IF(AND($S$3=TRUE,$S$4=FALSE),VLOOKUP($E236,'Status Thresholds'!$E:$AS,25,FALSE),IF(AND($S$3=TRUE,$S$1=TRUE,$S$4=TRUE),VLOOKUP($E236,'Status Thresholds'!$E:$AS,40,FALSE),IF(AND($S$3=TRUE,$S$4=TRUE),VLOOKUP($E236,'Status Thresholds'!$E:$AS,30,FALSE),""))))))))/IF(OR($Q$3=TRUE,AND($Q$2=TRUE,$Q$7=TRUE),AND($Q$3=TRUE,$Q$7=TRUE))=TRUE,'Shots and Status'!$F$5,IF((OR($Q$2,$Q$7)=TRUE),'Shots and Status'!$D$5,'Shots and Status'!$C$5)))),0),"-")</f>
        <v>-</v>
      </c>
      <c r="L236" s="36" t="str">
        <f>IFERROR(IF(AND($Q$1=FALSE,$S$3=FALSE),"-",VLOOKUP($E236,'Status Thresholds'!$E:$AU,41,FALSE)),"-")</f>
        <v>-</v>
      </c>
      <c r="M236" s="36" t="str">
        <f>IFERROR(IF(AND($Q$1=FALSE,$S$3=FALSE),"-",VLOOKUP($E236,'Status Thresholds'!$E:$AU,42,FALSE)),"-")</f>
        <v>-</v>
      </c>
      <c r="N236" s="36" t="str">
        <f>IFERROR(IF(AND($Q$1=FALSE,$S$3=FALSE),"-",VLOOKUP($E236,'Status Thresholds'!$E:$AU,43,FALSE)),"-")</f>
        <v>-</v>
      </c>
    </row>
    <row r="237" spans="1:14" s="36" customFormat="1" x14ac:dyDescent="0.25">
      <c r="A237" s="46"/>
      <c r="B237" s="64" t="str">
        <f>VLOOKUP(C237,'Status Thresholds'!B:C,2,FALSE)</f>
        <v>MHGen</v>
      </c>
      <c r="C237" s="46" t="str">
        <f>IF(ISBLANK('KO Calc'!C233)=TRUE,"",'KO Calc'!C233)</f>
        <v>Devil Jho (Savage)</v>
      </c>
      <c r="D237" s="57" t="s">
        <v>22</v>
      </c>
      <c r="E237" s="62" t="str">
        <f t="shared" si="7"/>
        <v>Devil Jho (Savage)Exhaust</v>
      </c>
      <c r="F237" s="36" t="s">
        <v>8</v>
      </c>
      <c r="G237" s="36" t="str">
        <f t="shared" si="8"/>
        <v>Devil Jho (Savage)Exhaust lvl 2</v>
      </c>
      <c r="H237" s="36" t="str">
        <f>IFERROR(ROUNDUP(IF(AND($Q$1=FALSE,$S$3=FALSE),"-",IF(AND($Q$1=TRUE,$S$3=TRUE),"-",IF(AND($Q$1=TRUE,$S$1=TRUE,$S$4=FALSE),VLOOKUP($E237,'Status Thresholds'!$E:$AS,12,FALSE),IF(AND($Q$1=TRUE,$S$4=FALSE),VLOOKUP($E237,'Status Thresholds'!$E:$AS,2,FALSE), IF(AND($Q$1=TRUE,$S$1=TRUE,$S$4=TRUE),VLOOKUP($E237,'Status Thresholds'!$E:$AS,17,FALSE),IF(AND($Q$1=TRUE,$S$4=TRUE),VLOOKUP($E237,'Status Thresholds'!$E:$AS,7,FALSE),IF(AND($S$3=TRUE,$S$1=TRUE,$S$4=FALSE),VLOOKUP($E237,'Status Thresholds'!$E:$AS,32,FALSE),IF(AND($S$3=TRUE,$S$4=FALSE),VLOOKUP($E237,'Status Thresholds'!$E:$AS,22,FALSE),IF(AND($S$3=TRUE,$S$1=TRUE,$S$4=TRUE),VLOOKUP($E237,'Status Thresholds'!$E:$AS,37,FALSE),IF(AND($S$3=TRUE,$S$4=TRUE),VLOOKUP($E237,'Status Thresholds'!$E:$AS,27,FALSE),""))))))))/IF(OR($Q$3=TRUE,AND($Q$2=TRUE,$Q$7=TRUE),AND($Q$3=TRUE,$Q$7=TRUE))=TRUE,'Shots and Status'!$F$5,IF((OR($Q$2,$Q$7)=TRUE),'Shots and Status'!$D$5,'Shots and Status'!$C$5)))),0),"-")</f>
        <v>-</v>
      </c>
      <c r="I237" s="36" t="str">
        <f>IFERROR(ROUNDUP(IF(AND($Q$1=FALSE,$S$3=FALSE),"-",IF(AND($Q$1=TRUE,$S$3=TRUE),"-",IF(AND($Q$1=TRUE,$S$1=TRUE,$S$4=FALSE),VLOOKUP($E237,'Status Thresholds'!$E:$AS,13,FALSE),IF(AND($Q$1=TRUE,$S$4=FALSE),VLOOKUP($E237,'Status Thresholds'!$E:$AS,3,FALSE), IF(AND($Q$1=TRUE,$S$1=TRUE,$S$4=TRUE),VLOOKUP($E237,'Status Thresholds'!$E:$AS,18,FALSE),IF(AND($Q$1=TRUE,$S$4=TRUE),VLOOKUP($E237,'Status Thresholds'!$E:$AS,8,FALSE),IF(AND($S$3=TRUE,$S$1=TRUE,$S$4=FALSE),VLOOKUP($E237,'Status Thresholds'!$E:$AS,33,FALSE),IF(AND($S$3=TRUE,$S$4=FALSE),VLOOKUP($E237,'Status Thresholds'!$E:$AS,23,FALSE),IF(AND($S$3=TRUE,$S$1=TRUE,$S$4=TRUE),VLOOKUP($E237,'Status Thresholds'!$E:$AS,38,FALSE),IF(AND($S$3=TRUE,$S$4=TRUE),VLOOKUP($E237,'Status Thresholds'!$E:$AS,28,FALSE),""))))))))/IF(OR($Q$3=TRUE,AND($Q$2=TRUE,$Q$7=TRUE),AND($Q$3=TRUE,$Q$7=TRUE))=TRUE,'Shots and Status'!$F$5,IF((OR($Q$2,$Q$7)=TRUE),'Shots and Status'!$D$5,'Shots and Status'!$C$5)))),0),"-")</f>
        <v>-</v>
      </c>
      <c r="J237" s="36" t="str">
        <f>IFERROR(ROUNDUP(IF(AND($Q$1=FALSE,$S$3=FALSE),"-",IF(AND($Q$1=TRUE,$S$3=TRUE),"-",IF(AND($Q$1=TRUE,$S$1=TRUE,$S$4=FALSE),VLOOKUP($E237,'Status Thresholds'!$E:$AS,14,FALSE),IF(AND($Q$1=TRUE,$S$4=FALSE),VLOOKUP($E237,'Status Thresholds'!$E:$AS,4,FALSE), IF(AND($Q$1=TRUE,$S$1=TRUE,$S$4=TRUE),VLOOKUP($E237,'Status Thresholds'!$E:$AS,19,FALSE),IF(AND($Q$1=TRUE,$S$4=TRUE),VLOOKUP($E237,'Status Thresholds'!$E:$AS,9,FALSE),IF(AND($S$3=TRUE,$S$1=TRUE,$S$4=FALSE),VLOOKUP($E237,'Status Thresholds'!$E:$AS,34,FALSE),IF(AND($S$3=TRUE,$S$4=FALSE),VLOOKUP($E237,'Status Thresholds'!$E:$AS,24,FALSE),IF(AND($S$3=TRUE,$S$1=TRUE,$S$4=TRUE),VLOOKUP($E237,'Status Thresholds'!$E:$AS,39,FALSE),IF(AND($S$3=TRUE,$S$4=TRUE),VLOOKUP($E237,'Status Thresholds'!$E:$AS,29,FALSE),""))))))))/IF(OR($Q$3=TRUE,AND($Q$2=TRUE,$Q$7=TRUE),AND($Q$3=TRUE,$Q$7=TRUE))=TRUE,'Shots and Status'!$F$5,IF((OR($Q$2,$Q$7)=TRUE),'Shots and Status'!$D$5,'Shots and Status'!$C$5)))),0),"-")</f>
        <v>-</v>
      </c>
      <c r="K237" s="36" t="str">
        <f>IFERROR(ROUNDUP(IF(AND($Q$1=FALSE,$S$3=FALSE),"-",IF(AND($Q$1=TRUE,$S$3=TRUE),"-",IF(AND($Q$1=TRUE,$S$1=TRUE,$S$4=FALSE),VLOOKUP($E237,'Status Thresholds'!$E:$AS,15,FALSE),IF(AND($Q$1=TRUE,$S$4=FALSE),VLOOKUP($E237,'Status Thresholds'!$E:$AS,5,FALSE), IF(AND($Q$1=TRUE,$S$1=TRUE,$S$4=TRUE),VLOOKUP($E237,'Status Thresholds'!$E:$AS,20,FALSE),IF(AND($Q$1=TRUE,$S$4=TRUE),VLOOKUP($E237,'Status Thresholds'!$E:$AS,10,FALSE),IF(AND($S$3=TRUE,$S$1=TRUE,$S$4=FALSE),VLOOKUP($E237,'Status Thresholds'!$E:$AS,35,FALSE),IF(AND($S$3=TRUE,$S$4=FALSE),VLOOKUP($E237,'Status Thresholds'!$E:$AS,25,FALSE),IF(AND($S$3=TRUE,$S$1=TRUE,$S$4=TRUE),VLOOKUP($E237,'Status Thresholds'!$E:$AS,40,FALSE),IF(AND($S$3=TRUE,$S$4=TRUE),VLOOKUP($E237,'Status Thresholds'!$E:$AS,30,FALSE),""))))))))/IF(OR($Q$3=TRUE,AND($Q$2=TRUE,$Q$7=TRUE),AND($Q$3=TRUE,$Q$7=TRUE))=TRUE,'Shots and Status'!$F$5,IF((OR($Q$2,$Q$7)=TRUE),'Shots and Status'!$D$5,'Shots and Status'!$C$5)))),0),"-")</f>
        <v>-</v>
      </c>
      <c r="L237" s="36" t="str">
        <f>IFERROR(IF(AND($Q$1=FALSE,$S$3=FALSE),"-",VLOOKUP($E237,'Status Thresholds'!$E:$AU,41,FALSE)),"-")</f>
        <v>-</v>
      </c>
      <c r="M237" s="36" t="str">
        <f>IFERROR(IF(AND($Q$1=FALSE,$S$3=FALSE),"-",VLOOKUP($E237,'Status Thresholds'!$E:$AU,42,FALSE)),"-")</f>
        <v>-</v>
      </c>
      <c r="N237" s="36" t="str">
        <f>IFERROR(IF(AND($Q$1=FALSE,$S$3=FALSE),"-",VLOOKUP($E237,'Status Thresholds'!$E:$AU,43,FALSE)),"-")</f>
        <v>-</v>
      </c>
    </row>
    <row r="238" spans="1:14" s="36" customFormat="1" x14ac:dyDescent="0.25">
      <c r="A238" s="46"/>
      <c r="B238" s="64" t="str">
        <f>VLOOKUP(C238,'Status Thresholds'!B:C,2,FALSE)</f>
        <v>MHGen</v>
      </c>
      <c r="C238" s="46" t="str">
        <f>IF(ISBLANK('KO Calc'!C234)=TRUE,"",'KO Calc'!C234)</f>
        <v>Devil Jho (Savage)</v>
      </c>
      <c r="D238" s="67" t="s">
        <v>14</v>
      </c>
      <c r="E238" s="62" t="str">
        <f t="shared" si="7"/>
        <v>Devil Jho (Savage)KO</v>
      </c>
      <c r="F238" s="36" t="s">
        <v>21</v>
      </c>
      <c r="G238" s="36" t="str">
        <f t="shared" si="8"/>
        <v>Devil Jho (Savage)Triblast</v>
      </c>
      <c r="H238" s="36" t="str">
        <f>IF(AND($Q$1=FALSE,$S$3=FALSE),"-",IF(AND($Q$1=TRUE,$S$3=TRUE),"-",IF(AND($Q$1=FALSE,$S$3=FALSE),"-",IF(AND($Q$1=TRUE,$S$1=TRUE,$S$4=FALSE)=TRUE,IF(OR($Q$4=TRUE,$Q$5=TRUE,$S$2=TRUE),VLOOKUP($G238,'KO Calc'!$H:$AW,12,FALSE),VLOOKUP($G238,'KO Calc'!$H244:$AW244,12,FALSE)),IF(AND($Q$1=TRUE,$S$4=FALSE),IF(OR($Q$4=TRUE,$Q$5=TRUE,$S$2=TRUE),VLOOKUP($G238,'KO Calc'!$H:$AW,2,FALSE),VLOOKUP($G238,'KO Calc'!$H244:$AW244,2,FALSE)),
IF(AND($Q$1=TRUE,$S$1=TRUE,$S$4=TRUE)=TRUE,IF(OR($Q$4=TRUE,$Q$5=TRUE,$S$2=TRUE),VLOOKUP($G238,'KO Calc'!$H:$AW,17,FALSE),VLOOKUP($G238,'KO Calc'!$H244:$AW244,17,FALSE)),IF(AND($Q$1=TRUE,$S$4=TRUE),IF(OR($Q$4=TRUE,$Q$5=TRUE,$S$2=TRUE),VLOOKUP($G238,'KO Calc'!$H:$AW,7,FALSE),VLOOKUP($G238,'KO Calc'!$H244:$AW244,7,FALSE)),
IF(AND($S$3=TRUE,$S$1=TRUE,$S$4=FALSE)=TRUE,IF(OR($Q$4=TRUE,$Q$5=TRUE,$S$2=TRUE),VLOOKUP($G238,'KO Calc'!$H:$AW,32,FALSE),VLOOKUP($G238,'KO Calc'!$H244:$AW244,32,FALSE)),IF(AND($S$3=TRUE,$S$4=FALSE),IF(OR($Q$4=TRUE,$Q$5=TRUE,$S$2=TRUE),VLOOKUP($G238,'KO Calc'!$H:$AW,22,FALSE),VLOOKUP($G238,'KO Calc'!$H244:$AW244,22,FALSE)),
IF(AND($S$3=TRUE,$S$1=TRUE,$S$4=TRUE)=TRUE,IF(OR($Q$4=TRUE,$Q$5=TRUE,$S$2=TRUE),VLOOKUP($G238,'KO Calc'!$H:$AW,37,FALSE),VLOOKUP($G238,'KO Calc'!$H244:$AW244,37,FALSE)),IF(AND($S$3=TRUE,$S$4=TRUE),IF(OR($Q$4=TRUE,$Q$5=TRUE,$S$2=TRUE),VLOOKUP($G238,'KO Calc'!$H:$AW,27,FALSE),VLOOKUP($G238,'KO Calc'!$H244:$AW244,27,FALSE)))))))))))))</f>
        <v>-</v>
      </c>
      <c r="I238" s="36" t="str">
        <f>IF(AND($Q$1=FALSE,$S$3=FALSE),"-",IF(AND($Q$1=TRUE,$S$3=TRUE),"-",IF(AND($Q$1=FALSE,$S$3=FALSE),"-",IF(AND($Q$1=TRUE,$S$1=TRUE,$S$4=FALSE)=TRUE,IF(OR($Q$4=TRUE,$Q$5=TRUE,$S$2=TRUE),VLOOKUP($G238,'KO Calc'!$H:$AW,13,FALSE),VLOOKUP($G238,'KO Calc'!$H244:$AW244,13,FALSE)),IF(AND($Q$1=TRUE,$S$4=FALSE),IF(OR($Q$4=TRUE,$Q$5=TRUE,$S$2=TRUE),VLOOKUP($G238,'KO Calc'!$H:$AW,3,FALSE),VLOOKUP($G238,'KO Calc'!$H244:$AW244,3,FALSE)),
IF(AND($Q$1=TRUE,$S$1=TRUE,$S$4=TRUE)=TRUE,IF(OR($Q$4=TRUE,$Q$5=TRUE,$S$2=TRUE),VLOOKUP($G238,'KO Calc'!$H:$AW,18,FALSE),VLOOKUP($G238,'KO Calc'!$H244:$AW244,18,FALSE)),IF(AND($Q$1=TRUE,$S$4=TRUE),IF(OR($Q$4=TRUE,$Q$5=TRUE,$S$2=TRUE),VLOOKUP($G238,'KO Calc'!$H:$AW,8,FALSE),VLOOKUP($G238,'KO Calc'!$H244:$AW244,8,FALSE)),
IF(AND($S$3=TRUE,$S$1=TRUE,$S$4=FALSE)=TRUE,IF(OR($Q$4=TRUE,$Q$5=TRUE,$S$2=TRUE),VLOOKUP($G238,'KO Calc'!$H:$AW,33,FALSE),VLOOKUP($G238,'KO Calc'!$H244:$AW244,33,FALSE)),IF(AND($S$3=TRUE,$S$4=FALSE),IF(OR($Q$4=TRUE,$Q$5=TRUE,$S$2=TRUE),VLOOKUP($G238,'KO Calc'!$H:$AW,23,FALSE),VLOOKUP($G238,'KO Calc'!$H244:$AW244,23,FALSE)),
IF(AND($S$3=TRUE,$S$1=TRUE,$S$4=TRUE)=TRUE,IF(OR($Q$4=TRUE,$Q$5=TRUE,$S$2=TRUE),VLOOKUP($G238,'KO Calc'!$H:$AW,38,FALSE),VLOOKUP($G238,'KO Calc'!$H244:$AW244,38,FALSE)),IF(AND($S$3=TRUE,$S$4=TRUE),IF(OR($Q$4=TRUE,$Q$5=TRUE,$S$2=TRUE),VLOOKUP($G238,'KO Calc'!$H:$AW,28,FALSE),VLOOKUP($G238,'KO Calc'!$H244:$AW244,28,FALSE)))))))))))))</f>
        <v>-</v>
      </c>
      <c r="J238" s="36" t="str">
        <f>IF(AND($Q$1=FALSE,$S$3=FALSE),"-",IF(AND($Q$1=TRUE,$S$3=TRUE),"-",IF(AND($Q$1=FALSE,$S$3=FALSE),"-",IF(AND($Q$1=TRUE,$S$1=TRUE,$S$4=FALSE)=TRUE,IF(OR($Q$4=TRUE,$Q$5=TRUE,$S$2=TRUE),VLOOKUP($G238,'KO Calc'!$H:$AW,FALSE),VLOOKUP($G238,'KO Calc'!$H244:$AW244,14,FALSE)),IF(AND($Q$1=TRUE,$S$4=FALSE),IF(OR($Q$4=TRUE,$Q$5=TRUE,$S$2=TRUE),VLOOKUP($G238,'KO Calc'!$H:$AW,4,FALSE),VLOOKUP($G238,'KO Calc'!$H244:$AW244,4,FALSE)),
IF(AND($Q$1=TRUE,$S$1=TRUE,$S$4=TRUE)=TRUE,IF(OR($Q$4=TRUE,$Q$5=TRUE,$S$2=TRUE),VLOOKUP($G238,'KO Calc'!$H:$AW,19,FALSE),VLOOKUP($G238,'KO Calc'!$H244:$AW244,19,FALSE)),IF(AND($Q$1=TRUE,$S$4=TRUE),IF(OR($Q$4=TRUE,$Q$5=TRUE,$S$2=TRUE),VLOOKUP($G238,'KO Calc'!$H:$AW,9,FALSE),VLOOKUP($G238,'KO Calc'!$H244:$AW244,9,FALSE)),
IF(AND($S$3=TRUE,$S$1=TRUE,$S$4=FALSE)=TRUE,IF(OR($Q$4=TRUE,$Q$5=TRUE,$S$2=TRUE),VLOOKUP($G238,'KO Calc'!$H:$AW,34,FALSE),VLOOKUP($G238,'KO Calc'!$H244:$AW244,34,FALSE)),IF(AND($S$3=TRUE,$S$4=FALSE),IF(OR($Q$4=TRUE,$Q$5=TRUE,$S$2=TRUE),VLOOKUP($G238,'KO Calc'!$H:$AW,24,FALSE),VLOOKUP($G238,'KO Calc'!$H244:$AW244,24,FALSE)),
IF(AND($S$3=TRUE,$S$1=TRUE,$S$4=TRUE)=TRUE,IF(OR($Q$4=TRUE,$Q$5=TRUE,$S$2=TRUE),VLOOKUP($G238,'KO Calc'!$H:$AW,39,FALSE),VLOOKUP($G238,'KO Calc'!$H244:$AW244,39,FALSE)),IF(AND($S$3=TRUE,$S$4=TRUE),IF(OR($Q$4=TRUE,$Q$5=TRUE,$S$2=TRUE),VLOOKUP($G238,'KO Calc'!$H:$AW,29,FALSE),VLOOKUP($G238,'KO Calc'!$H244:$AW244,29,FALSE)))))))))))))</f>
        <v>-</v>
      </c>
      <c r="K238" s="36" t="str">
        <f>IF(AND($Q$1=FALSE,$S$3=FALSE),"-",IF(AND($Q$1=TRUE,$S$3=TRUE),"-",IF(AND($Q$1=FALSE,$S$3=FALSE),"-",IF(AND($Q$1=TRUE,$S$1=TRUE,$S$4=FALSE)=TRUE,IF(OR($Q$4=TRUE,$Q$5=TRUE,$S$2=TRUE),VLOOKUP($G238,'KO Calc'!$H:$AW,15,FALSE),VLOOKUP($G238,'KO Calc'!$H244:$AW244,15,FALSE)),IF(AND($Q$1=TRUE,$S$4=FALSE),IF(OR($Q$4=TRUE,$Q$5=TRUE,$S$2=TRUE),VLOOKUP($G238,'KO Calc'!$H:$AW,5,FALSE),VLOOKUP($G238,'KO Calc'!$H244:$AW244,5,FALSE)),
IF(AND($Q$1=TRUE,$S$1=TRUE,$S$4=TRUE)=TRUE,IF(OR($Q$4=TRUE,$Q$5=TRUE,$S$2=TRUE),VLOOKUP($G238,'KO Calc'!$H:$AW,20,FALSE),VLOOKUP($G238,'KO Calc'!$H244:$AW244,20,FALSE)),IF(AND($Q$1=TRUE,$S$4=TRUE),IF(OR($Q$4=TRUE,$Q$5=TRUE,$S$2=TRUE),VLOOKUP($G238,'KO Calc'!$H:$AW,10,FALSE),VLOOKUP($G238,'KO Calc'!$H244:$AW244,10,FALSE)),
IF(AND($S$3=TRUE,$S$1=TRUE,$S$4=FALSE)=TRUE,IF(OR($Q$4=TRUE,$Q$5=TRUE,$S$2=TRUE),VLOOKUP($G238,'KO Calc'!$H:$AW,35,FALSE),VLOOKUP($G238,'KO Calc'!$H244:$AW244,35,FALSE)),IF(AND($S$3=TRUE,$S$4=FALSE),IF(OR($Q$4=TRUE,$Q$5=TRUE,$S$2=TRUE),VLOOKUP($G238,'KO Calc'!$H:$AW,25,FALSE),VLOOKUP($G238,'KO Calc'!$H244:$AW244,25,FALSE)),
IF(AND($S$3=TRUE,$S$1=TRUE,$S$4=TRUE)=TRUE,IF(OR($Q$4=TRUE,$Q$5=TRUE,$S$2=TRUE),VLOOKUP($G238,'KO Calc'!$H:$AW,40,FALSE),VLOOKUP($G238,'KO Calc'!$H244:$AW244,40,FALSE)),IF(AND($S$3=TRUE,$S$4=TRUE),IF(OR($Q$4=TRUE,$Q$5=TRUE,$S$2=TRUE),VLOOKUP($G238,'KO Calc'!$H:$AW,30,FALSE),VLOOKUP($G238,'KO Calc'!$H244:$AW244,30,FALSE)))))))))))))</f>
        <v>-</v>
      </c>
      <c r="L238" s="36" t="str">
        <f>IFERROR(IF(AND($Q$1=FALSE,$S$3=FALSE),"-",VLOOKUP($E238,'Status Thresholds'!$E:$AU,41,FALSE)),"-")</f>
        <v>-</v>
      </c>
      <c r="M238" s="36" t="str">
        <f>IFERROR(IF(AND($Q$1=FALSE,$S$3=FALSE),"-",VLOOKUP($E238,'Status Thresholds'!$E:$AU,42,FALSE)),"-")</f>
        <v>-</v>
      </c>
      <c r="N238" s="36" t="str">
        <f>IFERROR(IF(AND($Q$1=FALSE,$S$3=FALSE),"-",VLOOKUP($E238,'Status Thresholds'!$E:$AU,43,FALSE)),"-")</f>
        <v>-</v>
      </c>
    </row>
    <row r="239" spans="1:14" x14ac:dyDescent="0.25">
      <c r="B239" s="64" t="str">
        <f>VLOOKUP(C239,'Status Thresholds'!B:C,2,FALSE)</f>
        <v>MHGen</v>
      </c>
      <c r="C239" s="46" t="str">
        <f>IF(ISBLANK('KO Calc'!C235)=TRUE,"",'KO Calc'!C235)</f>
        <v>Devil Jho (Savage)</v>
      </c>
      <c r="D239" s="78" t="s">
        <v>207</v>
      </c>
      <c r="E239" s="62" t="str">
        <f t="shared" si="7"/>
        <v>Devil Jho (Savage)Shock Trap</v>
      </c>
      <c r="F239" t="s">
        <v>13</v>
      </c>
      <c r="G239" s="36" t="str">
        <f t="shared" si="8"/>
        <v>Devil Jho (Savage)Crag 3</v>
      </c>
      <c r="H239" s="36" t="str">
        <f>IF(AND($Q$1=FALSE,$S$3=FALSE),"-",IF(AND($Q$1=TRUE,$S$3=TRUE),"-",IF(AND($Q$1=FALSE,$S$3=FALSE),"-",IF(AND($Q$1=TRUE,$S$1=TRUE,$S$4=FALSE)=TRUE,IF(OR($Q$4=TRUE,$Q$5=TRUE,$S$2=TRUE),VLOOKUP($G239,'KO Calc'!$H:$AW,12,FALSE),VLOOKUP($G239,'KO Calc'!$H245:$AW245,12,FALSE)),IF(AND($Q$1=TRUE,$S$4=FALSE),IF(OR($Q$4=TRUE,$Q$5=TRUE,$S$2=TRUE),VLOOKUP($G239,'KO Calc'!$H:$AW,2,FALSE),VLOOKUP($G239,'KO Calc'!$H245:$AW245,2,FALSE)),
IF(AND($Q$1=TRUE,$S$1=TRUE,$S$4=TRUE)=TRUE,IF(OR($Q$4=TRUE,$Q$5=TRUE,$S$2=TRUE),VLOOKUP($G239,'KO Calc'!$H:$AW,17,FALSE),VLOOKUP($G239,'KO Calc'!$H245:$AW245,17,FALSE)),IF(AND($Q$1=TRUE,$S$4=TRUE),IF(OR($Q$4=TRUE,$Q$5=TRUE,$S$2=TRUE),VLOOKUP($G239,'KO Calc'!$H:$AW,7,FALSE),VLOOKUP($G239,'KO Calc'!$H245:$AW245,7,FALSE)),
IF(AND($S$3=TRUE,$S$1=TRUE,$S$4=FALSE)=TRUE,IF(OR($Q$4=TRUE,$Q$5=TRUE,$S$2=TRUE),VLOOKUP($G239,'KO Calc'!$H:$AW,32,FALSE),VLOOKUP($G239,'KO Calc'!$H245:$AW245,32,FALSE)),IF(AND($S$3=TRUE,$S$4=FALSE),IF(OR($Q$4=TRUE,$Q$5=TRUE,$S$2=TRUE),VLOOKUP($G239,'KO Calc'!$H:$AW,22,FALSE),VLOOKUP($G239,'KO Calc'!$H245:$AW245,22,FALSE)),
IF(AND($S$3=TRUE,$S$1=TRUE,$S$4=TRUE)=TRUE,IF(OR($Q$4=TRUE,$Q$5=TRUE,$S$2=TRUE),VLOOKUP($G239,'KO Calc'!$H:$AW,37,FALSE),VLOOKUP($G239,'KO Calc'!$H245:$AW245,37,FALSE)),IF(AND($S$3=TRUE,$S$4=TRUE),IF(OR($Q$4=TRUE,$Q$5=TRUE,$S$2=TRUE),VLOOKUP($G239,'KO Calc'!$H:$AW,27,FALSE),VLOOKUP($G239,'KO Calc'!$H245:$AW245,27,FALSE)))))))))))))</f>
        <v>-</v>
      </c>
      <c r="I239" s="36" t="str">
        <f>IF(AND($Q$1=FALSE,$S$3=FALSE),"-",IF(AND($Q$1=TRUE,$S$3=TRUE),"-",IF(AND($Q$1=FALSE,$S$3=FALSE),"-",IF(AND($Q$1=TRUE,$S$1=TRUE,$S$4=FALSE)=TRUE,IF(OR($Q$4=TRUE,$Q$5=TRUE,$S$2=TRUE),VLOOKUP($G239,'KO Calc'!$H:$AW,13,FALSE),VLOOKUP($G239,'KO Calc'!$H245:$AW245,13,FALSE)),IF(AND($Q$1=TRUE,$S$4=FALSE),IF(OR($Q$4=TRUE,$Q$5=TRUE,$S$2=TRUE),VLOOKUP($G239,'KO Calc'!$H:$AW,3,FALSE),VLOOKUP($G239,'KO Calc'!$H245:$AW245,3,FALSE)),
IF(AND($Q$1=TRUE,$S$1=TRUE,$S$4=TRUE)=TRUE,IF(OR($Q$4=TRUE,$Q$5=TRUE,$S$2=TRUE),VLOOKUP($G239,'KO Calc'!$H:$AW,18,FALSE),VLOOKUP($G239,'KO Calc'!$H245:$AW245,18,FALSE)),IF(AND($Q$1=TRUE,$S$4=TRUE),IF(OR($Q$4=TRUE,$Q$5=TRUE,$S$2=TRUE),VLOOKUP($G239,'KO Calc'!$H:$AW,8,FALSE),VLOOKUP($G239,'KO Calc'!$H245:$AW245,8,FALSE)),
IF(AND($S$3=TRUE,$S$1=TRUE,$S$4=FALSE)=TRUE,IF(OR($Q$4=TRUE,$Q$5=TRUE,$S$2=TRUE),VLOOKUP($G239,'KO Calc'!$H:$AW,33,FALSE),VLOOKUP($G239,'KO Calc'!$H245:$AW245,33,FALSE)),IF(AND($S$3=TRUE,$S$4=FALSE),IF(OR($Q$4=TRUE,$Q$5=TRUE,$S$2=TRUE),VLOOKUP($G239,'KO Calc'!$H:$AW,23,FALSE),VLOOKUP($G239,'KO Calc'!$H245:$AW245,23,FALSE)),
IF(AND($S$3=TRUE,$S$1=TRUE,$S$4=TRUE)=TRUE,IF(OR($Q$4=TRUE,$Q$5=TRUE,$S$2=TRUE),VLOOKUP($G239,'KO Calc'!$H:$AW,38,FALSE),VLOOKUP($G239,'KO Calc'!$H245:$AW245,38,FALSE)),IF(AND($S$3=TRUE,$S$4=TRUE),IF(OR($Q$4=TRUE,$Q$5=TRUE,$S$2=TRUE),VLOOKUP($G239,'KO Calc'!$H:$AW,28,FALSE),VLOOKUP($G239,'KO Calc'!$H245:$AW245,28,FALSE)))))))))))))</f>
        <v>-</v>
      </c>
      <c r="J239" s="36" t="str">
        <f>IF(AND($Q$1=FALSE,$S$3=FALSE),"-",IF(AND($Q$1=TRUE,$S$3=TRUE),"-",IF(AND($Q$1=FALSE,$S$3=FALSE),"-",IF(AND($Q$1=TRUE,$S$1=TRUE,$S$4=FALSE)=TRUE,IF(OR($Q$4=TRUE,$Q$5=TRUE,$S$2=TRUE),VLOOKUP($G239,'KO Calc'!$H:$AW,FALSE),VLOOKUP($G239,'KO Calc'!$H245:$AW245,14,FALSE)),IF(AND($Q$1=TRUE,$S$4=FALSE),IF(OR($Q$4=TRUE,$Q$5=TRUE,$S$2=TRUE),VLOOKUP($G239,'KO Calc'!$H:$AW,4,FALSE),VLOOKUP($G239,'KO Calc'!$H245:$AW245,4,FALSE)),
IF(AND($Q$1=TRUE,$S$1=TRUE,$S$4=TRUE)=TRUE,IF(OR($Q$4=TRUE,$Q$5=TRUE,$S$2=TRUE),VLOOKUP($G239,'KO Calc'!$H:$AW,19,FALSE),VLOOKUP($G239,'KO Calc'!$H245:$AW245,19,FALSE)),IF(AND($Q$1=TRUE,$S$4=TRUE),IF(OR($Q$4=TRUE,$Q$5=TRUE,$S$2=TRUE),VLOOKUP($G239,'KO Calc'!$H:$AW,9,FALSE),VLOOKUP($G239,'KO Calc'!$H245:$AW245,9,FALSE)),
IF(AND($S$3=TRUE,$S$1=TRUE,$S$4=FALSE)=TRUE,IF(OR($Q$4=TRUE,$Q$5=TRUE,$S$2=TRUE),VLOOKUP($G239,'KO Calc'!$H:$AW,34,FALSE),VLOOKUP($G239,'KO Calc'!$H245:$AW245,34,FALSE)),IF(AND($S$3=TRUE,$S$4=FALSE),IF(OR($Q$4=TRUE,$Q$5=TRUE,$S$2=TRUE),VLOOKUP($G239,'KO Calc'!$H:$AW,24,FALSE),VLOOKUP($G239,'KO Calc'!$H245:$AW245,24,FALSE)),
IF(AND($S$3=TRUE,$S$1=TRUE,$S$4=TRUE)=TRUE,IF(OR($Q$4=TRUE,$Q$5=TRUE,$S$2=TRUE),VLOOKUP($G239,'KO Calc'!$H:$AW,39,FALSE),VLOOKUP($G239,'KO Calc'!$H245:$AW245,39,FALSE)),IF(AND($S$3=TRUE,$S$4=TRUE),IF(OR($Q$4=TRUE,$Q$5=TRUE,$S$2=TRUE),VLOOKUP($G239,'KO Calc'!$H:$AW,29,FALSE),VLOOKUP($G239,'KO Calc'!$H245:$AW245,29,FALSE)))))))))))))</f>
        <v>-</v>
      </c>
      <c r="K239" s="36" t="str">
        <f>IF(AND($Q$1=FALSE,$S$3=FALSE),"-",IF(AND($Q$1=TRUE,$S$3=TRUE),"-",IF(AND($Q$1=FALSE,$S$3=FALSE),"-",IF(AND($Q$1=TRUE,$S$1=TRUE,$S$4=FALSE)=TRUE,IF(OR($Q$4=TRUE,$Q$5=TRUE,$S$2=TRUE),VLOOKUP($G239,'KO Calc'!$H:$AW,15,FALSE),VLOOKUP($G239,'KO Calc'!$H245:$AW245,15,FALSE)),IF(AND($Q$1=TRUE,$S$4=FALSE),IF(OR($Q$4=TRUE,$Q$5=TRUE,$S$2=TRUE),VLOOKUP($G239,'KO Calc'!$H:$AW,5,FALSE),VLOOKUP($G239,'KO Calc'!$H245:$AW245,5,FALSE)),
IF(AND($Q$1=TRUE,$S$1=TRUE,$S$4=TRUE)=TRUE,IF(OR($Q$4=TRUE,$Q$5=TRUE,$S$2=TRUE),VLOOKUP($G239,'KO Calc'!$H:$AW,20,FALSE),VLOOKUP($G239,'KO Calc'!$H245:$AW245,20,FALSE)),IF(AND($Q$1=TRUE,$S$4=TRUE),IF(OR($Q$4=TRUE,$Q$5=TRUE,$S$2=TRUE),VLOOKUP($G239,'KO Calc'!$H:$AW,10,FALSE),VLOOKUP($G239,'KO Calc'!$H245:$AW245,10,FALSE)),
IF(AND($S$3=TRUE,$S$1=TRUE,$S$4=FALSE)=TRUE,IF(OR($Q$4=TRUE,$Q$5=TRUE,$S$2=TRUE),VLOOKUP($G239,'KO Calc'!$H:$AW,35,FALSE),VLOOKUP($G239,'KO Calc'!$H245:$AW245,35,FALSE)),IF(AND($S$3=TRUE,$S$4=FALSE),IF(OR($Q$4=TRUE,$Q$5=TRUE,$S$2=TRUE),VLOOKUP($G239,'KO Calc'!$H:$AW,25,FALSE),VLOOKUP($G239,'KO Calc'!$H245:$AW245,25,FALSE)),
IF(AND($S$3=TRUE,$S$1=TRUE,$S$4=TRUE)=TRUE,IF(OR($Q$4=TRUE,$Q$5=TRUE,$S$2=TRUE),VLOOKUP($G239,'KO Calc'!$H:$AW,40,FALSE),VLOOKUP($G239,'KO Calc'!$H245:$AW245,40,FALSE)),IF(AND($S$3=TRUE,$S$4=TRUE),IF(OR($Q$4=TRUE,$Q$5=TRUE,$S$2=TRUE),VLOOKUP($G239,'KO Calc'!$H:$AW,30,FALSE),VLOOKUP($G239,'KO Calc'!$H245:$AW245,30,FALSE)))))))))))))</f>
        <v>-</v>
      </c>
      <c r="L239" s="36" t="str">
        <f>IFERROR(IF(AND($Q$1=FALSE,$S$3=FALSE),"-",VLOOKUP($E239,'Status Thresholds'!$E:$AU,43,FALSE)),"-")</f>
        <v>-</v>
      </c>
      <c r="M239" s="36" t="str">
        <f>IFERROR(IF(AND($Q$1=FALSE,$S$3=FALSE),"-",VLOOKUP($E239,'Status Thresholds'!$E:$AU,41,FALSE)),"-")</f>
        <v>-</v>
      </c>
      <c r="N239" s="36" t="str">
        <f>IFERROR(IF(AND($Q$1=FALSE,$S$3=FALSE),"-",VLOOKUP($E239,'Status Thresholds'!$E:$AU,42,FALSE)),"-")</f>
        <v>-</v>
      </c>
    </row>
    <row r="240" spans="1:14" x14ac:dyDescent="0.25">
      <c r="B240" s="64" t="str">
        <f>VLOOKUP(C240,'Status Thresholds'!B:C,2,FALSE)</f>
        <v>MHGen</v>
      </c>
      <c r="C240" s="46" t="str">
        <f>IF(ISBLANK('KO Calc'!C236)=TRUE,"",'KO Calc'!C236)</f>
        <v>Devil Jho (Savage)</v>
      </c>
      <c r="D240" s="78" t="s">
        <v>213</v>
      </c>
      <c r="E240" s="62" t="str">
        <f t="shared" si="7"/>
        <v>Devil Jho (Savage)Pitfall Trap</v>
      </c>
      <c r="F240" t="s">
        <v>12</v>
      </c>
      <c r="G240" s="36" t="str">
        <f t="shared" si="8"/>
        <v>Devil Jho (Savage)Crag 2</v>
      </c>
      <c r="H240" s="36" t="str">
        <f>IF(AND($Q$1=FALSE,$S$3=FALSE),"-",IF(AND($Q$1=TRUE,$S$3=TRUE),"-",IF(AND($Q$1=FALSE,$S$3=FALSE),"-",IF(AND($Q$1=TRUE,$S$1=TRUE,$S$4=FALSE)=TRUE,IF(OR($Q$4=TRUE,$Q$5=TRUE,$S$2=TRUE),VLOOKUP($G240,'KO Calc'!$H:$AW,12,FALSE),VLOOKUP($G240,'KO Calc'!$H246:$AW246,12,FALSE)),IF(AND($Q$1=TRUE,$S$4=FALSE),IF(OR($Q$4=TRUE,$Q$5=TRUE,$S$2=TRUE),VLOOKUP($G240,'KO Calc'!$H:$AW,2,FALSE),VLOOKUP($G240,'KO Calc'!$H246:$AW246,2,FALSE)),
IF(AND($Q$1=TRUE,$S$1=TRUE,$S$4=TRUE)=TRUE,IF(OR($Q$4=TRUE,$Q$5=TRUE,$S$2=TRUE),VLOOKUP($G240,'KO Calc'!$H:$AW,17,FALSE),VLOOKUP($G240,'KO Calc'!$H246:$AW246,17,FALSE)),IF(AND($Q$1=TRUE,$S$4=TRUE),IF(OR($Q$4=TRUE,$Q$5=TRUE,$S$2=TRUE),VLOOKUP($G240,'KO Calc'!$H:$AW,7,FALSE),VLOOKUP($G240,'KO Calc'!$H246:$AW246,7,FALSE)),
IF(AND($S$3=TRUE,$S$1=TRUE,$S$4=FALSE)=TRUE,IF(OR($Q$4=TRUE,$Q$5=TRUE,$S$2=TRUE),VLOOKUP($G240,'KO Calc'!$H:$AW,32,FALSE),VLOOKUP($G240,'KO Calc'!$H246:$AW246,32,FALSE)),IF(AND($S$3=TRUE,$S$4=FALSE),IF(OR($Q$4=TRUE,$Q$5=TRUE,$S$2=TRUE),VLOOKUP($G240,'KO Calc'!$H:$AW,22,FALSE),VLOOKUP($G240,'KO Calc'!$H246:$AW246,22,FALSE)),
IF(AND($S$3=TRUE,$S$1=TRUE,$S$4=TRUE)=TRUE,IF(OR($Q$4=TRUE,$Q$5=TRUE,$S$2=TRUE),VLOOKUP($G240,'KO Calc'!$H:$AW,37,FALSE),VLOOKUP($G240,'KO Calc'!$H246:$AW246,37,FALSE)),IF(AND($S$3=TRUE,$S$4=TRUE),IF(OR($Q$4=TRUE,$Q$5=TRUE,$S$2=TRUE),VLOOKUP($G240,'KO Calc'!$H:$AW,27,FALSE),VLOOKUP($G240,'KO Calc'!$H246:$AW246,27,FALSE)))))))))))))</f>
        <v>-</v>
      </c>
      <c r="I240" s="36" t="str">
        <f>IF(AND($Q$1=FALSE,$S$3=FALSE),"-",IF(AND($Q$1=TRUE,$S$3=TRUE),"-",IF(AND($Q$1=FALSE,$S$3=FALSE),"-",IF(AND($Q$1=TRUE,$S$1=TRUE,$S$4=FALSE)=TRUE,IF(OR($Q$4=TRUE,$Q$5=TRUE,$S$2=TRUE),VLOOKUP($G240,'KO Calc'!$H:$AW,13,FALSE),VLOOKUP($G240,'KO Calc'!$H246:$AW246,13,FALSE)),IF(AND($Q$1=TRUE,$S$4=FALSE),IF(OR($Q$4=TRUE,$Q$5=TRUE,$S$2=TRUE),VLOOKUP($G240,'KO Calc'!$H:$AW,3,FALSE),VLOOKUP($G240,'KO Calc'!$H246:$AW246,3,FALSE)),
IF(AND($Q$1=TRUE,$S$1=TRUE,$S$4=TRUE)=TRUE,IF(OR($Q$4=TRUE,$Q$5=TRUE,$S$2=TRUE),VLOOKUP($G240,'KO Calc'!$H:$AW,18,FALSE),VLOOKUP($G240,'KO Calc'!$H246:$AW246,18,FALSE)),IF(AND($Q$1=TRUE,$S$4=TRUE),IF(OR($Q$4=TRUE,$Q$5=TRUE,$S$2=TRUE),VLOOKUP($G240,'KO Calc'!$H:$AW,8,FALSE),VLOOKUP($G240,'KO Calc'!$H246:$AW246,8,FALSE)),
IF(AND($S$3=TRUE,$S$1=TRUE,$S$4=FALSE)=TRUE,IF(OR($Q$4=TRUE,$Q$5=TRUE,$S$2=TRUE),VLOOKUP($G240,'KO Calc'!$H:$AW,33,FALSE),VLOOKUP($G240,'KO Calc'!$H246:$AW246,33,FALSE)),IF(AND($S$3=TRUE,$S$4=FALSE),IF(OR($Q$4=TRUE,$Q$5=TRUE,$S$2=TRUE),VLOOKUP($G240,'KO Calc'!$H:$AW,23,FALSE),VLOOKUP($G240,'KO Calc'!$H246:$AW246,23,FALSE)),
IF(AND($S$3=TRUE,$S$1=TRUE,$S$4=TRUE)=TRUE,IF(OR($Q$4=TRUE,$Q$5=TRUE,$S$2=TRUE),VLOOKUP($G240,'KO Calc'!$H:$AW,38,FALSE),VLOOKUP($G240,'KO Calc'!$H246:$AW246,38,FALSE)),IF(AND($S$3=TRUE,$S$4=TRUE),IF(OR($Q$4=TRUE,$Q$5=TRUE,$S$2=TRUE),VLOOKUP($G240,'KO Calc'!$H:$AW,28,FALSE),VLOOKUP($G240,'KO Calc'!$H246:$AW246,28,FALSE)))))))))))))</f>
        <v>-</v>
      </c>
      <c r="J240" s="36" t="str">
        <f>IF(AND($Q$1=FALSE,$S$3=FALSE),"-",IF(AND($Q$1=TRUE,$S$3=TRUE),"-",IF(AND($Q$1=FALSE,$S$3=FALSE),"-",IF(AND($Q$1=TRUE,$S$1=TRUE,$S$4=FALSE)=TRUE,IF(OR($Q$4=TRUE,$Q$5=TRUE,$S$2=TRUE),VLOOKUP($G240,'KO Calc'!$H:$AW,FALSE),VLOOKUP($G240,'KO Calc'!$H246:$AW246,14,FALSE)),IF(AND($Q$1=TRUE,$S$4=FALSE),IF(OR($Q$4=TRUE,$Q$5=TRUE,$S$2=TRUE),VLOOKUP($G240,'KO Calc'!$H:$AW,4,FALSE),VLOOKUP($G240,'KO Calc'!$H246:$AW246,4,FALSE)),
IF(AND($Q$1=TRUE,$S$1=TRUE,$S$4=TRUE)=TRUE,IF(OR($Q$4=TRUE,$Q$5=TRUE,$S$2=TRUE),VLOOKUP($G240,'KO Calc'!$H:$AW,19,FALSE),VLOOKUP($G240,'KO Calc'!$H246:$AW246,19,FALSE)),IF(AND($Q$1=TRUE,$S$4=TRUE),IF(OR($Q$4=TRUE,$Q$5=TRUE,$S$2=TRUE),VLOOKUP($G240,'KO Calc'!$H:$AW,9,FALSE),VLOOKUP($G240,'KO Calc'!$H246:$AW246,9,FALSE)),
IF(AND($S$3=TRUE,$S$1=TRUE,$S$4=FALSE)=TRUE,IF(OR($Q$4=TRUE,$Q$5=TRUE,$S$2=TRUE),VLOOKUP($G240,'KO Calc'!$H:$AW,34,FALSE),VLOOKUP($G240,'KO Calc'!$H246:$AW246,34,FALSE)),IF(AND($S$3=TRUE,$S$4=FALSE),IF(OR($Q$4=TRUE,$Q$5=TRUE,$S$2=TRUE),VLOOKUP($G240,'KO Calc'!$H:$AW,24,FALSE),VLOOKUP($G240,'KO Calc'!$H246:$AW246,24,FALSE)),
IF(AND($S$3=TRUE,$S$1=TRUE,$S$4=TRUE)=TRUE,IF(OR($Q$4=TRUE,$Q$5=TRUE,$S$2=TRUE),VLOOKUP($G240,'KO Calc'!$H:$AW,39,FALSE),VLOOKUP($G240,'KO Calc'!$H246:$AW246,39,FALSE)),IF(AND($S$3=TRUE,$S$4=TRUE),IF(OR($Q$4=TRUE,$Q$5=TRUE,$S$2=TRUE),VLOOKUP($G240,'KO Calc'!$H:$AW,29,FALSE),VLOOKUP($G240,'KO Calc'!$H246:$AW246,29,FALSE)))))))))))))</f>
        <v>-</v>
      </c>
      <c r="K240" s="36" t="str">
        <f>IF(AND($Q$1=FALSE,$S$3=FALSE),"-",IF(AND($Q$1=TRUE,$S$3=TRUE),"-",IF(AND($Q$1=FALSE,$S$3=FALSE),"-",IF(AND($Q$1=TRUE,$S$1=TRUE,$S$4=FALSE)=TRUE,IF(OR($Q$4=TRUE,$Q$5=TRUE,$S$2=TRUE),VLOOKUP($G240,'KO Calc'!$H:$AW,15,FALSE),VLOOKUP($G240,'KO Calc'!$H246:$AW246,15,FALSE)),IF(AND($Q$1=TRUE,$S$4=FALSE),IF(OR($Q$4=TRUE,$Q$5=TRUE,$S$2=TRUE),VLOOKUP($G240,'KO Calc'!$H:$AW,5,FALSE),VLOOKUP($G240,'KO Calc'!$H246:$AW246,5,FALSE)),
IF(AND($Q$1=TRUE,$S$1=TRUE,$S$4=TRUE)=TRUE,IF(OR($Q$4=TRUE,$Q$5=TRUE,$S$2=TRUE),VLOOKUP($G240,'KO Calc'!$H:$AW,20,FALSE),VLOOKUP($G240,'KO Calc'!$H246:$AW246,20,FALSE)),IF(AND($Q$1=TRUE,$S$4=TRUE),IF(OR($Q$4=TRUE,$Q$5=TRUE,$S$2=TRUE),VLOOKUP($G240,'KO Calc'!$H:$AW,10,FALSE),VLOOKUP($G240,'KO Calc'!$H246:$AW246,10,FALSE)),
IF(AND($S$3=TRUE,$S$1=TRUE,$S$4=FALSE)=TRUE,IF(OR($Q$4=TRUE,$Q$5=TRUE,$S$2=TRUE),VLOOKUP($G240,'KO Calc'!$H:$AW,35,FALSE),VLOOKUP($G240,'KO Calc'!$H246:$AW246,35,FALSE)),IF(AND($S$3=TRUE,$S$4=FALSE),IF(OR($Q$4=TRUE,$Q$5=TRUE,$S$2=TRUE),VLOOKUP($G240,'KO Calc'!$H:$AW,25,FALSE),VLOOKUP($G240,'KO Calc'!$H246:$AW246,25,FALSE)),
IF(AND($S$3=TRUE,$S$1=TRUE,$S$4=TRUE)=TRUE,IF(OR($Q$4=TRUE,$Q$5=TRUE,$S$2=TRUE),VLOOKUP($G240,'KO Calc'!$H:$AW,40,FALSE),VLOOKUP($G240,'KO Calc'!$H246:$AW246,40,FALSE)),IF(AND($S$3=TRUE,$S$4=TRUE),IF(OR($Q$4=TRUE,$Q$5=TRUE,$S$2=TRUE),VLOOKUP($G240,'KO Calc'!$H:$AW,30,FALSE),VLOOKUP($G240,'KO Calc'!$H246:$AW246,30,FALSE)))))))))))))</f>
        <v>-</v>
      </c>
      <c r="L240" s="36" t="str">
        <f>IFERROR(IF(AND($Q$1=FALSE,$S$3=FALSE),"-",VLOOKUP($E240,'Status Thresholds'!$E:$AU,43,FALSE)),"-")</f>
        <v>-</v>
      </c>
      <c r="M240" s="36" t="str">
        <f>IFERROR(IF(AND($Q$1=FALSE,$S$3=FALSE),"-",VLOOKUP($E240,'Status Thresholds'!$E:$AU,41,FALSE)),"-")</f>
        <v>-</v>
      </c>
      <c r="N240" s="36" t="str">
        <f>IFERROR(IF(AND($Q$1=FALSE,$S$3=FALSE),"-",VLOOKUP($E240,'Status Thresholds'!$E:$AU,42,FALSE)),"-")</f>
        <v>-</v>
      </c>
    </row>
    <row r="241" spans="1:14" x14ac:dyDescent="0.25">
      <c r="B241" s="64" t="str">
        <f>VLOOKUP(C241,'Status Thresholds'!B:C,2,FALSE)</f>
        <v>MHGen</v>
      </c>
      <c r="C241" s="46" t="str">
        <f>IF(ISBLANK('KO Calc'!C237)=TRUE,"",'KO Calc'!C237)</f>
        <v>Devil Jho (Savage)</v>
      </c>
      <c r="D241" s="78"/>
      <c r="E241" s="62" t="str">
        <f t="shared" si="7"/>
        <v>Devil Jho (Savage)</v>
      </c>
      <c r="F241" t="s">
        <v>11</v>
      </c>
      <c r="G241" s="36" t="str">
        <f t="shared" si="8"/>
        <v>Devil Jho (Savage)Crag 1</v>
      </c>
      <c r="H241" s="36" t="str">
        <f>IF(AND($Q$1=FALSE,$S$3=FALSE),"-",IF(AND($Q$1=TRUE,$S$3=TRUE),"-",IF(AND($Q$1=FALSE,$S$3=FALSE),"-",IF(AND($Q$1=TRUE,$S$1=TRUE,$S$4=FALSE)=TRUE,IF(OR($Q$4=TRUE,$Q$5=TRUE,$S$2=TRUE),VLOOKUP($G241,'KO Calc'!$H:$AW,12,FALSE),VLOOKUP($G241,'KO Calc'!$H247:$AW247,12,FALSE)),IF(AND($Q$1=TRUE,$S$4=FALSE),IF(OR($Q$4=TRUE,$Q$5=TRUE,$S$2=TRUE),VLOOKUP($G241,'KO Calc'!$H:$AW,2,FALSE),VLOOKUP($G241,'KO Calc'!$H247:$AW247,2,FALSE)),
IF(AND($Q$1=TRUE,$S$1=TRUE,$S$4=TRUE)=TRUE,IF(OR($Q$4=TRUE,$Q$5=TRUE,$S$2=TRUE),VLOOKUP($G241,'KO Calc'!$H:$AW,17,FALSE),VLOOKUP($G241,'KO Calc'!$H247:$AW247,17,FALSE)),IF(AND($Q$1=TRUE,$S$4=TRUE),IF(OR($Q$4=TRUE,$Q$5=TRUE,$S$2=TRUE),VLOOKUP($G241,'KO Calc'!$H:$AW,7,FALSE),VLOOKUP($G241,'KO Calc'!$H247:$AW247,7,FALSE)),
IF(AND($S$3=TRUE,$S$1=TRUE,$S$4=FALSE)=TRUE,IF(OR($Q$4=TRUE,$Q$5=TRUE,$S$2=TRUE),VLOOKUP($G241,'KO Calc'!$H:$AW,32,FALSE),VLOOKUP($G241,'KO Calc'!$H247:$AW247,32,FALSE)),IF(AND($S$3=TRUE,$S$4=FALSE),IF(OR($Q$4=TRUE,$Q$5=TRUE,$S$2=TRUE),VLOOKUP($G241,'KO Calc'!$H:$AW,22,FALSE),VLOOKUP($G241,'KO Calc'!$H247:$AW247,22,FALSE)),
IF(AND($S$3=TRUE,$S$1=TRUE,$S$4=TRUE)=TRUE,IF(OR($Q$4=TRUE,$Q$5=TRUE,$S$2=TRUE),VLOOKUP($G241,'KO Calc'!$H:$AW,37,FALSE),VLOOKUP($G241,'KO Calc'!$H247:$AW247,37,FALSE)),IF(AND($S$3=TRUE,$S$4=TRUE),IF(OR($Q$4=TRUE,$Q$5=TRUE,$S$2=TRUE),VLOOKUP($G241,'KO Calc'!$H:$AW,27,FALSE),VLOOKUP($G241,'KO Calc'!$H247:$AW247,27,FALSE)))))))))))))</f>
        <v>-</v>
      </c>
      <c r="I241" s="36" t="str">
        <f>IF(AND($Q$1=FALSE,$S$3=FALSE),"-",IF(AND($Q$1=TRUE,$S$3=TRUE),"-",IF(AND($Q$1=FALSE,$S$3=FALSE),"-",IF(AND($Q$1=TRUE,$S$1=TRUE,$S$4=FALSE)=TRUE,IF(OR($Q$4=TRUE,$Q$5=TRUE,$S$2=TRUE),VLOOKUP($G241,'KO Calc'!$H:$AW,13,FALSE),VLOOKUP($G241,'KO Calc'!$H247:$AW247,13,FALSE)),IF(AND($Q$1=TRUE,$S$4=FALSE),IF(OR($Q$4=TRUE,$Q$5=TRUE,$S$2=TRUE),VLOOKUP($G241,'KO Calc'!$H:$AW,3,FALSE),VLOOKUP($G241,'KO Calc'!$H247:$AW247,3,FALSE)),
IF(AND($Q$1=TRUE,$S$1=TRUE,$S$4=TRUE)=TRUE,IF(OR($Q$4=TRUE,$Q$5=TRUE,$S$2=TRUE),VLOOKUP($G241,'KO Calc'!$H:$AW,18,FALSE),VLOOKUP($G241,'KO Calc'!$H247:$AW247,18,FALSE)),IF(AND($Q$1=TRUE,$S$4=TRUE),IF(OR($Q$4=TRUE,$Q$5=TRUE,$S$2=TRUE),VLOOKUP($G241,'KO Calc'!$H:$AW,8,FALSE),VLOOKUP($G241,'KO Calc'!$H247:$AW247,8,FALSE)),
IF(AND($S$3=TRUE,$S$1=TRUE,$S$4=FALSE)=TRUE,IF(OR($Q$4=TRUE,$Q$5=TRUE,$S$2=TRUE),VLOOKUP($G241,'KO Calc'!$H:$AW,33,FALSE),VLOOKUP($G241,'KO Calc'!$H247:$AW247,33,FALSE)),IF(AND($S$3=TRUE,$S$4=FALSE),IF(OR($Q$4=TRUE,$Q$5=TRUE,$S$2=TRUE),VLOOKUP($G241,'KO Calc'!$H:$AW,23,FALSE),VLOOKUP($G241,'KO Calc'!$H247:$AW247,23,FALSE)),
IF(AND($S$3=TRUE,$S$1=TRUE,$S$4=TRUE)=TRUE,IF(OR($Q$4=TRUE,$Q$5=TRUE,$S$2=TRUE),VLOOKUP($G241,'KO Calc'!$H:$AW,38,FALSE),VLOOKUP($G241,'KO Calc'!$H247:$AW247,38,FALSE)),IF(AND($S$3=TRUE,$S$4=TRUE),IF(OR($Q$4=TRUE,$Q$5=TRUE,$S$2=TRUE),VLOOKUP($G241,'KO Calc'!$H:$AW,28,FALSE),VLOOKUP($G241,'KO Calc'!$H247:$AW247,28,FALSE)))))))))))))</f>
        <v>-</v>
      </c>
      <c r="J241" s="36" t="str">
        <f>IF(AND($Q$1=FALSE,$S$3=FALSE),"-",IF(AND($Q$1=TRUE,$S$3=TRUE),"-",IF(AND($Q$1=FALSE,$S$3=FALSE),"-",IF(AND($Q$1=TRUE,$S$1=TRUE,$S$4=FALSE)=TRUE,IF(OR($Q$4=TRUE,$Q$5=TRUE,$S$2=TRUE),VLOOKUP($G241,'KO Calc'!$H:$AW,FALSE),VLOOKUP($G241,'KO Calc'!$H247:$AW247,14,FALSE)),IF(AND($Q$1=TRUE,$S$4=FALSE),IF(OR($Q$4=TRUE,$Q$5=TRUE,$S$2=TRUE),VLOOKUP($G241,'KO Calc'!$H:$AW,4,FALSE),VLOOKUP($G241,'KO Calc'!$H247:$AW247,4,FALSE)),
IF(AND($Q$1=TRUE,$S$1=TRUE,$S$4=TRUE)=TRUE,IF(OR($Q$4=TRUE,$Q$5=TRUE,$S$2=TRUE),VLOOKUP($G241,'KO Calc'!$H:$AW,19,FALSE),VLOOKUP($G241,'KO Calc'!$H247:$AW247,19,FALSE)),IF(AND($Q$1=TRUE,$S$4=TRUE),IF(OR($Q$4=TRUE,$Q$5=TRUE,$S$2=TRUE),VLOOKUP($G241,'KO Calc'!$H:$AW,9,FALSE),VLOOKUP($G241,'KO Calc'!$H247:$AW247,9,FALSE)),
IF(AND($S$3=TRUE,$S$1=TRUE,$S$4=FALSE)=TRUE,IF(OR($Q$4=TRUE,$Q$5=TRUE,$S$2=TRUE),VLOOKUP($G241,'KO Calc'!$H:$AW,34,FALSE),VLOOKUP($G241,'KO Calc'!$H247:$AW247,34,FALSE)),IF(AND($S$3=TRUE,$S$4=FALSE),IF(OR($Q$4=TRUE,$Q$5=TRUE,$S$2=TRUE),VLOOKUP($G241,'KO Calc'!$H:$AW,24,FALSE),VLOOKUP($G241,'KO Calc'!$H247:$AW247,24,FALSE)),
IF(AND($S$3=TRUE,$S$1=TRUE,$S$4=TRUE)=TRUE,IF(OR($Q$4=TRUE,$Q$5=TRUE,$S$2=TRUE),VLOOKUP($G241,'KO Calc'!$H:$AW,39,FALSE),VLOOKUP($G241,'KO Calc'!$H247:$AW247,39,FALSE)),IF(AND($S$3=TRUE,$S$4=TRUE),IF(OR($Q$4=TRUE,$Q$5=TRUE,$S$2=TRUE),VLOOKUP($G241,'KO Calc'!$H:$AW,29,FALSE),VLOOKUP($G241,'KO Calc'!$H247:$AW247,29,FALSE)))))))))))))</f>
        <v>-</v>
      </c>
      <c r="K241" s="36" t="str">
        <f>IF(AND($Q$1=FALSE,$S$3=FALSE),"-",IF(AND($Q$1=TRUE,$S$3=TRUE),"-",IF(AND($Q$1=FALSE,$S$3=FALSE),"-",IF(AND($Q$1=TRUE,$S$1=TRUE,$S$4=FALSE)=TRUE,IF(OR($Q$4=TRUE,$Q$5=TRUE,$S$2=TRUE),VLOOKUP($G241,'KO Calc'!$H:$AW,15,FALSE),VLOOKUP($G241,'KO Calc'!$H247:$AW247,15,FALSE)),IF(AND($Q$1=TRUE,$S$4=FALSE),IF(OR($Q$4=TRUE,$Q$5=TRUE,$S$2=TRUE),VLOOKUP($G241,'KO Calc'!$H:$AW,5,FALSE),VLOOKUP($G241,'KO Calc'!$H247:$AW247,5,FALSE)),
IF(AND($Q$1=TRUE,$S$1=TRUE,$S$4=TRUE)=TRUE,IF(OR($Q$4=TRUE,$Q$5=TRUE,$S$2=TRUE),VLOOKUP($G241,'KO Calc'!$H:$AW,20,FALSE),VLOOKUP($G241,'KO Calc'!$H247:$AW247,20,FALSE)),IF(AND($Q$1=TRUE,$S$4=TRUE),IF(OR($Q$4=TRUE,$Q$5=TRUE,$S$2=TRUE),VLOOKUP($G241,'KO Calc'!$H:$AW,10,FALSE),VLOOKUP($G241,'KO Calc'!$H247:$AW247,10,FALSE)),
IF(AND($S$3=TRUE,$S$1=TRUE,$S$4=FALSE)=TRUE,IF(OR($Q$4=TRUE,$Q$5=TRUE,$S$2=TRUE),VLOOKUP($G241,'KO Calc'!$H:$AW,35,FALSE),VLOOKUP($G241,'KO Calc'!$H247:$AW247,35,FALSE)),IF(AND($S$3=TRUE,$S$4=FALSE),IF(OR($Q$4=TRUE,$Q$5=TRUE,$S$2=TRUE),VLOOKUP($G241,'KO Calc'!$H:$AW,25,FALSE),VLOOKUP($G241,'KO Calc'!$H247:$AW247,25,FALSE)),
IF(AND($S$3=TRUE,$S$1=TRUE,$S$4=TRUE)=TRUE,IF(OR($Q$4=TRUE,$Q$5=TRUE,$S$2=TRUE),VLOOKUP($G241,'KO Calc'!$H:$AW,40,FALSE),VLOOKUP($G241,'KO Calc'!$H247:$AW247,40,FALSE)),IF(AND($S$3=TRUE,$S$4=TRUE),IF(OR($Q$4=TRUE,$Q$5=TRUE,$S$2=TRUE),VLOOKUP($G241,'KO Calc'!$H:$AW,30,FALSE),VLOOKUP($G241,'KO Calc'!$H247:$AW247,30,FALSE)))))))))))))</f>
        <v>-</v>
      </c>
      <c r="L241" s="36" t="str">
        <f>IFERROR(VLOOKUP($E241,'Status Thresholds'!$E:$AS,41,FALSE),"-")</f>
        <v>-</v>
      </c>
    </row>
    <row r="242" spans="1:14" x14ac:dyDescent="0.25">
      <c r="B242" s="64" t="str">
        <f>VLOOKUP(C242,'Status Thresholds'!B:C,2,FALSE)</f>
        <v>MHGen</v>
      </c>
      <c r="C242" s="46" t="str">
        <f>IF(ISBLANK('KO Calc'!C238)=TRUE,"",'KO Calc'!C238)</f>
        <v>Devil Jho (Savage)</v>
      </c>
      <c r="D242" s="78"/>
      <c r="E242" s="62"/>
      <c r="G242" s="36"/>
      <c r="L242" s="36" t="str">
        <f>IFERROR(VLOOKUP($E242,'Status Thresholds'!$E:$AS,41,FALSE),"-")</f>
        <v>-</v>
      </c>
    </row>
    <row r="243" spans="1:14" s="36" customFormat="1" x14ac:dyDescent="0.25">
      <c r="B243" s="64" t="str">
        <f>VLOOKUP(C243,'Status Thresholds'!B:C,2,FALSE)</f>
        <v>MHGU</v>
      </c>
      <c r="C243" s="46" t="str">
        <f>IF(ISBLANK('KO Calc'!C239)=TRUE,"",'KO Calc'!C239)</f>
        <v>Diablos</v>
      </c>
      <c r="D243" s="65" t="s">
        <v>0</v>
      </c>
      <c r="E243" s="62" t="str">
        <f t="shared" si="7"/>
        <v>DiablosPara</v>
      </c>
      <c r="F243" s="36" t="s">
        <v>2</v>
      </c>
      <c r="G243" s="36" t="str">
        <f t="shared" si="8"/>
        <v>DiablosPara lvl 2</v>
      </c>
      <c r="H243" s="36" t="str">
        <f>IFERROR(ROUNDUP(IF(AND($Q$1=FALSE,$S$3=FALSE),"-",IF(AND($Q$1=TRUE,$S$3=TRUE),"-",IF(AND($Q$1=TRUE,$S$1=TRUE,$S$4=FALSE),VLOOKUP($E243,'Status Thresholds'!$E:$AS,12,FALSE),IF(AND($Q$1=TRUE,$S$4=FALSE),VLOOKUP($E243,'Status Thresholds'!$E:$AS,2,FALSE), IF(AND($Q$1=TRUE,$S$1=TRUE,$S$4=TRUE),VLOOKUP($E243,'Status Thresholds'!$E:$AS,17,FALSE),IF(AND($Q$1=TRUE,$S$4=TRUE),VLOOKUP($E243,'Status Thresholds'!$E:$AS,7,FALSE),IF(AND($S$3=TRUE,$S$1=TRUE,$S$4=FALSE),VLOOKUP($E243,'Status Thresholds'!$E:$AS,32,FALSE),IF(AND($S$3=TRUE,$S$4=FALSE),VLOOKUP($E243,'Status Thresholds'!$E:$AS,22,FALSE),IF(AND($S$3=TRUE,$S$1=TRUE,$S$4=TRUE),VLOOKUP($E243,'Status Thresholds'!$E:$AS,37,FALSE),IF(AND($S$3=TRUE,$S$4=TRUE),VLOOKUP($E243,'Status Thresholds'!$E:$AS,27,FALSE),""))))))))/IF(OR($Q$3=TRUE,AND($Q$2=TRUE,$Q$7=TRUE),AND($Q$3=TRUE,$Q$7=TRUE))=TRUE,'Shots and Status'!$F$5,IF((OR($Q$2,$Q$7)=TRUE),'Shots and Status'!$D$5,'Shots and Status'!$C$5)))),0),"-")</f>
        <v>-</v>
      </c>
      <c r="I243" s="36" t="str">
        <f>IFERROR(ROUNDUP(IF(AND($Q$1=FALSE,$S$3=FALSE),"-",IF(AND($Q$1=TRUE,$S$3=TRUE),"-",IF(AND($Q$1=TRUE,$S$1=TRUE,$S$4=FALSE),VLOOKUP($E243,'Status Thresholds'!$E:$AS,13,FALSE),IF(AND($Q$1=TRUE,$S$4=FALSE),VLOOKUP($E243,'Status Thresholds'!$E:$AS,3,FALSE), IF(AND($Q$1=TRUE,$S$1=TRUE,$S$4=TRUE),VLOOKUP($E243,'Status Thresholds'!$E:$AS,18,FALSE),IF(AND($Q$1=TRUE,$S$4=TRUE),VLOOKUP($E243,'Status Thresholds'!$E:$AS,8,FALSE),IF(AND($S$3=TRUE,$S$1=TRUE,$S$4=FALSE),VLOOKUP($E243,'Status Thresholds'!$E:$AS,33,FALSE),IF(AND($S$3=TRUE,$S$4=FALSE),VLOOKUP($E243,'Status Thresholds'!$E:$AS,23,FALSE),IF(AND($S$3=TRUE,$S$1=TRUE,$S$4=TRUE),VLOOKUP($E243,'Status Thresholds'!$E:$AS,38,FALSE),IF(AND($S$3=TRUE,$S$4=TRUE),VLOOKUP($E243,'Status Thresholds'!$E:$AS,28,FALSE),""))))))))/IF(OR($Q$3=TRUE,AND($Q$2=TRUE,$Q$7=TRUE),AND($Q$3=TRUE,$Q$7=TRUE))=TRUE,'Shots and Status'!$F$5,IF((OR($Q$2,$Q$7)=TRUE),'Shots and Status'!$D$5,'Shots and Status'!$C$5)))),0),"-")</f>
        <v>-</v>
      </c>
      <c r="J243" s="36" t="str">
        <f>IFERROR(ROUNDUP(IF(AND($Q$1=FALSE,$S$3=FALSE),"-",IF(AND($Q$1=TRUE,$S$3=TRUE),"-",IF(AND($Q$1=TRUE,$S$1=TRUE,$S$4=FALSE),VLOOKUP($E243,'Status Thresholds'!$E:$AS,14,FALSE),IF(AND($Q$1=TRUE,$S$4=FALSE),VLOOKUP($E243,'Status Thresholds'!$E:$AS,4,FALSE), IF(AND($Q$1=TRUE,$S$1=TRUE,$S$4=TRUE),VLOOKUP($E243,'Status Thresholds'!$E:$AS,19,FALSE),IF(AND($Q$1=TRUE,$S$4=TRUE),VLOOKUP($E243,'Status Thresholds'!$E:$AS,9,FALSE),IF(AND($S$3=TRUE,$S$1=TRUE,$S$4=FALSE),VLOOKUP($E243,'Status Thresholds'!$E:$AS,34,FALSE),IF(AND($S$3=TRUE,$S$4=FALSE),VLOOKUP($E243,'Status Thresholds'!$E:$AS,24,FALSE),IF(AND($S$3=TRUE,$S$1=TRUE,$S$4=TRUE),VLOOKUP($E243,'Status Thresholds'!$E:$AS,39,FALSE),IF(AND($S$3=TRUE,$S$4=TRUE),VLOOKUP($E243,'Status Thresholds'!$E:$AS,29,FALSE),""))))))))/IF(OR($Q$3=TRUE,AND($Q$2=TRUE,$Q$7=TRUE),AND($Q$3=TRUE,$Q$7=TRUE))=TRUE,'Shots and Status'!$F$5,IF((OR($Q$2,$Q$7)=TRUE),'Shots and Status'!$D$5,'Shots and Status'!$C$5)))),0),"-")</f>
        <v>-</v>
      </c>
      <c r="K243" s="36" t="str">
        <f>IFERROR(ROUNDUP(IF(AND($Q$1=FALSE,$S$3=FALSE),"-",IF(AND($Q$1=TRUE,$S$3=TRUE),"-",IF(AND($Q$1=TRUE,$S$1=TRUE,$S$4=FALSE),VLOOKUP($E243,'Status Thresholds'!$E:$AS,15,FALSE),IF(AND($Q$1=TRUE,$S$4=FALSE),VLOOKUP($E243,'Status Thresholds'!$E:$AS,5,FALSE), IF(AND($Q$1=TRUE,$S$1=TRUE,$S$4=TRUE),VLOOKUP($E243,'Status Thresholds'!$E:$AS,20,FALSE),IF(AND($Q$1=TRUE,$S$4=TRUE),VLOOKUP($E243,'Status Thresholds'!$E:$AS,10,FALSE),IF(AND($S$3=TRUE,$S$1=TRUE,$S$4=FALSE),VLOOKUP($E243,'Status Thresholds'!$E:$AS,35,FALSE),IF(AND($S$3=TRUE,$S$4=FALSE),VLOOKUP($E243,'Status Thresholds'!$E:$AS,25,FALSE),IF(AND($S$3=TRUE,$S$1=TRUE,$S$4=TRUE),VLOOKUP($E243,'Status Thresholds'!$E:$AS,40,FALSE),IF(AND($S$3=TRUE,$S$4=TRUE),VLOOKUP($E243,'Status Thresholds'!$E:$AS,30,FALSE),""))))))))/IF(OR($Q$3=TRUE,AND($Q$2=TRUE,$Q$7=TRUE),AND($Q$3=TRUE,$Q$7=TRUE))=TRUE,'Shots and Status'!$F$5,IF((OR($Q$2,$Q$7)=TRUE),'Shots and Status'!$D$5,'Shots and Status'!$C$5)))),0),"-")</f>
        <v>-</v>
      </c>
      <c r="L243" s="36" t="str">
        <f>IFERROR(IF(AND($Q$1=FALSE,$S$3=FALSE),"-",VLOOKUP($E243,'Status Thresholds'!$E:$AU,41,FALSE)),"-")</f>
        <v>-</v>
      </c>
      <c r="M243" s="36" t="str">
        <f>IFERROR(IF(AND($Q$1=FALSE,$S$3=FALSE),"-",VLOOKUP($E243,'Status Thresholds'!$E:$AU,42,FALSE)),"-")</f>
        <v>-</v>
      </c>
      <c r="N243" s="36" t="str">
        <f>IFERROR(IF(AND($Q$1=FALSE,$S$3=FALSE),"-",VLOOKUP($E243,'Status Thresholds'!$E:$AU,43,FALSE)),"-")</f>
        <v>-</v>
      </c>
    </row>
    <row r="244" spans="1:14" s="59" customFormat="1" x14ac:dyDescent="0.25">
      <c r="A244" s="46"/>
      <c r="B244" s="64" t="str">
        <f>VLOOKUP(C244,'Status Thresholds'!B:C,2,FALSE)</f>
        <v>MHGU</v>
      </c>
      <c r="C244" s="46" t="str">
        <f>IF(ISBLANK('KO Calc'!C240)=TRUE,"",'KO Calc'!C240)</f>
        <v>Diablos</v>
      </c>
      <c r="D244" s="60" t="s">
        <v>32</v>
      </c>
      <c r="E244" s="62" t="str">
        <f t="shared" si="7"/>
        <v>DiablosSleep</v>
      </c>
      <c r="F244" s="59" t="s">
        <v>5</v>
      </c>
      <c r="G244" s="36" t="str">
        <f t="shared" si="8"/>
        <v>DiablosSleep lvl 2</v>
      </c>
      <c r="H244" s="36" t="str">
        <f>IFERROR(ROUNDUP(IF(AND($Q$1=FALSE,$S$3=FALSE),"-",IF(AND($Q$1=TRUE,$S$3=TRUE),"-",IF(AND($Q$1=TRUE,$S$1=TRUE,$S$4=FALSE),VLOOKUP($E244,'Status Thresholds'!$E:$AS,12,FALSE),IF(AND($Q$1=TRUE,$S$4=FALSE),VLOOKUP($E244,'Status Thresholds'!$E:$AS,2,FALSE), IF(AND($Q$1=TRUE,$S$1=TRUE,$S$4=TRUE),VLOOKUP($E244,'Status Thresholds'!$E:$AS,17,FALSE),IF(AND($Q$1=TRUE,$S$4=TRUE),VLOOKUP($E244,'Status Thresholds'!$E:$AS,7,FALSE),IF(AND($S$3=TRUE,$S$1=TRUE,$S$4=FALSE),VLOOKUP($E244,'Status Thresholds'!$E:$AS,32,FALSE),IF(AND($S$3=TRUE,$S$4=FALSE),VLOOKUP($E244,'Status Thresholds'!$E:$AS,22,FALSE),IF(AND($S$3=TRUE,$S$1=TRUE,$S$4=TRUE),VLOOKUP($E244,'Status Thresholds'!$E:$AS,37,FALSE),IF(AND($S$3=TRUE,$S$4=TRUE),VLOOKUP($E244,'Status Thresholds'!$E:$AS,27,FALSE),""))))))))/IF(OR($Q$3=TRUE,AND($Q$2=TRUE,$Q$7=TRUE),AND($Q$3=TRUE,$Q$7=TRUE))=TRUE,'Shots and Status'!$F$5,IF((OR($Q$2,$Q$7)=TRUE),'Shots and Status'!$D$5,'Shots and Status'!$C$5)))),0),"-")</f>
        <v>-</v>
      </c>
      <c r="I244" s="36" t="str">
        <f>IFERROR(ROUNDUP(IF(AND($Q$1=FALSE,$S$3=FALSE),"-",IF(AND($Q$1=TRUE,$S$3=TRUE),"-",IF(AND($Q$1=TRUE,$S$1=TRUE,$S$4=FALSE),VLOOKUP($E244,'Status Thresholds'!$E:$AS,13,FALSE),IF(AND($Q$1=TRUE,$S$4=FALSE),VLOOKUP($E244,'Status Thresholds'!$E:$AS,3,FALSE), IF(AND($Q$1=TRUE,$S$1=TRUE,$S$4=TRUE),VLOOKUP($E244,'Status Thresholds'!$E:$AS,18,FALSE),IF(AND($Q$1=TRUE,$S$4=TRUE),VLOOKUP($E244,'Status Thresholds'!$E:$AS,8,FALSE),IF(AND($S$3=TRUE,$S$1=TRUE,$S$4=FALSE),VLOOKUP($E244,'Status Thresholds'!$E:$AS,33,FALSE),IF(AND($S$3=TRUE,$S$4=FALSE),VLOOKUP($E244,'Status Thresholds'!$E:$AS,23,FALSE),IF(AND($S$3=TRUE,$S$1=TRUE,$S$4=TRUE),VLOOKUP($E244,'Status Thresholds'!$E:$AS,38,FALSE),IF(AND($S$3=TRUE,$S$4=TRUE),VLOOKUP($E244,'Status Thresholds'!$E:$AS,28,FALSE),""))))))))/IF(OR($Q$3=TRUE,AND($Q$2=TRUE,$Q$7=TRUE),AND($Q$3=TRUE,$Q$7=TRUE))=TRUE,'Shots and Status'!$F$5,IF((OR($Q$2,$Q$7)=TRUE),'Shots and Status'!$D$5,'Shots and Status'!$C$5)))),0),"-")</f>
        <v>-</v>
      </c>
      <c r="J244" s="36" t="str">
        <f>IFERROR(ROUNDUP(IF(AND($Q$1=FALSE,$S$3=FALSE),"-",IF(AND($Q$1=TRUE,$S$3=TRUE),"-",IF(AND($Q$1=TRUE,$S$1=TRUE,$S$4=FALSE),VLOOKUP($E244,'Status Thresholds'!$E:$AS,14,FALSE),IF(AND($Q$1=TRUE,$S$4=FALSE),VLOOKUP($E244,'Status Thresholds'!$E:$AS,4,FALSE), IF(AND($Q$1=TRUE,$S$1=TRUE,$S$4=TRUE),VLOOKUP($E244,'Status Thresholds'!$E:$AS,19,FALSE),IF(AND($Q$1=TRUE,$S$4=TRUE),VLOOKUP($E244,'Status Thresholds'!$E:$AS,9,FALSE),IF(AND($S$3=TRUE,$S$1=TRUE,$S$4=FALSE),VLOOKUP($E244,'Status Thresholds'!$E:$AS,34,FALSE),IF(AND($S$3=TRUE,$S$4=FALSE),VLOOKUP($E244,'Status Thresholds'!$E:$AS,24,FALSE),IF(AND($S$3=TRUE,$S$1=TRUE,$S$4=TRUE),VLOOKUP($E244,'Status Thresholds'!$E:$AS,39,FALSE),IF(AND($S$3=TRUE,$S$4=TRUE),VLOOKUP($E244,'Status Thresholds'!$E:$AS,29,FALSE),""))))))))/IF(OR($Q$3=TRUE,AND($Q$2=TRUE,$Q$7=TRUE),AND($Q$3=TRUE,$Q$7=TRUE))=TRUE,'Shots and Status'!$F$5,IF((OR($Q$2,$Q$7)=TRUE),'Shots and Status'!$D$5,'Shots and Status'!$C$5)))),0),"-")</f>
        <v>-</v>
      </c>
      <c r="K244" s="36" t="str">
        <f>IFERROR(ROUNDUP(IF(AND($Q$1=FALSE,$S$3=FALSE),"-",IF(AND($Q$1=TRUE,$S$3=TRUE),"-",IF(AND($Q$1=TRUE,$S$1=TRUE,$S$4=FALSE),VLOOKUP($E244,'Status Thresholds'!$E:$AS,15,FALSE),IF(AND($Q$1=TRUE,$S$4=FALSE),VLOOKUP($E244,'Status Thresholds'!$E:$AS,5,FALSE), IF(AND($Q$1=TRUE,$S$1=TRUE,$S$4=TRUE),VLOOKUP($E244,'Status Thresholds'!$E:$AS,20,FALSE),IF(AND($Q$1=TRUE,$S$4=TRUE),VLOOKUP($E244,'Status Thresholds'!$E:$AS,10,FALSE),IF(AND($S$3=TRUE,$S$1=TRUE,$S$4=FALSE),VLOOKUP($E244,'Status Thresholds'!$E:$AS,35,FALSE),IF(AND($S$3=TRUE,$S$4=FALSE),VLOOKUP($E244,'Status Thresholds'!$E:$AS,25,FALSE),IF(AND($S$3=TRUE,$S$1=TRUE,$S$4=TRUE),VLOOKUP($E244,'Status Thresholds'!$E:$AS,40,FALSE),IF(AND($S$3=TRUE,$S$4=TRUE),VLOOKUP($E244,'Status Thresholds'!$E:$AS,30,FALSE),""))))))))/IF(OR($Q$3=TRUE,AND($Q$2=TRUE,$Q$7=TRUE),AND($Q$3=TRUE,$Q$7=TRUE))=TRUE,'Shots and Status'!$F$5,IF((OR($Q$2,$Q$7)=TRUE),'Shots and Status'!$D$5,'Shots and Status'!$C$5)))),0),"-")</f>
        <v>-</v>
      </c>
      <c r="L244" s="36" t="str">
        <f>IFERROR(IF(AND($Q$1=FALSE,$S$3=FALSE),"-",VLOOKUP($E244,'Status Thresholds'!$E:$AU,41,FALSE)),"-")</f>
        <v>-</v>
      </c>
      <c r="M244" s="36" t="str">
        <f>IFERROR(IF(AND($Q$1=FALSE,$S$3=FALSE),"-",VLOOKUP($E244,'Status Thresholds'!$E:$AU,42,FALSE)),"-")</f>
        <v>-</v>
      </c>
      <c r="N244" s="36" t="str">
        <f>IFERROR(IF(AND($Q$1=FALSE,$S$3=FALSE),"-",VLOOKUP($E244,'Status Thresholds'!$E:$AU,43,FALSE)),"-")</f>
        <v>-</v>
      </c>
    </row>
    <row r="245" spans="1:14" s="59" customFormat="1" x14ac:dyDescent="0.25">
      <c r="A245" s="46"/>
      <c r="B245" s="64" t="str">
        <f>VLOOKUP(C245,'Status Thresholds'!B:C,2,FALSE)</f>
        <v>MHGU</v>
      </c>
      <c r="C245" s="46" t="str">
        <f>IF(ISBLANK('KO Calc'!C241)=TRUE,"",'KO Calc'!C241)</f>
        <v>Diablos</v>
      </c>
      <c r="D245" s="58" t="s">
        <v>33</v>
      </c>
      <c r="E245" s="62" t="str">
        <f t="shared" si="7"/>
        <v>DiablosPoison</v>
      </c>
      <c r="F245" s="59" t="s">
        <v>6</v>
      </c>
      <c r="G245" s="36" t="str">
        <f t="shared" si="8"/>
        <v>DiablosPoison lvl 2</v>
      </c>
      <c r="H245" s="36" t="str">
        <f>IFERROR(ROUNDUP(IF(AND($Q$1=FALSE,$S$3=FALSE),"-",IF(AND($Q$1=TRUE,$S$3=TRUE),"-",IF(AND($Q$1=TRUE,$S$1=TRUE,$S$4=FALSE),VLOOKUP($E245,'Status Thresholds'!$E:$AS,12,FALSE),IF(AND($Q$1=TRUE,$S$4=FALSE),VLOOKUP($E245,'Status Thresholds'!$E:$AS,2,FALSE), IF(AND($Q$1=TRUE,$S$1=TRUE,$S$4=TRUE),VLOOKUP($E245,'Status Thresholds'!$E:$AS,17,FALSE),IF(AND($Q$1=TRUE,$S$4=TRUE),VLOOKUP($E245,'Status Thresholds'!$E:$AS,7,FALSE),IF(AND($S$3=TRUE,$S$1=TRUE,$S$4=FALSE),VLOOKUP($E245,'Status Thresholds'!$E:$AS,32,FALSE),IF(AND($S$3=TRUE,$S$4=FALSE),VLOOKUP($E245,'Status Thresholds'!$E:$AS,22,FALSE),IF(AND($S$3=TRUE,$S$1=TRUE,$S$4=TRUE),VLOOKUP($E245,'Status Thresholds'!$E:$AS,37,FALSE),IF(AND($S$3=TRUE,$S$4=TRUE),VLOOKUP($E245,'Status Thresholds'!$E:$AS,27,FALSE),""))))))))/IF(OR($Q$3=TRUE,AND($Q$2=TRUE,$Q$7=TRUE),AND($Q$3=TRUE,$Q$7=TRUE))=TRUE,'Shots and Status'!$F$5,IF((OR($Q$2,$Q$7)=TRUE),'Shots and Status'!$D$5,'Shots and Status'!$C$5)))),0),"-")</f>
        <v>-</v>
      </c>
      <c r="I245" s="36" t="str">
        <f>IFERROR(ROUNDUP(IF(AND($Q$1=FALSE,$S$3=FALSE),"-",IF(AND($Q$1=TRUE,$S$3=TRUE),"-",IF(AND($Q$1=TRUE,$S$1=TRUE,$S$4=FALSE),VLOOKUP($E245,'Status Thresholds'!$E:$AS,13,FALSE),IF(AND($Q$1=TRUE,$S$4=FALSE),VLOOKUP($E245,'Status Thresholds'!$E:$AS,3,FALSE), IF(AND($Q$1=TRUE,$S$1=TRUE,$S$4=TRUE),VLOOKUP($E245,'Status Thresholds'!$E:$AS,18,FALSE),IF(AND($Q$1=TRUE,$S$4=TRUE),VLOOKUP($E245,'Status Thresholds'!$E:$AS,8,FALSE),IF(AND($S$3=TRUE,$S$1=TRUE,$S$4=FALSE),VLOOKUP($E245,'Status Thresholds'!$E:$AS,33,FALSE),IF(AND($S$3=TRUE,$S$4=FALSE),VLOOKUP($E245,'Status Thresholds'!$E:$AS,23,FALSE),IF(AND($S$3=TRUE,$S$1=TRUE,$S$4=TRUE),VLOOKUP($E245,'Status Thresholds'!$E:$AS,38,FALSE),IF(AND($S$3=TRUE,$S$4=TRUE),VLOOKUP($E245,'Status Thresholds'!$E:$AS,28,FALSE),""))))))))/IF(OR($Q$3=TRUE,AND($Q$2=TRUE,$Q$7=TRUE),AND($Q$3=TRUE,$Q$7=TRUE))=TRUE,'Shots and Status'!$F$5,IF((OR($Q$2,$Q$7)=TRUE),'Shots and Status'!$D$5,'Shots and Status'!$C$5)))),0),"-")</f>
        <v>-</v>
      </c>
      <c r="J245" s="36" t="str">
        <f>IFERROR(ROUNDUP(IF(AND($Q$1=FALSE,$S$3=FALSE),"-",IF(AND($Q$1=TRUE,$S$3=TRUE),"-",IF(AND($Q$1=TRUE,$S$1=TRUE,$S$4=FALSE),VLOOKUP($E245,'Status Thresholds'!$E:$AS,14,FALSE),IF(AND($Q$1=TRUE,$S$4=FALSE),VLOOKUP($E245,'Status Thresholds'!$E:$AS,4,FALSE), IF(AND($Q$1=TRUE,$S$1=TRUE,$S$4=TRUE),VLOOKUP($E245,'Status Thresholds'!$E:$AS,19,FALSE),IF(AND($Q$1=TRUE,$S$4=TRUE),VLOOKUP($E245,'Status Thresholds'!$E:$AS,9,FALSE),IF(AND($S$3=TRUE,$S$1=TRUE,$S$4=FALSE),VLOOKUP($E245,'Status Thresholds'!$E:$AS,34,FALSE),IF(AND($S$3=TRUE,$S$4=FALSE),VLOOKUP($E245,'Status Thresholds'!$E:$AS,24,FALSE),IF(AND($S$3=TRUE,$S$1=TRUE,$S$4=TRUE),VLOOKUP($E245,'Status Thresholds'!$E:$AS,39,FALSE),IF(AND($S$3=TRUE,$S$4=TRUE),VLOOKUP($E245,'Status Thresholds'!$E:$AS,29,FALSE),""))))))))/IF(OR($Q$3=TRUE,AND($Q$2=TRUE,$Q$7=TRUE),AND($Q$3=TRUE,$Q$7=TRUE))=TRUE,'Shots and Status'!$F$5,IF((OR($Q$2,$Q$7)=TRUE),'Shots and Status'!$D$5,'Shots and Status'!$C$5)))),0),"-")</f>
        <v>-</v>
      </c>
      <c r="K245" s="36" t="str">
        <f>IFERROR(ROUNDUP(IF(AND($Q$1=FALSE,$S$3=FALSE),"-",IF(AND($Q$1=TRUE,$S$3=TRUE),"-",IF(AND($Q$1=TRUE,$S$1=TRUE,$S$4=FALSE),VLOOKUP($E245,'Status Thresholds'!$E:$AS,15,FALSE),IF(AND($Q$1=TRUE,$S$4=FALSE),VLOOKUP($E245,'Status Thresholds'!$E:$AS,5,FALSE), IF(AND($Q$1=TRUE,$S$1=TRUE,$S$4=TRUE),VLOOKUP($E245,'Status Thresholds'!$E:$AS,20,FALSE),IF(AND($Q$1=TRUE,$S$4=TRUE),VLOOKUP($E245,'Status Thresholds'!$E:$AS,10,FALSE),IF(AND($S$3=TRUE,$S$1=TRUE,$S$4=FALSE),VLOOKUP($E245,'Status Thresholds'!$E:$AS,35,FALSE),IF(AND($S$3=TRUE,$S$4=FALSE),VLOOKUP($E245,'Status Thresholds'!$E:$AS,25,FALSE),IF(AND($S$3=TRUE,$S$1=TRUE,$S$4=TRUE),VLOOKUP($E245,'Status Thresholds'!$E:$AS,40,FALSE),IF(AND($S$3=TRUE,$S$4=TRUE),VLOOKUP($E245,'Status Thresholds'!$E:$AS,30,FALSE),""))))))))/IF(OR($Q$3=TRUE,AND($Q$2=TRUE,$Q$7=TRUE),AND($Q$3=TRUE,$Q$7=TRUE))=TRUE,'Shots and Status'!$F$5,IF((OR($Q$2,$Q$7)=TRUE),'Shots and Status'!$D$5,'Shots and Status'!$C$5)))),0),"-")</f>
        <v>-</v>
      </c>
      <c r="L245" s="36" t="str">
        <f>IFERROR(IF(AND($Q$1=FALSE,$S$3=FALSE),"-",VLOOKUP($E245,'Status Thresholds'!$E:$AU,41,FALSE)),"-")</f>
        <v>-</v>
      </c>
      <c r="M245" s="36" t="str">
        <f>IFERROR(IF(AND($Q$1=FALSE,$S$3=FALSE),"-",VLOOKUP($E245,'Status Thresholds'!$E:$AU,42,FALSE)),"-")</f>
        <v>-</v>
      </c>
      <c r="N245" s="36" t="str">
        <f>IFERROR(IF(AND($Q$1=FALSE,$S$3=FALSE),"-",VLOOKUP($E245,'Status Thresholds'!$E:$AU,43,FALSE)),"-")</f>
        <v>-</v>
      </c>
    </row>
    <row r="246" spans="1:14" s="36" customFormat="1" x14ac:dyDescent="0.25">
      <c r="A246" s="46"/>
      <c r="B246" s="64" t="str">
        <f>VLOOKUP(C246,'Status Thresholds'!B:C,2,FALSE)</f>
        <v>MHGU</v>
      </c>
      <c r="C246" s="46" t="str">
        <f>IF(ISBLANK('KO Calc'!C242)=TRUE,"",'KO Calc'!C242)</f>
        <v>Diablos</v>
      </c>
      <c r="D246" s="57" t="s">
        <v>22</v>
      </c>
      <c r="E246" s="62" t="str">
        <f t="shared" si="7"/>
        <v>DiablosExhaust</v>
      </c>
      <c r="F246" s="36" t="s">
        <v>8</v>
      </c>
      <c r="G246" s="36" t="str">
        <f t="shared" si="8"/>
        <v>DiablosExhaust lvl 2</v>
      </c>
      <c r="H246" s="36" t="str">
        <f>IFERROR(ROUNDUP(IF(AND($Q$1=FALSE,$S$3=FALSE),"-",IF(AND($Q$1=TRUE,$S$3=TRUE),"-",IF(AND($Q$1=TRUE,$S$1=TRUE,$S$4=FALSE),VLOOKUP($E246,'Status Thresholds'!$E:$AS,12,FALSE),IF(AND($Q$1=TRUE,$S$4=FALSE),VLOOKUP($E246,'Status Thresholds'!$E:$AS,2,FALSE), IF(AND($Q$1=TRUE,$S$1=TRUE,$S$4=TRUE),VLOOKUP($E246,'Status Thresholds'!$E:$AS,17,FALSE),IF(AND($Q$1=TRUE,$S$4=TRUE),VLOOKUP($E246,'Status Thresholds'!$E:$AS,7,FALSE),IF(AND($S$3=TRUE,$S$1=TRUE,$S$4=FALSE),VLOOKUP($E246,'Status Thresholds'!$E:$AS,32,FALSE),IF(AND($S$3=TRUE,$S$4=FALSE),VLOOKUP($E246,'Status Thresholds'!$E:$AS,22,FALSE),IF(AND($S$3=TRUE,$S$1=TRUE,$S$4=TRUE),VLOOKUP($E246,'Status Thresholds'!$E:$AS,37,FALSE),IF(AND($S$3=TRUE,$S$4=TRUE),VLOOKUP($E246,'Status Thresholds'!$E:$AS,27,FALSE),""))))))))/IF(OR($Q$3=TRUE,AND($Q$2=TRUE,$Q$7=TRUE),AND($Q$3=TRUE,$Q$7=TRUE))=TRUE,'Shots and Status'!$F$5,IF((OR($Q$2,$Q$7)=TRUE),'Shots and Status'!$D$5,'Shots and Status'!$C$5)))),0),"-")</f>
        <v>-</v>
      </c>
      <c r="I246" s="36" t="str">
        <f>IFERROR(ROUNDUP(IF(AND($Q$1=FALSE,$S$3=FALSE),"-",IF(AND($Q$1=TRUE,$S$3=TRUE),"-",IF(AND($Q$1=TRUE,$S$1=TRUE,$S$4=FALSE),VLOOKUP($E246,'Status Thresholds'!$E:$AS,13,FALSE),IF(AND($Q$1=TRUE,$S$4=FALSE),VLOOKUP($E246,'Status Thresholds'!$E:$AS,3,FALSE), IF(AND($Q$1=TRUE,$S$1=TRUE,$S$4=TRUE),VLOOKUP($E246,'Status Thresholds'!$E:$AS,18,FALSE),IF(AND($Q$1=TRUE,$S$4=TRUE),VLOOKUP($E246,'Status Thresholds'!$E:$AS,8,FALSE),IF(AND($S$3=TRUE,$S$1=TRUE,$S$4=FALSE),VLOOKUP($E246,'Status Thresholds'!$E:$AS,33,FALSE),IF(AND($S$3=TRUE,$S$4=FALSE),VLOOKUP($E246,'Status Thresholds'!$E:$AS,23,FALSE),IF(AND($S$3=TRUE,$S$1=TRUE,$S$4=TRUE),VLOOKUP($E246,'Status Thresholds'!$E:$AS,38,FALSE),IF(AND($S$3=TRUE,$S$4=TRUE),VLOOKUP($E246,'Status Thresholds'!$E:$AS,28,FALSE),""))))))))/IF(OR($Q$3=TRUE,AND($Q$2=TRUE,$Q$7=TRUE),AND($Q$3=TRUE,$Q$7=TRUE))=TRUE,'Shots and Status'!$F$5,IF((OR($Q$2,$Q$7)=TRUE),'Shots and Status'!$D$5,'Shots and Status'!$C$5)))),0),"-")</f>
        <v>-</v>
      </c>
      <c r="J246" s="36" t="str">
        <f>IFERROR(ROUNDUP(IF(AND($Q$1=FALSE,$S$3=FALSE),"-",IF(AND($Q$1=TRUE,$S$3=TRUE),"-",IF(AND($Q$1=TRUE,$S$1=TRUE,$S$4=FALSE),VLOOKUP($E246,'Status Thresholds'!$E:$AS,14,FALSE),IF(AND($Q$1=TRUE,$S$4=FALSE),VLOOKUP($E246,'Status Thresholds'!$E:$AS,4,FALSE), IF(AND($Q$1=TRUE,$S$1=TRUE,$S$4=TRUE),VLOOKUP($E246,'Status Thresholds'!$E:$AS,19,FALSE),IF(AND($Q$1=TRUE,$S$4=TRUE),VLOOKUP($E246,'Status Thresholds'!$E:$AS,9,FALSE),IF(AND($S$3=TRUE,$S$1=TRUE,$S$4=FALSE),VLOOKUP($E246,'Status Thresholds'!$E:$AS,34,FALSE),IF(AND($S$3=TRUE,$S$4=FALSE),VLOOKUP($E246,'Status Thresholds'!$E:$AS,24,FALSE),IF(AND($S$3=TRUE,$S$1=TRUE,$S$4=TRUE),VLOOKUP($E246,'Status Thresholds'!$E:$AS,39,FALSE),IF(AND($S$3=TRUE,$S$4=TRUE),VLOOKUP($E246,'Status Thresholds'!$E:$AS,29,FALSE),""))))))))/IF(OR($Q$3=TRUE,AND($Q$2=TRUE,$Q$7=TRUE),AND($Q$3=TRUE,$Q$7=TRUE))=TRUE,'Shots and Status'!$F$5,IF((OR($Q$2,$Q$7)=TRUE),'Shots and Status'!$D$5,'Shots and Status'!$C$5)))),0),"-")</f>
        <v>-</v>
      </c>
      <c r="K246" s="36" t="str">
        <f>IFERROR(ROUNDUP(IF(AND($Q$1=FALSE,$S$3=FALSE),"-",IF(AND($Q$1=TRUE,$S$3=TRUE),"-",IF(AND($Q$1=TRUE,$S$1=TRUE,$S$4=FALSE),VLOOKUP($E246,'Status Thresholds'!$E:$AS,15,FALSE),IF(AND($Q$1=TRUE,$S$4=FALSE),VLOOKUP($E246,'Status Thresholds'!$E:$AS,5,FALSE), IF(AND($Q$1=TRUE,$S$1=TRUE,$S$4=TRUE),VLOOKUP($E246,'Status Thresholds'!$E:$AS,20,FALSE),IF(AND($Q$1=TRUE,$S$4=TRUE),VLOOKUP($E246,'Status Thresholds'!$E:$AS,10,FALSE),IF(AND($S$3=TRUE,$S$1=TRUE,$S$4=FALSE),VLOOKUP($E246,'Status Thresholds'!$E:$AS,35,FALSE),IF(AND($S$3=TRUE,$S$4=FALSE),VLOOKUP($E246,'Status Thresholds'!$E:$AS,25,FALSE),IF(AND($S$3=TRUE,$S$1=TRUE,$S$4=TRUE),VLOOKUP($E246,'Status Thresholds'!$E:$AS,40,FALSE),IF(AND($S$3=TRUE,$S$4=TRUE),VLOOKUP($E246,'Status Thresholds'!$E:$AS,30,FALSE),""))))))))/IF(OR($Q$3=TRUE,AND($Q$2=TRUE,$Q$7=TRUE),AND($Q$3=TRUE,$Q$7=TRUE))=TRUE,'Shots and Status'!$F$5,IF((OR($Q$2,$Q$7)=TRUE),'Shots and Status'!$D$5,'Shots and Status'!$C$5)))),0),"-")</f>
        <v>-</v>
      </c>
      <c r="L246" s="36" t="str">
        <f>IFERROR(IF(AND($Q$1=FALSE,$S$3=FALSE),"-",VLOOKUP($E246,'Status Thresholds'!$E:$AU,41,FALSE)),"-")</f>
        <v>-</v>
      </c>
      <c r="M246" s="36" t="str">
        <f>IFERROR(IF(AND($Q$1=FALSE,$S$3=FALSE),"-",VLOOKUP($E246,'Status Thresholds'!$E:$AU,42,FALSE)),"-")</f>
        <v>-</v>
      </c>
      <c r="N246" s="36" t="str">
        <f>IFERROR(IF(AND($Q$1=FALSE,$S$3=FALSE),"-",VLOOKUP($E246,'Status Thresholds'!$E:$AU,43,FALSE)),"-")</f>
        <v>-</v>
      </c>
    </row>
    <row r="247" spans="1:14" s="36" customFormat="1" x14ac:dyDescent="0.25">
      <c r="A247" s="46"/>
      <c r="B247" s="64" t="str">
        <f>VLOOKUP(C247,'Status Thresholds'!B:C,2,FALSE)</f>
        <v>MHGU</v>
      </c>
      <c r="C247" s="46" t="str">
        <f>IF(ISBLANK('KO Calc'!C243)=TRUE,"",'KO Calc'!C243)</f>
        <v>Diablos</v>
      </c>
      <c r="D247" s="67" t="s">
        <v>14</v>
      </c>
      <c r="E247" s="62" t="str">
        <f t="shared" si="7"/>
        <v>DiablosKO</v>
      </c>
      <c r="F247" s="36" t="s">
        <v>21</v>
      </c>
      <c r="G247" s="36" t="str">
        <f t="shared" si="8"/>
        <v>DiablosTriblast</v>
      </c>
      <c r="H247" s="36" t="str">
        <f>IF(AND($Q$1=FALSE,$S$3=FALSE),"-",IF(AND($Q$1=TRUE,$S$3=TRUE),"-",IF(AND($Q$1=FALSE,$S$3=FALSE),"-",IF(AND($Q$1=TRUE,$S$1=TRUE,$S$4=FALSE)=TRUE,IF(OR($Q$4=TRUE,$Q$5=TRUE,$S$2=TRUE),VLOOKUP($G247,'KO Calc'!$H:$AW,12,FALSE),VLOOKUP($G247,'KO Calc'!$H253:$AW253,12,FALSE)),IF(AND($Q$1=TRUE,$S$4=FALSE),IF(OR($Q$4=TRUE,$Q$5=TRUE,$S$2=TRUE),VLOOKUP($G247,'KO Calc'!$H:$AW,2,FALSE),VLOOKUP($G247,'KO Calc'!$H253:$AW253,2,FALSE)),
IF(AND($Q$1=TRUE,$S$1=TRUE,$S$4=TRUE)=TRUE,IF(OR($Q$4=TRUE,$Q$5=TRUE,$S$2=TRUE),VLOOKUP($G247,'KO Calc'!$H:$AW,17,FALSE),VLOOKUP($G247,'KO Calc'!$H253:$AW253,17,FALSE)),IF(AND($Q$1=TRUE,$S$4=TRUE),IF(OR($Q$4=TRUE,$Q$5=TRUE,$S$2=TRUE),VLOOKUP($G247,'KO Calc'!$H:$AW,7,FALSE),VLOOKUP($G247,'KO Calc'!$H253:$AW253,7,FALSE)),
IF(AND($S$3=TRUE,$S$1=TRUE,$S$4=FALSE)=TRUE,IF(OR($Q$4=TRUE,$Q$5=TRUE,$S$2=TRUE),VLOOKUP($G247,'KO Calc'!$H:$AW,32,FALSE),VLOOKUP($G247,'KO Calc'!$H253:$AW253,32,FALSE)),IF(AND($S$3=TRUE,$S$4=FALSE),IF(OR($Q$4=TRUE,$Q$5=TRUE,$S$2=TRUE),VLOOKUP($G247,'KO Calc'!$H:$AW,22,FALSE),VLOOKUP($G247,'KO Calc'!$H253:$AW253,22,FALSE)),
IF(AND($S$3=TRUE,$S$1=TRUE,$S$4=TRUE)=TRUE,IF(OR($Q$4=TRUE,$Q$5=TRUE,$S$2=TRUE),VLOOKUP($G247,'KO Calc'!$H:$AW,37,FALSE),VLOOKUP($G247,'KO Calc'!$H253:$AW253,37,FALSE)),IF(AND($S$3=TRUE,$S$4=TRUE),IF(OR($Q$4=TRUE,$Q$5=TRUE,$S$2=TRUE),VLOOKUP($G247,'KO Calc'!$H:$AW,27,FALSE),VLOOKUP($G247,'KO Calc'!$H253:$AW253,27,FALSE)))))))))))))</f>
        <v>-</v>
      </c>
      <c r="I247" s="36" t="str">
        <f>IF(AND($Q$1=FALSE,$S$3=FALSE),"-",IF(AND($Q$1=TRUE,$S$3=TRUE),"-",IF(AND($Q$1=FALSE,$S$3=FALSE),"-",IF(AND($Q$1=TRUE,$S$1=TRUE,$S$4=FALSE)=TRUE,IF(OR($Q$4=TRUE,$Q$5=TRUE,$S$2=TRUE),VLOOKUP($G247,'KO Calc'!$H:$AW,13,FALSE),VLOOKUP($G247,'KO Calc'!$H253:$AW253,13,FALSE)),IF(AND($Q$1=TRUE,$S$4=FALSE),IF(OR($Q$4=TRUE,$Q$5=TRUE,$S$2=TRUE),VLOOKUP($G247,'KO Calc'!$H:$AW,3,FALSE),VLOOKUP($G247,'KO Calc'!$H253:$AW253,3,FALSE)),
IF(AND($Q$1=TRUE,$S$1=TRUE,$S$4=TRUE)=TRUE,IF(OR($Q$4=TRUE,$Q$5=TRUE,$S$2=TRUE),VLOOKUP($G247,'KO Calc'!$H:$AW,18,FALSE),VLOOKUP($G247,'KO Calc'!$H253:$AW253,18,FALSE)),IF(AND($Q$1=TRUE,$S$4=TRUE),IF(OR($Q$4=TRUE,$Q$5=TRUE,$S$2=TRUE),VLOOKUP($G247,'KO Calc'!$H:$AW,8,FALSE),VLOOKUP($G247,'KO Calc'!$H253:$AW253,8,FALSE)),
IF(AND($S$3=TRUE,$S$1=TRUE,$S$4=FALSE)=TRUE,IF(OR($Q$4=TRUE,$Q$5=TRUE,$S$2=TRUE),VLOOKUP($G247,'KO Calc'!$H:$AW,33,FALSE),VLOOKUP($G247,'KO Calc'!$H253:$AW253,33,FALSE)),IF(AND($S$3=TRUE,$S$4=FALSE),IF(OR($Q$4=TRUE,$Q$5=TRUE,$S$2=TRUE),VLOOKUP($G247,'KO Calc'!$H:$AW,23,FALSE),VLOOKUP($G247,'KO Calc'!$H253:$AW253,23,FALSE)),
IF(AND($S$3=TRUE,$S$1=TRUE,$S$4=TRUE)=TRUE,IF(OR($Q$4=TRUE,$Q$5=TRUE,$S$2=TRUE),VLOOKUP($G247,'KO Calc'!$H:$AW,38,FALSE),VLOOKUP($G247,'KO Calc'!$H253:$AW253,38,FALSE)),IF(AND($S$3=TRUE,$S$4=TRUE),IF(OR($Q$4=TRUE,$Q$5=TRUE,$S$2=TRUE),VLOOKUP($G247,'KO Calc'!$H:$AW,28,FALSE),VLOOKUP($G247,'KO Calc'!$H253:$AW253,28,FALSE)))))))))))))</f>
        <v>-</v>
      </c>
      <c r="J247" s="36" t="str">
        <f>IF(AND($Q$1=FALSE,$S$3=FALSE),"-",IF(AND($Q$1=TRUE,$S$3=TRUE),"-",IF(AND($Q$1=FALSE,$S$3=FALSE),"-",IF(AND($Q$1=TRUE,$S$1=TRUE,$S$4=FALSE)=TRUE,IF(OR($Q$4=TRUE,$Q$5=TRUE,$S$2=TRUE),VLOOKUP($G247,'KO Calc'!$H:$AW,FALSE),VLOOKUP($G247,'KO Calc'!$H253:$AW253,14,FALSE)),IF(AND($Q$1=TRUE,$S$4=FALSE),IF(OR($Q$4=TRUE,$Q$5=TRUE,$S$2=TRUE),VLOOKUP($G247,'KO Calc'!$H:$AW,4,FALSE),VLOOKUP($G247,'KO Calc'!$H253:$AW253,4,FALSE)),
IF(AND($Q$1=TRUE,$S$1=TRUE,$S$4=TRUE)=TRUE,IF(OR($Q$4=TRUE,$Q$5=TRUE,$S$2=TRUE),VLOOKUP($G247,'KO Calc'!$H:$AW,19,FALSE),VLOOKUP($G247,'KO Calc'!$H253:$AW253,19,FALSE)),IF(AND($Q$1=TRUE,$S$4=TRUE),IF(OR($Q$4=TRUE,$Q$5=TRUE,$S$2=TRUE),VLOOKUP($G247,'KO Calc'!$H:$AW,9,FALSE),VLOOKUP($G247,'KO Calc'!$H253:$AW253,9,FALSE)),
IF(AND($S$3=TRUE,$S$1=TRUE,$S$4=FALSE)=TRUE,IF(OR($Q$4=TRUE,$Q$5=TRUE,$S$2=TRUE),VLOOKUP($G247,'KO Calc'!$H:$AW,34,FALSE),VLOOKUP($G247,'KO Calc'!$H253:$AW253,34,FALSE)),IF(AND($S$3=TRUE,$S$4=FALSE),IF(OR($Q$4=TRUE,$Q$5=TRUE,$S$2=TRUE),VLOOKUP($G247,'KO Calc'!$H:$AW,24,FALSE),VLOOKUP($G247,'KO Calc'!$H253:$AW253,24,FALSE)),
IF(AND($S$3=TRUE,$S$1=TRUE,$S$4=TRUE)=TRUE,IF(OR($Q$4=TRUE,$Q$5=TRUE,$S$2=TRUE),VLOOKUP($G247,'KO Calc'!$H:$AW,39,FALSE),VLOOKUP($G247,'KO Calc'!$H253:$AW253,39,FALSE)),IF(AND($S$3=TRUE,$S$4=TRUE),IF(OR($Q$4=TRUE,$Q$5=TRUE,$S$2=TRUE),VLOOKUP($G247,'KO Calc'!$H:$AW,29,FALSE),VLOOKUP($G247,'KO Calc'!$H253:$AW253,29,FALSE)))))))))))))</f>
        <v>-</v>
      </c>
      <c r="K247" s="36" t="str">
        <f>IF(AND($Q$1=FALSE,$S$3=FALSE),"-",IF(AND($Q$1=TRUE,$S$3=TRUE),"-",IF(AND($Q$1=FALSE,$S$3=FALSE),"-",IF(AND($Q$1=TRUE,$S$1=TRUE,$S$4=FALSE)=TRUE,IF(OR($Q$4=TRUE,$Q$5=TRUE,$S$2=TRUE),VLOOKUP($G247,'KO Calc'!$H:$AW,15,FALSE),VLOOKUP($G247,'KO Calc'!$H253:$AW253,15,FALSE)),IF(AND($Q$1=TRUE,$S$4=FALSE),IF(OR($Q$4=TRUE,$Q$5=TRUE,$S$2=TRUE),VLOOKUP($G247,'KO Calc'!$H:$AW,5,FALSE),VLOOKUP($G247,'KO Calc'!$H253:$AW253,5,FALSE)),
IF(AND($Q$1=TRUE,$S$1=TRUE,$S$4=TRUE)=TRUE,IF(OR($Q$4=TRUE,$Q$5=TRUE,$S$2=TRUE),VLOOKUP($G247,'KO Calc'!$H:$AW,20,FALSE),VLOOKUP($G247,'KO Calc'!$H253:$AW253,20,FALSE)),IF(AND($Q$1=TRUE,$S$4=TRUE),IF(OR($Q$4=TRUE,$Q$5=TRUE,$S$2=TRUE),VLOOKUP($G247,'KO Calc'!$H:$AW,10,FALSE),VLOOKUP($G247,'KO Calc'!$H253:$AW253,10,FALSE)),
IF(AND($S$3=TRUE,$S$1=TRUE,$S$4=FALSE)=TRUE,IF(OR($Q$4=TRUE,$Q$5=TRUE,$S$2=TRUE),VLOOKUP($G247,'KO Calc'!$H:$AW,35,FALSE),VLOOKUP($G247,'KO Calc'!$H253:$AW253,35,FALSE)),IF(AND($S$3=TRUE,$S$4=FALSE),IF(OR($Q$4=TRUE,$Q$5=TRUE,$S$2=TRUE),VLOOKUP($G247,'KO Calc'!$H:$AW,25,FALSE),VLOOKUP($G247,'KO Calc'!$H253:$AW253,25,FALSE)),
IF(AND($S$3=TRUE,$S$1=TRUE,$S$4=TRUE)=TRUE,IF(OR($Q$4=TRUE,$Q$5=TRUE,$S$2=TRUE),VLOOKUP($G247,'KO Calc'!$H:$AW,40,FALSE),VLOOKUP($G247,'KO Calc'!$H253:$AW253,40,FALSE)),IF(AND($S$3=TRUE,$S$4=TRUE),IF(OR($Q$4=TRUE,$Q$5=TRUE,$S$2=TRUE),VLOOKUP($G247,'KO Calc'!$H:$AW,30,FALSE),VLOOKUP($G247,'KO Calc'!$H253:$AW253,30,FALSE)))))))))))))</f>
        <v>-</v>
      </c>
      <c r="L247" s="36" t="str">
        <f>IFERROR(IF(AND($Q$1=FALSE,$S$3=FALSE),"-",VLOOKUP($E247,'Status Thresholds'!$E:$AU,41,FALSE)),"-")</f>
        <v>-</v>
      </c>
      <c r="M247" s="36" t="str">
        <f>IFERROR(IF(AND($Q$1=FALSE,$S$3=FALSE),"-",VLOOKUP($E247,'Status Thresholds'!$E:$AU,42,FALSE)),"-")</f>
        <v>-</v>
      </c>
      <c r="N247" s="36" t="str">
        <f>IFERROR(IF(AND($Q$1=FALSE,$S$3=FALSE),"-",VLOOKUP($E247,'Status Thresholds'!$E:$AU,43,FALSE)),"-")</f>
        <v>-</v>
      </c>
    </row>
    <row r="248" spans="1:14" x14ac:dyDescent="0.25">
      <c r="B248" s="64" t="str">
        <f>VLOOKUP(C248,'Status Thresholds'!B:C,2,FALSE)</f>
        <v>MHGU</v>
      </c>
      <c r="C248" s="46" t="str">
        <f>IF(ISBLANK('KO Calc'!C244)=TRUE,"",'KO Calc'!C244)</f>
        <v>Diablos</v>
      </c>
      <c r="D248" s="78" t="s">
        <v>207</v>
      </c>
      <c r="E248" s="62" t="str">
        <f t="shared" si="7"/>
        <v>DiablosShock Trap</v>
      </c>
      <c r="F248" t="s">
        <v>13</v>
      </c>
      <c r="G248" s="36" t="str">
        <f t="shared" si="8"/>
        <v>DiablosCrag 3</v>
      </c>
      <c r="H248" s="36" t="str">
        <f>IF(AND($Q$1=FALSE,$S$3=FALSE),"-",IF(AND($Q$1=TRUE,$S$3=TRUE),"-",IF(AND($Q$1=FALSE,$S$3=FALSE),"-",IF(AND($Q$1=TRUE,$S$1=TRUE,$S$4=FALSE)=TRUE,IF(OR($Q$4=TRUE,$Q$5=TRUE,$S$2=TRUE),VLOOKUP($G248,'KO Calc'!$H:$AW,12,FALSE),VLOOKUP($G248,'KO Calc'!$H254:$AW254,12,FALSE)),IF(AND($Q$1=TRUE,$S$4=FALSE),IF(OR($Q$4=TRUE,$Q$5=TRUE,$S$2=TRUE),VLOOKUP($G248,'KO Calc'!$H:$AW,2,FALSE),VLOOKUP($G248,'KO Calc'!$H254:$AW254,2,FALSE)),
IF(AND($Q$1=TRUE,$S$1=TRUE,$S$4=TRUE)=TRUE,IF(OR($Q$4=TRUE,$Q$5=TRUE,$S$2=TRUE),VLOOKUP($G248,'KO Calc'!$H:$AW,17,FALSE),VLOOKUP($G248,'KO Calc'!$H254:$AW254,17,FALSE)),IF(AND($Q$1=TRUE,$S$4=TRUE),IF(OR($Q$4=TRUE,$Q$5=TRUE,$S$2=TRUE),VLOOKUP($G248,'KO Calc'!$H:$AW,7,FALSE),VLOOKUP($G248,'KO Calc'!$H254:$AW254,7,FALSE)),
IF(AND($S$3=TRUE,$S$1=TRUE,$S$4=FALSE)=TRUE,IF(OR($Q$4=TRUE,$Q$5=TRUE,$S$2=TRUE),VLOOKUP($G248,'KO Calc'!$H:$AW,32,FALSE),VLOOKUP($G248,'KO Calc'!$H254:$AW254,32,FALSE)),IF(AND($S$3=TRUE,$S$4=FALSE),IF(OR($Q$4=TRUE,$Q$5=TRUE,$S$2=TRUE),VLOOKUP($G248,'KO Calc'!$H:$AW,22,FALSE),VLOOKUP($G248,'KO Calc'!$H254:$AW254,22,FALSE)),
IF(AND($S$3=TRUE,$S$1=TRUE,$S$4=TRUE)=TRUE,IF(OR($Q$4=TRUE,$Q$5=TRUE,$S$2=TRUE),VLOOKUP($G248,'KO Calc'!$H:$AW,37,FALSE),VLOOKUP($G248,'KO Calc'!$H254:$AW254,37,FALSE)),IF(AND($S$3=TRUE,$S$4=TRUE),IF(OR($Q$4=TRUE,$Q$5=TRUE,$S$2=TRUE),VLOOKUP($G248,'KO Calc'!$H:$AW,27,FALSE),VLOOKUP($G248,'KO Calc'!$H254:$AW254,27,FALSE)))))))))))))</f>
        <v>-</v>
      </c>
      <c r="I248" s="36" t="str">
        <f>IF(AND($Q$1=FALSE,$S$3=FALSE),"-",IF(AND($Q$1=TRUE,$S$3=TRUE),"-",IF(AND($Q$1=FALSE,$S$3=FALSE),"-",IF(AND($Q$1=TRUE,$S$1=TRUE,$S$4=FALSE)=TRUE,IF(OR($Q$4=TRUE,$Q$5=TRUE,$S$2=TRUE),VLOOKUP($G248,'KO Calc'!$H:$AW,13,FALSE),VLOOKUP($G248,'KO Calc'!$H254:$AW254,13,FALSE)),IF(AND($Q$1=TRUE,$S$4=FALSE),IF(OR($Q$4=TRUE,$Q$5=TRUE,$S$2=TRUE),VLOOKUP($G248,'KO Calc'!$H:$AW,3,FALSE),VLOOKUP($G248,'KO Calc'!$H254:$AW254,3,FALSE)),
IF(AND($Q$1=TRUE,$S$1=TRUE,$S$4=TRUE)=TRUE,IF(OR($Q$4=TRUE,$Q$5=TRUE,$S$2=TRUE),VLOOKUP($G248,'KO Calc'!$H:$AW,18,FALSE),VLOOKUP($G248,'KO Calc'!$H254:$AW254,18,FALSE)),IF(AND($Q$1=TRUE,$S$4=TRUE),IF(OR($Q$4=TRUE,$Q$5=TRUE,$S$2=TRUE),VLOOKUP($G248,'KO Calc'!$H:$AW,8,FALSE),VLOOKUP($G248,'KO Calc'!$H254:$AW254,8,FALSE)),
IF(AND($S$3=TRUE,$S$1=TRUE,$S$4=FALSE)=TRUE,IF(OR($Q$4=TRUE,$Q$5=TRUE,$S$2=TRUE),VLOOKUP($G248,'KO Calc'!$H:$AW,33,FALSE),VLOOKUP($G248,'KO Calc'!$H254:$AW254,33,FALSE)),IF(AND($S$3=TRUE,$S$4=FALSE),IF(OR($Q$4=TRUE,$Q$5=TRUE,$S$2=TRUE),VLOOKUP($G248,'KO Calc'!$H:$AW,23,FALSE),VLOOKUP($G248,'KO Calc'!$H254:$AW254,23,FALSE)),
IF(AND($S$3=TRUE,$S$1=TRUE,$S$4=TRUE)=TRUE,IF(OR($Q$4=TRUE,$Q$5=TRUE,$S$2=TRUE),VLOOKUP($G248,'KO Calc'!$H:$AW,38,FALSE),VLOOKUP($G248,'KO Calc'!$H254:$AW254,38,FALSE)),IF(AND($S$3=TRUE,$S$4=TRUE),IF(OR($Q$4=TRUE,$Q$5=TRUE,$S$2=TRUE),VLOOKUP($G248,'KO Calc'!$H:$AW,28,FALSE),VLOOKUP($G248,'KO Calc'!$H254:$AW254,28,FALSE)))))))))))))</f>
        <v>-</v>
      </c>
      <c r="J248" s="36" t="str">
        <f>IF(AND($Q$1=FALSE,$S$3=FALSE),"-",IF(AND($Q$1=TRUE,$S$3=TRUE),"-",IF(AND($Q$1=FALSE,$S$3=FALSE),"-",IF(AND($Q$1=TRUE,$S$1=TRUE,$S$4=FALSE)=TRUE,IF(OR($Q$4=TRUE,$Q$5=TRUE,$S$2=TRUE),VLOOKUP($G248,'KO Calc'!$H:$AW,FALSE),VLOOKUP($G248,'KO Calc'!$H254:$AW254,14,FALSE)),IF(AND($Q$1=TRUE,$S$4=FALSE),IF(OR($Q$4=TRUE,$Q$5=TRUE,$S$2=TRUE),VLOOKUP($G248,'KO Calc'!$H:$AW,4,FALSE),VLOOKUP($G248,'KO Calc'!$H254:$AW254,4,FALSE)),
IF(AND($Q$1=TRUE,$S$1=TRUE,$S$4=TRUE)=TRUE,IF(OR($Q$4=TRUE,$Q$5=TRUE,$S$2=TRUE),VLOOKUP($G248,'KO Calc'!$H:$AW,19,FALSE),VLOOKUP($G248,'KO Calc'!$H254:$AW254,19,FALSE)),IF(AND($Q$1=TRUE,$S$4=TRUE),IF(OR($Q$4=TRUE,$Q$5=TRUE,$S$2=TRUE),VLOOKUP($G248,'KO Calc'!$H:$AW,9,FALSE),VLOOKUP($G248,'KO Calc'!$H254:$AW254,9,FALSE)),
IF(AND($S$3=TRUE,$S$1=TRUE,$S$4=FALSE)=TRUE,IF(OR($Q$4=TRUE,$Q$5=TRUE,$S$2=TRUE),VLOOKUP($G248,'KO Calc'!$H:$AW,34,FALSE),VLOOKUP($G248,'KO Calc'!$H254:$AW254,34,FALSE)),IF(AND($S$3=TRUE,$S$4=FALSE),IF(OR($Q$4=TRUE,$Q$5=TRUE,$S$2=TRUE),VLOOKUP($G248,'KO Calc'!$H:$AW,24,FALSE),VLOOKUP($G248,'KO Calc'!$H254:$AW254,24,FALSE)),
IF(AND($S$3=TRUE,$S$1=TRUE,$S$4=TRUE)=TRUE,IF(OR($Q$4=TRUE,$Q$5=TRUE,$S$2=TRUE),VLOOKUP($G248,'KO Calc'!$H:$AW,39,FALSE),VLOOKUP($G248,'KO Calc'!$H254:$AW254,39,FALSE)),IF(AND($S$3=TRUE,$S$4=TRUE),IF(OR($Q$4=TRUE,$Q$5=TRUE,$S$2=TRUE),VLOOKUP($G248,'KO Calc'!$H:$AW,29,FALSE),VLOOKUP($G248,'KO Calc'!$H254:$AW254,29,FALSE)))))))))))))</f>
        <v>-</v>
      </c>
      <c r="K248" s="36" t="str">
        <f>IF(AND($Q$1=FALSE,$S$3=FALSE),"-",IF(AND($Q$1=TRUE,$S$3=TRUE),"-",IF(AND($Q$1=FALSE,$S$3=FALSE),"-",IF(AND($Q$1=TRUE,$S$1=TRUE,$S$4=FALSE)=TRUE,IF(OR($Q$4=TRUE,$Q$5=TRUE,$S$2=TRUE),VLOOKUP($G248,'KO Calc'!$H:$AW,15,FALSE),VLOOKUP($G248,'KO Calc'!$H254:$AW254,15,FALSE)),IF(AND($Q$1=TRUE,$S$4=FALSE),IF(OR($Q$4=TRUE,$Q$5=TRUE,$S$2=TRUE),VLOOKUP($G248,'KO Calc'!$H:$AW,5,FALSE),VLOOKUP($G248,'KO Calc'!$H254:$AW254,5,FALSE)),
IF(AND($Q$1=TRUE,$S$1=TRUE,$S$4=TRUE)=TRUE,IF(OR($Q$4=TRUE,$Q$5=TRUE,$S$2=TRUE),VLOOKUP($G248,'KO Calc'!$H:$AW,20,FALSE),VLOOKUP($G248,'KO Calc'!$H254:$AW254,20,FALSE)),IF(AND($Q$1=TRUE,$S$4=TRUE),IF(OR($Q$4=TRUE,$Q$5=TRUE,$S$2=TRUE),VLOOKUP($G248,'KO Calc'!$H:$AW,10,FALSE),VLOOKUP($G248,'KO Calc'!$H254:$AW254,10,FALSE)),
IF(AND($S$3=TRUE,$S$1=TRUE,$S$4=FALSE)=TRUE,IF(OR($Q$4=TRUE,$Q$5=TRUE,$S$2=TRUE),VLOOKUP($G248,'KO Calc'!$H:$AW,35,FALSE),VLOOKUP($G248,'KO Calc'!$H254:$AW254,35,FALSE)),IF(AND($S$3=TRUE,$S$4=FALSE),IF(OR($Q$4=TRUE,$Q$5=TRUE,$S$2=TRUE),VLOOKUP($G248,'KO Calc'!$H:$AW,25,FALSE),VLOOKUP($G248,'KO Calc'!$H254:$AW254,25,FALSE)),
IF(AND($S$3=TRUE,$S$1=TRUE,$S$4=TRUE)=TRUE,IF(OR($Q$4=TRUE,$Q$5=TRUE,$S$2=TRUE),VLOOKUP($G248,'KO Calc'!$H:$AW,40,FALSE),VLOOKUP($G248,'KO Calc'!$H254:$AW254,40,FALSE)),IF(AND($S$3=TRUE,$S$4=TRUE),IF(OR($Q$4=TRUE,$Q$5=TRUE,$S$2=TRUE),VLOOKUP($G248,'KO Calc'!$H:$AW,30,FALSE),VLOOKUP($G248,'KO Calc'!$H254:$AW254,30,FALSE)))))))))))))</f>
        <v>-</v>
      </c>
      <c r="L248" s="36" t="str">
        <f>IFERROR(IF(AND($Q$1=FALSE,$S$3=FALSE),"-",VLOOKUP($E248,'Status Thresholds'!$E:$AU,43,FALSE)),"-")</f>
        <v>-</v>
      </c>
      <c r="M248" s="36" t="str">
        <f>IFERROR(IF(AND($Q$1=FALSE,$S$3=FALSE),"-",VLOOKUP($E248,'Status Thresholds'!$E:$AU,41,FALSE)),"-")</f>
        <v>-</v>
      </c>
      <c r="N248" s="36" t="str">
        <f>IFERROR(IF(AND($Q$1=FALSE,$S$3=FALSE),"-",VLOOKUP($E248,'Status Thresholds'!$E:$AU,42,FALSE)),"-")</f>
        <v>-</v>
      </c>
    </row>
    <row r="249" spans="1:14" x14ac:dyDescent="0.25">
      <c r="B249" s="64" t="str">
        <f>VLOOKUP(C249,'Status Thresholds'!B:C,2,FALSE)</f>
        <v>MHGU</v>
      </c>
      <c r="C249" s="46" t="str">
        <f>IF(ISBLANK('KO Calc'!C245)=TRUE,"",'KO Calc'!C245)</f>
        <v>Diablos</v>
      </c>
      <c r="D249" s="78" t="s">
        <v>213</v>
      </c>
      <c r="E249" s="62" t="str">
        <f t="shared" si="7"/>
        <v>DiablosPitfall Trap</v>
      </c>
      <c r="F249" t="s">
        <v>12</v>
      </c>
      <c r="G249" s="36" t="str">
        <f t="shared" si="8"/>
        <v>DiablosCrag 2</v>
      </c>
      <c r="H249" s="36" t="str">
        <f>IF(AND($Q$1=FALSE,$S$3=FALSE),"-",IF(AND($Q$1=TRUE,$S$3=TRUE),"-",IF(AND($Q$1=FALSE,$S$3=FALSE),"-",IF(AND($Q$1=TRUE,$S$1=TRUE,$S$4=FALSE)=TRUE,IF(OR($Q$4=TRUE,$Q$5=TRUE,$S$2=TRUE),VLOOKUP($G249,'KO Calc'!$H:$AW,12,FALSE),VLOOKUP($G249,'KO Calc'!$H255:$AW255,12,FALSE)),IF(AND($Q$1=TRUE,$S$4=FALSE),IF(OR($Q$4=TRUE,$Q$5=TRUE,$S$2=TRUE),VLOOKUP($G249,'KO Calc'!$H:$AW,2,FALSE),VLOOKUP($G249,'KO Calc'!$H255:$AW255,2,FALSE)),
IF(AND($Q$1=TRUE,$S$1=TRUE,$S$4=TRUE)=TRUE,IF(OR($Q$4=TRUE,$Q$5=TRUE,$S$2=TRUE),VLOOKUP($G249,'KO Calc'!$H:$AW,17,FALSE),VLOOKUP($G249,'KO Calc'!$H255:$AW255,17,FALSE)),IF(AND($Q$1=TRUE,$S$4=TRUE),IF(OR($Q$4=TRUE,$Q$5=TRUE,$S$2=TRUE),VLOOKUP($G249,'KO Calc'!$H:$AW,7,FALSE),VLOOKUP($G249,'KO Calc'!$H255:$AW255,7,FALSE)),
IF(AND($S$3=TRUE,$S$1=TRUE,$S$4=FALSE)=TRUE,IF(OR($Q$4=TRUE,$Q$5=TRUE,$S$2=TRUE),VLOOKUP($G249,'KO Calc'!$H:$AW,32,FALSE),VLOOKUP($G249,'KO Calc'!$H255:$AW255,32,FALSE)),IF(AND($S$3=TRUE,$S$4=FALSE),IF(OR($Q$4=TRUE,$Q$5=TRUE,$S$2=TRUE),VLOOKUP($G249,'KO Calc'!$H:$AW,22,FALSE),VLOOKUP($G249,'KO Calc'!$H255:$AW255,22,FALSE)),
IF(AND($S$3=TRUE,$S$1=TRUE,$S$4=TRUE)=TRUE,IF(OR($Q$4=TRUE,$Q$5=TRUE,$S$2=TRUE),VLOOKUP($G249,'KO Calc'!$H:$AW,37,FALSE),VLOOKUP($G249,'KO Calc'!$H255:$AW255,37,FALSE)),IF(AND($S$3=TRUE,$S$4=TRUE),IF(OR($Q$4=TRUE,$Q$5=TRUE,$S$2=TRUE),VLOOKUP($G249,'KO Calc'!$H:$AW,27,FALSE),VLOOKUP($G249,'KO Calc'!$H255:$AW255,27,FALSE)))))))))))))</f>
        <v>-</v>
      </c>
      <c r="I249" s="36" t="str">
        <f>IF(AND($Q$1=FALSE,$S$3=FALSE),"-",IF(AND($Q$1=TRUE,$S$3=TRUE),"-",IF(AND($Q$1=FALSE,$S$3=FALSE),"-",IF(AND($Q$1=TRUE,$S$1=TRUE,$S$4=FALSE)=TRUE,IF(OR($Q$4=TRUE,$Q$5=TRUE,$S$2=TRUE),VLOOKUP($G249,'KO Calc'!$H:$AW,13,FALSE),VLOOKUP($G249,'KO Calc'!$H255:$AW255,13,FALSE)),IF(AND($Q$1=TRUE,$S$4=FALSE),IF(OR($Q$4=TRUE,$Q$5=TRUE,$S$2=TRUE),VLOOKUP($G249,'KO Calc'!$H:$AW,3,FALSE),VLOOKUP($G249,'KO Calc'!$H255:$AW255,3,FALSE)),
IF(AND($Q$1=TRUE,$S$1=TRUE,$S$4=TRUE)=TRUE,IF(OR($Q$4=TRUE,$Q$5=TRUE,$S$2=TRUE),VLOOKUP($G249,'KO Calc'!$H:$AW,18,FALSE),VLOOKUP($G249,'KO Calc'!$H255:$AW255,18,FALSE)),IF(AND($Q$1=TRUE,$S$4=TRUE),IF(OR($Q$4=TRUE,$Q$5=TRUE,$S$2=TRUE),VLOOKUP($G249,'KO Calc'!$H:$AW,8,FALSE),VLOOKUP($G249,'KO Calc'!$H255:$AW255,8,FALSE)),
IF(AND($S$3=TRUE,$S$1=TRUE,$S$4=FALSE)=TRUE,IF(OR($Q$4=TRUE,$Q$5=TRUE,$S$2=TRUE),VLOOKUP($G249,'KO Calc'!$H:$AW,33,FALSE),VLOOKUP($G249,'KO Calc'!$H255:$AW255,33,FALSE)),IF(AND($S$3=TRUE,$S$4=FALSE),IF(OR($Q$4=TRUE,$Q$5=TRUE,$S$2=TRUE),VLOOKUP($G249,'KO Calc'!$H:$AW,23,FALSE),VLOOKUP($G249,'KO Calc'!$H255:$AW255,23,FALSE)),
IF(AND($S$3=TRUE,$S$1=TRUE,$S$4=TRUE)=TRUE,IF(OR($Q$4=TRUE,$Q$5=TRUE,$S$2=TRUE),VLOOKUP($G249,'KO Calc'!$H:$AW,38,FALSE),VLOOKUP($G249,'KO Calc'!$H255:$AW255,38,FALSE)),IF(AND($S$3=TRUE,$S$4=TRUE),IF(OR($Q$4=TRUE,$Q$5=TRUE,$S$2=TRUE),VLOOKUP($G249,'KO Calc'!$H:$AW,28,FALSE),VLOOKUP($G249,'KO Calc'!$H255:$AW255,28,FALSE)))))))))))))</f>
        <v>-</v>
      </c>
      <c r="J249" s="36" t="str">
        <f>IF(AND($Q$1=FALSE,$S$3=FALSE),"-",IF(AND($Q$1=TRUE,$S$3=TRUE),"-",IF(AND($Q$1=FALSE,$S$3=FALSE),"-",IF(AND($Q$1=TRUE,$S$1=TRUE,$S$4=FALSE)=TRUE,IF(OR($Q$4=TRUE,$Q$5=TRUE,$S$2=TRUE),VLOOKUP($G249,'KO Calc'!$H:$AW,FALSE),VLOOKUP($G249,'KO Calc'!$H255:$AW255,14,FALSE)),IF(AND($Q$1=TRUE,$S$4=FALSE),IF(OR($Q$4=TRUE,$Q$5=TRUE,$S$2=TRUE),VLOOKUP($G249,'KO Calc'!$H:$AW,4,FALSE),VLOOKUP($G249,'KO Calc'!$H255:$AW255,4,FALSE)),
IF(AND($Q$1=TRUE,$S$1=TRUE,$S$4=TRUE)=TRUE,IF(OR($Q$4=TRUE,$Q$5=TRUE,$S$2=TRUE),VLOOKUP($G249,'KO Calc'!$H:$AW,19,FALSE),VLOOKUP($G249,'KO Calc'!$H255:$AW255,19,FALSE)),IF(AND($Q$1=TRUE,$S$4=TRUE),IF(OR($Q$4=TRUE,$Q$5=TRUE,$S$2=TRUE),VLOOKUP($G249,'KO Calc'!$H:$AW,9,FALSE),VLOOKUP($G249,'KO Calc'!$H255:$AW255,9,FALSE)),
IF(AND($S$3=TRUE,$S$1=TRUE,$S$4=FALSE)=TRUE,IF(OR($Q$4=TRUE,$Q$5=TRUE,$S$2=TRUE),VLOOKUP($G249,'KO Calc'!$H:$AW,34,FALSE),VLOOKUP($G249,'KO Calc'!$H255:$AW255,34,FALSE)),IF(AND($S$3=TRUE,$S$4=FALSE),IF(OR($Q$4=TRUE,$Q$5=TRUE,$S$2=TRUE),VLOOKUP($G249,'KO Calc'!$H:$AW,24,FALSE),VLOOKUP($G249,'KO Calc'!$H255:$AW255,24,FALSE)),
IF(AND($S$3=TRUE,$S$1=TRUE,$S$4=TRUE)=TRUE,IF(OR($Q$4=TRUE,$Q$5=TRUE,$S$2=TRUE),VLOOKUP($G249,'KO Calc'!$H:$AW,39,FALSE),VLOOKUP($G249,'KO Calc'!$H255:$AW255,39,FALSE)),IF(AND($S$3=TRUE,$S$4=TRUE),IF(OR($Q$4=TRUE,$Q$5=TRUE,$S$2=TRUE),VLOOKUP($G249,'KO Calc'!$H:$AW,29,FALSE),VLOOKUP($G249,'KO Calc'!$H255:$AW255,29,FALSE)))))))))))))</f>
        <v>-</v>
      </c>
      <c r="K249" s="36" t="str">
        <f>IF(AND($Q$1=FALSE,$S$3=FALSE),"-",IF(AND($Q$1=TRUE,$S$3=TRUE),"-",IF(AND($Q$1=FALSE,$S$3=FALSE),"-",IF(AND($Q$1=TRUE,$S$1=TRUE,$S$4=FALSE)=TRUE,IF(OR($Q$4=TRUE,$Q$5=TRUE,$S$2=TRUE),VLOOKUP($G249,'KO Calc'!$H:$AW,15,FALSE),VLOOKUP($G249,'KO Calc'!$H255:$AW255,15,FALSE)),IF(AND($Q$1=TRUE,$S$4=FALSE),IF(OR($Q$4=TRUE,$Q$5=TRUE,$S$2=TRUE),VLOOKUP($G249,'KO Calc'!$H:$AW,5,FALSE),VLOOKUP($G249,'KO Calc'!$H255:$AW255,5,FALSE)),
IF(AND($Q$1=TRUE,$S$1=TRUE,$S$4=TRUE)=TRUE,IF(OR($Q$4=TRUE,$Q$5=TRUE,$S$2=TRUE),VLOOKUP($G249,'KO Calc'!$H:$AW,20,FALSE),VLOOKUP($G249,'KO Calc'!$H255:$AW255,20,FALSE)),IF(AND($Q$1=TRUE,$S$4=TRUE),IF(OR($Q$4=TRUE,$Q$5=TRUE,$S$2=TRUE),VLOOKUP($G249,'KO Calc'!$H:$AW,10,FALSE),VLOOKUP($G249,'KO Calc'!$H255:$AW255,10,FALSE)),
IF(AND($S$3=TRUE,$S$1=TRUE,$S$4=FALSE)=TRUE,IF(OR($Q$4=TRUE,$Q$5=TRUE,$S$2=TRUE),VLOOKUP($G249,'KO Calc'!$H:$AW,35,FALSE),VLOOKUP($G249,'KO Calc'!$H255:$AW255,35,FALSE)),IF(AND($S$3=TRUE,$S$4=FALSE),IF(OR($Q$4=TRUE,$Q$5=TRUE,$S$2=TRUE),VLOOKUP($G249,'KO Calc'!$H:$AW,25,FALSE),VLOOKUP($G249,'KO Calc'!$H255:$AW255,25,FALSE)),
IF(AND($S$3=TRUE,$S$1=TRUE,$S$4=TRUE)=TRUE,IF(OR($Q$4=TRUE,$Q$5=TRUE,$S$2=TRUE),VLOOKUP($G249,'KO Calc'!$H:$AW,40,FALSE),VLOOKUP($G249,'KO Calc'!$H255:$AW255,40,FALSE)),IF(AND($S$3=TRUE,$S$4=TRUE),IF(OR($Q$4=TRUE,$Q$5=TRUE,$S$2=TRUE),VLOOKUP($G249,'KO Calc'!$H:$AW,30,FALSE),VLOOKUP($G249,'KO Calc'!$H255:$AW255,30,FALSE)))))))))))))</f>
        <v>-</v>
      </c>
      <c r="L249" s="36" t="str">
        <f>IFERROR(IF(AND($Q$1=FALSE,$S$3=FALSE),"-",VLOOKUP($E249,'Status Thresholds'!$E:$AU,43,FALSE)),"-")</f>
        <v>-</v>
      </c>
      <c r="M249" s="36" t="str">
        <f>IFERROR(IF(AND($Q$1=FALSE,$S$3=FALSE),"-",VLOOKUP($E249,'Status Thresholds'!$E:$AU,41,FALSE)),"-")</f>
        <v>-</v>
      </c>
      <c r="N249" s="36" t="str">
        <f>IFERROR(IF(AND($Q$1=FALSE,$S$3=FALSE),"-",VLOOKUP($E249,'Status Thresholds'!$E:$AU,42,FALSE)),"-")</f>
        <v>-</v>
      </c>
    </row>
    <row r="250" spans="1:14" x14ac:dyDescent="0.25">
      <c r="B250" s="64" t="str">
        <f>VLOOKUP(C250,'Status Thresholds'!B:C,2,FALSE)</f>
        <v>MHGU</v>
      </c>
      <c r="C250" s="46" t="str">
        <f>IF(ISBLANK('KO Calc'!C246)=TRUE,"",'KO Calc'!C246)</f>
        <v>Diablos</v>
      </c>
      <c r="D250" s="78"/>
      <c r="E250" s="62" t="str">
        <f t="shared" si="7"/>
        <v>Diablos</v>
      </c>
      <c r="F250" t="s">
        <v>11</v>
      </c>
      <c r="G250" s="36" t="str">
        <f t="shared" si="8"/>
        <v>DiablosCrag 1</v>
      </c>
      <c r="H250" s="36" t="str">
        <f>IF(AND($Q$1=FALSE,$S$3=FALSE),"-",IF(AND($Q$1=TRUE,$S$3=TRUE),"-",IF(AND($Q$1=FALSE,$S$3=FALSE),"-",IF(AND($Q$1=TRUE,$S$1=TRUE,$S$4=FALSE)=TRUE,IF(OR($Q$4=TRUE,$Q$5=TRUE,$S$2=TRUE),VLOOKUP($G250,'KO Calc'!$H:$AW,12,FALSE),VLOOKUP($G250,'KO Calc'!$H256:$AW256,12,FALSE)),IF(AND($Q$1=TRUE,$S$4=FALSE),IF(OR($Q$4=TRUE,$Q$5=TRUE,$S$2=TRUE),VLOOKUP($G250,'KO Calc'!$H:$AW,2,FALSE),VLOOKUP($G250,'KO Calc'!$H256:$AW256,2,FALSE)),
IF(AND($Q$1=TRUE,$S$1=TRUE,$S$4=TRUE)=TRUE,IF(OR($Q$4=TRUE,$Q$5=TRUE,$S$2=TRUE),VLOOKUP($G250,'KO Calc'!$H:$AW,17,FALSE),VLOOKUP($G250,'KO Calc'!$H256:$AW256,17,FALSE)),IF(AND($Q$1=TRUE,$S$4=TRUE),IF(OR($Q$4=TRUE,$Q$5=TRUE,$S$2=TRUE),VLOOKUP($G250,'KO Calc'!$H:$AW,7,FALSE),VLOOKUP($G250,'KO Calc'!$H256:$AW256,7,FALSE)),
IF(AND($S$3=TRUE,$S$1=TRUE,$S$4=FALSE)=TRUE,IF(OR($Q$4=TRUE,$Q$5=TRUE,$S$2=TRUE),VLOOKUP($G250,'KO Calc'!$H:$AW,32,FALSE),VLOOKUP($G250,'KO Calc'!$H256:$AW256,32,FALSE)),IF(AND($S$3=TRUE,$S$4=FALSE),IF(OR($Q$4=TRUE,$Q$5=TRUE,$S$2=TRUE),VLOOKUP($G250,'KO Calc'!$H:$AW,22,FALSE),VLOOKUP($G250,'KO Calc'!$H256:$AW256,22,FALSE)),
IF(AND($S$3=TRUE,$S$1=TRUE,$S$4=TRUE)=TRUE,IF(OR($Q$4=TRUE,$Q$5=TRUE,$S$2=TRUE),VLOOKUP($G250,'KO Calc'!$H:$AW,37,FALSE),VLOOKUP($G250,'KO Calc'!$H256:$AW256,37,FALSE)),IF(AND($S$3=TRUE,$S$4=TRUE),IF(OR($Q$4=TRUE,$Q$5=TRUE,$S$2=TRUE),VLOOKUP($G250,'KO Calc'!$H:$AW,27,FALSE),VLOOKUP($G250,'KO Calc'!$H256:$AW256,27,FALSE)))))))))))))</f>
        <v>-</v>
      </c>
      <c r="I250" s="36" t="str">
        <f>IF(AND($Q$1=FALSE,$S$3=FALSE),"-",IF(AND($Q$1=TRUE,$S$3=TRUE),"-",IF(AND($Q$1=FALSE,$S$3=FALSE),"-",IF(AND($Q$1=TRUE,$S$1=TRUE,$S$4=FALSE)=TRUE,IF(OR($Q$4=TRUE,$Q$5=TRUE,$S$2=TRUE),VLOOKUP($G250,'KO Calc'!$H:$AW,13,FALSE),VLOOKUP($G250,'KO Calc'!$H256:$AW256,13,FALSE)),IF(AND($Q$1=TRUE,$S$4=FALSE),IF(OR($Q$4=TRUE,$Q$5=TRUE,$S$2=TRUE),VLOOKUP($G250,'KO Calc'!$H:$AW,3,FALSE),VLOOKUP($G250,'KO Calc'!$H256:$AW256,3,FALSE)),
IF(AND($Q$1=TRUE,$S$1=TRUE,$S$4=TRUE)=TRUE,IF(OR($Q$4=TRUE,$Q$5=TRUE,$S$2=TRUE),VLOOKUP($G250,'KO Calc'!$H:$AW,18,FALSE),VLOOKUP($G250,'KO Calc'!$H256:$AW256,18,FALSE)),IF(AND($Q$1=TRUE,$S$4=TRUE),IF(OR($Q$4=TRUE,$Q$5=TRUE,$S$2=TRUE),VLOOKUP($G250,'KO Calc'!$H:$AW,8,FALSE),VLOOKUP($G250,'KO Calc'!$H256:$AW256,8,FALSE)),
IF(AND($S$3=TRUE,$S$1=TRUE,$S$4=FALSE)=TRUE,IF(OR($Q$4=TRUE,$Q$5=TRUE,$S$2=TRUE),VLOOKUP($G250,'KO Calc'!$H:$AW,33,FALSE),VLOOKUP($G250,'KO Calc'!$H256:$AW256,33,FALSE)),IF(AND($S$3=TRUE,$S$4=FALSE),IF(OR($Q$4=TRUE,$Q$5=TRUE,$S$2=TRUE),VLOOKUP($G250,'KO Calc'!$H:$AW,23,FALSE),VLOOKUP($G250,'KO Calc'!$H256:$AW256,23,FALSE)),
IF(AND($S$3=TRUE,$S$1=TRUE,$S$4=TRUE)=TRUE,IF(OR($Q$4=TRUE,$Q$5=TRUE,$S$2=TRUE),VLOOKUP($G250,'KO Calc'!$H:$AW,38,FALSE),VLOOKUP($G250,'KO Calc'!$H256:$AW256,38,FALSE)),IF(AND($S$3=TRUE,$S$4=TRUE),IF(OR($Q$4=TRUE,$Q$5=TRUE,$S$2=TRUE),VLOOKUP($G250,'KO Calc'!$H:$AW,28,FALSE),VLOOKUP($G250,'KO Calc'!$H256:$AW256,28,FALSE)))))))))))))</f>
        <v>-</v>
      </c>
      <c r="J250" s="36" t="str">
        <f>IF(AND($Q$1=FALSE,$S$3=FALSE),"-",IF(AND($Q$1=TRUE,$S$3=TRUE),"-",IF(AND($Q$1=FALSE,$S$3=FALSE),"-",IF(AND($Q$1=TRUE,$S$1=TRUE,$S$4=FALSE)=TRUE,IF(OR($Q$4=TRUE,$Q$5=TRUE,$S$2=TRUE),VLOOKUP($G250,'KO Calc'!$H:$AW,FALSE),VLOOKUP($G250,'KO Calc'!$H256:$AW256,14,FALSE)),IF(AND($Q$1=TRUE,$S$4=FALSE),IF(OR($Q$4=TRUE,$Q$5=TRUE,$S$2=TRUE),VLOOKUP($G250,'KO Calc'!$H:$AW,4,FALSE),VLOOKUP($G250,'KO Calc'!$H256:$AW256,4,FALSE)),
IF(AND($Q$1=TRUE,$S$1=TRUE,$S$4=TRUE)=TRUE,IF(OR($Q$4=TRUE,$Q$5=TRUE,$S$2=TRUE),VLOOKUP($G250,'KO Calc'!$H:$AW,19,FALSE),VLOOKUP($G250,'KO Calc'!$H256:$AW256,19,FALSE)),IF(AND($Q$1=TRUE,$S$4=TRUE),IF(OR($Q$4=TRUE,$Q$5=TRUE,$S$2=TRUE),VLOOKUP($G250,'KO Calc'!$H:$AW,9,FALSE),VLOOKUP($G250,'KO Calc'!$H256:$AW256,9,FALSE)),
IF(AND($S$3=TRUE,$S$1=TRUE,$S$4=FALSE)=TRUE,IF(OR($Q$4=TRUE,$Q$5=TRUE,$S$2=TRUE),VLOOKUP($G250,'KO Calc'!$H:$AW,34,FALSE),VLOOKUP($G250,'KO Calc'!$H256:$AW256,34,FALSE)),IF(AND($S$3=TRUE,$S$4=FALSE),IF(OR($Q$4=TRUE,$Q$5=TRUE,$S$2=TRUE),VLOOKUP($G250,'KO Calc'!$H:$AW,24,FALSE),VLOOKUP($G250,'KO Calc'!$H256:$AW256,24,FALSE)),
IF(AND($S$3=TRUE,$S$1=TRUE,$S$4=TRUE)=TRUE,IF(OR($Q$4=TRUE,$Q$5=TRUE,$S$2=TRUE),VLOOKUP($G250,'KO Calc'!$H:$AW,39,FALSE),VLOOKUP($G250,'KO Calc'!$H256:$AW256,39,FALSE)),IF(AND($S$3=TRUE,$S$4=TRUE),IF(OR($Q$4=TRUE,$Q$5=TRUE,$S$2=TRUE),VLOOKUP($G250,'KO Calc'!$H:$AW,29,FALSE),VLOOKUP($G250,'KO Calc'!$H256:$AW256,29,FALSE)))))))))))))</f>
        <v>-</v>
      </c>
      <c r="K250" s="36" t="str">
        <f>IF(AND($Q$1=FALSE,$S$3=FALSE),"-",IF(AND($Q$1=TRUE,$S$3=TRUE),"-",IF(AND($Q$1=FALSE,$S$3=FALSE),"-",IF(AND($Q$1=TRUE,$S$1=TRUE,$S$4=FALSE)=TRUE,IF(OR($Q$4=TRUE,$Q$5=TRUE,$S$2=TRUE),VLOOKUP($G250,'KO Calc'!$H:$AW,15,FALSE),VLOOKUP($G250,'KO Calc'!$H256:$AW256,15,FALSE)),IF(AND($Q$1=TRUE,$S$4=FALSE),IF(OR($Q$4=TRUE,$Q$5=TRUE,$S$2=TRUE),VLOOKUP($G250,'KO Calc'!$H:$AW,5,FALSE),VLOOKUP($G250,'KO Calc'!$H256:$AW256,5,FALSE)),
IF(AND($Q$1=TRUE,$S$1=TRUE,$S$4=TRUE)=TRUE,IF(OR($Q$4=TRUE,$Q$5=TRUE,$S$2=TRUE),VLOOKUP($G250,'KO Calc'!$H:$AW,20,FALSE),VLOOKUP($G250,'KO Calc'!$H256:$AW256,20,FALSE)),IF(AND($Q$1=TRUE,$S$4=TRUE),IF(OR($Q$4=TRUE,$Q$5=TRUE,$S$2=TRUE),VLOOKUP($G250,'KO Calc'!$H:$AW,10,FALSE),VLOOKUP($G250,'KO Calc'!$H256:$AW256,10,FALSE)),
IF(AND($S$3=TRUE,$S$1=TRUE,$S$4=FALSE)=TRUE,IF(OR($Q$4=TRUE,$Q$5=TRUE,$S$2=TRUE),VLOOKUP($G250,'KO Calc'!$H:$AW,35,FALSE),VLOOKUP($G250,'KO Calc'!$H256:$AW256,35,FALSE)),IF(AND($S$3=TRUE,$S$4=FALSE),IF(OR($Q$4=TRUE,$Q$5=TRUE,$S$2=TRUE),VLOOKUP($G250,'KO Calc'!$H:$AW,25,FALSE),VLOOKUP($G250,'KO Calc'!$H256:$AW256,25,FALSE)),
IF(AND($S$3=TRUE,$S$1=TRUE,$S$4=TRUE)=TRUE,IF(OR($Q$4=TRUE,$Q$5=TRUE,$S$2=TRUE),VLOOKUP($G250,'KO Calc'!$H:$AW,40,FALSE),VLOOKUP($G250,'KO Calc'!$H256:$AW256,40,FALSE)),IF(AND($S$3=TRUE,$S$4=TRUE),IF(OR($Q$4=TRUE,$Q$5=TRUE,$S$2=TRUE),VLOOKUP($G250,'KO Calc'!$H:$AW,30,FALSE),VLOOKUP($G250,'KO Calc'!$H256:$AW256,30,FALSE)))))))))))))</f>
        <v>-</v>
      </c>
      <c r="L250" s="36" t="str">
        <f>IFERROR(VLOOKUP($E250,'Status Thresholds'!$E:$AS,41,FALSE),"-")</f>
        <v>-</v>
      </c>
    </row>
    <row r="251" spans="1:14" x14ac:dyDescent="0.25">
      <c r="B251" s="64" t="str">
        <f>VLOOKUP(C251,'Status Thresholds'!B:C,2,FALSE)</f>
        <v>MHGU</v>
      </c>
      <c r="C251" s="46" t="str">
        <f>IF(ISBLANK('KO Calc'!C247)=TRUE,"",'KO Calc'!C247)</f>
        <v>Diablos</v>
      </c>
      <c r="D251" s="78"/>
      <c r="E251" s="62"/>
      <c r="G251" s="36"/>
      <c r="L251" s="36" t="str">
        <f>IFERROR(VLOOKUP($E251,'Status Thresholds'!$E:$AS,41,FALSE),"-")</f>
        <v>-</v>
      </c>
    </row>
    <row r="252" spans="1:14" s="36" customFormat="1" x14ac:dyDescent="0.25">
      <c r="B252" s="64" t="str">
        <f>VLOOKUP(C252,'Status Thresholds'!B:C,2,FALSE)</f>
        <v>Deviant</v>
      </c>
      <c r="C252" s="46" t="str">
        <f>IF(ISBLANK('KO Calc'!C248)=TRUE,"",'KO Calc'!C248)</f>
        <v>Dreadking Rathalos</v>
      </c>
      <c r="D252" s="65" t="s">
        <v>0</v>
      </c>
      <c r="E252" s="62" t="str">
        <f t="shared" si="7"/>
        <v>Dreadking RathalosPara</v>
      </c>
      <c r="F252" s="36" t="s">
        <v>2</v>
      </c>
      <c r="G252" s="36" t="str">
        <f t="shared" si="8"/>
        <v>Dreadking RathalosPara lvl 2</v>
      </c>
      <c r="H252" s="36" t="str">
        <f>IFERROR(ROUNDUP(IF(AND($Q$1=FALSE,$S$3=FALSE),"-",IF(AND($Q$1=TRUE,$S$3=TRUE),"-",IF(AND($Q$1=TRUE,$S$1=TRUE,$S$4=FALSE),VLOOKUP($E252,'Status Thresholds'!$E:$AS,12,FALSE),IF(AND($Q$1=TRUE,$S$4=FALSE),VLOOKUP($E252,'Status Thresholds'!$E:$AS,2,FALSE), IF(AND($Q$1=TRUE,$S$1=TRUE,$S$4=TRUE),VLOOKUP($E252,'Status Thresholds'!$E:$AS,17,FALSE),IF(AND($Q$1=TRUE,$S$4=TRUE),VLOOKUP($E252,'Status Thresholds'!$E:$AS,7,FALSE),IF(AND($S$3=TRUE,$S$1=TRUE,$S$4=FALSE),VLOOKUP($E252,'Status Thresholds'!$E:$AS,32,FALSE),IF(AND($S$3=TRUE,$S$4=FALSE),VLOOKUP($E252,'Status Thresholds'!$E:$AS,22,FALSE),IF(AND($S$3=TRUE,$S$1=TRUE,$S$4=TRUE),VLOOKUP($E252,'Status Thresholds'!$E:$AS,37,FALSE),IF(AND($S$3=TRUE,$S$4=TRUE),VLOOKUP($E252,'Status Thresholds'!$E:$AS,27,FALSE),""))))))))/IF(OR($Q$3=TRUE,AND($Q$2=TRUE,$Q$7=TRUE),AND($Q$3=TRUE,$Q$7=TRUE))=TRUE,'Shots and Status'!$F$5,IF((OR($Q$2,$Q$7)=TRUE),'Shots and Status'!$D$5,'Shots and Status'!$C$5)))),0),"-")</f>
        <v>-</v>
      </c>
      <c r="I252" s="36" t="str">
        <f>IFERROR(ROUNDUP(IF(AND($Q$1=FALSE,$S$3=FALSE),"-",IF(AND($Q$1=TRUE,$S$3=TRUE),"-",IF(AND($Q$1=TRUE,$S$1=TRUE,$S$4=FALSE),VLOOKUP($E252,'Status Thresholds'!$E:$AS,13,FALSE),IF(AND($Q$1=TRUE,$S$4=FALSE),VLOOKUP($E252,'Status Thresholds'!$E:$AS,3,FALSE), IF(AND($Q$1=TRUE,$S$1=TRUE,$S$4=TRUE),VLOOKUP($E252,'Status Thresholds'!$E:$AS,18,FALSE),IF(AND($Q$1=TRUE,$S$4=TRUE),VLOOKUP($E252,'Status Thresholds'!$E:$AS,8,FALSE),IF(AND($S$3=TRUE,$S$1=TRUE,$S$4=FALSE),VLOOKUP($E252,'Status Thresholds'!$E:$AS,33,FALSE),IF(AND($S$3=TRUE,$S$4=FALSE),VLOOKUP($E252,'Status Thresholds'!$E:$AS,23,FALSE),IF(AND($S$3=TRUE,$S$1=TRUE,$S$4=TRUE),VLOOKUP($E252,'Status Thresholds'!$E:$AS,38,FALSE),IF(AND($S$3=TRUE,$S$4=TRUE),VLOOKUP($E252,'Status Thresholds'!$E:$AS,28,FALSE),""))))))))/IF(OR($Q$3=TRUE,AND($Q$2=TRUE,$Q$7=TRUE),AND($Q$3=TRUE,$Q$7=TRUE))=TRUE,'Shots and Status'!$F$5,IF((OR($Q$2,$Q$7)=TRUE),'Shots and Status'!$D$5,'Shots and Status'!$C$5)))),0),"-")</f>
        <v>-</v>
      </c>
      <c r="J252" s="36" t="str">
        <f>IFERROR(ROUNDUP(IF(AND($Q$1=FALSE,$S$3=FALSE),"-",IF(AND($Q$1=TRUE,$S$3=TRUE),"-",IF(AND($Q$1=TRUE,$S$1=TRUE,$S$4=FALSE),VLOOKUP($E252,'Status Thresholds'!$E:$AS,14,FALSE),IF(AND($Q$1=TRUE,$S$4=FALSE),VLOOKUP($E252,'Status Thresholds'!$E:$AS,4,FALSE), IF(AND($Q$1=TRUE,$S$1=TRUE,$S$4=TRUE),VLOOKUP($E252,'Status Thresholds'!$E:$AS,19,FALSE),IF(AND($Q$1=TRUE,$S$4=TRUE),VLOOKUP($E252,'Status Thresholds'!$E:$AS,9,FALSE),IF(AND($S$3=TRUE,$S$1=TRUE,$S$4=FALSE),VLOOKUP($E252,'Status Thresholds'!$E:$AS,34,FALSE),IF(AND($S$3=TRUE,$S$4=FALSE),VLOOKUP($E252,'Status Thresholds'!$E:$AS,24,FALSE),IF(AND($S$3=TRUE,$S$1=TRUE,$S$4=TRUE),VLOOKUP($E252,'Status Thresholds'!$E:$AS,39,FALSE),IF(AND($S$3=TRUE,$S$4=TRUE),VLOOKUP($E252,'Status Thresholds'!$E:$AS,29,FALSE),""))))))))/IF(OR($Q$3=TRUE,AND($Q$2=TRUE,$Q$7=TRUE),AND($Q$3=TRUE,$Q$7=TRUE))=TRUE,'Shots and Status'!$F$5,IF((OR($Q$2,$Q$7)=TRUE),'Shots and Status'!$D$5,'Shots and Status'!$C$5)))),0),"-")</f>
        <v>-</v>
      </c>
      <c r="K252" s="36" t="str">
        <f>IFERROR(ROUNDUP(IF(AND($Q$1=FALSE,$S$3=FALSE),"-",IF(AND($Q$1=TRUE,$S$3=TRUE),"-",IF(AND($Q$1=TRUE,$S$1=TRUE,$S$4=FALSE),VLOOKUP($E252,'Status Thresholds'!$E:$AS,15,FALSE),IF(AND($Q$1=TRUE,$S$4=FALSE),VLOOKUP($E252,'Status Thresholds'!$E:$AS,5,FALSE), IF(AND($Q$1=TRUE,$S$1=TRUE,$S$4=TRUE),VLOOKUP($E252,'Status Thresholds'!$E:$AS,20,FALSE),IF(AND($Q$1=TRUE,$S$4=TRUE),VLOOKUP($E252,'Status Thresholds'!$E:$AS,10,FALSE),IF(AND($S$3=TRUE,$S$1=TRUE,$S$4=FALSE),VLOOKUP($E252,'Status Thresholds'!$E:$AS,35,FALSE),IF(AND($S$3=TRUE,$S$4=FALSE),VLOOKUP($E252,'Status Thresholds'!$E:$AS,25,FALSE),IF(AND($S$3=TRUE,$S$1=TRUE,$S$4=TRUE),VLOOKUP($E252,'Status Thresholds'!$E:$AS,40,FALSE),IF(AND($S$3=TRUE,$S$4=TRUE),VLOOKUP($E252,'Status Thresholds'!$E:$AS,30,FALSE),""))))))))/IF(OR($Q$3=TRUE,AND($Q$2=TRUE,$Q$7=TRUE),AND($Q$3=TRUE,$Q$7=TRUE))=TRUE,'Shots and Status'!$F$5,IF((OR($Q$2,$Q$7)=TRUE),'Shots and Status'!$D$5,'Shots and Status'!$C$5)))),0),"-")</f>
        <v>-</v>
      </c>
      <c r="L252" s="36" t="str">
        <f>IFERROR(IF(AND($Q$1=FALSE,$S$3=FALSE),"-",VLOOKUP($E252,'Status Thresholds'!$E:$AU,41,FALSE)),"-")</f>
        <v>-</v>
      </c>
      <c r="M252" s="36" t="str">
        <f>IFERROR(IF(AND($Q$1=FALSE,$S$3=FALSE),"-",VLOOKUP($E252,'Status Thresholds'!$E:$AU,42,FALSE)),"-")</f>
        <v>-</v>
      </c>
      <c r="N252" s="36" t="str">
        <f>IFERROR(IF(AND($Q$1=FALSE,$S$3=FALSE),"-",VLOOKUP($E252,'Status Thresholds'!$E:$AU,43,FALSE)),"-")</f>
        <v>-</v>
      </c>
    </row>
    <row r="253" spans="1:14" s="59" customFormat="1" x14ac:dyDescent="0.25">
      <c r="A253" s="46"/>
      <c r="B253" s="64" t="str">
        <f>VLOOKUP(C253,'Status Thresholds'!B:C,2,FALSE)</f>
        <v>Deviant</v>
      </c>
      <c r="C253" s="46" t="str">
        <f>IF(ISBLANK('KO Calc'!C249)=TRUE,"",'KO Calc'!C249)</f>
        <v>Dreadking Rathalos</v>
      </c>
      <c r="D253" s="60" t="s">
        <v>32</v>
      </c>
      <c r="E253" s="62" t="str">
        <f t="shared" si="7"/>
        <v>Dreadking RathalosSleep</v>
      </c>
      <c r="F253" s="59" t="s">
        <v>5</v>
      </c>
      <c r="G253" s="36" t="str">
        <f t="shared" si="8"/>
        <v>Dreadking RathalosSleep lvl 2</v>
      </c>
      <c r="H253" s="36" t="str">
        <f>IFERROR(ROUNDUP(IF(AND($Q$1=FALSE,$S$3=FALSE),"-",IF(AND($Q$1=TRUE,$S$3=TRUE),"-",IF(AND($Q$1=TRUE,$S$1=TRUE,$S$4=FALSE),VLOOKUP($E253,'Status Thresholds'!$E:$AS,12,FALSE),IF(AND($Q$1=TRUE,$S$4=FALSE),VLOOKUP($E253,'Status Thresholds'!$E:$AS,2,FALSE), IF(AND($Q$1=TRUE,$S$1=TRUE,$S$4=TRUE),VLOOKUP($E253,'Status Thresholds'!$E:$AS,17,FALSE),IF(AND($Q$1=TRUE,$S$4=TRUE),VLOOKUP($E253,'Status Thresholds'!$E:$AS,7,FALSE),IF(AND($S$3=TRUE,$S$1=TRUE,$S$4=FALSE),VLOOKUP($E253,'Status Thresholds'!$E:$AS,32,FALSE),IF(AND($S$3=TRUE,$S$4=FALSE),VLOOKUP($E253,'Status Thresholds'!$E:$AS,22,FALSE),IF(AND($S$3=TRUE,$S$1=TRUE,$S$4=TRUE),VLOOKUP($E253,'Status Thresholds'!$E:$AS,37,FALSE),IF(AND($S$3=TRUE,$S$4=TRUE),VLOOKUP($E253,'Status Thresholds'!$E:$AS,27,FALSE),""))))))))/IF(OR($Q$3=TRUE,AND($Q$2=TRUE,$Q$7=TRUE),AND($Q$3=TRUE,$Q$7=TRUE))=TRUE,'Shots and Status'!$F$5,IF((OR($Q$2,$Q$7)=TRUE),'Shots and Status'!$D$5,'Shots and Status'!$C$5)))),0),"-")</f>
        <v>-</v>
      </c>
      <c r="I253" s="36" t="str">
        <f>IFERROR(ROUNDUP(IF(AND($Q$1=FALSE,$S$3=FALSE),"-",IF(AND($Q$1=TRUE,$S$3=TRUE),"-",IF(AND($Q$1=TRUE,$S$1=TRUE,$S$4=FALSE),VLOOKUP($E253,'Status Thresholds'!$E:$AS,13,FALSE),IF(AND($Q$1=TRUE,$S$4=FALSE),VLOOKUP($E253,'Status Thresholds'!$E:$AS,3,FALSE), IF(AND($Q$1=TRUE,$S$1=TRUE,$S$4=TRUE),VLOOKUP($E253,'Status Thresholds'!$E:$AS,18,FALSE),IF(AND($Q$1=TRUE,$S$4=TRUE),VLOOKUP($E253,'Status Thresholds'!$E:$AS,8,FALSE),IF(AND($S$3=TRUE,$S$1=TRUE,$S$4=FALSE),VLOOKUP($E253,'Status Thresholds'!$E:$AS,33,FALSE),IF(AND($S$3=TRUE,$S$4=FALSE),VLOOKUP($E253,'Status Thresholds'!$E:$AS,23,FALSE),IF(AND($S$3=TRUE,$S$1=TRUE,$S$4=TRUE),VLOOKUP($E253,'Status Thresholds'!$E:$AS,38,FALSE),IF(AND($S$3=TRUE,$S$4=TRUE),VLOOKUP($E253,'Status Thresholds'!$E:$AS,28,FALSE),""))))))))/IF(OR($Q$3=TRUE,AND($Q$2=TRUE,$Q$7=TRUE),AND($Q$3=TRUE,$Q$7=TRUE))=TRUE,'Shots and Status'!$F$5,IF((OR($Q$2,$Q$7)=TRUE),'Shots and Status'!$D$5,'Shots and Status'!$C$5)))),0),"-")</f>
        <v>-</v>
      </c>
      <c r="J253" s="36" t="str">
        <f>IFERROR(ROUNDUP(IF(AND($Q$1=FALSE,$S$3=FALSE),"-",IF(AND($Q$1=TRUE,$S$3=TRUE),"-",IF(AND($Q$1=TRUE,$S$1=TRUE,$S$4=FALSE),VLOOKUP($E253,'Status Thresholds'!$E:$AS,14,FALSE),IF(AND($Q$1=TRUE,$S$4=FALSE),VLOOKUP($E253,'Status Thresholds'!$E:$AS,4,FALSE), IF(AND($Q$1=TRUE,$S$1=TRUE,$S$4=TRUE),VLOOKUP($E253,'Status Thresholds'!$E:$AS,19,FALSE),IF(AND($Q$1=TRUE,$S$4=TRUE),VLOOKUP($E253,'Status Thresholds'!$E:$AS,9,FALSE),IF(AND($S$3=TRUE,$S$1=TRUE,$S$4=FALSE),VLOOKUP($E253,'Status Thresholds'!$E:$AS,34,FALSE),IF(AND($S$3=TRUE,$S$4=FALSE),VLOOKUP($E253,'Status Thresholds'!$E:$AS,24,FALSE),IF(AND($S$3=TRUE,$S$1=TRUE,$S$4=TRUE),VLOOKUP($E253,'Status Thresholds'!$E:$AS,39,FALSE),IF(AND($S$3=TRUE,$S$4=TRUE),VLOOKUP($E253,'Status Thresholds'!$E:$AS,29,FALSE),""))))))))/IF(OR($Q$3=TRUE,AND($Q$2=TRUE,$Q$7=TRUE),AND($Q$3=TRUE,$Q$7=TRUE))=TRUE,'Shots and Status'!$F$5,IF((OR($Q$2,$Q$7)=TRUE),'Shots and Status'!$D$5,'Shots and Status'!$C$5)))),0),"-")</f>
        <v>-</v>
      </c>
      <c r="K253" s="36" t="str">
        <f>IFERROR(ROUNDUP(IF(AND($Q$1=FALSE,$S$3=FALSE),"-",IF(AND($Q$1=TRUE,$S$3=TRUE),"-",IF(AND($Q$1=TRUE,$S$1=TRUE,$S$4=FALSE),VLOOKUP($E253,'Status Thresholds'!$E:$AS,15,FALSE),IF(AND($Q$1=TRUE,$S$4=FALSE),VLOOKUP($E253,'Status Thresholds'!$E:$AS,5,FALSE), IF(AND($Q$1=TRUE,$S$1=TRUE,$S$4=TRUE),VLOOKUP($E253,'Status Thresholds'!$E:$AS,20,FALSE),IF(AND($Q$1=TRUE,$S$4=TRUE),VLOOKUP($E253,'Status Thresholds'!$E:$AS,10,FALSE),IF(AND($S$3=TRUE,$S$1=TRUE,$S$4=FALSE),VLOOKUP($E253,'Status Thresholds'!$E:$AS,35,FALSE),IF(AND($S$3=TRUE,$S$4=FALSE),VLOOKUP($E253,'Status Thresholds'!$E:$AS,25,FALSE),IF(AND($S$3=TRUE,$S$1=TRUE,$S$4=TRUE),VLOOKUP($E253,'Status Thresholds'!$E:$AS,40,FALSE),IF(AND($S$3=TRUE,$S$4=TRUE),VLOOKUP($E253,'Status Thresholds'!$E:$AS,30,FALSE),""))))))))/IF(OR($Q$3=TRUE,AND($Q$2=TRUE,$Q$7=TRUE),AND($Q$3=TRUE,$Q$7=TRUE))=TRUE,'Shots and Status'!$F$5,IF((OR($Q$2,$Q$7)=TRUE),'Shots and Status'!$D$5,'Shots and Status'!$C$5)))),0),"-")</f>
        <v>-</v>
      </c>
      <c r="L253" s="36" t="str">
        <f>IFERROR(IF(AND($Q$1=FALSE,$S$3=FALSE),"-",VLOOKUP($E253,'Status Thresholds'!$E:$AU,41,FALSE)),"-")</f>
        <v>-</v>
      </c>
      <c r="M253" s="36" t="str">
        <f>IFERROR(IF(AND($Q$1=FALSE,$S$3=FALSE),"-",VLOOKUP($E253,'Status Thresholds'!$E:$AU,42,FALSE)),"-")</f>
        <v>-</v>
      </c>
      <c r="N253" s="36" t="str">
        <f>IFERROR(IF(AND($Q$1=FALSE,$S$3=FALSE),"-",VLOOKUP($E253,'Status Thresholds'!$E:$AU,43,FALSE)),"-")</f>
        <v>-</v>
      </c>
    </row>
    <row r="254" spans="1:14" s="59" customFormat="1" x14ac:dyDescent="0.25">
      <c r="A254" s="46"/>
      <c r="B254" s="64" t="str">
        <f>VLOOKUP(C254,'Status Thresholds'!B:C,2,FALSE)</f>
        <v>Deviant</v>
      </c>
      <c r="C254" s="46" t="str">
        <f>IF(ISBLANK('KO Calc'!C250)=TRUE,"",'KO Calc'!C250)</f>
        <v>Dreadking Rathalos</v>
      </c>
      <c r="D254" s="58" t="s">
        <v>33</v>
      </c>
      <c r="E254" s="62" t="str">
        <f t="shared" si="7"/>
        <v>Dreadking RathalosPoison</v>
      </c>
      <c r="F254" s="59" t="s">
        <v>6</v>
      </c>
      <c r="G254" s="36" t="str">
        <f t="shared" si="8"/>
        <v>Dreadking RathalosPoison lvl 2</v>
      </c>
      <c r="H254" s="36" t="str">
        <f>IFERROR(ROUNDUP(IF(AND($Q$1=FALSE,$S$3=FALSE),"-",IF(AND($Q$1=TRUE,$S$3=TRUE),"-",IF(AND($Q$1=TRUE,$S$1=TRUE,$S$4=FALSE),VLOOKUP($E254,'Status Thresholds'!$E:$AS,12,FALSE),IF(AND($Q$1=TRUE,$S$4=FALSE),VLOOKUP($E254,'Status Thresholds'!$E:$AS,2,FALSE), IF(AND($Q$1=TRUE,$S$1=TRUE,$S$4=TRUE),VLOOKUP($E254,'Status Thresholds'!$E:$AS,17,FALSE),IF(AND($Q$1=TRUE,$S$4=TRUE),VLOOKUP($E254,'Status Thresholds'!$E:$AS,7,FALSE),IF(AND($S$3=TRUE,$S$1=TRUE,$S$4=FALSE),VLOOKUP($E254,'Status Thresholds'!$E:$AS,32,FALSE),IF(AND($S$3=TRUE,$S$4=FALSE),VLOOKUP($E254,'Status Thresholds'!$E:$AS,22,FALSE),IF(AND($S$3=TRUE,$S$1=TRUE,$S$4=TRUE),VLOOKUP($E254,'Status Thresholds'!$E:$AS,37,FALSE),IF(AND($S$3=TRUE,$S$4=TRUE),VLOOKUP($E254,'Status Thresholds'!$E:$AS,27,FALSE),""))))))))/IF(OR($Q$3=TRUE,AND($Q$2=TRUE,$Q$7=TRUE),AND($Q$3=TRUE,$Q$7=TRUE))=TRUE,'Shots and Status'!$F$5,IF((OR($Q$2,$Q$7)=TRUE),'Shots and Status'!$D$5,'Shots and Status'!$C$5)))),0),"-")</f>
        <v>-</v>
      </c>
      <c r="I254" s="36" t="str">
        <f>IFERROR(ROUNDUP(IF(AND($Q$1=FALSE,$S$3=FALSE),"-",IF(AND($Q$1=TRUE,$S$3=TRUE),"-",IF(AND($Q$1=TRUE,$S$1=TRUE,$S$4=FALSE),VLOOKUP($E254,'Status Thresholds'!$E:$AS,13,FALSE),IF(AND($Q$1=TRUE,$S$4=FALSE),VLOOKUP($E254,'Status Thresholds'!$E:$AS,3,FALSE), IF(AND($Q$1=TRUE,$S$1=TRUE,$S$4=TRUE),VLOOKUP($E254,'Status Thresholds'!$E:$AS,18,FALSE),IF(AND($Q$1=TRUE,$S$4=TRUE),VLOOKUP($E254,'Status Thresholds'!$E:$AS,8,FALSE),IF(AND($S$3=TRUE,$S$1=TRUE,$S$4=FALSE),VLOOKUP($E254,'Status Thresholds'!$E:$AS,33,FALSE),IF(AND($S$3=TRUE,$S$4=FALSE),VLOOKUP($E254,'Status Thresholds'!$E:$AS,23,FALSE),IF(AND($S$3=TRUE,$S$1=TRUE,$S$4=TRUE),VLOOKUP($E254,'Status Thresholds'!$E:$AS,38,FALSE),IF(AND($S$3=TRUE,$S$4=TRUE),VLOOKUP($E254,'Status Thresholds'!$E:$AS,28,FALSE),""))))))))/IF(OR($Q$3=TRUE,AND($Q$2=TRUE,$Q$7=TRUE),AND($Q$3=TRUE,$Q$7=TRUE))=TRUE,'Shots and Status'!$F$5,IF((OR($Q$2,$Q$7)=TRUE),'Shots and Status'!$D$5,'Shots and Status'!$C$5)))),0),"-")</f>
        <v>-</v>
      </c>
      <c r="J254" s="36" t="str">
        <f>IFERROR(ROUNDUP(IF(AND($Q$1=FALSE,$S$3=FALSE),"-",IF(AND($Q$1=TRUE,$S$3=TRUE),"-",IF(AND($Q$1=TRUE,$S$1=TRUE,$S$4=FALSE),VLOOKUP($E254,'Status Thresholds'!$E:$AS,14,FALSE),IF(AND($Q$1=TRUE,$S$4=FALSE),VLOOKUP($E254,'Status Thresholds'!$E:$AS,4,FALSE), IF(AND($Q$1=TRUE,$S$1=TRUE,$S$4=TRUE),VLOOKUP($E254,'Status Thresholds'!$E:$AS,19,FALSE),IF(AND($Q$1=TRUE,$S$4=TRUE),VLOOKUP($E254,'Status Thresholds'!$E:$AS,9,FALSE),IF(AND($S$3=TRUE,$S$1=TRUE,$S$4=FALSE),VLOOKUP($E254,'Status Thresholds'!$E:$AS,34,FALSE),IF(AND($S$3=TRUE,$S$4=FALSE),VLOOKUP($E254,'Status Thresholds'!$E:$AS,24,FALSE),IF(AND($S$3=TRUE,$S$1=TRUE,$S$4=TRUE),VLOOKUP($E254,'Status Thresholds'!$E:$AS,39,FALSE),IF(AND($S$3=TRUE,$S$4=TRUE),VLOOKUP($E254,'Status Thresholds'!$E:$AS,29,FALSE),""))))))))/IF(OR($Q$3=TRUE,AND($Q$2=TRUE,$Q$7=TRUE),AND($Q$3=TRUE,$Q$7=TRUE))=TRUE,'Shots and Status'!$F$5,IF((OR($Q$2,$Q$7)=TRUE),'Shots and Status'!$D$5,'Shots and Status'!$C$5)))),0),"-")</f>
        <v>-</v>
      </c>
      <c r="K254" s="36" t="str">
        <f>IFERROR(ROUNDUP(IF(AND($Q$1=FALSE,$S$3=FALSE),"-",IF(AND($Q$1=TRUE,$S$3=TRUE),"-",IF(AND($Q$1=TRUE,$S$1=TRUE,$S$4=FALSE),VLOOKUP($E254,'Status Thresholds'!$E:$AS,15,FALSE),IF(AND($Q$1=TRUE,$S$4=FALSE),VLOOKUP($E254,'Status Thresholds'!$E:$AS,5,FALSE), IF(AND($Q$1=TRUE,$S$1=TRUE,$S$4=TRUE),VLOOKUP($E254,'Status Thresholds'!$E:$AS,20,FALSE),IF(AND($Q$1=TRUE,$S$4=TRUE),VLOOKUP($E254,'Status Thresholds'!$E:$AS,10,FALSE),IF(AND($S$3=TRUE,$S$1=TRUE,$S$4=FALSE),VLOOKUP($E254,'Status Thresholds'!$E:$AS,35,FALSE),IF(AND($S$3=TRUE,$S$4=FALSE),VLOOKUP($E254,'Status Thresholds'!$E:$AS,25,FALSE),IF(AND($S$3=TRUE,$S$1=TRUE,$S$4=TRUE),VLOOKUP($E254,'Status Thresholds'!$E:$AS,40,FALSE),IF(AND($S$3=TRUE,$S$4=TRUE),VLOOKUP($E254,'Status Thresholds'!$E:$AS,30,FALSE),""))))))))/IF(OR($Q$3=TRUE,AND($Q$2=TRUE,$Q$7=TRUE),AND($Q$3=TRUE,$Q$7=TRUE))=TRUE,'Shots and Status'!$F$5,IF((OR($Q$2,$Q$7)=TRUE),'Shots and Status'!$D$5,'Shots and Status'!$C$5)))),0),"-")</f>
        <v>-</v>
      </c>
      <c r="L254" s="36" t="str">
        <f>IFERROR(IF(AND($Q$1=FALSE,$S$3=FALSE),"-",VLOOKUP($E254,'Status Thresholds'!$E:$AU,41,FALSE)),"-")</f>
        <v>-</v>
      </c>
      <c r="M254" s="36" t="str">
        <f>IFERROR(IF(AND($Q$1=FALSE,$S$3=FALSE),"-",VLOOKUP($E254,'Status Thresholds'!$E:$AU,42,FALSE)),"-")</f>
        <v>-</v>
      </c>
      <c r="N254" s="36" t="str">
        <f>IFERROR(IF(AND($Q$1=FALSE,$S$3=FALSE),"-",VLOOKUP($E254,'Status Thresholds'!$E:$AU,43,FALSE)),"-")</f>
        <v>-</v>
      </c>
    </row>
    <row r="255" spans="1:14" s="36" customFormat="1" x14ac:dyDescent="0.25">
      <c r="A255" s="46"/>
      <c r="B255" s="64" t="str">
        <f>VLOOKUP(C255,'Status Thresholds'!B:C,2,FALSE)</f>
        <v>Deviant</v>
      </c>
      <c r="C255" s="46" t="str">
        <f>IF(ISBLANK('KO Calc'!C251)=TRUE,"",'KO Calc'!C251)</f>
        <v>Dreadking Rathalos</v>
      </c>
      <c r="D255" s="57" t="s">
        <v>22</v>
      </c>
      <c r="E255" s="62" t="str">
        <f t="shared" si="7"/>
        <v>Dreadking RathalosExhaust</v>
      </c>
      <c r="F255" s="36" t="s">
        <v>8</v>
      </c>
      <c r="G255" s="36" t="str">
        <f t="shared" si="8"/>
        <v>Dreadking RathalosExhaust lvl 2</v>
      </c>
      <c r="H255" s="36" t="str">
        <f>IFERROR(ROUNDUP(IF(AND($Q$1=FALSE,$S$3=FALSE),"-",IF(AND($Q$1=TRUE,$S$3=TRUE),"-",IF(AND($Q$1=TRUE,$S$1=TRUE,$S$4=FALSE),VLOOKUP($E255,'Status Thresholds'!$E:$AS,12,FALSE),IF(AND($Q$1=TRUE,$S$4=FALSE),VLOOKUP($E255,'Status Thresholds'!$E:$AS,2,FALSE), IF(AND($Q$1=TRUE,$S$1=TRUE,$S$4=TRUE),VLOOKUP($E255,'Status Thresholds'!$E:$AS,17,FALSE),IF(AND($Q$1=TRUE,$S$4=TRUE),VLOOKUP($E255,'Status Thresholds'!$E:$AS,7,FALSE),IF(AND($S$3=TRUE,$S$1=TRUE,$S$4=FALSE),VLOOKUP($E255,'Status Thresholds'!$E:$AS,32,FALSE),IF(AND($S$3=TRUE,$S$4=FALSE),VLOOKUP($E255,'Status Thresholds'!$E:$AS,22,FALSE),IF(AND($S$3=TRUE,$S$1=TRUE,$S$4=TRUE),VLOOKUP($E255,'Status Thresholds'!$E:$AS,37,FALSE),IF(AND($S$3=TRUE,$S$4=TRUE),VLOOKUP($E255,'Status Thresholds'!$E:$AS,27,FALSE),""))))))))/IF(OR($Q$3=TRUE,AND($Q$2=TRUE,$Q$7=TRUE),AND($Q$3=TRUE,$Q$7=TRUE))=TRUE,'Shots and Status'!$F$5,IF((OR($Q$2,$Q$7)=TRUE),'Shots and Status'!$D$5,'Shots and Status'!$C$5)))),0),"-")</f>
        <v>-</v>
      </c>
      <c r="I255" s="36" t="str">
        <f>IFERROR(ROUNDUP(IF(AND($Q$1=FALSE,$S$3=FALSE),"-",IF(AND($Q$1=TRUE,$S$3=TRUE),"-",IF(AND($Q$1=TRUE,$S$1=TRUE,$S$4=FALSE),VLOOKUP($E255,'Status Thresholds'!$E:$AS,13,FALSE),IF(AND($Q$1=TRUE,$S$4=FALSE),VLOOKUP($E255,'Status Thresholds'!$E:$AS,3,FALSE), IF(AND($Q$1=TRUE,$S$1=TRUE,$S$4=TRUE),VLOOKUP($E255,'Status Thresholds'!$E:$AS,18,FALSE),IF(AND($Q$1=TRUE,$S$4=TRUE),VLOOKUP($E255,'Status Thresholds'!$E:$AS,8,FALSE),IF(AND($S$3=TRUE,$S$1=TRUE,$S$4=FALSE),VLOOKUP($E255,'Status Thresholds'!$E:$AS,33,FALSE),IF(AND($S$3=TRUE,$S$4=FALSE),VLOOKUP($E255,'Status Thresholds'!$E:$AS,23,FALSE),IF(AND($S$3=TRUE,$S$1=TRUE,$S$4=TRUE),VLOOKUP($E255,'Status Thresholds'!$E:$AS,38,FALSE),IF(AND($S$3=TRUE,$S$4=TRUE),VLOOKUP($E255,'Status Thresholds'!$E:$AS,28,FALSE),""))))))))/IF(OR($Q$3=TRUE,AND($Q$2=TRUE,$Q$7=TRUE),AND($Q$3=TRUE,$Q$7=TRUE))=TRUE,'Shots and Status'!$F$5,IF((OR($Q$2,$Q$7)=TRUE),'Shots and Status'!$D$5,'Shots and Status'!$C$5)))),0),"-")</f>
        <v>-</v>
      </c>
      <c r="J255" s="36" t="str">
        <f>IFERROR(ROUNDUP(IF(AND($Q$1=FALSE,$S$3=FALSE),"-",IF(AND($Q$1=TRUE,$S$3=TRUE),"-",IF(AND($Q$1=TRUE,$S$1=TRUE,$S$4=FALSE),VLOOKUP($E255,'Status Thresholds'!$E:$AS,14,FALSE),IF(AND($Q$1=TRUE,$S$4=FALSE),VLOOKUP($E255,'Status Thresholds'!$E:$AS,4,FALSE), IF(AND($Q$1=TRUE,$S$1=TRUE,$S$4=TRUE),VLOOKUP($E255,'Status Thresholds'!$E:$AS,19,FALSE),IF(AND($Q$1=TRUE,$S$4=TRUE),VLOOKUP($E255,'Status Thresholds'!$E:$AS,9,FALSE),IF(AND($S$3=TRUE,$S$1=TRUE,$S$4=FALSE),VLOOKUP($E255,'Status Thresholds'!$E:$AS,34,FALSE),IF(AND($S$3=TRUE,$S$4=FALSE),VLOOKUP($E255,'Status Thresholds'!$E:$AS,24,FALSE),IF(AND($S$3=TRUE,$S$1=TRUE,$S$4=TRUE),VLOOKUP($E255,'Status Thresholds'!$E:$AS,39,FALSE),IF(AND($S$3=TRUE,$S$4=TRUE),VLOOKUP($E255,'Status Thresholds'!$E:$AS,29,FALSE),""))))))))/IF(OR($Q$3=TRUE,AND($Q$2=TRUE,$Q$7=TRUE),AND($Q$3=TRUE,$Q$7=TRUE))=TRUE,'Shots and Status'!$F$5,IF((OR($Q$2,$Q$7)=TRUE),'Shots and Status'!$D$5,'Shots and Status'!$C$5)))),0),"-")</f>
        <v>-</v>
      </c>
      <c r="K255" s="36" t="str">
        <f>IFERROR(ROUNDUP(IF(AND($Q$1=FALSE,$S$3=FALSE),"-",IF(AND($Q$1=TRUE,$S$3=TRUE),"-",IF(AND($Q$1=TRUE,$S$1=TRUE,$S$4=FALSE),VLOOKUP($E255,'Status Thresholds'!$E:$AS,15,FALSE),IF(AND($Q$1=TRUE,$S$4=FALSE),VLOOKUP($E255,'Status Thresholds'!$E:$AS,5,FALSE), IF(AND($Q$1=TRUE,$S$1=TRUE,$S$4=TRUE),VLOOKUP($E255,'Status Thresholds'!$E:$AS,20,FALSE),IF(AND($Q$1=TRUE,$S$4=TRUE),VLOOKUP($E255,'Status Thresholds'!$E:$AS,10,FALSE),IF(AND($S$3=TRUE,$S$1=TRUE,$S$4=FALSE),VLOOKUP($E255,'Status Thresholds'!$E:$AS,35,FALSE),IF(AND($S$3=TRUE,$S$4=FALSE),VLOOKUP($E255,'Status Thresholds'!$E:$AS,25,FALSE),IF(AND($S$3=TRUE,$S$1=TRUE,$S$4=TRUE),VLOOKUP($E255,'Status Thresholds'!$E:$AS,40,FALSE),IF(AND($S$3=TRUE,$S$4=TRUE),VLOOKUP($E255,'Status Thresholds'!$E:$AS,30,FALSE),""))))))))/IF(OR($Q$3=TRUE,AND($Q$2=TRUE,$Q$7=TRUE),AND($Q$3=TRUE,$Q$7=TRUE))=TRUE,'Shots and Status'!$F$5,IF((OR($Q$2,$Q$7)=TRUE),'Shots and Status'!$D$5,'Shots and Status'!$C$5)))),0),"-")</f>
        <v>-</v>
      </c>
      <c r="L255" s="36" t="str">
        <f>IFERROR(IF(AND($Q$1=FALSE,$S$3=FALSE),"-",VLOOKUP($E255,'Status Thresholds'!$E:$AU,41,FALSE)),"-")</f>
        <v>-</v>
      </c>
      <c r="M255" s="36" t="str">
        <f>IFERROR(IF(AND($Q$1=FALSE,$S$3=FALSE),"-",VLOOKUP($E255,'Status Thresholds'!$E:$AU,42,FALSE)),"-")</f>
        <v>-</v>
      </c>
      <c r="N255" s="36" t="str">
        <f>IFERROR(IF(AND($Q$1=FALSE,$S$3=FALSE),"-",VLOOKUP($E255,'Status Thresholds'!$E:$AU,43,FALSE)),"-")</f>
        <v>-</v>
      </c>
    </row>
    <row r="256" spans="1:14" s="36" customFormat="1" x14ac:dyDescent="0.25">
      <c r="A256" s="46"/>
      <c r="B256" s="64" t="str">
        <f>VLOOKUP(C256,'Status Thresholds'!B:C,2,FALSE)</f>
        <v>Deviant</v>
      </c>
      <c r="C256" s="46" t="str">
        <f>IF(ISBLANK('KO Calc'!C252)=TRUE,"",'KO Calc'!C252)</f>
        <v>Dreadking Rathalos</v>
      </c>
      <c r="D256" s="67" t="s">
        <v>14</v>
      </c>
      <c r="E256" s="62" t="str">
        <f t="shared" si="7"/>
        <v>Dreadking RathalosKO</v>
      </c>
      <c r="F256" s="36" t="s">
        <v>21</v>
      </c>
      <c r="G256" s="36" t="str">
        <f t="shared" si="8"/>
        <v>Dreadking RathalosTriblast</v>
      </c>
      <c r="H256" s="36" t="str">
        <f>IF(AND($Q$1=FALSE,$S$3=FALSE),"-",IF(AND($Q$1=TRUE,$S$3=TRUE),"-",IF(AND($Q$1=FALSE,$S$3=FALSE),"-",IF(AND($Q$1=TRUE,$S$1=TRUE,$S$4=FALSE)=TRUE,IF(OR($Q$4=TRUE,$Q$5=TRUE,$S$2=TRUE),VLOOKUP($G256,'KO Calc'!$H:$AW,12,FALSE),VLOOKUP($G256,'KO Calc'!$H262:$AW262,12,FALSE)),IF(AND($Q$1=TRUE,$S$4=FALSE),IF(OR($Q$4=TRUE,$Q$5=TRUE,$S$2=TRUE),VLOOKUP($G256,'KO Calc'!$H:$AW,2,FALSE),VLOOKUP($G256,'KO Calc'!$H262:$AW262,2,FALSE)),
IF(AND($Q$1=TRUE,$S$1=TRUE,$S$4=TRUE)=TRUE,IF(OR($Q$4=TRUE,$Q$5=TRUE,$S$2=TRUE),VLOOKUP($G256,'KO Calc'!$H:$AW,17,FALSE),VLOOKUP($G256,'KO Calc'!$H262:$AW262,17,FALSE)),IF(AND($Q$1=TRUE,$S$4=TRUE),IF(OR($Q$4=TRUE,$Q$5=TRUE,$S$2=TRUE),VLOOKUP($G256,'KO Calc'!$H:$AW,7,FALSE),VLOOKUP($G256,'KO Calc'!$H262:$AW262,7,FALSE)),
IF(AND($S$3=TRUE,$S$1=TRUE,$S$4=FALSE)=TRUE,IF(OR($Q$4=TRUE,$Q$5=TRUE,$S$2=TRUE),VLOOKUP($G256,'KO Calc'!$H:$AW,32,FALSE),VLOOKUP($G256,'KO Calc'!$H262:$AW262,32,FALSE)),IF(AND($S$3=TRUE,$S$4=FALSE),IF(OR($Q$4=TRUE,$Q$5=TRUE,$S$2=TRUE),VLOOKUP($G256,'KO Calc'!$H:$AW,22,FALSE),VLOOKUP($G256,'KO Calc'!$H262:$AW262,22,FALSE)),
IF(AND($S$3=TRUE,$S$1=TRUE,$S$4=TRUE)=TRUE,IF(OR($Q$4=TRUE,$Q$5=TRUE,$S$2=TRUE),VLOOKUP($G256,'KO Calc'!$H:$AW,37,FALSE),VLOOKUP($G256,'KO Calc'!$H262:$AW262,37,FALSE)),IF(AND($S$3=TRUE,$S$4=TRUE),IF(OR($Q$4=TRUE,$Q$5=TRUE,$S$2=TRUE),VLOOKUP($G256,'KO Calc'!$H:$AW,27,FALSE),VLOOKUP($G256,'KO Calc'!$H262:$AW262,27,FALSE)))))))))))))</f>
        <v>-</v>
      </c>
      <c r="I256" s="36" t="str">
        <f>IF(AND($Q$1=FALSE,$S$3=FALSE),"-",IF(AND($Q$1=TRUE,$S$3=TRUE),"-",IF(AND($Q$1=FALSE,$S$3=FALSE),"-",IF(AND($Q$1=TRUE,$S$1=TRUE,$S$4=FALSE)=TRUE,IF(OR($Q$4=TRUE,$Q$5=TRUE,$S$2=TRUE),VLOOKUP($G256,'KO Calc'!$H:$AW,13,FALSE),VLOOKUP($G256,'KO Calc'!$H262:$AW262,13,FALSE)),IF(AND($Q$1=TRUE,$S$4=FALSE),IF(OR($Q$4=TRUE,$Q$5=TRUE,$S$2=TRUE),VLOOKUP($G256,'KO Calc'!$H:$AW,3,FALSE),VLOOKUP($G256,'KO Calc'!$H262:$AW262,3,FALSE)),
IF(AND($Q$1=TRUE,$S$1=TRUE,$S$4=TRUE)=TRUE,IF(OR($Q$4=TRUE,$Q$5=TRUE,$S$2=TRUE),VLOOKUP($G256,'KO Calc'!$H:$AW,18,FALSE),VLOOKUP($G256,'KO Calc'!$H262:$AW262,18,FALSE)),IF(AND($Q$1=TRUE,$S$4=TRUE),IF(OR($Q$4=TRUE,$Q$5=TRUE,$S$2=TRUE),VLOOKUP($G256,'KO Calc'!$H:$AW,8,FALSE),VLOOKUP($G256,'KO Calc'!$H262:$AW262,8,FALSE)),
IF(AND($S$3=TRUE,$S$1=TRUE,$S$4=FALSE)=TRUE,IF(OR($Q$4=TRUE,$Q$5=TRUE,$S$2=TRUE),VLOOKUP($G256,'KO Calc'!$H:$AW,33,FALSE),VLOOKUP($G256,'KO Calc'!$H262:$AW262,33,FALSE)),IF(AND($S$3=TRUE,$S$4=FALSE),IF(OR($Q$4=TRUE,$Q$5=TRUE,$S$2=TRUE),VLOOKUP($G256,'KO Calc'!$H:$AW,23,FALSE),VLOOKUP($G256,'KO Calc'!$H262:$AW262,23,FALSE)),
IF(AND($S$3=TRUE,$S$1=TRUE,$S$4=TRUE)=TRUE,IF(OR($Q$4=TRUE,$Q$5=TRUE,$S$2=TRUE),VLOOKUP($G256,'KO Calc'!$H:$AW,38,FALSE),VLOOKUP($G256,'KO Calc'!$H262:$AW262,38,FALSE)),IF(AND($S$3=TRUE,$S$4=TRUE),IF(OR($Q$4=TRUE,$Q$5=TRUE,$S$2=TRUE),VLOOKUP($G256,'KO Calc'!$H:$AW,28,FALSE),VLOOKUP($G256,'KO Calc'!$H262:$AW262,28,FALSE)))))))))))))</f>
        <v>-</v>
      </c>
      <c r="J256" s="36" t="str">
        <f>IF(AND($Q$1=FALSE,$S$3=FALSE),"-",IF(AND($Q$1=TRUE,$S$3=TRUE),"-",IF(AND($Q$1=FALSE,$S$3=FALSE),"-",IF(AND($Q$1=TRUE,$S$1=TRUE,$S$4=FALSE)=TRUE,IF(OR($Q$4=TRUE,$Q$5=TRUE,$S$2=TRUE),VLOOKUP($G256,'KO Calc'!$H:$AW,FALSE),VLOOKUP($G256,'KO Calc'!$H262:$AW262,14,FALSE)),IF(AND($Q$1=TRUE,$S$4=FALSE),IF(OR($Q$4=TRUE,$Q$5=TRUE,$S$2=TRUE),VLOOKUP($G256,'KO Calc'!$H:$AW,4,FALSE),VLOOKUP($G256,'KO Calc'!$H262:$AW262,4,FALSE)),
IF(AND($Q$1=TRUE,$S$1=TRUE,$S$4=TRUE)=TRUE,IF(OR($Q$4=TRUE,$Q$5=TRUE,$S$2=TRUE),VLOOKUP($G256,'KO Calc'!$H:$AW,19,FALSE),VLOOKUP($G256,'KO Calc'!$H262:$AW262,19,FALSE)),IF(AND($Q$1=TRUE,$S$4=TRUE),IF(OR($Q$4=TRUE,$Q$5=TRUE,$S$2=TRUE),VLOOKUP($G256,'KO Calc'!$H:$AW,9,FALSE),VLOOKUP($G256,'KO Calc'!$H262:$AW262,9,FALSE)),
IF(AND($S$3=TRUE,$S$1=TRUE,$S$4=FALSE)=TRUE,IF(OR($Q$4=TRUE,$Q$5=TRUE,$S$2=TRUE),VLOOKUP($G256,'KO Calc'!$H:$AW,34,FALSE),VLOOKUP($G256,'KO Calc'!$H262:$AW262,34,FALSE)),IF(AND($S$3=TRUE,$S$4=FALSE),IF(OR($Q$4=TRUE,$Q$5=TRUE,$S$2=TRUE),VLOOKUP($G256,'KO Calc'!$H:$AW,24,FALSE),VLOOKUP($G256,'KO Calc'!$H262:$AW262,24,FALSE)),
IF(AND($S$3=TRUE,$S$1=TRUE,$S$4=TRUE)=TRUE,IF(OR($Q$4=TRUE,$Q$5=TRUE,$S$2=TRUE),VLOOKUP($G256,'KO Calc'!$H:$AW,39,FALSE),VLOOKUP($G256,'KO Calc'!$H262:$AW262,39,FALSE)),IF(AND($S$3=TRUE,$S$4=TRUE),IF(OR($Q$4=TRUE,$Q$5=TRUE,$S$2=TRUE),VLOOKUP($G256,'KO Calc'!$H:$AW,29,FALSE),VLOOKUP($G256,'KO Calc'!$H262:$AW262,29,FALSE)))))))))))))</f>
        <v>-</v>
      </c>
      <c r="K256" s="36" t="str">
        <f>IF(AND($Q$1=FALSE,$S$3=FALSE),"-",IF(AND($Q$1=TRUE,$S$3=TRUE),"-",IF(AND($Q$1=FALSE,$S$3=FALSE),"-",IF(AND($Q$1=TRUE,$S$1=TRUE,$S$4=FALSE)=TRUE,IF(OR($Q$4=TRUE,$Q$5=TRUE,$S$2=TRUE),VLOOKUP($G256,'KO Calc'!$H:$AW,15,FALSE),VLOOKUP($G256,'KO Calc'!$H262:$AW262,15,FALSE)),IF(AND($Q$1=TRUE,$S$4=FALSE),IF(OR($Q$4=TRUE,$Q$5=TRUE,$S$2=TRUE),VLOOKUP($G256,'KO Calc'!$H:$AW,5,FALSE),VLOOKUP($G256,'KO Calc'!$H262:$AW262,5,FALSE)),
IF(AND($Q$1=TRUE,$S$1=TRUE,$S$4=TRUE)=TRUE,IF(OR($Q$4=TRUE,$Q$5=TRUE,$S$2=TRUE),VLOOKUP($G256,'KO Calc'!$H:$AW,20,FALSE),VLOOKUP($G256,'KO Calc'!$H262:$AW262,20,FALSE)),IF(AND($Q$1=TRUE,$S$4=TRUE),IF(OR($Q$4=TRUE,$Q$5=TRUE,$S$2=TRUE),VLOOKUP($G256,'KO Calc'!$H:$AW,10,FALSE),VLOOKUP($G256,'KO Calc'!$H262:$AW262,10,FALSE)),
IF(AND($S$3=TRUE,$S$1=TRUE,$S$4=FALSE)=TRUE,IF(OR($Q$4=TRUE,$Q$5=TRUE,$S$2=TRUE),VLOOKUP($G256,'KO Calc'!$H:$AW,35,FALSE),VLOOKUP($G256,'KO Calc'!$H262:$AW262,35,FALSE)),IF(AND($S$3=TRUE,$S$4=FALSE),IF(OR($Q$4=TRUE,$Q$5=TRUE,$S$2=TRUE),VLOOKUP($G256,'KO Calc'!$H:$AW,25,FALSE),VLOOKUP($G256,'KO Calc'!$H262:$AW262,25,FALSE)),
IF(AND($S$3=TRUE,$S$1=TRUE,$S$4=TRUE)=TRUE,IF(OR($Q$4=TRUE,$Q$5=TRUE,$S$2=TRUE),VLOOKUP($G256,'KO Calc'!$H:$AW,40,FALSE),VLOOKUP($G256,'KO Calc'!$H262:$AW262,40,FALSE)),IF(AND($S$3=TRUE,$S$4=TRUE),IF(OR($Q$4=TRUE,$Q$5=TRUE,$S$2=TRUE),VLOOKUP($G256,'KO Calc'!$H:$AW,30,FALSE),VLOOKUP($G256,'KO Calc'!$H262:$AW262,30,FALSE)))))))))))))</f>
        <v>-</v>
      </c>
      <c r="L256" s="36" t="str">
        <f>IFERROR(IF(AND($Q$1=FALSE,$S$3=FALSE),"-",VLOOKUP($E256,'Status Thresholds'!$E:$AU,41,FALSE)),"-")</f>
        <v>-</v>
      </c>
      <c r="M256" s="36" t="str">
        <f>IFERROR(IF(AND($Q$1=FALSE,$S$3=FALSE),"-",VLOOKUP($E256,'Status Thresholds'!$E:$AU,42,FALSE)),"-")</f>
        <v>-</v>
      </c>
      <c r="N256" s="36" t="str">
        <f>IFERROR(IF(AND($Q$1=FALSE,$S$3=FALSE),"-",VLOOKUP($E256,'Status Thresholds'!$E:$AU,43,FALSE)),"-")</f>
        <v>-</v>
      </c>
    </row>
    <row r="257" spans="1:14" x14ac:dyDescent="0.25">
      <c r="B257" s="64" t="str">
        <f>VLOOKUP(C257,'Status Thresholds'!B:C,2,FALSE)</f>
        <v>Deviant</v>
      </c>
      <c r="C257" s="46" t="str">
        <f>IF(ISBLANK('KO Calc'!C253)=TRUE,"",'KO Calc'!C253)</f>
        <v>Dreadking Rathalos</v>
      </c>
      <c r="D257" s="78" t="s">
        <v>207</v>
      </c>
      <c r="E257" s="62" t="str">
        <f t="shared" si="7"/>
        <v>Dreadking RathalosShock Trap</v>
      </c>
      <c r="F257" t="s">
        <v>13</v>
      </c>
      <c r="G257" s="36" t="str">
        <f t="shared" si="8"/>
        <v>Dreadking RathalosCrag 3</v>
      </c>
      <c r="H257" s="36" t="str">
        <f>IF(AND($Q$1=FALSE,$S$3=FALSE),"-",IF(AND($Q$1=TRUE,$S$3=TRUE),"-",IF(AND($Q$1=FALSE,$S$3=FALSE),"-",IF(AND($Q$1=TRUE,$S$1=TRUE,$S$4=FALSE)=TRUE,IF(OR($Q$4=TRUE,$Q$5=TRUE,$S$2=TRUE),VLOOKUP($G257,'KO Calc'!$H:$AW,12,FALSE),VLOOKUP($G257,'KO Calc'!$H263:$AW263,12,FALSE)),IF(AND($Q$1=TRUE,$S$4=FALSE),IF(OR($Q$4=TRUE,$Q$5=TRUE,$S$2=TRUE),VLOOKUP($G257,'KO Calc'!$H:$AW,2,FALSE),VLOOKUP($G257,'KO Calc'!$H263:$AW263,2,FALSE)),
IF(AND($Q$1=TRUE,$S$1=TRUE,$S$4=TRUE)=TRUE,IF(OR($Q$4=TRUE,$Q$5=TRUE,$S$2=TRUE),VLOOKUP($G257,'KO Calc'!$H:$AW,17,FALSE),VLOOKUP($G257,'KO Calc'!$H263:$AW263,17,FALSE)),IF(AND($Q$1=TRUE,$S$4=TRUE),IF(OR($Q$4=TRUE,$Q$5=TRUE,$S$2=TRUE),VLOOKUP($G257,'KO Calc'!$H:$AW,7,FALSE),VLOOKUP($G257,'KO Calc'!$H263:$AW263,7,FALSE)),
IF(AND($S$3=TRUE,$S$1=TRUE,$S$4=FALSE)=TRUE,IF(OR($Q$4=TRUE,$Q$5=TRUE,$S$2=TRUE),VLOOKUP($G257,'KO Calc'!$H:$AW,32,FALSE),VLOOKUP($G257,'KO Calc'!$H263:$AW263,32,FALSE)),IF(AND($S$3=TRUE,$S$4=FALSE),IF(OR($Q$4=TRUE,$Q$5=TRUE,$S$2=TRUE),VLOOKUP($G257,'KO Calc'!$H:$AW,22,FALSE),VLOOKUP($G257,'KO Calc'!$H263:$AW263,22,FALSE)),
IF(AND($S$3=TRUE,$S$1=TRUE,$S$4=TRUE)=TRUE,IF(OR($Q$4=TRUE,$Q$5=TRUE,$S$2=TRUE),VLOOKUP($G257,'KO Calc'!$H:$AW,37,FALSE),VLOOKUP($G257,'KO Calc'!$H263:$AW263,37,FALSE)),IF(AND($S$3=TRUE,$S$4=TRUE),IF(OR($Q$4=TRUE,$Q$5=TRUE,$S$2=TRUE),VLOOKUP($G257,'KO Calc'!$H:$AW,27,FALSE),VLOOKUP($G257,'KO Calc'!$H263:$AW263,27,FALSE)))))))))))))</f>
        <v>-</v>
      </c>
      <c r="I257" s="36" t="str">
        <f>IF(AND($Q$1=FALSE,$S$3=FALSE),"-",IF(AND($Q$1=TRUE,$S$3=TRUE),"-",IF(AND($Q$1=FALSE,$S$3=FALSE),"-",IF(AND($Q$1=TRUE,$S$1=TRUE,$S$4=FALSE)=TRUE,IF(OR($Q$4=TRUE,$Q$5=TRUE,$S$2=TRUE),VLOOKUP($G257,'KO Calc'!$H:$AW,13,FALSE),VLOOKUP($G257,'KO Calc'!$H263:$AW263,13,FALSE)),IF(AND($Q$1=TRUE,$S$4=FALSE),IF(OR($Q$4=TRUE,$Q$5=TRUE,$S$2=TRUE),VLOOKUP($G257,'KO Calc'!$H:$AW,3,FALSE),VLOOKUP($G257,'KO Calc'!$H263:$AW263,3,FALSE)),
IF(AND($Q$1=TRUE,$S$1=TRUE,$S$4=TRUE)=TRUE,IF(OR($Q$4=TRUE,$Q$5=TRUE,$S$2=TRUE),VLOOKUP($G257,'KO Calc'!$H:$AW,18,FALSE),VLOOKUP($G257,'KO Calc'!$H263:$AW263,18,FALSE)),IF(AND($Q$1=TRUE,$S$4=TRUE),IF(OR($Q$4=TRUE,$Q$5=TRUE,$S$2=TRUE),VLOOKUP($G257,'KO Calc'!$H:$AW,8,FALSE),VLOOKUP($G257,'KO Calc'!$H263:$AW263,8,FALSE)),
IF(AND($S$3=TRUE,$S$1=TRUE,$S$4=FALSE)=TRUE,IF(OR($Q$4=TRUE,$Q$5=TRUE,$S$2=TRUE),VLOOKUP($G257,'KO Calc'!$H:$AW,33,FALSE),VLOOKUP($G257,'KO Calc'!$H263:$AW263,33,FALSE)),IF(AND($S$3=TRUE,$S$4=FALSE),IF(OR($Q$4=TRUE,$Q$5=TRUE,$S$2=TRUE),VLOOKUP($G257,'KO Calc'!$H:$AW,23,FALSE),VLOOKUP($G257,'KO Calc'!$H263:$AW263,23,FALSE)),
IF(AND($S$3=TRUE,$S$1=TRUE,$S$4=TRUE)=TRUE,IF(OR($Q$4=TRUE,$Q$5=TRUE,$S$2=TRUE),VLOOKUP($G257,'KO Calc'!$H:$AW,38,FALSE),VLOOKUP($G257,'KO Calc'!$H263:$AW263,38,FALSE)),IF(AND($S$3=TRUE,$S$4=TRUE),IF(OR($Q$4=TRUE,$Q$5=TRUE,$S$2=TRUE),VLOOKUP($G257,'KO Calc'!$H:$AW,28,FALSE),VLOOKUP($G257,'KO Calc'!$H263:$AW263,28,FALSE)))))))))))))</f>
        <v>-</v>
      </c>
      <c r="J257" s="36" t="str">
        <f>IF(AND($Q$1=FALSE,$S$3=FALSE),"-",IF(AND($Q$1=TRUE,$S$3=TRUE),"-",IF(AND($Q$1=FALSE,$S$3=FALSE),"-",IF(AND($Q$1=TRUE,$S$1=TRUE,$S$4=FALSE)=TRUE,IF(OR($Q$4=TRUE,$Q$5=TRUE,$S$2=TRUE),VLOOKUP($G257,'KO Calc'!$H:$AW,FALSE),VLOOKUP($G257,'KO Calc'!$H263:$AW263,14,FALSE)),IF(AND($Q$1=TRUE,$S$4=FALSE),IF(OR($Q$4=TRUE,$Q$5=TRUE,$S$2=TRUE),VLOOKUP($G257,'KO Calc'!$H:$AW,4,FALSE),VLOOKUP($G257,'KO Calc'!$H263:$AW263,4,FALSE)),
IF(AND($Q$1=TRUE,$S$1=TRUE,$S$4=TRUE)=TRUE,IF(OR($Q$4=TRUE,$Q$5=TRUE,$S$2=TRUE),VLOOKUP($G257,'KO Calc'!$H:$AW,19,FALSE),VLOOKUP($G257,'KO Calc'!$H263:$AW263,19,FALSE)),IF(AND($Q$1=TRUE,$S$4=TRUE),IF(OR($Q$4=TRUE,$Q$5=TRUE,$S$2=TRUE),VLOOKUP($G257,'KO Calc'!$H:$AW,9,FALSE),VLOOKUP($G257,'KO Calc'!$H263:$AW263,9,FALSE)),
IF(AND($S$3=TRUE,$S$1=TRUE,$S$4=FALSE)=TRUE,IF(OR($Q$4=TRUE,$Q$5=TRUE,$S$2=TRUE),VLOOKUP($G257,'KO Calc'!$H:$AW,34,FALSE),VLOOKUP($G257,'KO Calc'!$H263:$AW263,34,FALSE)),IF(AND($S$3=TRUE,$S$4=FALSE),IF(OR($Q$4=TRUE,$Q$5=TRUE,$S$2=TRUE),VLOOKUP($G257,'KO Calc'!$H:$AW,24,FALSE),VLOOKUP($G257,'KO Calc'!$H263:$AW263,24,FALSE)),
IF(AND($S$3=TRUE,$S$1=TRUE,$S$4=TRUE)=TRUE,IF(OR($Q$4=TRUE,$Q$5=TRUE,$S$2=TRUE),VLOOKUP($G257,'KO Calc'!$H:$AW,39,FALSE),VLOOKUP($G257,'KO Calc'!$H263:$AW263,39,FALSE)),IF(AND($S$3=TRUE,$S$4=TRUE),IF(OR($Q$4=TRUE,$Q$5=TRUE,$S$2=TRUE),VLOOKUP($G257,'KO Calc'!$H:$AW,29,FALSE),VLOOKUP($G257,'KO Calc'!$H263:$AW263,29,FALSE)))))))))))))</f>
        <v>-</v>
      </c>
      <c r="K257" s="36" t="str">
        <f>IF(AND($Q$1=FALSE,$S$3=FALSE),"-",IF(AND($Q$1=TRUE,$S$3=TRUE),"-",IF(AND($Q$1=FALSE,$S$3=FALSE),"-",IF(AND($Q$1=TRUE,$S$1=TRUE,$S$4=FALSE)=TRUE,IF(OR($Q$4=TRUE,$Q$5=TRUE,$S$2=TRUE),VLOOKUP($G257,'KO Calc'!$H:$AW,15,FALSE),VLOOKUP($G257,'KO Calc'!$H263:$AW263,15,FALSE)),IF(AND($Q$1=TRUE,$S$4=FALSE),IF(OR($Q$4=TRUE,$Q$5=TRUE,$S$2=TRUE),VLOOKUP($G257,'KO Calc'!$H:$AW,5,FALSE),VLOOKUP($G257,'KO Calc'!$H263:$AW263,5,FALSE)),
IF(AND($Q$1=TRUE,$S$1=TRUE,$S$4=TRUE)=TRUE,IF(OR($Q$4=TRUE,$Q$5=TRUE,$S$2=TRUE),VLOOKUP($G257,'KO Calc'!$H:$AW,20,FALSE),VLOOKUP($G257,'KO Calc'!$H263:$AW263,20,FALSE)),IF(AND($Q$1=TRUE,$S$4=TRUE),IF(OR($Q$4=TRUE,$Q$5=TRUE,$S$2=TRUE),VLOOKUP($G257,'KO Calc'!$H:$AW,10,FALSE),VLOOKUP($G257,'KO Calc'!$H263:$AW263,10,FALSE)),
IF(AND($S$3=TRUE,$S$1=TRUE,$S$4=FALSE)=TRUE,IF(OR($Q$4=TRUE,$Q$5=TRUE,$S$2=TRUE),VLOOKUP($G257,'KO Calc'!$H:$AW,35,FALSE),VLOOKUP($G257,'KO Calc'!$H263:$AW263,35,FALSE)),IF(AND($S$3=TRUE,$S$4=FALSE),IF(OR($Q$4=TRUE,$Q$5=TRUE,$S$2=TRUE),VLOOKUP($G257,'KO Calc'!$H:$AW,25,FALSE),VLOOKUP($G257,'KO Calc'!$H263:$AW263,25,FALSE)),
IF(AND($S$3=TRUE,$S$1=TRUE,$S$4=TRUE)=TRUE,IF(OR($Q$4=TRUE,$Q$5=TRUE,$S$2=TRUE),VLOOKUP($G257,'KO Calc'!$H:$AW,40,FALSE),VLOOKUP($G257,'KO Calc'!$H263:$AW263,40,FALSE)),IF(AND($S$3=TRUE,$S$4=TRUE),IF(OR($Q$4=TRUE,$Q$5=TRUE,$S$2=TRUE),VLOOKUP($G257,'KO Calc'!$H:$AW,30,FALSE),VLOOKUP($G257,'KO Calc'!$H263:$AW263,30,FALSE)))))))))))))</f>
        <v>-</v>
      </c>
      <c r="L257" s="36" t="str">
        <f>IFERROR(IF(AND($Q$1=FALSE,$S$3=FALSE),"-",VLOOKUP($E257,'Status Thresholds'!$E:$AU,43,FALSE)),"-")</f>
        <v>-</v>
      </c>
      <c r="M257" s="36" t="str">
        <f>IFERROR(IF(AND($Q$1=FALSE,$S$3=FALSE),"-",VLOOKUP($E257,'Status Thresholds'!$E:$AU,41,FALSE)),"-")</f>
        <v>-</v>
      </c>
      <c r="N257" s="36" t="str">
        <f>IFERROR(IF(AND($Q$1=FALSE,$S$3=FALSE),"-",VLOOKUP($E257,'Status Thresholds'!$E:$AU,42,FALSE)),"-")</f>
        <v>-</v>
      </c>
    </row>
    <row r="258" spans="1:14" x14ac:dyDescent="0.25">
      <c r="B258" s="64" t="str">
        <f>VLOOKUP(C258,'Status Thresholds'!B:C,2,FALSE)</f>
        <v>Deviant</v>
      </c>
      <c r="C258" s="46" t="str">
        <f>IF(ISBLANK('KO Calc'!C254)=TRUE,"",'KO Calc'!C254)</f>
        <v>Dreadking Rathalos</v>
      </c>
      <c r="D258" s="78" t="s">
        <v>213</v>
      </c>
      <c r="E258" s="62" t="str">
        <f t="shared" si="7"/>
        <v>Dreadking RathalosPitfall Trap</v>
      </c>
      <c r="F258" t="s">
        <v>12</v>
      </c>
      <c r="G258" s="36" t="str">
        <f t="shared" si="8"/>
        <v>Dreadking RathalosCrag 2</v>
      </c>
      <c r="H258" s="36" t="str">
        <f>IF(AND($Q$1=FALSE,$S$3=FALSE),"-",IF(AND($Q$1=TRUE,$S$3=TRUE),"-",IF(AND($Q$1=FALSE,$S$3=FALSE),"-",IF(AND($Q$1=TRUE,$S$1=TRUE,$S$4=FALSE)=TRUE,IF(OR($Q$4=TRUE,$Q$5=TRUE,$S$2=TRUE),VLOOKUP($G258,'KO Calc'!$H:$AW,12,FALSE),VLOOKUP($G258,'KO Calc'!$H264:$AW264,12,FALSE)),IF(AND($Q$1=TRUE,$S$4=FALSE),IF(OR($Q$4=TRUE,$Q$5=TRUE,$S$2=TRUE),VLOOKUP($G258,'KO Calc'!$H:$AW,2,FALSE),VLOOKUP($G258,'KO Calc'!$H264:$AW264,2,FALSE)),
IF(AND($Q$1=TRUE,$S$1=TRUE,$S$4=TRUE)=TRUE,IF(OR($Q$4=TRUE,$Q$5=TRUE,$S$2=TRUE),VLOOKUP($G258,'KO Calc'!$H:$AW,17,FALSE),VLOOKUP($G258,'KO Calc'!$H264:$AW264,17,FALSE)),IF(AND($Q$1=TRUE,$S$4=TRUE),IF(OR($Q$4=TRUE,$Q$5=TRUE,$S$2=TRUE),VLOOKUP($G258,'KO Calc'!$H:$AW,7,FALSE),VLOOKUP($G258,'KO Calc'!$H264:$AW264,7,FALSE)),
IF(AND($S$3=TRUE,$S$1=TRUE,$S$4=FALSE)=TRUE,IF(OR($Q$4=TRUE,$Q$5=TRUE,$S$2=TRUE),VLOOKUP($G258,'KO Calc'!$H:$AW,32,FALSE),VLOOKUP($G258,'KO Calc'!$H264:$AW264,32,FALSE)),IF(AND($S$3=TRUE,$S$4=FALSE),IF(OR($Q$4=TRUE,$Q$5=TRUE,$S$2=TRUE),VLOOKUP($G258,'KO Calc'!$H:$AW,22,FALSE),VLOOKUP($G258,'KO Calc'!$H264:$AW264,22,FALSE)),
IF(AND($S$3=TRUE,$S$1=TRUE,$S$4=TRUE)=TRUE,IF(OR($Q$4=TRUE,$Q$5=TRUE,$S$2=TRUE),VLOOKUP($G258,'KO Calc'!$H:$AW,37,FALSE),VLOOKUP($G258,'KO Calc'!$H264:$AW264,37,FALSE)),IF(AND($S$3=TRUE,$S$4=TRUE),IF(OR($Q$4=TRUE,$Q$5=TRUE,$S$2=TRUE),VLOOKUP($G258,'KO Calc'!$H:$AW,27,FALSE),VLOOKUP($G258,'KO Calc'!$H264:$AW264,27,FALSE)))))))))))))</f>
        <v>-</v>
      </c>
      <c r="I258" s="36" t="str">
        <f>IF(AND($Q$1=FALSE,$S$3=FALSE),"-",IF(AND($Q$1=TRUE,$S$3=TRUE),"-",IF(AND($Q$1=FALSE,$S$3=FALSE),"-",IF(AND($Q$1=TRUE,$S$1=TRUE,$S$4=FALSE)=TRUE,IF(OR($Q$4=TRUE,$Q$5=TRUE,$S$2=TRUE),VLOOKUP($G258,'KO Calc'!$H:$AW,13,FALSE),VLOOKUP($G258,'KO Calc'!$H264:$AW264,13,FALSE)),IF(AND($Q$1=TRUE,$S$4=FALSE),IF(OR($Q$4=TRUE,$Q$5=TRUE,$S$2=TRUE),VLOOKUP($G258,'KO Calc'!$H:$AW,3,FALSE),VLOOKUP($G258,'KO Calc'!$H264:$AW264,3,FALSE)),
IF(AND($Q$1=TRUE,$S$1=TRUE,$S$4=TRUE)=TRUE,IF(OR($Q$4=TRUE,$Q$5=TRUE,$S$2=TRUE),VLOOKUP($G258,'KO Calc'!$H:$AW,18,FALSE),VLOOKUP($G258,'KO Calc'!$H264:$AW264,18,FALSE)),IF(AND($Q$1=TRUE,$S$4=TRUE),IF(OR($Q$4=TRUE,$Q$5=TRUE,$S$2=TRUE),VLOOKUP($G258,'KO Calc'!$H:$AW,8,FALSE),VLOOKUP($G258,'KO Calc'!$H264:$AW264,8,FALSE)),
IF(AND($S$3=TRUE,$S$1=TRUE,$S$4=FALSE)=TRUE,IF(OR($Q$4=TRUE,$Q$5=TRUE,$S$2=TRUE),VLOOKUP($G258,'KO Calc'!$H:$AW,33,FALSE),VLOOKUP($G258,'KO Calc'!$H264:$AW264,33,FALSE)),IF(AND($S$3=TRUE,$S$4=FALSE),IF(OR($Q$4=TRUE,$Q$5=TRUE,$S$2=TRUE),VLOOKUP($G258,'KO Calc'!$H:$AW,23,FALSE),VLOOKUP($G258,'KO Calc'!$H264:$AW264,23,FALSE)),
IF(AND($S$3=TRUE,$S$1=TRUE,$S$4=TRUE)=TRUE,IF(OR($Q$4=TRUE,$Q$5=TRUE,$S$2=TRUE),VLOOKUP($G258,'KO Calc'!$H:$AW,38,FALSE),VLOOKUP($G258,'KO Calc'!$H264:$AW264,38,FALSE)),IF(AND($S$3=TRUE,$S$4=TRUE),IF(OR($Q$4=TRUE,$Q$5=TRUE,$S$2=TRUE),VLOOKUP($G258,'KO Calc'!$H:$AW,28,FALSE),VLOOKUP($G258,'KO Calc'!$H264:$AW264,28,FALSE)))))))))))))</f>
        <v>-</v>
      </c>
      <c r="J258" s="36" t="str">
        <f>IF(AND($Q$1=FALSE,$S$3=FALSE),"-",IF(AND($Q$1=TRUE,$S$3=TRUE),"-",IF(AND($Q$1=FALSE,$S$3=FALSE),"-",IF(AND($Q$1=TRUE,$S$1=TRUE,$S$4=FALSE)=TRUE,IF(OR($Q$4=TRUE,$Q$5=TRUE,$S$2=TRUE),VLOOKUP($G258,'KO Calc'!$H:$AW,FALSE),VLOOKUP($G258,'KO Calc'!$H264:$AW264,14,FALSE)),IF(AND($Q$1=TRUE,$S$4=FALSE),IF(OR($Q$4=TRUE,$Q$5=TRUE,$S$2=TRUE),VLOOKUP($G258,'KO Calc'!$H:$AW,4,FALSE),VLOOKUP($G258,'KO Calc'!$H264:$AW264,4,FALSE)),
IF(AND($Q$1=TRUE,$S$1=TRUE,$S$4=TRUE)=TRUE,IF(OR($Q$4=TRUE,$Q$5=TRUE,$S$2=TRUE),VLOOKUP($G258,'KO Calc'!$H:$AW,19,FALSE),VLOOKUP($G258,'KO Calc'!$H264:$AW264,19,FALSE)),IF(AND($Q$1=TRUE,$S$4=TRUE),IF(OR($Q$4=TRUE,$Q$5=TRUE,$S$2=TRUE),VLOOKUP($G258,'KO Calc'!$H:$AW,9,FALSE),VLOOKUP($G258,'KO Calc'!$H264:$AW264,9,FALSE)),
IF(AND($S$3=TRUE,$S$1=TRUE,$S$4=FALSE)=TRUE,IF(OR($Q$4=TRUE,$Q$5=TRUE,$S$2=TRUE),VLOOKUP($G258,'KO Calc'!$H:$AW,34,FALSE),VLOOKUP($G258,'KO Calc'!$H264:$AW264,34,FALSE)),IF(AND($S$3=TRUE,$S$4=FALSE),IF(OR($Q$4=TRUE,$Q$5=TRUE,$S$2=TRUE),VLOOKUP($G258,'KO Calc'!$H:$AW,24,FALSE),VLOOKUP($G258,'KO Calc'!$H264:$AW264,24,FALSE)),
IF(AND($S$3=TRUE,$S$1=TRUE,$S$4=TRUE)=TRUE,IF(OR($Q$4=TRUE,$Q$5=TRUE,$S$2=TRUE),VLOOKUP($G258,'KO Calc'!$H:$AW,39,FALSE),VLOOKUP($G258,'KO Calc'!$H264:$AW264,39,FALSE)),IF(AND($S$3=TRUE,$S$4=TRUE),IF(OR($Q$4=TRUE,$Q$5=TRUE,$S$2=TRUE),VLOOKUP($G258,'KO Calc'!$H:$AW,29,FALSE),VLOOKUP($G258,'KO Calc'!$H264:$AW264,29,FALSE)))))))))))))</f>
        <v>-</v>
      </c>
      <c r="K258" s="36" t="str">
        <f>IF(AND($Q$1=FALSE,$S$3=FALSE),"-",IF(AND($Q$1=TRUE,$S$3=TRUE),"-",IF(AND($Q$1=FALSE,$S$3=FALSE),"-",IF(AND($Q$1=TRUE,$S$1=TRUE,$S$4=FALSE)=TRUE,IF(OR($Q$4=TRUE,$Q$5=TRUE,$S$2=TRUE),VLOOKUP($G258,'KO Calc'!$H:$AW,15,FALSE),VLOOKUP($G258,'KO Calc'!$H264:$AW264,15,FALSE)),IF(AND($Q$1=TRUE,$S$4=FALSE),IF(OR($Q$4=TRUE,$Q$5=TRUE,$S$2=TRUE),VLOOKUP($G258,'KO Calc'!$H:$AW,5,FALSE),VLOOKUP($G258,'KO Calc'!$H264:$AW264,5,FALSE)),
IF(AND($Q$1=TRUE,$S$1=TRUE,$S$4=TRUE)=TRUE,IF(OR($Q$4=TRUE,$Q$5=TRUE,$S$2=TRUE),VLOOKUP($G258,'KO Calc'!$H:$AW,20,FALSE),VLOOKUP($G258,'KO Calc'!$H264:$AW264,20,FALSE)),IF(AND($Q$1=TRUE,$S$4=TRUE),IF(OR($Q$4=TRUE,$Q$5=TRUE,$S$2=TRUE),VLOOKUP($G258,'KO Calc'!$H:$AW,10,FALSE),VLOOKUP($G258,'KO Calc'!$H264:$AW264,10,FALSE)),
IF(AND($S$3=TRUE,$S$1=TRUE,$S$4=FALSE)=TRUE,IF(OR($Q$4=TRUE,$Q$5=TRUE,$S$2=TRUE),VLOOKUP($G258,'KO Calc'!$H:$AW,35,FALSE),VLOOKUP($G258,'KO Calc'!$H264:$AW264,35,FALSE)),IF(AND($S$3=TRUE,$S$4=FALSE),IF(OR($Q$4=TRUE,$Q$5=TRUE,$S$2=TRUE),VLOOKUP($G258,'KO Calc'!$H:$AW,25,FALSE),VLOOKUP($G258,'KO Calc'!$H264:$AW264,25,FALSE)),
IF(AND($S$3=TRUE,$S$1=TRUE,$S$4=TRUE)=TRUE,IF(OR($Q$4=TRUE,$Q$5=TRUE,$S$2=TRUE),VLOOKUP($G258,'KO Calc'!$H:$AW,40,FALSE),VLOOKUP($G258,'KO Calc'!$H264:$AW264,40,FALSE)),IF(AND($S$3=TRUE,$S$4=TRUE),IF(OR($Q$4=TRUE,$Q$5=TRUE,$S$2=TRUE),VLOOKUP($G258,'KO Calc'!$H:$AW,30,FALSE),VLOOKUP($G258,'KO Calc'!$H264:$AW264,30,FALSE)))))))))))))</f>
        <v>-</v>
      </c>
      <c r="L258" s="36" t="str">
        <f>IFERROR(IF(AND($Q$1=FALSE,$S$3=FALSE),"-",VLOOKUP($E258,'Status Thresholds'!$E:$AU,43,FALSE)),"-")</f>
        <v>-</v>
      </c>
      <c r="M258" s="36" t="str">
        <f>IFERROR(IF(AND($Q$1=FALSE,$S$3=FALSE),"-",VLOOKUP($E258,'Status Thresholds'!$E:$AU,41,FALSE)),"-")</f>
        <v>-</v>
      </c>
      <c r="N258" s="36" t="str">
        <f>IFERROR(IF(AND($Q$1=FALSE,$S$3=FALSE),"-",VLOOKUP($E258,'Status Thresholds'!$E:$AU,42,FALSE)),"-")</f>
        <v>-</v>
      </c>
    </row>
    <row r="259" spans="1:14" x14ac:dyDescent="0.25">
      <c r="B259" s="64" t="str">
        <f>VLOOKUP(C259,'Status Thresholds'!B:C,2,FALSE)</f>
        <v>Deviant</v>
      </c>
      <c r="C259" s="46" t="str">
        <f>IF(ISBLANK('KO Calc'!C255)=TRUE,"",'KO Calc'!C255)</f>
        <v>Dreadking Rathalos</v>
      </c>
      <c r="D259" s="78"/>
      <c r="E259" s="62" t="str">
        <f t="shared" si="7"/>
        <v>Dreadking Rathalos</v>
      </c>
      <c r="F259" t="s">
        <v>11</v>
      </c>
      <c r="G259" s="36" t="str">
        <f t="shared" si="8"/>
        <v>Dreadking RathalosCrag 1</v>
      </c>
      <c r="H259" s="36" t="str">
        <f>IF(AND($Q$1=FALSE,$S$3=FALSE),"-",IF(AND($Q$1=TRUE,$S$3=TRUE),"-",IF(AND($Q$1=FALSE,$S$3=FALSE),"-",IF(AND($Q$1=TRUE,$S$1=TRUE,$S$4=FALSE)=TRUE,IF(OR($Q$4=TRUE,$Q$5=TRUE,$S$2=TRUE),VLOOKUP($G259,'KO Calc'!$H:$AW,12,FALSE),VLOOKUP($G259,'KO Calc'!$H265:$AW265,12,FALSE)),IF(AND($Q$1=TRUE,$S$4=FALSE),IF(OR($Q$4=TRUE,$Q$5=TRUE,$S$2=TRUE),VLOOKUP($G259,'KO Calc'!$H:$AW,2,FALSE),VLOOKUP($G259,'KO Calc'!$H265:$AW265,2,FALSE)),
IF(AND($Q$1=TRUE,$S$1=TRUE,$S$4=TRUE)=TRUE,IF(OR($Q$4=TRUE,$Q$5=TRUE,$S$2=TRUE),VLOOKUP($G259,'KO Calc'!$H:$AW,17,FALSE),VLOOKUP($G259,'KO Calc'!$H265:$AW265,17,FALSE)),IF(AND($Q$1=TRUE,$S$4=TRUE),IF(OR($Q$4=TRUE,$Q$5=TRUE,$S$2=TRUE),VLOOKUP($G259,'KO Calc'!$H:$AW,7,FALSE),VLOOKUP($G259,'KO Calc'!$H265:$AW265,7,FALSE)),
IF(AND($S$3=TRUE,$S$1=TRUE,$S$4=FALSE)=TRUE,IF(OR($Q$4=TRUE,$Q$5=TRUE,$S$2=TRUE),VLOOKUP($G259,'KO Calc'!$H:$AW,32,FALSE),VLOOKUP($G259,'KO Calc'!$H265:$AW265,32,FALSE)),IF(AND($S$3=TRUE,$S$4=FALSE),IF(OR($Q$4=TRUE,$Q$5=TRUE,$S$2=TRUE),VLOOKUP($G259,'KO Calc'!$H:$AW,22,FALSE),VLOOKUP($G259,'KO Calc'!$H265:$AW265,22,FALSE)),
IF(AND($S$3=TRUE,$S$1=TRUE,$S$4=TRUE)=TRUE,IF(OR($Q$4=TRUE,$Q$5=TRUE,$S$2=TRUE),VLOOKUP($G259,'KO Calc'!$H:$AW,37,FALSE),VLOOKUP($G259,'KO Calc'!$H265:$AW265,37,FALSE)),IF(AND($S$3=TRUE,$S$4=TRUE),IF(OR($Q$4=TRUE,$Q$5=TRUE,$S$2=TRUE),VLOOKUP($G259,'KO Calc'!$H:$AW,27,FALSE),VLOOKUP($G259,'KO Calc'!$H265:$AW265,27,FALSE)))))))))))))</f>
        <v>-</v>
      </c>
      <c r="I259" s="36" t="str">
        <f>IF(AND($Q$1=FALSE,$S$3=FALSE),"-",IF(AND($Q$1=TRUE,$S$3=TRUE),"-",IF(AND($Q$1=FALSE,$S$3=FALSE),"-",IF(AND($Q$1=TRUE,$S$1=TRUE,$S$4=FALSE)=TRUE,IF(OR($Q$4=TRUE,$Q$5=TRUE,$S$2=TRUE),VLOOKUP($G259,'KO Calc'!$H:$AW,13,FALSE),VLOOKUP($G259,'KO Calc'!$H265:$AW265,13,FALSE)),IF(AND($Q$1=TRUE,$S$4=FALSE),IF(OR($Q$4=TRUE,$Q$5=TRUE,$S$2=TRUE),VLOOKUP($G259,'KO Calc'!$H:$AW,3,FALSE),VLOOKUP($G259,'KO Calc'!$H265:$AW265,3,FALSE)),
IF(AND($Q$1=TRUE,$S$1=TRUE,$S$4=TRUE)=TRUE,IF(OR($Q$4=TRUE,$Q$5=TRUE,$S$2=TRUE),VLOOKUP($G259,'KO Calc'!$H:$AW,18,FALSE),VLOOKUP($G259,'KO Calc'!$H265:$AW265,18,FALSE)),IF(AND($Q$1=TRUE,$S$4=TRUE),IF(OR($Q$4=TRUE,$Q$5=TRUE,$S$2=TRUE),VLOOKUP($G259,'KO Calc'!$H:$AW,8,FALSE),VLOOKUP($G259,'KO Calc'!$H265:$AW265,8,FALSE)),
IF(AND($S$3=TRUE,$S$1=TRUE,$S$4=FALSE)=TRUE,IF(OR($Q$4=TRUE,$Q$5=TRUE,$S$2=TRUE),VLOOKUP($G259,'KO Calc'!$H:$AW,33,FALSE),VLOOKUP($G259,'KO Calc'!$H265:$AW265,33,FALSE)),IF(AND($S$3=TRUE,$S$4=FALSE),IF(OR($Q$4=TRUE,$Q$5=TRUE,$S$2=TRUE),VLOOKUP($G259,'KO Calc'!$H:$AW,23,FALSE),VLOOKUP($G259,'KO Calc'!$H265:$AW265,23,FALSE)),
IF(AND($S$3=TRUE,$S$1=TRUE,$S$4=TRUE)=TRUE,IF(OR($Q$4=TRUE,$Q$5=TRUE,$S$2=TRUE),VLOOKUP($G259,'KO Calc'!$H:$AW,38,FALSE),VLOOKUP($G259,'KO Calc'!$H265:$AW265,38,FALSE)),IF(AND($S$3=TRUE,$S$4=TRUE),IF(OR($Q$4=TRUE,$Q$5=TRUE,$S$2=TRUE),VLOOKUP($G259,'KO Calc'!$H:$AW,28,FALSE),VLOOKUP($G259,'KO Calc'!$H265:$AW265,28,FALSE)))))))))))))</f>
        <v>-</v>
      </c>
      <c r="J259" s="36" t="str">
        <f>IF(AND($Q$1=FALSE,$S$3=FALSE),"-",IF(AND($Q$1=TRUE,$S$3=TRUE),"-",IF(AND($Q$1=FALSE,$S$3=FALSE),"-",IF(AND($Q$1=TRUE,$S$1=TRUE,$S$4=FALSE)=TRUE,IF(OR($Q$4=TRUE,$Q$5=TRUE,$S$2=TRUE),VLOOKUP($G259,'KO Calc'!$H:$AW,FALSE),VLOOKUP($G259,'KO Calc'!$H265:$AW265,14,FALSE)),IF(AND($Q$1=TRUE,$S$4=FALSE),IF(OR($Q$4=TRUE,$Q$5=TRUE,$S$2=TRUE),VLOOKUP($G259,'KO Calc'!$H:$AW,4,FALSE),VLOOKUP($G259,'KO Calc'!$H265:$AW265,4,FALSE)),
IF(AND($Q$1=TRUE,$S$1=TRUE,$S$4=TRUE)=TRUE,IF(OR($Q$4=TRUE,$Q$5=TRUE,$S$2=TRUE),VLOOKUP($G259,'KO Calc'!$H:$AW,19,FALSE),VLOOKUP($G259,'KO Calc'!$H265:$AW265,19,FALSE)),IF(AND($Q$1=TRUE,$S$4=TRUE),IF(OR($Q$4=TRUE,$Q$5=TRUE,$S$2=TRUE),VLOOKUP($G259,'KO Calc'!$H:$AW,9,FALSE),VLOOKUP($G259,'KO Calc'!$H265:$AW265,9,FALSE)),
IF(AND($S$3=TRUE,$S$1=TRUE,$S$4=FALSE)=TRUE,IF(OR($Q$4=TRUE,$Q$5=TRUE,$S$2=TRUE),VLOOKUP($G259,'KO Calc'!$H:$AW,34,FALSE),VLOOKUP($G259,'KO Calc'!$H265:$AW265,34,FALSE)),IF(AND($S$3=TRUE,$S$4=FALSE),IF(OR($Q$4=TRUE,$Q$5=TRUE,$S$2=TRUE),VLOOKUP($G259,'KO Calc'!$H:$AW,24,FALSE),VLOOKUP($G259,'KO Calc'!$H265:$AW265,24,FALSE)),
IF(AND($S$3=TRUE,$S$1=TRUE,$S$4=TRUE)=TRUE,IF(OR($Q$4=TRUE,$Q$5=TRUE,$S$2=TRUE),VLOOKUP($G259,'KO Calc'!$H:$AW,39,FALSE),VLOOKUP($G259,'KO Calc'!$H265:$AW265,39,FALSE)),IF(AND($S$3=TRUE,$S$4=TRUE),IF(OR($Q$4=TRUE,$Q$5=TRUE,$S$2=TRUE),VLOOKUP($G259,'KO Calc'!$H:$AW,29,FALSE),VLOOKUP($G259,'KO Calc'!$H265:$AW265,29,FALSE)))))))))))))</f>
        <v>-</v>
      </c>
      <c r="K259" s="36" t="str">
        <f>IF(AND($Q$1=FALSE,$S$3=FALSE),"-",IF(AND($Q$1=TRUE,$S$3=TRUE),"-",IF(AND($Q$1=FALSE,$S$3=FALSE),"-",IF(AND($Q$1=TRUE,$S$1=TRUE,$S$4=FALSE)=TRUE,IF(OR($Q$4=TRUE,$Q$5=TRUE,$S$2=TRUE),VLOOKUP($G259,'KO Calc'!$H:$AW,15,FALSE),VLOOKUP($G259,'KO Calc'!$H265:$AW265,15,FALSE)),IF(AND($Q$1=TRUE,$S$4=FALSE),IF(OR($Q$4=TRUE,$Q$5=TRUE,$S$2=TRUE),VLOOKUP($G259,'KO Calc'!$H:$AW,5,FALSE),VLOOKUP($G259,'KO Calc'!$H265:$AW265,5,FALSE)),
IF(AND($Q$1=TRUE,$S$1=TRUE,$S$4=TRUE)=TRUE,IF(OR($Q$4=TRUE,$Q$5=TRUE,$S$2=TRUE),VLOOKUP($G259,'KO Calc'!$H:$AW,20,FALSE),VLOOKUP($G259,'KO Calc'!$H265:$AW265,20,FALSE)),IF(AND($Q$1=TRUE,$S$4=TRUE),IF(OR($Q$4=TRUE,$Q$5=TRUE,$S$2=TRUE),VLOOKUP($G259,'KO Calc'!$H:$AW,10,FALSE),VLOOKUP($G259,'KO Calc'!$H265:$AW265,10,FALSE)),
IF(AND($S$3=TRUE,$S$1=TRUE,$S$4=FALSE)=TRUE,IF(OR($Q$4=TRUE,$Q$5=TRUE,$S$2=TRUE),VLOOKUP($G259,'KO Calc'!$H:$AW,35,FALSE),VLOOKUP($G259,'KO Calc'!$H265:$AW265,35,FALSE)),IF(AND($S$3=TRUE,$S$4=FALSE),IF(OR($Q$4=TRUE,$Q$5=TRUE,$S$2=TRUE),VLOOKUP($G259,'KO Calc'!$H:$AW,25,FALSE),VLOOKUP($G259,'KO Calc'!$H265:$AW265,25,FALSE)),
IF(AND($S$3=TRUE,$S$1=TRUE,$S$4=TRUE)=TRUE,IF(OR($Q$4=TRUE,$Q$5=TRUE,$S$2=TRUE),VLOOKUP($G259,'KO Calc'!$H:$AW,40,FALSE),VLOOKUP($G259,'KO Calc'!$H265:$AW265,40,FALSE)),IF(AND($S$3=TRUE,$S$4=TRUE),IF(OR($Q$4=TRUE,$Q$5=TRUE,$S$2=TRUE),VLOOKUP($G259,'KO Calc'!$H:$AW,30,FALSE),VLOOKUP($G259,'KO Calc'!$H265:$AW265,30,FALSE)))))))))))))</f>
        <v>-</v>
      </c>
      <c r="L259" s="36" t="str">
        <f>IFERROR(VLOOKUP($E259,'Status Thresholds'!$E:$AS,41,FALSE),"-")</f>
        <v>-</v>
      </c>
    </row>
    <row r="260" spans="1:14" x14ac:dyDescent="0.25">
      <c r="B260" s="64" t="str">
        <f>VLOOKUP(C260,'Status Thresholds'!B:C,2,FALSE)</f>
        <v>Deviant</v>
      </c>
      <c r="C260" s="46" t="str">
        <f>IF(ISBLANK('KO Calc'!C256)=TRUE,"",'KO Calc'!C256)</f>
        <v>Dreadking Rathalos</v>
      </c>
      <c r="D260" s="78"/>
      <c r="E260" s="62"/>
      <c r="G260" s="36"/>
      <c r="L260" s="36" t="str">
        <f>IFERROR(VLOOKUP($E260,'Status Thresholds'!$E:$AS,41,FALSE),"-")</f>
        <v>-</v>
      </c>
    </row>
    <row r="261" spans="1:14" s="36" customFormat="1" x14ac:dyDescent="0.25">
      <c r="B261" s="64" t="str">
        <f>VLOOKUP(C261,'Status Thresholds'!B:C,2,FALSE)</f>
        <v>Deviant</v>
      </c>
      <c r="C261" s="46" t="str">
        <f>IF(ISBLANK('KO Calc'!C257)=TRUE,"",'KO Calc'!C257)</f>
        <v>Dreadqueen Rathian</v>
      </c>
      <c r="D261" s="65" t="s">
        <v>0</v>
      </c>
      <c r="E261" s="62" t="str">
        <f t="shared" si="7"/>
        <v>Dreadqueen RathianPara</v>
      </c>
      <c r="F261" s="36" t="s">
        <v>2</v>
      </c>
      <c r="G261" s="36" t="str">
        <f t="shared" si="8"/>
        <v>Dreadqueen RathianPara lvl 2</v>
      </c>
      <c r="H261" s="36" t="str">
        <f>IFERROR(ROUNDUP(IF(AND($Q$1=FALSE,$S$3=FALSE),"-",IF(AND($Q$1=TRUE,$S$3=TRUE),"-",IF(AND($Q$1=TRUE,$S$1=TRUE,$S$4=FALSE),VLOOKUP($E261,'Status Thresholds'!$E:$AS,12,FALSE),IF(AND($Q$1=TRUE,$S$4=FALSE),VLOOKUP($E261,'Status Thresholds'!$E:$AS,2,FALSE), IF(AND($Q$1=TRUE,$S$1=TRUE,$S$4=TRUE),VLOOKUP($E261,'Status Thresholds'!$E:$AS,17,FALSE),IF(AND($Q$1=TRUE,$S$4=TRUE),VLOOKUP($E261,'Status Thresholds'!$E:$AS,7,FALSE),IF(AND($S$3=TRUE,$S$1=TRUE,$S$4=FALSE),VLOOKUP($E261,'Status Thresholds'!$E:$AS,32,FALSE),IF(AND($S$3=TRUE,$S$4=FALSE),VLOOKUP($E261,'Status Thresholds'!$E:$AS,22,FALSE),IF(AND($S$3=TRUE,$S$1=TRUE,$S$4=TRUE),VLOOKUP($E261,'Status Thresholds'!$E:$AS,37,FALSE),IF(AND($S$3=TRUE,$S$4=TRUE),VLOOKUP($E261,'Status Thresholds'!$E:$AS,27,FALSE),""))))))))/IF(OR($Q$3=TRUE,AND($Q$2=TRUE,$Q$7=TRUE),AND($Q$3=TRUE,$Q$7=TRUE))=TRUE,'Shots and Status'!$F$5,IF((OR($Q$2,$Q$7)=TRUE),'Shots and Status'!$D$5,'Shots and Status'!$C$5)))),0),"-")</f>
        <v>-</v>
      </c>
      <c r="I261" s="36" t="str">
        <f>IFERROR(ROUNDUP(IF(AND($Q$1=FALSE,$S$3=FALSE),"-",IF(AND($Q$1=TRUE,$S$3=TRUE),"-",IF(AND($Q$1=TRUE,$S$1=TRUE,$S$4=FALSE),VLOOKUP($E261,'Status Thresholds'!$E:$AS,13,FALSE),IF(AND($Q$1=TRUE,$S$4=FALSE),VLOOKUP($E261,'Status Thresholds'!$E:$AS,3,FALSE), IF(AND($Q$1=TRUE,$S$1=TRUE,$S$4=TRUE),VLOOKUP($E261,'Status Thresholds'!$E:$AS,18,FALSE),IF(AND($Q$1=TRUE,$S$4=TRUE),VLOOKUP($E261,'Status Thresholds'!$E:$AS,8,FALSE),IF(AND($S$3=TRUE,$S$1=TRUE,$S$4=FALSE),VLOOKUP($E261,'Status Thresholds'!$E:$AS,33,FALSE),IF(AND($S$3=TRUE,$S$4=FALSE),VLOOKUP($E261,'Status Thresholds'!$E:$AS,23,FALSE),IF(AND($S$3=TRUE,$S$1=TRUE,$S$4=TRUE),VLOOKUP($E261,'Status Thresholds'!$E:$AS,38,FALSE),IF(AND($S$3=TRUE,$S$4=TRUE),VLOOKUP($E261,'Status Thresholds'!$E:$AS,28,FALSE),""))))))))/IF(OR($Q$3=TRUE,AND($Q$2=TRUE,$Q$7=TRUE),AND($Q$3=TRUE,$Q$7=TRUE))=TRUE,'Shots and Status'!$F$5,IF((OR($Q$2,$Q$7)=TRUE),'Shots and Status'!$D$5,'Shots and Status'!$C$5)))),0),"-")</f>
        <v>-</v>
      </c>
      <c r="J261" s="36" t="str">
        <f>IFERROR(ROUNDUP(IF(AND($Q$1=FALSE,$S$3=FALSE),"-",IF(AND($Q$1=TRUE,$S$3=TRUE),"-",IF(AND($Q$1=TRUE,$S$1=TRUE,$S$4=FALSE),VLOOKUP($E261,'Status Thresholds'!$E:$AS,14,FALSE),IF(AND($Q$1=TRUE,$S$4=FALSE),VLOOKUP($E261,'Status Thresholds'!$E:$AS,4,FALSE), IF(AND($Q$1=TRUE,$S$1=TRUE,$S$4=TRUE),VLOOKUP($E261,'Status Thresholds'!$E:$AS,19,FALSE),IF(AND($Q$1=TRUE,$S$4=TRUE),VLOOKUP($E261,'Status Thresholds'!$E:$AS,9,FALSE),IF(AND($S$3=TRUE,$S$1=TRUE,$S$4=FALSE),VLOOKUP($E261,'Status Thresholds'!$E:$AS,34,FALSE),IF(AND($S$3=TRUE,$S$4=FALSE),VLOOKUP($E261,'Status Thresholds'!$E:$AS,24,FALSE),IF(AND($S$3=TRUE,$S$1=TRUE,$S$4=TRUE),VLOOKUP($E261,'Status Thresholds'!$E:$AS,39,FALSE),IF(AND($S$3=TRUE,$S$4=TRUE),VLOOKUP($E261,'Status Thresholds'!$E:$AS,29,FALSE),""))))))))/IF(OR($Q$3=TRUE,AND($Q$2=TRUE,$Q$7=TRUE),AND($Q$3=TRUE,$Q$7=TRUE))=TRUE,'Shots and Status'!$F$5,IF((OR($Q$2,$Q$7)=TRUE),'Shots and Status'!$D$5,'Shots and Status'!$C$5)))),0),"-")</f>
        <v>-</v>
      </c>
      <c r="K261" s="36" t="str">
        <f>IFERROR(ROUNDUP(IF(AND($Q$1=FALSE,$S$3=FALSE),"-",IF(AND($Q$1=TRUE,$S$3=TRUE),"-",IF(AND($Q$1=TRUE,$S$1=TRUE,$S$4=FALSE),VLOOKUP($E261,'Status Thresholds'!$E:$AS,15,FALSE),IF(AND($Q$1=TRUE,$S$4=FALSE),VLOOKUP($E261,'Status Thresholds'!$E:$AS,5,FALSE), IF(AND($Q$1=TRUE,$S$1=TRUE,$S$4=TRUE),VLOOKUP($E261,'Status Thresholds'!$E:$AS,20,FALSE),IF(AND($Q$1=TRUE,$S$4=TRUE),VLOOKUP($E261,'Status Thresholds'!$E:$AS,10,FALSE),IF(AND($S$3=TRUE,$S$1=TRUE,$S$4=FALSE),VLOOKUP($E261,'Status Thresholds'!$E:$AS,35,FALSE),IF(AND($S$3=TRUE,$S$4=FALSE),VLOOKUP($E261,'Status Thresholds'!$E:$AS,25,FALSE),IF(AND($S$3=TRUE,$S$1=TRUE,$S$4=TRUE),VLOOKUP($E261,'Status Thresholds'!$E:$AS,40,FALSE),IF(AND($S$3=TRUE,$S$4=TRUE),VLOOKUP($E261,'Status Thresholds'!$E:$AS,30,FALSE),""))))))))/IF(OR($Q$3=TRUE,AND($Q$2=TRUE,$Q$7=TRUE),AND($Q$3=TRUE,$Q$7=TRUE))=TRUE,'Shots and Status'!$F$5,IF((OR($Q$2,$Q$7)=TRUE),'Shots and Status'!$D$5,'Shots and Status'!$C$5)))),0),"-")</f>
        <v>-</v>
      </c>
      <c r="L261" s="36" t="str">
        <f>IFERROR(IF(AND($Q$1=FALSE,$S$3=FALSE),"-",VLOOKUP($E261,'Status Thresholds'!$E:$AU,41,FALSE)),"-")</f>
        <v>-</v>
      </c>
      <c r="M261" s="36" t="str">
        <f>IFERROR(IF(AND($Q$1=FALSE,$S$3=FALSE),"-",VLOOKUP($E261,'Status Thresholds'!$E:$AU,42,FALSE)),"-")</f>
        <v>-</v>
      </c>
      <c r="N261" s="36" t="str">
        <f>IFERROR(IF(AND($Q$1=FALSE,$S$3=FALSE),"-",VLOOKUP($E261,'Status Thresholds'!$E:$AU,43,FALSE)),"-")</f>
        <v>-</v>
      </c>
    </row>
    <row r="262" spans="1:14" s="59" customFormat="1" x14ac:dyDescent="0.25">
      <c r="A262" s="46"/>
      <c r="B262" s="64" t="str">
        <f>VLOOKUP(C262,'Status Thresholds'!B:C,2,FALSE)</f>
        <v>Deviant</v>
      </c>
      <c r="C262" s="46" t="str">
        <f>IF(ISBLANK('KO Calc'!C258)=TRUE,"",'KO Calc'!C258)</f>
        <v>Dreadqueen Rathian</v>
      </c>
      <c r="D262" s="60" t="s">
        <v>32</v>
      </c>
      <c r="E262" s="62" t="str">
        <f t="shared" si="7"/>
        <v>Dreadqueen RathianSleep</v>
      </c>
      <c r="F262" s="59" t="s">
        <v>5</v>
      </c>
      <c r="G262" s="36" t="str">
        <f t="shared" si="8"/>
        <v>Dreadqueen RathianSleep lvl 2</v>
      </c>
      <c r="H262" s="36" t="str">
        <f>IFERROR(ROUNDUP(IF(AND($Q$1=FALSE,$S$3=FALSE),"-",IF(AND($Q$1=TRUE,$S$3=TRUE),"-",IF(AND($Q$1=TRUE,$S$1=TRUE,$S$4=FALSE),VLOOKUP($E262,'Status Thresholds'!$E:$AS,12,FALSE),IF(AND($Q$1=TRUE,$S$4=FALSE),VLOOKUP($E262,'Status Thresholds'!$E:$AS,2,FALSE), IF(AND($Q$1=TRUE,$S$1=TRUE,$S$4=TRUE),VLOOKUP($E262,'Status Thresholds'!$E:$AS,17,FALSE),IF(AND($Q$1=TRUE,$S$4=TRUE),VLOOKUP($E262,'Status Thresholds'!$E:$AS,7,FALSE),IF(AND($S$3=TRUE,$S$1=TRUE,$S$4=FALSE),VLOOKUP($E262,'Status Thresholds'!$E:$AS,32,FALSE),IF(AND($S$3=TRUE,$S$4=FALSE),VLOOKUP($E262,'Status Thresholds'!$E:$AS,22,FALSE),IF(AND($S$3=TRUE,$S$1=TRUE,$S$4=TRUE),VLOOKUP($E262,'Status Thresholds'!$E:$AS,37,FALSE),IF(AND($S$3=TRUE,$S$4=TRUE),VLOOKUP($E262,'Status Thresholds'!$E:$AS,27,FALSE),""))))))))/IF(OR($Q$3=TRUE,AND($Q$2=TRUE,$Q$7=TRUE),AND($Q$3=TRUE,$Q$7=TRUE))=TRUE,'Shots and Status'!$F$5,IF((OR($Q$2,$Q$7)=TRUE),'Shots and Status'!$D$5,'Shots and Status'!$C$5)))),0),"-")</f>
        <v>-</v>
      </c>
      <c r="I262" s="36" t="str">
        <f>IFERROR(ROUNDUP(IF(AND($Q$1=FALSE,$S$3=FALSE),"-",IF(AND($Q$1=TRUE,$S$3=TRUE),"-",IF(AND($Q$1=TRUE,$S$1=TRUE,$S$4=FALSE),VLOOKUP($E262,'Status Thresholds'!$E:$AS,13,FALSE),IF(AND($Q$1=TRUE,$S$4=FALSE),VLOOKUP($E262,'Status Thresholds'!$E:$AS,3,FALSE), IF(AND($Q$1=TRUE,$S$1=TRUE,$S$4=TRUE),VLOOKUP($E262,'Status Thresholds'!$E:$AS,18,FALSE),IF(AND($Q$1=TRUE,$S$4=TRUE),VLOOKUP($E262,'Status Thresholds'!$E:$AS,8,FALSE),IF(AND($S$3=TRUE,$S$1=TRUE,$S$4=FALSE),VLOOKUP($E262,'Status Thresholds'!$E:$AS,33,FALSE),IF(AND($S$3=TRUE,$S$4=FALSE),VLOOKUP($E262,'Status Thresholds'!$E:$AS,23,FALSE),IF(AND($S$3=TRUE,$S$1=TRUE,$S$4=TRUE),VLOOKUP($E262,'Status Thresholds'!$E:$AS,38,FALSE),IF(AND($S$3=TRUE,$S$4=TRUE),VLOOKUP($E262,'Status Thresholds'!$E:$AS,28,FALSE),""))))))))/IF(OR($Q$3=TRUE,AND($Q$2=TRUE,$Q$7=TRUE),AND($Q$3=TRUE,$Q$7=TRUE))=TRUE,'Shots and Status'!$F$5,IF((OR($Q$2,$Q$7)=TRUE),'Shots and Status'!$D$5,'Shots and Status'!$C$5)))),0),"-")</f>
        <v>-</v>
      </c>
      <c r="J262" s="36" t="str">
        <f>IFERROR(ROUNDUP(IF(AND($Q$1=FALSE,$S$3=FALSE),"-",IF(AND($Q$1=TRUE,$S$3=TRUE),"-",IF(AND($Q$1=TRUE,$S$1=TRUE,$S$4=FALSE),VLOOKUP($E262,'Status Thresholds'!$E:$AS,14,FALSE),IF(AND($Q$1=TRUE,$S$4=FALSE),VLOOKUP($E262,'Status Thresholds'!$E:$AS,4,FALSE), IF(AND($Q$1=TRUE,$S$1=TRUE,$S$4=TRUE),VLOOKUP($E262,'Status Thresholds'!$E:$AS,19,FALSE),IF(AND($Q$1=TRUE,$S$4=TRUE),VLOOKUP($E262,'Status Thresholds'!$E:$AS,9,FALSE),IF(AND($S$3=TRUE,$S$1=TRUE,$S$4=FALSE),VLOOKUP($E262,'Status Thresholds'!$E:$AS,34,FALSE),IF(AND($S$3=TRUE,$S$4=FALSE),VLOOKUP($E262,'Status Thresholds'!$E:$AS,24,FALSE),IF(AND($S$3=TRUE,$S$1=TRUE,$S$4=TRUE),VLOOKUP($E262,'Status Thresholds'!$E:$AS,39,FALSE),IF(AND($S$3=TRUE,$S$4=TRUE),VLOOKUP($E262,'Status Thresholds'!$E:$AS,29,FALSE),""))))))))/IF(OR($Q$3=TRUE,AND($Q$2=TRUE,$Q$7=TRUE),AND($Q$3=TRUE,$Q$7=TRUE))=TRUE,'Shots and Status'!$F$5,IF((OR($Q$2,$Q$7)=TRUE),'Shots and Status'!$D$5,'Shots and Status'!$C$5)))),0),"-")</f>
        <v>-</v>
      </c>
      <c r="K262" s="36" t="str">
        <f>IFERROR(ROUNDUP(IF(AND($Q$1=FALSE,$S$3=FALSE),"-",IF(AND($Q$1=TRUE,$S$3=TRUE),"-",IF(AND($Q$1=TRUE,$S$1=TRUE,$S$4=FALSE),VLOOKUP($E262,'Status Thresholds'!$E:$AS,15,FALSE),IF(AND($Q$1=TRUE,$S$4=FALSE),VLOOKUP($E262,'Status Thresholds'!$E:$AS,5,FALSE), IF(AND($Q$1=TRUE,$S$1=TRUE,$S$4=TRUE),VLOOKUP($E262,'Status Thresholds'!$E:$AS,20,FALSE),IF(AND($Q$1=TRUE,$S$4=TRUE),VLOOKUP($E262,'Status Thresholds'!$E:$AS,10,FALSE),IF(AND($S$3=TRUE,$S$1=TRUE,$S$4=FALSE),VLOOKUP($E262,'Status Thresholds'!$E:$AS,35,FALSE),IF(AND($S$3=TRUE,$S$4=FALSE),VLOOKUP($E262,'Status Thresholds'!$E:$AS,25,FALSE),IF(AND($S$3=TRUE,$S$1=TRUE,$S$4=TRUE),VLOOKUP($E262,'Status Thresholds'!$E:$AS,40,FALSE),IF(AND($S$3=TRUE,$S$4=TRUE),VLOOKUP($E262,'Status Thresholds'!$E:$AS,30,FALSE),""))))))))/IF(OR($Q$3=TRUE,AND($Q$2=TRUE,$Q$7=TRUE),AND($Q$3=TRUE,$Q$7=TRUE))=TRUE,'Shots and Status'!$F$5,IF((OR($Q$2,$Q$7)=TRUE),'Shots and Status'!$D$5,'Shots and Status'!$C$5)))),0),"-")</f>
        <v>-</v>
      </c>
      <c r="L262" s="36" t="str">
        <f>IFERROR(IF(AND($Q$1=FALSE,$S$3=FALSE),"-",VLOOKUP($E262,'Status Thresholds'!$E:$AU,41,FALSE)),"-")</f>
        <v>-</v>
      </c>
      <c r="M262" s="36" t="str">
        <f>IFERROR(IF(AND($Q$1=FALSE,$S$3=FALSE),"-",VLOOKUP($E262,'Status Thresholds'!$E:$AU,42,FALSE)),"-")</f>
        <v>-</v>
      </c>
      <c r="N262" s="36" t="str">
        <f>IFERROR(IF(AND($Q$1=FALSE,$S$3=FALSE),"-",VLOOKUP($E262,'Status Thresholds'!$E:$AU,43,FALSE)),"-")</f>
        <v>-</v>
      </c>
    </row>
    <row r="263" spans="1:14" s="59" customFormat="1" x14ac:dyDescent="0.25">
      <c r="A263" s="46"/>
      <c r="B263" s="64" t="str">
        <f>VLOOKUP(C263,'Status Thresholds'!B:C,2,FALSE)</f>
        <v>Deviant</v>
      </c>
      <c r="C263" s="46" t="str">
        <f>IF(ISBLANK('KO Calc'!C259)=TRUE,"",'KO Calc'!C259)</f>
        <v>Dreadqueen Rathian</v>
      </c>
      <c r="D263" s="58" t="s">
        <v>33</v>
      </c>
      <c r="E263" s="62" t="str">
        <f t="shared" si="7"/>
        <v>Dreadqueen RathianPoison</v>
      </c>
      <c r="F263" s="59" t="s">
        <v>6</v>
      </c>
      <c r="G263" s="36" t="str">
        <f t="shared" si="8"/>
        <v>Dreadqueen RathianPoison lvl 2</v>
      </c>
      <c r="H263" s="36" t="str">
        <f>IFERROR(ROUNDUP(IF(AND($Q$1=FALSE,$S$3=FALSE),"-",IF(AND($Q$1=TRUE,$S$3=TRUE),"-",IF(AND($Q$1=TRUE,$S$1=TRUE,$S$4=FALSE),VLOOKUP($E263,'Status Thresholds'!$E:$AS,12,FALSE),IF(AND($Q$1=TRUE,$S$4=FALSE),VLOOKUP($E263,'Status Thresholds'!$E:$AS,2,FALSE), IF(AND($Q$1=TRUE,$S$1=TRUE,$S$4=TRUE),VLOOKUP($E263,'Status Thresholds'!$E:$AS,17,FALSE),IF(AND($Q$1=TRUE,$S$4=TRUE),VLOOKUP($E263,'Status Thresholds'!$E:$AS,7,FALSE),IF(AND($S$3=TRUE,$S$1=TRUE,$S$4=FALSE),VLOOKUP($E263,'Status Thresholds'!$E:$AS,32,FALSE),IF(AND($S$3=TRUE,$S$4=FALSE),VLOOKUP($E263,'Status Thresholds'!$E:$AS,22,FALSE),IF(AND($S$3=TRUE,$S$1=TRUE,$S$4=TRUE),VLOOKUP($E263,'Status Thresholds'!$E:$AS,37,FALSE),IF(AND($S$3=TRUE,$S$4=TRUE),VLOOKUP($E263,'Status Thresholds'!$E:$AS,27,FALSE),""))))))))/IF(OR($Q$3=TRUE,AND($Q$2=TRUE,$Q$7=TRUE),AND($Q$3=TRUE,$Q$7=TRUE))=TRUE,'Shots and Status'!$F$5,IF((OR($Q$2,$Q$7)=TRUE),'Shots and Status'!$D$5,'Shots and Status'!$C$5)))),0),"-")</f>
        <v>-</v>
      </c>
      <c r="I263" s="36" t="str">
        <f>IFERROR(ROUNDUP(IF(AND($Q$1=FALSE,$S$3=FALSE),"-",IF(AND($Q$1=TRUE,$S$3=TRUE),"-",IF(AND($Q$1=TRUE,$S$1=TRUE,$S$4=FALSE),VLOOKUP($E263,'Status Thresholds'!$E:$AS,13,FALSE),IF(AND($Q$1=TRUE,$S$4=FALSE),VLOOKUP($E263,'Status Thresholds'!$E:$AS,3,FALSE), IF(AND($Q$1=TRUE,$S$1=TRUE,$S$4=TRUE),VLOOKUP($E263,'Status Thresholds'!$E:$AS,18,FALSE),IF(AND($Q$1=TRUE,$S$4=TRUE),VLOOKUP($E263,'Status Thresholds'!$E:$AS,8,FALSE),IF(AND($S$3=TRUE,$S$1=TRUE,$S$4=FALSE),VLOOKUP($E263,'Status Thresholds'!$E:$AS,33,FALSE),IF(AND($S$3=TRUE,$S$4=FALSE),VLOOKUP($E263,'Status Thresholds'!$E:$AS,23,FALSE),IF(AND($S$3=TRUE,$S$1=TRUE,$S$4=TRUE),VLOOKUP($E263,'Status Thresholds'!$E:$AS,38,FALSE),IF(AND($S$3=TRUE,$S$4=TRUE),VLOOKUP($E263,'Status Thresholds'!$E:$AS,28,FALSE),""))))))))/IF(OR($Q$3=TRUE,AND($Q$2=TRUE,$Q$7=TRUE),AND($Q$3=TRUE,$Q$7=TRUE))=TRUE,'Shots and Status'!$F$5,IF((OR($Q$2,$Q$7)=TRUE),'Shots and Status'!$D$5,'Shots and Status'!$C$5)))),0),"-")</f>
        <v>-</v>
      </c>
      <c r="J263" s="36" t="str">
        <f>IFERROR(ROUNDUP(IF(AND($Q$1=FALSE,$S$3=FALSE),"-",IF(AND($Q$1=TRUE,$S$3=TRUE),"-",IF(AND($Q$1=TRUE,$S$1=TRUE,$S$4=FALSE),VLOOKUP($E263,'Status Thresholds'!$E:$AS,14,FALSE),IF(AND($Q$1=TRUE,$S$4=FALSE),VLOOKUP($E263,'Status Thresholds'!$E:$AS,4,FALSE), IF(AND($Q$1=TRUE,$S$1=TRUE,$S$4=TRUE),VLOOKUP($E263,'Status Thresholds'!$E:$AS,19,FALSE),IF(AND($Q$1=TRUE,$S$4=TRUE),VLOOKUP($E263,'Status Thresholds'!$E:$AS,9,FALSE),IF(AND($S$3=TRUE,$S$1=TRUE,$S$4=FALSE),VLOOKUP($E263,'Status Thresholds'!$E:$AS,34,FALSE),IF(AND($S$3=TRUE,$S$4=FALSE),VLOOKUP($E263,'Status Thresholds'!$E:$AS,24,FALSE),IF(AND($S$3=TRUE,$S$1=TRUE,$S$4=TRUE),VLOOKUP($E263,'Status Thresholds'!$E:$AS,39,FALSE),IF(AND($S$3=TRUE,$S$4=TRUE),VLOOKUP($E263,'Status Thresholds'!$E:$AS,29,FALSE),""))))))))/IF(OR($Q$3=TRUE,AND($Q$2=TRUE,$Q$7=TRUE),AND($Q$3=TRUE,$Q$7=TRUE))=TRUE,'Shots and Status'!$F$5,IF((OR($Q$2,$Q$7)=TRUE),'Shots and Status'!$D$5,'Shots and Status'!$C$5)))),0),"-")</f>
        <v>-</v>
      </c>
      <c r="K263" s="36" t="str">
        <f>IFERROR(ROUNDUP(IF(AND($Q$1=FALSE,$S$3=FALSE),"-",IF(AND($Q$1=TRUE,$S$3=TRUE),"-",IF(AND($Q$1=TRUE,$S$1=TRUE,$S$4=FALSE),VLOOKUP($E263,'Status Thresholds'!$E:$AS,15,FALSE),IF(AND($Q$1=TRUE,$S$4=FALSE),VLOOKUP($E263,'Status Thresholds'!$E:$AS,5,FALSE), IF(AND($Q$1=TRUE,$S$1=TRUE,$S$4=TRUE),VLOOKUP($E263,'Status Thresholds'!$E:$AS,20,FALSE),IF(AND($Q$1=TRUE,$S$4=TRUE),VLOOKUP($E263,'Status Thresholds'!$E:$AS,10,FALSE),IF(AND($S$3=TRUE,$S$1=TRUE,$S$4=FALSE),VLOOKUP($E263,'Status Thresholds'!$E:$AS,35,FALSE),IF(AND($S$3=TRUE,$S$4=FALSE),VLOOKUP($E263,'Status Thresholds'!$E:$AS,25,FALSE),IF(AND($S$3=TRUE,$S$1=TRUE,$S$4=TRUE),VLOOKUP($E263,'Status Thresholds'!$E:$AS,40,FALSE),IF(AND($S$3=TRUE,$S$4=TRUE),VLOOKUP($E263,'Status Thresholds'!$E:$AS,30,FALSE),""))))))))/IF(OR($Q$3=TRUE,AND($Q$2=TRUE,$Q$7=TRUE),AND($Q$3=TRUE,$Q$7=TRUE))=TRUE,'Shots and Status'!$F$5,IF((OR($Q$2,$Q$7)=TRUE),'Shots and Status'!$D$5,'Shots and Status'!$C$5)))),0),"-")</f>
        <v>-</v>
      </c>
      <c r="L263" s="36" t="str">
        <f>IFERROR(IF(AND($Q$1=FALSE,$S$3=FALSE),"-",VLOOKUP($E263,'Status Thresholds'!$E:$AU,41,FALSE)),"-")</f>
        <v>-</v>
      </c>
      <c r="M263" s="36" t="str">
        <f>IFERROR(IF(AND($Q$1=FALSE,$S$3=FALSE),"-",VLOOKUP($E263,'Status Thresholds'!$E:$AU,42,FALSE)),"-")</f>
        <v>-</v>
      </c>
      <c r="N263" s="36" t="str">
        <f>IFERROR(IF(AND($Q$1=FALSE,$S$3=FALSE),"-",VLOOKUP($E263,'Status Thresholds'!$E:$AU,43,FALSE)),"-")</f>
        <v>-</v>
      </c>
    </row>
    <row r="264" spans="1:14" s="36" customFormat="1" x14ac:dyDescent="0.25">
      <c r="A264" s="46"/>
      <c r="B264" s="64" t="str">
        <f>VLOOKUP(C264,'Status Thresholds'!B:C,2,FALSE)</f>
        <v>Deviant</v>
      </c>
      <c r="C264" s="46" t="str">
        <f>IF(ISBLANK('KO Calc'!C260)=TRUE,"",'KO Calc'!C260)</f>
        <v>Dreadqueen Rathian</v>
      </c>
      <c r="D264" s="57" t="s">
        <v>22</v>
      </c>
      <c r="E264" s="62" t="str">
        <f t="shared" si="7"/>
        <v>Dreadqueen RathianExhaust</v>
      </c>
      <c r="F264" s="36" t="s">
        <v>8</v>
      </c>
      <c r="G264" s="36" t="str">
        <f t="shared" si="8"/>
        <v>Dreadqueen RathianExhaust lvl 2</v>
      </c>
      <c r="H264" s="36" t="str">
        <f>IFERROR(ROUNDUP(IF(AND($Q$1=FALSE,$S$3=FALSE),"-",IF(AND($Q$1=TRUE,$S$3=TRUE),"-",IF(AND($Q$1=TRUE,$S$1=TRUE,$S$4=FALSE),VLOOKUP($E264,'Status Thresholds'!$E:$AS,12,FALSE),IF(AND($Q$1=TRUE,$S$4=FALSE),VLOOKUP($E264,'Status Thresholds'!$E:$AS,2,FALSE), IF(AND($Q$1=TRUE,$S$1=TRUE,$S$4=TRUE),VLOOKUP($E264,'Status Thresholds'!$E:$AS,17,FALSE),IF(AND($Q$1=TRUE,$S$4=TRUE),VLOOKUP($E264,'Status Thresholds'!$E:$AS,7,FALSE),IF(AND($S$3=TRUE,$S$1=TRUE,$S$4=FALSE),VLOOKUP($E264,'Status Thresholds'!$E:$AS,32,FALSE),IF(AND($S$3=TRUE,$S$4=FALSE),VLOOKUP($E264,'Status Thresholds'!$E:$AS,22,FALSE),IF(AND($S$3=TRUE,$S$1=TRUE,$S$4=TRUE),VLOOKUP($E264,'Status Thresholds'!$E:$AS,37,FALSE),IF(AND($S$3=TRUE,$S$4=TRUE),VLOOKUP($E264,'Status Thresholds'!$E:$AS,27,FALSE),""))))))))/IF(OR($Q$3=TRUE,AND($Q$2=TRUE,$Q$7=TRUE),AND($Q$3=TRUE,$Q$7=TRUE))=TRUE,'Shots and Status'!$F$5,IF((OR($Q$2,$Q$7)=TRUE),'Shots and Status'!$D$5,'Shots and Status'!$C$5)))),0),"-")</f>
        <v>-</v>
      </c>
      <c r="I264" s="36" t="str">
        <f>IFERROR(ROUNDUP(IF(AND($Q$1=FALSE,$S$3=FALSE),"-",IF(AND($Q$1=TRUE,$S$3=TRUE),"-",IF(AND($Q$1=TRUE,$S$1=TRUE,$S$4=FALSE),VLOOKUP($E264,'Status Thresholds'!$E:$AS,13,FALSE),IF(AND($Q$1=TRUE,$S$4=FALSE),VLOOKUP($E264,'Status Thresholds'!$E:$AS,3,FALSE), IF(AND($Q$1=TRUE,$S$1=TRUE,$S$4=TRUE),VLOOKUP($E264,'Status Thresholds'!$E:$AS,18,FALSE),IF(AND($Q$1=TRUE,$S$4=TRUE),VLOOKUP($E264,'Status Thresholds'!$E:$AS,8,FALSE),IF(AND($S$3=TRUE,$S$1=TRUE,$S$4=FALSE),VLOOKUP($E264,'Status Thresholds'!$E:$AS,33,FALSE),IF(AND($S$3=TRUE,$S$4=FALSE),VLOOKUP($E264,'Status Thresholds'!$E:$AS,23,FALSE),IF(AND($S$3=TRUE,$S$1=TRUE,$S$4=TRUE),VLOOKUP($E264,'Status Thresholds'!$E:$AS,38,FALSE),IF(AND($S$3=TRUE,$S$4=TRUE),VLOOKUP($E264,'Status Thresholds'!$E:$AS,28,FALSE),""))))))))/IF(OR($Q$3=TRUE,AND($Q$2=TRUE,$Q$7=TRUE),AND($Q$3=TRUE,$Q$7=TRUE))=TRUE,'Shots and Status'!$F$5,IF((OR($Q$2,$Q$7)=TRUE),'Shots and Status'!$D$5,'Shots and Status'!$C$5)))),0),"-")</f>
        <v>-</v>
      </c>
      <c r="J264" s="36" t="str">
        <f>IFERROR(ROUNDUP(IF(AND($Q$1=FALSE,$S$3=FALSE),"-",IF(AND($Q$1=TRUE,$S$3=TRUE),"-",IF(AND($Q$1=TRUE,$S$1=TRUE,$S$4=FALSE),VLOOKUP($E264,'Status Thresholds'!$E:$AS,14,FALSE),IF(AND($Q$1=TRUE,$S$4=FALSE),VLOOKUP($E264,'Status Thresholds'!$E:$AS,4,FALSE), IF(AND($Q$1=TRUE,$S$1=TRUE,$S$4=TRUE),VLOOKUP($E264,'Status Thresholds'!$E:$AS,19,FALSE),IF(AND($Q$1=TRUE,$S$4=TRUE),VLOOKUP($E264,'Status Thresholds'!$E:$AS,9,FALSE),IF(AND($S$3=TRUE,$S$1=TRUE,$S$4=FALSE),VLOOKUP($E264,'Status Thresholds'!$E:$AS,34,FALSE),IF(AND($S$3=TRUE,$S$4=FALSE),VLOOKUP($E264,'Status Thresholds'!$E:$AS,24,FALSE),IF(AND($S$3=TRUE,$S$1=TRUE,$S$4=TRUE),VLOOKUP($E264,'Status Thresholds'!$E:$AS,39,FALSE),IF(AND($S$3=TRUE,$S$4=TRUE),VLOOKUP($E264,'Status Thresholds'!$E:$AS,29,FALSE),""))))))))/IF(OR($Q$3=TRUE,AND($Q$2=TRUE,$Q$7=TRUE),AND($Q$3=TRUE,$Q$7=TRUE))=TRUE,'Shots and Status'!$F$5,IF((OR($Q$2,$Q$7)=TRUE),'Shots and Status'!$D$5,'Shots and Status'!$C$5)))),0),"-")</f>
        <v>-</v>
      </c>
      <c r="K264" s="36" t="str">
        <f>IFERROR(ROUNDUP(IF(AND($Q$1=FALSE,$S$3=FALSE),"-",IF(AND($Q$1=TRUE,$S$3=TRUE),"-",IF(AND($Q$1=TRUE,$S$1=TRUE,$S$4=FALSE),VLOOKUP($E264,'Status Thresholds'!$E:$AS,15,FALSE),IF(AND($Q$1=TRUE,$S$4=FALSE),VLOOKUP($E264,'Status Thresholds'!$E:$AS,5,FALSE), IF(AND($Q$1=TRUE,$S$1=TRUE,$S$4=TRUE),VLOOKUP($E264,'Status Thresholds'!$E:$AS,20,FALSE),IF(AND($Q$1=TRUE,$S$4=TRUE),VLOOKUP($E264,'Status Thresholds'!$E:$AS,10,FALSE),IF(AND($S$3=TRUE,$S$1=TRUE,$S$4=FALSE),VLOOKUP($E264,'Status Thresholds'!$E:$AS,35,FALSE),IF(AND($S$3=TRUE,$S$4=FALSE),VLOOKUP($E264,'Status Thresholds'!$E:$AS,25,FALSE),IF(AND($S$3=TRUE,$S$1=TRUE,$S$4=TRUE),VLOOKUP($E264,'Status Thresholds'!$E:$AS,40,FALSE),IF(AND($S$3=TRUE,$S$4=TRUE),VLOOKUP($E264,'Status Thresholds'!$E:$AS,30,FALSE),""))))))))/IF(OR($Q$3=TRUE,AND($Q$2=TRUE,$Q$7=TRUE),AND($Q$3=TRUE,$Q$7=TRUE))=TRUE,'Shots and Status'!$F$5,IF((OR($Q$2,$Q$7)=TRUE),'Shots and Status'!$D$5,'Shots and Status'!$C$5)))),0),"-")</f>
        <v>-</v>
      </c>
      <c r="L264" s="36" t="str">
        <f>IFERROR(IF(AND($Q$1=FALSE,$S$3=FALSE),"-",VLOOKUP($E264,'Status Thresholds'!$E:$AU,41,FALSE)),"-")</f>
        <v>-</v>
      </c>
      <c r="M264" s="36" t="str">
        <f>IFERROR(IF(AND($Q$1=FALSE,$S$3=FALSE),"-",VLOOKUP($E264,'Status Thresholds'!$E:$AU,42,FALSE)),"-")</f>
        <v>-</v>
      </c>
      <c r="N264" s="36" t="str">
        <f>IFERROR(IF(AND($Q$1=FALSE,$S$3=FALSE),"-",VLOOKUP($E264,'Status Thresholds'!$E:$AU,43,FALSE)),"-")</f>
        <v>-</v>
      </c>
    </row>
    <row r="265" spans="1:14" s="36" customFormat="1" x14ac:dyDescent="0.25">
      <c r="A265" s="46"/>
      <c r="B265" s="64" t="str">
        <f>VLOOKUP(C265,'Status Thresholds'!B:C,2,FALSE)</f>
        <v>Deviant</v>
      </c>
      <c r="C265" s="46" t="str">
        <f>IF(ISBLANK('KO Calc'!C261)=TRUE,"",'KO Calc'!C261)</f>
        <v>Dreadqueen Rathian</v>
      </c>
      <c r="D265" s="67" t="s">
        <v>14</v>
      </c>
      <c r="E265" s="62" t="str">
        <f t="shared" si="7"/>
        <v>Dreadqueen RathianKO</v>
      </c>
      <c r="F265" s="36" t="s">
        <v>21</v>
      </c>
      <c r="G265" s="36" t="str">
        <f t="shared" si="8"/>
        <v>Dreadqueen RathianTriblast</v>
      </c>
      <c r="H265" s="36" t="str">
        <f>IF(AND($Q$1=FALSE,$S$3=FALSE),"-",IF(AND($Q$1=TRUE,$S$3=TRUE),"-",IF(AND($Q$1=FALSE,$S$3=FALSE),"-",IF(AND($Q$1=TRUE,$S$1=TRUE,$S$4=FALSE)=TRUE,IF(OR($Q$4=TRUE,$Q$5=TRUE,$S$2=TRUE),VLOOKUP($G265,'KO Calc'!$H:$AW,12,FALSE),VLOOKUP($G265,'KO Calc'!$H271:$AW271,12,FALSE)),IF(AND($Q$1=TRUE,$S$4=FALSE),IF(OR($Q$4=TRUE,$Q$5=TRUE,$S$2=TRUE),VLOOKUP($G265,'KO Calc'!$H:$AW,2,FALSE),VLOOKUP($G265,'KO Calc'!$H271:$AW271,2,FALSE)),
IF(AND($Q$1=TRUE,$S$1=TRUE,$S$4=TRUE)=TRUE,IF(OR($Q$4=TRUE,$Q$5=TRUE,$S$2=TRUE),VLOOKUP($G265,'KO Calc'!$H:$AW,17,FALSE),VLOOKUP($G265,'KO Calc'!$H271:$AW271,17,FALSE)),IF(AND($Q$1=TRUE,$S$4=TRUE),IF(OR($Q$4=TRUE,$Q$5=TRUE,$S$2=TRUE),VLOOKUP($G265,'KO Calc'!$H:$AW,7,FALSE),VLOOKUP($G265,'KO Calc'!$H271:$AW271,7,FALSE)),
IF(AND($S$3=TRUE,$S$1=TRUE,$S$4=FALSE)=TRUE,IF(OR($Q$4=TRUE,$Q$5=TRUE,$S$2=TRUE),VLOOKUP($G265,'KO Calc'!$H:$AW,32,FALSE),VLOOKUP($G265,'KO Calc'!$H271:$AW271,32,FALSE)),IF(AND($S$3=TRUE,$S$4=FALSE),IF(OR($Q$4=TRUE,$Q$5=TRUE,$S$2=TRUE),VLOOKUP($G265,'KO Calc'!$H:$AW,22,FALSE),VLOOKUP($G265,'KO Calc'!$H271:$AW271,22,FALSE)),
IF(AND($S$3=TRUE,$S$1=TRUE,$S$4=TRUE)=TRUE,IF(OR($Q$4=TRUE,$Q$5=TRUE,$S$2=TRUE),VLOOKUP($G265,'KO Calc'!$H:$AW,37,FALSE),VLOOKUP($G265,'KO Calc'!$H271:$AW271,37,FALSE)),IF(AND($S$3=TRUE,$S$4=TRUE),IF(OR($Q$4=TRUE,$Q$5=TRUE,$S$2=TRUE),VLOOKUP($G265,'KO Calc'!$H:$AW,27,FALSE),VLOOKUP($G265,'KO Calc'!$H271:$AW271,27,FALSE)))))))))))))</f>
        <v>-</v>
      </c>
      <c r="I265" s="36" t="str">
        <f>IF(AND($Q$1=FALSE,$S$3=FALSE),"-",IF(AND($Q$1=TRUE,$S$3=TRUE),"-",IF(AND($Q$1=FALSE,$S$3=FALSE),"-",IF(AND($Q$1=TRUE,$S$1=TRUE,$S$4=FALSE)=TRUE,IF(OR($Q$4=TRUE,$Q$5=TRUE,$S$2=TRUE),VLOOKUP($G265,'KO Calc'!$H:$AW,13,FALSE),VLOOKUP($G265,'KO Calc'!$H271:$AW271,13,FALSE)),IF(AND($Q$1=TRUE,$S$4=FALSE),IF(OR($Q$4=TRUE,$Q$5=TRUE,$S$2=TRUE),VLOOKUP($G265,'KO Calc'!$H:$AW,3,FALSE),VLOOKUP($G265,'KO Calc'!$H271:$AW271,3,FALSE)),
IF(AND($Q$1=TRUE,$S$1=TRUE,$S$4=TRUE)=TRUE,IF(OR($Q$4=TRUE,$Q$5=TRUE,$S$2=TRUE),VLOOKUP($G265,'KO Calc'!$H:$AW,18,FALSE),VLOOKUP($G265,'KO Calc'!$H271:$AW271,18,FALSE)),IF(AND($Q$1=TRUE,$S$4=TRUE),IF(OR($Q$4=TRUE,$Q$5=TRUE,$S$2=TRUE),VLOOKUP($G265,'KO Calc'!$H:$AW,8,FALSE),VLOOKUP($G265,'KO Calc'!$H271:$AW271,8,FALSE)),
IF(AND($S$3=TRUE,$S$1=TRUE,$S$4=FALSE)=TRUE,IF(OR($Q$4=TRUE,$Q$5=TRUE,$S$2=TRUE),VLOOKUP($G265,'KO Calc'!$H:$AW,33,FALSE),VLOOKUP($G265,'KO Calc'!$H271:$AW271,33,FALSE)),IF(AND($S$3=TRUE,$S$4=FALSE),IF(OR($Q$4=TRUE,$Q$5=TRUE,$S$2=TRUE),VLOOKUP($G265,'KO Calc'!$H:$AW,23,FALSE),VLOOKUP($G265,'KO Calc'!$H271:$AW271,23,FALSE)),
IF(AND($S$3=TRUE,$S$1=TRUE,$S$4=TRUE)=TRUE,IF(OR($Q$4=TRUE,$Q$5=TRUE,$S$2=TRUE),VLOOKUP($G265,'KO Calc'!$H:$AW,38,FALSE),VLOOKUP($G265,'KO Calc'!$H271:$AW271,38,FALSE)),IF(AND($S$3=TRUE,$S$4=TRUE),IF(OR($Q$4=TRUE,$Q$5=TRUE,$S$2=TRUE),VLOOKUP($G265,'KO Calc'!$H:$AW,28,FALSE),VLOOKUP($G265,'KO Calc'!$H271:$AW271,28,FALSE)))))))))))))</f>
        <v>-</v>
      </c>
      <c r="J265" s="36" t="str">
        <f>IF(AND($Q$1=FALSE,$S$3=FALSE),"-",IF(AND($Q$1=TRUE,$S$3=TRUE),"-",IF(AND($Q$1=FALSE,$S$3=FALSE),"-",IF(AND($Q$1=TRUE,$S$1=TRUE,$S$4=FALSE)=TRUE,IF(OR($Q$4=TRUE,$Q$5=TRUE,$S$2=TRUE),VLOOKUP($G265,'KO Calc'!$H:$AW,FALSE),VLOOKUP($G265,'KO Calc'!$H271:$AW271,14,FALSE)),IF(AND($Q$1=TRUE,$S$4=FALSE),IF(OR($Q$4=TRUE,$Q$5=TRUE,$S$2=TRUE),VLOOKUP($G265,'KO Calc'!$H:$AW,4,FALSE),VLOOKUP($G265,'KO Calc'!$H271:$AW271,4,FALSE)),
IF(AND($Q$1=TRUE,$S$1=TRUE,$S$4=TRUE)=TRUE,IF(OR($Q$4=TRUE,$Q$5=TRUE,$S$2=TRUE),VLOOKUP($G265,'KO Calc'!$H:$AW,19,FALSE),VLOOKUP($G265,'KO Calc'!$H271:$AW271,19,FALSE)),IF(AND($Q$1=TRUE,$S$4=TRUE),IF(OR($Q$4=TRUE,$Q$5=TRUE,$S$2=TRUE),VLOOKUP($G265,'KO Calc'!$H:$AW,9,FALSE),VLOOKUP($G265,'KO Calc'!$H271:$AW271,9,FALSE)),
IF(AND($S$3=TRUE,$S$1=TRUE,$S$4=FALSE)=TRUE,IF(OR($Q$4=TRUE,$Q$5=TRUE,$S$2=TRUE),VLOOKUP($G265,'KO Calc'!$H:$AW,34,FALSE),VLOOKUP($G265,'KO Calc'!$H271:$AW271,34,FALSE)),IF(AND($S$3=TRUE,$S$4=FALSE),IF(OR($Q$4=TRUE,$Q$5=TRUE,$S$2=TRUE),VLOOKUP($G265,'KO Calc'!$H:$AW,24,FALSE),VLOOKUP($G265,'KO Calc'!$H271:$AW271,24,FALSE)),
IF(AND($S$3=TRUE,$S$1=TRUE,$S$4=TRUE)=TRUE,IF(OR($Q$4=TRUE,$Q$5=TRUE,$S$2=TRUE),VLOOKUP($G265,'KO Calc'!$H:$AW,39,FALSE),VLOOKUP($G265,'KO Calc'!$H271:$AW271,39,FALSE)),IF(AND($S$3=TRUE,$S$4=TRUE),IF(OR($Q$4=TRUE,$Q$5=TRUE,$S$2=TRUE),VLOOKUP($G265,'KO Calc'!$H:$AW,29,FALSE),VLOOKUP($G265,'KO Calc'!$H271:$AW271,29,FALSE)))))))))))))</f>
        <v>-</v>
      </c>
      <c r="K265" s="36" t="str">
        <f>IF(AND($Q$1=FALSE,$S$3=FALSE),"-",IF(AND($Q$1=TRUE,$S$3=TRUE),"-",IF(AND($Q$1=FALSE,$S$3=FALSE),"-",IF(AND($Q$1=TRUE,$S$1=TRUE,$S$4=FALSE)=TRUE,IF(OR($Q$4=TRUE,$Q$5=TRUE,$S$2=TRUE),VLOOKUP($G265,'KO Calc'!$H:$AW,15,FALSE),VLOOKUP($G265,'KO Calc'!$H271:$AW271,15,FALSE)),IF(AND($Q$1=TRUE,$S$4=FALSE),IF(OR($Q$4=TRUE,$Q$5=TRUE,$S$2=TRUE),VLOOKUP($G265,'KO Calc'!$H:$AW,5,FALSE),VLOOKUP($G265,'KO Calc'!$H271:$AW271,5,FALSE)),
IF(AND($Q$1=TRUE,$S$1=TRUE,$S$4=TRUE)=TRUE,IF(OR($Q$4=TRUE,$Q$5=TRUE,$S$2=TRUE),VLOOKUP($G265,'KO Calc'!$H:$AW,20,FALSE),VLOOKUP($G265,'KO Calc'!$H271:$AW271,20,FALSE)),IF(AND($Q$1=TRUE,$S$4=TRUE),IF(OR($Q$4=TRUE,$Q$5=TRUE,$S$2=TRUE),VLOOKUP($G265,'KO Calc'!$H:$AW,10,FALSE),VLOOKUP($G265,'KO Calc'!$H271:$AW271,10,FALSE)),
IF(AND($S$3=TRUE,$S$1=TRUE,$S$4=FALSE)=TRUE,IF(OR($Q$4=TRUE,$Q$5=TRUE,$S$2=TRUE),VLOOKUP($G265,'KO Calc'!$H:$AW,35,FALSE),VLOOKUP($G265,'KO Calc'!$H271:$AW271,35,FALSE)),IF(AND($S$3=TRUE,$S$4=FALSE),IF(OR($Q$4=TRUE,$Q$5=TRUE,$S$2=TRUE),VLOOKUP($G265,'KO Calc'!$H:$AW,25,FALSE),VLOOKUP($G265,'KO Calc'!$H271:$AW271,25,FALSE)),
IF(AND($S$3=TRUE,$S$1=TRUE,$S$4=TRUE)=TRUE,IF(OR($Q$4=TRUE,$Q$5=TRUE,$S$2=TRUE),VLOOKUP($G265,'KO Calc'!$H:$AW,40,FALSE),VLOOKUP($G265,'KO Calc'!$H271:$AW271,40,FALSE)),IF(AND($S$3=TRUE,$S$4=TRUE),IF(OR($Q$4=TRUE,$Q$5=TRUE,$S$2=TRUE),VLOOKUP($G265,'KO Calc'!$H:$AW,30,FALSE),VLOOKUP($G265,'KO Calc'!$H271:$AW271,30,FALSE)))))))))))))</f>
        <v>-</v>
      </c>
      <c r="L265" s="36" t="str">
        <f>IFERROR(IF(AND($Q$1=FALSE,$S$3=FALSE),"-",VLOOKUP($E265,'Status Thresholds'!$E:$AU,41,FALSE)),"-")</f>
        <v>-</v>
      </c>
      <c r="M265" s="36" t="str">
        <f>IFERROR(IF(AND($Q$1=FALSE,$S$3=FALSE),"-",VLOOKUP($E265,'Status Thresholds'!$E:$AU,42,FALSE)),"-")</f>
        <v>-</v>
      </c>
      <c r="N265" s="36" t="str">
        <f>IFERROR(IF(AND($Q$1=FALSE,$S$3=FALSE),"-",VLOOKUP($E265,'Status Thresholds'!$E:$AU,43,FALSE)),"-")</f>
        <v>-</v>
      </c>
    </row>
    <row r="266" spans="1:14" x14ac:dyDescent="0.25">
      <c r="B266" s="64" t="str">
        <f>VLOOKUP(C266,'Status Thresholds'!B:C,2,FALSE)</f>
        <v>Deviant</v>
      </c>
      <c r="C266" s="46" t="str">
        <f>IF(ISBLANK('KO Calc'!C262)=TRUE,"",'KO Calc'!C262)</f>
        <v>Dreadqueen Rathian</v>
      </c>
      <c r="D266" s="78" t="s">
        <v>207</v>
      </c>
      <c r="E266" s="62" t="str">
        <f t="shared" si="7"/>
        <v>Dreadqueen RathianShock Trap</v>
      </c>
      <c r="F266" t="s">
        <v>13</v>
      </c>
      <c r="G266" s="36" t="str">
        <f t="shared" si="8"/>
        <v>Dreadqueen RathianCrag 3</v>
      </c>
      <c r="H266" s="36" t="str">
        <f>IF(AND($Q$1=FALSE,$S$3=FALSE),"-",IF(AND($Q$1=TRUE,$S$3=TRUE),"-",IF(AND($Q$1=FALSE,$S$3=FALSE),"-",IF(AND($Q$1=TRUE,$S$1=TRUE,$S$4=FALSE)=TRUE,IF(OR($Q$4=TRUE,$Q$5=TRUE,$S$2=TRUE),VLOOKUP($G266,'KO Calc'!$H:$AW,12,FALSE),VLOOKUP($G266,'KO Calc'!$H272:$AW272,12,FALSE)),IF(AND($Q$1=TRUE,$S$4=FALSE),IF(OR($Q$4=TRUE,$Q$5=TRUE,$S$2=TRUE),VLOOKUP($G266,'KO Calc'!$H:$AW,2,FALSE),VLOOKUP($G266,'KO Calc'!$H272:$AW272,2,FALSE)),
IF(AND($Q$1=TRUE,$S$1=TRUE,$S$4=TRUE)=TRUE,IF(OR($Q$4=TRUE,$Q$5=TRUE,$S$2=TRUE),VLOOKUP($G266,'KO Calc'!$H:$AW,17,FALSE),VLOOKUP($G266,'KO Calc'!$H272:$AW272,17,FALSE)),IF(AND($Q$1=TRUE,$S$4=TRUE),IF(OR($Q$4=TRUE,$Q$5=TRUE,$S$2=TRUE),VLOOKUP($G266,'KO Calc'!$H:$AW,7,FALSE),VLOOKUP($G266,'KO Calc'!$H272:$AW272,7,FALSE)),
IF(AND($S$3=TRUE,$S$1=TRUE,$S$4=FALSE)=TRUE,IF(OR($Q$4=TRUE,$Q$5=TRUE,$S$2=TRUE),VLOOKUP($G266,'KO Calc'!$H:$AW,32,FALSE),VLOOKUP($G266,'KO Calc'!$H272:$AW272,32,FALSE)),IF(AND($S$3=TRUE,$S$4=FALSE),IF(OR($Q$4=TRUE,$Q$5=TRUE,$S$2=TRUE),VLOOKUP($G266,'KO Calc'!$H:$AW,22,FALSE),VLOOKUP($G266,'KO Calc'!$H272:$AW272,22,FALSE)),
IF(AND($S$3=TRUE,$S$1=TRUE,$S$4=TRUE)=TRUE,IF(OR($Q$4=TRUE,$Q$5=TRUE,$S$2=TRUE),VLOOKUP($G266,'KO Calc'!$H:$AW,37,FALSE),VLOOKUP($G266,'KO Calc'!$H272:$AW272,37,FALSE)),IF(AND($S$3=TRUE,$S$4=TRUE),IF(OR($Q$4=TRUE,$Q$5=TRUE,$S$2=TRUE),VLOOKUP($G266,'KO Calc'!$H:$AW,27,FALSE),VLOOKUP($G266,'KO Calc'!$H272:$AW272,27,FALSE)))))))))))))</f>
        <v>-</v>
      </c>
      <c r="I266" s="36" t="str">
        <f>IF(AND($Q$1=FALSE,$S$3=FALSE),"-",IF(AND($Q$1=TRUE,$S$3=TRUE),"-",IF(AND($Q$1=FALSE,$S$3=FALSE),"-",IF(AND($Q$1=TRUE,$S$1=TRUE,$S$4=FALSE)=TRUE,IF(OR($Q$4=TRUE,$Q$5=TRUE,$S$2=TRUE),VLOOKUP($G266,'KO Calc'!$H:$AW,13,FALSE),VLOOKUP($G266,'KO Calc'!$H272:$AW272,13,FALSE)),IF(AND($Q$1=TRUE,$S$4=FALSE),IF(OR($Q$4=TRUE,$Q$5=TRUE,$S$2=TRUE),VLOOKUP($G266,'KO Calc'!$H:$AW,3,FALSE),VLOOKUP($G266,'KO Calc'!$H272:$AW272,3,FALSE)),
IF(AND($Q$1=TRUE,$S$1=TRUE,$S$4=TRUE)=TRUE,IF(OR($Q$4=TRUE,$Q$5=TRUE,$S$2=TRUE),VLOOKUP($G266,'KO Calc'!$H:$AW,18,FALSE),VLOOKUP($G266,'KO Calc'!$H272:$AW272,18,FALSE)),IF(AND($Q$1=TRUE,$S$4=TRUE),IF(OR($Q$4=TRUE,$Q$5=TRUE,$S$2=TRUE),VLOOKUP($G266,'KO Calc'!$H:$AW,8,FALSE),VLOOKUP($G266,'KO Calc'!$H272:$AW272,8,FALSE)),
IF(AND($S$3=TRUE,$S$1=TRUE,$S$4=FALSE)=TRUE,IF(OR($Q$4=TRUE,$Q$5=TRUE,$S$2=TRUE),VLOOKUP($G266,'KO Calc'!$H:$AW,33,FALSE),VLOOKUP($G266,'KO Calc'!$H272:$AW272,33,FALSE)),IF(AND($S$3=TRUE,$S$4=FALSE),IF(OR($Q$4=TRUE,$Q$5=TRUE,$S$2=TRUE),VLOOKUP($G266,'KO Calc'!$H:$AW,23,FALSE),VLOOKUP($G266,'KO Calc'!$H272:$AW272,23,FALSE)),
IF(AND($S$3=TRUE,$S$1=TRUE,$S$4=TRUE)=TRUE,IF(OR($Q$4=TRUE,$Q$5=TRUE,$S$2=TRUE),VLOOKUP($G266,'KO Calc'!$H:$AW,38,FALSE),VLOOKUP($G266,'KO Calc'!$H272:$AW272,38,FALSE)),IF(AND($S$3=TRUE,$S$4=TRUE),IF(OR($Q$4=TRUE,$Q$5=TRUE,$S$2=TRUE),VLOOKUP($G266,'KO Calc'!$H:$AW,28,FALSE),VLOOKUP($G266,'KO Calc'!$H272:$AW272,28,FALSE)))))))))))))</f>
        <v>-</v>
      </c>
      <c r="J266" s="36" t="str">
        <f>IF(AND($Q$1=FALSE,$S$3=FALSE),"-",IF(AND($Q$1=TRUE,$S$3=TRUE),"-",IF(AND($Q$1=FALSE,$S$3=FALSE),"-",IF(AND($Q$1=TRUE,$S$1=TRUE,$S$4=FALSE)=TRUE,IF(OR($Q$4=TRUE,$Q$5=TRUE,$S$2=TRUE),VLOOKUP($G266,'KO Calc'!$H:$AW,FALSE),VLOOKUP($G266,'KO Calc'!$H272:$AW272,14,FALSE)),IF(AND($Q$1=TRUE,$S$4=FALSE),IF(OR($Q$4=TRUE,$Q$5=TRUE,$S$2=TRUE),VLOOKUP($G266,'KO Calc'!$H:$AW,4,FALSE),VLOOKUP($G266,'KO Calc'!$H272:$AW272,4,FALSE)),
IF(AND($Q$1=TRUE,$S$1=TRUE,$S$4=TRUE)=TRUE,IF(OR($Q$4=TRUE,$Q$5=TRUE,$S$2=TRUE),VLOOKUP($G266,'KO Calc'!$H:$AW,19,FALSE),VLOOKUP($G266,'KO Calc'!$H272:$AW272,19,FALSE)),IF(AND($Q$1=TRUE,$S$4=TRUE),IF(OR($Q$4=TRUE,$Q$5=TRUE,$S$2=TRUE),VLOOKUP($G266,'KO Calc'!$H:$AW,9,FALSE),VLOOKUP($G266,'KO Calc'!$H272:$AW272,9,FALSE)),
IF(AND($S$3=TRUE,$S$1=TRUE,$S$4=FALSE)=TRUE,IF(OR($Q$4=TRUE,$Q$5=TRUE,$S$2=TRUE),VLOOKUP($G266,'KO Calc'!$H:$AW,34,FALSE),VLOOKUP($G266,'KO Calc'!$H272:$AW272,34,FALSE)),IF(AND($S$3=TRUE,$S$4=FALSE),IF(OR($Q$4=TRUE,$Q$5=TRUE,$S$2=TRUE),VLOOKUP($G266,'KO Calc'!$H:$AW,24,FALSE),VLOOKUP($G266,'KO Calc'!$H272:$AW272,24,FALSE)),
IF(AND($S$3=TRUE,$S$1=TRUE,$S$4=TRUE)=TRUE,IF(OR($Q$4=TRUE,$Q$5=TRUE,$S$2=TRUE),VLOOKUP($G266,'KO Calc'!$H:$AW,39,FALSE),VLOOKUP($G266,'KO Calc'!$H272:$AW272,39,FALSE)),IF(AND($S$3=TRUE,$S$4=TRUE),IF(OR($Q$4=TRUE,$Q$5=TRUE,$S$2=TRUE),VLOOKUP($G266,'KO Calc'!$H:$AW,29,FALSE),VLOOKUP($G266,'KO Calc'!$H272:$AW272,29,FALSE)))))))))))))</f>
        <v>-</v>
      </c>
      <c r="K266" s="36" t="str">
        <f>IF(AND($Q$1=FALSE,$S$3=FALSE),"-",IF(AND($Q$1=TRUE,$S$3=TRUE),"-",IF(AND($Q$1=FALSE,$S$3=FALSE),"-",IF(AND($Q$1=TRUE,$S$1=TRUE,$S$4=FALSE)=TRUE,IF(OR($Q$4=TRUE,$Q$5=TRUE,$S$2=TRUE),VLOOKUP($G266,'KO Calc'!$H:$AW,15,FALSE),VLOOKUP($G266,'KO Calc'!$H272:$AW272,15,FALSE)),IF(AND($Q$1=TRUE,$S$4=FALSE),IF(OR($Q$4=TRUE,$Q$5=TRUE,$S$2=TRUE),VLOOKUP($G266,'KO Calc'!$H:$AW,5,FALSE),VLOOKUP($G266,'KO Calc'!$H272:$AW272,5,FALSE)),
IF(AND($Q$1=TRUE,$S$1=TRUE,$S$4=TRUE)=TRUE,IF(OR($Q$4=TRUE,$Q$5=TRUE,$S$2=TRUE),VLOOKUP($G266,'KO Calc'!$H:$AW,20,FALSE),VLOOKUP($G266,'KO Calc'!$H272:$AW272,20,FALSE)),IF(AND($Q$1=TRUE,$S$4=TRUE),IF(OR($Q$4=TRUE,$Q$5=TRUE,$S$2=TRUE),VLOOKUP($G266,'KO Calc'!$H:$AW,10,FALSE),VLOOKUP($G266,'KO Calc'!$H272:$AW272,10,FALSE)),
IF(AND($S$3=TRUE,$S$1=TRUE,$S$4=FALSE)=TRUE,IF(OR($Q$4=TRUE,$Q$5=TRUE,$S$2=TRUE),VLOOKUP($G266,'KO Calc'!$H:$AW,35,FALSE),VLOOKUP($G266,'KO Calc'!$H272:$AW272,35,FALSE)),IF(AND($S$3=TRUE,$S$4=FALSE),IF(OR($Q$4=TRUE,$Q$5=TRUE,$S$2=TRUE),VLOOKUP($G266,'KO Calc'!$H:$AW,25,FALSE),VLOOKUP($G266,'KO Calc'!$H272:$AW272,25,FALSE)),
IF(AND($S$3=TRUE,$S$1=TRUE,$S$4=TRUE)=TRUE,IF(OR($Q$4=TRUE,$Q$5=TRUE,$S$2=TRUE),VLOOKUP($G266,'KO Calc'!$H:$AW,40,FALSE),VLOOKUP($G266,'KO Calc'!$H272:$AW272,40,FALSE)),IF(AND($S$3=TRUE,$S$4=TRUE),IF(OR($Q$4=TRUE,$Q$5=TRUE,$S$2=TRUE),VLOOKUP($G266,'KO Calc'!$H:$AW,30,FALSE),VLOOKUP($G266,'KO Calc'!$H272:$AW272,30,FALSE)))))))))))))</f>
        <v>-</v>
      </c>
      <c r="L266" s="36" t="str">
        <f>IFERROR(IF(AND($Q$1=FALSE,$S$3=FALSE),"-",VLOOKUP($E266,'Status Thresholds'!$E:$AU,43,FALSE)),"-")</f>
        <v>-</v>
      </c>
      <c r="M266" s="36" t="str">
        <f>IFERROR(IF(AND($Q$1=FALSE,$S$3=FALSE),"-",VLOOKUP($E266,'Status Thresholds'!$E:$AU,41,FALSE)),"-")</f>
        <v>-</v>
      </c>
      <c r="N266" s="36" t="str">
        <f>IFERROR(IF(AND($Q$1=FALSE,$S$3=FALSE),"-",VLOOKUP($E266,'Status Thresholds'!$E:$AU,42,FALSE)),"-")</f>
        <v>-</v>
      </c>
    </row>
    <row r="267" spans="1:14" x14ac:dyDescent="0.25">
      <c r="B267" s="64" t="str">
        <f>VLOOKUP(C267,'Status Thresholds'!B:C,2,FALSE)</f>
        <v>Deviant</v>
      </c>
      <c r="C267" s="46" t="str">
        <f>IF(ISBLANK('KO Calc'!C263)=TRUE,"",'KO Calc'!C263)</f>
        <v>Dreadqueen Rathian</v>
      </c>
      <c r="D267" s="78" t="s">
        <v>213</v>
      </c>
      <c r="E267" s="62" t="str">
        <f t="shared" si="7"/>
        <v>Dreadqueen RathianPitfall Trap</v>
      </c>
      <c r="F267" t="s">
        <v>12</v>
      </c>
      <c r="G267" s="36" t="str">
        <f t="shared" si="8"/>
        <v>Dreadqueen RathianCrag 2</v>
      </c>
      <c r="H267" s="36" t="str">
        <f>IF(AND($Q$1=FALSE,$S$3=FALSE),"-",IF(AND($Q$1=TRUE,$S$3=TRUE),"-",IF(AND($Q$1=FALSE,$S$3=FALSE),"-",IF(AND($Q$1=TRUE,$S$1=TRUE,$S$4=FALSE)=TRUE,IF(OR($Q$4=TRUE,$Q$5=TRUE,$S$2=TRUE),VLOOKUP($G267,'KO Calc'!$H:$AW,12,FALSE),VLOOKUP($G267,'KO Calc'!$H273:$AW273,12,FALSE)),IF(AND($Q$1=TRUE,$S$4=FALSE),IF(OR($Q$4=TRUE,$Q$5=TRUE,$S$2=TRUE),VLOOKUP($G267,'KO Calc'!$H:$AW,2,FALSE),VLOOKUP($G267,'KO Calc'!$H273:$AW273,2,FALSE)),
IF(AND($Q$1=TRUE,$S$1=TRUE,$S$4=TRUE)=TRUE,IF(OR($Q$4=TRUE,$Q$5=TRUE,$S$2=TRUE),VLOOKUP($G267,'KO Calc'!$H:$AW,17,FALSE),VLOOKUP($G267,'KO Calc'!$H273:$AW273,17,FALSE)),IF(AND($Q$1=TRUE,$S$4=TRUE),IF(OR($Q$4=TRUE,$Q$5=TRUE,$S$2=TRUE),VLOOKUP($G267,'KO Calc'!$H:$AW,7,FALSE),VLOOKUP($G267,'KO Calc'!$H273:$AW273,7,FALSE)),
IF(AND($S$3=TRUE,$S$1=TRUE,$S$4=FALSE)=TRUE,IF(OR($Q$4=TRUE,$Q$5=TRUE,$S$2=TRUE),VLOOKUP($G267,'KO Calc'!$H:$AW,32,FALSE),VLOOKUP($G267,'KO Calc'!$H273:$AW273,32,FALSE)),IF(AND($S$3=TRUE,$S$4=FALSE),IF(OR($Q$4=TRUE,$Q$5=TRUE,$S$2=TRUE),VLOOKUP($G267,'KO Calc'!$H:$AW,22,FALSE),VLOOKUP($G267,'KO Calc'!$H273:$AW273,22,FALSE)),
IF(AND($S$3=TRUE,$S$1=TRUE,$S$4=TRUE)=TRUE,IF(OR($Q$4=TRUE,$Q$5=TRUE,$S$2=TRUE),VLOOKUP($G267,'KO Calc'!$H:$AW,37,FALSE),VLOOKUP($G267,'KO Calc'!$H273:$AW273,37,FALSE)),IF(AND($S$3=TRUE,$S$4=TRUE),IF(OR($Q$4=TRUE,$Q$5=TRUE,$S$2=TRUE),VLOOKUP($G267,'KO Calc'!$H:$AW,27,FALSE),VLOOKUP($G267,'KO Calc'!$H273:$AW273,27,FALSE)))))))))))))</f>
        <v>-</v>
      </c>
      <c r="I267" s="36" t="str">
        <f>IF(AND($Q$1=FALSE,$S$3=FALSE),"-",IF(AND($Q$1=TRUE,$S$3=TRUE),"-",IF(AND($Q$1=FALSE,$S$3=FALSE),"-",IF(AND($Q$1=TRUE,$S$1=TRUE,$S$4=FALSE)=TRUE,IF(OR($Q$4=TRUE,$Q$5=TRUE,$S$2=TRUE),VLOOKUP($G267,'KO Calc'!$H:$AW,13,FALSE),VLOOKUP($G267,'KO Calc'!$H273:$AW273,13,FALSE)),IF(AND($Q$1=TRUE,$S$4=FALSE),IF(OR($Q$4=TRUE,$Q$5=TRUE,$S$2=TRUE),VLOOKUP($G267,'KO Calc'!$H:$AW,3,FALSE),VLOOKUP($G267,'KO Calc'!$H273:$AW273,3,FALSE)),
IF(AND($Q$1=TRUE,$S$1=TRUE,$S$4=TRUE)=TRUE,IF(OR($Q$4=TRUE,$Q$5=TRUE,$S$2=TRUE),VLOOKUP($G267,'KO Calc'!$H:$AW,18,FALSE),VLOOKUP($G267,'KO Calc'!$H273:$AW273,18,FALSE)),IF(AND($Q$1=TRUE,$S$4=TRUE),IF(OR($Q$4=TRUE,$Q$5=TRUE,$S$2=TRUE),VLOOKUP($G267,'KO Calc'!$H:$AW,8,FALSE),VLOOKUP($G267,'KO Calc'!$H273:$AW273,8,FALSE)),
IF(AND($S$3=TRUE,$S$1=TRUE,$S$4=FALSE)=TRUE,IF(OR($Q$4=TRUE,$Q$5=TRUE,$S$2=TRUE),VLOOKUP($G267,'KO Calc'!$H:$AW,33,FALSE),VLOOKUP($G267,'KO Calc'!$H273:$AW273,33,FALSE)),IF(AND($S$3=TRUE,$S$4=FALSE),IF(OR($Q$4=TRUE,$Q$5=TRUE,$S$2=TRUE),VLOOKUP($G267,'KO Calc'!$H:$AW,23,FALSE),VLOOKUP($G267,'KO Calc'!$H273:$AW273,23,FALSE)),
IF(AND($S$3=TRUE,$S$1=TRUE,$S$4=TRUE)=TRUE,IF(OR($Q$4=TRUE,$Q$5=TRUE,$S$2=TRUE),VLOOKUP($G267,'KO Calc'!$H:$AW,38,FALSE),VLOOKUP($G267,'KO Calc'!$H273:$AW273,38,FALSE)),IF(AND($S$3=TRUE,$S$4=TRUE),IF(OR($Q$4=TRUE,$Q$5=TRUE,$S$2=TRUE),VLOOKUP($G267,'KO Calc'!$H:$AW,28,FALSE),VLOOKUP($G267,'KO Calc'!$H273:$AW273,28,FALSE)))))))))))))</f>
        <v>-</v>
      </c>
      <c r="J267" s="36" t="str">
        <f>IF(AND($Q$1=FALSE,$S$3=FALSE),"-",IF(AND($Q$1=TRUE,$S$3=TRUE),"-",IF(AND($Q$1=FALSE,$S$3=FALSE),"-",IF(AND($Q$1=TRUE,$S$1=TRUE,$S$4=FALSE)=TRUE,IF(OR($Q$4=TRUE,$Q$5=TRUE,$S$2=TRUE),VLOOKUP($G267,'KO Calc'!$H:$AW,FALSE),VLOOKUP($G267,'KO Calc'!$H273:$AW273,14,FALSE)),IF(AND($Q$1=TRUE,$S$4=FALSE),IF(OR($Q$4=TRUE,$Q$5=TRUE,$S$2=TRUE),VLOOKUP($G267,'KO Calc'!$H:$AW,4,FALSE),VLOOKUP($G267,'KO Calc'!$H273:$AW273,4,FALSE)),
IF(AND($Q$1=TRUE,$S$1=TRUE,$S$4=TRUE)=TRUE,IF(OR($Q$4=TRUE,$Q$5=TRUE,$S$2=TRUE),VLOOKUP($G267,'KO Calc'!$H:$AW,19,FALSE),VLOOKUP($G267,'KO Calc'!$H273:$AW273,19,FALSE)),IF(AND($Q$1=TRUE,$S$4=TRUE),IF(OR($Q$4=TRUE,$Q$5=TRUE,$S$2=TRUE),VLOOKUP($G267,'KO Calc'!$H:$AW,9,FALSE),VLOOKUP($G267,'KO Calc'!$H273:$AW273,9,FALSE)),
IF(AND($S$3=TRUE,$S$1=TRUE,$S$4=FALSE)=TRUE,IF(OR($Q$4=TRUE,$Q$5=TRUE,$S$2=TRUE),VLOOKUP($G267,'KO Calc'!$H:$AW,34,FALSE),VLOOKUP($G267,'KO Calc'!$H273:$AW273,34,FALSE)),IF(AND($S$3=TRUE,$S$4=FALSE),IF(OR($Q$4=TRUE,$Q$5=TRUE,$S$2=TRUE),VLOOKUP($G267,'KO Calc'!$H:$AW,24,FALSE),VLOOKUP($G267,'KO Calc'!$H273:$AW273,24,FALSE)),
IF(AND($S$3=TRUE,$S$1=TRUE,$S$4=TRUE)=TRUE,IF(OR($Q$4=TRUE,$Q$5=TRUE,$S$2=TRUE),VLOOKUP($G267,'KO Calc'!$H:$AW,39,FALSE),VLOOKUP($G267,'KO Calc'!$H273:$AW273,39,FALSE)),IF(AND($S$3=TRUE,$S$4=TRUE),IF(OR($Q$4=TRUE,$Q$5=TRUE,$S$2=TRUE),VLOOKUP($G267,'KO Calc'!$H:$AW,29,FALSE),VLOOKUP($G267,'KO Calc'!$H273:$AW273,29,FALSE)))))))))))))</f>
        <v>-</v>
      </c>
      <c r="K267" s="36" t="str">
        <f>IF(AND($Q$1=FALSE,$S$3=FALSE),"-",IF(AND($Q$1=TRUE,$S$3=TRUE),"-",IF(AND($Q$1=FALSE,$S$3=FALSE),"-",IF(AND($Q$1=TRUE,$S$1=TRUE,$S$4=FALSE)=TRUE,IF(OR($Q$4=TRUE,$Q$5=TRUE,$S$2=TRUE),VLOOKUP($G267,'KO Calc'!$H:$AW,15,FALSE),VLOOKUP($G267,'KO Calc'!$H273:$AW273,15,FALSE)),IF(AND($Q$1=TRUE,$S$4=FALSE),IF(OR($Q$4=TRUE,$Q$5=TRUE,$S$2=TRUE),VLOOKUP($G267,'KO Calc'!$H:$AW,5,FALSE),VLOOKUP($G267,'KO Calc'!$H273:$AW273,5,FALSE)),
IF(AND($Q$1=TRUE,$S$1=TRUE,$S$4=TRUE)=TRUE,IF(OR($Q$4=TRUE,$Q$5=TRUE,$S$2=TRUE),VLOOKUP($G267,'KO Calc'!$H:$AW,20,FALSE),VLOOKUP($G267,'KO Calc'!$H273:$AW273,20,FALSE)),IF(AND($Q$1=TRUE,$S$4=TRUE),IF(OR($Q$4=TRUE,$Q$5=TRUE,$S$2=TRUE),VLOOKUP($G267,'KO Calc'!$H:$AW,10,FALSE),VLOOKUP($G267,'KO Calc'!$H273:$AW273,10,FALSE)),
IF(AND($S$3=TRUE,$S$1=TRUE,$S$4=FALSE)=TRUE,IF(OR($Q$4=TRUE,$Q$5=TRUE,$S$2=TRUE),VLOOKUP($G267,'KO Calc'!$H:$AW,35,FALSE),VLOOKUP($G267,'KO Calc'!$H273:$AW273,35,FALSE)),IF(AND($S$3=TRUE,$S$4=FALSE),IF(OR($Q$4=TRUE,$Q$5=TRUE,$S$2=TRUE),VLOOKUP($G267,'KO Calc'!$H:$AW,25,FALSE),VLOOKUP($G267,'KO Calc'!$H273:$AW273,25,FALSE)),
IF(AND($S$3=TRUE,$S$1=TRUE,$S$4=TRUE)=TRUE,IF(OR($Q$4=TRUE,$Q$5=TRUE,$S$2=TRUE),VLOOKUP($G267,'KO Calc'!$H:$AW,40,FALSE),VLOOKUP($G267,'KO Calc'!$H273:$AW273,40,FALSE)),IF(AND($S$3=TRUE,$S$4=TRUE),IF(OR($Q$4=TRUE,$Q$5=TRUE,$S$2=TRUE),VLOOKUP($G267,'KO Calc'!$H:$AW,30,FALSE),VLOOKUP($G267,'KO Calc'!$H273:$AW273,30,FALSE)))))))))))))</f>
        <v>-</v>
      </c>
      <c r="L267" s="36" t="str">
        <f>IFERROR(IF(AND($Q$1=FALSE,$S$3=FALSE),"-",VLOOKUP($E267,'Status Thresholds'!$E:$AU,43,FALSE)),"-")</f>
        <v>-</v>
      </c>
      <c r="M267" s="36" t="str">
        <f>IFERROR(IF(AND($Q$1=FALSE,$S$3=FALSE),"-",VLOOKUP($E267,'Status Thresholds'!$E:$AU,41,FALSE)),"-")</f>
        <v>-</v>
      </c>
      <c r="N267" s="36" t="str">
        <f>IFERROR(IF(AND($Q$1=FALSE,$S$3=FALSE),"-",VLOOKUP($E267,'Status Thresholds'!$E:$AU,42,FALSE)),"-")</f>
        <v>-</v>
      </c>
    </row>
    <row r="268" spans="1:14" x14ac:dyDescent="0.25">
      <c r="B268" s="64" t="str">
        <f>VLOOKUP(C268,'Status Thresholds'!B:C,2,FALSE)</f>
        <v>Deviant</v>
      </c>
      <c r="C268" s="46" t="str">
        <f>IF(ISBLANK('KO Calc'!C264)=TRUE,"",'KO Calc'!C264)</f>
        <v>Dreadqueen Rathian</v>
      </c>
      <c r="D268" s="78"/>
      <c r="E268" s="62" t="str">
        <f t="shared" si="7"/>
        <v>Dreadqueen Rathian</v>
      </c>
      <c r="F268" t="s">
        <v>11</v>
      </c>
      <c r="G268" s="36" t="str">
        <f t="shared" si="8"/>
        <v>Dreadqueen RathianCrag 1</v>
      </c>
      <c r="H268" s="36" t="str">
        <f>IF(AND($Q$1=FALSE,$S$3=FALSE),"-",IF(AND($Q$1=TRUE,$S$3=TRUE),"-",IF(AND($Q$1=FALSE,$S$3=FALSE),"-",IF(AND($Q$1=TRUE,$S$1=TRUE,$S$4=FALSE)=TRUE,IF(OR($Q$4=TRUE,$Q$5=TRUE,$S$2=TRUE),VLOOKUP($G268,'KO Calc'!$H:$AW,12,FALSE),VLOOKUP($G268,'KO Calc'!$H274:$AW274,12,FALSE)),IF(AND($Q$1=TRUE,$S$4=FALSE),IF(OR($Q$4=TRUE,$Q$5=TRUE,$S$2=TRUE),VLOOKUP($G268,'KO Calc'!$H:$AW,2,FALSE),VLOOKUP($G268,'KO Calc'!$H274:$AW274,2,FALSE)),
IF(AND($Q$1=TRUE,$S$1=TRUE,$S$4=TRUE)=TRUE,IF(OR($Q$4=TRUE,$Q$5=TRUE,$S$2=TRUE),VLOOKUP($G268,'KO Calc'!$H:$AW,17,FALSE),VLOOKUP($G268,'KO Calc'!$H274:$AW274,17,FALSE)),IF(AND($Q$1=TRUE,$S$4=TRUE),IF(OR($Q$4=TRUE,$Q$5=TRUE,$S$2=TRUE),VLOOKUP($G268,'KO Calc'!$H:$AW,7,FALSE),VLOOKUP($G268,'KO Calc'!$H274:$AW274,7,FALSE)),
IF(AND($S$3=TRUE,$S$1=TRUE,$S$4=FALSE)=TRUE,IF(OR($Q$4=TRUE,$Q$5=TRUE,$S$2=TRUE),VLOOKUP($G268,'KO Calc'!$H:$AW,32,FALSE),VLOOKUP($G268,'KO Calc'!$H274:$AW274,32,FALSE)),IF(AND($S$3=TRUE,$S$4=FALSE),IF(OR($Q$4=TRUE,$Q$5=TRUE,$S$2=TRUE),VLOOKUP($G268,'KO Calc'!$H:$AW,22,FALSE),VLOOKUP($G268,'KO Calc'!$H274:$AW274,22,FALSE)),
IF(AND($S$3=TRUE,$S$1=TRUE,$S$4=TRUE)=TRUE,IF(OR($Q$4=TRUE,$Q$5=TRUE,$S$2=TRUE),VLOOKUP($G268,'KO Calc'!$H:$AW,37,FALSE),VLOOKUP($G268,'KO Calc'!$H274:$AW274,37,FALSE)),IF(AND($S$3=TRUE,$S$4=TRUE),IF(OR($Q$4=TRUE,$Q$5=TRUE,$S$2=TRUE),VLOOKUP($G268,'KO Calc'!$H:$AW,27,FALSE),VLOOKUP($G268,'KO Calc'!$H274:$AW274,27,FALSE)))))))))))))</f>
        <v>-</v>
      </c>
      <c r="I268" s="36" t="str">
        <f>IF(AND($Q$1=FALSE,$S$3=FALSE),"-",IF(AND($Q$1=TRUE,$S$3=TRUE),"-",IF(AND($Q$1=FALSE,$S$3=FALSE),"-",IF(AND($Q$1=TRUE,$S$1=TRUE,$S$4=FALSE)=TRUE,IF(OR($Q$4=TRUE,$Q$5=TRUE,$S$2=TRUE),VLOOKUP($G268,'KO Calc'!$H:$AW,13,FALSE),VLOOKUP($G268,'KO Calc'!$H274:$AW274,13,FALSE)),IF(AND($Q$1=TRUE,$S$4=FALSE),IF(OR($Q$4=TRUE,$Q$5=TRUE,$S$2=TRUE),VLOOKUP($G268,'KO Calc'!$H:$AW,3,FALSE),VLOOKUP($G268,'KO Calc'!$H274:$AW274,3,FALSE)),
IF(AND($Q$1=TRUE,$S$1=TRUE,$S$4=TRUE)=TRUE,IF(OR($Q$4=TRUE,$Q$5=TRUE,$S$2=TRUE),VLOOKUP($G268,'KO Calc'!$H:$AW,18,FALSE),VLOOKUP($G268,'KO Calc'!$H274:$AW274,18,FALSE)),IF(AND($Q$1=TRUE,$S$4=TRUE),IF(OR($Q$4=TRUE,$Q$5=TRUE,$S$2=TRUE),VLOOKUP($G268,'KO Calc'!$H:$AW,8,FALSE),VLOOKUP($G268,'KO Calc'!$H274:$AW274,8,FALSE)),
IF(AND($S$3=TRUE,$S$1=TRUE,$S$4=FALSE)=TRUE,IF(OR($Q$4=TRUE,$Q$5=TRUE,$S$2=TRUE),VLOOKUP($G268,'KO Calc'!$H:$AW,33,FALSE),VLOOKUP($G268,'KO Calc'!$H274:$AW274,33,FALSE)),IF(AND($S$3=TRUE,$S$4=FALSE),IF(OR($Q$4=TRUE,$Q$5=TRUE,$S$2=TRUE),VLOOKUP($G268,'KO Calc'!$H:$AW,23,FALSE),VLOOKUP($G268,'KO Calc'!$H274:$AW274,23,FALSE)),
IF(AND($S$3=TRUE,$S$1=TRUE,$S$4=TRUE)=TRUE,IF(OR($Q$4=TRUE,$Q$5=TRUE,$S$2=TRUE),VLOOKUP($G268,'KO Calc'!$H:$AW,38,FALSE),VLOOKUP($G268,'KO Calc'!$H274:$AW274,38,FALSE)),IF(AND($S$3=TRUE,$S$4=TRUE),IF(OR($Q$4=TRUE,$Q$5=TRUE,$S$2=TRUE),VLOOKUP($G268,'KO Calc'!$H:$AW,28,FALSE),VLOOKUP($G268,'KO Calc'!$H274:$AW274,28,FALSE)))))))))))))</f>
        <v>-</v>
      </c>
      <c r="J268" s="36" t="str">
        <f>IF(AND($Q$1=FALSE,$S$3=FALSE),"-",IF(AND($Q$1=TRUE,$S$3=TRUE),"-",IF(AND($Q$1=FALSE,$S$3=FALSE),"-",IF(AND($Q$1=TRUE,$S$1=TRUE,$S$4=FALSE)=TRUE,IF(OR($Q$4=TRUE,$Q$5=TRUE,$S$2=TRUE),VLOOKUP($G268,'KO Calc'!$H:$AW,FALSE),VLOOKUP($G268,'KO Calc'!$H274:$AW274,14,FALSE)),IF(AND($Q$1=TRUE,$S$4=FALSE),IF(OR($Q$4=TRUE,$Q$5=TRUE,$S$2=TRUE),VLOOKUP($G268,'KO Calc'!$H:$AW,4,FALSE),VLOOKUP($G268,'KO Calc'!$H274:$AW274,4,FALSE)),
IF(AND($Q$1=TRUE,$S$1=TRUE,$S$4=TRUE)=TRUE,IF(OR($Q$4=TRUE,$Q$5=TRUE,$S$2=TRUE),VLOOKUP($G268,'KO Calc'!$H:$AW,19,FALSE),VLOOKUP($G268,'KO Calc'!$H274:$AW274,19,FALSE)),IF(AND($Q$1=TRUE,$S$4=TRUE),IF(OR($Q$4=TRUE,$Q$5=TRUE,$S$2=TRUE),VLOOKUP($G268,'KO Calc'!$H:$AW,9,FALSE),VLOOKUP($G268,'KO Calc'!$H274:$AW274,9,FALSE)),
IF(AND($S$3=TRUE,$S$1=TRUE,$S$4=FALSE)=TRUE,IF(OR($Q$4=TRUE,$Q$5=TRUE,$S$2=TRUE),VLOOKUP($G268,'KO Calc'!$H:$AW,34,FALSE),VLOOKUP($G268,'KO Calc'!$H274:$AW274,34,FALSE)),IF(AND($S$3=TRUE,$S$4=FALSE),IF(OR($Q$4=TRUE,$Q$5=TRUE,$S$2=TRUE),VLOOKUP($G268,'KO Calc'!$H:$AW,24,FALSE),VLOOKUP($G268,'KO Calc'!$H274:$AW274,24,FALSE)),
IF(AND($S$3=TRUE,$S$1=TRUE,$S$4=TRUE)=TRUE,IF(OR($Q$4=TRUE,$Q$5=TRUE,$S$2=TRUE),VLOOKUP($G268,'KO Calc'!$H:$AW,39,FALSE),VLOOKUP($G268,'KO Calc'!$H274:$AW274,39,FALSE)),IF(AND($S$3=TRUE,$S$4=TRUE),IF(OR($Q$4=TRUE,$Q$5=TRUE,$S$2=TRUE),VLOOKUP($G268,'KO Calc'!$H:$AW,29,FALSE),VLOOKUP($G268,'KO Calc'!$H274:$AW274,29,FALSE)))))))))))))</f>
        <v>-</v>
      </c>
      <c r="K268" s="36" t="str">
        <f>IF(AND($Q$1=FALSE,$S$3=FALSE),"-",IF(AND($Q$1=TRUE,$S$3=TRUE),"-",IF(AND($Q$1=FALSE,$S$3=FALSE),"-",IF(AND($Q$1=TRUE,$S$1=TRUE,$S$4=FALSE)=TRUE,IF(OR($Q$4=TRUE,$Q$5=TRUE,$S$2=TRUE),VLOOKUP($G268,'KO Calc'!$H:$AW,15,FALSE),VLOOKUP($G268,'KO Calc'!$H274:$AW274,15,FALSE)),IF(AND($Q$1=TRUE,$S$4=FALSE),IF(OR($Q$4=TRUE,$Q$5=TRUE,$S$2=TRUE),VLOOKUP($G268,'KO Calc'!$H:$AW,5,FALSE),VLOOKUP($G268,'KO Calc'!$H274:$AW274,5,FALSE)),
IF(AND($Q$1=TRUE,$S$1=TRUE,$S$4=TRUE)=TRUE,IF(OR($Q$4=TRUE,$Q$5=TRUE,$S$2=TRUE),VLOOKUP($G268,'KO Calc'!$H:$AW,20,FALSE),VLOOKUP($G268,'KO Calc'!$H274:$AW274,20,FALSE)),IF(AND($Q$1=TRUE,$S$4=TRUE),IF(OR($Q$4=TRUE,$Q$5=TRUE,$S$2=TRUE),VLOOKUP($G268,'KO Calc'!$H:$AW,10,FALSE),VLOOKUP($G268,'KO Calc'!$H274:$AW274,10,FALSE)),
IF(AND($S$3=TRUE,$S$1=TRUE,$S$4=FALSE)=TRUE,IF(OR($Q$4=TRUE,$Q$5=TRUE,$S$2=TRUE),VLOOKUP($G268,'KO Calc'!$H:$AW,35,FALSE),VLOOKUP($G268,'KO Calc'!$H274:$AW274,35,FALSE)),IF(AND($S$3=TRUE,$S$4=FALSE),IF(OR($Q$4=TRUE,$Q$5=TRUE,$S$2=TRUE),VLOOKUP($G268,'KO Calc'!$H:$AW,25,FALSE),VLOOKUP($G268,'KO Calc'!$H274:$AW274,25,FALSE)),
IF(AND($S$3=TRUE,$S$1=TRUE,$S$4=TRUE)=TRUE,IF(OR($Q$4=TRUE,$Q$5=TRUE,$S$2=TRUE),VLOOKUP($G268,'KO Calc'!$H:$AW,40,FALSE),VLOOKUP($G268,'KO Calc'!$H274:$AW274,40,FALSE)),IF(AND($S$3=TRUE,$S$4=TRUE),IF(OR($Q$4=TRUE,$Q$5=TRUE,$S$2=TRUE),VLOOKUP($G268,'KO Calc'!$H:$AW,30,FALSE),VLOOKUP($G268,'KO Calc'!$H274:$AW274,30,FALSE)))))))))))))</f>
        <v>-</v>
      </c>
      <c r="L268" s="36" t="str">
        <f>IFERROR(VLOOKUP($E268,'Status Thresholds'!$E:$AS,41,FALSE),"-")</f>
        <v>-</v>
      </c>
    </row>
    <row r="269" spans="1:14" x14ac:dyDescent="0.25">
      <c r="B269" s="64" t="str">
        <f>VLOOKUP(C269,'Status Thresholds'!B:C,2,FALSE)</f>
        <v>Deviant</v>
      </c>
      <c r="C269" s="46" t="str">
        <f>IF(ISBLANK('KO Calc'!C265)=TRUE,"",'KO Calc'!C265)</f>
        <v>Dreadqueen Rathian</v>
      </c>
      <c r="D269" s="78"/>
      <c r="E269" s="62"/>
      <c r="G269" s="36"/>
      <c r="L269" s="36" t="str">
        <f>IFERROR(VLOOKUP($E269,'Status Thresholds'!$E:$AS,41,FALSE),"-")</f>
        <v>-</v>
      </c>
    </row>
    <row r="270" spans="1:14" s="36" customFormat="1" x14ac:dyDescent="0.25">
      <c r="B270" s="64" t="str">
        <f>VLOOKUP(C270,'Status Thresholds'!B:C,2,FALSE)</f>
        <v>Deviant</v>
      </c>
      <c r="C270" s="46" t="str">
        <f>IF(ISBLANK('KO Calc'!C266)=TRUE,"",'KO Calc'!C266)</f>
        <v>Drilltusk Tetsucabra</v>
      </c>
      <c r="D270" s="65" t="s">
        <v>0</v>
      </c>
      <c r="E270" s="62" t="str">
        <f t="shared" si="7"/>
        <v>Drilltusk TetsucabraPara</v>
      </c>
      <c r="F270" s="36" t="s">
        <v>2</v>
      </c>
      <c r="G270" s="36" t="str">
        <f t="shared" si="8"/>
        <v>Drilltusk TetsucabraPara lvl 2</v>
      </c>
      <c r="H270" s="36" t="str">
        <f>IFERROR(ROUNDUP(IF(AND($Q$1=FALSE,$S$3=FALSE),"-",IF(AND($Q$1=TRUE,$S$3=TRUE),"-",IF(AND($Q$1=TRUE,$S$1=TRUE,$S$4=FALSE),VLOOKUP($E270,'Status Thresholds'!$E:$AS,12,FALSE),IF(AND($Q$1=TRUE,$S$4=FALSE),VLOOKUP($E270,'Status Thresholds'!$E:$AS,2,FALSE), IF(AND($Q$1=TRUE,$S$1=TRUE,$S$4=TRUE),VLOOKUP($E270,'Status Thresholds'!$E:$AS,17,FALSE),IF(AND($Q$1=TRUE,$S$4=TRUE),VLOOKUP($E270,'Status Thresholds'!$E:$AS,7,FALSE),IF(AND($S$3=TRUE,$S$1=TRUE,$S$4=FALSE),VLOOKUP($E270,'Status Thresholds'!$E:$AS,32,FALSE),IF(AND($S$3=TRUE,$S$4=FALSE),VLOOKUP($E270,'Status Thresholds'!$E:$AS,22,FALSE),IF(AND($S$3=TRUE,$S$1=TRUE,$S$4=TRUE),VLOOKUP($E270,'Status Thresholds'!$E:$AS,37,FALSE),IF(AND($S$3=TRUE,$S$4=TRUE),VLOOKUP($E270,'Status Thresholds'!$E:$AS,27,FALSE),""))))))))/IF(OR($Q$3=TRUE,AND($Q$2=TRUE,$Q$7=TRUE),AND($Q$3=TRUE,$Q$7=TRUE))=TRUE,'Shots and Status'!$F$5,IF((OR($Q$2,$Q$7)=TRUE),'Shots and Status'!$D$5,'Shots and Status'!$C$5)))),0),"-")</f>
        <v>-</v>
      </c>
      <c r="I270" s="36" t="str">
        <f>IFERROR(ROUNDUP(IF(AND($Q$1=FALSE,$S$3=FALSE),"-",IF(AND($Q$1=TRUE,$S$3=TRUE),"-",IF(AND($Q$1=TRUE,$S$1=TRUE,$S$4=FALSE),VLOOKUP($E270,'Status Thresholds'!$E:$AS,13,FALSE),IF(AND($Q$1=TRUE,$S$4=FALSE),VLOOKUP($E270,'Status Thresholds'!$E:$AS,3,FALSE), IF(AND($Q$1=TRUE,$S$1=TRUE,$S$4=TRUE),VLOOKUP($E270,'Status Thresholds'!$E:$AS,18,FALSE),IF(AND($Q$1=TRUE,$S$4=TRUE),VLOOKUP($E270,'Status Thresholds'!$E:$AS,8,FALSE),IF(AND($S$3=TRUE,$S$1=TRUE,$S$4=FALSE),VLOOKUP($E270,'Status Thresholds'!$E:$AS,33,FALSE),IF(AND($S$3=TRUE,$S$4=FALSE),VLOOKUP($E270,'Status Thresholds'!$E:$AS,23,FALSE),IF(AND($S$3=TRUE,$S$1=TRUE,$S$4=TRUE),VLOOKUP($E270,'Status Thresholds'!$E:$AS,38,FALSE),IF(AND($S$3=TRUE,$S$4=TRUE),VLOOKUP($E270,'Status Thresholds'!$E:$AS,28,FALSE),""))))))))/IF(OR($Q$3=TRUE,AND($Q$2=TRUE,$Q$7=TRUE),AND($Q$3=TRUE,$Q$7=TRUE))=TRUE,'Shots and Status'!$F$5,IF((OR($Q$2,$Q$7)=TRUE),'Shots and Status'!$D$5,'Shots and Status'!$C$5)))),0),"-")</f>
        <v>-</v>
      </c>
      <c r="J270" s="36" t="str">
        <f>IFERROR(ROUNDUP(IF(AND($Q$1=FALSE,$S$3=FALSE),"-",IF(AND($Q$1=TRUE,$S$3=TRUE),"-",IF(AND($Q$1=TRUE,$S$1=TRUE,$S$4=FALSE),VLOOKUP($E270,'Status Thresholds'!$E:$AS,14,FALSE),IF(AND($Q$1=TRUE,$S$4=FALSE),VLOOKUP($E270,'Status Thresholds'!$E:$AS,4,FALSE), IF(AND($Q$1=TRUE,$S$1=TRUE,$S$4=TRUE),VLOOKUP($E270,'Status Thresholds'!$E:$AS,19,FALSE),IF(AND($Q$1=TRUE,$S$4=TRUE),VLOOKUP($E270,'Status Thresholds'!$E:$AS,9,FALSE),IF(AND($S$3=TRUE,$S$1=TRUE,$S$4=FALSE),VLOOKUP($E270,'Status Thresholds'!$E:$AS,34,FALSE),IF(AND($S$3=TRUE,$S$4=FALSE),VLOOKUP($E270,'Status Thresholds'!$E:$AS,24,FALSE),IF(AND($S$3=TRUE,$S$1=TRUE,$S$4=TRUE),VLOOKUP($E270,'Status Thresholds'!$E:$AS,39,FALSE),IF(AND($S$3=TRUE,$S$4=TRUE),VLOOKUP($E270,'Status Thresholds'!$E:$AS,29,FALSE),""))))))))/IF(OR($Q$3=TRUE,AND($Q$2=TRUE,$Q$7=TRUE),AND($Q$3=TRUE,$Q$7=TRUE))=TRUE,'Shots and Status'!$F$5,IF((OR($Q$2,$Q$7)=TRUE),'Shots and Status'!$D$5,'Shots and Status'!$C$5)))),0),"-")</f>
        <v>-</v>
      </c>
      <c r="K270" s="36" t="str">
        <f>IFERROR(ROUNDUP(IF(AND($Q$1=FALSE,$S$3=FALSE),"-",IF(AND($Q$1=TRUE,$S$3=TRUE),"-",IF(AND($Q$1=TRUE,$S$1=TRUE,$S$4=FALSE),VLOOKUP($E270,'Status Thresholds'!$E:$AS,15,FALSE),IF(AND($Q$1=TRUE,$S$4=FALSE),VLOOKUP($E270,'Status Thresholds'!$E:$AS,5,FALSE), IF(AND($Q$1=TRUE,$S$1=TRUE,$S$4=TRUE),VLOOKUP($E270,'Status Thresholds'!$E:$AS,20,FALSE),IF(AND($Q$1=TRUE,$S$4=TRUE),VLOOKUP($E270,'Status Thresholds'!$E:$AS,10,FALSE),IF(AND($S$3=TRUE,$S$1=TRUE,$S$4=FALSE),VLOOKUP($E270,'Status Thresholds'!$E:$AS,35,FALSE),IF(AND($S$3=TRUE,$S$4=FALSE),VLOOKUP($E270,'Status Thresholds'!$E:$AS,25,FALSE),IF(AND($S$3=TRUE,$S$1=TRUE,$S$4=TRUE),VLOOKUP($E270,'Status Thresholds'!$E:$AS,40,FALSE),IF(AND($S$3=TRUE,$S$4=TRUE),VLOOKUP($E270,'Status Thresholds'!$E:$AS,30,FALSE),""))))))))/IF(OR($Q$3=TRUE,AND($Q$2=TRUE,$Q$7=TRUE),AND($Q$3=TRUE,$Q$7=TRUE))=TRUE,'Shots and Status'!$F$5,IF((OR($Q$2,$Q$7)=TRUE),'Shots and Status'!$D$5,'Shots and Status'!$C$5)))),0),"-")</f>
        <v>-</v>
      </c>
      <c r="L270" s="36" t="str">
        <f>IFERROR(IF(AND($Q$1=FALSE,$S$3=FALSE),"-",VLOOKUP($E270,'Status Thresholds'!$E:$AU,41,FALSE)),"-")</f>
        <v>-</v>
      </c>
      <c r="M270" s="36" t="str">
        <f>IFERROR(IF(AND($Q$1=FALSE,$S$3=FALSE),"-",VLOOKUP($E270,'Status Thresholds'!$E:$AU,42,FALSE)),"-")</f>
        <v>-</v>
      </c>
      <c r="N270" s="36" t="str">
        <f>IFERROR(IF(AND($Q$1=FALSE,$S$3=FALSE),"-",VLOOKUP($E270,'Status Thresholds'!$E:$AU,43,FALSE)),"-")</f>
        <v>-</v>
      </c>
    </row>
    <row r="271" spans="1:14" s="59" customFormat="1" x14ac:dyDescent="0.25">
      <c r="A271" s="46"/>
      <c r="B271" s="64" t="str">
        <f>VLOOKUP(C271,'Status Thresholds'!B:C,2,FALSE)</f>
        <v>Deviant</v>
      </c>
      <c r="C271" s="46" t="str">
        <f>IF(ISBLANK('KO Calc'!C267)=TRUE,"",'KO Calc'!C267)</f>
        <v>Drilltusk Tetsucabra</v>
      </c>
      <c r="D271" s="60" t="s">
        <v>32</v>
      </c>
      <c r="E271" s="62" t="str">
        <f t="shared" si="7"/>
        <v>Drilltusk TetsucabraSleep</v>
      </c>
      <c r="F271" s="59" t="s">
        <v>5</v>
      </c>
      <c r="G271" s="36" t="str">
        <f t="shared" si="8"/>
        <v>Drilltusk TetsucabraSleep lvl 2</v>
      </c>
      <c r="H271" s="36" t="str">
        <f>IFERROR(ROUNDUP(IF(AND($Q$1=FALSE,$S$3=FALSE),"-",IF(AND($Q$1=TRUE,$S$3=TRUE),"-",IF(AND($Q$1=TRUE,$S$1=TRUE,$S$4=FALSE),VLOOKUP($E271,'Status Thresholds'!$E:$AS,12,FALSE),IF(AND($Q$1=TRUE,$S$4=FALSE),VLOOKUP($E271,'Status Thresholds'!$E:$AS,2,FALSE), IF(AND($Q$1=TRUE,$S$1=TRUE,$S$4=TRUE),VLOOKUP($E271,'Status Thresholds'!$E:$AS,17,FALSE),IF(AND($Q$1=TRUE,$S$4=TRUE),VLOOKUP($E271,'Status Thresholds'!$E:$AS,7,FALSE),IF(AND($S$3=TRUE,$S$1=TRUE,$S$4=FALSE),VLOOKUP($E271,'Status Thresholds'!$E:$AS,32,FALSE),IF(AND($S$3=TRUE,$S$4=FALSE),VLOOKUP($E271,'Status Thresholds'!$E:$AS,22,FALSE),IF(AND($S$3=TRUE,$S$1=TRUE,$S$4=TRUE),VLOOKUP($E271,'Status Thresholds'!$E:$AS,37,FALSE),IF(AND($S$3=TRUE,$S$4=TRUE),VLOOKUP($E271,'Status Thresholds'!$E:$AS,27,FALSE),""))))))))/IF(OR($Q$3=TRUE,AND($Q$2=TRUE,$Q$7=TRUE),AND($Q$3=TRUE,$Q$7=TRUE))=TRUE,'Shots and Status'!$F$5,IF((OR($Q$2,$Q$7)=TRUE),'Shots and Status'!$D$5,'Shots and Status'!$C$5)))),0),"-")</f>
        <v>-</v>
      </c>
      <c r="I271" s="36" t="str">
        <f>IFERROR(ROUNDUP(IF(AND($Q$1=FALSE,$S$3=FALSE),"-",IF(AND($Q$1=TRUE,$S$3=TRUE),"-",IF(AND($Q$1=TRUE,$S$1=TRUE,$S$4=FALSE),VLOOKUP($E271,'Status Thresholds'!$E:$AS,13,FALSE),IF(AND($Q$1=TRUE,$S$4=FALSE),VLOOKUP($E271,'Status Thresholds'!$E:$AS,3,FALSE), IF(AND($Q$1=TRUE,$S$1=TRUE,$S$4=TRUE),VLOOKUP($E271,'Status Thresholds'!$E:$AS,18,FALSE),IF(AND($Q$1=TRUE,$S$4=TRUE),VLOOKUP($E271,'Status Thresholds'!$E:$AS,8,FALSE),IF(AND($S$3=TRUE,$S$1=TRUE,$S$4=FALSE),VLOOKUP($E271,'Status Thresholds'!$E:$AS,33,FALSE),IF(AND($S$3=TRUE,$S$4=FALSE),VLOOKUP($E271,'Status Thresholds'!$E:$AS,23,FALSE),IF(AND($S$3=TRUE,$S$1=TRUE,$S$4=TRUE),VLOOKUP($E271,'Status Thresholds'!$E:$AS,38,FALSE),IF(AND($S$3=TRUE,$S$4=TRUE),VLOOKUP($E271,'Status Thresholds'!$E:$AS,28,FALSE),""))))))))/IF(OR($Q$3=TRUE,AND($Q$2=TRUE,$Q$7=TRUE),AND($Q$3=TRUE,$Q$7=TRUE))=TRUE,'Shots and Status'!$F$5,IF((OR($Q$2,$Q$7)=TRUE),'Shots and Status'!$D$5,'Shots and Status'!$C$5)))),0),"-")</f>
        <v>-</v>
      </c>
      <c r="J271" s="36" t="str">
        <f>IFERROR(ROUNDUP(IF(AND($Q$1=FALSE,$S$3=FALSE),"-",IF(AND($Q$1=TRUE,$S$3=TRUE),"-",IF(AND($Q$1=TRUE,$S$1=TRUE,$S$4=FALSE),VLOOKUP($E271,'Status Thresholds'!$E:$AS,14,FALSE),IF(AND($Q$1=TRUE,$S$4=FALSE),VLOOKUP($E271,'Status Thresholds'!$E:$AS,4,FALSE), IF(AND($Q$1=TRUE,$S$1=TRUE,$S$4=TRUE),VLOOKUP($E271,'Status Thresholds'!$E:$AS,19,FALSE),IF(AND($Q$1=TRUE,$S$4=TRUE),VLOOKUP($E271,'Status Thresholds'!$E:$AS,9,FALSE),IF(AND($S$3=TRUE,$S$1=TRUE,$S$4=FALSE),VLOOKUP($E271,'Status Thresholds'!$E:$AS,34,FALSE),IF(AND($S$3=TRUE,$S$4=FALSE),VLOOKUP($E271,'Status Thresholds'!$E:$AS,24,FALSE),IF(AND($S$3=TRUE,$S$1=TRUE,$S$4=TRUE),VLOOKUP($E271,'Status Thresholds'!$E:$AS,39,FALSE),IF(AND($S$3=TRUE,$S$4=TRUE),VLOOKUP($E271,'Status Thresholds'!$E:$AS,29,FALSE),""))))))))/IF(OR($Q$3=TRUE,AND($Q$2=TRUE,$Q$7=TRUE),AND($Q$3=TRUE,$Q$7=TRUE))=TRUE,'Shots and Status'!$F$5,IF((OR($Q$2,$Q$7)=TRUE),'Shots and Status'!$D$5,'Shots and Status'!$C$5)))),0),"-")</f>
        <v>-</v>
      </c>
      <c r="K271" s="36" t="str">
        <f>IFERROR(ROUNDUP(IF(AND($Q$1=FALSE,$S$3=FALSE),"-",IF(AND($Q$1=TRUE,$S$3=TRUE),"-",IF(AND($Q$1=TRUE,$S$1=TRUE,$S$4=FALSE),VLOOKUP($E271,'Status Thresholds'!$E:$AS,15,FALSE),IF(AND($Q$1=TRUE,$S$4=FALSE),VLOOKUP($E271,'Status Thresholds'!$E:$AS,5,FALSE), IF(AND($Q$1=TRUE,$S$1=TRUE,$S$4=TRUE),VLOOKUP($E271,'Status Thresholds'!$E:$AS,20,FALSE),IF(AND($Q$1=TRUE,$S$4=TRUE),VLOOKUP($E271,'Status Thresholds'!$E:$AS,10,FALSE),IF(AND($S$3=TRUE,$S$1=TRUE,$S$4=FALSE),VLOOKUP($E271,'Status Thresholds'!$E:$AS,35,FALSE),IF(AND($S$3=TRUE,$S$4=FALSE),VLOOKUP($E271,'Status Thresholds'!$E:$AS,25,FALSE),IF(AND($S$3=TRUE,$S$1=TRUE,$S$4=TRUE),VLOOKUP($E271,'Status Thresholds'!$E:$AS,40,FALSE),IF(AND($S$3=TRUE,$S$4=TRUE),VLOOKUP($E271,'Status Thresholds'!$E:$AS,30,FALSE),""))))))))/IF(OR($Q$3=TRUE,AND($Q$2=TRUE,$Q$7=TRUE),AND($Q$3=TRUE,$Q$7=TRUE))=TRUE,'Shots and Status'!$F$5,IF((OR($Q$2,$Q$7)=TRUE),'Shots and Status'!$D$5,'Shots and Status'!$C$5)))),0),"-")</f>
        <v>-</v>
      </c>
      <c r="L271" s="36" t="str">
        <f>IFERROR(IF(AND($Q$1=FALSE,$S$3=FALSE),"-",VLOOKUP($E271,'Status Thresholds'!$E:$AU,41,FALSE)),"-")</f>
        <v>-</v>
      </c>
      <c r="M271" s="36" t="str">
        <f>IFERROR(IF(AND($Q$1=FALSE,$S$3=FALSE),"-",VLOOKUP($E271,'Status Thresholds'!$E:$AU,42,FALSE)),"-")</f>
        <v>-</v>
      </c>
      <c r="N271" s="36" t="str">
        <f>IFERROR(IF(AND($Q$1=FALSE,$S$3=FALSE),"-",VLOOKUP($E271,'Status Thresholds'!$E:$AU,43,FALSE)),"-")</f>
        <v>-</v>
      </c>
    </row>
    <row r="272" spans="1:14" s="59" customFormat="1" x14ac:dyDescent="0.25">
      <c r="A272" s="46"/>
      <c r="B272" s="64" t="str">
        <f>VLOOKUP(C272,'Status Thresholds'!B:C,2,FALSE)</f>
        <v>Deviant</v>
      </c>
      <c r="C272" s="46" t="str">
        <f>IF(ISBLANK('KO Calc'!C268)=TRUE,"",'KO Calc'!C268)</f>
        <v>Drilltusk Tetsucabra</v>
      </c>
      <c r="D272" s="58" t="s">
        <v>33</v>
      </c>
      <c r="E272" s="62" t="str">
        <f t="shared" si="7"/>
        <v>Drilltusk TetsucabraPoison</v>
      </c>
      <c r="F272" s="59" t="s">
        <v>6</v>
      </c>
      <c r="G272" s="36" t="str">
        <f t="shared" si="8"/>
        <v>Drilltusk TetsucabraPoison lvl 2</v>
      </c>
      <c r="H272" s="36" t="str">
        <f>IFERROR(ROUNDUP(IF(AND($Q$1=FALSE,$S$3=FALSE),"-",IF(AND($Q$1=TRUE,$S$3=TRUE),"-",IF(AND($Q$1=TRUE,$S$1=TRUE,$S$4=FALSE),VLOOKUP($E272,'Status Thresholds'!$E:$AS,12,FALSE),IF(AND($Q$1=TRUE,$S$4=FALSE),VLOOKUP($E272,'Status Thresholds'!$E:$AS,2,FALSE), IF(AND($Q$1=TRUE,$S$1=TRUE,$S$4=TRUE),VLOOKUP($E272,'Status Thresholds'!$E:$AS,17,FALSE),IF(AND($Q$1=TRUE,$S$4=TRUE),VLOOKUP($E272,'Status Thresholds'!$E:$AS,7,FALSE),IF(AND($S$3=TRUE,$S$1=TRUE,$S$4=FALSE),VLOOKUP($E272,'Status Thresholds'!$E:$AS,32,FALSE),IF(AND($S$3=TRUE,$S$4=FALSE),VLOOKUP($E272,'Status Thresholds'!$E:$AS,22,FALSE),IF(AND($S$3=TRUE,$S$1=TRUE,$S$4=TRUE),VLOOKUP($E272,'Status Thresholds'!$E:$AS,37,FALSE),IF(AND($S$3=TRUE,$S$4=TRUE),VLOOKUP($E272,'Status Thresholds'!$E:$AS,27,FALSE),""))))))))/IF(OR($Q$3=TRUE,AND($Q$2=TRUE,$Q$7=TRUE),AND($Q$3=TRUE,$Q$7=TRUE))=TRUE,'Shots and Status'!$F$5,IF((OR($Q$2,$Q$7)=TRUE),'Shots and Status'!$D$5,'Shots and Status'!$C$5)))),0),"-")</f>
        <v>-</v>
      </c>
      <c r="I272" s="36" t="str">
        <f>IFERROR(ROUNDUP(IF(AND($Q$1=FALSE,$S$3=FALSE),"-",IF(AND($Q$1=TRUE,$S$3=TRUE),"-",IF(AND($Q$1=TRUE,$S$1=TRUE,$S$4=FALSE),VLOOKUP($E272,'Status Thresholds'!$E:$AS,13,FALSE),IF(AND($Q$1=TRUE,$S$4=FALSE),VLOOKUP($E272,'Status Thresholds'!$E:$AS,3,FALSE), IF(AND($Q$1=TRUE,$S$1=TRUE,$S$4=TRUE),VLOOKUP($E272,'Status Thresholds'!$E:$AS,18,FALSE),IF(AND($Q$1=TRUE,$S$4=TRUE),VLOOKUP($E272,'Status Thresholds'!$E:$AS,8,FALSE),IF(AND($S$3=TRUE,$S$1=TRUE,$S$4=FALSE),VLOOKUP($E272,'Status Thresholds'!$E:$AS,33,FALSE),IF(AND($S$3=TRUE,$S$4=FALSE),VLOOKUP($E272,'Status Thresholds'!$E:$AS,23,FALSE),IF(AND($S$3=TRUE,$S$1=TRUE,$S$4=TRUE),VLOOKUP($E272,'Status Thresholds'!$E:$AS,38,FALSE),IF(AND($S$3=TRUE,$S$4=TRUE),VLOOKUP($E272,'Status Thresholds'!$E:$AS,28,FALSE),""))))))))/IF(OR($Q$3=TRUE,AND($Q$2=TRUE,$Q$7=TRUE),AND($Q$3=TRUE,$Q$7=TRUE))=TRUE,'Shots and Status'!$F$5,IF((OR($Q$2,$Q$7)=TRUE),'Shots and Status'!$D$5,'Shots and Status'!$C$5)))),0),"-")</f>
        <v>-</v>
      </c>
      <c r="J272" s="36" t="str">
        <f>IFERROR(ROUNDUP(IF(AND($Q$1=FALSE,$S$3=FALSE),"-",IF(AND($Q$1=TRUE,$S$3=TRUE),"-",IF(AND($Q$1=TRUE,$S$1=TRUE,$S$4=FALSE),VLOOKUP($E272,'Status Thresholds'!$E:$AS,14,FALSE),IF(AND($Q$1=TRUE,$S$4=FALSE),VLOOKUP($E272,'Status Thresholds'!$E:$AS,4,FALSE), IF(AND($Q$1=TRUE,$S$1=TRUE,$S$4=TRUE),VLOOKUP($E272,'Status Thresholds'!$E:$AS,19,FALSE),IF(AND($Q$1=TRUE,$S$4=TRUE),VLOOKUP($E272,'Status Thresholds'!$E:$AS,9,FALSE),IF(AND($S$3=TRUE,$S$1=TRUE,$S$4=FALSE),VLOOKUP($E272,'Status Thresholds'!$E:$AS,34,FALSE),IF(AND($S$3=TRUE,$S$4=FALSE),VLOOKUP($E272,'Status Thresholds'!$E:$AS,24,FALSE),IF(AND($S$3=TRUE,$S$1=TRUE,$S$4=TRUE),VLOOKUP($E272,'Status Thresholds'!$E:$AS,39,FALSE),IF(AND($S$3=TRUE,$S$4=TRUE),VLOOKUP($E272,'Status Thresholds'!$E:$AS,29,FALSE),""))))))))/IF(OR($Q$3=TRUE,AND($Q$2=TRUE,$Q$7=TRUE),AND($Q$3=TRUE,$Q$7=TRUE))=TRUE,'Shots and Status'!$F$5,IF((OR($Q$2,$Q$7)=TRUE),'Shots and Status'!$D$5,'Shots and Status'!$C$5)))),0),"-")</f>
        <v>-</v>
      </c>
      <c r="K272" s="36" t="str">
        <f>IFERROR(ROUNDUP(IF(AND($Q$1=FALSE,$S$3=FALSE),"-",IF(AND($Q$1=TRUE,$S$3=TRUE),"-",IF(AND($Q$1=TRUE,$S$1=TRUE,$S$4=FALSE),VLOOKUP($E272,'Status Thresholds'!$E:$AS,15,FALSE),IF(AND($Q$1=TRUE,$S$4=FALSE),VLOOKUP($E272,'Status Thresholds'!$E:$AS,5,FALSE), IF(AND($Q$1=TRUE,$S$1=TRUE,$S$4=TRUE),VLOOKUP($E272,'Status Thresholds'!$E:$AS,20,FALSE),IF(AND($Q$1=TRUE,$S$4=TRUE),VLOOKUP($E272,'Status Thresholds'!$E:$AS,10,FALSE),IF(AND($S$3=TRUE,$S$1=TRUE,$S$4=FALSE),VLOOKUP($E272,'Status Thresholds'!$E:$AS,35,FALSE),IF(AND($S$3=TRUE,$S$4=FALSE),VLOOKUP($E272,'Status Thresholds'!$E:$AS,25,FALSE),IF(AND($S$3=TRUE,$S$1=TRUE,$S$4=TRUE),VLOOKUP($E272,'Status Thresholds'!$E:$AS,40,FALSE),IF(AND($S$3=TRUE,$S$4=TRUE),VLOOKUP($E272,'Status Thresholds'!$E:$AS,30,FALSE),""))))))))/IF(OR($Q$3=TRUE,AND($Q$2=TRUE,$Q$7=TRUE),AND($Q$3=TRUE,$Q$7=TRUE))=TRUE,'Shots and Status'!$F$5,IF((OR($Q$2,$Q$7)=TRUE),'Shots and Status'!$D$5,'Shots and Status'!$C$5)))),0),"-")</f>
        <v>-</v>
      </c>
      <c r="L272" s="36" t="str">
        <f>IFERROR(IF(AND($Q$1=FALSE,$S$3=FALSE),"-",VLOOKUP($E272,'Status Thresholds'!$E:$AU,41,FALSE)),"-")</f>
        <v>-</v>
      </c>
      <c r="M272" s="36" t="str">
        <f>IFERROR(IF(AND($Q$1=FALSE,$S$3=FALSE),"-",VLOOKUP($E272,'Status Thresholds'!$E:$AU,42,FALSE)),"-")</f>
        <v>-</v>
      </c>
      <c r="N272" s="36" t="str">
        <f>IFERROR(IF(AND($Q$1=FALSE,$S$3=FALSE),"-",VLOOKUP($E272,'Status Thresholds'!$E:$AU,43,FALSE)),"-")</f>
        <v>-</v>
      </c>
    </row>
    <row r="273" spans="1:14" s="36" customFormat="1" x14ac:dyDescent="0.25">
      <c r="A273" s="46"/>
      <c r="B273" s="64" t="str">
        <f>VLOOKUP(C273,'Status Thresholds'!B:C,2,FALSE)</f>
        <v>Deviant</v>
      </c>
      <c r="C273" s="46" t="str">
        <f>IF(ISBLANK('KO Calc'!C269)=TRUE,"",'KO Calc'!C269)</f>
        <v>Drilltusk Tetsucabra</v>
      </c>
      <c r="D273" s="57" t="s">
        <v>22</v>
      </c>
      <c r="E273" s="62" t="str">
        <f t="shared" si="7"/>
        <v>Drilltusk TetsucabraExhaust</v>
      </c>
      <c r="F273" s="36" t="s">
        <v>8</v>
      </c>
      <c r="G273" s="36" t="str">
        <f t="shared" si="8"/>
        <v>Drilltusk TetsucabraExhaust lvl 2</v>
      </c>
      <c r="H273" s="36" t="str">
        <f>IFERROR(ROUNDUP(IF(AND($Q$1=FALSE,$S$3=FALSE),"-",IF(AND($Q$1=TRUE,$S$3=TRUE),"-",IF(AND($Q$1=TRUE,$S$1=TRUE,$S$4=FALSE),VLOOKUP($E273,'Status Thresholds'!$E:$AS,12,FALSE),IF(AND($Q$1=TRUE,$S$4=FALSE),VLOOKUP($E273,'Status Thresholds'!$E:$AS,2,FALSE), IF(AND($Q$1=TRUE,$S$1=TRUE,$S$4=TRUE),VLOOKUP($E273,'Status Thresholds'!$E:$AS,17,FALSE),IF(AND($Q$1=TRUE,$S$4=TRUE),VLOOKUP($E273,'Status Thresholds'!$E:$AS,7,FALSE),IF(AND($S$3=TRUE,$S$1=TRUE,$S$4=FALSE),VLOOKUP($E273,'Status Thresholds'!$E:$AS,32,FALSE),IF(AND($S$3=TRUE,$S$4=FALSE),VLOOKUP($E273,'Status Thresholds'!$E:$AS,22,FALSE),IF(AND($S$3=TRUE,$S$1=TRUE,$S$4=TRUE),VLOOKUP($E273,'Status Thresholds'!$E:$AS,37,FALSE),IF(AND($S$3=TRUE,$S$4=TRUE),VLOOKUP($E273,'Status Thresholds'!$E:$AS,27,FALSE),""))))))))/IF(OR($Q$3=TRUE,AND($Q$2=TRUE,$Q$7=TRUE),AND($Q$3=TRUE,$Q$7=TRUE))=TRUE,'Shots and Status'!$F$5,IF((OR($Q$2,$Q$7)=TRUE),'Shots and Status'!$D$5,'Shots and Status'!$C$5)))),0),"-")</f>
        <v>-</v>
      </c>
      <c r="I273" s="36" t="str">
        <f>IFERROR(ROUNDUP(IF(AND($Q$1=FALSE,$S$3=FALSE),"-",IF(AND($Q$1=TRUE,$S$3=TRUE),"-",IF(AND($Q$1=TRUE,$S$1=TRUE,$S$4=FALSE),VLOOKUP($E273,'Status Thresholds'!$E:$AS,13,FALSE),IF(AND($Q$1=TRUE,$S$4=FALSE),VLOOKUP($E273,'Status Thresholds'!$E:$AS,3,FALSE), IF(AND($Q$1=TRUE,$S$1=TRUE,$S$4=TRUE),VLOOKUP($E273,'Status Thresholds'!$E:$AS,18,FALSE),IF(AND($Q$1=TRUE,$S$4=TRUE),VLOOKUP($E273,'Status Thresholds'!$E:$AS,8,FALSE),IF(AND($S$3=TRUE,$S$1=TRUE,$S$4=FALSE),VLOOKUP($E273,'Status Thresholds'!$E:$AS,33,FALSE),IF(AND($S$3=TRUE,$S$4=FALSE),VLOOKUP($E273,'Status Thresholds'!$E:$AS,23,FALSE),IF(AND($S$3=TRUE,$S$1=TRUE,$S$4=TRUE),VLOOKUP($E273,'Status Thresholds'!$E:$AS,38,FALSE),IF(AND($S$3=TRUE,$S$4=TRUE),VLOOKUP($E273,'Status Thresholds'!$E:$AS,28,FALSE),""))))))))/IF(OR($Q$3=TRUE,AND($Q$2=TRUE,$Q$7=TRUE),AND($Q$3=TRUE,$Q$7=TRUE))=TRUE,'Shots and Status'!$F$5,IF((OR($Q$2,$Q$7)=TRUE),'Shots and Status'!$D$5,'Shots and Status'!$C$5)))),0),"-")</f>
        <v>-</v>
      </c>
      <c r="J273" s="36" t="str">
        <f>IFERROR(ROUNDUP(IF(AND($Q$1=FALSE,$S$3=FALSE),"-",IF(AND($Q$1=TRUE,$S$3=TRUE),"-",IF(AND($Q$1=TRUE,$S$1=TRUE,$S$4=FALSE),VLOOKUP($E273,'Status Thresholds'!$E:$AS,14,FALSE),IF(AND($Q$1=TRUE,$S$4=FALSE),VLOOKUP($E273,'Status Thresholds'!$E:$AS,4,FALSE), IF(AND($Q$1=TRUE,$S$1=TRUE,$S$4=TRUE),VLOOKUP($E273,'Status Thresholds'!$E:$AS,19,FALSE),IF(AND($Q$1=TRUE,$S$4=TRUE),VLOOKUP($E273,'Status Thresholds'!$E:$AS,9,FALSE),IF(AND($S$3=TRUE,$S$1=TRUE,$S$4=FALSE),VLOOKUP($E273,'Status Thresholds'!$E:$AS,34,FALSE),IF(AND($S$3=TRUE,$S$4=FALSE),VLOOKUP($E273,'Status Thresholds'!$E:$AS,24,FALSE),IF(AND($S$3=TRUE,$S$1=TRUE,$S$4=TRUE),VLOOKUP($E273,'Status Thresholds'!$E:$AS,39,FALSE),IF(AND($S$3=TRUE,$S$4=TRUE),VLOOKUP($E273,'Status Thresholds'!$E:$AS,29,FALSE),""))))))))/IF(OR($Q$3=TRUE,AND($Q$2=TRUE,$Q$7=TRUE),AND($Q$3=TRUE,$Q$7=TRUE))=TRUE,'Shots and Status'!$F$5,IF((OR($Q$2,$Q$7)=TRUE),'Shots and Status'!$D$5,'Shots and Status'!$C$5)))),0),"-")</f>
        <v>-</v>
      </c>
      <c r="K273" s="36" t="str">
        <f>IFERROR(ROUNDUP(IF(AND($Q$1=FALSE,$S$3=FALSE),"-",IF(AND($Q$1=TRUE,$S$3=TRUE),"-",IF(AND($Q$1=TRUE,$S$1=TRUE,$S$4=FALSE),VLOOKUP($E273,'Status Thresholds'!$E:$AS,15,FALSE),IF(AND($Q$1=TRUE,$S$4=FALSE),VLOOKUP($E273,'Status Thresholds'!$E:$AS,5,FALSE), IF(AND($Q$1=TRUE,$S$1=TRUE,$S$4=TRUE),VLOOKUP($E273,'Status Thresholds'!$E:$AS,20,FALSE),IF(AND($Q$1=TRUE,$S$4=TRUE),VLOOKUP($E273,'Status Thresholds'!$E:$AS,10,FALSE),IF(AND($S$3=TRUE,$S$1=TRUE,$S$4=FALSE),VLOOKUP($E273,'Status Thresholds'!$E:$AS,35,FALSE),IF(AND($S$3=TRUE,$S$4=FALSE),VLOOKUP($E273,'Status Thresholds'!$E:$AS,25,FALSE),IF(AND($S$3=TRUE,$S$1=TRUE,$S$4=TRUE),VLOOKUP($E273,'Status Thresholds'!$E:$AS,40,FALSE),IF(AND($S$3=TRUE,$S$4=TRUE),VLOOKUP($E273,'Status Thresholds'!$E:$AS,30,FALSE),""))))))))/IF(OR($Q$3=TRUE,AND($Q$2=TRUE,$Q$7=TRUE),AND($Q$3=TRUE,$Q$7=TRUE))=TRUE,'Shots and Status'!$F$5,IF((OR($Q$2,$Q$7)=TRUE),'Shots and Status'!$D$5,'Shots and Status'!$C$5)))),0),"-")</f>
        <v>-</v>
      </c>
      <c r="L273" s="36" t="str">
        <f>IFERROR(IF(AND($Q$1=FALSE,$S$3=FALSE),"-",VLOOKUP($E273,'Status Thresholds'!$E:$AU,41,FALSE)),"-")</f>
        <v>-</v>
      </c>
      <c r="M273" s="36" t="str">
        <f>IFERROR(IF(AND($Q$1=FALSE,$S$3=FALSE),"-",VLOOKUP($E273,'Status Thresholds'!$E:$AU,42,FALSE)),"-")</f>
        <v>-</v>
      </c>
      <c r="N273" s="36" t="str">
        <f>IFERROR(IF(AND($Q$1=FALSE,$S$3=FALSE),"-",VLOOKUP($E273,'Status Thresholds'!$E:$AU,43,FALSE)),"-")</f>
        <v>-</v>
      </c>
    </row>
    <row r="274" spans="1:14" s="36" customFormat="1" x14ac:dyDescent="0.25">
      <c r="A274" s="46"/>
      <c r="B274" s="64" t="str">
        <f>VLOOKUP(C274,'Status Thresholds'!B:C,2,FALSE)</f>
        <v>Deviant</v>
      </c>
      <c r="C274" s="46" t="str">
        <f>IF(ISBLANK('KO Calc'!C270)=TRUE,"",'KO Calc'!C270)</f>
        <v>Drilltusk Tetsucabra</v>
      </c>
      <c r="D274" s="67" t="s">
        <v>14</v>
      </c>
      <c r="E274" s="62" t="str">
        <f t="shared" si="7"/>
        <v>Drilltusk TetsucabraKO</v>
      </c>
      <c r="F274" s="36" t="s">
        <v>21</v>
      </c>
      <c r="G274" s="36" t="str">
        <f t="shared" si="8"/>
        <v>Drilltusk TetsucabraTriblast</v>
      </c>
      <c r="H274" s="36" t="str">
        <f>IF(AND($Q$1=FALSE,$S$3=FALSE),"-",IF(AND($Q$1=TRUE,$S$3=TRUE),"-",IF(AND($Q$1=FALSE,$S$3=FALSE),"-",IF(AND($Q$1=TRUE,$S$1=TRUE,$S$4=FALSE)=TRUE,IF(OR($Q$4=TRUE,$Q$5=TRUE,$S$2=TRUE),VLOOKUP($G274,'KO Calc'!$H:$AW,12,FALSE),VLOOKUP($G274,'KO Calc'!$H280:$AW280,12,FALSE)),IF(AND($Q$1=TRUE,$S$4=FALSE),IF(OR($Q$4=TRUE,$Q$5=TRUE,$S$2=TRUE),VLOOKUP($G274,'KO Calc'!$H:$AW,2,FALSE),VLOOKUP($G274,'KO Calc'!$H280:$AW280,2,FALSE)),
IF(AND($Q$1=TRUE,$S$1=TRUE,$S$4=TRUE)=TRUE,IF(OR($Q$4=TRUE,$Q$5=TRUE,$S$2=TRUE),VLOOKUP($G274,'KO Calc'!$H:$AW,17,FALSE),VLOOKUP($G274,'KO Calc'!$H280:$AW280,17,FALSE)),IF(AND($Q$1=TRUE,$S$4=TRUE),IF(OR($Q$4=TRUE,$Q$5=TRUE,$S$2=TRUE),VLOOKUP($G274,'KO Calc'!$H:$AW,7,FALSE),VLOOKUP($G274,'KO Calc'!$H280:$AW280,7,FALSE)),
IF(AND($S$3=TRUE,$S$1=TRUE,$S$4=FALSE)=TRUE,IF(OR($Q$4=TRUE,$Q$5=TRUE,$S$2=TRUE),VLOOKUP($G274,'KO Calc'!$H:$AW,32,FALSE),VLOOKUP($G274,'KO Calc'!$H280:$AW280,32,FALSE)),IF(AND($S$3=TRUE,$S$4=FALSE),IF(OR($Q$4=TRUE,$Q$5=TRUE,$S$2=TRUE),VLOOKUP($G274,'KO Calc'!$H:$AW,22,FALSE),VLOOKUP($G274,'KO Calc'!$H280:$AW280,22,FALSE)),
IF(AND($S$3=TRUE,$S$1=TRUE,$S$4=TRUE)=TRUE,IF(OR($Q$4=TRUE,$Q$5=TRUE,$S$2=TRUE),VLOOKUP($G274,'KO Calc'!$H:$AW,37,FALSE),VLOOKUP($G274,'KO Calc'!$H280:$AW280,37,FALSE)),IF(AND($S$3=TRUE,$S$4=TRUE),IF(OR($Q$4=TRUE,$Q$5=TRUE,$S$2=TRUE),VLOOKUP($G274,'KO Calc'!$H:$AW,27,FALSE),VLOOKUP($G274,'KO Calc'!$H280:$AW280,27,FALSE)))))))))))))</f>
        <v>-</v>
      </c>
      <c r="I274" s="36" t="str">
        <f>IF(AND($Q$1=FALSE,$S$3=FALSE),"-",IF(AND($Q$1=TRUE,$S$3=TRUE),"-",IF(AND($Q$1=FALSE,$S$3=FALSE),"-",IF(AND($Q$1=TRUE,$S$1=TRUE,$S$4=FALSE)=TRUE,IF(OR($Q$4=TRUE,$Q$5=TRUE,$S$2=TRUE),VLOOKUP($G274,'KO Calc'!$H:$AW,13,FALSE),VLOOKUP($G274,'KO Calc'!$H280:$AW280,13,FALSE)),IF(AND($Q$1=TRUE,$S$4=FALSE),IF(OR($Q$4=TRUE,$Q$5=TRUE,$S$2=TRUE),VLOOKUP($G274,'KO Calc'!$H:$AW,3,FALSE),VLOOKUP($G274,'KO Calc'!$H280:$AW280,3,FALSE)),
IF(AND($Q$1=TRUE,$S$1=TRUE,$S$4=TRUE)=TRUE,IF(OR($Q$4=TRUE,$Q$5=TRUE,$S$2=TRUE),VLOOKUP($G274,'KO Calc'!$H:$AW,18,FALSE),VLOOKUP($G274,'KO Calc'!$H280:$AW280,18,FALSE)),IF(AND($Q$1=TRUE,$S$4=TRUE),IF(OR($Q$4=TRUE,$Q$5=TRUE,$S$2=TRUE),VLOOKUP($G274,'KO Calc'!$H:$AW,8,FALSE),VLOOKUP($G274,'KO Calc'!$H280:$AW280,8,FALSE)),
IF(AND($S$3=TRUE,$S$1=TRUE,$S$4=FALSE)=TRUE,IF(OR($Q$4=TRUE,$Q$5=TRUE,$S$2=TRUE),VLOOKUP($G274,'KO Calc'!$H:$AW,33,FALSE),VLOOKUP($G274,'KO Calc'!$H280:$AW280,33,FALSE)),IF(AND($S$3=TRUE,$S$4=FALSE),IF(OR($Q$4=TRUE,$Q$5=TRUE,$S$2=TRUE),VLOOKUP($G274,'KO Calc'!$H:$AW,23,FALSE),VLOOKUP($G274,'KO Calc'!$H280:$AW280,23,FALSE)),
IF(AND($S$3=TRUE,$S$1=TRUE,$S$4=TRUE)=TRUE,IF(OR($Q$4=TRUE,$Q$5=TRUE,$S$2=TRUE),VLOOKUP($G274,'KO Calc'!$H:$AW,38,FALSE),VLOOKUP($G274,'KO Calc'!$H280:$AW280,38,FALSE)),IF(AND($S$3=TRUE,$S$4=TRUE),IF(OR($Q$4=TRUE,$Q$5=TRUE,$S$2=TRUE),VLOOKUP($G274,'KO Calc'!$H:$AW,28,FALSE),VLOOKUP($G274,'KO Calc'!$H280:$AW280,28,FALSE)))))))))))))</f>
        <v>-</v>
      </c>
      <c r="J274" s="36" t="str">
        <f>IF(AND($Q$1=FALSE,$S$3=FALSE),"-",IF(AND($Q$1=TRUE,$S$3=TRUE),"-",IF(AND($Q$1=FALSE,$S$3=FALSE),"-",IF(AND($Q$1=TRUE,$S$1=TRUE,$S$4=FALSE)=TRUE,IF(OR($Q$4=TRUE,$Q$5=TRUE,$S$2=TRUE),VLOOKUP($G274,'KO Calc'!$H:$AW,FALSE),VLOOKUP($G274,'KO Calc'!$H280:$AW280,14,FALSE)),IF(AND($Q$1=TRUE,$S$4=FALSE),IF(OR($Q$4=TRUE,$Q$5=TRUE,$S$2=TRUE),VLOOKUP($G274,'KO Calc'!$H:$AW,4,FALSE),VLOOKUP($G274,'KO Calc'!$H280:$AW280,4,FALSE)),
IF(AND($Q$1=TRUE,$S$1=TRUE,$S$4=TRUE)=TRUE,IF(OR($Q$4=TRUE,$Q$5=TRUE,$S$2=TRUE),VLOOKUP($G274,'KO Calc'!$H:$AW,19,FALSE),VLOOKUP($G274,'KO Calc'!$H280:$AW280,19,FALSE)),IF(AND($Q$1=TRUE,$S$4=TRUE),IF(OR($Q$4=TRUE,$Q$5=TRUE,$S$2=TRUE),VLOOKUP($G274,'KO Calc'!$H:$AW,9,FALSE),VLOOKUP($G274,'KO Calc'!$H280:$AW280,9,FALSE)),
IF(AND($S$3=TRUE,$S$1=TRUE,$S$4=FALSE)=TRUE,IF(OR($Q$4=TRUE,$Q$5=TRUE,$S$2=TRUE),VLOOKUP($G274,'KO Calc'!$H:$AW,34,FALSE),VLOOKUP($G274,'KO Calc'!$H280:$AW280,34,FALSE)),IF(AND($S$3=TRUE,$S$4=FALSE),IF(OR($Q$4=TRUE,$Q$5=TRUE,$S$2=TRUE),VLOOKUP($G274,'KO Calc'!$H:$AW,24,FALSE),VLOOKUP($G274,'KO Calc'!$H280:$AW280,24,FALSE)),
IF(AND($S$3=TRUE,$S$1=TRUE,$S$4=TRUE)=TRUE,IF(OR($Q$4=TRUE,$Q$5=TRUE,$S$2=TRUE),VLOOKUP($G274,'KO Calc'!$H:$AW,39,FALSE),VLOOKUP($G274,'KO Calc'!$H280:$AW280,39,FALSE)),IF(AND($S$3=TRUE,$S$4=TRUE),IF(OR($Q$4=TRUE,$Q$5=TRUE,$S$2=TRUE),VLOOKUP($G274,'KO Calc'!$H:$AW,29,FALSE),VLOOKUP($G274,'KO Calc'!$H280:$AW280,29,FALSE)))))))))))))</f>
        <v>-</v>
      </c>
      <c r="K274" s="36" t="str">
        <f>IF(AND($Q$1=FALSE,$S$3=FALSE),"-",IF(AND($Q$1=TRUE,$S$3=TRUE),"-",IF(AND($Q$1=FALSE,$S$3=FALSE),"-",IF(AND($Q$1=TRUE,$S$1=TRUE,$S$4=FALSE)=TRUE,IF(OR($Q$4=TRUE,$Q$5=TRUE,$S$2=TRUE),VLOOKUP($G274,'KO Calc'!$H:$AW,15,FALSE),VLOOKUP($G274,'KO Calc'!$H280:$AW280,15,FALSE)),IF(AND($Q$1=TRUE,$S$4=FALSE),IF(OR($Q$4=TRUE,$Q$5=TRUE,$S$2=TRUE),VLOOKUP($G274,'KO Calc'!$H:$AW,5,FALSE),VLOOKUP($G274,'KO Calc'!$H280:$AW280,5,FALSE)),
IF(AND($Q$1=TRUE,$S$1=TRUE,$S$4=TRUE)=TRUE,IF(OR($Q$4=TRUE,$Q$5=TRUE,$S$2=TRUE),VLOOKUP($G274,'KO Calc'!$H:$AW,20,FALSE),VLOOKUP($G274,'KO Calc'!$H280:$AW280,20,FALSE)),IF(AND($Q$1=TRUE,$S$4=TRUE),IF(OR($Q$4=TRUE,$Q$5=TRUE,$S$2=TRUE),VLOOKUP($G274,'KO Calc'!$H:$AW,10,FALSE),VLOOKUP($G274,'KO Calc'!$H280:$AW280,10,FALSE)),
IF(AND($S$3=TRUE,$S$1=TRUE,$S$4=FALSE)=TRUE,IF(OR($Q$4=TRUE,$Q$5=TRUE,$S$2=TRUE),VLOOKUP($G274,'KO Calc'!$H:$AW,35,FALSE),VLOOKUP($G274,'KO Calc'!$H280:$AW280,35,FALSE)),IF(AND($S$3=TRUE,$S$4=FALSE),IF(OR($Q$4=TRUE,$Q$5=TRUE,$S$2=TRUE),VLOOKUP($G274,'KO Calc'!$H:$AW,25,FALSE),VLOOKUP($G274,'KO Calc'!$H280:$AW280,25,FALSE)),
IF(AND($S$3=TRUE,$S$1=TRUE,$S$4=TRUE)=TRUE,IF(OR($Q$4=TRUE,$Q$5=TRUE,$S$2=TRUE),VLOOKUP($G274,'KO Calc'!$H:$AW,40,FALSE),VLOOKUP($G274,'KO Calc'!$H280:$AW280,40,FALSE)),IF(AND($S$3=TRUE,$S$4=TRUE),IF(OR($Q$4=TRUE,$Q$5=TRUE,$S$2=TRUE),VLOOKUP($G274,'KO Calc'!$H:$AW,30,FALSE),VLOOKUP($G274,'KO Calc'!$H280:$AW280,30,FALSE)))))))))))))</f>
        <v>-</v>
      </c>
      <c r="L274" s="36" t="str">
        <f>IFERROR(IF(AND($Q$1=FALSE,$S$3=FALSE),"-",VLOOKUP($E274,'Status Thresholds'!$E:$AU,41,FALSE)),"-")</f>
        <v>-</v>
      </c>
      <c r="M274" s="36" t="str">
        <f>IFERROR(IF(AND($Q$1=FALSE,$S$3=FALSE),"-",VLOOKUP($E274,'Status Thresholds'!$E:$AU,42,FALSE)),"-")</f>
        <v>-</v>
      </c>
      <c r="N274" s="36" t="str">
        <f>IFERROR(IF(AND($Q$1=FALSE,$S$3=FALSE),"-",VLOOKUP($E274,'Status Thresholds'!$E:$AU,43,FALSE)),"-")</f>
        <v>-</v>
      </c>
    </row>
    <row r="275" spans="1:14" x14ac:dyDescent="0.25">
      <c r="B275" s="64" t="str">
        <f>VLOOKUP(C275,'Status Thresholds'!B:C,2,FALSE)</f>
        <v>Deviant</v>
      </c>
      <c r="C275" s="46" t="str">
        <f>IF(ISBLANK('KO Calc'!C271)=TRUE,"",'KO Calc'!C271)</f>
        <v>Drilltusk Tetsucabra</v>
      </c>
      <c r="D275" s="78" t="s">
        <v>207</v>
      </c>
      <c r="E275" s="62" t="str">
        <f t="shared" si="7"/>
        <v>Drilltusk TetsucabraShock Trap</v>
      </c>
      <c r="F275" t="s">
        <v>13</v>
      </c>
      <c r="G275" s="36" t="str">
        <f t="shared" si="8"/>
        <v>Drilltusk TetsucabraCrag 3</v>
      </c>
      <c r="H275" s="36" t="str">
        <f>IF(AND($Q$1=FALSE,$S$3=FALSE),"-",IF(AND($Q$1=TRUE,$S$3=TRUE),"-",IF(AND($Q$1=FALSE,$S$3=FALSE),"-",IF(AND($Q$1=TRUE,$S$1=TRUE,$S$4=FALSE)=TRUE,IF(OR($Q$4=TRUE,$Q$5=TRUE,$S$2=TRUE),VLOOKUP($G275,'KO Calc'!$H:$AW,12,FALSE),VLOOKUP($G275,'KO Calc'!$H281:$AW281,12,FALSE)),IF(AND($Q$1=TRUE,$S$4=FALSE),IF(OR($Q$4=TRUE,$Q$5=TRUE,$S$2=TRUE),VLOOKUP($G275,'KO Calc'!$H:$AW,2,FALSE),VLOOKUP($G275,'KO Calc'!$H281:$AW281,2,FALSE)),
IF(AND($Q$1=TRUE,$S$1=TRUE,$S$4=TRUE)=TRUE,IF(OR($Q$4=TRUE,$Q$5=TRUE,$S$2=TRUE),VLOOKUP($G275,'KO Calc'!$H:$AW,17,FALSE),VLOOKUP($G275,'KO Calc'!$H281:$AW281,17,FALSE)),IF(AND($Q$1=TRUE,$S$4=TRUE),IF(OR($Q$4=TRUE,$Q$5=TRUE,$S$2=TRUE),VLOOKUP($G275,'KO Calc'!$H:$AW,7,FALSE),VLOOKUP($G275,'KO Calc'!$H281:$AW281,7,FALSE)),
IF(AND($S$3=TRUE,$S$1=TRUE,$S$4=FALSE)=TRUE,IF(OR($Q$4=TRUE,$Q$5=TRUE,$S$2=TRUE),VLOOKUP($G275,'KO Calc'!$H:$AW,32,FALSE),VLOOKUP($G275,'KO Calc'!$H281:$AW281,32,FALSE)),IF(AND($S$3=TRUE,$S$4=FALSE),IF(OR($Q$4=TRUE,$Q$5=TRUE,$S$2=TRUE),VLOOKUP($G275,'KO Calc'!$H:$AW,22,FALSE),VLOOKUP($G275,'KO Calc'!$H281:$AW281,22,FALSE)),
IF(AND($S$3=TRUE,$S$1=TRUE,$S$4=TRUE)=TRUE,IF(OR($Q$4=TRUE,$Q$5=TRUE,$S$2=TRUE),VLOOKUP($G275,'KO Calc'!$H:$AW,37,FALSE),VLOOKUP($G275,'KO Calc'!$H281:$AW281,37,FALSE)),IF(AND($S$3=TRUE,$S$4=TRUE),IF(OR($Q$4=TRUE,$Q$5=TRUE,$S$2=TRUE),VLOOKUP($G275,'KO Calc'!$H:$AW,27,FALSE),VLOOKUP($G275,'KO Calc'!$H281:$AW281,27,FALSE)))))))))))))</f>
        <v>-</v>
      </c>
      <c r="I275" s="36" t="str">
        <f>IF(AND($Q$1=FALSE,$S$3=FALSE),"-",IF(AND($Q$1=TRUE,$S$3=TRUE),"-",IF(AND($Q$1=FALSE,$S$3=FALSE),"-",IF(AND($Q$1=TRUE,$S$1=TRUE,$S$4=FALSE)=TRUE,IF(OR($Q$4=TRUE,$Q$5=TRUE,$S$2=TRUE),VLOOKUP($G275,'KO Calc'!$H:$AW,13,FALSE),VLOOKUP($G275,'KO Calc'!$H281:$AW281,13,FALSE)),IF(AND($Q$1=TRUE,$S$4=FALSE),IF(OR($Q$4=TRUE,$Q$5=TRUE,$S$2=TRUE),VLOOKUP($G275,'KO Calc'!$H:$AW,3,FALSE),VLOOKUP($G275,'KO Calc'!$H281:$AW281,3,FALSE)),
IF(AND($Q$1=TRUE,$S$1=TRUE,$S$4=TRUE)=TRUE,IF(OR($Q$4=TRUE,$Q$5=TRUE,$S$2=TRUE),VLOOKUP($G275,'KO Calc'!$H:$AW,18,FALSE),VLOOKUP($G275,'KO Calc'!$H281:$AW281,18,FALSE)),IF(AND($Q$1=TRUE,$S$4=TRUE),IF(OR($Q$4=TRUE,$Q$5=TRUE,$S$2=TRUE),VLOOKUP($G275,'KO Calc'!$H:$AW,8,FALSE),VLOOKUP($G275,'KO Calc'!$H281:$AW281,8,FALSE)),
IF(AND($S$3=TRUE,$S$1=TRUE,$S$4=FALSE)=TRUE,IF(OR($Q$4=TRUE,$Q$5=TRUE,$S$2=TRUE),VLOOKUP($G275,'KO Calc'!$H:$AW,33,FALSE),VLOOKUP($G275,'KO Calc'!$H281:$AW281,33,FALSE)),IF(AND($S$3=TRUE,$S$4=FALSE),IF(OR($Q$4=TRUE,$Q$5=TRUE,$S$2=TRUE),VLOOKUP($G275,'KO Calc'!$H:$AW,23,FALSE),VLOOKUP($G275,'KO Calc'!$H281:$AW281,23,FALSE)),
IF(AND($S$3=TRUE,$S$1=TRUE,$S$4=TRUE)=TRUE,IF(OR($Q$4=TRUE,$Q$5=TRUE,$S$2=TRUE),VLOOKUP($G275,'KO Calc'!$H:$AW,38,FALSE),VLOOKUP($G275,'KO Calc'!$H281:$AW281,38,FALSE)),IF(AND($S$3=TRUE,$S$4=TRUE),IF(OR($Q$4=TRUE,$Q$5=TRUE,$S$2=TRUE),VLOOKUP($G275,'KO Calc'!$H:$AW,28,FALSE),VLOOKUP($G275,'KO Calc'!$H281:$AW281,28,FALSE)))))))))))))</f>
        <v>-</v>
      </c>
      <c r="J275" s="36" t="str">
        <f>IF(AND($Q$1=FALSE,$S$3=FALSE),"-",IF(AND($Q$1=TRUE,$S$3=TRUE),"-",IF(AND($Q$1=FALSE,$S$3=FALSE),"-",IF(AND($Q$1=TRUE,$S$1=TRUE,$S$4=FALSE)=TRUE,IF(OR($Q$4=TRUE,$Q$5=TRUE,$S$2=TRUE),VLOOKUP($G275,'KO Calc'!$H:$AW,FALSE),VLOOKUP($G275,'KO Calc'!$H281:$AW281,14,FALSE)),IF(AND($Q$1=TRUE,$S$4=FALSE),IF(OR($Q$4=TRUE,$Q$5=TRUE,$S$2=TRUE),VLOOKUP($G275,'KO Calc'!$H:$AW,4,FALSE),VLOOKUP($G275,'KO Calc'!$H281:$AW281,4,FALSE)),
IF(AND($Q$1=TRUE,$S$1=TRUE,$S$4=TRUE)=TRUE,IF(OR($Q$4=TRUE,$Q$5=TRUE,$S$2=TRUE),VLOOKUP($G275,'KO Calc'!$H:$AW,19,FALSE),VLOOKUP($G275,'KO Calc'!$H281:$AW281,19,FALSE)),IF(AND($Q$1=TRUE,$S$4=TRUE),IF(OR($Q$4=TRUE,$Q$5=TRUE,$S$2=TRUE),VLOOKUP($G275,'KO Calc'!$H:$AW,9,FALSE),VLOOKUP($G275,'KO Calc'!$H281:$AW281,9,FALSE)),
IF(AND($S$3=TRUE,$S$1=TRUE,$S$4=FALSE)=TRUE,IF(OR($Q$4=TRUE,$Q$5=TRUE,$S$2=TRUE),VLOOKUP($G275,'KO Calc'!$H:$AW,34,FALSE),VLOOKUP($G275,'KO Calc'!$H281:$AW281,34,FALSE)),IF(AND($S$3=TRUE,$S$4=FALSE),IF(OR($Q$4=TRUE,$Q$5=TRUE,$S$2=TRUE),VLOOKUP($G275,'KO Calc'!$H:$AW,24,FALSE),VLOOKUP($G275,'KO Calc'!$H281:$AW281,24,FALSE)),
IF(AND($S$3=TRUE,$S$1=TRUE,$S$4=TRUE)=TRUE,IF(OR($Q$4=TRUE,$Q$5=TRUE,$S$2=TRUE),VLOOKUP($G275,'KO Calc'!$H:$AW,39,FALSE),VLOOKUP($G275,'KO Calc'!$H281:$AW281,39,FALSE)),IF(AND($S$3=TRUE,$S$4=TRUE),IF(OR($Q$4=TRUE,$Q$5=TRUE,$S$2=TRUE),VLOOKUP($G275,'KO Calc'!$H:$AW,29,FALSE),VLOOKUP($G275,'KO Calc'!$H281:$AW281,29,FALSE)))))))))))))</f>
        <v>-</v>
      </c>
      <c r="K275" s="36" t="str">
        <f>IF(AND($Q$1=FALSE,$S$3=FALSE),"-",IF(AND($Q$1=TRUE,$S$3=TRUE),"-",IF(AND($Q$1=FALSE,$S$3=FALSE),"-",IF(AND($Q$1=TRUE,$S$1=TRUE,$S$4=FALSE)=TRUE,IF(OR($Q$4=TRUE,$Q$5=TRUE,$S$2=TRUE),VLOOKUP($G275,'KO Calc'!$H:$AW,15,FALSE),VLOOKUP($G275,'KO Calc'!$H281:$AW281,15,FALSE)),IF(AND($Q$1=TRUE,$S$4=FALSE),IF(OR($Q$4=TRUE,$Q$5=TRUE,$S$2=TRUE),VLOOKUP($G275,'KO Calc'!$H:$AW,5,FALSE),VLOOKUP($G275,'KO Calc'!$H281:$AW281,5,FALSE)),
IF(AND($Q$1=TRUE,$S$1=TRUE,$S$4=TRUE)=TRUE,IF(OR($Q$4=TRUE,$Q$5=TRUE,$S$2=TRUE),VLOOKUP($G275,'KO Calc'!$H:$AW,20,FALSE),VLOOKUP($G275,'KO Calc'!$H281:$AW281,20,FALSE)),IF(AND($Q$1=TRUE,$S$4=TRUE),IF(OR($Q$4=TRUE,$Q$5=TRUE,$S$2=TRUE),VLOOKUP($G275,'KO Calc'!$H:$AW,10,FALSE),VLOOKUP($G275,'KO Calc'!$H281:$AW281,10,FALSE)),
IF(AND($S$3=TRUE,$S$1=TRUE,$S$4=FALSE)=TRUE,IF(OR($Q$4=TRUE,$Q$5=TRUE,$S$2=TRUE),VLOOKUP($G275,'KO Calc'!$H:$AW,35,FALSE),VLOOKUP($G275,'KO Calc'!$H281:$AW281,35,FALSE)),IF(AND($S$3=TRUE,$S$4=FALSE),IF(OR($Q$4=TRUE,$Q$5=TRUE,$S$2=TRUE),VLOOKUP($G275,'KO Calc'!$H:$AW,25,FALSE),VLOOKUP($G275,'KO Calc'!$H281:$AW281,25,FALSE)),
IF(AND($S$3=TRUE,$S$1=TRUE,$S$4=TRUE)=TRUE,IF(OR($Q$4=TRUE,$Q$5=TRUE,$S$2=TRUE),VLOOKUP($G275,'KO Calc'!$H:$AW,40,FALSE),VLOOKUP($G275,'KO Calc'!$H281:$AW281,40,FALSE)),IF(AND($S$3=TRUE,$S$4=TRUE),IF(OR($Q$4=TRUE,$Q$5=TRUE,$S$2=TRUE),VLOOKUP($G275,'KO Calc'!$H:$AW,30,FALSE),VLOOKUP($G275,'KO Calc'!$H281:$AW281,30,FALSE)))))))))))))</f>
        <v>-</v>
      </c>
      <c r="L275" s="36" t="str">
        <f>IFERROR(IF(AND($Q$1=FALSE,$S$3=FALSE),"-",VLOOKUP($E275,'Status Thresholds'!$E:$AU,43,FALSE)),"-")</f>
        <v>-</v>
      </c>
      <c r="M275" s="36" t="str">
        <f>IFERROR(IF(AND($Q$1=FALSE,$S$3=FALSE),"-",VLOOKUP($E275,'Status Thresholds'!$E:$AU,41,FALSE)),"-")</f>
        <v>-</v>
      </c>
      <c r="N275" s="36" t="str">
        <f>IFERROR(IF(AND($Q$1=FALSE,$S$3=FALSE),"-",VLOOKUP($E275,'Status Thresholds'!$E:$AU,42,FALSE)),"-")</f>
        <v>-</v>
      </c>
    </row>
    <row r="276" spans="1:14" x14ac:dyDescent="0.25">
      <c r="B276" s="64" t="str">
        <f>VLOOKUP(C276,'Status Thresholds'!B:C,2,FALSE)</f>
        <v>Deviant</v>
      </c>
      <c r="C276" s="46" t="str">
        <f>IF(ISBLANK('KO Calc'!C272)=TRUE,"",'KO Calc'!C272)</f>
        <v>Drilltusk Tetsucabra</v>
      </c>
      <c r="D276" s="78" t="s">
        <v>213</v>
      </c>
      <c r="E276" s="62" t="str">
        <f t="shared" si="7"/>
        <v>Drilltusk TetsucabraPitfall Trap</v>
      </c>
      <c r="F276" t="s">
        <v>12</v>
      </c>
      <c r="G276" s="36" t="str">
        <f t="shared" si="8"/>
        <v>Drilltusk TetsucabraCrag 2</v>
      </c>
      <c r="H276" s="36" t="str">
        <f>IF(AND($Q$1=FALSE,$S$3=FALSE),"-",IF(AND($Q$1=TRUE,$S$3=TRUE),"-",IF(AND($Q$1=FALSE,$S$3=FALSE),"-",IF(AND($Q$1=TRUE,$S$1=TRUE,$S$4=FALSE)=TRUE,IF(OR($Q$4=TRUE,$Q$5=TRUE,$S$2=TRUE),VLOOKUP($G276,'KO Calc'!$H:$AW,12,FALSE),VLOOKUP($G276,'KO Calc'!$H282:$AW282,12,FALSE)),IF(AND($Q$1=TRUE,$S$4=FALSE),IF(OR($Q$4=TRUE,$Q$5=TRUE,$S$2=TRUE),VLOOKUP($G276,'KO Calc'!$H:$AW,2,FALSE),VLOOKUP($G276,'KO Calc'!$H282:$AW282,2,FALSE)),
IF(AND($Q$1=TRUE,$S$1=TRUE,$S$4=TRUE)=TRUE,IF(OR($Q$4=TRUE,$Q$5=TRUE,$S$2=TRUE),VLOOKUP($G276,'KO Calc'!$H:$AW,17,FALSE),VLOOKUP($G276,'KO Calc'!$H282:$AW282,17,FALSE)),IF(AND($Q$1=TRUE,$S$4=TRUE),IF(OR($Q$4=TRUE,$Q$5=TRUE,$S$2=TRUE),VLOOKUP($G276,'KO Calc'!$H:$AW,7,FALSE),VLOOKUP($G276,'KO Calc'!$H282:$AW282,7,FALSE)),
IF(AND($S$3=TRUE,$S$1=TRUE,$S$4=FALSE)=TRUE,IF(OR($Q$4=TRUE,$Q$5=TRUE,$S$2=TRUE),VLOOKUP($G276,'KO Calc'!$H:$AW,32,FALSE),VLOOKUP($G276,'KO Calc'!$H282:$AW282,32,FALSE)),IF(AND($S$3=TRUE,$S$4=FALSE),IF(OR($Q$4=TRUE,$Q$5=TRUE,$S$2=TRUE),VLOOKUP($G276,'KO Calc'!$H:$AW,22,FALSE),VLOOKUP($G276,'KO Calc'!$H282:$AW282,22,FALSE)),
IF(AND($S$3=TRUE,$S$1=TRUE,$S$4=TRUE)=TRUE,IF(OR($Q$4=TRUE,$Q$5=TRUE,$S$2=TRUE),VLOOKUP($G276,'KO Calc'!$H:$AW,37,FALSE),VLOOKUP($G276,'KO Calc'!$H282:$AW282,37,FALSE)),IF(AND($S$3=TRUE,$S$4=TRUE),IF(OR($Q$4=TRUE,$Q$5=TRUE,$S$2=TRUE),VLOOKUP($G276,'KO Calc'!$H:$AW,27,FALSE),VLOOKUP($G276,'KO Calc'!$H282:$AW282,27,FALSE)))))))))))))</f>
        <v>-</v>
      </c>
      <c r="I276" s="36" t="str">
        <f>IF(AND($Q$1=FALSE,$S$3=FALSE),"-",IF(AND($Q$1=TRUE,$S$3=TRUE),"-",IF(AND($Q$1=FALSE,$S$3=FALSE),"-",IF(AND($Q$1=TRUE,$S$1=TRUE,$S$4=FALSE)=TRUE,IF(OR($Q$4=TRUE,$Q$5=TRUE,$S$2=TRUE),VLOOKUP($G276,'KO Calc'!$H:$AW,13,FALSE),VLOOKUP($G276,'KO Calc'!$H282:$AW282,13,FALSE)),IF(AND($Q$1=TRUE,$S$4=FALSE),IF(OR($Q$4=TRUE,$Q$5=TRUE,$S$2=TRUE),VLOOKUP($G276,'KO Calc'!$H:$AW,3,FALSE),VLOOKUP($G276,'KO Calc'!$H282:$AW282,3,FALSE)),
IF(AND($Q$1=TRUE,$S$1=TRUE,$S$4=TRUE)=TRUE,IF(OR($Q$4=TRUE,$Q$5=TRUE,$S$2=TRUE),VLOOKUP($G276,'KO Calc'!$H:$AW,18,FALSE),VLOOKUP($G276,'KO Calc'!$H282:$AW282,18,FALSE)),IF(AND($Q$1=TRUE,$S$4=TRUE),IF(OR($Q$4=TRUE,$Q$5=TRUE,$S$2=TRUE),VLOOKUP($G276,'KO Calc'!$H:$AW,8,FALSE),VLOOKUP($G276,'KO Calc'!$H282:$AW282,8,FALSE)),
IF(AND($S$3=TRUE,$S$1=TRUE,$S$4=FALSE)=TRUE,IF(OR($Q$4=TRUE,$Q$5=TRUE,$S$2=TRUE),VLOOKUP($G276,'KO Calc'!$H:$AW,33,FALSE),VLOOKUP($G276,'KO Calc'!$H282:$AW282,33,FALSE)),IF(AND($S$3=TRUE,$S$4=FALSE),IF(OR($Q$4=TRUE,$Q$5=TRUE,$S$2=TRUE),VLOOKUP($G276,'KO Calc'!$H:$AW,23,FALSE),VLOOKUP($G276,'KO Calc'!$H282:$AW282,23,FALSE)),
IF(AND($S$3=TRUE,$S$1=TRUE,$S$4=TRUE)=TRUE,IF(OR($Q$4=TRUE,$Q$5=TRUE,$S$2=TRUE),VLOOKUP($G276,'KO Calc'!$H:$AW,38,FALSE),VLOOKUP($G276,'KO Calc'!$H282:$AW282,38,FALSE)),IF(AND($S$3=TRUE,$S$4=TRUE),IF(OR($Q$4=TRUE,$Q$5=TRUE,$S$2=TRUE),VLOOKUP($G276,'KO Calc'!$H:$AW,28,FALSE),VLOOKUP($G276,'KO Calc'!$H282:$AW282,28,FALSE)))))))))))))</f>
        <v>-</v>
      </c>
      <c r="J276" s="36" t="str">
        <f>IF(AND($Q$1=FALSE,$S$3=FALSE),"-",IF(AND($Q$1=TRUE,$S$3=TRUE),"-",IF(AND($Q$1=FALSE,$S$3=FALSE),"-",IF(AND($Q$1=TRUE,$S$1=TRUE,$S$4=FALSE)=TRUE,IF(OR($Q$4=TRUE,$Q$5=TRUE,$S$2=TRUE),VLOOKUP($G276,'KO Calc'!$H:$AW,FALSE),VLOOKUP($G276,'KO Calc'!$H282:$AW282,14,FALSE)),IF(AND($Q$1=TRUE,$S$4=FALSE),IF(OR($Q$4=TRUE,$Q$5=TRUE,$S$2=TRUE),VLOOKUP($G276,'KO Calc'!$H:$AW,4,FALSE),VLOOKUP($G276,'KO Calc'!$H282:$AW282,4,FALSE)),
IF(AND($Q$1=TRUE,$S$1=TRUE,$S$4=TRUE)=TRUE,IF(OR($Q$4=TRUE,$Q$5=TRUE,$S$2=TRUE),VLOOKUP($G276,'KO Calc'!$H:$AW,19,FALSE),VLOOKUP($G276,'KO Calc'!$H282:$AW282,19,FALSE)),IF(AND($Q$1=TRUE,$S$4=TRUE),IF(OR($Q$4=TRUE,$Q$5=TRUE,$S$2=TRUE),VLOOKUP($G276,'KO Calc'!$H:$AW,9,FALSE),VLOOKUP($G276,'KO Calc'!$H282:$AW282,9,FALSE)),
IF(AND($S$3=TRUE,$S$1=TRUE,$S$4=FALSE)=TRUE,IF(OR($Q$4=TRUE,$Q$5=TRUE,$S$2=TRUE),VLOOKUP($G276,'KO Calc'!$H:$AW,34,FALSE),VLOOKUP($G276,'KO Calc'!$H282:$AW282,34,FALSE)),IF(AND($S$3=TRUE,$S$4=FALSE),IF(OR($Q$4=TRUE,$Q$5=TRUE,$S$2=TRUE),VLOOKUP($G276,'KO Calc'!$H:$AW,24,FALSE),VLOOKUP($G276,'KO Calc'!$H282:$AW282,24,FALSE)),
IF(AND($S$3=TRUE,$S$1=TRUE,$S$4=TRUE)=TRUE,IF(OR($Q$4=TRUE,$Q$5=TRUE,$S$2=TRUE),VLOOKUP($G276,'KO Calc'!$H:$AW,39,FALSE),VLOOKUP($G276,'KO Calc'!$H282:$AW282,39,FALSE)),IF(AND($S$3=TRUE,$S$4=TRUE),IF(OR($Q$4=TRUE,$Q$5=TRUE,$S$2=TRUE),VLOOKUP($G276,'KO Calc'!$H:$AW,29,FALSE),VLOOKUP($G276,'KO Calc'!$H282:$AW282,29,FALSE)))))))))))))</f>
        <v>-</v>
      </c>
      <c r="K276" s="36" t="str">
        <f>IF(AND($Q$1=FALSE,$S$3=FALSE),"-",IF(AND($Q$1=TRUE,$S$3=TRUE),"-",IF(AND($Q$1=FALSE,$S$3=FALSE),"-",IF(AND($Q$1=TRUE,$S$1=TRUE,$S$4=FALSE)=TRUE,IF(OR($Q$4=TRUE,$Q$5=TRUE,$S$2=TRUE),VLOOKUP($G276,'KO Calc'!$H:$AW,15,FALSE),VLOOKUP($G276,'KO Calc'!$H282:$AW282,15,FALSE)),IF(AND($Q$1=TRUE,$S$4=FALSE),IF(OR($Q$4=TRUE,$Q$5=TRUE,$S$2=TRUE),VLOOKUP($G276,'KO Calc'!$H:$AW,5,FALSE),VLOOKUP($G276,'KO Calc'!$H282:$AW282,5,FALSE)),
IF(AND($Q$1=TRUE,$S$1=TRUE,$S$4=TRUE)=TRUE,IF(OR($Q$4=TRUE,$Q$5=TRUE,$S$2=TRUE),VLOOKUP($G276,'KO Calc'!$H:$AW,20,FALSE),VLOOKUP($G276,'KO Calc'!$H282:$AW282,20,FALSE)),IF(AND($Q$1=TRUE,$S$4=TRUE),IF(OR($Q$4=TRUE,$Q$5=TRUE,$S$2=TRUE),VLOOKUP($G276,'KO Calc'!$H:$AW,10,FALSE),VLOOKUP($G276,'KO Calc'!$H282:$AW282,10,FALSE)),
IF(AND($S$3=TRUE,$S$1=TRUE,$S$4=FALSE)=TRUE,IF(OR($Q$4=TRUE,$Q$5=TRUE,$S$2=TRUE),VLOOKUP($G276,'KO Calc'!$H:$AW,35,FALSE),VLOOKUP($G276,'KO Calc'!$H282:$AW282,35,FALSE)),IF(AND($S$3=TRUE,$S$4=FALSE),IF(OR($Q$4=TRUE,$Q$5=TRUE,$S$2=TRUE),VLOOKUP($G276,'KO Calc'!$H:$AW,25,FALSE),VLOOKUP($G276,'KO Calc'!$H282:$AW282,25,FALSE)),
IF(AND($S$3=TRUE,$S$1=TRUE,$S$4=TRUE)=TRUE,IF(OR($Q$4=TRUE,$Q$5=TRUE,$S$2=TRUE),VLOOKUP($G276,'KO Calc'!$H:$AW,40,FALSE),VLOOKUP($G276,'KO Calc'!$H282:$AW282,40,FALSE)),IF(AND($S$3=TRUE,$S$4=TRUE),IF(OR($Q$4=TRUE,$Q$5=TRUE,$S$2=TRUE),VLOOKUP($G276,'KO Calc'!$H:$AW,30,FALSE),VLOOKUP($G276,'KO Calc'!$H282:$AW282,30,FALSE)))))))))))))</f>
        <v>-</v>
      </c>
      <c r="L276" s="36" t="str">
        <f>IFERROR(IF(AND($Q$1=FALSE,$S$3=FALSE),"-",VLOOKUP($E276,'Status Thresholds'!$E:$AU,43,FALSE)),"-")</f>
        <v>-</v>
      </c>
      <c r="M276" s="36" t="str">
        <f>IFERROR(IF(AND($Q$1=FALSE,$S$3=FALSE),"-",VLOOKUP($E276,'Status Thresholds'!$E:$AU,41,FALSE)),"-")</f>
        <v>-</v>
      </c>
      <c r="N276" s="36" t="str">
        <f>IFERROR(IF(AND($Q$1=FALSE,$S$3=FALSE),"-",VLOOKUP($E276,'Status Thresholds'!$E:$AU,42,FALSE)),"-")</f>
        <v>-</v>
      </c>
    </row>
    <row r="277" spans="1:14" x14ac:dyDescent="0.25">
      <c r="B277" s="64" t="str">
        <f>VLOOKUP(C277,'Status Thresholds'!B:C,2,FALSE)</f>
        <v>Deviant</v>
      </c>
      <c r="C277" s="46" t="str">
        <f>IF(ISBLANK('KO Calc'!C273)=TRUE,"",'KO Calc'!C273)</f>
        <v>Drilltusk Tetsucabra</v>
      </c>
      <c r="D277" s="78"/>
      <c r="E277" s="62" t="str">
        <f t="shared" si="7"/>
        <v>Drilltusk Tetsucabra</v>
      </c>
      <c r="F277" t="s">
        <v>11</v>
      </c>
      <c r="G277" s="36" t="str">
        <f t="shared" si="8"/>
        <v>Drilltusk TetsucabraCrag 1</v>
      </c>
      <c r="H277" s="36" t="str">
        <f>IF(AND($Q$1=FALSE,$S$3=FALSE),"-",IF(AND($Q$1=TRUE,$S$3=TRUE),"-",IF(AND($Q$1=FALSE,$S$3=FALSE),"-",IF(AND($Q$1=TRUE,$S$1=TRUE,$S$4=FALSE)=TRUE,IF(OR($Q$4=TRUE,$Q$5=TRUE,$S$2=TRUE),VLOOKUP($G277,'KO Calc'!$H:$AW,12,FALSE),VLOOKUP($G277,'KO Calc'!$H283:$AW283,12,FALSE)),IF(AND($Q$1=TRUE,$S$4=FALSE),IF(OR($Q$4=TRUE,$Q$5=TRUE,$S$2=TRUE),VLOOKUP($G277,'KO Calc'!$H:$AW,2,FALSE),VLOOKUP($G277,'KO Calc'!$H283:$AW283,2,FALSE)),
IF(AND($Q$1=TRUE,$S$1=TRUE,$S$4=TRUE)=TRUE,IF(OR($Q$4=TRUE,$Q$5=TRUE,$S$2=TRUE),VLOOKUP($G277,'KO Calc'!$H:$AW,17,FALSE),VLOOKUP($G277,'KO Calc'!$H283:$AW283,17,FALSE)),IF(AND($Q$1=TRUE,$S$4=TRUE),IF(OR($Q$4=TRUE,$Q$5=TRUE,$S$2=TRUE),VLOOKUP($G277,'KO Calc'!$H:$AW,7,FALSE),VLOOKUP($G277,'KO Calc'!$H283:$AW283,7,FALSE)),
IF(AND($S$3=TRUE,$S$1=TRUE,$S$4=FALSE)=TRUE,IF(OR($Q$4=TRUE,$Q$5=TRUE,$S$2=TRUE),VLOOKUP($G277,'KO Calc'!$H:$AW,32,FALSE),VLOOKUP($G277,'KO Calc'!$H283:$AW283,32,FALSE)),IF(AND($S$3=TRUE,$S$4=FALSE),IF(OR($Q$4=TRUE,$Q$5=TRUE,$S$2=TRUE),VLOOKUP($G277,'KO Calc'!$H:$AW,22,FALSE),VLOOKUP($G277,'KO Calc'!$H283:$AW283,22,FALSE)),
IF(AND($S$3=TRUE,$S$1=TRUE,$S$4=TRUE)=TRUE,IF(OR($Q$4=TRUE,$Q$5=TRUE,$S$2=TRUE),VLOOKUP($G277,'KO Calc'!$H:$AW,37,FALSE),VLOOKUP($G277,'KO Calc'!$H283:$AW283,37,FALSE)),IF(AND($S$3=TRUE,$S$4=TRUE),IF(OR($Q$4=TRUE,$Q$5=TRUE,$S$2=TRUE),VLOOKUP($G277,'KO Calc'!$H:$AW,27,FALSE),VLOOKUP($G277,'KO Calc'!$H283:$AW283,27,FALSE)))))))))))))</f>
        <v>-</v>
      </c>
      <c r="I277" s="36" t="str">
        <f>IF(AND($Q$1=FALSE,$S$3=FALSE),"-",IF(AND($Q$1=TRUE,$S$3=TRUE),"-",IF(AND($Q$1=FALSE,$S$3=FALSE),"-",IF(AND($Q$1=TRUE,$S$1=TRUE,$S$4=FALSE)=TRUE,IF(OR($Q$4=TRUE,$Q$5=TRUE,$S$2=TRUE),VLOOKUP($G277,'KO Calc'!$H:$AW,13,FALSE),VLOOKUP($G277,'KO Calc'!$H283:$AW283,13,FALSE)),IF(AND($Q$1=TRUE,$S$4=FALSE),IF(OR($Q$4=TRUE,$Q$5=TRUE,$S$2=TRUE),VLOOKUP($G277,'KO Calc'!$H:$AW,3,FALSE),VLOOKUP($G277,'KO Calc'!$H283:$AW283,3,FALSE)),
IF(AND($Q$1=TRUE,$S$1=TRUE,$S$4=TRUE)=TRUE,IF(OR($Q$4=TRUE,$Q$5=TRUE,$S$2=TRUE),VLOOKUP($G277,'KO Calc'!$H:$AW,18,FALSE),VLOOKUP($G277,'KO Calc'!$H283:$AW283,18,FALSE)),IF(AND($Q$1=TRUE,$S$4=TRUE),IF(OR($Q$4=TRUE,$Q$5=TRUE,$S$2=TRUE),VLOOKUP($G277,'KO Calc'!$H:$AW,8,FALSE),VLOOKUP($G277,'KO Calc'!$H283:$AW283,8,FALSE)),
IF(AND($S$3=TRUE,$S$1=TRUE,$S$4=FALSE)=TRUE,IF(OR($Q$4=TRUE,$Q$5=TRUE,$S$2=TRUE),VLOOKUP($G277,'KO Calc'!$H:$AW,33,FALSE),VLOOKUP($G277,'KO Calc'!$H283:$AW283,33,FALSE)),IF(AND($S$3=TRUE,$S$4=FALSE),IF(OR($Q$4=TRUE,$Q$5=TRUE,$S$2=TRUE),VLOOKUP($G277,'KO Calc'!$H:$AW,23,FALSE),VLOOKUP($G277,'KO Calc'!$H283:$AW283,23,FALSE)),
IF(AND($S$3=TRUE,$S$1=TRUE,$S$4=TRUE)=TRUE,IF(OR($Q$4=TRUE,$Q$5=TRUE,$S$2=TRUE),VLOOKUP($G277,'KO Calc'!$H:$AW,38,FALSE),VLOOKUP($G277,'KO Calc'!$H283:$AW283,38,FALSE)),IF(AND($S$3=TRUE,$S$4=TRUE),IF(OR($Q$4=TRUE,$Q$5=TRUE,$S$2=TRUE),VLOOKUP($G277,'KO Calc'!$H:$AW,28,FALSE),VLOOKUP($G277,'KO Calc'!$H283:$AW283,28,FALSE)))))))))))))</f>
        <v>-</v>
      </c>
      <c r="J277" s="36" t="str">
        <f>IF(AND($Q$1=FALSE,$S$3=FALSE),"-",IF(AND($Q$1=TRUE,$S$3=TRUE),"-",IF(AND($Q$1=FALSE,$S$3=FALSE),"-",IF(AND($Q$1=TRUE,$S$1=TRUE,$S$4=FALSE)=TRUE,IF(OR($Q$4=TRUE,$Q$5=TRUE,$S$2=TRUE),VLOOKUP($G277,'KO Calc'!$H:$AW,FALSE),VLOOKUP($G277,'KO Calc'!$H283:$AW283,14,FALSE)),IF(AND($Q$1=TRUE,$S$4=FALSE),IF(OR($Q$4=TRUE,$Q$5=TRUE,$S$2=TRUE),VLOOKUP($G277,'KO Calc'!$H:$AW,4,FALSE),VLOOKUP($G277,'KO Calc'!$H283:$AW283,4,FALSE)),
IF(AND($Q$1=TRUE,$S$1=TRUE,$S$4=TRUE)=TRUE,IF(OR($Q$4=TRUE,$Q$5=TRUE,$S$2=TRUE),VLOOKUP($G277,'KO Calc'!$H:$AW,19,FALSE),VLOOKUP($G277,'KO Calc'!$H283:$AW283,19,FALSE)),IF(AND($Q$1=TRUE,$S$4=TRUE),IF(OR($Q$4=TRUE,$Q$5=TRUE,$S$2=TRUE),VLOOKUP($G277,'KO Calc'!$H:$AW,9,FALSE),VLOOKUP($G277,'KO Calc'!$H283:$AW283,9,FALSE)),
IF(AND($S$3=TRUE,$S$1=TRUE,$S$4=FALSE)=TRUE,IF(OR($Q$4=TRUE,$Q$5=TRUE,$S$2=TRUE),VLOOKUP($G277,'KO Calc'!$H:$AW,34,FALSE),VLOOKUP($G277,'KO Calc'!$H283:$AW283,34,FALSE)),IF(AND($S$3=TRUE,$S$4=FALSE),IF(OR($Q$4=TRUE,$Q$5=TRUE,$S$2=TRUE),VLOOKUP($G277,'KO Calc'!$H:$AW,24,FALSE),VLOOKUP($G277,'KO Calc'!$H283:$AW283,24,FALSE)),
IF(AND($S$3=TRUE,$S$1=TRUE,$S$4=TRUE)=TRUE,IF(OR($Q$4=TRUE,$Q$5=TRUE,$S$2=TRUE),VLOOKUP($G277,'KO Calc'!$H:$AW,39,FALSE),VLOOKUP($G277,'KO Calc'!$H283:$AW283,39,FALSE)),IF(AND($S$3=TRUE,$S$4=TRUE),IF(OR($Q$4=TRUE,$Q$5=TRUE,$S$2=TRUE),VLOOKUP($G277,'KO Calc'!$H:$AW,29,FALSE),VLOOKUP($G277,'KO Calc'!$H283:$AW283,29,FALSE)))))))))))))</f>
        <v>-</v>
      </c>
      <c r="K277" s="36" t="str">
        <f>IF(AND($Q$1=FALSE,$S$3=FALSE),"-",IF(AND($Q$1=TRUE,$S$3=TRUE),"-",IF(AND($Q$1=FALSE,$S$3=FALSE),"-",IF(AND($Q$1=TRUE,$S$1=TRUE,$S$4=FALSE)=TRUE,IF(OR($Q$4=TRUE,$Q$5=TRUE,$S$2=TRUE),VLOOKUP($G277,'KO Calc'!$H:$AW,15,FALSE),VLOOKUP($G277,'KO Calc'!$H283:$AW283,15,FALSE)),IF(AND($Q$1=TRUE,$S$4=FALSE),IF(OR($Q$4=TRUE,$Q$5=TRUE,$S$2=TRUE),VLOOKUP($G277,'KO Calc'!$H:$AW,5,FALSE),VLOOKUP($G277,'KO Calc'!$H283:$AW283,5,FALSE)),
IF(AND($Q$1=TRUE,$S$1=TRUE,$S$4=TRUE)=TRUE,IF(OR($Q$4=TRUE,$Q$5=TRUE,$S$2=TRUE),VLOOKUP($G277,'KO Calc'!$H:$AW,20,FALSE),VLOOKUP($G277,'KO Calc'!$H283:$AW283,20,FALSE)),IF(AND($Q$1=TRUE,$S$4=TRUE),IF(OR($Q$4=TRUE,$Q$5=TRUE,$S$2=TRUE),VLOOKUP($G277,'KO Calc'!$H:$AW,10,FALSE),VLOOKUP($G277,'KO Calc'!$H283:$AW283,10,FALSE)),
IF(AND($S$3=TRUE,$S$1=TRUE,$S$4=FALSE)=TRUE,IF(OR($Q$4=TRUE,$Q$5=TRUE,$S$2=TRUE),VLOOKUP($G277,'KO Calc'!$H:$AW,35,FALSE),VLOOKUP($G277,'KO Calc'!$H283:$AW283,35,FALSE)),IF(AND($S$3=TRUE,$S$4=FALSE),IF(OR($Q$4=TRUE,$Q$5=TRUE,$S$2=TRUE),VLOOKUP($G277,'KO Calc'!$H:$AW,25,FALSE),VLOOKUP($G277,'KO Calc'!$H283:$AW283,25,FALSE)),
IF(AND($S$3=TRUE,$S$1=TRUE,$S$4=TRUE)=TRUE,IF(OR($Q$4=TRUE,$Q$5=TRUE,$S$2=TRUE),VLOOKUP($G277,'KO Calc'!$H:$AW,40,FALSE),VLOOKUP($G277,'KO Calc'!$H283:$AW283,40,FALSE)),IF(AND($S$3=TRUE,$S$4=TRUE),IF(OR($Q$4=TRUE,$Q$5=TRUE,$S$2=TRUE),VLOOKUP($G277,'KO Calc'!$H:$AW,30,FALSE),VLOOKUP($G277,'KO Calc'!$H283:$AW283,30,FALSE)))))))))))))</f>
        <v>-</v>
      </c>
      <c r="L277" s="36" t="str">
        <f>IFERROR(VLOOKUP($E277,'Status Thresholds'!$E:$AS,41,FALSE),"-")</f>
        <v>-</v>
      </c>
    </row>
    <row r="278" spans="1:14" x14ac:dyDescent="0.25">
      <c r="B278" s="64" t="str">
        <f>VLOOKUP(C278,'Status Thresholds'!B:C,2,FALSE)</f>
        <v>Deviant</v>
      </c>
      <c r="C278" s="46" t="str">
        <f>IF(ISBLANK('KO Calc'!C274)=TRUE,"",'KO Calc'!C274)</f>
        <v>Drilltusk Tetsucabra</v>
      </c>
      <c r="D278" s="78"/>
      <c r="E278" s="62"/>
      <c r="G278" s="36"/>
      <c r="L278" s="36" t="str">
        <f>IFERROR(VLOOKUP($E278,'Status Thresholds'!$E:$AS,41,FALSE),"-")</f>
        <v>-</v>
      </c>
    </row>
    <row r="279" spans="1:14" s="36" customFormat="1" x14ac:dyDescent="0.25">
      <c r="B279" s="64" t="str">
        <f>VLOOKUP(C279,'Status Thresholds'!B:C,2,FALSE)</f>
        <v>MHGen</v>
      </c>
      <c r="C279" s="46" t="str">
        <f>IF(ISBLANK('KO Calc'!C275)=TRUE,"",'KO Calc'!C275)</f>
        <v>Durambros</v>
      </c>
      <c r="D279" s="65" t="s">
        <v>0</v>
      </c>
      <c r="E279" s="62" t="str">
        <f t="shared" si="7"/>
        <v>DurambrosPara</v>
      </c>
      <c r="F279" s="36" t="s">
        <v>2</v>
      </c>
      <c r="G279" s="36" t="str">
        <f t="shared" si="8"/>
        <v>DurambrosPara lvl 2</v>
      </c>
      <c r="H279" s="36" t="str">
        <f>IFERROR(ROUNDUP(IF(AND($Q$1=FALSE,$S$3=FALSE),"-",IF(AND($Q$1=TRUE,$S$3=TRUE),"-",IF(AND($Q$1=TRUE,$S$1=TRUE,$S$4=FALSE),VLOOKUP($E279,'Status Thresholds'!$E:$AS,12,FALSE),IF(AND($Q$1=TRUE,$S$4=FALSE),VLOOKUP($E279,'Status Thresholds'!$E:$AS,2,FALSE), IF(AND($Q$1=TRUE,$S$1=TRUE,$S$4=TRUE),VLOOKUP($E279,'Status Thresholds'!$E:$AS,17,FALSE),IF(AND($Q$1=TRUE,$S$4=TRUE),VLOOKUP($E279,'Status Thresholds'!$E:$AS,7,FALSE),IF(AND($S$3=TRUE,$S$1=TRUE,$S$4=FALSE),VLOOKUP($E279,'Status Thresholds'!$E:$AS,32,FALSE),IF(AND($S$3=TRUE,$S$4=FALSE),VLOOKUP($E279,'Status Thresholds'!$E:$AS,22,FALSE),IF(AND($S$3=TRUE,$S$1=TRUE,$S$4=TRUE),VLOOKUP($E279,'Status Thresholds'!$E:$AS,37,FALSE),IF(AND($S$3=TRUE,$S$4=TRUE),VLOOKUP($E279,'Status Thresholds'!$E:$AS,27,FALSE),""))))))))/IF(OR($Q$3=TRUE,AND($Q$2=TRUE,$Q$7=TRUE),AND($Q$3=TRUE,$Q$7=TRUE))=TRUE,'Shots and Status'!$F$5,IF((OR($Q$2,$Q$7)=TRUE),'Shots and Status'!$D$5,'Shots and Status'!$C$5)))),0),"-")</f>
        <v>-</v>
      </c>
      <c r="I279" s="36" t="str">
        <f>IFERROR(ROUNDUP(IF(AND($Q$1=FALSE,$S$3=FALSE),"-",IF(AND($Q$1=TRUE,$S$3=TRUE),"-",IF(AND($Q$1=TRUE,$S$1=TRUE,$S$4=FALSE),VLOOKUP($E279,'Status Thresholds'!$E:$AS,13,FALSE),IF(AND($Q$1=TRUE,$S$4=FALSE),VLOOKUP($E279,'Status Thresholds'!$E:$AS,3,FALSE), IF(AND($Q$1=TRUE,$S$1=TRUE,$S$4=TRUE),VLOOKUP($E279,'Status Thresholds'!$E:$AS,18,FALSE),IF(AND($Q$1=TRUE,$S$4=TRUE),VLOOKUP($E279,'Status Thresholds'!$E:$AS,8,FALSE),IF(AND($S$3=TRUE,$S$1=TRUE,$S$4=FALSE),VLOOKUP($E279,'Status Thresholds'!$E:$AS,33,FALSE),IF(AND($S$3=TRUE,$S$4=FALSE),VLOOKUP($E279,'Status Thresholds'!$E:$AS,23,FALSE),IF(AND($S$3=TRUE,$S$1=TRUE,$S$4=TRUE),VLOOKUP($E279,'Status Thresholds'!$E:$AS,38,FALSE),IF(AND($S$3=TRUE,$S$4=TRUE),VLOOKUP($E279,'Status Thresholds'!$E:$AS,28,FALSE),""))))))))/IF(OR($Q$3=TRUE,AND($Q$2=TRUE,$Q$7=TRUE),AND($Q$3=TRUE,$Q$7=TRUE))=TRUE,'Shots and Status'!$F$5,IF((OR($Q$2,$Q$7)=TRUE),'Shots and Status'!$D$5,'Shots and Status'!$C$5)))),0),"-")</f>
        <v>-</v>
      </c>
      <c r="J279" s="36" t="str">
        <f>IFERROR(ROUNDUP(IF(AND($Q$1=FALSE,$S$3=FALSE),"-",IF(AND($Q$1=TRUE,$S$3=TRUE),"-",IF(AND($Q$1=TRUE,$S$1=TRUE,$S$4=FALSE),VLOOKUP($E279,'Status Thresholds'!$E:$AS,14,FALSE),IF(AND($Q$1=TRUE,$S$4=FALSE),VLOOKUP($E279,'Status Thresholds'!$E:$AS,4,FALSE), IF(AND($Q$1=TRUE,$S$1=TRUE,$S$4=TRUE),VLOOKUP($E279,'Status Thresholds'!$E:$AS,19,FALSE),IF(AND($Q$1=TRUE,$S$4=TRUE),VLOOKUP($E279,'Status Thresholds'!$E:$AS,9,FALSE),IF(AND($S$3=TRUE,$S$1=TRUE,$S$4=FALSE),VLOOKUP($E279,'Status Thresholds'!$E:$AS,34,FALSE),IF(AND($S$3=TRUE,$S$4=FALSE),VLOOKUP($E279,'Status Thresholds'!$E:$AS,24,FALSE),IF(AND($S$3=TRUE,$S$1=TRUE,$S$4=TRUE),VLOOKUP($E279,'Status Thresholds'!$E:$AS,39,FALSE),IF(AND($S$3=TRUE,$S$4=TRUE),VLOOKUP($E279,'Status Thresholds'!$E:$AS,29,FALSE),""))))))))/IF(OR($Q$3=TRUE,AND($Q$2=TRUE,$Q$7=TRUE),AND($Q$3=TRUE,$Q$7=TRUE))=TRUE,'Shots and Status'!$F$5,IF((OR($Q$2,$Q$7)=TRUE),'Shots and Status'!$D$5,'Shots and Status'!$C$5)))),0),"-")</f>
        <v>-</v>
      </c>
      <c r="K279" s="36" t="str">
        <f>IFERROR(ROUNDUP(IF(AND($Q$1=FALSE,$S$3=FALSE),"-",IF(AND($Q$1=TRUE,$S$3=TRUE),"-",IF(AND($Q$1=TRUE,$S$1=TRUE,$S$4=FALSE),VLOOKUP($E279,'Status Thresholds'!$E:$AS,15,FALSE),IF(AND($Q$1=TRUE,$S$4=FALSE),VLOOKUP($E279,'Status Thresholds'!$E:$AS,5,FALSE), IF(AND($Q$1=TRUE,$S$1=TRUE,$S$4=TRUE),VLOOKUP($E279,'Status Thresholds'!$E:$AS,20,FALSE),IF(AND($Q$1=TRUE,$S$4=TRUE),VLOOKUP($E279,'Status Thresholds'!$E:$AS,10,FALSE),IF(AND($S$3=TRUE,$S$1=TRUE,$S$4=FALSE),VLOOKUP($E279,'Status Thresholds'!$E:$AS,35,FALSE),IF(AND($S$3=TRUE,$S$4=FALSE),VLOOKUP($E279,'Status Thresholds'!$E:$AS,25,FALSE),IF(AND($S$3=TRUE,$S$1=TRUE,$S$4=TRUE),VLOOKUP($E279,'Status Thresholds'!$E:$AS,40,FALSE),IF(AND($S$3=TRUE,$S$4=TRUE),VLOOKUP($E279,'Status Thresholds'!$E:$AS,30,FALSE),""))))))))/IF(OR($Q$3=TRUE,AND($Q$2=TRUE,$Q$7=TRUE),AND($Q$3=TRUE,$Q$7=TRUE))=TRUE,'Shots and Status'!$F$5,IF((OR($Q$2,$Q$7)=TRUE),'Shots and Status'!$D$5,'Shots and Status'!$C$5)))),0),"-")</f>
        <v>-</v>
      </c>
      <c r="L279" s="36" t="str">
        <f>IFERROR(IF(AND($Q$1=FALSE,$S$3=FALSE),"-",VLOOKUP($E279,'Status Thresholds'!$E:$AU,41,FALSE)),"-")</f>
        <v>-</v>
      </c>
      <c r="M279" s="36" t="str">
        <f>IFERROR(IF(AND($Q$1=FALSE,$S$3=FALSE),"-",VLOOKUP($E279,'Status Thresholds'!$E:$AU,42,FALSE)),"-")</f>
        <v>-</v>
      </c>
      <c r="N279" s="36" t="str">
        <f>IFERROR(IF(AND($Q$1=FALSE,$S$3=FALSE),"-",VLOOKUP($E279,'Status Thresholds'!$E:$AU,43,FALSE)),"-")</f>
        <v>-</v>
      </c>
    </row>
    <row r="280" spans="1:14" s="59" customFormat="1" x14ac:dyDescent="0.25">
      <c r="A280" s="46"/>
      <c r="B280" s="64" t="str">
        <f>VLOOKUP(C280,'Status Thresholds'!B:C,2,FALSE)</f>
        <v>MHGen</v>
      </c>
      <c r="C280" s="46" t="str">
        <f>IF(ISBLANK('KO Calc'!C276)=TRUE,"",'KO Calc'!C276)</f>
        <v>Durambros</v>
      </c>
      <c r="D280" s="60" t="s">
        <v>32</v>
      </c>
      <c r="E280" s="62" t="str">
        <f t="shared" si="7"/>
        <v>DurambrosSleep</v>
      </c>
      <c r="F280" s="59" t="s">
        <v>5</v>
      </c>
      <c r="G280" s="36" t="str">
        <f t="shared" si="8"/>
        <v>DurambrosSleep lvl 2</v>
      </c>
      <c r="H280" s="36" t="str">
        <f>IFERROR(ROUNDUP(IF(AND($Q$1=FALSE,$S$3=FALSE),"-",IF(AND($Q$1=TRUE,$S$3=TRUE),"-",IF(AND($Q$1=TRUE,$S$1=TRUE,$S$4=FALSE),VLOOKUP($E280,'Status Thresholds'!$E:$AS,12,FALSE),IF(AND($Q$1=TRUE,$S$4=FALSE),VLOOKUP($E280,'Status Thresholds'!$E:$AS,2,FALSE), IF(AND($Q$1=TRUE,$S$1=TRUE,$S$4=TRUE),VLOOKUP($E280,'Status Thresholds'!$E:$AS,17,FALSE),IF(AND($Q$1=TRUE,$S$4=TRUE),VLOOKUP($E280,'Status Thresholds'!$E:$AS,7,FALSE),IF(AND($S$3=TRUE,$S$1=TRUE,$S$4=FALSE),VLOOKUP($E280,'Status Thresholds'!$E:$AS,32,FALSE),IF(AND($S$3=TRUE,$S$4=FALSE),VLOOKUP($E280,'Status Thresholds'!$E:$AS,22,FALSE),IF(AND($S$3=TRUE,$S$1=TRUE,$S$4=TRUE),VLOOKUP($E280,'Status Thresholds'!$E:$AS,37,FALSE),IF(AND($S$3=TRUE,$S$4=TRUE),VLOOKUP($E280,'Status Thresholds'!$E:$AS,27,FALSE),""))))))))/IF(OR($Q$3=TRUE,AND($Q$2=TRUE,$Q$7=TRUE),AND($Q$3=TRUE,$Q$7=TRUE))=TRUE,'Shots and Status'!$F$5,IF((OR($Q$2,$Q$7)=TRUE),'Shots and Status'!$D$5,'Shots and Status'!$C$5)))),0),"-")</f>
        <v>-</v>
      </c>
      <c r="I280" s="36" t="str">
        <f>IFERROR(ROUNDUP(IF(AND($Q$1=FALSE,$S$3=FALSE),"-",IF(AND($Q$1=TRUE,$S$3=TRUE),"-",IF(AND($Q$1=TRUE,$S$1=TRUE,$S$4=FALSE),VLOOKUP($E280,'Status Thresholds'!$E:$AS,13,FALSE),IF(AND($Q$1=TRUE,$S$4=FALSE),VLOOKUP($E280,'Status Thresholds'!$E:$AS,3,FALSE), IF(AND($Q$1=TRUE,$S$1=TRUE,$S$4=TRUE),VLOOKUP($E280,'Status Thresholds'!$E:$AS,18,FALSE),IF(AND($Q$1=TRUE,$S$4=TRUE),VLOOKUP($E280,'Status Thresholds'!$E:$AS,8,FALSE),IF(AND($S$3=TRUE,$S$1=TRUE,$S$4=FALSE),VLOOKUP($E280,'Status Thresholds'!$E:$AS,33,FALSE),IF(AND($S$3=TRUE,$S$4=FALSE),VLOOKUP($E280,'Status Thresholds'!$E:$AS,23,FALSE),IF(AND($S$3=TRUE,$S$1=TRUE,$S$4=TRUE),VLOOKUP($E280,'Status Thresholds'!$E:$AS,38,FALSE),IF(AND($S$3=TRUE,$S$4=TRUE),VLOOKUP($E280,'Status Thresholds'!$E:$AS,28,FALSE),""))))))))/IF(OR($Q$3=TRUE,AND($Q$2=TRUE,$Q$7=TRUE),AND($Q$3=TRUE,$Q$7=TRUE))=TRUE,'Shots and Status'!$F$5,IF((OR($Q$2,$Q$7)=TRUE),'Shots and Status'!$D$5,'Shots and Status'!$C$5)))),0),"-")</f>
        <v>-</v>
      </c>
      <c r="J280" s="36" t="str">
        <f>IFERROR(ROUNDUP(IF(AND($Q$1=FALSE,$S$3=FALSE),"-",IF(AND($Q$1=TRUE,$S$3=TRUE),"-",IF(AND($Q$1=TRUE,$S$1=TRUE,$S$4=FALSE),VLOOKUP($E280,'Status Thresholds'!$E:$AS,14,FALSE),IF(AND($Q$1=TRUE,$S$4=FALSE),VLOOKUP($E280,'Status Thresholds'!$E:$AS,4,FALSE), IF(AND($Q$1=TRUE,$S$1=TRUE,$S$4=TRUE),VLOOKUP($E280,'Status Thresholds'!$E:$AS,19,FALSE),IF(AND($Q$1=TRUE,$S$4=TRUE),VLOOKUP($E280,'Status Thresholds'!$E:$AS,9,FALSE),IF(AND($S$3=TRUE,$S$1=TRUE,$S$4=FALSE),VLOOKUP($E280,'Status Thresholds'!$E:$AS,34,FALSE),IF(AND($S$3=TRUE,$S$4=FALSE),VLOOKUP($E280,'Status Thresholds'!$E:$AS,24,FALSE),IF(AND($S$3=TRUE,$S$1=TRUE,$S$4=TRUE),VLOOKUP($E280,'Status Thresholds'!$E:$AS,39,FALSE),IF(AND($S$3=TRUE,$S$4=TRUE),VLOOKUP($E280,'Status Thresholds'!$E:$AS,29,FALSE),""))))))))/IF(OR($Q$3=TRUE,AND($Q$2=TRUE,$Q$7=TRUE),AND($Q$3=TRUE,$Q$7=TRUE))=TRUE,'Shots and Status'!$F$5,IF((OR($Q$2,$Q$7)=TRUE),'Shots and Status'!$D$5,'Shots and Status'!$C$5)))),0),"-")</f>
        <v>-</v>
      </c>
      <c r="K280" s="36" t="str">
        <f>IFERROR(ROUNDUP(IF(AND($Q$1=FALSE,$S$3=FALSE),"-",IF(AND($Q$1=TRUE,$S$3=TRUE),"-",IF(AND($Q$1=TRUE,$S$1=TRUE,$S$4=FALSE),VLOOKUP($E280,'Status Thresholds'!$E:$AS,15,FALSE),IF(AND($Q$1=TRUE,$S$4=FALSE),VLOOKUP($E280,'Status Thresholds'!$E:$AS,5,FALSE), IF(AND($Q$1=TRUE,$S$1=TRUE,$S$4=TRUE),VLOOKUP($E280,'Status Thresholds'!$E:$AS,20,FALSE),IF(AND($Q$1=TRUE,$S$4=TRUE),VLOOKUP($E280,'Status Thresholds'!$E:$AS,10,FALSE),IF(AND($S$3=TRUE,$S$1=TRUE,$S$4=FALSE),VLOOKUP($E280,'Status Thresholds'!$E:$AS,35,FALSE),IF(AND($S$3=TRUE,$S$4=FALSE),VLOOKUP($E280,'Status Thresholds'!$E:$AS,25,FALSE),IF(AND($S$3=TRUE,$S$1=TRUE,$S$4=TRUE),VLOOKUP($E280,'Status Thresholds'!$E:$AS,40,FALSE),IF(AND($S$3=TRUE,$S$4=TRUE),VLOOKUP($E280,'Status Thresholds'!$E:$AS,30,FALSE),""))))))))/IF(OR($Q$3=TRUE,AND($Q$2=TRUE,$Q$7=TRUE),AND($Q$3=TRUE,$Q$7=TRUE))=TRUE,'Shots and Status'!$F$5,IF((OR($Q$2,$Q$7)=TRUE),'Shots and Status'!$D$5,'Shots and Status'!$C$5)))),0),"-")</f>
        <v>-</v>
      </c>
      <c r="L280" s="36" t="str">
        <f>IFERROR(IF(AND($Q$1=FALSE,$S$3=FALSE),"-",VLOOKUP($E280,'Status Thresholds'!$E:$AU,41,FALSE)),"-")</f>
        <v>-</v>
      </c>
      <c r="M280" s="36" t="str">
        <f>IFERROR(IF(AND($Q$1=FALSE,$S$3=FALSE),"-",VLOOKUP($E280,'Status Thresholds'!$E:$AU,42,FALSE)),"-")</f>
        <v>-</v>
      </c>
      <c r="N280" s="36" t="str">
        <f>IFERROR(IF(AND($Q$1=FALSE,$S$3=FALSE),"-",VLOOKUP($E280,'Status Thresholds'!$E:$AU,43,FALSE)),"-")</f>
        <v>-</v>
      </c>
    </row>
    <row r="281" spans="1:14" s="59" customFormat="1" x14ac:dyDescent="0.25">
      <c r="A281" s="46"/>
      <c r="B281" s="64" t="str">
        <f>VLOOKUP(C281,'Status Thresholds'!B:C,2,FALSE)</f>
        <v>MHGen</v>
      </c>
      <c r="C281" s="46" t="str">
        <f>IF(ISBLANK('KO Calc'!C277)=TRUE,"",'KO Calc'!C277)</f>
        <v>Durambros</v>
      </c>
      <c r="D281" s="58" t="s">
        <v>33</v>
      </c>
      <c r="E281" s="62" t="str">
        <f t="shared" si="7"/>
        <v>DurambrosPoison</v>
      </c>
      <c r="F281" s="59" t="s">
        <v>6</v>
      </c>
      <c r="G281" s="36" t="str">
        <f t="shared" si="8"/>
        <v>DurambrosPoison lvl 2</v>
      </c>
      <c r="H281" s="36" t="str">
        <f>IFERROR(ROUNDUP(IF(AND($Q$1=FALSE,$S$3=FALSE),"-",IF(AND($Q$1=TRUE,$S$3=TRUE),"-",IF(AND($Q$1=TRUE,$S$1=TRUE,$S$4=FALSE),VLOOKUP($E281,'Status Thresholds'!$E:$AS,12,FALSE),IF(AND($Q$1=TRUE,$S$4=FALSE),VLOOKUP($E281,'Status Thresholds'!$E:$AS,2,FALSE), IF(AND($Q$1=TRUE,$S$1=TRUE,$S$4=TRUE),VLOOKUP($E281,'Status Thresholds'!$E:$AS,17,FALSE),IF(AND($Q$1=TRUE,$S$4=TRUE),VLOOKUP($E281,'Status Thresholds'!$E:$AS,7,FALSE),IF(AND($S$3=TRUE,$S$1=TRUE,$S$4=FALSE),VLOOKUP($E281,'Status Thresholds'!$E:$AS,32,FALSE),IF(AND($S$3=TRUE,$S$4=FALSE),VLOOKUP($E281,'Status Thresholds'!$E:$AS,22,FALSE),IF(AND($S$3=TRUE,$S$1=TRUE,$S$4=TRUE),VLOOKUP($E281,'Status Thresholds'!$E:$AS,37,FALSE),IF(AND($S$3=TRUE,$S$4=TRUE),VLOOKUP($E281,'Status Thresholds'!$E:$AS,27,FALSE),""))))))))/IF(OR($Q$3=TRUE,AND($Q$2=TRUE,$Q$7=TRUE),AND($Q$3=TRUE,$Q$7=TRUE))=TRUE,'Shots and Status'!$F$5,IF((OR($Q$2,$Q$7)=TRUE),'Shots and Status'!$D$5,'Shots and Status'!$C$5)))),0),"-")</f>
        <v>-</v>
      </c>
      <c r="I281" s="36" t="str">
        <f>IFERROR(ROUNDUP(IF(AND($Q$1=FALSE,$S$3=FALSE),"-",IF(AND($Q$1=TRUE,$S$3=TRUE),"-",IF(AND($Q$1=TRUE,$S$1=TRUE,$S$4=FALSE),VLOOKUP($E281,'Status Thresholds'!$E:$AS,13,FALSE),IF(AND($Q$1=TRUE,$S$4=FALSE),VLOOKUP($E281,'Status Thresholds'!$E:$AS,3,FALSE), IF(AND($Q$1=TRUE,$S$1=TRUE,$S$4=TRUE),VLOOKUP($E281,'Status Thresholds'!$E:$AS,18,FALSE),IF(AND($Q$1=TRUE,$S$4=TRUE),VLOOKUP($E281,'Status Thresholds'!$E:$AS,8,FALSE),IF(AND($S$3=TRUE,$S$1=TRUE,$S$4=FALSE),VLOOKUP($E281,'Status Thresholds'!$E:$AS,33,FALSE),IF(AND($S$3=TRUE,$S$4=FALSE),VLOOKUP($E281,'Status Thresholds'!$E:$AS,23,FALSE),IF(AND($S$3=TRUE,$S$1=TRUE,$S$4=TRUE),VLOOKUP($E281,'Status Thresholds'!$E:$AS,38,FALSE),IF(AND($S$3=TRUE,$S$4=TRUE),VLOOKUP($E281,'Status Thresholds'!$E:$AS,28,FALSE),""))))))))/IF(OR($Q$3=TRUE,AND($Q$2=TRUE,$Q$7=TRUE),AND($Q$3=TRUE,$Q$7=TRUE))=TRUE,'Shots and Status'!$F$5,IF((OR($Q$2,$Q$7)=TRUE),'Shots and Status'!$D$5,'Shots and Status'!$C$5)))),0),"-")</f>
        <v>-</v>
      </c>
      <c r="J281" s="36" t="str">
        <f>IFERROR(ROUNDUP(IF(AND($Q$1=FALSE,$S$3=FALSE),"-",IF(AND($Q$1=TRUE,$S$3=TRUE),"-",IF(AND($Q$1=TRUE,$S$1=TRUE,$S$4=FALSE),VLOOKUP($E281,'Status Thresholds'!$E:$AS,14,FALSE),IF(AND($Q$1=TRUE,$S$4=FALSE),VLOOKUP($E281,'Status Thresholds'!$E:$AS,4,FALSE), IF(AND($Q$1=TRUE,$S$1=TRUE,$S$4=TRUE),VLOOKUP($E281,'Status Thresholds'!$E:$AS,19,FALSE),IF(AND($Q$1=TRUE,$S$4=TRUE),VLOOKUP($E281,'Status Thresholds'!$E:$AS,9,FALSE),IF(AND($S$3=TRUE,$S$1=TRUE,$S$4=FALSE),VLOOKUP($E281,'Status Thresholds'!$E:$AS,34,FALSE),IF(AND($S$3=TRUE,$S$4=FALSE),VLOOKUP($E281,'Status Thresholds'!$E:$AS,24,FALSE),IF(AND($S$3=TRUE,$S$1=TRUE,$S$4=TRUE),VLOOKUP($E281,'Status Thresholds'!$E:$AS,39,FALSE),IF(AND($S$3=TRUE,$S$4=TRUE),VLOOKUP($E281,'Status Thresholds'!$E:$AS,29,FALSE),""))))))))/IF(OR($Q$3=TRUE,AND($Q$2=TRUE,$Q$7=TRUE),AND($Q$3=TRUE,$Q$7=TRUE))=TRUE,'Shots and Status'!$F$5,IF((OR($Q$2,$Q$7)=TRUE),'Shots and Status'!$D$5,'Shots and Status'!$C$5)))),0),"-")</f>
        <v>-</v>
      </c>
      <c r="K281" s="36" t="str">
        <f>IFERROR(ROUNDUP(IF(AND($Q$1=FALSE,$S$3=FALSE),"-",IF(AND($Q$1=TRUE,$S$3=TRUE),"-",IF(AND($Q$1=TRUE,$S$1=TRUE,$S$4=FALSE),VLOOKUP($E281,'Status Thresholds'!$E:$AS,15,FALSE),IF(AND($Q$1=TRUE,$S$4=FALSE),VLOOKUP($E281,'Status Thresholds'!$E:$AS,5,FALSE), IF(AND($Q$1=TRUE,$S$1=TRUE,$S$4=TRUE),VLOOKUP($E281,'Status Thresholds'!$E:$AS,20,FALSE),IF(AND($Q$1=TRUE,$S$4=TRUE),VLOOKUP($E281,'Status Thresholds'!$E:$AS,10,FALSE),IF(AND($S$3=TRUE,$S$1=TRUE,$S$4=FALSE),VLOOKUP($E281,'Status Thresholds'!$E:$AS,35,FALSE),IF(AND($S$3=TRUE,$S$4=FALSE),VLOOKUP($E281,'Status Thresholds'!$E:$AS,25,FALSE),IF(AND($S$3=TRUE,$S$1=TRUE,$S$4=TRUE),VLOOKUP($E281,'Status Thresholds'!$E:$AS,40,FALSE),IF(AND($S$3=TRUE,$S$4=TRUE),VLOOKUP($E281,'Status Thresholds'!$E:$AS,30,FALSE),""))))))))/IF(OR($Q$3=TRUE,AND($Q$2=TRUE,$Q$7=TRUE),AND($Q$3=TRUE,$Q$7=TRUE))=TRUE,'Shots and Status'!$F$5,IF((OR($Q$2,$Q$7)=TRUE),'Shots and Status'!$D$5,'Shots and Status'!$C$5)))),0),"-")</f>
        <v>-</v>
      </c>
      <c r="L281" s="36" t="str">
        <f>IFERROR(IF(AND($Q$1=FALSE,$S$3=FALSE),"-",VLOOKUP($E281,'Status Thresholds'!$E:$AU,41,FALSE)),"-")</f>
        <v>-</v>
      </c>
      <c r="M281" s="36" t="str">
        <f>IFERROR(IF(AND($Q$1=FALSE,$S$3=FALSE),"-",VLOOKUP($E281,'Status Thresholds'!$E:$AU,42,FALSE)),"-")</f>
        <v>-</v>
      </c>
      <c r="N281" s="36" t="str">
        <f>IFERROR(IF(AND($Q$1=FALSE,$S$3=FALSE),"-",VLOOKUP($E281,'Status Thresholds'!$E:$AU,43,FALSE)),"-")</f>
        <v>-</v>
      </c>
    </row>
    <row r="282" spans="1:14" s="36" customFormat="1" x14ac:dyDescent="0.25">
      <c r="A282" s="46"/>
      <c r="B282" s="64" t="str">
        <f>VLOOKUP(C282,'Status Thresholds'!B:C,2,FALSE)</f>
        <v>MHGen</v>
      </c>
      <c r="C282" s="46" t="str">
        <f>IF(ISBLANK('KO Calc'!C278)=TRUE,"",'KO Calc'!C278)</f>
        <v>Durambros</v>
      </c>
      <c r="D282" s="57" t="s">
        <v>22</v>
      </c>
      <c r="E282" s="62" t="str">
        <f t="shared" si="7"/>
        <v>DurambrosExhaust</v>
      </c>
      <c r="F282" s="36" t="s">
        <v>8</v>
      </c>
      <c r="G282" s="36" t="str">
        <f t="shared" si="8"/>
        <v>DurambrosExhaust lvl 2</v>
      </c>
      <c r="H282" s="36" t="str">
        <f>IFERROR(ROUNDUP(IF(AND($Q$1=FALSE,$S$3=FALSE),"-",IF(AND($Q$1=TRUE,$S$3=TRUE),"-",IF(AND($Q$1=TRUE,$S$1=TRUE,$S$4=FALSE),VLOOKUP($E282,'Status Thresholds'!$E:$AS,12,FALSE),IF(AND($Q$1=TRUE,$S$4=FALSE),VLOOKUP($E282,'Status Thresholds'!$E:$AS,2,FALSE), IF(AND($Q$1=TRUE,$S$1=TRUE,$S$4=TRUE),VLOOKUP($E282,'Status Thresholds'!$E:$AS,17,FALSE),IF(AND($Q$1=TRUE,$S$4=TRUE),VLOOKUP($E282,'Status Thresholds'!$E:$AS,7,FALSE),IF(AND($S$3=TRUE,$S$1=TRUE,$S$4=FALSE),VLOOKUP($E282,'Status Thresholds'!$E:$AS,32,FALSE),IF(AND($S$3=TRUE,$S$4=FALSE),VLOOKUP($E282,'Status Thresholds'!$E:$AS,22,FALSE),IF(AND($S$3=TRUE,$S$1=TRUE,$S$4=TRUE),VLOOKUP($E282,'Status Thresholds'!$E:$AS,37,FALSE),IF(AND($S$3=TRUE,$S$4=TRUE),VLOOKUP($E282,'Status Thresholds'!$E:$AS,27,FALSE),""))))))))/IF(OR($Q$3=TRUE,AND($Q$2=TRUE,$Q$7=TRUE),AND($Q$3=TRUE,$Q$7=TRUE))=TRUE,'Shots and Status'!$F$5,IF((OR($Q$2,$Q$7)=TRUE),'Shots and Status'!$D$5,'Shots and Status'!$C$5)))),0),"-")</f>
        <v>-</v>
      </c>
      <c r="I282" s="36" t="str">
        <f>IFERROR(ROUNDUP(IF(AND($Q$1=FALSE,$S$3=FALSE),"-",IF(AND($Q$1=TRUE,$S$3=TRUE),"-",IF(AND($Q$1=TRUE,$S$1=TRUE,$S$4=FALSE),VLOOKUP($E282,'Status Thresholds'!$E:$AS,13,FALSE),IF(AND($Q$1=TRUE,$S$4=FALSE),VLOOKUP($E282,'Status Thresholds'!$E:$AS,3,FALSE), IF(AND($Q$1=TRUE,$S$1=TRUE,$S$4=TRUE),VLOOKUP($E282,'Status Thresholds'!$E:$AS,18,FALSE),IF(AND($Q$1=TRUE,$S$4=TRUE),VLOOKUP($E282,'Status Thresholds'!$E:$AS,8,FALSE),IF(AND($S$3=TRUE,$S$1=TRUE,$S$4=FALSE),VLOOKUP($E282,'Status Thresholds'!$E:$AS,33,FALSE),IF(AND($S$3=TRUE,$S$4=FALSE),VLOOKUP($E282,'Status Thresholds'!$E:$AS,23,FALSE),IF(AND($S$3=TRUE,$S$1=TRUE,$S$4=TRUE),VLOOKUP($E282,'Status Thresholds'!$E:$AS,38,FALSE),IF(AND($S$3=TRUE,$S$4=TRUE),VLOOKUP($E282,'Status Thresholds'!$E:$AS,28,FALSE),""))))))))/IF(OR($Q$3=TRUE,AND($Q$2=TRUE,$Q$7=TRUE),AND($Q$3=TRUE,$Q$7=TRUE))=TRUE,'Shots and Status'!$F$5,IF((OR($Q$2,$Q$7)=TRUE),'Shots and Status'!$D$5,'Shots and Status'!$C$5)))),0),"-")</f>
        <v>-</v>
      </c>
      <c r="J282" s="36" t="str">
        <f>IFERROR(ROUNDUP(IF(AND($Q$1=FALSE,$S$3=FALSE),"-",IF(AND($Q$1=TRUE,$S$3=TRUE),"-",IF(AND($Q$1=TRUE,$S$1=TRUE,$S$4=FALSE),VLOOKUP($E282,'Status Thresholds'!$E:$AS,14,FALSE),IF(AND($Q$1=TRUE,$S$4=FALSE),VLOOKUP($E282,'Status Thresholds'!$E:$AS,4,FALSE), IF(AND($Q$1=TRUE,$S$1=TRUE,$S$4=TRUE),VLOOKUP($E282,'Status Thresholds'!$E:$AS,19,FALSE),IF(AND($Q$1=TRUE,$S$4=TRUE),VLOOKUP($E282,'Status Thresholds'!$E:$AS,9,FALSE),IF(AND($S$3=TRUE,$S$1=TRUE,$S$4=FALSE),VLOOKUP($E282,'Status Thresholds'!$E:$AS,34,FALSE),IF(AND($S$3=TRUE,$S$4=FALSE),VLOOKUP($E282,'Status Thresholds'!$E:$AS,24,FALSE),IF(AND($S$3=TRUE,$S$1=TRUE,$S$4=TRUE),VLOOKUP($E282,'Status Thresholds'!$E:$AS,39,FALSE),IF(AND($S$3=TRUE,$S$4=TRUE),VLOOKUP($E282,'Status Thresholds'!$E:$AS,29,FALSE),""))))))))/IF(OR($Q$3=TRUE,AND($Q$2=TRUE,$Q$7=TRUE),AND($Q$3=TRUE,$Q$7=TRUE))=TRUE,'Shots and Status'!$F$5,IF((OR($Q$2,$Q$7)=TRUE),'Shots and Status'!$D$5,'Shots and Status'!$C$5)))),0),"-")</f>
        <v>-</v>
      </c>
      <c r="K282" s="36" t="str">
        <f>IFERROR(ROUNDUP(IF(AND($Q$1=FALSE,$S$3=FALSE),"-",IF(AND($Q$1=TRUE,$S$3=TRUE),"-",IF(AND($Q$1=TRUE,$S$1=TRUE,$S$4=FALSE),VLOOKUP($E282,'Status Thresholds'!$E:$AS,15,FALSE),IF(AND($Q$1=TRUE,$S$4=FALSE),VLOOKUP($E282,'Status Thresholds'!$E:$AS,5,FALSE), IF(AND($Q$1=TRUE,$S$1=TRUE,$S$4=TRUE),VLOOKUP($E282,'Status Thresholds'!$E:$AS,20,FALSE),IF(AND($Q$1=TRUE,$S$4=TRUE),VLOOKUP($E282,'Status Thresholds'!$E:$AS,10,FALSE),IF(AND($S$3=TRUE,$S$1=TRUE,$S$4=FALSE),VLOOKUP($E282,'Status Thresholds'!$E:$AS,35,FALSE),IF(AND($S$3=TRUE,$S$4=FALSE),VLOOKUP($E282,'Status Thresholds'!$E:$AS,25,FALSE),IF(AND($S$3=TRUE,$S$1=TRUE,$S$4=TRUE),VLOOKUP($E282,'Status Thresholds'!$E:$AS,40,FALSE),IF(AND($S$3=TRUE,$S$4=TRUE),VLOOKUP($E282,'Status Thresholds'!$E:$AS,30,FALSE),""))))))))/IF(OR($Q$3=TRUE,AND($Q$2=TRUE,$Q$7=TRUE),AND($Q$3=TRUE,$Q$7=TRUE))=TRUE,'Shots and Status'!$F$5,IF((OR($Q$2,$Q$7)=TRUE),'Shots and Status'!$D$5,'Shots and Status'!$C$5)))),0),"-")</f>
        <v>-</v>
      </c>
      <c r="L282" s="36" t="str">
        <f>IFERROR(IF(AND($Q$1=FALSE,$S$3=FALSE),"-",VLOOKUP($E282,'Status Thresholds'!$E:$AU,41,FALSE)),"-")</f>
        <v>-</v>
      </c>
      <c r="M282" s="36" t="str">
        <f>IFERROR(IF(AND($Q$1=FALSE,$S$3=FALSE),"-",VLOOKUP($E282,'Status Thresholds'!$E:$AU,42,FALSE)),"-")</f>
        <v>-</v>
      </c>
      <c r="N282" s="36" t="str">
        <f>IFERROR(IF(AND($Q$1=FALSE,$S$3=FALSE),"-",VLOOKUP($E282,'Status Thresholds'!$E:$AU,43,FALSE)),"-")</f>
        <v>-</v>
      </c>
    </row>
    <row r="283" spans="1:14" s="36" customFormat="1" x14ac:dyDescent="0.25">
      <c r="A283" s="46"/>
      <c r="B283" s="64" t="str">
        <f>VLOOKUP(C283,'Status Thresholds'!B:C,2,FALSE)</f>
        <v>MHGen</v>
      </c>
      <c r="C283" s="46" t="str">
        <f>IF(ISBLANK('KO Calc'!C279)=TRUE,"",'KO Calc'!C279)</f>
        <v>Durambros</v>
      </c>
      <c r="D283" s="67" t="s">
        <v>14</v>
      </c>
      <c r="E283" s="62" t="str">
        <f t="shared" si="7"/>
        <v>DurambrosKO</v>
      </c>
      <c r="F283" s="36" t="s">
        <v>21</v>
      </c>
      <c r="G283" s="36" t="str">
        <f t="shared" si="8"/>
        <v>DurambrosTriblast</v>
      </c>
      <c r="H283" s="36" t="str">
        <f>IF(AND($Q$1=FALSE,$S$3=FALSE),"-",IF(AND($Q$1=TRUE,$S$3=TRUE),"-",IF(AND($Q$1=FALSE,$S$3=FALSE),"-",IF(AND($Q$1=TRUE,$S$1=TRUE,$S$4=FALSE)=TRUE,IF(OR($Q$4=TRUE,$Q$5=TRUE,$S$2=TRUE),VLOOKUP($G283,'KO Calc'!$H:$AW,12,FALSE),VLOOKUP($G283,'KO Calc'!$H289:$AW289,12,FALSE)),IF(AND($Q$1=TRUE,$S$4=FALSE),IF(OR($Q$4=TRUE,$Q$5=TRUE,$S$2=TRUE),VLOOKUP($G283,'KO Calc'!$H:$AW,2,FALSE),VLOOKUP($G283,'KO Calc'!$H289:$AW289,2,FALSE)),
IF(AND($Q$1=TRUE,$S$1=TRUE,$S$4=TRUE)=TRUE,IF(OR($Q$4=TRUE,$Q$5=TRUE,$S$2=TRUE),VLOOKUP($G283,'KO Calc'!$H:$AW,17,FALSE),VLOOKUP($G283,'KO Calc'!$H289:$AW289,17,FALSE)),IF(AND($Q$1=TRUE,$S$4=TRUE),IF(OR($Q$4=TRUE,$Q$5=TRUE,$S$2=TRUE),VLOOKUP($G283,'KO Calc'!$H:$AW,7,FALSE),VLOOKUP($G283,'KO Calc'!$H289:$AW289,7,FALSE)),
IF(AND($S$3=TRUE,$S$1=TRUE,$S$4=FALSE)=TRUE,IF(OR($Q$4=TRUE,$Q$5=TRUE,$S$2=TRUE),VLOOKUP($G283,'KO Calc'!$H:$AW,32,FALSE),VLOOKUP($G283,'KO Calc'!$H289:$AW289,32,FALSE)),IF(AND($S$3=TRUE,$S$4=FALSE),IF(OR($Q$4=TRUE,$Q$5=TRUE,$S$2=TRUE),VLOOKUP($G283,'KO Calc'!$H:$AW,22,FALSE),VLOOKUP($G283,'KO Calc'!$H289:$AW289,22,FALSE)),
IF(AND($S$3=TRUE,$S$1=TRUE,$S$4=TRUE)=TRUE,IF(OR($Q$4=TRUE,$Q$5=TRUE,$S$2=TRUE),VLOOKUP($G283,'KO Calc'!$H:$AW,37,FALSE),VLOOKUP($G283,'KO Calc'!$H289:$AW289,37,FALSE)),IF(AND($S$3=TRUE,$S$4=TRUE),IF(OR($Q$4=TRUE,$Q$5=TRUE,$S$2=TRUE),VLOOKUP($G283,'KO Calc'!$H:$AW,27,FALSE),VLOOKUP($G283,'KO Calc'!$H289:$AW289,27,FALSE)))))))))))))</f>
        <v>-</v>
      </c>
      <c r="I283" s="36" t="str">
        <f>IF(AND($Q$1=FALSE,$S$3=FALSE),"-",IF(AND($Q$1=TRUE,$S$3=TRUE),"-",IF(AND($Q$1=FALSE,$S$3=FALSE),"-",IF(AND($Q$1=TRUE,$S$1=TRUE,$S$4=FALSE)=TRUE,IF(OR($Q$4=TRUE,$Q$5=TRUE,$S$2=TRUE),VLOOKUP($G283,'KO Calc'!$H:$AW,13,FALSE),VLOOKUP($G283,'KO Calc'!$H289:$AW289,13,FALSE)),IF(AND($Q$1=TRUE,$S$4=FALSE),IF(OR($Q$4=TRUE,$Q$5=TRUE,$S$2=TRUE),VLOOKUP($G283,'KO Calc'!$H:$AW,3,FALSE),VLOOKUP($G283,'KO Calc'!$H289:$AW289,3,FALSE)),
IF(AND($Q$1=TRUE,$S$1=TRUE,$S$4=TRUE)=TRUE,IF(OR($Q$4=TRUE,$Q$5=TRUE,$S$2=TRUE),VLOOKUP($G283,'KO Calc'!$H:$AW,18,FALSE),VLOOKUP($G283,'KO Calc'!$H289:$AW289,18,FALSE)),IF(AND($Q$1=TRUE,$S$4=TRUE),IF(OR($Q$4=TRUE,$Q$5=TRUE,$S$2=TRUE),VLOOKUP($G283,'KO Calc'!$H:$AW,8,FALSE),VLOOKUP($G283,'KO Calc'!$H289:$AW289,8,FALSE)),
IF(AND($S$3=TRUE,$S$1=TRUE,$S$4=FALSE)=TRUE,IF(OR($Q$4=TRUE,$Q$5=TRUE,$S$2=TRUE),VLOOKUP($G283,'KO Calc'!$H:$AW,33,FALSE),VLOOKUP($G283,'KO Calc'!$H289:$AW289,33,FALSE)),IF(AND($S$3=TRUE,$S$4=FALSE),IF(OR($Q$4=TRUE,$Q$5=TRUE,$S$2=TRUE),VLOOKUP($G283,'KO Calc'!$H:$AW,23,FALSE),VLOOKUP($G283,'KO Calc'!$H289:$AW289,23,FALSE)),
IF(AND($S$3=TRUE,$S$1=TRUE,$S$4=TRUE)=TRUE,IF(OR($Q$4=TRUE,$Q$5=TRUE,$S$2=TRUE),VLOOKUP($G283,'KO Calc'!$H:$AW,38,FALSE),VLOOKUP($G283,'KO Calc'!$H289:$AW289,38,FALSE)),IF(AND($S$3=TRUE,$S$4=TRUE),IF(OR($Q$4=TRUE,$Q$5=TRUE,$S$2=TRUE),VLOOKUP($G283,'KO Calc'!$H:$AW,28,FALSE),VLOOKUP($G283,'KO Calc'!$H289:$AW289,28,FALSE)))))))))))))</f>
        <v>-</v>
      </c>
      <c r="J283" s="36" t="str">
        <f>IF(AND($Q$1=FALSE,$S$3=FALSE),"-",IF(AND($Q$1=TRUE,$S$3=TRUE),"-",IF(AND($Q$1=FALSE,$S$3=FALSE),"-",IF(AND($Q$1=TRUE,$S$1=TRUE,$S$4=FALSE)=TRUE,IF(OR($Q$4=TRUE,$Q$5=TRUE,$S$2=TRUE),VLOOKUP($G283,'KO Calc'!$H:$AW,FALSE),VLOOKUP($G283,'KO Calc'!$H289:$AW289,14,FALSE)),IF(AND($Q$1=TRUE,$S$4=FALSE),IF(OR($Q$4=TRUE,$Q$5=TRUE,$S$2=TRUE),VLOOKUP($G283,'KO Calc'!$H:$AW,4,FALSE),VLOOKUP($G283,'KO Calc'!$H289:$AW289,4,FALSE)),
IF(AND($Q$1=TRUE,$S$1=TRUE,$S$4=TRUE)=TRUE,IF(OR($Q$4=TRUE,$Q$5=TRUE,$S$2=TRUE),VLOOKUP($G283,'KO Calc'!$H:$AW,19,FALSE),VLOOKUP($G283,'KO Calc'!$H289:$AW289,19,FALSE)),IF(AND($Q$1=TRUE,$S$4=TRUE),IF(OR($Q$4=TRUE,$Q$5=TRUE,$S$2=TRUE),VLOOKUP($G283,'KO Calc'!$H:$AW,9,FALSE),VLOOKUP($G283,'KO Calc'!$H289:$AW289,9,FALSE)),
IF(AND($S$3=TRUE,$S$1=TRUE,$S$4=FALSE)=TRUE,IF(OR($Q$4=TRUE,$Q$5=TRUE,$S$2=TRUE),VLOOKUP($G283,'KO Calc'!$H:$AW,34,FALSE),VLOOKUP($G283,'KO Calc'!$H289:$AW289,34,FALSE)),IF(AND($S$3=TRUE,$S$4=FALSE),IF(OR($Q$4=TRUE,$Q$5=TRUE,$S$2=TRUE),VLOOKUP($G283,'KO Calc'!$H:$AW,24,FALSE),VLOOKUP($G283,'KO Calc'!$H289:$AW289,24,FALSE)),
IF(AND($S$3=TRUE,$S$1=TRUE,$S$4=TRUE)=TRUE,IF(OR($Q$4=TRUE,$Q$5=TRUE,$S$2=TRUE),VLOOKUP($G283,'KO Calc'!$H:$AW,39,FALSE),VLOOKUP($G283,'KO Calc'!$H289:$AW289,39,FALSE)),IF(AND($S$3=TRUE,$S$4=TRUE),IF(OR($Q$4=TRUE,$Q$5=TRUE,$S$2=TRUE),VLOOKUP($G283,'KO Calc'!$H:$AW,29,FALSE),VLOOKUP($G283,'KO Calc'!$H289:$AW289,29,FALSE)))))))))))))</f>
        <v>-</v>
      </c>
      <c r="K283" s="36" t="str">
        <f>IF(AND($Q$1=FALSE,$S$3=FALSE),"-",IF(AND($Q$1=TRUE,$S$3=TRUE),"-",IF(AND($Q$1=FALSE,$S$3=FALSE),"-",IF(AND($Q$1=TRUE,$S$1=TRUE,$S$4=FALSE)=TRUE,IF(OR($Q$4=TRUE,$Q$5=TRUE,$S$2=TRUE),VLOOKUP($G283,'KO Calc'!$H:$AW,15,FALSE),VLOOKUP($G283,'KO Calc'!$H289:$AW289,15,FALSE)),IF(AND($Q$1=TRUE,$S$4=FALSE),IF(OR($Q$4=TRUE,$Q$5=TRUE,$S$2=TRUE),VLOOKUP($G283,'KO Calc'!$H:$AW,5,FALSE),VLOOKUP($G283,'KO Calc'!$H289:$AW289,5,FALSE)),
IF(AND($Q$1=TRUE,$S$1=TRUE,$S$4=TRUE)=TRUE,IF(OR($Q$4=TRUE,$Q$5=TRUE,$S$2=TRUE),VLOOKUP($G283,'KO Calc'!$H:$AW,20,FALSE),VLOOKUP($G283,'KO Calc'!$H289:$AW289,20,FALSE)),IF(AND($Q$1=TRUE,$S$4=TRUE),IF(OR($Q$4=TRUE,$Q$5=TRUE,$S$2=TRUE),VLOOKUP($G283,'KO Calc'!$H:$AW,10,FALSE),VLOOKUP($G283,'KO Calc'!$H289:$AW289,10,FALSE)),
IF(AND($S$3=TRUE,$S$1=TRUE,$S$4=FALSE)=TRUE,IF(OR($Q$4=TRUE,$Q$5=TRUE,$S$2=TRUE),VLOOKUP($G283,'KO Calc'!$H:$AW,35,FALSE),VLOOKUP($G283,'KO Calc'!$H289:$AW289,35,FALSE)),IF(AND($S$3=TRUE,$S$4=FALSE),IF(OR($Q$4=TRUE,$Q$5=TRUE,$S$2=TRUE),VLOOKUP($G283,'KO Calc'!$H:$AW,25,FALSE),VLOOKUP($G283,'KO Calc'!$H289:$AW289,25,FALSE)),
IF(AND($S$3=TRUE,$S$1=TRUE,$S$4=TRUE)=TRUE,IF(OR($Q$4=TRUE,$Q$5=TRUE,$S$2=TRUE),VLOOKUP($G283,'KO Calc'!$H:$AW,40,FALSE),VLOOKUP($G283,'KO Calc'!$H289:$AW289,40,FALSE)),IF(AND($S$3=TRUE,$S$4=TRUE),IF(OR($Q$4=TRUE,$Q$5=TRUE,$S$2=TRUE),VLOOKUP($G283,'KO Calc'!$H:$AW,30,FALSE),VLOOKUP($G283,'KO Calc'!$H289:$AW289,30,FALSE)))))))))))))</f>
        <v>-</v>
      </c>
      <c r="L283" s="36" t="str">
        <f>IFERROR(IF(AND($Q$1=FALSE,$S$3=FALSE),"-",VLOOKUP($E283,'Status Thresholds'!$E:$AU,41,FALSE)),"-")</f>
        <v>-</v>
      </c>
      <c r="M283" s="36" t="str">
        <f>IFERROR(IF(AND($Q$1=FALSE,$S$3=FALSE),"-",VLOOKUP($E283,'Status Thresholds'!$E:$AU,42,FALSE)),"-")</f>
        <v>-</v>
      </c>
      <c r="N283" s="36" t="str">
        <f>IFERROR(IF(AND($Q$1=FALSE,$S$3=FALSE),"-",VLOOKUP($E283,'Status Thresholds'!$E:$AU,43,FALSE)),"-")</f>
        <v>-</v>
      </c>
    </row>
    <row r="284" spans="1:14" x14ac:dyDescent="0.25">
      <c r="B284" s="64" t="str">
        <f>VLOOKUP(C284,'Status Thresholds'!B:C,2,FALSE)</f>
        <v>MHGen</v>
      </c>
      <c r="C284" s="46" t="str">
        <f>IF(ISBLANK('KO Calc'!C280)=TRUE,"",'KO Calc'!C280)</f>
        <v>Durambros</v>
      </c>
      <c r="D284" s="78" t="s">
        <v>207</v>
      </c>
      <c r="E284" s="62" t="str">
        <f t="shared" si="7"/>
        <v>DurambrosShock Trap</v>
      </c>
      <c r="F284" t="s">
        <v>13</v>
      </c>
      <c r="G284" s="36" t="str">
        <f t="shared" si="8"/>
        <v>DurambrosCrag 3</v>
      </c>
      <c r="H284" s="36" t="str">
        <f>IF(AND($Q$1=FALSE,$S$3=FALSE),"-",IF(AND($Q$1=TRUE,$S$3=TRUE),"-",IF(AND($Q$1=FALSE,$S$3=FALSE),"-",IF(AND($Q$1=TRUE,$S$1=TRUE,$S$4=FALSE)=TRUE,IF(OR($Q$4=TRUE,$Q$5=TRUE,$S$2=TRUE),VLOOKUP($G284,'KO Calc'!$H:$AW,12,FALSE),VLOOKUP($G284,'KO Calc'!$H290:$AW290,12,FALSE)),IF(AND($Q$1=TRUE,$S$4=FALSE),IF(OR($Q$4=TRUE,$Q$5=TRUE,$S$2=TRUE),VLOOKUP($G284,'KO Calc'!$H:$AW,2,FALSE),VLOOKUP($G284,'KO Calc'!$H290:$AW290,2,FALSE)),
IF(AND($Q$1=TRUE,$S$1=TRUE,$S$4=TRUE)=TRUE,IF(OR($Q$4=TRUE,$Q$5=TRUE,$S$2=TRUE),VLOOKUP($G284,'KO Calc'!$H:$AW,17,FALSE),VLOOKUP($G284,'KO Calc'!$H290:$AW290,17,FALSE)),IF(AND($Q$1=TRUE,$S$4=TRUE),IF(OR($Q$4=TRUE,$Q$5=TRUE,$S$2=TRUE),VLOOKUP($G284,'KO Calc'!$H:$AW,7,FALSE),VLOOKUP($G284,'KO Calc'!$H290:$AW290,7,FALSE)),
IF(AND($S$3=TRUE,$S$1=TRUE,$S$4=FALSE)=TRUE,IF(OR($Q$4=TRUE,$Q$5=TRUE,$S$2=TRUE),VLOOKUP($G284,'KO Calc'!$H:$AW,32,FALSE),VLOOKUP($G284,'KO Calc'!$H290:$AW290,32,FALSE)),IF(AND($S$3=TRUE,$S$4=FALSE),IF(OR($Q$4=TRUE,$Q$5=TRUE,$S$2=TRUE),VLOOKUP($G284,'KO Calc'!$H:$AW,22,FALSE),VLOOKUP($G284,'KO Calc'!$H290:$AW290,22,FALSE)),
IF(AND($S$3=TRUE,$S$1=TRUE,$S$4=TRUE)=TRUE,IF(OR($Q$4=TRUE,$Q$5=TRUE,$S$2=TRUE),VLOOKUP($G284,'KO Calc'!$H:$AW,37,FALSE),VLOOKUP($G284,'KO Calc'!$H290:$AW290,37,FALSE)),IF(AND($S$3=TRUE,$S$4=TRUE),IF(OR($Q$4=TRUE,$Q$5=TRUE,$S$2=TRUE),VLOOKUP($G284,'KO Calc'!$H:$AW,27,FALSE),VLOOKUP($G284,'KO Calc'!$H290:$AW290,27,FALSE)))))))))))))</f>
        <v>-</v>
      </c>
      <c r="I284" s="36" t="str">
        <f>IF(AND($Q$1=FALSE,$S$3=FALSE),"-",IF(AND($Q$1=TRUE,$S$3=TRUE),"-",IF(AND($Q$1=FALSE,$S$3=FALSE),"-",IF(AND($Q$1=TRUE,$S$1=TRUE,$S$4=FALSE)=TRUE,IF(OR($Q$4=TRUE,$Q$5=TRUE,$S$2=TRUE),VLOOKUP($G284,'KO Calc'!$H:$AW,13,FALSE),VLOOKUP($G284,'KO Calc'!$H290:$AW290,13,FALSE)),IF(AND($Q$1=TRUE,$S$4=FALSE),IF(OR($Q$4=TRUE,$Q$5=TRUE,$S$2=TRUE),VLOOKUP($G284,'KO Calc'!$H:$AW,3,FALSE),VLOOKUP($G284,'KO Calc'!$H290:$AW290,3,FALSE)),
IF(AND($Q$1=TRUE,$S$1=TRUE,$S$4=TRUE)=TRUE,IF(OR($Q$4=TRUE,$Q$5=TRUE,$S$2=TRUE),VLOOKUP($G284,'KO Calc'!$H:$AW,18,FALSE),VLOOKUP($G284,'KO Calc'!$H290:$AW290,18,FALSE)),IF(AND($Q$1=TRUE,$S$4=TRUE),IF(OR($Q$4=TRUE,$Q$5=TRUE,$S$2=TRUE),VLOOKUP($G284,'KO Calc'!$H:$AW,8,FALSE),VLOOKUP($G284,'KO Calc'!$H290:$AW290,8,FALSE)),
IF(AND($S$3=TRUE,$S$1=TRUE,$S$4=FALSE)=TRUE,IF(OR($Q$4=TRUE,$Q$5=TRUE,$S$2=TRUE),VLOOKUP($G284,'KO Calc'!$H:$AW,33,FALSE),VLOOKUP($G284,'KO Calc'!$H290:$AW290,33,FALSE)),IF(AND($S$3=TRUE,$S$4=FALSE),IF(OR($Q$4=TRUE,$Q$5=TRUE,$S$2=TRUE),VLOOKUP($G284,'KO Calc'!$H:$AW,23,FALSE),VLOOKUP($G284,'KO Calc'!$H290:$AW290,23,FALSE)),
IF(AND($S$3=TRUE,$S$1=TRUE,$S$4=TRUE)=TRUE,IF(OR($Q$4=TRUE,$Q$5=TRUE,$S$2=TRUE),VLOOKUP($G284,'KO Calc'!$H:$AW,38,FALSE),VLOOKUP($G284,'KO Calc'!$H290:$AW290,38,FALSE)),IF(AND($S$3=TRUE,$S$4=TRUE),IF(OR($Q$4=TRUE,$Q$5=TRUE,$S$2=TRUE),VLOOKUP($G284,'KO Calc'!$H:$AW,28,FALSE),VLOOKUP($G284,'KO Calc'!$H290:$AW290,28,FALSE)))))))))))))</f>
        <v>-</v>
      </c>
      <c r="J284" s="36" t="str">
        <f>IF(AND($Q$1=FALSE,$S$3=FALSE),"-",IF(AND($Q$1=TRUE,$S$3=TRUE),"-",IF(AND($Q$1=FALSE,$S$3=FALSE),"-",IF(AND($Q$1=TRUE,$S$1=TRUE,$S$4=FALSE)=TRUE,IF(OR($Q$4=TRUE,$Q$5=TRUE,$S$2=TRUE),VLOOKUP($G284,'KO Calc'!$H:$AW,FALSE),VLOOKUP($G284,'KO Calc'!$H290:$AW290,14,FALSE)),IF(AND($Q$1=TRUE,$S$4=FALSE),IF(OR($Q$4=TRUE,$Q$5=TRUE,$S$2=TRUE),VLOOKUP($G284,'KO Calc'!$H:$AW,4,FALSE),VLOOKUP($G284,'KO Calc'!$H290:$AW290,4,FALSE)),
IF(AND($Q$1=TRUE,$S$1=TRUE,$S$4=TRUE)=TRUE,IF(OR($Q$4=TRUE,$Q$5=TRUE,$S$2=TRUE),VLOOKUP($G284,'KO Calc'!$H:$AW,19,FALSE),VLOOKUP($G284,'KO Calc'!$H290:$AW290,19,FALSE)),IF(AND($Q$1=TRUE,$S$4=TRUE),IF(OR($Q$4=TRUE,$Q$5=TRUE,$S$2=TRUE),VLOOKUP($G284,'KO Calc'!$H:$AW,9,FALSE),VLOOKUP($G284,'KO Calc'!$H290:$AW290,9,FALSE)),
IF(AND($S$3=TRUE,$S$1=TRUE,$S$4=FALSE)=TRUE,IF(OR($Q$4=TRUE,$Q$5=TRUE,$S$2=TRUE),VLOOKUP($G284,'KO Calc'!$H:$AW,34,FALSE),VLOOKUP($G284,'KO Calc'!$H290:$AW290,34,FALSE)),IF(AND($S$3=TRUE,$S$4=FALSE),IF(OR($Q$4=TRUE,$Q$5=TRUE,$S$2=TRUE),VLOOKUP($G284,'KO Calc'!$H:$AW,24,FALSE),VLOOKUP($G284,'KO Calc'!$H290:$AW290,24,FALSE)),
IF(AND($S$3=TRUE,$S$1=TRUE,$S$4=TRUE)=TRUE,IF(OR($Q$4=TRUE,$Q$5=TRUE,$S$2=TRUE),VLOOKUP($G284,'KO Calc'!$H:$AW,39,FALSE),VLOOKUP($G284,'KO Calc'!$H290:$AW290,39,FALSE)),IF(AND($S$3=TRUE,$S$4=TRUE),IF(OR($Q$4=TRUE,$Q$5=TRUE,$S$2=TRUE),VLOOKUP($G284,'KO Calc'!$H:$AW,29,FALSE),VLOOKUP($G284,'KO Calc'!$H290:$AW290,29,FALSE)))))))))))))</f>
        <v>-</v>
      </c>
      <c r="K284" s="36" t="str">
        <f>IF(AND($Q$1=FALSE,$S$3=FALSE),"-",IF(AND($Q$1=TRUE,$S$3=TRUE),"-",IF(AND($Q$1=FALSE,$S$3=FALSE),"-",IF(AND($Q$1=TRUE,$S$1=TRUE,$S$4=FALSE)=TRUE,IF(OR($Q$4=TRUE,$Q$5=TRUE,$S$2=TRUE),VLOOKUP($G284,'KO Calc'!$H:$AW,15,FALSE),VLOOKUP($G284,'KO Calc'!$H290:$AW290,15,FALSE)),IF(AND($Q$1=TRUE,$S$4=FALSE),IF(OR($Q$4=TRUE,$Q$5=TRUE,$S$2=TRUE),VLOOKUP($G284,'KO Calc'!$H:$AW,5,FALSE),VLOOKUP($G284,'KO Calc'!$H290:$AW290,5,FALSE)),
IF(AND($Q$1=TRUE,$S$1=TRUE,$S$4=TRUE)=TRUE,IF(OR($Q$4=TRUE,$Q$5=TRUE,$S$2=TRUE),VLOOKUP($G284,'KO Calc'!$H:$AW,20,FALSE),VLOOKUP($G284,'KO Calc'!$H290:$AW290,20,FALSE)),IF(AND($Q$1=TRUE,$S$4=TRUE),IF(OR($Q$4=TRUE,$Q$5=TRUE,$S$2=TRUE),VLOOKUP($G284,'KO Calc'!$H:$AW,10,FALSE),VLOOKUP($G284,'KO Calc'!$H290:$AW290,10,FALSE)),
IF(AND($S$3=TRUE,$S$1=TRUE,$S$4=FALSE)=TRUE,IF(OR($Q$4=TRUE,$Q$5=TRUE,$S$2=TRUE),VLOOKUP($G284,'KO Calc'!$H:$AW,35,FALSE),VLOOKUP($G284,'KO Calc'!$H290:$AW290,35,FALSE)),IF(AND($S$3=TRUE,$S$4=FALSE),IF(OR($Q$4=TRUE,$Q$5=TRUE,$S$2=TRUE),VLOOKUP($G284,'KO Calc'!$H:$AW,25,FALSE),VLOOKUP($G284,'KO Calc'!$H290:$AW290,25,FALSE)),
IF(AND($S$3=TRUE,$S$1=TRUE,$S$4=TRUE)=TRUE,IF(OR($Q$4=TRUE,$Q$5=TRUE,$S$2=TRUE),VLOOKUP($G284,'KO Calc'!$H:$AW,40,FALSE),VLOOKUP($G284,'KO Calc'!$H290:$AW290,40,FALSE)),IF(AND($S$3=TRUE,$S$4=TRUE),IF(OR($Q$4=TRUE,$Q$5=TRUE,$S$2=TRUE),VLOOKUP($G284,'KO Calc'!$H:$AW,30,FALSE),VLOOKUP($G284,'KO Calc'!$H290:$AW290,30,FALSE)))))))))))))</f>
        <v>-</v>
      </c>
      <c r="L284" s="36" t="str">
        <f>IFERROR(IF(AND($Q$1=FALSE,$S$3=FALSE),"-",VLOOKUP($E284,'Status Thresholds'!$E:$AU,43,FALSE)),"-")</f>
        <v>-</v>
      </c>
      <c r="M284" s="36" t="str">
        <f>IFERROR(IF(AND($Q$1=FALSE,$S$3=FALSE),"-",VLOOKUP($E284,'Status Thresholds'!$E:$AU,41,FALSE)),"-")</f>
        <v>-</v>
      </c>
      <c r="N284" s="36" t="str">
        <f>IFERROR(IF(AND($Q$1=FALSE,$S$3=FALSE),"-",VLOOKUP($E284,'Status Thresholds'!$E:$AU,42,FALSE)),"-")</f>
        <v>-</v>
      </c>
    </row>
    <row r="285" spans="1:14" x14ac:dyDescent="0.25">
      <c r="B285" s="64" t="str">
        <f>VLOOKUP(C285,'Status Thresholds'!B:C,2,FALSE)</f>
        <v>MHGen</v>
      </c>
      <c r="C285" s="46" t="str">
        <f>IF(ISBLANK('KO Calc'!C281)=TRUE,"",'KO Calc'!C281)</f>
        <v>Durambros</v>
      </c>
      <c r="D285" s="78" t="s">
        <v>213</v>
      </c>
      <c r="E285" s="62" t="str">
        <f t="shared" si="7"/>
        <v>DurambrosPitfall Trap</v>
      </c>
      <c r="F285" t="s">
        <v>12</v>
      </c>
      <c r="G285" s="36" t="str">
        <f t="shared" si="8"/>
        <v>DurambrosCrag 2</v>
      </c>
      <c r="H285" s="36" t="str">
        <f>IF(AND($Q$1=FALSE,$S$3=FALSE),"-",IF(AND($Q$1=TRUE,$S$3=TRUE),"-",IF(AND($Q$1=FALSE,$S$3=FALSE),"-",IF(AND($Q$1=TRUE,$S$1=TRUE,$S$4=FALSE)=TRUE,IF(OR($Q$4=TRUE,$Q$5=TRUE,$S$2=TRUE),VLOOKUP($G285,'KO Calc'!$H:$AW,12,FALSE),VLOOKUP($G285,'KO Calc'!$H291:$AW291,12,FALSE)),IF(AND($Q$1=TRUE,$S$4=FALSE),IF(OR($Q$4=TRUE,$Q$5=TRUE,$S$2=TRUE),VLOOKUP($G285,'KO Calc'!$H:$AW,2,FALSE),VLOOKUP($G285,'KO Calc'!$H291:$AW291,2,FALSE)),
IF(AND($Q$1=TRUE,$S$1=TRUE,$S$4=TRUE)=TRUE,IF(OR($Q$4=TRUE,$Q$5=TRUE,$S$2=TRUE),VLOOKUP($G285,'KO Calc'!$H:$AW,17,FALSE),VLOOKUP($G285,'KO Calc'!$H291:$AW291,17,FALSE)),IF(AND($Q$1=TRUE,$S$4=TRUE),IF(OR($Q$4=TRUE,$Q$5=TRUE,$S$2=TRUE),VLOOKUP($G285,'KO Calc'!$H:$AW,7,FALSE),VLOOKUP($G285,'KO Calc'!$H291:$AW291,7,FALSE)),
IF(AND($S$3=TRUE,$S$1=TRUE,$S$4=FALSE)=TRUE,IF(OR($Q$4=TRUE,$Q$5=TRUE,$S$2=TRUE),VLOOKUP($G285,'KO Calc'!$H:$AW,32,FALSE),VLOOKUP($G285,'KO Calc'!$H291:$AW291,32,FALSE)),IF(AND($S$3=TRUE,$S$4=FALSE),IF(OR($Q$4=TRUE,$Q$5=TRUE,$S$2=TRUE),VLOOKUP($G285,'KO Calc'!$H:$AW,22,FALSE),VLOOKUP($G285,'KO Calc'!$H291:$AW291,22,FALSE)),
IF(AND($S$3=TRUE,$S$1=TRUE,$S$4=TRUE)=TRUE,IF(OR($Q$4=TRUE,$Q$5=TRUE,$S$2=TRUE),VLOOKUP($G285,'KO Calc'!$H:$AW,37,FALSE),VLOOKUP($G285,'KO Calc'!$H291:$AW291,37,FALSE)),IF(AND($S$3=TRUE,$S$4=TRUE),IF(OR($Q$4=TRUE,$Q$5=TRUE,$S$2=TRUE),VLOOKUP($G285,'KO Calc'!$H:$AW,27,FALSE),VLOOKUP($G285,'KO Calc'!$H291:$AW291,27,FALSE)))))))))))))</f>
        <v>-</v>
      </c>
      <c r="I285" s="36" t="str">
        <f>IF(AND($Q$1=FALSE,$S$3=FALSE),"-",IF(AND($Q$1=TRUE,$S$3=TRUE),"-",IF(AND($Q$1=FALSE,$S$3=FALSE),"-",IF(AND($Q$1=TRUE,$S$1=TRUE,$S$4=FALSE)=TRUE,IF(OR($Q$4=TRUE,$Q$5=TRUE,$S$2=TRUE),VLOOKUP($G285,'KO Calc'!$H:$AW,13,FALSE),VLOOKUP($G285,'KO Calc'!$H291:$AW291,13,FALSE)),IF(AND($Q$1=TRUE,$S$4=FALSE),IF(OR($Q$4=TRUE,$Q$5=TRUE,$S$2=TRUE),VLOOKUP($G285,'KO Calc'!$H:$AW,3,FALSE),VLOOKUP($G285,'KO Calc'!$H291:$AW291,3,FALSE)),
IF(AND($Q$1=TRUE,$S$1=TRUE,$S$4=TRUE)=TRUE,IF(OR($Q$4=TRUE,$Q$5=TRUE,$S$2=TRUE),VLOOKUP($G285,'KO Calc'!$H:$AW,18,FALSE),VLOOKUP($G285,'KO Calc'!$H291:$AW291,18,FALSE)),IF(AND($Q$1=TRUE,$S$4=TRUE),IF(OR($Q$4=TRUE,$Q$5=TRUE,$S$2=TRUE),VLOOKUP($G285,'KO Calc'!$H:$AW,8,FALSE),VLOOKUP($G285,'KO Calc'!$H291:$AW291,8,FALSE)),
IF(AND($S$3=TRUE,$S$1=TRUE,$S$4=FALSE)=TRUE,IF(OR($Q$4=TRUE,$Q$5=TRUE,$S$2=TRUE),VLOOKUP($G285,'KO Calc'!$H:$AW,33,FALSE),VLOOKUP($G285,'KO Calc'!$H291:$AW291,33,FALSE)),IF(AND($S$3=TRUE,$S$4=FALSE),IF(OR($Q$4=TRUE,$Q$5=TRUE,$S$2=TRUE),VLOOKUP($G285,'KO Calc'!$H:$AW,23,FALSE),VLOOKUP($G285,'KO Calc'!$H291:$AW291,23,FALSE)),
IF(AND($S$3=TRUE,$S$1=TRUE,$S$4=TRUE)=TRUE,IF(OR($Q$4=TRUE,$Q$5=TRUE,$S$2=TRUE),VLOOKUP($G285,'KO Calc'!$H:$AW,38,FALSE),VLOOKUP($G285,'KO Calc'!$H291:$AW291,38,FALSE)),IF(AND($S$3=TRUE,$S$4=TRUE),IF(OR($Q$4=TRUE,$Q$5=TRUE,$S$2=TRUE),VLOOKUP($G285,'KO Calc'!$H:$AW,28,FALSE),VLOOKUP($G285,'KO Calc'!$H291:$AW291,28,FALSE)))))))))))))</f>
        <v>-</v>
      </c>
      <c r="J285" s="36" t="str">
        <f>IF(AND($Q$1=FALSE,$S$3=FALSE),"-",IF(AND($Q$1=TRUE,$S$3=TRUE),"-",IF(AND($Q$1=FALSE,$S$3=FALSE),"-",IF(AND($Q$1=TRUE,$S$1=TRUE,$S$4=FALSE)=TRUE,IF(OR($Q$4=TRUE,$Q$5=TRUE,$S$2=TRUE),VLOOKUP($G285,'KO Calc'!$H:$AW,FALSE),VLOOKUP($G285,'KO Calc'!$H291:$AW291,14,FALSE)),IF(AND($Q$1=TRUE,$S$4=FALSE),IF(OR($Q$4=TRUE,$Q$5=TRUE,$S$2=TRUE),VLOOKUP($G285,'KO Calc'!$H:$AW,4,FALSE),VLOOKUP($G285,'KO Calc'!$H291:$AW291,4,FALSE)),
IF(AND($Q$1=TRUE,$S$1=TRUE,$S$4=TRUE)=TRUE,IF(OR($Q$4=TRUE,$Q$5=TRUE,$S$2=TRUE),VLOOKUP($G285,'KO Calc'!$H:$AW,19,FALSE),VLOOKUP($G285,'KO Calc'!$H291:$AW291,19,FALSE)),IF(AND($Q$1=TRUE,$S$4=TRUE),IF(OR($Q$4=TRUE,$Q$5=TRUE,$S$2=TRUE),VLOOKUP($G285,'KO Calc'!$H:$AW,9,FALSE),VLOOKUP($G285,'KO Calc'!$H291:$AW291,9,FALSE)),
IF(AND($S$3=TRUE,$S$1=TRUE,$S$4=FALSE)=TRUE,IF(OR($Q$4=TRUE,$Q$5=TRUE,$S$2=TRUE),VLOOKUP($G285,'KO Calc'!$H:$AW,34,FALSE),VLOOKUP($G285,'KO Calc'!$H291:$AW291,34,FALSE)),IF(AND($S$3=TRUE,$S$4=FALSE),IF(OR($Q$4=TRUE,$Q$5=TRUE,$S$2=TRUE),VLOOKUP($G285,'KO Calc'!$H:$AW,24,FALSE),VLOOKUP($G285,'KO Calc'!$H291:$AW291,24,FALSE)),
IF(AND($S$3=TRUE,$S$1=TRUE,$S$4=TRUE)=TRUE,IF(OR($Q$4=TRUE,$Q$5=TRUE,$S$2=TRUE),VLOOKUP($G285,'KO Calc'!$H:$AW,39,FALSE),VLOOKUP($G285,'KO Calc'!$H291:$AW291,39,FALSE)),IF(AND($S$3=TRUE,$S$4=TRUE),IF(OR($Q$4=TRUE,$Q$5=TRUE,$S$2=TRUE),VLOOKUP($G285,'KO Calc'!$H:$AW,29,FALSE),VLOOKUP($G285,'KO Calc'!$H291:$AW291,29,FALSE)))))))))))))</f>
        <v>-</v>
      </c>
      <c r="K285" s="36" t="str">
        <f>IF(AND($Q$1=FALSE,$S$3=FALSE),"-",IF(AND($Q$1=TRUE,$S$3=TRUE),"-",IF(AND($Q$1=FALSE,$S$3=FALSE),"-",IF(AND($Q$1=TRUE,$S$1=TRUE,$S$4=FALSE)=TRUE,IF(OR($Q$4=TRUE,$Q$5=TRUE,$S$2=TRUE),VLOOKUP($G285,'KO Calc'!$H:$AW,15,FALSE),VLOOKUP($G285,'KO Calc'!$H291:$AW291,15,FALSE)),IF(AND($Q$1=TRUE,$S$4=FALSE),IF(OR($Q$4=TRUE,$Q$5=TRUE,$S$2=TRUE),VLOOKUP($G285,'KO Calc'!$H:$AW,5,FALSE),VLOOKUP($G285,'KO Calc'!$H291:$AW291,5,FALSE)),
IF(AND($Q$1=TRUE,$S$1=TRUE,$S$4=TRUE)=TRUE,IF(OR($Q$4=TRUE,$Q$5=TRUE,$S$2=TRUE),VLOOKUP($G285,'KO Calc'!$H:$AW,20,FALSE),VLOOKUP($G285,'KO Calc'!$H291:$AW291,20,FALSE)),IF(AND($Q$1=TRUE,$S$4=TRUE),IF(OR($Q$4=TRUE,$Q$5=TRUE,$S$2=TRUE),VLOOKUP($G285,'KO Calc'!$H:$AW,10,FALSE),VLOOKUP($G285,'KO Calc'!$H291:$AW291,10,FALSE)),
IF(AND($S$3=TRUE,$S$1=TRUE,$S$4=FALSE)=TRUE,IF(OR($Q$4=TRUE,$Q$5=TRUE,$S$2=TRUE),VLOOKUP($G285,'KO Calc'!$H:$AW,35,FALSE),VLOOKUP($G285,'KO Calc'!$H291:$AW291,35,FALSE)),IF(AND($S$3=TRUE,$S$4=FALSE),IF(OR($Q$4=TRUE,$Q$5=TRUE,$S$2=TRUE),VLOOKUP($G285,'KO Calc'!$H:$AW,25,FALSE),VLOOKUP($G285,'KO Calc'!$H291:$AW291,25,FALSE)),
IF(AND($S$3=TRUE,$S$1=TRUE,$S$4=TRUE)=TRUE,IF(OR($Q$4=TRUE,$Q$5=TRUE,$S$2=TRUE),VLOOKUP($G285,'KO Calc'!$H:$AW,40,FALSE),VLOOKUP($G285,'KO Calc'!$H291:$AW291,40,FALSE)),IF(AND($S$3=TRUE,$S$4=TRUE),IF(OR($Q$4=TRUE,$Q$5=TRUE,$S$2=TRUE),VLOOKUP($G285,'KO Calc'!$H:$AW,30,FALSE),VLOOKUP($G285,'KO Calc'!$H291:$AW291,30,FALSE)))))))))))))</f>
        <v>-</v>
      </c>
      <c r="L285" s="36" t="str">
        <f>IFERROR(IF(AND($Q$1=FALSE,$S$3=FALSE),"-",VLOOKUP($E285,'Status Thresholds'!$E:$AU,43,FALSE)),"-")</f>
        <v>-</v>
      </c>
      <c r="M285" s="36" t="str">
        <f>IFERROR(IF(AND($Q$1=FALSE,$S$3=FALSE),"-",VLOOKUP($E285,'Status Thresholds'!$E:$AU,41,FALSE)),"-")</f>
        <v>-</v>
      </c>
      <c r="N285" s="36" t="str">
        <f>IFERROR(IF(AND($Q$1=FALSE,$S$3=FALSE),"-",VLOOKUP($E285,'Status Thresholds'!$E:$AU,42,FALSE)),"-")</f>
        <v>-</v>
      </c>
    </row>
    <row r="286" spans="1:14" x14ac:dyDescent="0.25">
      <c r="B286" s="64" t="str">
        <f>VLOOKUP(C286,'Status Thresholds'!B:C,2,FALSE)</f>
        <v>MHGen</v>
      </c>
      <c r="C286" s="46" t="str">
        <f>IF(ISBLANK('KO Calc'!C282)=TRUE,"",'KO Calc'!C282)</f>
        <v>Durambros</v>
      </c>
      <c r="D286" s="78"/>
      <c r="E286" s="62" t="str">
        <f t="shared" si="7"/>
        <v>Durambros</v>
      </c>
      <c r="F286" t="s">
        <v>11</v>
      </c>
      <c r="G286" s="36" t="str">
        <f t="shared" si="8"/>
        <v>DurambrosCrag 1</v>
      </c>
      <c r="H286" s="36" t="str">
        <f>IF(AND($Q$1=FALSE,$S$3=FALSE),"-",IF(AND($Q$1=TRUE,$S$3=TRUE),"-",IF(AND($Q$1=FALSE,$S$3=FALSE),"-",IF(AND($Q$1=TRUE,$S$1=TRUE,$S$4=FALSE)=TRUE,IF(OR($Q$4=TRUE,$Q$5=TRUE,$S$2=TRUE),VLOOKUP($G286,'KO Calc'!$H:$AW,12,FALSE),VLOOKUP($G286,'KO Calc'!$H292:$AW292,12,FALSE)),IF(AND($Q$1=TRUE,$S$4=FALSE),IF(OR($Q$4=TRUE,$Q$5=TRUE,$S$2=TRUE),VLOOKUP($G286,'KO Calc'!$H:$AW,2,FALSE),VLOOKUP($G286,'KO Calc'!$H292:$AW292,2,FALSE)),
IF(AND($Q$1=TRUE,$S$1=TRUE,$S$4=TRUE)=TRUE,IF(OR($Q$4=TRUE,$Q$5=TRUE,$S$2=TRUE),VLOOKUP($G286,'KO Calc'!$H:$AW,17,FALSE),VLOOKUP($G286,'KO Calc'!$H292:$AW292,17,FALSE)),IF(AND($Q$1=TRUE,$S$4=TRUE),IF(OR($Q$4=TRUE,$Q$5=TRUE,$S$2=TRUE),VLOOKUP($G286,'KO Calc'!$H:$AW,7,FALSE),VLOOKUP($G286,'KO Calc'!$H292:$AW292,7,FALSE)),
IF(AND($S$3=TRUE,$S$1=TRUE,$S$4=FALSE)=TRUE,IF(OR($Q$4=TRUE,$Q$5=TRUE,$S$2=TRUE),VLOOKUP($G286,'KO Calc'!$H:$AW,32,FALSE),VLOOKUP($G286,'KO Calc'!$H292:$AW292,32,FALSE)),IF(AND($S$3=TRUE,$S$4=FALSE),IF(OR($Q$4=TRUE,$Q$5=TRUE,$S$2=TRUE),VLOOKUP($G286,'KO Calc'!$H:$AW,22,FALSE),VLOOKUP($G286,'KO Calc'!$H292:$AW292,22,FALSE)),
IF(AND($S$3=TRUE,$S$1=TRUE,$S$4=TRUE)=TRUE,IF(OR($Q$4=TRUE,$Q$5=TRUE,$S$2=TRUE),VLOOKUP($G286,'KO Calc'!$H:$AW,37,FALSE),VLOOKUP($G286,'KO Calc'!$H292:$AW292,37,FALSE)),IF(AND($S$3=TRUE,$S$4=TRUE),IF(OR($Q$4=TRUE,$Q$5=TRUE,$S$2=TRUE),VLOOKUP($G286,'KO Calc'!$H:$AW,27,FALSE),VLOOKUP($G286,'KO Calc'!$H292:$AW292,27,FALSE)))))))))))))</f>
        <v>-</v>
      </c>
      <c r="I286" s="36" t="str">
        <f>IF(AND($Q$1=FALSE,$S$3=FALSE),"-",IF(AND($Q$1=TRUE,$S$3=TRUE),"-",IF(AND($Q$1=FALSE,$S$3=FALSE),"-",IF(AND($Q$1=TRUE,$S$1=TRUE,$S$4=FALSE)=TRUE,IF(OR($Q$4=TRUE,$Q$5=TRUE,$S$2=TRUE),VLOOKUP($G286,'KO Calc'!$H:$AW,13,FALSE),VLOOKUP($G286,'KO Calc'!$H292:$AW292,13,FALSE)),IF(AND($Q$1=TRUE,$S$4=FALSE),IF(OR($Q$4=TRUE,$Q$5=TRUE,$S$2=TRUE),VLOOKUP($G286,'KO Calc'!$H:$AW,3,FALSE),VLOOKUP($G286,'KO Calc'!$H292:$AW292,3,FALSE)),
IF(AND($Q$1=TRUE,$S$1=TRUE,$S$4=TRUE)=TRUE,IF(OR($Q$4=TRUE,$Q$5=TRUE,$S$2=TRUE),VLOOKUP($G286,'KO Calc'!$H:$AW,18,FALSE),VLOOKUP($G286,'KO Calc'!$H292:$AW292,18,FALSE)),IF(AND($Q$1=TRUE,$S$4=TRUE),IF(OR($Q$4=TRUE,$Q$5=TRUE,$S$2=TRUE),VLOOKUP($G286,'KO Calc'!$H:$AW,8,FALSE),VLOOKUP($G286,'KO Calc'!$H292:$AW292,8,FALSE)),
IF(AND($S$3=TRUE,$S$1=TRUE,$S$4=FALSE)=TRUE,IF(OR($Q$4=TRUE,$Q$5=TRUE,$S$2=TRUE),VLOOKUP($G286,'KO Calc'!$H:$AW,33,FALSE),VLOOKUP($G286,'KO Calc'!$H292:$AW292,33,FALSE)),IF(AND($S$3=TRUE,$S$4=FALSE),IF(OR($Q$4=TRUE,$Q$5=TRUE,$S$2=TRUE),VLOOKUP($G286,'KO Calc'!$H:$AW,23,FALSE),VLOOKUP($G286,'KO Calc'!$H292:$AW292,23,FALSE)),
IF(AND($S$3=TRUE,$S$1=TRUE,$S$4=TRUE)=TRUE,IF(OR($Q$4=TRUE,$Q$5=TRUE,$S$2=TRUE),VLOOKUP($G286,'KO Calc'!$H:$AW,38,FALSE),VLOOKUP($G286,'KO Calc'!$H292:$AW292,38,FALSE)),IF(AND($S$3=TRUE,$S$4=TRUE),IF(OR($Q$4=TRUE,$Q$5=TRUE,$S$2=TRUE),VLOOKUP($G286,'KO Calc'!$H:$AW,28,FALSE),VLOOKUP($G286,'KO Calc'!$H292:$AW292,28,FALSE)))))))))))))</f>
        <v>-</v>
      </c>
      <c r="J286" s="36" t="str">
        <f>IF(AND($Q$1=FALSE,$S$3=FALSE),"-",IF(AND($Q$1=TRUE,$S$3=TRUE),"-",IF(AND($Q$1=FALSE,$S$3=FALSE),"-",IF(AND($Q$1=TRUE,$S$1=TRUE,$S$4=FALSE)=TRUE,IF(OR($Q$4=TRUE,$Q$5=TRUE,$S$2=TRUE),VLOOKUP($G286,'KO Calc'!$H:$AW,FALSE),VLOOKUP($G286,'KO Calc'!$H292:$AW292,14,FALSE)),IF(AND($Q$1=TRUE,$S$4=FALSE),IF(OR($Q$4=TRUE,$Q$5=TRUE,$S$2=TRUE),VLOOKUP($G286,'KO Calc'!$H:$AW,4,FALSE),VLOOKUP($G286,'KO Calc'!$H292:$AW292,4,FALSE)),
IF(AND($Q$1=TRUE,$S$1=TRUE,$S$4=TRUE)=TRUE,IF(OR($Q$4=TRUE,$Q$5=TRUE,$S$2=TRUE),VLOOKUP($G286,'KO Calc'!$H:$AW,19,FALSE),VLOOKUP($G286,'KO Calc'!$H292:$AW292,19,FALSE)),IF(AND($Q$1=TRUE,$S$4=TRUE),IF(OR($Q$4=TRUE,$Q$5=TRUE,$S$2=TRUE),VLOOKUP($G286,'KO Calc'!$H:$AW,9,FALSE),VLOOKUP($G286,'KO Calc'!$H292:$AW292,9,FALSE)),
IF(AND($S$3=TRUE,$S$1=TRUE,$S$4=FALSE)=TRUE,IF(OR($Q$4=TRUE,$Q$5=TRUE,$S$2=TRUE),VLOOKUP($G286,'KO Calc'!$H:$AW,34,FALSE),VLOOKUP($G286,'KO Calc'!$H292:$AW292,34,FALSE)),IF(AND($S$3=TRUE,$S$4=FALSE),IF(OR($Q$4=TRUE,$Q$5=TRUE,$S$2=TRUE),VLOOKUP($G286,'KO Calc'!$H:$AW,24,FALSE),VLOOKUP($G286,'KO Calc'!$H292:$AW292,24,FALSE)),
IF(AND($S$3=TRUE,$S$1=TRUE,$S$4=TRUE)=TRUE,IF(OR($Q$4=TRUE,$Q$5=TRUE,$S$2=TRUE),VLOOKUP($G286,'KO Calc'!$H:$AW,39,FALSE),VLOOKUP($G286,'KO Calc'!$H292:$AW292,39,FALSE)),IF(AND($S$3=TRUE,$S$4=TRUE),IF(OR($Q$4=TRUE,$Q$5=TRUE,$S$2=TRUE),VLOOKUP($G286,'KO Calc'!$H:$AW,29,FALSE),VLOOKUP($G286,'KO Calc'!$H292:$AW292,29,FALSE)))))))))))))</f>
        <v>-</v>
      </c>
      <c r="K286" s="36" t="str">
        <f>IF(AND($Q$1=FALSE,$S$3=FALSE),"-",IF(AND($Q$1=TRUE,$S$3=TRUE),"-",IF(AND($Q$1=FALSE,$S$3=FALSE),"-",IF(AND($Q$1=TRUE,$S$1=TRUE,$S$4=FALSE)=TRUE,IF(OR($Q$4=TRUE,$Q$5=TRUE,$S$2=TRUE),VLOOKUP($G286,'KO Calc'!$H:$AW,15,FALSE),VLOOKUP($G286,'KO Calc'!$H292:$AW292,15,FALSE)),IF(AND($Q$1=TRUE,$S$4=FALSE),IF(OR($Q$4=TRUE,$Q$5=TRUE,$S$2=TRUE),VLOOKUP($G286,'KO Calc'!$H:$AW,5,FALSE),VLOOKUP($G286,'KO Calc'!$H292:$AW292,5,FALSE)),
IF(AND($Q$1=TRUE,$S$1=TRUE,$S$4=TRUE)=TRUE,IF(OR($Q$4=TRUE,$Q$5=TRUE,$S$2=TRUE),VLOOKUP($G286,'KO Calc'!$H:$AW,20,FALSE),VLOOKUP($G286,'KO Calc'!$H292:$AW292,20,FALSE)),IF(AND($Q$1=TRUE,$S$4=TRUE),IF(OR($Q$4=TRUE,$Q$5=TRUE,$S$2=TRUE),VLOOKUP($G286,'KO Calc'!$H:$AW,10,FALSE),VLOOKUP($G286,'KO Calc'!$H292:$AW292,10,FALSE)),
IF(AND($S$3=TRUE,$S$1=TRUE,$S$4=FALSE)=TRUE,IF(OR($Q$4=TRUE,$Q$5=TRUE,$S$2=TRUE),VLOOKUP($G286,'KO Calc'!$H:$AW,35,FALSE),VLOOKUP($G286,'KO Calc'!$H292:$AW292,35,FALSE)),IF(AND($S$3=TRUE,$S$4=FALSE),IF(OR($Q$4=TRUE,$Q$5=TRUE,$S$2=TRUE),VLOOKUP($G286,'KO Calc'!$H:$AW,25,FALSE),VLOOKUP($G286,'KO Calc'!$H292:$AW292,25,FALSE)),
IF(AND($S$3=TRUE,$S$1=TRUE,$S$4=TRUE)=TRUE,IF(OR($Q$4=TRUE,$Q$5=TRUE,$S$2=TRUE),VLOOKUP($G286,'KO Calc'!$H:$AW,40,FALSE),VLOOKUP($G286,'KO Calc'!$H292:$AW292,40,FALSE)),IF(AND($S$3=TRUE,$S$4=TRUE),IF(OR($Q$4=TRUE,$Q$5=TRUE,$S$2=TRUE),VLOOKUP($G286,'KO Calc'!$H:$AW,30,FALSE),VLOOKUP($G286,'KO Calc'!$H292:$AW292,30,FALSE)))))))))))))</f>
        <v>-</v>
      </c>
      <c r="L286" s="36" t="str">
        <f>IFERROR(VLOOKUP($E286,'Status Thresholds'!$E:$AS,41,FALSE),"-")</f>
        <v>-</v>
      </c>
    </row>
    <row r="287" spans="1:14" x14ac:dyDescent="0.25">
      <c r="B287" s="64" t="str">
        <f>VLOOKUP(C287,'Status Thresholds'!B:C,2,FALSE)</f>
        <v>MHGen</v>
      </c>
      <c r="C287" s="46" t="str">
        <f>IF(ISBLANK('KO Calc'!C283)=TRUE,"",'KO Calc'!C283)</f>
        <v>Durambros</v>
      </c>
      <c r="D287" s="78"/>
      <c r="E287" s="62"/>
      <c r="G287" s="36"/>
      <c r="L287" s="36" t="str">
        <f>IFERROR(VLOOKUP($E287,'Status Thresholds'!$E:$AS,41,FALSE),"-")</f>
        <v>-</v>
      </c>
    </row>
    <row r="288" spans="1:14" s="36" customFormat="1" x14ac:dyDescent="0.25">
      <c r="B288" s="64" t="str">
        <f>VLOOKUP(C288,'Status Thresholds'!B:C,2,FALSE)</f>
        <v>Deviant</v>
      </c>
      <c r="C288" s="46" t="str">
        <f>IF(ISBLANK('KO Calc'!C284)=TRUE,"",'KO Calc'!C284)</f>
        <v>Elderfrost Gammoth</v>
      </c>
      <c r="D288" s="65" t="s">
        <v>0</v>
      </c>
      <c r="E288" s="62" t="str">
        <f t="shared" si="7"/>
        <v>Elderfrost GammothPara</v>
      </c>
      <c r="F288" s="36" t="s">
        <v>2</v>
      </c>
      <c r="G288" s="36" t="str">
        <f t="shared" si="8"/>
        <v>Elderfrost GammothPara lvl 2</v>
      </c>
      <c r="H288" s="36" t="str">
        <f>IFERROR(ROUNDUP(IF(AND($Q$1=FALSE,$S$3=FALSE),"-",IF(AND($Q$1=TRUE,$S$3=TRUE),"-",IF(AND($Q$1=TRUE,$S$1=TRUE,$S$4=FALSE),VLOOKUP($E288,'Status Thresholds'!$E:$AS,12,FALSE),IF(AND($Q$1=TRUE,$S$4=FALSE),VLOOKUP($E288,'Status Thresholds'!$E:$AS,2,FALSE), IF(AND($Q$1=TRUE,$S$1=TRUE,$S$4=TRUE),VLOOKUP($E288,'Status Thresholds'!$E:$AS,17,FALSE),IF(AND($Q$1=TRUE,$S$4=TRUE),VLOOKUP($E288,'Status Thresholds'!$E:$AS,7,FALSE),IF(AND($S$3=TRUE,$S$1=TRUE,$S$4=FALSE),VLOOKUP($E288,'Status Thresholds'!$E:$AS,32,FALSE),IF(AND($S$3=TRUE,$S$4=FALSE),VLOOKUP($E288,'Status Thresholds'!$E:$AS,22,FALSE),IF(AND($S$3=TRUE,$S$1=TRUE,$S$4=TRUE),VLOOKUP($E288,'Status Thresholds'!$E:$AS,37,FALSE),IF(AND($S$3=TRUE,$S$4=TRUE),VLOOKUP($E288,'Status Thresholds'!$E:$AS,27,FALSE),""))))))))/IF(OR($Q$3=TRUE,AND($Q$2=TRUE,$Q$7=TRUE),AND($Q$3=TRUE,$Q$7=TRUE))=TRUE,'Shots and Status'!$F$5,IF((OR($Q$2,$Q$7)=TRUE),'Shots and Status'!$D$5,'Shots and Status'!$C$5)))),0),"-")</f>
        <v>-</v>
      </c>
      <c r="I288" s="36" t="str">
        <f>IFERROR(ROUNDUP(IF(AND($Q$1=FALSE,$S$3=FALSE),"-",IF(AND($Q$1=TRUE,$S$3=TRUE),"-",IF(AND($Q$1=TRUE,$S$1=TRUE,$S$4=FALSE),VLOOKUP($E288,'Status Thresholds'!$E:$AS,13,FALSE),IF(AND($Q$1=TRUE,$S$4=FALSE),VLOOKUP($E288,'Status Thresholds'!$E:$AS,3,FALSE), IF(AND($Q$1=TRUE,$S$1=TRUE,$S$4=TRUE),VLOOKUP($E288,'Status Thresholds'!$E:$AS,18,FALSE),IF(AND($Q$1=TRUE,$S$4=TRUE),VLOOKUP($E288,'Status Thresholds'!$E:$AS,8,FALSE),IF(AND($S$3=TRUE,$S$1=TRUE,$S$4=FALSE),VLOOKUP($E288,'Status Thresholds'!$E:$AS,33,FALSE),IF(AND($S$3=TRUE,$S$4=FALSE),VLOOKUP($E288,'Status Thresholds'!$E:$AS,23,FALSE),IF(AND($S$3=TRUE,$S$1=TRUE,$S$4=TRUE),VLOOKUP($E288,'Status Thresholds'!$E:$AS,38,FALSE),IF(AND($S$3=TRUE,$S$4=TRUE),VLOOKUP($E288,'Status Thresholds'!$E:$AS,28,FALSE),""))))))))/IF(OR($Q$3=TRUE,AND($Q$2=TRUE,$Q$7=TRUE),AND($Q$3=TRUE,$Q$7=TRUE))=TRUE,'Shots and Status'!$F$5,IF((OR($Q$2,$Q$7)=TRUE),'Shots and Status'!$D$5,'Shots and Status'!$C$5)))),0),"-")</f>
        <v>-</v>
      </c>
      <c r="J288" s="36" t="str">
        <f>IFERROR(ROUNDUP(IF(AND($Q$1=FALSE,$S$3=FALSE),"-",IF(AND($Q$1=TRUE,$S$3=TRUE),"-",IF(AND($Q$1=TRUE,$S$1=TRUE,$S$4=FALSE),VLOOKUP($E288,'Status Thresholds'!$E:$AS,14,FALSE),IF(AND($Q$1=TRUE,$S$4=FALSE),VLOOKUP($E288,'Status Thresholds'!$E:$AS,4,FALSE), IF(AND($Q$1=TRUE,$S$1=TRUE,$S$4=TRUE),VLOOKUP($E288,'Status Thresholds'!$E:$AS,19,FALSE),IF(AND($Q$1=TRUE,$S$4=TRUE),VLOOKUP($E288,'Status Thresholds'!$E:$AS,9,FALSE),IF(AND($S$3=TRUE,$S$1=TRUE,$S$4=FALSE),VLOOKUP($E288,'Status Thresholds'!$E:$AS,34,FALSE),IF(AND($S$3=TRUE,$S$4=FALSE),VLOOKUP($E288,'Status Thresholds'!$E:$AS,24,FALSE),IF(AND($S$3=TRUE,$S$1=TRUE,$S$4=TRUE),VLOOKUP($E288,'Status Thresholds'!$E:$AS,39,FALSE),IF(AND($S$3=TRUE,$S$4=TRUE),VLOOKUP($E288,'Status Thresholds'!$E:$AS,29,FALSE),""))))))))/IF(OR($Q$3=TRUE,AND($Q$2=TRUE,$Q$7=TRUE),AND($Q$3=TRUE,$Q$7=TRUE))=TRUE,'Shots and Status'!$F$5,IF((OR($Q$2,$Q$7)=TRUE),'Shots and Status'!$D$5,'Shots and Status'!$C$5)))),0),"-")</f>
        <v>-</v>
      </c>
      <c r="K288" s="36" t="str">
        <f>IFERROR(ROUNDUP(IF(AND($Q$1=FALSE,$S$3=FALSE),"-",IF(AND($Q$1=TRUE,$S$3=TRUE),"-",IF(AND($Q$1=TRUE,$S$1=TRUE,$S$4=FALSE),VLOOKUP($E288,'Status Thresholds'!$E:$AS,15,FALSE),IF(AND($Q$1=TRUE,$S$4=FALSE),VLOOKUP($E288,'Status Thresholds'!$E:$AS,5,FALSE), IF(AND($Q$1=TRUE,$S$1=TRUE,$S$4=TRUE),VLOOKUP($E288,'Status Thresholds'!$E:$AS,20,FALSE),IF(AND($Q$1=TRUE,$S$4=TRUE),VLOOKUP($E288,'Status Thresholds'!$E:$AS,10,FALSE),IF(AND($S$3=TRUE,$S$1=TRUE,$S$4=FALSE),VLOOKUP($E288,'Status Thresholds'!$E:$AS,35,FALSE),IF(AND($S$3=TRUE,$S$4=FALSE),VLOOKUP($E288,'Status Thresholds'!$E:$AS,25,FALSE),IF(AND($S$3=TRUE,$S$1=TRUE,$S$4=TRUE),VLOOKUP($E288,'Status Thresholds'!$E:$AS,40,FALSE),IF(AND($S$3=TRUE,$S$4=TRUE),VLOOKUP($E288,'Status Thresholds'!$E:$AS,30,FALSE),""))))))))/IF(OR($Q$3=TRUE,AND($Q$2=TRUE,$Q$7=TRUE),AND($Q$3=TRUE,$Q$7=TRUE))=TRUE,'Shots and Status'!$F$5,IF((OR($Q$2,$Q$7)=TRUE),'Shots and Status'!$D$5,'Shots and Status'!$C$5)))),0),"-")</f>
        <v>-</v>
      </c>
      <c r="L288" s="36" t="str">
        <f>IFERROR(IF(AND($Q$1=FALSE,$S$3=FALSE),"-",VLOOKUP($E288,'Status Thresholds'!$E:$AU,41,FALSE)),"-")</f>
        <v>-</v>
      </c>
      <c r="M288" s="36" t="str">
        <f>IFERROR(IF(AND($Q$1=FALSE,$S$3=FALSE),"-",VLOOKUP($E288,'Status Thresholds'!$E:$AU,42,FALSE)),"-")</f>
        <v>-</v>
      </c>
      <c r="N288" s="36" t="str">
        <f>IFERROR(IF(AND($Q$1=FALSE,$S$3=FALSE),"-",VLOOKUP($E288,'Status Thresholds'!$E:$AU,43,FALSE)),"-")</f>
        <v>-</v>
      </c>
    </row>
    <row r="289" spans="1:14" s="59" customFormat="1" x14ac:dyDescent="0.25">
      <c r="A289" s="46"/>
      <c r="B289" s="64" t="str">
        <f>VLOOKUP(C289,'Status Thresholds'!B:C,2,FALSE)</f>
        <v>Deviant</v>
      </c>
      <c r="C289" s="46" t="str">
        <f>IF(ISBLANK('KO Calc'!C285)=TRUE,"",'KO Calc'!C285)</f>
        <v>Elderfrost Gammoth</v>
      </c>
      <c r="D289" s="60" t="s">
        <v>32</v>
      </c>
      <c r="E289" s="62" t="str">
        <f t="shared" ref="E289:E360" si="9">C289&amp;D289</f>
        <v>Elderfrost GammothSleep</v>
      </c>
      <c r="F289" s="59" t="s">
        <v>5</v>
      </c>
      <c r="G289" s="36" t="str">
        <f t="shared" si="8"/>
        <v>Elderfrost GammothSleep lvl 2</v>
      </c>
      <c r="H289" s="36" t="str">
        <f>IFERROR(ROUNDUP(IF(AND($Q$1=FALSE,$S$3=FALSE),"-",IF(AND($Q$1=TRUE,$S$3=TRUE),"-",IF(AND($Q$1=TRUE,$S$1=TRUE,$S$4=FALSE),VLOOKUP($E289,'Status Thresholds'!$E:$AS,12,FALSE),IF(AND($Q$1=TRUE,$S$4=FALSE),VLOOKUP($E289,'Status Thresholds'!$E:$AS,2,FALSE), IF(AND($Q$1=TRUE,$S$1=TRUE,$S$4=TRUE),VLOOKUP($E289,'Status Thresholds'!$E:$AS,17,FALSE),IF(AND($Q$1=TRUE,$S$4=TRUE),VLOOKUP($E289,'Status Thresholds'!$E:$AS,7,FALSE),IF(AND($S$3=TRUE,$S$1=TRUE,$S$4=FALSE),VLOOKUP($E289,'Status Thresholds'!$E:$AS,32,FALSE),IF(AND($S$3=TRUE,$S$4=FALSE),VLOOKUP($E289,'Status Thresholds'!$E:$AS,22,FALSE),IF(AND($S$3=TRUE,$S$1=TRUE,$S$4=TRUE),VLOOKUP($E289,'Status Thresholds'!$E:$AS,37,FALSE),IF(AND($S$3=TRUE,$S$4=TRUE),VLOOKUP($E289,'Status Thresholds'!$E:$AS,27,FALSE),""))))))))/IF(OR($Q$3=TRUE,AND($Q$2=TRUE,$Q$7=TRUE),AND($Q$3=TRUE,$Q$7=TRUE))=TRUE,'Shots and Status'!$F$5,IF((OR($Q$2,$Q$7)=TRUE),'Shots and Status'!$D$5,'Shots and Status'!$C$5)))),0),"-")</f>
        <v>-</v>
      </c>
      <c r="I289" s="36" t="str">
        <f>IFERROR(ROUNDUP(IF(AND($Q$1=FALSE,$S$3=FALSE),"-",IF(AND($Q$1=TRUE,$S$3=TRUE),"-",IF(AND($Q$1=TRUE,$S$1=TRUE,$S$4=FALSE),VLOOKUP($E289,'Status Thresholds'!$E:$AS,13,FALSE),IF(AND($Q$1=TRUE,$S$4=FALSE),VLOOKUP($E289,'Status Thresholds'!$E:$AS,3,FALSE), IF(AND($Q$1=TRUE,$S$1=TRUE,$S$4=TRUE),VLOOKUP($E289,'Status Thresholds'!$E:$AS,18,FALSE),IF(AND($Q$1=TRUE,$S$4=TRUE),VLOOKUP($E289,'Status Thresholds'!$E:$AS,8,FALSE),IF(AND($S$3=TRUE,$S$1=TRUE,$S$4=FALSE),VLOOKUP($E289,'Status Thresholds'!$E:$AS,33,FALSE),IF(AND($S$3=TRUE,$S$4=FALSE),VLOOKUP($E289,'Status Thresholds'!$E:$AS,23,FALSE),IF(AND($S$3=TRUE,$S$1=TRUE,$S$4=TRUE),VLOOKUP($E289,'Status Thresholds'!$E:$AS,38,FALSE),IF(AND($S$3=TRUE,$S$4=TRUE),VLOOKUP($E289,'Status Thresholds'!$E:$AS,28,FALSE),""))))))))/IF(OR($Q$3=TRUE,AND($Q$2=TRUE,$Q$7=TRUE),AND($Q$3=TRUE,$Q$7=TRUE))=TRUE,'Shots and Status'!$F$5,IF((OR($Q$2,$Q$7)=TRUE),'Shots and Status'!$D$5,'Shots and Status'!$C$5)))),0),"-")</f>
        <v>-</v>
      </c>
      <c r="J289" s="36" t="str">
        <f>IFERROR(ROUNDUP(IF(AND($Q$1=FALSE,$S$3=FALSE),"-",IF(AND($Q$1=TRUE,$S$3=TRUE),"-",IF(AND($Q$1=TRUE,$S$1=TRUE,$S$4=FALSE),VLOOKUP($E289,'Status Thresholds'!$E:$AS,14,FALSE),IF(AND($Q$1=TRUE,$S$4=FALSE),VLOOKUP($E289,'Status Thresholds'!$E:$AS,4,FALSE), IF(AND($Q$1=TRUE,$S$1=TRUE,$S$4=TRUE),VLOOKUP($E289,'Status Thresholds'!$E:$AS,19,FALSE),IF(AND($Q$1=TRUE,$S$4=TRUE),VLOOKUP($E289,'Status Thresholds'!$E:$AS,9,FALSE),IF(AND($S$3=TRUE,$S$1=TRUE,$S$4=FALSE),VLOOKUP($E289,'Status Thresholds'!$E:$AS,34,FALSE),IF(AND($S$3=TRUE,$S$4=FALSE),VLOOKUP($E289,'Status Thresholds'!$E:$AS,24,FALSE),IF(AND($S$3=TRUE,$S$1=TRUE,$S$4=TRUE),VLOOKUP($E289,'Status Thresholds'!$E:$AS,39,FALSE),IF(AND($S$3=TRUE,$S$4=TRUE),VLOOKUP($E289,'Status Thresholds'!$E:$AS,29,FALSE),""))))))))/IF(OR($Q$3=TRUE,AND($Q$2=TRUE,$Q$7=TRUE),AND($Q$3=TRUE,$Q$7=TRUE))=TRUE,'Shots and Status'!$F$5,IF((OR($Q$2,$Q$7)=TRUE),'Shots and Status'!$D$5,'Shots and Status'!$C$5)))),0),"-")</f>
        <v>-</v>
      </c>
      <c r="K289" s="36" t="str">
        <f>IFERROR(ROUNDUP(IF(AND($Q$1=FALSE,$S$3=FALSE),"-",IF(AND($Q$1=TRUE,$S$3=TRUE),"-",IF(AND($Q$1=TRUE,$S$1=TRUE,$S$4=FALSE),VLOOKUP($E289,'Status Thresholds'!$E:$AS,15,FALSE),IF(AND($Q$1=TRUE,$S$4=FALSE),VLOOKUP($E289,'Status Thresholds'!$E:$AS,5,FALSE), IF(AND($Q$1=TRUE,$S$1=TRUE,$S$4=TRUE),VLOOKUP($E289,'Status Thresholds'!$E:$AS,20,FALSE),IF(AND($Q$1=TRUE,$S$4=TRUE),VLOOKUP($E289,'Status Thresholds'!$E:$AS,10,FALSE),IF(AND($S$3=TRUE,$S$1=TRUE,$S$4=FALSE),VLOOKUP($E289,'Status Thresholds'!$E:$AS,35,FALSE),IF(AND($S$3=TRUE,$S$4=FALSE),VLOOKUP($E289,'Status Thresholds'!$E:$AS,25,FALSE),IF(AND($S$3=TRUE,$S$1=TRUE,$S$4=TRUE),VLOOKUP($E289,'Status Thresholds'!$E:$AS,40,FALSE),IF(AND($S$3=TRUE,$S$4=TRUE),VLOOKUP($E289,'Status Thresholds'!$E:$AS,30,FALSE),""))))))))/IF(OR($Q$3=TRUE,AND($Q$2=TRUE,$Q$7=TRUE),AND($Q$3=TRUE,$Q$7=TRUE))=TRUE,'Shots and Status'!$F$5,IF((OR($Q$2,$Q$7)=TRUE),'Shots and Status'!$D$5,'Shots and Status'!$C$5)))),0),"-")</f>
        <v>-</v>
      </c>
      <c r="L289" s="36" t="str">
        <f>IFERROR(IF(AND($Q$1=FALSE,$S$3=FALSE),"-",VLOOKUP($E289,'Status Thresholds'!$E:$AU,41,FALSE)),"-")</f>
        <v>-</v>
      </c>
      <c r="M289" s="36" t="str">
        <f>IFERROR(IF(AND($Q$1=FALSE,$S$3=FALSE),"-",VLOOKUP($E289,'Status Thresholds'!$E:$AU,42,FALSE)),"-")</f>
        <v>-</v>
      </c>
      <c r="N289" s="36" t="str">
        <f>IFERROR(IF(AND($Q$1=FALSE,$S$3=FALSE),"-",VLOOKUP($E289,'Status Thresholds'!$E:$AU,43,FALSE)),"-")</f>
        <v>-</v>
      </c>
    </row>
    <row r="290" spans="1:14" s="59" customFormat="1" x14ac:dyDescent="0.25">
      <c r="A290" s="46"/>
      <c r="B290" s="64" t="str">
        <f>VLOOKUP(C290,'Status Thresholds'!B:C,2,FALSE)</f>
        <v>Deviant</v>
      </c>
      <c r="C290" s="46" t="str">
        <f>IF(ISBLANK('KO Calc'!C286)=TRUE,"",'KO Calc'!C286)</f>
        <v>Elderfrost Gammoth</v>
      </c>
      <c r="D290" s="58" t="s">
        <v>33</v>
      </c>
      <c r="E290" s="62" t="str">
        <f t="shared" si="9"/>
        <v>Elderfrost GammothPoison</v>
      </c>
      <c r="F290" s="59" t="s">
        <v>6</v>
      </c>
      <c r="G290" s="36" t="str">
        <f t="shared" si="8"/>
        <v>Elderfrost GammothPoison lvl 2</v>
      </c>
      <c r="H290" s="36" t="str">
        <f>IFERROR(ROUNDUP(IF(AND($Q$1=FALSE,$S$3=FALSE),"-",IF(AND($Q$1=TRUE,$S$3=TRUE),"-",IF(AND($Q$1=TRUE,$S$1=TRUE,$S$4=FALSE),VLOOKUP($E290,'Status Thresholds'!$E:$AS,12,FALSE),IF(AND($Q$1=TRUE,$S$4=FALSE),VLOOKUP($E290,'Status Thresholds'!$E:$AS,2,FALSE), IF(AND($Q$1=TRUE,$S$1=TRUE,$S$4=TRUE),VLOOKUP($E290,'Status Thresholds'!$E:$AS,17,FALSE),IF(AND($Q$1=TRUE,$S$4=TRUE),VLOOKUP($E290,'Status Thresholds'!$E:$AS,7,FALSE),IF(AND($S$3=TRUE,$S$1=TRUE,$S$4=FALSE),VLOOKUP($E290,'Status Thresholds'!$E:$AS,32,FALSE),IF(AND($S$3=TRUE,$S$4=FALSE),VLOOKUP($E290,'Status Thresholds'!$E:$AS,22,FALSE),IF(AND($S$3=TRUE,$S$1=TRUE,$S$4=TRUE),VLOOKUP($E290,'Status Thresholds'!$E:$AS,37,FALSE),IF(AND($S$3=TRUE,$S$4=TRUE),VLOOKUP($E290,'Status Thresholds'!$E:$AS,27,FALSE),""))))))))/IF(OR($Q$3=TRUE,AND($Q$2=TRUE,$Q$7=TRUE),AND($Q$3=TRUE,$Q$7=TRUE))=TRUE,'Shots and Status'!$F$5,IF((OR($Q$2,$Q$7)=TRUE),'Shots and Status'!$D$5,'Shots and Status'!$C$5)))),0),"-")</f>
        <v>-</v>
      </c>
      <c r="I290" s="36" t="str">
        <f>IFERROR(ROUNDUP(IF(AND($Q$1=FALSE,$S$3=FALSE),"-",IF(AND($Q$1=TRUE,$S$3=TRUE),"-",IF(AND($Q$1=TRUE,$S$1=TRUE,$S$4=FALSE),VLOOKUP($E290,'Status Thresholds'!$E:$AS,13,FALSE),IF(AND($Q$1=TRUE,$S$4=FALSE),VLOOKUP($E290,'Status Thresholds'!$E:$AS,3,FALSE), IF(AND($Q$1=TRUE,$S$1=TRUE,$S$4=TRUE),VLOOKUP($E290,'Status Thresholds'!$E:$AS,18,FALSE),IF(AND($Q$1=TRUE,$S$4=TRUE),VLOOKUP($E290,'Status Thresholds'!$E:$AS,8,FALSE),IF(AND($S$3=TRUE,$S$1=TRUE,$S$4=FALSE),VLOOKUP($E290,'Status Thresholds'!$E:$AS,33,FALSE),IF(AND($S$3=TRUE,$S$4=FALSE),VLOOKUP($E290,'Status Thresholds'!$E:$AS,23,FALSE),IF(AND($S$3=TRUE,$S$1=TRUE,$S$4=TRUE),VLOOKUP($E290,'Status Thresholds'!$E:$AS,38,FALSE),IF(AND($S$3=TRUE,$S$4=TRUE),VLOOKUP($E290,'Status Thresholds'!$E:$AS,28,FALSE),""))))))))/IF(OR($Q$3=TRUE,AND($Q$2=TRUE,$Q$7=TRUE),AND($Q$3=TRUE,$Q$7=TRUE))=TRUE,'Shots and Status'!$F$5,IF((OR($Q$2,$Q$7)=TRUE),'Shots and Status'!$D$5,'Shots and Status'!$C$5)))),0),"-")</f>
        <v>-</v>
      </c>
      <c r="J290" s="36" t="str">
        <f>IFERROR(ROUNDUP(IF(AND($Q$1=FALSE,$S$3=FALSE),"-",IF(AND($Q$1=TRUE,$S$3=TRUE),"-",IF(AND($Q$1=TRUE,$S$1=TRUE,$S$4=FALSE),VLOOKUP($E290,'Status Thresholds'!$E:$AS,14,FALSE),IF(AND($Q$1=TRUE,$S$4=FALSE),VLOOKUP($E290,'Status Thresholds'!$E:$AS,4,FALSE), IF(AND($Q$1=TRUE,$S$1=TRUE,$S$4=TRUE),VLOOKUP($E290,'Status Thresholds'!$E:$AS,19,FALSE),IF(AND($Q$1=TRUE,$S$4=TRUE),VLOOKUP($E290,'Status Thresholds'!$E:$AS,9,FALSE),IF(AND($S$3=TRUE,$S$1=TRUE,$S$4=FALSE),VLOOKUP($E290,'Status Thresholds'!$E:$AS,34,FALSE),IF(AND($S$3=TRUE,$S$4=FALSE),VLOOKUP($E290,'Status Thresholds'!$E:$AS,24,FALSE),IF(AND($S$3=TRUE,$S$1=TRUE,$S$4=TRUE),VLOOKUP($E290,'Status Thresholds'!$E:$AS,39,FALSE),IF(AND($S$3=TRUE,$S$4=TRUE),VLOOKUP($E290,'Status Thresholds'!$E:$AS,29,FALSE),""))))))))/IF(OR($Q$3=TRUE,AND($Q$2=TRUE,$Q$7=TRUE),AND($Q$3=TRUE,$Q$7=TRUE))=TRUE,'Shots and Status'!$F$5,IF((OR($Q$2,$Q$7)=TRUE),'Shots and Status'!$D$5,'Shots and Status'!$C$5)))),0),"-")</f>
        <v>-</v>
      </c>
      <c r="K290" s="36" t="str">
        <f>IFERROR(ROUNDUP(IF(AND($Q$1=FALSE,$S$3=FALSE),"-",IF(AND($Q$1=TRUE,$S$3=TRUE),"-",IF(AND($Q$1=TRUE,$S$1=TRUE,$S$4=FALSE),VLOOKUP($E290,'Status Thresholds'!$E:$AS,15,FALSE),IF(AND($Q$1=TRUE,$S$4=FALSE),VLOOKUP($E290,'Status Thresholds'!$E:$AS,5,FALSE), IF(AND($Q$1=TRUE,$S$1=TRUE,$S$4=TRUE),VLOOKUP($E290,'Status Thresholds'!$E:$AS,20,FALSE),IF(AND($Q$1=TRUE,$S$4=TRUE),VLOOKUP($E290,'Status Thresholds'!$E:$AS,10,FALSE),IF(AND($S$3=TRUE,$S$1=TRUE,$S$4=FALSE),VLOOKUP($E290,'Status Thresholds'!$E:$AS,35,FALSE),IF(AND($S$3=TRUE,$S$4=FALSE),VLOOKUP($E290,'Status Thresholds'!$E:$AS,25,FALSE),IF(AND($S$3=TRUE,$S$1=TRUE,$S$4=TRUE),VLOOKUP($E290,'Status Thresholds'!$E:$AS,40,FALSE),IF(AND($S$3=TRUE,$S$4=TRUE),VLOOKUP($E290,'Status Thresholds'!$E:$AS,30,FALSE),""))))))))/IF(OR($Q$3=TRUE,AND($Q$2=TRUE,$Q$7=TRUE),AND($Q$3=TRUE,$Q$7=TRUE))=TRUE,'Shots and Status'!$F$5,IF((OR($Q$2,$Q$7)=TRUE),'Shots and Status'!$D$5,'Shots and Status'!$C$5)))),0),"-")</f>
        <v>-</v>
      </c>
      <c r="L290" s="36" t="str">
        <f>IFERROR(IF(AND($Q$1=FALSE,$S$3=FALSE),"-",VLOOKUP($E290,'Status Thresholds'!$E:$AU,41,FALSE)),"-")</f>
        <v>-</v>
      </c>
      <c r="M290" s="36" t="str">
        <f>IFERROR(IF(AND($Q$1=FALSE,$S$3=FALSE),"-",VLOOKUP($E290,'Status Thresholds'!$E:$AU,42,FALSE)),"-")</f>
        <v>-</v>
      </c>
      <c r="N290" s="36" t="str">
        <f>IFERROR(IF(AND($Q$1=FALSE,$S$3=FALSE),"-",VLOOKUP($E290,'Status Thresholds'!$E:$AU,43,FALSE)),"-")</f>
        <v>-</v>
      </c>
    </row>
    <row r="291" spans="1:14" s="36" customFormat="1" x14ac:dyDescent="0.25">
      <c r="A291" s="46"/>
      <c r="B291" s="64" t="str">
        <f>VLOOKUP(C291,'Status Thresholds'!B:C,2,FALSE)</f>
        <v>Deviant</v>
      </c>
      <c r="C291" s="46" t="str">
        <f>IF(ISBLANK('KO Calc'!C287)=TRUE,"",'KO Calc'!C287)</f>
        <v>Elderfrost Gammoth</v>
      </c>
      <c r="D291" s="57" t="s">
        <v>22</v>
      </c>
      <c r="E291" s="62" t="str">
        <f t="shared" si="9"/>
        <v>Elderfrost GammothExhaust</v>
      </c>
      <c r="F291" s="36" t="s">
        <v>8</v>
      </c>
      <c r="G291" s="36" t="str">
        <f t="shared" si="8"/>
        <v>Elderfrost GammothExhaust lvl 2</v>
      </c>
      <c r="H291" s="36" t="str">
        <f>IFERROR(ROUNDUP(IF(AND($Q$1=FALSE,$S$3=FALSE),"-",IF(AND($Q$1=TRUE,$S$3=TRUE),"-",IF(AND($Q$1=TRUE,$S$1=TRUE,$S$4=FALSE),VLOOKUP($E291,'Status Thresholds'!$E:$AS,12,FALSE),IF(AND($Q$1=TRUE,$S$4=FALSE),VLOOKUP($E291,'Status Thresholds'!$E:$AS,2,FALSE), IF(AND($Q$1=TRUE,$S$1=TRUE,$S$4=TRUE),VLOOKUP($E291,'Status Thresholds'!$E:$AS,17,FALSE),IF(AND($Q$1=TRUE,$S$4=TRUE),VLOOKUP($E291,'Status Thresholds'!$E:$AS,7,FALSE),IF(AND($S$3=TRUE,$S$1=TRUE,$S$4=FALSE),VLOOKUP($E291,'Status Thresholds'!$E:$AS,32,FALSE),IF(AND($S$3=TRUE,$S$4=FALSE),VLOOKUP($E291,'Status Thresholds'!$E:$AS,22,FALSE),IF(AND($S$3=TRUE,$S$1=TRUE,$S$4=TRUE),VLOOKUP($E291,'Status Thresholds'!$E:$AS,37,FALSE),IF(AND($S$3=TRUE,$S$4=TRUE),VLOOKUP($E291,'Status Thresholds'!$E:$AS,27,FALSE),""))))))))/IF(OR($Q$3=TRUE,AND($Q$2=TRUE,$Q$7=TRUE),AND($Q$3=TRUE,$Q$7=TRUE))=TRUE,'Shots and Status'!$F$5,IF((OR($Q$2,$Q$7)=TRUE),'Shots and Status'!$D$5,'Shots and Status'!$C$5)))),0),"-")</f>
        <v>-</v>
      </c>
      <c r="I291" s="36" t="str">
        <f>IFERROR(ROUNDUP(IF(AND($Q$1=FALSE,$S$3=FALSE),"-",IF(AND($Q$1=TRUE,$S$3=TRUE),"-",IF(AND($Q$1=TRUE,$S$1=TRUE,$S$4=FALSE),VLOOKUP($E291,'Status Thresholds'!$E:$AS,13,FALSE),IF(AND($Q$1=TRUE,$S$4=FALSE),VLOOKUP($E291,'Status Thresholds'!$E:$AS,3,FALSE), IF(AND($Q$1=TRUE,$S$1=TRUE,$S$4=TRUE),VLOOKUP($E291,'Status Thresholds'!$E:$AS,18,FALSE),IF(AND($Q$1=TRUE,$S$4=TRUE),VLOOKUP($E291,'Status Thresholds'!$E:$AS,8,FALSE),IF(AND($S$3=TRUE,$S$1=TRUE,$S$4=FALSE),VLOOKUP($E291,'Status Thresholds'!$E:$AS,33,FALSE),IF(AND($S$3=TRUE,$S$4=FALSE),VLOOKUP($E291,'Status Thresholds'!$E:$AS,23,FALSE),IF(AND($S$3=TRUE,$S$1=TRUE,$S$4=TRUE),VLOOKUP($E291,'Status Thresholds'!$E:$AS,38,FALSE),IF(AND($S$3=TRUE,$S$4=TRUE),VLOOKUP($E291,'Status Thresholds'!$E:$AS,28,FALSE),""))))))))/IF(OR($Q$3=TRUE,AND($Q$2=TRUE,$Q$7=TRUE),AND($Q$3=TRUE,$Q$7=TRUE))=TRUE,'Shots and Status'!$F$5,IF((OR($Q$2,$Q$7)=TRUE),'Shots and Status'!$D$5,'Shots and Status'!$C$5)))),0),"-")</f>
        <v>-</v>
      </c>
      <c r="J291" s="36" t="str">
        <f>IFERROR(ROUNDUP(IF(AND($Q$1=FALSE,$S$3=FALSE),"-",IF(AND($Q$1=TRUE,$S$3=TRUE),"-",IF(AND($Q$1=TRUE,$S$1=TRUE,$S$4=FALSE),VLOOKUP($E291,'Status Thresholds'!$E:$AS,14,FALSE),IF(AND($Q$1=TRUE,$S$4=FALSE),VLOOKUP($E291,'Status Thresholds'!$E:$AS,4,FALSE), IF(AND($Q$1=TRUE,$S$1=TRUE,$S$4=TRUE),VLOOKUP($E291,'Status Thresholds'!$E:$AS,19,FALSE),IF(AND($Q$1=TRUE,$S$4=TRUE),VLOOKUP($E291,'Status Thresholds'!$E:$AS,9,FALSE),IF(AND($S$3=TRUE,$S$1=TRUE,$S$4=FALSE),VLOOKUP($E291,'Status Thresholds'!$E:$AS,34,FALSE),IF(AND($S$3=TRUE,$S$4=FALSE),VLOOKUP($E291,'Status Thresholds'!$E:$AS,24,FALSE),IF(AND($S$3=TRUE,$S$1=TRUE,$S$4=TRUE),VLOOKUP($E291,'Status Thresholds'!$E:$AS,39,FALSE),IF(AND($S$3=TRUE,$S$4=TRUE),VLOOKUP($E291,'Status Thresholds'!$E:$AS,29,FALSE),""))))))))/IF(OR($Q$3=TRUE,AND($Q$2=TRUE,$Q$7=TRUE),AND($Q$3=TRUE,$Q$7=TRUE))=TRUE,'Shots and Status'!$F$5,IF((OR($Q$2,$Q$7)=TRUE),'Shots and Status'!$D$5,'Shots and Status'!$C$5)))),0),"-")</f>
        <v>-</v>
      </c>
      <c r="K291" s="36" t="str">
        <f>IFERROR(ROUNDUP(IF(AND($Q$1=FALSE,$S$3=FALSE),"-",IF(AND($Q$1=TRUE,$S$3=TRUE),"-",IF(AND($Q$1=TRUE,$S$1=TRUE,$S$4=FALSE),VLOOKUP($E291,'Status Thresholds'!$E:$AS,15,FALSE),IF(AND($Q$1=TRUE,$S$4=FALSE),VLOOKUP($E291,'Status Thresholds'!$E:$AS,5,FALSE), IF(AND($Q$1=TRUE,$S$1=TRUE,$S$4=TRUE),VLOOKUP($E291,'Status Thresholds'!$E:$AS,20,FALSE),IF(AND($Q$1=TRUE,$S$4=TRUE),VLOOKUP($E291,'Status Thresholds'!$E:$AS,10,FALSE),IF(AND($S$3=TRUE,$S$1=TRUE,$S$4=FALSE),VLOOKUP($E291,'Status Thresholds'!$E:$AS,35,FALSE),IF(AND($S$3=TRUE,$S$4=FALSE),VLOOKUP($E291,'Status Thresholds'!$E:$AS,25,FALSE),IF(AND($S$3=TRUE,$S$1=TRUE,$S$4=TRUE),VLOOKUP($E291,'Status Thresholds'!$E:$AS,40,FALSE),IF(AND($S$3=TRUE,$S$4=TRUE),VLOOKUP($E291,'Status Thresholds'!$E:$AS,30,FALSE),""))))))))/IF(OR($Q$3=TRUE,AND($Q$2=TRUE,$Q$7=TRUE),AND($Q$3=TRUE,$Q$7=TRUE))=TRUE,'Shots and Status'!$F$5,IF((OR($Q$2,$Q$7)=TRUE),'Shots and Status'!$D$5,'Shots and Status'!$C$5)))),0),"-")</f>
        <v>-</v>
      </c>
      <c r="L291" s="36" t="str">
        <f>IFERROR(IF(AND($Q$1=FALSE,$S$3=FALSE),"-",VLOOKUP($E291,'Status Thresholds'!$E:$AU,41,FALSE)),"-")</f>
        <v>-</v>
      </c>
      <c r="M291" s="36" t="str">
        <f>IFERROR(IF(AND($Q$1=FALSE,$S$3=FALSE),"-",VLOOKUP($E291,'Status Thresholds'!$E:$AU,42,FALSE)),"-")</f>
        <v>-</v>
      </c>
      <c r="N291" s="36" t="str">
        <f>IFERROR(IF(AND($Q$1=FALSE,$S$3=FALSE),"-",VLOOKUP($E291,'Status Thresholds'!$E:$AU,43,FALSE)),"-")</f>
        <v>-</v>
      </c>
    </row>
    <row r="292" spans="1:14" s="36" customFormat="1" x14ac:dyDescent="0.25">
      <c r="A292" s="46"/>
      <c r="B292" s="64" t="str">
        <f>VLOOKUP(C292,'Status Thresholds'!B:C,2,FALSE)</f>
        <v>Deviant</v>
      </c>
      <c r="C292" s="46" t="str">
        <f>IF(ISBLANK('KO Calc'!C288)=TRUE,"",'KO Calc'!C288)</f>
        <v>Elderfrost Gammoth</v>
      </c>
      <c r="D292" s="67" t="s">
        <v>14</v>
      </c>
      <c r="E292" s="62" t="str">
        <f t="shared" si="9"/>
        <v>Elderfrost GammothKO</v>
      </c>
      <c r="F292" s="36" t="s">
        <v>21</v>
      </c>
      <c r="G292" s="36" t="str">
        <f t="shared" si="8"/>
        <v>Elderfrost GammothTriblast</v>
      </c>
      <c r="H292" s="36" t="str">
        <f>IF(AND($Q$1=FALSE,$S$3=FALSE),"-",IF(AND($Q$1=TRUE,$S$3=TRUE),"-",IF(AND($Q$1=FALSE,$S$3=FALSE),"-",IF(AND($Q$1=TRUE,$S$1=TRUE,$S$4=FALSE)=TRUE,IF(OR($Q$4=TRUE,$Q$5=TRUE,$S$2=TRUE),VLOOKUP($G292,'KO Calc'!$H:$AW,12,FALSE),VLOOKUP($G292,'KO Calc'!$H298:$AW298,12,FALSE)),IF(AND($Q$1=TRUE,$S$4=FALSE),IF(OR($Q$4=TRUE,$Q$5=TRUE,$S$2=TRUE),VLOOKUP($G292,'KO Calc'!$H:$AW,2,FALSE),VLOOKUP($G292,'KO Calc'!$H298:$AW298,2,FALSE)),
IF(AND($Q$1=TRUE,$S$1=TRUE,$S$4=TRUE)=TRUE,IF(OR($Q$4=TRUE,$Q$5=TRUE,$S$2=TRUE),VLOOKUP($G292,'KO Calc'!$H:$AW,17,FALSE),VLOOKUP($G292,'KO Calc'!$H298:$AW298,17,FALSE)),IF(AND($Q$1=TRUE,$S$4=TRUE),IF(OR($Q$4=TRUE,$Q$5=TRUE,$S$2=TRUE),VLOOKUP($G292,'KO Calc'!$H:$AW,7,FALSE),VLOOKUP($G292,'KO Calc'!$H298:$AW298,7,FALSE)),
IF(AND($S$3=TRUE,$S$1=TRUE,$S$4=FALSE)=TRUE,IF(OR($Q$4=TRUE,$Q$5=TRUE,$S$2=TRUE),VLOOKUP($G292,'KO Calc'!$H:$AW,32,FALSE),VLOOKUP($G292,'KO Calc'!$H298:$AW298,32,FALSE)),IF(AND($S$3=TRUE,$S$4=FALSE),IF(OR($Q$4=TRUE,$Q$5=TRUE,$S$2=TRUE),VLOOKUP($G292,'KO Calc'!$H:$AW,22,FALSE),VLOOKUP($G292,'KO Calc'!$H298:$AW298,22,FALSE)),
IF(AND($S$3=TRUE,$S$1=TRUE,$S$4=TRUE)=TRUE,IF(OR($Q$4=TRUE,$Q$5=TRUE,$S$2=TRUE),VLOOKUP($G292,'KO Calc'!$H:$AW,37,FALSE),VLOOKUP($G292,'KO Calc'!$H298:$AW298,37,FALSE)),IF(AND($S$3=TRUE,$S$4=TRUE),IF(OR($Q$4=TRUE,$Q$5=TRUE,$S$2=TRUE),VLOOKUP($G292,'KO Calc'!$H:$AW,27,FALSE),VLOOKUP($G292,'KO Calc'!$H298:$AW298,27,FALSE)))))))))))))</f>
        <v>-</v>
      </c>
      <c r="I292" s="36" t="str">
        <f>IF(AND($Q$1=FALSE,$S$3=FALSE),"-",IF(AND($Q$1=TRUE,$S$3=TRUE),"-",IF(AND($Q$1=FALSE,$S$3=FALSE),"-",IF(AND($Q$1=TRUE,$S$1=TRUE,$S$4=FALSE)=TRUE,IF(OR($Q$4=TRUE,$Q$5=TRUE,$S$2=TRUE),VLOOKUP($G292,'KO Calc'!$H:$AW,13,FALSE),VLOOKUP($G292,'KO Calc'!$H298:$AW298,13,FALSE)),IF(AND($Q$1=TRUE,$S$4=FALSE),IF(OR($Q$4=TRUE,$Q$5=TRUE,$S$2=TRUE),VLOOKUP($G292,'KO Calc'!$H:$AW,3,FALSE),VLOOKUP($G292,'KO Calc'!$H298:$AW298,3,FALSE)),
IF(AND($Q$1=TRUE,$S$1=TRUE,$S$4=TRUE)=TRUE,IF(OR($Q$4=TRUE,$Q$5=TRUE,$S$2=TRUE),VLOOKUP($G292,'KO Calc'!$H:$AW,18,FALSE),VLOOKUP($G292,'KO Calc'!$H298:$AW298,18,FALSE)),IF(AND($Q$1=TRUE,$S$4=TRUE),IF(OR($Q$4=TRUE,$Q$5=TRUE,$S$2=TRUE),VLOOKUP($G292,'KO Calc'!$H:$AW,8,FALSE),VLOOKUP($G292,'KO Calc'!$H298:$AW298,8,FALSE)),
IF(AND($S$3=TRUE,$S$1=TRUE,$S$4=FALSE)=TRUE,IF(OR($Q$4=TRUE,$Q$5=TRUE,$S$2=TRUE),VLOOKUP($G292,'KO Calc'!$H:$AW,33,FALSE),VLOOKUP($G292,'KO Calc'!$H298:$AW298,33,FALSE)),IF(AND($S$3=TRUE,$S$4=FALSE),IF(OR($Q$4=TRUE,$Q$5=TRUE,$S$2=TRUE),VLOOKUP($G292,'KO Calc'!$H:$AW,23,FALSE),VLOOKUP($G292,'KO Calc'!$H298:$AW298,23,FALSE)),
IF(AND($S$3=TRUE,$S$1=TRUE,$S$4=TRUE)=TRUE,IF(OR($Q$4=TRUE,$Q$5=TRUE,$S$2=TRUE),VLOOKUP($G292,'KO Calc'!$H:$AW,38,FALSE),VLOOKUP($G292,'KO Calc'!$H298:$AW298,38,FALSE)),IF(AND($S$3=TRUE,$S$4=TRUE),IF(OR($Q$4=TRUE,$Q$5=TRUE,$S$2=TRUE),VLOOKUP($G292,'KO Calc'!$H:$AW,28,FALSE),VLOOKUP($G292,'KO Calc'!$H298:$AW298,28,FALSE)))))))))))))</f>
        <v>-</v>
      </c>
      <c r="J292" s="36" t="str">
        <f>IF(AND($Q$1=FALSE,$S$3=FALSE),"-",IF(AND($Q$1=TRUE,$S$3=TRUE),"-",IF(AND($Q$1=FALSE,$S$3=FALSE),"-",IF(AND($Q$1=TRUE,$S$1=TRUE,$S$4=FALSE)=TRUE,IF(OR($Q$4=TRUE,$Q$5=TRUE,$S$2=TRUE),VLOOKUP($G292,'KO Calc'!$H:$AW,FALSE),VLOOKUP($G292,'KO Calc'!$H298:$AW298,14,FALSE)),IF(AND($Q$1=TRUE,$S$4=FALSE),IF(OR($Q$4=TRUE,$Q$5=TRUE,$S$2=TRUE),VLOOKUP($G292,'KO Calc'!$H:$AW,4,FALSE),VLOOKUP($G292,'KO Calc'!$H298:$AW298,4,FALSE)),
IF(AND($Q$1=TRUE,$S$1=TRUE,$S$4=TRUE)=TRUE,IF(OR($Q$4=TRUE,$Q$5=TRUE,$S$2=TRUE),VLOOKUP($G292,'KO Calc'!$H:$AW,19,FALSE),VLOOKUP($G292,'KO Calc'!$H298:$AW298,19,FALSE)),IF(AND($Q$1=TRUE,$S$4=TRUE),IF(OR($Q$4=TRUE,$Q$5=TRUE,$S$2=TRUE),VLOOKUP($G292,'KO Calc'!$H:$AW,9,FALSE),VLOOKUP($G292,'KO Calc'!$H298:$AW298,9,FALSE)),
IF(AND($S$3=TRUE,$S$1=TRUE,$S$4=FALSE)=TRUE,IF(OR($Q$4=TRUE,$Q$5=TRUE,$S$2=TRUE),VLOOKUP($G292,'KO Calc'!$H:$AW,34,FALSE),VLOOKUP($G292,'KO Calc'!$H298:$AW298,34,FALSE)),IF(AND($S$3=TRUE,$S$4=FALSE),IF(OR($Q$4=TRUE,$Q$5=TRUE,$S$2=TRUE),VLOOKUP($G292,'KO Calc'!$H:$AW,24,FALSE),VLOOKUP($G292,'KO Calc'!$H298:$AW298,24,FALSE)),
IF(AND($S$3=TRUE,$S$1=TRUE,$S$4=TRUE)=TRUE,IF(OR($Q$4=TRUE,$Q$5=TRUE,$S$2=TRUE),VLOOKUP($G292,'KO Calc'!$H:$AW,39,FALSE),VLOOKUP($G292,'KO Calc'!$H298:$AW298,39,FALSE)),IF(AND($S$3=TRUE,$S$4=TRUE),IF(OR($Q$4=TRUE,$Q$5=TRUE,$S$2=TRUE),VLOOKUP($G292,'KO Calc'!$H:$AW,29,FALSE),VLOOKUP($G292,'KO Calc'!$H298:$AW298,29,FALSE)))))))))))))</f>
        <v>-</v>
      </c>
      <c r="K292" s="36" t="str">
        <f>IF(AND($Q$1=FALSE,$S$3=FALSE),"-",IF(AND($Q$1=TRUE,$S$3=TRUE),"-",IF(AND($Q$1=FALSE,$S$3=FALSE),"-",IF(AND($Q$1=TRUE,$S$1=TRUE,$S$4=FALSE)=TRUE,IF(OR($Q$4=TRUE,$Q$5=TRUE,$S$2=TRUE),VLOOKUP($G292,'KO Calc'!$H:$AW,15,FALSE),VLOOKUP($G292,'KO Calc'!$H298:$AW298,15,FALSE)),IF(AND($Q$1=TRUE,$S$4=FALSE),IF(OR($Q$4=TRUE,$Q$5=TRUE,$S$2=TRUE),VLOOKUP($G292,'KO Calc'!$H:$AW,5,FALSE),VLOOKUP($G292,'KO Calc'!$H298:$AW298,5,FALSE)),
IF(AND($Q$1=TRUE,$S$1=TRUE,$S$4=TRUE)=TRUE,IF(OR($Q$4=TRUE,$Q$5=TRUE,$S$2=TRUE),VLOOKUP($G292,'KO Calc'!$H:$AW,20,FALSE),VLOOKUP($G292,'KO Calc'!$H298:$AW298,20,FALSE)),IF(AND($Q$1=TRUE,$S$4=TRUE),IF(OR($Q$4=TRUE,$Q$5=TRUE,$S$2=TRUE),VLOOKUP($G292,'KO Calc'!$H:$AW,10,FALSE),VLOOKUP($G292,'KO Calc'!$H298:$AW298,10,FALSE)),
IF(AND($S$3=TRUE,$S$1=TRUE,$S$4=FALSE)=TRUE,IF(OR($Q$4=TRUE,$Q$5=TRUE,$S$2=TRUE),VLOOKUP($G292,'KO Calc'!$H:$AW,35,FALSE),VLOOKUP($G292,'KO Calc'!$H298:$AW298,35,FALSE)),IF(AND($S$3=TRUE,$S$4=FALSE),IF(OR($Q$4=TRUE,$Q$5=TRUE,$S$2=TRUE),VLOOKUP($G292,'KO Calc'!$H:$AW,25,FALSE),VLOOKUP($G292,'KO Calc'!$H298:$AW298,25,FALSE)),
IF(AND($S$3=TRUE,$S$1=TRUE,$S$4=TRUE)=TRUE,IF(OR($Q$4=TRUE,$Q$5=TRUE,$S$2=TRUE),VLOOKUP($G292,'KO Calc'!$H:$AW,40,FALSE),VLOOKUP($G292,'KO Calc'!$H298:$AW298,40,FALSE)),IF(AND($S$3=TRUE,$S$4=TRUE),IF(OR($Q$4=TRUE,$Q$5=TRUE,$S$2=TRUE),VLOOKUP($G292,'KO Calc'!$H:$AW,30,FALSE),VLOOKUP($G292,'KO Calc'!$H298:$AW298,30,FALSE)))))))))))))</f>
        <v>-</v>
      </c>
      <c r="L292" s="36" t="str">
        <f>IFERROR(IF(AND($Q$1=FALSE,$S$3=FALSE),"-",VLOOKUP($E292,'Status Thresholds'!$E:$AU,41,FALSE)),"-")</f>
        <v>-</v>
      </c>
      <c r="M292" s="36" t="str">
        <f>IFERROR(IF(AND($Q$1=FALSE,$S$3=FALSE),"-",VLOOKUP($E292,'Status Thresholds'!$E:$AU,42,FALSE)),"-")</f>
        <v>-</v>
      </c>
      <c r="N292" s="36" t="str">
        <f>IFERROR(IF(AND($Q$1=FALSE,$S$3=FALSE),"-",VLOOKUP($E292,'Status Thresholds'!$E:$AU,43,FALSE)),"-")</f>
        <v>-</v>
      </c>
    </row>
    <row r="293" spans="1:14" x14ac:dyDescent="0.25">
      <c r="B293" s="64" t="str">
        <f>VLOOKUP(C293,'Status Thresholds'!B:C,2,FALSE)</f>
        <v>Deviant</v>
      </c>
      <c r="C293" s="46" t="str">
        <f>IF(ISBLANK('KO Calc'!C289)=TRUE,"",'KO Calc'!C289)</f>
        <v>Elderfrost Gammoth</v>
      </c>
      <c r="D293" s="78" t="s">
        <v>207</v>
      </c>
      <c r="E293" s="62" t="str">
        <f t="shared" si="9"/>
        <v>Elderfrost GammothShock Trap</v>
      </c>
      <c r="F293" t="s">
        <v>13</v>
      </c>
      <c r="G293" s="36" t="str">
        <f t="shared" ref="G293:G364" si="10">C293&amp;F293</f>
        <v>Elderfrost GammothCrag 3</v>
      </c>
      <c r="H293" s="36" t="str">
        <f>IF(AND($Q$1=FALSE,$S$3=FALSE),"-",IF(AND($Q$1=TRUE,$S$3=TRUE),"-",IF(AND($Q$1=FALSE,$S$3=FALSE),"-",IF(AND($Q$1=TRUE,$S$1=TRUE,$S$4=FALSE)=TRUE,IF(OR($Q$4=TRUE,$Q$5=TRUE,$S$2=TRUE),VLOOKUP($G293,'KO Calc'!$H:$AW,12,FALSE),VLOOKUP($G293,'KO Calc'!$H299:$AW299,12,FALSE)),IF(AND($Q$1=TRUE,$S$4=FALSE),IF(OR($Q$4=TRUE,$Q$5=TRUE,$S$2=TRUE),VLOOKUP($G293,'KO Calc'!$H:$AW,2,FALSE),VLOOKUP($G293,'KO Calc'!$H299:$AW299,2,FALSE)),
IF(AND($Q$1=TRUE,$S$1=TRUE,$S$4=TRUE)=TRUE,IF(OR($Q$4=TRUE,$Q$5=TRUE,$S$2=TRUE),VLOOKUP($G293,'KO Calc'!$H:$AW,17,FALSE),VLOOKUP($G293,'KO Calc'!$H299:$AW299,17,FALSE)),IF(AND($Q$1=TRUE,$S$4=TRUE),IF(OR($Q$4=TRUE,$Q$5=TRUE,$S$2=TRUE),VLOOKUP($G293,'KO Calc'!$H:$AW,7,FALSE),VLOOKUP($G293,'KO Calc'!$H299:$AW299,7,FALSE)),
IF(AND($S$3=TRUE,$S$1=TRUE,$S$4=FALSE)=TRUE,IF(OR($Q$4=TRUE,$Q$5=TRUE,$S$2=TRUE),VLOOKUP($G293,'KO Calc'!$H:$AW,32,FALSE),VLOOKUP($G293,'KO Calc'!$H299:$AW299,32,FALSE)),IF(AND($S$3=TRUE,$S$4=FALSE),IF(OR($Q$4=TRUE,$Q$5=TRUE,$S$2=TRUE),VLOOKUP($G293,'KO Calc'!$H:$AW,22,FALSE),VLOOKUP($G293,'KO Calc'!$H299:$AW299,22,FALSE)),
IF(AND($S$3=TRUE,$S$1=TRUE,$S$4=TRUE)=TRUE,IF(OR($Q$4=TRUE,$Q$5=TRUE,$S$2=TRUE),VLOOKUP($G293,'KO Calc'!$H:$AW,37,FALSE),VLOOKUP($G293,'KO Calc'!$H299:$AW299,37,FALSE)),IF(AND($S$3=TRUE,$S$4=TRUE),IF(OR($Q$4=TRUE,$Q$5=TRUE,$S$2=TRUE),VLOOKUP($G293,'KO Calc'!$H:$AW,27,FALSE),VLOOKUP($G293,'KO Calc'!$H299:$AW299,27,FALSE)))))))))))))</f>
        <v>-</v>
      </c>
      <c r="I293" s="36" t="str">
        <f>IF(AND($Q$1=FALSE,$S$3=FALSE),"-",IF(AND($Q$1=TRUE,$S$3=TRUE),"-",IF(AND($Q$1=FALSE,$S$3=FALSE),"-",IF(AND($Q$1=TRUE,$S$1=TRUE,$S$4=FALSE)=TRUE,IF(OR($Q$4=TRUE,$Q$5=TRUE,$S$2=TRUE),VLOOKUP($G293,'KO Calc'!$H:$AW,13,FALSE),VLOOKUP($G293,'KO Calc'!$H299:$AW299,13,FALSE)),IF(AND($Q$1=TRUE,$S$4=FALSE),IF(OR($Q$4=TRUE,$Q$5=TRUE,$S$2=TRUE),VLOOKUP($G293,'KO Calc'!$H:$AW,3,FALSE),VLOOKUP($G293,'KO Calc'!$H299:$AW299,3,FALSE)),
IF(AND($Q$1=TRUE,$S$1=TRUE,$S$4=TRUE)=TRUE,IF(OR($Q$4=TRUE,$Q$5=TRUE,$S$2=TRUE),VLOOKUP($G293,'KO Calc'!$H:$AW,18,FALSE),VLOOKUP($G293,'KO Calc'!$H299:$AW299,18,FALSE)),IF(AND($Q$1=TRUE,$S$4=TRUE),IF(OR($Q$4=TRUE,$Q$5=TRUE,$S$2=TRUE),VLOOKUP($G293,'KO Calc'!$H:$AW,8,FALSE),VLOOKUP($G293,'KO Calc'!$H299:$AW299,8,FALSE)),
IF(AND($S$3=TRUE,$S$1=TRUE,$S$4=FALSE)=TRUE,IF(OR($Q$4=TRUE,$Q$5=TRUE,$S$2=TRUE),VLOOKUP($G293,'KO Calc'!$H:$AW,33,FALSE),VLOOKUP($G293,'KO Calc'!$H299:$AW299,33,FALSE)),IF(AND($S$3=TRUE,$S$4=FALSE),IF(OR($Q$4=TRUE,$Q$5=TRUE,$S$2=TRUE),VLOOKUP($G293,'KO Calc'!$H:$AW,23,FALSE),VLOOKUP($G293,'KO Calc'!$H299:$AW299,23,FALSE)),
IF(AND($S$3=TRUE,$S$1=TRUE,$S$4=TRUE)=TRUE,IF(OR($Q$4=TRUE,$Q$5=TRUE,$S$2=TRUE),VLOOKUP($G293,'KO Calc'!$H:$AW,38,FALSE),VLOOKUP($G293,'KO Calc'!$H299:$AW299,38,FALSE)),IF(AND($S$3=TRUE,$S$4=TRUE),IF(OR($Q$4=TRUE,$Q$5=TRUE,$S$2=TRUE),VLOOKUP($G293,'KO Calc'!$H:$AW,28,FALSE),VLOOKUP($G293,'KO Calc'!$H299:$AW299,28,FALSE)))))))))))))</f>
        <v>-</v>
      </c>
      <c r="J293" s="36" t="str">
        <f>IF(AND($Q$1=FALSE,$S$3=FALSE),"-",IF(AND($Q$1=TRUE,$S$3=TRUE),"-",IF(AND($Q$1=FALSE,$S$3=FALSE),"-",IF(AND($Q$1=TRUE,$S$1=TRUE,$S$4=FALSE)=TRUE,IF(OR($Q$4=TRUE,$Q$5=TRUE,$S$2=TRUE),VLOOKUP($G293,'KO Calc'!$H:$AW,FALSE),VLOOKUP($G293,'KO Calc'!$H299:$AW299,14,FALSE)),IF(AND($Q$1=TRUE,$S$4=FALSE),IF(OR($Q$4=TRUE,$Q$5=TRUE,$S$2=TRUE),VLOOKUP($G293,'KO Calc'!$H:$AW,4,FALSE),VLOOKUP($G293,'KO Calc'!$H299:$AW299,4,FALSE)),
IF(AND($Q$1=TRUE,$S$1=TRUE,$S$4=TRUE)=TRUE,IF(OR($Q$4=TRUE,$Q$5=TRUE,$S$2=TRUE),VLOOKUP($G293,'KO Calc'!$H:$AW,19,FALSE),VLOOKUP($G293,'KO Calc'!$H299:$AW299,19,FALSE)),IF(AND($Q$1=TRUE,$S$4=TRUE),IF(OR($Q$4=TRUE,$Q$5=TRUE,$S$2=TRUE),VLOOKUP($G293,'KO Calc'!$H:$AW,9,FALSE),VLOOKUP($G293,'KO Calc'!$H299:$AW299,9,FALSE)),
IF(AND($S$3=TRUE,$S$1=TRUE,$S$4=FALSE)=TRUE,IF(OR($Q$4=TRUE,$Q$5=TRUE,$S$2=TRUE),VLOOKUP($G293,'KO Calc'!$H:$AW,34,FALSE),VLOOKUP($G293,'KO Calc'!$H299:$AW299,34,FALSE)),IF(AND($S$3=TRUE,$S$4=FALSE),IF(OR($Q$4=TRUE,$Q$5=TRUE,$S$2=TRUE),VLOOKUP($G293,'KO Calc'!$H:$AW,24,FALSE),VLOOKUP($G293,'KO Calc'!$H299:$AW299,24,FALSE)),
IF(AND($S$3=TRUE,$S$1=TRUE,$S$4=TRUE)=TRUE,IF(OR($Q$4=TRUE,$Q$5=TRUE,$S$2=TRUE),VLOOKUP($G293,'KO Calc'!$H:$AW,39,FALSE),VLOOKUP($G293,'KO Calc'!$H299:$AW299,39,FALSE)),IF(AND($S$3=TRUE,$S$4=TRUE),IF(OR($Q$4=TRUE,$Q$5=TRUE,$S$2=TRUE),VLOOKUP($G293,'KO Calc'!$H:$AW,29,FALSE),VLOOKUP($G293,'KO Calc'!$H299:$AW299,29,FALSE)))))))))))))</f>
        <v>-</v>
      </c>
      <c r="K293" s="36" t="str">
        <f>IF(AND($Q$1=FALSE,$S$3=FALSE),"-",IF(AND($Q$1=TRUE,$S$3=TRUE),"-",IF(AND($Q$1=FALSE,$S$3=FALSE),"-",IF(AND($Q$1=TRUE,$S$1=TRUE,$S$4=FALSE)=TRUE,IF(OR($Q$4=TRUE,$Q$5=TRUE,$S$2=TRUE),VLOOKUP($G293,'KO Calc'!$H:$AW,15,FALSE),VLOOKUP($G293,'KO Calc'!$H299:$AW299,15,FALSE)),IF(AND($Q$1=TRUE,$S$4=FALSE),IF(OR($Q$4=TRUE,$Q$5=TRUE,$S$2=TRUE),VLOOKUP($G293,'KO Calc'!$H:$AW,5,FALSE),VLOOKUP($G293,'KO Calc'!$H299:$AW299,5,FALSE)),
IF(AND($Q$1=TRUE,$S$1=TRUE,$S$4=TRUE)=TRUE,IF(OR($Q$4=TRUE,$Q$5=TRUE,$S$2=TRUE),VLOOKUP($G293,'KO Calc'!$H:$AW,20,FALSE),VLOOKUP($G293,'KO Calc'!$H299:$AW299,20,FALSE)),IF(AND($Q$1=TRUE,$S$4=TRUE),IF(OR($Q$4=TRUE,$Q$5=TRUE,$S$2=TRUE),VLOOKUP($G293,'KO Calc'!$H:$AW,10,FALSE),VLOOKUP($G293,'KO Calc'!$H299:$AW299,10,FALSE)),
IF(AND($S$3=TRUE,$S$1=TRUE,$S$4=FALSE)=TRUE,IF(OR($Q$4=TRUE,$Q$5=TRUE,$S$2=TRUE),VLOOKUP($G293,'KO Calc'!$H:$AW,35,FALSE),VLOOKUP($G293,'KO Calc'!$H299:$AW299,35,FALSE)),IF(AND($S$3=TRUE,$S$4=FALSE),IF(OR($Q$4=TRUE,$Q$5=TRUE,$S$2=TRUE),VLOOKUP($G293,'KO Calc'!$H:$AW,25,FALSE),VLOOKUP($G293,'KO Calc'!$H299:$AW299,25,FALSE)),
IF(AND($S$3=TRUE,$S$1=TRUE,$S$4=TRUE)=TRUE,IF(OR($Q$4=TRUE,$Q$5=TRUE,$S$2=TRUE),VLOOKUP($G293,'KO Calc'!$H:$AW,40,FALSE),VLOOKUP($G293,'KO Calc'!$H299:$AW299,40,FALSE)),IF(AND($S$3=TRUE,$S$4=TRUE),IF(OR($Q$4=TRUE,$Q$5=TRUE,$S$2=TRUE),VLOOKUP($G293,'KO Calc'!$H:$AW,30,FALSE),VLOOKUP($G293,'KO Calc'!$H299:$AW299,30,FALSE)))))))))))))</f>
        <v>-</v>
      </c>
      <c r="L293" s="36" t="str">
        <f>IFERROR(IF(AND($Q$1=FALSE,$S$3=FALSE),"-",VLOOKUP($E293,'Status Thresholds'!$E:$AU,43,FALSE)),"-")</f>
        <v>-</v>
      </c>
      <c r="M293" s="36" t="str">
        <f>IFERROR(IF(AND($Q$1=FALSE,$S$3=FALSE),"-",VLOOKUP($E293,'Status Thresholds'!$E:$AU,41,FALSE)),"-")</f>
        <v>-</v>
      </c>
      <c r="N293" s="36" t="str">
        <f>IFERROR(IF(AND($Q$1=FALSE,$S$3=FALSE),"-",VLOOKUP($E293,'Status Thresholds'!$E:$AU,42,FALSE)),"-")</f>
        <v>-</v>
      </c>
    </row>
    <row r="294" spans="1:14" x14ac:dyDescent="0.25">
      <c r="B294" s="64" t="str">
        <f>VLOOKUP(C294,'Status Thresholds'!B:C,2,FALSE)</f>
        <v>Deviant</v>
      </c>
      <c r="C294" s="46" t="str">
        <f>IF(ISBLANK('KO Calc'!C290)=TRUE,"",'KO Calc'!C290)</f>
        <v>Elderfrost Gammoth</v>
      </c>
      <c r="D294" s="78" t="s">
        <v>213</v>
      </c>
      <c r="E294" s="62" t="str">
        <f t="shared" si="9"/>
        <v>Elderfrost GammothPitfall Trap</v>
      </c>
      <c r="F294" t="s">
        <v>12</v>
      </c>
      <c r="G294" s="36" t="str">
        <f t="shared" si="10"/>
        <v>Elderfrost GammothCrag 2</v>
      </c>
      <c r="H294" s="36" t="str">
        <f>IF(AND($Q$1=FALSE,$S$3=FALSE),"-",IF(AND($Q$1=TRUE,$S$3=TRUE),"-",IF(AND($Q$1=FALSE,$S$3=FALSE),"-",IF(AND($Q$1=TRUE,$S$1=TRUE,$S$4=FALSE)=TRUE,IF(OR($Q$4=TRUE,$Q$5=TRUE,$S$2=TRUE),VLOOKUP($G294,'KO Calc'!$H:$AW,12,FALSE),VLOOKUP($G294,'KO Calc'!$H300:$AW300,12,FALSE)),IF(AND($Q$1=TRUE,$S$4=FALSE),IF(OR($Q$4=TRUE,$Q$5=TRUE,$S$2=TRUE),VLOOKUP($G294,'KO Calc'!$H:$AW,2,FALSE),VLOOKUP($G294,'KO Calc'!$H300:$AW300,2,FALSE)),
IF(AND($Q$1=TRUE,$S$1=TRUE,$S$4=TRUE)=TRUE,IF(OR($Q$4=TRUE,$Q$5=TRUE,$S$2=TRUE),VLOOKUP($G294,'KO Calc'!$H:$AW,17,FALSE),VLOOKUP($G294,'KO Calc'!$H300:$AW300,17,FALSE)),IF(AND($Q$1=TRUE,$S$4=TRUE),IF(OR($Q$4=TRUE,$Q$5=TRUE,$S$2=TRUE),VLOOKUP($G294,'KO Calc'!$H:$AW,7,FALSE),VLOOKUP($G294,'KO Calc'!$H300:$AW300,7,FALSE)),
IF(AND($S$3=TRUE,$S$1=TRUE,$S$4=FALSE)=TRUE,IF(OR($Q$4=TRUE,$Q$5=TRUE,$S$2=TRUE),VLOOKUP($G294,'KO Calc'!$H:$AW,32,FALSE),VLOOKUP($G294,'KO Calc'!$H300:$AW300,32,FALSE)),IF(AND($S$3=TRUE,$S$4=FALSE),IF(OR($Q$4=TRUE,$Q$5=TRUE,$S$2=TRUE),VLOOKUP($G294,'KO Calc'!$H:$AW,22,FALSE),VLOOKUP($G294,'KO Calc'!$H300:$AW300,22,FALSE)),
IF(AND($S$3=TRUE,$S$1=TRUE,$S$4=TRUE)=TRUE,IF(OR($Q$4=TRUE,$Q$5=TRUE,$S$2=TRUE),VLOOKUP($G294,'KO Calc'!$H:$AW,37,FALSE),VLOOKUP($G294,'KO Calc'!$H300:$AW300,37,FALSE)),IF(AND($S$3=TRUE,$S$4=TRUE),IF(OR($Q$4=TRUE,$Q$5=TRUE,$S$2=TRUE),VLOOKUP($G294,'KO Calc'!$H:$AW,27,FALSE),VLOOKUP($G294,'KO Calc'!$H300:$AW300,27,FALSE)))))))))))))</f>
        <v>-</v>
      </c>
      <c r="I294" s="36" t="str">
        <f>IF(AND($Q$1=FALSE,$S$3=FALSE),"-",IF(AND($Q$1=TRUE,$S$3=TRUE),"-",IF(AND($Q$1=FALSE,$S$3=FALSE),"-",IF(AND($Q$1=TRUE,$S$1=TRUE,$S$4=FALSE)=TRUE,IF(OR($Q$4=TRUE,$Q$5=TRUE,$S$2=TRUE),VLOOKUP($G294,'KO Calc'!$H:$AW,13,FALSE),VLOOKUP($G294,'KO Calc'!$H300:$AW300,13,FALSE)),IF(AND($Q$1=TRUE,$S$4=FALSE),IF(OR($Q$4=TRUE,$Q$5=TRUE,$S$2=TRUE),VLOOKUP($G294,'KO Calc'!$H:$AW,3,FALSE),VLOOKUP($G294,'KO Calc'!$H300:$AW300,3,FALSE)),
IF(AND($Q$1=TRUE,$S$1=TRUE,$S$4=TRUE)=TRUE,IF(OR($Q$4=TRUE,$Q$5=TRUE,$S$2=TRUE),VLOOKUP($G294,'KO Calc'!$H:$AW,18,FALSE),VLOOKUP($G294,'KO Calc'!$H300:$AW300,18,FALSE)),IF(AND($Q$1=TRUE,$S$4=TRUE),IF(OR($Q$4=TRUE,$Q$5=TRUE,$S$2=TRUE),VLOOKUP($G294,'KO Calc'!$H:$AW,8,FALSE),VLOOKUP($G294,'KO Calc'!$H300:$AW300,8,FALSE)),
IF(AND($S$3=TRUE,$S$1=TRUE,$S$4=FALSE)=TRUE,IF(OR($Q$4=TRUE,$Q$5=TRUE,$S$2=TRUE),VLOOKUP($G294,'KO Calc'!$H:$AW,33,FALSE),VLOOKUP($G294,'KO Calc'!$H300:$AW300,33,FALSE)),IF(AND($S$3=TRUE,$S$4=FALSE),IF(OR($Q$4=TRUE,$Q$5=TRUE,$S$2=TRUE),VLOOKUP($G294,'KO Calc'!$H:$AW,23,FALSE),VLOOKUP($G294,'KO Calc'!$H300:$AW300,23,FALSE)),
IF(AND($S$3=TRUE,$S$1=TRUE,$S$4=TRUE)=TRUE,IF(OR($Q$4=TRUE,$Q$5=TRUE,$S$2=TRUE),VLOOKUP($G294,'KO Calc'!$H:$AW,38,FALSE),VLOOKUP($G294,'KO Calc'!$H300:$AW300,38,FALSE)),IF(AND($S$3=TRUE,$S$4=TRUE),IF(OR($Q$4=TRUE,$Q$5=TRUE,$S$2=TRUE),VLOOKUP($G294,'KO Calc'!$H:$AW,28,FALSE),VLOOKUP($G294,'KO Calc'!$H300:$AW300,28,FALSE)))))))))))))</f>
        <v>-</v>
      </c>
      <c r="J294" s="36" t="str">
        <f>IF(AND($Q$1=FALSE,$S$3=FALSE),"-",IF(AND($Q$1=TRUE,$S$3=TRUE),"-",IF(AND($Q$1=FALSE,$S$3=FALSE),"-",IF(AND($Q$1=TRUE,$S$1=TRUE,$S$4=FALSE)=TRUE,IF(OR($Q$4=TRUE,$Q$5=TRUE,$S$2=TRUE),VLOOKUP($G294,'KO Calc'!$H:$AW,FALSE),VLOOKUP($G294,'KO Calc'!$H300:$AW300,14,FALSE)),IF(AND($Q$1=TRUE,$S$4=FALSE),IF(OR($Q$4=TRUE,$Q$5=TRUE,$S$2=TRUE),VLOOKUP($G294,'KO Calc'!$H:$AW,4,FALSE),VLOOKUP($G294,'KO Calc'!$H300:$AW300,4,FALSE)),
IF(AND($Q$1=TRUE,$S$1=TRUE,$S$4=TRUE)=TRUE,IF(OR($Q$4=TRUE,$Q$5=TRUE,$S$2=TRUE),VLOOKUP($G294,'KO Calc'!$H:$AW,19,FALSE),VLOOKUP($G294,'KO Calc'!$H300:$AW300,19,FALSE)),IF(AND($Q$1=TRUE,$S$4=TRUE),IF(OR($Q$4=TRUE,$Q$5=TRUE,$S$2=TRUE),VLOOKUP($G294,'KO Calc'!$H:$AW,9,FALSE),VLOOKUP($G294,'KO Calc'!$H300:$AW300,9,FALSE)),
IF(AND($S$3=TRUE,$S$1=TRUE,$S$4=FALSE)=TRUE,IF(OR($Q$4=TRUE,$Q$5=TRUE,$S$2=TRUE),VLOOKUP($G294,'KO Calc'!$H:$AW,34,FALSE),VLOOKUP($G294,'KO Calc'!$H300:$AW300,34,FALSE)),IF(AND($S$3=TRUE,$S$4=FALSE),IF(OR($Q$4=TRUE,$Q$5=TRUE,$S$2=TRUE),VLOOKUP($G294,'KO Calc'!$H:$AW,24,FALSE),VLOOKUP($G294,'KO Calc'!$H300:$AW300,24,FALSE)),
IF(AND($S$3=TRUE,$S$1=TRUE,$S$4=TRUE)=TRUE,IF(OR($Q$4=TRUE,$Q$5=TRUE,$S$2=TRUE),VLOOKUP($G294,'KO Calc'!$H:$AW,39,FALSE),VLOOKUP($G294,'KO Calc'!$H300:$AW300,39,FALSE)),IF(AND($S$3=TRUE,$S$4=TRUE),IF(OR($Q$4=TRUE,$Q$5=TRUE,$S$2=TRUE),VLOOKUP($G294,'KO Calc'!$H:$AW,29,FALSE),VLOOKUP($G294,'KO Calc'!$H300:$AW300,29,FALSE)))))))))))))</f>
        <v>-</v>
      </c>
      <c r="K294" s="36" t="str">
        <f>IF(AND($Q$1=FALSE,$S$3=FALSE),"-",IF(AND($Q$1=TRUE,$S$3=TRUE),"-",IF(AND($Q$1=FALSE,$S$3=FALSE),"-",IF(AND($Q$1=TRUE,$S$1=TRUE,$S$4=FALSE)=TRUE,IF(OR($Q$4=TRUE,$Q$5=TRUE,$S$2=TRUE),VLOOKUP($G294,'KO Calc'!$H:$AW,15,FALSE),VLOOKUP($G294,'KO Calc'!$H300:$AW300,15,FALSE)),IF(AND($Q$1=TRUE,$S$4=FALSE),IF(OR($Q$4=TRUE,$Q$5=TRUE,$S$2=TRUE),VLOOKUP($G294,'KO Calc'!$H:$AW,5,FALSE),VLOOKUP($G294,'KO Calc'!$H300:$AW300,5,FALSE)),
IF(AND($Q$1=TRUE,$S$1=TRUE,$S$4=TRUE)=TRUE,IF(OR($Q$4=TRUE,$Q$5=TRUE,$S$2=TRUE),VLOOKUP($G294,'KO Calc'!$H:$AW,20,FALSE),VLOOKUP($G294,'KO Calc'!$H300:$AW300,20,FALSE)),IF(AND($Q$1=TRUE,$S$4=TRUE),IF(OR($Q$4=TRUE,$Q$5=TRUE,$S$2=TRUE),VLOOKUP($G294,'KO Calc'!$H:$AW,10,FALSE),VLOOKUP($G294,'KO Calc'!$H300:$AW300,10,FALSE)),
IF(AND($S$3=TRUE,$S$1=TRUE,$S$4=FALSE)=TRUE,IF(OR($Q$4=TRUE,$Q$5=TRUE,$S$2=TRUE),VLOOKUP($G294,'KO Calc'!$H:$AW,35,FALSE),VLOOKUP($G294,'KO Calc'!$H300:$AW300,35,FALSE)),IF(AND($S$3=TRUE,$S$4=FALSE),IF(OR($Q$4=TRUE,$Q$5=TRUE,$S$2=TRUE),VLOOKUP($G294,'KO Calc'!$H:$AW,25,FALSE),VLOOKUP($G294,'KO Calc'!$H300:$AW300,25,FALSE)),
IF(AND($S$3=TRUE,$S$1=TRUE,$S$4=TRUE)=TRUE,IF(OR($Q$4=TRUE,$Q$5=TRUE,$S$2=TRUE),VLOOKUP($G294,'KO Calc'!$H:$AW,40,FALSE),VLOOKUP($G294,'KO Calc'!$H300:$AW300,40,FALSE)),IF(AND($S$3=TRUE,$S$4=TRUE),IF(OR($Q$4=TRUE,$Q$5=TRUE,$S$2=TRUE),VLOOKUP($G294,'KO Calc'!$H:$AW,30,FALSE),VLOOKUP($G294,'KO Calc'!$H300:$AW300,30,FALSE)))))))))))))</f>
        <v>-</v>
      </c>
      <c r="L294" s="36" t="str">
        <f>IFERROR(IF(AND($Q$1=FALSE,$S$3=FALSE),"-",VLOOKUP($E294,'Status Thresholds'!$E:$AU,43,FALSE)),"-")</f>
        <v>-</v>
      </c>
      <c r="M294" s="36" t="str">
        <f>IFERROR(IF(AND($Q$1=FALSE,$S$3=FALSE),"-",VLOOKUP($E294,'Status Thresholds'!$E:$AU,41,FALSE)),"-")</f>
        <v>-</v>
      </c>
      <c r="N294" s="36" t="str">
        <f>IFERROR(IF(AND($Q$1=FALSE,$S$3=FALSE),"-",VLOOKUP($E294,'Status Thresholds'!$E:$AU,42,FALSE)),"-")</f>
        <v>-</v>
      </c>
    </row>
    <row r="295" spans="1:14" x14ac:dyDescent="0.25">
      <c r="B295" s="64" t="str">
        <f>VLOOKUP(C295,'Status Thresholds'!B:C,2,FALSE)</f>
        <v>Deviant</v>
      </c>
      <c r="C295" s="46" t="str">
        <f>IF(ISBLANK('KO Calc'!C291)=TRUE,"",'KO Calc'!C291)</f>
        <v>Elderfrost Gammoth</v>
      </c>
      <c r="D295" s="78"/>
      <c r="E295" s="62" t="str">
        <f t="shared" si="9"/>
        <v>Elderfrost Gammoth</v>
      </c>
      <c r="F295" t="s">
        <v>11</v>
      </c>
      <c r="G295" s="36" t="str">
        <f t="shared" si="10"/>
        <v>Elderfrost GammothCrag 1</v>
      </c>
      <c r="H295" s="36" t="str">
        <f>IF(AND($Q$1=FALSE,$S$3=FALSE),"-",IF(AND($Q$1=TRUE,$S$3=TRUE),"-",IF(AND($Q$1=FALSE,$S$3=FALSE),"-",IF(AND($Q$1=TRUE,$S$1=TRUE,$S$4=FALSE)=TRUE,IF(OR($Q$4=TRUE,$Q$5=TRUE,$S$2=TRUE),VLOOKUP($G295,'KO Calc'!$H:$AW,12,FALSE),VLOOKUP($G295,'KO Calc'!$H301:$AW301,12,FALSE)),IF(AND($Q$1=TRUE,$S$4=FALSE),IF(OR($Q$4=TRUE,$Q$5=TRUE,$S$2=TRUE),VLOOKUP($G295,'KO Calc'!$H:$AW,2,FALSE),VLOOKUP($G295,'KO Calc'!$H301:$AW301,2,FALSE)),
IF(AND($Q$1=TRUE,$S$1=TRUE,$S$4=TRUE)=TRUE,IF(OR($Q$4=TRUE,$Q$5=TRUE,$S$2=TRUE),VLOOKUP($G295,'KO Calc'!$H:$AW,17,FALSE),VLOOKUP($G295,'KO Calc'!$H301:$AW301,17,FALSE)),IF(AND($Q$1=TRUE,$S$4=TRUE),IF(OR($Q$4=TRUE,$Q$5=TRUE,$S$2=TRUE),VLOOKUP($G295,'KO Calc'!$H:$AW,7,FALSE),VLOOKUP($G295,'KO Calc'!$H301:$AW301,7,FALSE)),
IF(AND($S$3=TRUE,$S$1=TRUE,$S$4=FALSE)=TRUE,IF(OR($Q$4=TRUE,$Q$5=TRUE,$S$2=TRUE),VLOOKUP($G295,'KO Calc'!$H:$AW,32,FALSE),VLOOKUP($G295,'KO Calc'!$H301:$AW301,32,FALSE)),IF(AND($S$3=TRUE,$S$4=FALSE),IF(OR($Q$4=TRUE,$Q$5=TRUE,$S$2=TRUE),VLOOKUP($G295,'KO Calc'!$H:$AW,22,FALSE),VLOOKUP($G295,'KO Calc'!$H301:$AW301,22,FALSE)),
IF(AND($S$3=TRUE,$S$1=TRUE,$S$4=TRUE)=TRUE,IF(OR($Q$4=TRUE,$Q$5=TRUE,$S$2=TRUE),VLOOKUP($G295,'KO Calc'!$H:$AW,37,FALSE),VLOOKUP($G295,'KO Calc'!$H301:$AW301,37,FALSE)),IF(AND($S$3=TRUE,$S$4=TRUE),IF(OR($Q$4=TRUE,$Q$5=TRUE,$S$2=TRUE),VLOOKUP($G295,'KO Calc'!$H:$AW,27,FALSE),VLOOKUP($G295,'KO Calc'!$H301:$AW301,27,FALSE)))))))))))))</f>
        <v>-</v>
      </c>
      <c r="I295" s="36" t="str">
        <f>IF(AND($Q$1=FALSE,$S$3=FALSE),"-",IF(AND($Q$1=TRUE,$S$3=TRUE),"-",IF(AND($Q$1=FALSE,$S$3=FALSE),"-",IF(AND($Q$1=TRUE,$S$1=TRUE,$S$4=FALSE)=TRUE,IF(OR($Q$4=TRUE,$Q$5=TRUE,$S$2=TRUE),VLOOKUP($G295,'KO Calc'!$H:$AW,13,FALSE),VLOOKUP($G295,'KO Calc'!$H301:$AW301,13,FALSE)),IF(AND($Q$1=TRUE,$S$4=FALSE),IF(OR($Q$4=TRUE,$Q$5=TRUE,$S$2=TRUE),VLOOKUP($G295,'KO Calc'!$H:$AW,3,FALSE),VLOOKUP($G295,'KO Calc'!$H301:$AW301,3,FALSE)),
IF(AND($Q$1=TRUE,$S$1=TRUE,$S$4=TRUE)=TRUE,IF(OR($Q$4=TRUE,$Q$5=TRUE,$S$2=TRUE),VLOOKUP($G295,'KO Calc'!$H:$AW,18,FALSE),VLOOKUP($G295,'KO Calc'!$H301:$AW301,18,FALSE)),IF(AND($Q$1=TRUE,$S$4=TRUE),IF(OR($Q$4=TRUE,$Q$5=TRUE,$S$2=TRUE),VLOOKUP($G295,'KO Calc'!$H:$AW,8,FALSE),VLOOKUP($G295,'KO Calc'!$H301:$AW301,8,FALSE)),
IF(AND($S$3=TRUE,$S$1=TRUE,$S$4=FALSE)=TRUE,IF(OR($Q$4=TRUE,$Q$5=TRUE,$S$2=TRUE),VLOOKUP($G295,'KO Calc'!$H:$AW,33,FALSE),VLOOKUP($G295,'KO Calc'!$H301:$AW301,33,FALSE)),IF(AND($S$3=TRUE,$S$4=FALSE),IF(OR($Q$4=TRUE,$Q$5=TRUE,$S$2=TRUE),VLOOKUP($G295,'KO Calc'!$H:$AW,23,FALSE),VLOOKUP($G295,'KO Calc'!$H301:$AW301,23,FALSE)),
IF(AND($S$3=TRUE,$S$1=TRUE,$S$4=TRUE)=TRUE,IF(OR($Q$4=TRUE,$Q$5=TRUE,$S$2=TRUE),VLOOKUP($G295,'KO Calc'!$H:$AW,38,FALSE),VLOOKUP($G295,'KO Calc'!$H301:$AW301,38,FALSE)),IF(AND($S$3=TRUE,$S$4=TRUE),IF(OR($Q$4=TRUE,$Q$5=TRUE,$S$2=TRUE),VLOOKUP($G295,'KO Calc'!$H:$AW,28,FALSE),VLOOKUP($G295,'KO Calc'!$H301:$AW301,28,FALSE)))))))))))))</f>
        <v>-</v>
      </c>
      <c r="J295" s="36" t="str">
        <f>IF(AND($Q$1=FALSE,$S$3=FALSE),"-",IF(AND($Q$1=TRUE,$S$3=TRUE),"-",IF(AND($Q$1=FALSE,$S$3=FALSE),"-",IF(AND($Q$1=TRUE,$S$1=TRUE,$S$4=FALSE)=TRUE,IF(OR($Q$4=TRUE,$Q$5=TRUE,$S$2=TRUE),VLOOKUP($G295,'KO Calc'!$H:$AW,FALSE),VLOOKUP($G295,'KO Calc'!$H301:$AW301,14,FALSE)),IF(AND($Q$1=TRUE,$S$4=FALSE),IF(OR($Q$4=TRUE,$Q$5=TRUE,$S$2=TRUE),VLOOKUP($G295,'KO Calc'!$H:$AW,4,FALSE),VLOOKUP($G295,'KO Calc'!$H301:$AW301,4,FALSE)),
IF(AND($Q$1=TRUE,$S$1=TRUE,$S$4=TRUE)=TRUE,IF(OR($Q$4=TRUE,$Q$5=TRUE,$S$2=TRUE),VLOOKUP($G295,'KO Calc'!$H:$AW,19,FALSE),VLOOKUP($G295,'KO Calc'!$H301:$AW301,19,FALSE)),IF(AND($Q$1=TRUE,$S$4=TRUE),IF(OR($Q$4=TRUE,$Q$5=TRUE,$S$2=TRUE),VLOOKUP($G295,'KO Calc'!$H:$AW,9,FALSE),VLOOKUP($G295,'KO Calc'!$H301:$AW301,9,FALSE)),
IF(AND($S$3=TRUE,$S$1=TRUE,$S$4=FALSE)=TRUE,IF(OR($Q$4=TRUE,$Q$5=TRUE,$S$2=TRUE),VLOOKUP($G295,'KO Calc'!$H:$AW,34,FALSE),VLOOKUP($G295,'KO Calc'!$H301:$AW301,34,FALSE)),IF(AND($S$3=TRUE,$S$4=FALSE),IF(OR($Q$4=TRUE,$Q$5=TRUE,$S$2=TRUE),VLOOKUP($G295,'KO Calc'!$H:$AW,24,FALSE),VLOOKUP($G295,'KO Calc'!$H301:$AW301,24,FALSE)),
IF(AND($S$3=TRUE,$S$1=TRUE,$S$4=TRUE)=TRUE,IF(OR($Q$4=TRUE,$Q$5=TRUE,$S$2=TRUE),VLOOKUP($G295,'KO Calc'!$H:$AW,39,FALSE),VLOOKUP($G295,'KO Calc'!$H301:$AW301,39,FALSE)),IF(AND($S$3=TRUE,$S$4=TRUE),IF(OR($Q$4=TRUE,$Q$5=TRUE,$S$2=TRUE),VLOOKUP($G295,'KO Calc'!$H:$AW,29,FALSE),VLOOKUP($G295,'KO Calc'!$H301:$AW301,29,FALSE)))))))))))))</f>
        <v>-</v>
      </c>
      <c r="K295" s="36" t="str">
        <f>IF(AND($Q$1=FALSE,$S$3=FALSE),"-",IF(AND($Q$1=TRUE,$S$3=TRUE),"-",IF(AND($Q$1=FALSE,$S$3=FALSE),"-",IF(AND($Q$1=TRUE,$S$1=TRUE,$S$4=FALSE)=TRUE,IF(OR($Q$4=TRUE,$Q$5=TRUE,$S$2=TRUE),VLOOKUP($G295,'KO Calc'!$H:$AW,15,FALSE),VLOOKUP($G295,'KO Calc'!$H301:$AW301,15,FALSE)),IF(AND($Q$1=TRUE,$S$4=FALSE),IF(OR($Q$4=TRUE,$Q$5=TRUE,$S$2=TRUE),VLOOKUP($G295,'KO Calc'!$H:$AW,5,FALSE),VLOOKUP($G295,'KO Calc'!$H301:$AW301,5,FALSE)),
IF(AND($Q$1=TRUE,$S$1=TRUE,$S$4=TRUE)=TRUE,IF(OR($Q$4=TRUE,$Q$5=TRUE,$S$2=TRUE),VLOOKUP($G295,'KO Calc'!$H:$AW,20,FALSE),VLOOKUP($G295,'KO Calc'!$H301:$AW301,20,FALSE)),IF(AND($Q$1=TRUE,$S$4=TRUE),IF(OR($Q$4=TRUE,$Q$5=TRUE,$S$2=TRUE),VLOOKUP($G295,'KO Calc'!$H:$AW,10,FALSE),VLOOKUP($G295,'KO Calc'!$H301:$AW301,10,FALSE)),
IF(AND($S$3=TRUE,$S$1=TRUE,$S$4=FALSE)=TRUE,IF(OR($Q$4=TRUE,$Q$5=TRUE,$S$2=TRUE),VLOOKUP($G295,'KO Calc'!$H:$AW,35,FALSE),VLOOKUP($G295,'KO Calc'!$H301:$AW301,35,FALSE)),IF(AND($S$3=TRUE,$S$4=FALSE),IF(OR($Q$4=TRUE,$Q$5=TRUE,$S$2=TRUE),VLOOKUP($G295,'KO Calc'!$H:$AW,25,FALSE),VLOOKUP($G295,'KO Calc'!$H301:$AW301,25,FALSE)),
IF(AND($S$3=TRUE,$S$1=TRUE,$S$4=TRUE)=TRUE,IF(OR($Q$4=TRUE,$Q$5=TRUE,$S$2=TRUE),VLOOKUP($G295,'KO Calc'!$H:$AW,40,FALSE),VLOOKUP($G295,'KO Calc'!$H301:$AW301,40,FALSE)),IF(AND($S$3=TRUE,$S$4=TRUE),IF(OR($Q$4=TRUE,$Q$5=TRUE,$S$2=TRUE),VLOOKUP($G295,'KO Calc'!$H:$AW,30,FALSE),VLOOKUP($G295,'KO Calc'!$H301:$AW301,30,FALSE)))))))))))))</f>
        <v>-</v>
      </c>
      <c r="L295" s="36" t="str">
        <f>IFERROR(VLOOKUP($E295,'Status Thresholds'!$E:$AS,41,FALSE),"-")</f>
        <v>-</v>
      </c>
    </row>
    <row r="296" spans="1:14" x14ac:dyDescent="0.25">
      <c r="B296" s="64" t="str">
        <f>VLOOKUP(C296,'Status Thresholds'!B:C,2,FALSE)</f>
        <v>Deviant</v>
      </c>
      <c r="C296" s="46" t="str">
        <f>IF(ISBLANK('KO Calc'!C292)=TRUE,"",'KO Calc'!C292)</f>
        <v>Elderfrost Gammoth</v>
      </c>
      <c r="D296" s="78"/>
      <c r="E296" s="62"/>
      <c r="G296" s="36"/>
      <c r="L296" s="36" t="str">
        <f>IFERROR(VLOOKUP($E296,'Status Thresholds'!$E:$AS,41,FALSE),"-")</f>
        <v>-</v>
      </c>
    </row>
    <row r="297" spans="1:14" s="36" customFormat="1" x14ac:dyDescent="0.25">
      <c r="B297" s="64" t="str">
        <f>VLOOKUP(C297,'Status Thresholds'!B:C,2,FALSE)</f>
        <v>MHGU</v>
      </c>
      <c r="C297" s="46" t="str">
        <f>IF(ISBLANK('KO Calc'!C293)=TRUE,"",'KO Calc'!C293)</f>
        <v>Fatalis (Black)</v>
      </c>
      <c r="D297" s="65" t="s">
        <v>0</v>
      </c>
      <c r="E297" s="62" t="str">
        <f t="shared" si="9"/>
        <v>Fatalis (Black)Para</v>
      </c>
      <c r="F297" s="36" t="s">
        <v>2</v>
      </c>
      <c r="G297" s="36" t="str">
        <f t="shared" si="10"/>
        <v>Fatalis (Black)Para lvl 2</v>
      </c>
      <c r="H297" s="36" t="str">
        <f>IFERROR(ROUNDUP(IF(AND($Q$1=FALSE,$S$3=FALSE),"-",IF(AND($Q$1=TRUE,$S$3=TRUE),"-",IF(AND($Q$1=TRUE,$S$1=TRUE,$S$4=FALSE),VLOOKUP($E297,'Status Thresholds'!$E:$AS,12,FALSE),IF(AND($Q$1=TRUE,$S$4=FALSE),VLOOKUP($E297,'Status Thresholds'!$E:$AS,2,FALSE), IF(AND($Q$1=TRUE,$S$1=TRUE,$S$4=TRUE),VLOOKUP($E297,'Status Thresholds'!$E:$AS,17,FALSE),IF(AND($Q$1=TRUE,$S$4=TRUE),VLOOKUP($E297,'Status Thresholds'!$E:$AS,7,FALSE),IF(AND($S$3=TRUE,$S$1=TRUE,$S$4=FALSE),VLOOKUP($E297,'Status Thresholds'!$E:$AS,32,FALSE),IF(AND($S$3=TRUE,$S$4=FALSE),VLOOKUP($E297,'Status Thresholds'!$E:$AS,22,FALSE),IF(AND($S$3=TRUE,$S$1=TRUE,$S$4=TRUE),VLOOKUP($E297,'Status Thresholds'!$E:$AS,37,FALSE),IF(AND($S$3=TRUE,$S$4=TRUE),VLOOKUP($E297,'Status Thresholds'!$E:$AS,27,FALSE),""))))))))/IF(OR($Q$3=TRUE,AND($Q$2=TRUE,$Q$7=TRUE),AND($Q$3=TRUE,$Q$7=TRUE))=TRUE,'Shots and Status'!$F$5,IF((OR($Q$2,$Q$7)=TRUE),'Shots and Status'!$D$5,'Shots and Status'!$C$5)))),0),"-")</f>
        <v>-</v>
      </c>
      <c r="I297" s="36" t="str">
        <f>IFERROR(ROUNDUP(IF(AND($Q$1=FALSE,$S$3=FALSE),"-",IF(AND($Q$1=TRUE,$S$3=TRUE),"-",IF(AND($Q$1=TRUE,$S$1=TRUE,$S$4=FALSE),VLOOKUP($E297,'Status Thresholds'!$E:$AS,13,FALSE),IF(AND($Q$1=TRUE,$S$4=FALSE),VLOOKUP($E297,'Status Thresholds'!$E:$AS,3,FALSE), IF(AND($Q$1=TRUE,$S$1=TRUE,$S$4=TRUE),VLOOKUP($E297,'Status Thresholds'!$E:$AS,18,FALSE),IF(AND($Q$1=TRUE,$S$4=TRUE),VLOOKUP($E297,'Status Thresholds'!$E:$AS,8,FALSE),IF(AND($S$3=TRUE,$S$1=TRUE,$S$4=FALSE),VLOOKUP($E297,'Status Thresholds'!$E:$AS,33,FALSE),IF(AND($S$3=TRUE,$S$4=FALSE),VLOOKUP($E297,'Status Thresholds'!$E:$AS,23,FALSE),IF(AND($S$3=TRUE,$S$1=TRUE,$S$4=TRUE),VLOOKUP($E297,'Status Thresholds'!$E:$AS,38,FALSE),IF(AND($S$3=TRUE,$S$4=TRUE),VLOOKUP($E297,'Status Thresholds'!$E:$AS,28,FALSE),""))))))))/IF(OR($Q$3=TRUE,AND($Q$2=TRUE,$Q$7=TRUE),AND($Q$3=TRUE,$Q$7=TRUE))=TRUE,'Shots and Status'!$F$5,IF((OR($Q$2,$Q$7)=TRUE),'Shots and Status'!$D$5,'Shots and Status'!$C$5)))),0),"-")</f>
        <v>-</v>
      </c>
      <c r="J297" s="36" t="str">
        <f>IFERROR(ROUNDUP(IF(AND($Q$1=FALSE,$S$3=FALSE),"-",IF(AND($Q$1=TRUE,$S$3=TRUE),"-",IF(AND($Q$1=TRUE,$S$1=TRUE,$S$4=FALSE),VLOOKUP($E297,'Status Thresholds'!$E:$AS,14,FALSE),IF(AND($Q$1=TRUE,$S$4=FALSE),VLOOKUP($E297,'Status Thresholds'!$E:$AS,4,FALSE), IF(AND($Q$1=TRUE,$S$1=TRUE,$S$4=TRUE),VLOOKUP($E297,'Status Thresholds'!$E:$AS,19,FALSE),IF(AND($Q$1=TRUE,$S$4=TRUE),VLOOKUP($E297,'Status Thresholds'!$E:$AS,9,FALSE),IF(AND($S$3=TRUE,$S$1=TRUE,$S$4=FALSE),VLOOKUP($E297,'Status Thresholds'!$E:$AS,34,FALSE),IF(AND($S$3=TRUE,$S$4=FALSE),VLOOKUP($E297,'Status Thresholds'!$E:$AS,24,FALSE),IF(AND($S$3=TRUE,$S$1=TRUE,$S$4=TRUE),VLOOKUP($E297,'Status Thresholds'!$E:$AS,39,FALSE),IF(AND($S$3=TRUE,$S$4=TRUE),VLOOKUP($E297,'Status Thresholds'!$E:$AS,29,FALSE),""))))))))/IF(OR($Q$3=TRUE,AND($Q$2=TRUE,$Q$7=TRUE),AND($Q$3=TRUE,$Q$7=TRUE))=TRUE,'Shots and Status'!$F$5,IF((OR($Q$2,$Q$7)=TRUE),'Shots and Status'!$D$5,'Shots and Status'!$C$5)))),0),"-")</f>
        <v>-</v>
      </c>
      <c r="K297" s="36" t="str">
        <f>IFERROR(ROUNDUP(IF(AND($Q$1=FALSE,$S$3=FALSE),"-",IF(AND($Q$1=TRUE,$S$3=TRUE),"-",IF(AND($Q$1=TRUE,$S$1=TRUE,$S$4=FALSE),VLOOKUP($E297,'Status Thresholds'!$E:$AS,15,FALSE),IF(AND($Q$1=TRUE,$S$4=FALSE),VLOOKUP($E297,'Status Thresholds'!$E:$AS,5,FALSE), IF(AND($Q$1=TRUE,$S$1=TRUE,$S$4=TRUE),VLOOKUP($E297,'Status Thresholds'!$E:$AS,20,FALSE),IF(AND($Q$1=TRUE,$S$4=TRUE),VLOOKUP($E297,'Status Thresholds'!$E:$AS,10,FALSE),IF(AND($S$3=TRUE,$S$1=TRUE,$S$4=FALSE),VLOOKUP($E297,'Status Thresholds'!$E:$AS,35,FALSE),IF(AND($S$3=TRUE,$S$4=FALSE),VLOOKUP($E297,'Status Thresholds'!$E:$AS,25,FALSE),IF(AND($S$3=TRUE,$S$1=TRUE,$S$4=TRUE),VLOOKUP($E297,'Status Thresholds'!$E:$AS,40,FALSE),IF(AND($S$3=TRUE,$S$4=TRUE),VLOOKUP($E297,'Status Thresholds'!$E:$AS,30,FALSE),""))))))))/IF(OR($Q$3=TRUE,AND($Q$2=TRUE,$Q$7=TRUE),AND($Q$3=TRUE,$Q$7=TRUE))=TRUE,'Shots and Status'!$F$5,IF((OR($Q$2,$Q$7)=TRUE),'Shots and Status'!$D$5,'Shots and Status'!$C$5)))),0),"-")</f>
        <v>-</v>
      </c>
      <c r="L297" s="36" t="str">
        <f>IFERROR(IF(AND($Q$1=FALSE,$S$3=FALSE),"-",VLOOKUP($E297,'Status Thresholds'!$E:$AU,41,FALSE)),"-")</f>
        <v>-</v>
      </c>
      <c r="M297" s="36" t="str">
        <f>IFERROR(IF(AND($Q$1=FALSE,$S$3=FALSE),"-",VLOOKUP($E297,'Status Thresholds'!$E:$AU,42,FALSE)),"-")</f>
        <v>-</v>
      </c>
      <c r="N297" s="36" t="str">
        <f>IFERROR(IF(AND($Q$1=FALSE,$S$3=FALSE),"-",VLOOKUP($E297,'Status Thresholds'!$E:$AU,43,FALSE)),"-")</f>
        <v>-</v>
      </c>
    </row>
    <row r="298" spans="1:14" s="59" customFormat="1" x14ac:dyDescent="0.25">
      <c r="A298" s="46"/>
      <c r="B298" s="64" t="str">
        <f>VLOOKUP(C298,'Status Thresholds'!B:C,2,FALSE)</f>
        <v>MHGU</v>
      </c>
      <c r="C298" s="46" t="str">
        <f>IF(ISBLANK('KO Calc'!C294)=TRUE,"",'KO Calc'!C294)</f>
        <v>Fatalis (Black)</v>
      </c>
      <c r="D298" s="60" t="s">
        <v>32</v>
      </c>
      <c r="E298" s="62" t="str">
        <f t="shared" si="9"/>
        <v>Fatalis (Black)Sleep</v>
      </c>
      <c r="F298" s="59" t="s">
        <v>5</v>
      </c>
      <c r="G298" s="36" t="str">
        <f t="shared" si="10"/>
        <v>Fatalis (Black)Sleep lvl 2</v>
      </c>
      <c r="H298" s="36" t="str">
        <f>IFERROR(ROUNDUP(IF(AND($Q$1=FALSE,$S$3=FALSE),"-",IF(AND($Q$1=TRUE,$S$3=TRUE),"-",IF(AND($Q$1=TRUE,$S$1=TRUE,$S$4=FALSE),VLOOKUP($E298,'Status Thresholds'!$E:$AS,12,FALSE),IF(AND($Q$1=TRUE,$S$4=FALSE),VLOOKUP($E298,'Status Thresholds'!$E:$AS,2,FALSE), IF(AND($Q$1=TRUE,$S$1=TRUE,$S$4=TRUE),VLOOKUP($E298,'Status Thresholds'!$E:$AS,17,FALSE),IF(AND($Q$1=TRUE,$S$4=TRUE),VLOOKUP($E298,'Status Thresholds'!$E:$AS,7,FALSE),IF(AND($S$3=TRUE,$S$1=TRUE,$S$4=FALSE),VLOOKUP($E298,'Status Thresholds'!$E:$AS,32,FALSE),IF(AND($S$3=TRUE,$S$4=FALSE),VLOOKUP($E298,'Status Thresholds'!$E:$AS,22,FALSE),IF(AND($S$3=TRUE,$S$1=TRUE,$S$4=TRUE),VLOOKUP($E298,'Status Thresholds'!$E:$AS,37,FALSE),IF(AND($S$3=TRUE,$S$4=TRUE),VLOOKUP($E298,'Status Thresholds'!$E:$AS,27,FALSE),""))))))))/IF(OR($Q$3=TRUE,AND($Q$2=TRUE,$Q$7=TRUE),AND($Q$3=TRUE,$Q$7=TRUE))=TRUE,'Shots and Status'!$F$5,IF((OR($Q$2,$Q$7)=TRUE),'Shots and Status'!$D$5,'Shots and Status'!$C$5)))),0),"-")</f>
        <v>-</v>
      </c>
      <c r="I298" s="36" t="str">
        <f>IFERROR(ROUNDUP(IF(AND($Q$1=FALSE,$S$3=FALSE),"-",IF(AND($Q$1=TRUE,$S$3=TRUE),"-",IF(AND($Q$1=TRUE,$S$1=TRUE,$S$4=FALSE),VLOOKUP($E298,'Status Thresholds'!$E:$AS,13,FALSE),IF(AND($Q$1=TRUE,$S$4=FALSE),VLOOKUP($E298,'Status Thresholds'!$E:$AS,3,FALSE), IF(AND($Q$1=TRUE,$S$1=TRUE,$S$4=TRUE),VLOOKUP($E298,'Status Thresholds'!$E:$AS,18,FALSE),IF(AND($Q$1=TRUE,$S$4=TRUE),VLOOKUP($E298,'Status Thresholds'!$E:$AS,8,FALSE),IF(AND($S$3=TRUE,$S$1=TRUE,$S$4=FALSE),VLOOKUP($E298,'Status Thresholds'!$E:$AS,33,FALSE),IF(AND($S$3=TRUE,$S$4=FALSE),VLOOKUP($E298,'Status Thresholds'!$E:$AS,23,FALSE),IF(AND($S$3=TRUE,$S$1=TRUE,$S$4=TRUE),VLOOKUP($E298,'Status Thresholds'!$E:$AS,38,FALSE),IF(AND($S$3=TRUE,$S$4=TRUE),VLOOKUP($E298,'Status Thresholds'!$E:$AS,28,FALSE),""))))))))/IF(OR($Q$3=TRUE,AND($Q$2=TRUE,$Q$7=TRUE),AND($Q$3=TRUE,$Q$7=TRUE))=TRUE,'Shots and Status'!$F$5,IF((OR($Q$2,$Q$7)=TRUE),'Shots and Status'!$D$5,'Shots and Status'!$C$5)))),0),"-")</f>
        <v>-</v>
      </c>
      <c r="J298" s="36" t="str">
        <f>IFERROR(ROUNDUP(IF(AND($Q$1=FALSE,$S$3=FALSE),"-",IF(AND($Q$1=TRUE,$S$3=TRUE),"-",IF(AND($Q$1=TRUE,$S$1=TRUE,$S$4=FALSE),VLOOKUP($E298,'Status Thresholds'!$E:$AS,14,FALSE),IF(AND($Q$1=TRUE,$S$4=FALSE),VLOOKUP($E298,'Status Thresholds'!$E:$AS,4,FALSE), IF(AND($Q$1=TRUE,$S$1=TRUE,$S$4=TRUE),VLOOKUP($E298,'Status Thresholds'!$E:$AS,19,FALSE),IF(AND($Q$1=TRUE,$S$4=TRUE),VLOOKUP($E298,'Status Thresholds'!$E:$AS,9,FALSE),IF(AND($S$3=TRUE,$S$1=TRUE,$S$4=FALSE),VLOOKUP($E298,'Status Thresholds'!$E:$AS,34,FALSE),IF(AND($S$3=TRUE,$S$4=FALSE),VLOOKUP($E298,'Status Thresholds'!$E:$AS,24,FALSE),IF(AND($S$3=TRUE,$S$1=TRUE,$S$4=TRUE),VLOOKUP($E298,'Status Thresholds'!$E:$AS,39,FALSE),IF(AND($S$3=TRUE,$S$4=TRUE),VLOOKUP($E298,'Status Thresholds'!$E:$AS,29,FALSE),""))))))))/IF(OR($Q$3=TRUE,AND($Q$2=TRUE,$Q$7=TRUE),AND($Q$3=TRUE,$Q$7=TRUE))=TRUE,'Shots and Status'!$F$5,IF((OR($Q$2,$Q$7)=TRUE),'Shots and Status'!$D$5,'Shots and Status'!$C$5)))),0),"-")</f>
        <v>-</v>
      </c>
      <c r="K298" s="36" t="str">
        <f>IFERROR(ROUNDUP(IF(AND($Q$1=FALSE,$S$3=FALSE),"-",IF(AND($Q$1=TRUE,$S$3=TRUE),"-",IF(AND($Q$1=TRUE,$S$1=TRUE,$S$4=FALSE),VLOOKUP($E298,'Status Thresholds'!$E:$AS,15,FALSE),IF(AND($Q$1=TRUE,$S$4=FALSE),VLOOKUP($E298,'Status Thresholds'!$E:$AS,5,FALSE), IF(AND($Q$1=TRUE,$S$1=TRUE,$S$4=TRUE),VLOOKUP($E298,'Status Thresholds'!$E:$AS,20,FALSE),IF(AND($Q$1=TRUE,$S$4=TRUE),VLOOKUP($E298,'Status Thresholds'!$E:$AS,10,FALSE),IF(AND($S$3=TRUE,$S$1=TRUE,$S$4=FALSE),VLOOKUP($E298,'Status Thresholds'!$E:$AS,35,FALSE),IF(AND($S$3=TRUE,$S$4=FALSE),VLOOKUP($E298,'Status Thresholds'!$E:$AS,25,FALSE),IF(AND($S$3=TRUE,$S$1=TRUE,$S$4=TRUE),VLOOKUP($E298,'Status Thresholds'!$E:$AS,40,FALSE),IF(AND($S$3=TRUE,$S$4=TRUE),VLOOKUP($E298,'Status Thresholds'!$E:$AS,30,FALSE),""))))))))/IF(OR($Q$3=TRUE,AND($Q$2=TRUE,$Q$7=TRUE),AND($Q$3=TRUE,$Q$7=TRUE))=TRUE,'Shots and Status'!$F$5,IF((OR($Q$2,$Q$7)=TRUE),'Shots and Status'!$D$5,'Shots and Status'!$C$5)))),0),"-")</f>
        <v>-</v>
      </c>
      <c r="L298" s="36" t="str">
        <f>IFERROR(IF(AND($Q$1=FALSE,$S$3=FALSE),"-",VLOOKUP($E298,'Status Thresholds'!$E:$AU,41,FALSE)),"-")</f>
        <v>-</v>
      </c>
      <c r="M298" s="36" t="str">
        <f>IFERROR(IF(AND($Q$1=FALSE,$S$3=FALSE),"-",VLOOKUP($E298,'Status Thresholds'!$E:$AU,42,FALSE)),"-")</f>
        <v>-</v>
      </c>
      <c r="N298" s="36" t="str">
        <f>IFERROR(IF(AND($Q$1=FALSE,$S$3=FALSE),"-",VLOOKUP($E298,'Status Thresholds'!$E:$AU,43,FALSE)),"-")</f>
        <v>-</v>
      </c>
    </row>
    <row r="299" spans="1:14" s="59" customFormat="1" x14ac:dyDescent="0.25">
      <c r="A299" s="46"/>
      <c r="B299" s="64" t="str">
        <f>VLOOKUP(C299,'Status Thresholds'!B:C,2,FALSE)</f>
        <v>MHGU</v>
      </c>
      <c r="C299" s="46" t="str">
        <f>IF(ISBLANK('KO Calc'!C295)=TRUE,"",'KO Calc'!C295)</f>
        <v>Fatalis (Black)</v>
      </c>
      <c r="D299" s="58" t="s">
        <v>33</v>
      </c>
      <c r="E299" s="62" t="str">
        <f t="shared" si="9"/>
        <v>Fatalis (Black)Poison</v>
      </c>
      <c r="F299" s="59" t="s">
        <v>6</v>
      </c>
      <c r="G299" s="36" t="str">
        <f t="shared" si="10"/>
        <v>Fatalis (Black)Poison lvl 2</v>
      </c>
      <c r="H299" s="36" t="str">
        <f>IFERROR(ROUNDUP(IF(AND($Q$1=FALSE,$S$3=FALSE),"-",IF(AND($Q$1=TRUE,$S$3=TRUE),"-",IF(AND($Q$1=TRUE,$S$1=TRUE,$S$4=FALSE),VLOOKUP($E299,'Status Thresholds'!$E:$AS,12,FALSE),IF(AND($Q$1=TRUE,$S$4=FALSE),VLOOKUP($E299,'Status Thresholds'!$E:$AS,2,FALSE), IF(AND($Q$1=TRUE,$S$1=TRUE,$S$4=TRUE),VLOOKUP($E299,'Status Thresholds'!$E:$AS,17,FALSE),IF(AND($Q$1=TRUE,$S$4=TRUE),VLOOKUP($E299,'Status Thresholds'!$E:$AS,7,FALSE),IF(AND($S$3=TRUE,$S$1=TRUE,$S$4=FALSE),VLOOKUP($E299,'Status Thresholds'!$E:$AS,32,FALSE),IF(AND($S$3=TRUE,$S$4=FALSE),VLOOKUP($E299,'Status Thresholds'!$E:$AS,22,FALSE),IF(AND($S$3=TRUE,$S$1=TRUE,$S$4=TRUE),VLOOKUP($E299,'Status Thresholds'!$E:$AS,37,FALSE),IF(AND($S$3=TRUE,$S$4=TRUE),VLOOKUP($E299,'Status Thresholds'!$E:$AS,27,FALSE),""))))))))/IF(OR($Q$3=TRUE,AND($Q$2=TRUE,$Q$7=TRUE),AND($Q$3=TRUE,$Q$7=TRUE))=TRUE,'Shots and Status'!$F$5,IF((OR($Q$2,$Q$7)=TRUE),'Shots and Status'!$D$5,'Shots and Status'!$C$5)))),0),"-")</f>
        <v>-</v>
      </c>
      <c r="I299" s="36" t="str">
        <f>IFERROR(ROUNDUP(IF(AND($Q$1=FALSE,$S$3=FALSE),"-",IF(AND($Q$1=TRUE,$S$3=TRUE),"-",IF(AND($Q$1=TRUE,$S$1=TRUE,$S$4=FALSE),VLOOKUP($E299,'Status Thresholds'!$E:$AS,13,FALSE),IF(AND($Q$1=TRUE,$S$4=FALSE),VLOOKUP($E299,'Status Thresholds'!$E:$AS,3,FALSE), IF(AND($Q$1=TRUE,$S$1=TRUE,$S$4=TRUE),VLOOKUP($E299,'Status Thresholds'!$E:$AS,18,FALSE),IF(AND($Q$1=TRUE,$S$4=TRUE),VLOOKUP($E299,'Status Thresholds'!$E:$AS,8,FALSE),IF(AND($S$3=TRUE,$S$1=TRUE,$S$4=FALSE),VLOOKUP($E299,'Status Thresholds'!$E:$AS,33,FALSE),IF(AND($S$3=TRUE,$S$4=FALSE),VLOOKUP($E299,'Status Thresholds'!$E:$AS,23,FALSE),IF(AND($S$3=TRUE,$S$1=TRUE,$S$4=TRUE),VLOOKUP($E299,'Status Thresholds'!$E:$AS,38,FALSE),IF(AND($S$3=TRUE,$S$4=TRUE),VLOOKUP($E299,'Status Thresholds'!$E:$AS,28,FALSE),""))))))))/IF(OR($Q$3=TRUE,AND($Q$2=TRUE,$Q$7=TRUE),AND($Q$3=TRUE,$Q$7=TRUE))=TRUE,'Shots and Status'!$F$5,IF((OR($Q$2,$Q$7)=TRUE),'Shots and Status'!$D$5,'Shots and Status'!$C$5)))),0),"-")</f>
        <v>-</v>
      </c>
      <c r="J299" s="36" t="str">
        <f>IFERROR(ROUNDUP(IF(AND($Q$1=FALSE,$S$3=FALSE),"-",IF(AND($Q$1=TRUE,$S$3=TRUE),"-",IF(AND($Q$1=TRUE,$S$1=TRUE,$S$4=FALSE),VLOOKUP($E299,'Status Thresholds'!$E:$AS,14,FALSE),IF(AND($Q$1=TRUE,$S$4=FALSE),VLOOKUP($E299,'Status Thresholds'!$E:$AS,4,FALSE), IF(AND($Q$1=TRUE,$S$1=TRUE,$S$4=TRUE),VLOOKUP($E299,'Status Thresholds'!$E:$AS,19,FALSE),IF(AND($Q$1=TRUE,$S$4=TRUE),VLOOKUP($E299,'Status Thresholds'!$E:$AS,9,FALSE),IF(AND($S$3=TRUE,$S$1=TRUE,$S$4=FALSE),VLOOKUP($E299,'Status Thresholds'!$E:$AS,34,FALSE),IF(AND($S$3=TRUE,$S$4=FALSE),VLOOKUP($E299,'Status Thresholds'!$E:$AS,24,FALSE),IF(AND($S$3=TRUE,$S$1=TRUE,$S$4=TRUE),VLOOKUP($E299,'Status Thresholds'!$E:$AS,39,FALSE),IF(AND($S$3=TRUE,$S$4=TRUE),VLOOKUP($E299,'Status Thresholds'!$E:$AS,29,FALSE),""))))))))/IF(OR($Q$3=TRUE,AND($Q$2=TRUE,$Q$7=TRUE),AND($Q$3=TRUE,$Q$7=TRUE))=TRUE,'Shots and Status'!$F$5,IF((OR($Q$2,$Q$7)=TRUE),'Shots and Status'!$D$5,'Shots and Status'!$C$5)))),0),"-")</f>
        <v>-</v>
      </c>
      <c r="K299" s="36" t="str">
        <f>IFERROR(ROUNDUP(IF(AND($Q$1=FALSE,$S$3=FALSE),"-",IF(AND($Q$1=TRUE,$S$3=TRUE),"-",IF(AND($Q$1=TRUE,$S$1=TRUE,$S$4=FALSE),VLOOKUP($E299,'Status Thresholds'!$E:$AS,15,FALSE),IF(AND($Q$1=TRUE,$S$4=FALSE),VLOOKUP($E299,'Status Thresholds'!$E:$AS,5,FALSE), IF(AND($Q$1=TRUE,$S$1=TRUE,$S$4=TRUE),VLOOKUP($E299,'Status Thresholds'!$E:$AS,20,FALSE),IF(AND($Q$1=TRUE,$S$4=TRUE),VLOOKUP($E299,'Status Thresholds'!$E:$AS,10,FALSE),IF(AND($S$3=TRUE,$S$1=TRUE,$S$4=FALSE),VLOOKUP($E299,'Status Thresholds'!$E:$AS,35,FALSE),IF(AND($S$3=TRUE,$S$4=FALSE),VLOOKUP($E299,'Status Thresholds'!$E:$AS,25,FALSE),IF(AND($S$3=TRUE,$S$1=TRUE,$S$4=TRUE),VLOOKUP($E299,'Status Thresholds'!$E:$AS,40,FALSE),IF(AND($S$3=TRUE,$S$4=TRUE),VLOOKUP($E299,'Status Thresholds'!$E:$AS,30,FALSE),""))))))))/IF(OR($Q$3=TRUE,AND($Q$2=TRUE,$Q$7=TRUE),AND($Q$3=TRUE,$Q$7=TRUE))=TRUE,'Shots and Status'!$F$5,IF((OR($Q$2,$Q$7)=TRUE),'Shots and Status'!$D$5,'Shots and Status'!$C$5)))),0),"-")</f>
        <v>-</v>
      </c>
      <c r="L299" s="36" t="str">
        <f>IFERROR(IF(AND($Q$1=FALSE,$S$3=FALSE),"-",VLOOKUP($E299,'Status Thresholds'!$E:$AU,41,FALSE)),"-")</f>
        <v>-</v>
      </c>
      <c r="M299" s="36" t="str">
        <f>IFERROR(IF(AND($Q$1=FALSE,$S$3=FALSE),"-",VLOOKUP($E299,'Status Thresholds'!$E:$AU,42,FALSE)),"-")</f>
        <v>-</v>
      </c>
      <c r="N299" s="36" t="str">
        <f>IFERROR(IF(AND($Q$1=FALSE,$S$3=FALSE),"-",VLOOKUP($E299,'Status Thresholds'!$E:$AU,43,FALSE)),"-")</f>
        <v>-</v>
      </c>
    </row>
    <row r="300" spans="1:14" s="36" customFormat="1" x14ac:dyDescent="0.25">
      <c r="A300" s="46"/>
      <c r="B300" s="64" t="str">
        <f>VLOOKUP(C300,'Status Thresholds'!B:C,2,FALSE)</f>
        <v>MHGU</v>
      </c>
      <c r="C300" s="46" t="str">
        <f>IF(ISBLANK('KO Calc'!C296)=TRUE,"",'KO Calc'!C296)</f>
        <v>Fatalis (Black)</v>
      </c>
      <c r="D300" s="57" t="s">
        <v>22</v>
      </c>
      <c r="E300" s="62" t="str">
        <f t="shared" si="9"/>
        <v>Fatalis (Black)Exhaust</v>
      </c>
      <c r="F300" s="36" t="s">
        <v>8</v>
      </c>
      <c r="G300" s="36" t="str">
        <f t="shared" si="10"/>
        <v>Fatalis (Black)Exhaust lvl 2</v>
      </c>
      <c r="H300" s="36" t="str">
        <f>IFERROR(ROUNDUP(IF(AND($Q$1=FALSE,$S$3=FALSE),"-",IF(AND($Q$1=TRUE,$S$3=TRUE),"-",IF(AND($Q$1=TRUE,$S$1=TRUE,$S$4=FALSE),VLOOKUP($E300,'Status Thresholds'!$E:$AS,12,FALSE),IF(AND($Q$1=TRUE,$S$4=FALSE),VLOOKUP($E300,'Status Thresholds'!$E:$AS,2,FALSE), IF(AND($Q$1=TRUE,$S$1=TRUE,$S$4=TRUE),VLOOKUP($E300,'Status Thresholds'!$E:$AS,17,FALSE),IF(AND($Q$1=TRUE,$S$4=TRUE),VLOOKUP($E300,'Status Thresholds'!$E:$AS,7,FALSE),IF(AND($S$3=TRUE,$S$1=TRUE,$S$4=FALSE),VLOOKUP($E300,'Status Thresholds'!$E:$AS,32,FALSE),IF(AND($S$3=TRUE,$S$4=FALSE),VLOOKUP($E300,'Status Thresholds'!$E:$AS,22,FALSE),IF(AND($S$3=TRUE,$S$1=TRUE,$S$4=TRUE),VLOOKUP($E300,'Status Thresholds'!$E:$AS,37,FALSE),IF(AND($S$3=TRUE,$S$4=TRUE),VLOOKUP($E300,'Status Thresholds'!$E:$AS,27,FALSE),""))))))))/IF(OR($Q$3=TRUE,AND($Q$2=TRUE,$Q$7=TRUE),AND($Q$3=TRUE,$Q$7=TRUE))=TRUE,'Shots and Status'!$F$5,IF((OR($Q$2,$Q$7)=TRUE),'Shots and Status'!$D$5,'Shots and Status'!$C$5)))),0),"-")</f>
        <v>-</v>
      </c>
      <c r="I300" s="36" t="str">
        <f>IFERROR(ROUNDUP(IF(AND($Q$1=FALSE,$S$3=FALSE),"-",IF(AND($Q$1=TRUE,$S$3=TRUE),"-",IF(AND($Q$1=TRUE,$S$1=TRUE,$S$4=FALSE),VLOOKUP($E300,'Status Thresholds'!$E:$AS,13,FALSE),IF(AND($Q$1=TRUE,$S$4=FALSE),VLOOKUP($E300,'Status Thresholds'!$E:$AS,3,FALSE), IF(AND($Q$1=TRUE,$S$1=TRUE,$S$4=TRUE),VLOOKUP($E300,'Status Thresholds'!$E:$AS,18,FALSE),IF(AND($Q$1=TRUE,$S$4=TRUE),VLOOKUP($E300,'Status Thresholds'!$E:$AS,8,FALSE),IF(AND($S$3=TRUE,$S$1=TRUE,$S$4=FALSE),VLOOKUP($E300,'Status Thresholds'!$E:$AS,33,FALSE),IF(AND($S$3=TRUE,$S$4=FALSE),VLOOKUP($E300,'Status Thresholds'!$E:$AS,23,FALSE),IF(AND($S$3=TRUE,$S$1=TRUE,$S$4=TRUE),VLOOKUP($E300,'Status Thresholds'!$E:$AS,38,FALSE),IF(AND($S$3=TRUE,$S$4=TRUE),VLOOKUP($E300,'Status Thresholds'!$E:$AS,28,FALSE),""))))))))/IF(OR($Q$3=TRUE,AND($Q$2=TRUE,$Q$7=TRUE),AND($Q$3=TRUE,$Q$7=TRUE))=TRUE,'Shots and Status'!$F$5,IF((OR($Q$2,$Q$7)=TRUE),'Shots and Status'!$D$5,'Shots and Status'!$C$5)))),0),"-")</f>
        <v>-</v>
      </c>
      <c r="J300" s="36" t="str">
        <f>IFERROR(ROUNDUP(IF(AND($Q$1=FALSE,$S$3=FALSE),"-",IF(AND($Q$1=TRUE,$S$3=TRUE),"-",IF(AND($Q$1=TRUE,$S$1=TRUE,$S$4=FALSE),VLOOKUP($E300,'Status Thresholds'!$E:$AS,14,FALSE),IF(AND($Q$1=TRUE,$S$4=FALSE),VLOOKUP($E300,'Status Thresholds'!$E:$AS,4,FALSE), IF(AND($Q$1=TRUE,$S$1=TRUE,$S$4=TRUE),VLOOKUP($E300,'Status Thresholds'!$E:$AS,19,FALSE),IF(AND($Q$1=TRUE,$S$4=TRUE),VLOOKUP($E300,'Status Thresholds'!$E:$AS,9,FALSE),IF(AND($S$3=TRUE,$S$1=TRUE,$S$4=FALSE),VLOOKUP($E300,'Status Thresholds'!$E:$AS,34,FALSE),IF(AND($S$3=TRUE,$S$4=FALSE),VLOOKUP($E300,'Status Thresholds'!$E:$AS,24,FALSE),IF(AND($S$3=TRUE,$S$1=TRUE,$S$4=TRUE),VLOOKUP($E300,'Status Thresholds'!$E:$AS,39,FALSE),IF(AND($S$3=TRUE,$S$4=TRUE),VLOOKUP($E300,'Status Thresholds'!$E:$AS,29,FALSE),""))))))))/IF(OR($Q$3=TRUE,AND($Q$2=TRUE,$Q$7=TRUE),AND($Q$3=TRUE,$Q$7=TRUE))=TRUE,'Shots and Status'!$F$5,IF((OR($Q$2,$Q$7)=TRUE),'Shots and Status'!$D$5,'Shots and Status'!$C$5)))),0),"-")</f>
        <v>-</v>
      </c>
      <c r="K300" s="36" t="str">
        <f>IFERROR(ROUNDUP(IF(AND($Q$1=FALSE,$S$3=FALSE),"-",IF(AND($Q$1=TRUE,$S$3=TRUE),"-",IF(AND($Q$1=TRUE,$S$1=TRUE,$S$4=FALSE),VLOOKUP($E300,'Status Thresholds'!$E:$AS,15,FALSE),IF(AND($Q$1=TRUE,$S$4=FALSE),VLOOKUP($E300,'Status Thresholds'!$E:$AS,5,FALSE), IF(AND($Q$1=TRUE,$S$1=TRUE,$S$4=TRUE),VLOOKUP($E300,'Status Thresholds'!$E:$AS,20,FALSE),IF(AND($Q$1=TRUE,$S$4=TRUE),VLOOKUP($E300,'Status Thresholds'!$E:$AS,10,FALSE),IF(AND($S$3=TRUE,$S$1=TRUE,$S$4=FALSE),VLOOKUP($E300,'Status Thresholds'!$E:$AS,35,FALSE),IF(AND($S$3=TRUE,$S$4=FALSE),VLOOKUP($E300,'Status Thresholds'!$E:$AS,25,FALSE),IF(AND($S$3=TRUE,$S$1=TRUE,$S$4=TRUE),VLOOKUP($E300,'Status Thresholds'!$E:$AS,40,FALSE),IF(AND($S$3=TRUE,$S$4=TRUE),VLOOKUP($E300,'Status Thresholds'!$E:$AS,30,FALSE),""))))))))/IF(OR($Q$3=TRUE,AND($Q$2=TRUE,$Q$7=TRUE),AND($Q$3=TRUE,$Q$7=TRUE))=TRUE,'Shots and Status'!$F$5,IF((OR($Q$2,$Q$7)=TRUE),'Shots and Status'!$D$5,'Shots and Status'!$C$5)))),0),"-")</f>
        <v>-</v>
      </c>
      <c r="L300" s="36" t="str">
        <f>IFERROR(IF(AND($Q$1=FALSE,$S$3=FALSE),"-",VLOOKUP($E300,'Status Thresholds'!$E:$AU,41,FALSE)),"-")</f>
        <v>-</v>
      </c>
      <c r="M300" s="36" t="str">
        <f>IFERROR(IF(AND($Q$1=FALSE,$S$3=FALSE),"-",VLOOKUP($E300,'Status Thresholds'!$E:$AU,42,FALSE)),"-")</f>
        <v>-</v>
      </c>
      <c r="N300" s="36" t="str">
        <f>IFERROR(IF(AND($Q$1=FALSE,$S$3=FALSE),"-",VLOOKUP($E300,'Status Thresholds'!$E:$AU,43,FALSE)),"-")</f>
        <v>-</v>
      </c>
    </row>
    <row r="301" spans="1:14" s="36" customFormat="1" x14ac:dyDescent="0.25">
      <c r="A301" s="46"/>
      <c r="B301" s="64" t="str">
        <f>VLOOKUP(C301,'Status Thresholds'!B:C,2,FALSE)</f>
        <v>MHGU</v>
      </c>
      <c r="C301" s="46" t="str">
        <f>IF(ISBLANK('KO Calc'!C297)=TRUE,"",'KO Calc'!C297)</f>
        <v>Fatalis (Black)</v>
      </c>
      <c r="D301" s="67" t="s">
        <v>14</v>
      </c>
      <c r="E301" s="62" t="str">
        <f t="shared" si="9"/>
        <v>Fatalis (Black)KO</v>
      </c>
      <c r="F301" s="36" t="s">
        <v>21</v>
      </c>
      <c r="G301" s="36" t="str">
        <f t="shared" si="10"/>
        <v>Fatalis (Black)Triblast</v>
      </c>
      <c r="H301" s="36" t="str">
        <f>IF(AND($Q$1=FALSE,$S$3=FALSE),"-",IF(AND($Q$1=TRUE,$S$3=TRUE),"-",IF(AND($Q$1=FALSE,$S$3=FALSE),"-",IF(AND($Q$1=TRUE,$S$1=TRUE,$S$4=FALSE)=TRUE,IF(OR($Q$4=TRUE,$Q$5=TRUE,$S$2=TRUE),VLOOKUP($G301,'KO Calc'!$H:$AW,12,FALSE),VLOOKUP($G301,'KO Calc'!$H307:$AW307,12,FALSE)),IF(AND($Q$1=TRUE,$S$4=FALSE),IF(OR($Q$4=TRUE,$Q$5=TRUE,$S$2=TRUE),VLOOKUP($G301,'KO Calc'!$H:$AW,2,FALSE),VLOOKUP($G301,'KO Calc'!$H307:$AW307,2,FALSE)),
IF(AND($Q$1=TRUE,$S$1=TRUE,$S$4=TRUE)=TRUE,IF(OR($Q$4=TRUE,$Q$5=TRUE,$S$2=TRUE),VLOOKUP($G301,'KO Calc'!$H:$AW,17,FALSE),VLOOKUP($G301,'KO Calc'!$H307:$AW307,17,FALSE)),IF(AND($Q$1=TRUE,$S$4=TRUE),IF(OR($Q$4=TRUE,$Q$5=TRUE,$S$2=TRUE),VLOOKUP($G301,'KO Calc'!$H:$AW,7,FALSE),VLOOKUP($G301,'KO Calc'!$H307:$AW307,7,FALSE)),
IF(AND($S$3=TRUE,$S$1=TRUE,$S$4=FALSE)=TRUE,IF(OR($Q$4=TRUE,$Q$5=TRUE,$S$2=TRUE),VLOOKUP($G301,'KO Calc'!$H:$AW,32,FALSE),VLOOKUP($G301,'KO Calc'!$H307:$AW307,32,FALSE)),IF(AND($S$3=TRUE,$S$4=FALSE),IF(OR($Q$4=TRUE,$Q$5=TRUE,$S$2=TRUE),VLOOKUP($G301,'KO Calc'!$H:$AW,22,FALSE),VLOOKUP($G301,'KO Calc'!$H307:$AW307,22,FALSE)),
IF(AND($S$3=TRUE,$S$1=TRUE,$S$4=TRUE)=TRUE,IF(OR($Q$4=TRUE,$Q$5=TRUE,$S$2=TRUE),VLOOKUP($G301,'KO Calc'!$H:$AW,37,FALSE),VLOOKUP($G301,'KO Calc'!$H307:$AW307,37,FALSE)),IF(AND($S$3=TRUE,$S$4=TRUE),IF(OR($Q$4=TRUE,$Q$5=TRUE,$S$2=TRUE),VLOOKUP($G301,'KO Calc'!$H:$AW,27,FALSE),VLOOKUP($G301,'KO Calc'!$H307:$AW307,27,FALSE)))))))))))))</f>
        <v>-</v>
      </c>
      <c r="I301" s="36" t="str">
        <f>IF(AND($Q$1=FALSE,$S$3=FALSE),"-",IF(AND($Q$1=TRUE,$S$3=TRUE),"-",IF(AND($Q$1=FALSE,$S$3=FALSE),"-",IF(AND($Q$1=TRUE,$S$1=TRUE,$S$4=FALSE)=TRUE,IF(OR($Q$4=TRUE,$Q$5=TRUE,$S$2=TRUE),VLOOKUP($G301,'KO Calc'!$H:$AW,13,FALSE),VLOOKUP($G301,'KO Calc'!$H307:$AW307,13,FALSE)),IF(AND($Q$1=TRUE,$S$4=FALSE),IF(OR($Q$4=TRUE,$Q$5=TRUE,$S$2=TRUE),VLOOKUP($G301,'KO Calc'!$H:$AW,3,FALSE),VLOOKUP($G301,'KO Calc'!$H307:$AW307,3,FALSE)),
IF(AND($Q$1=TRUE,$S$1=TRUE,$S$4=TRUE)=TRUE,IF(OR($Q$4=TRUE,$Q$5=TRUE,$S$2=TRUE),VLOOKUP($G301,'KO Calc'!$H:$AW,18,FALSE),VLOOKUP($G301,'KO Calc'!$H307:$AW307,18,FALSE)),IF(AND($Q$1=TRUE,$S$4=TRUE),IF(OR($Q$4=TRUE,$Q$5=TRUE,$S$2=TRUE),VLOOKUP($G301,'KO Calc'!$H:$AW,8,FALSE),VLOOKUP($G301,'KO Calc'!$H307:$AW307,8,FALSE)),
IF(AND($S$3=TRUE,$S$1=TRUE,$S$4=FALSE)=TRUE,IF(OR($Q$4=TRUE,$Q$5=TRUE,$S$2=TRUE),VLOOKUP($G301,'KO Calc'!$H:$AW,33,FALSE),VLOOKUP($G301,'KO Calc'!$H307:$AW307,33,FALSE)),IF(AND($S$3=TRUE,$S$4=FALSE),IF(OR($Q$4=TRUE,$Q$5=TRUE,$S$2=TRUE),VLOOKUP($G301,'KO Calc'!$H:$AW,23,FALSE),VLOOKUP($G301,'KO Calc'!$H307:$AW307,23,FALSE)),
IF(AND($S$3=TRUE,$S$1=TRUE,$S$4=TRUE)=TRUE,IF(OR($Q$4=TRUE,$Q$5=TRUE,$S$2=TRUE),VLOOKUP($G301,'KO Calc'!$H:$AW,38,FALSE),VLOOKUP($G301,'KO Calc'!$H307:$AW307,38,FALSE)),IF(AND($S$3=TRUE,$S$4=TRUE),IF(OR($Q$4=TRUE,$Q$5=TRUE,$S$2=TRUE),VLOOKUP($G301,'KO Calc'!$H:$AW,28,FALSE),VLOOKUP($G301,'KO Calc'!$H307:$AW307,28,FALSE)))))))))))))</f>
        <v>-</v>
      </c>
      <c r="J301" s="36" t="str">
        <f>IF(AND($Q$1=FALSE,$S$3=FALSE),"-",IF(AND($Q$1=TRUE,$S$3=TRUE),"-",IF(AND($Q$1=FALSE,$S$3=FALSE),"-",IF(AND($Q$1=TRUE,$S$1=TRUE,$S$4=FALSE)=TRUE,IF(OR($Q$4=TRUE,$Q$5=TRUE,$S$2=TRUE),VLOOKUP($G301,'KO Calc'!$H:$AW,FALSE),VLOOKUP($G301,'KO Calc'!$H307:$AW307,14,FALSE)),IF(AND($Q$1=TRUE,$S$4=FALSE),IF(OR($Q$4=TRUE,$Q$5=TRUE,$S$2=TRUE),VLOOKUP($G301,'KO Calc'!$H:$AW,4,FALSE),VLOOKUP($G301,'KO Calc'!$H307:$AW307,4,FALSE)),
IF(AND($Q$1=TRUE,$S$1=TRUE,$S$4=TRUE)=TRUE,IF(OR($Q$4=TRUE,$Q$5=TRUE,$S$2=TRUE),VLOOKUP($G301,'KO Calc'!$H:$AW,19,FALSE),VLOOKUP($G301,'KO Calc'!$H307:$AW307,19,FALSE)),IF(AND($Q$1=TRUE,$S$4=TRUE),IF(OR($Q$4=TRUE,$Q$5=TRUE,$S$2=TRUE),VLOOKUP($G301,'KO Calc'!$H:$AW,9,FALSE),VLOOKUP($G301,'KO Calc'!$H307:$AW307,9,FALSE)),
IF(AND($S$3=TRUE,$S$1=TRUE,$S$4=FALSE)=TRUE,IF(OR($Q$4=TRUE,$Q$5=TRUE,$S$2=TRUE),VLOOKUP($G301,'KO Calc'!$H:$AW,34,FALSE),VLOOKUP($G301,'KO Calc'!$H307:$AW307,34,FALSE)),IF(AND($S$3=TRUE,$S$4=FALSE),IF(OR($Q$4=TRUE,$Q$5=TRUE,$S$2=TRUE),VLOOKUP($G301,'KO Calc'!$H:$AW,24,FALSE),VLOOKUP($G301,'KO Calc'!$H307:$AW307,24,FALSE)),
IF(AND($S$3=TRUE,$S$1=TRUE,$S$4=TRUE)=TRUE,IF(OR($Q$4=TRUE,$Q$5=TRUE,$S$2=TRUE),VLOOKUP($G301,'KO Calc'!$H:$AW,39,FALSE),VLOOKUP($G301,'KO Calc'!$H307:$AW307,39,FALSE)),IF(AND($S$3=TRUE,$S$4=TRUE),IF(OR($Q$4=TRUE,$Q$5=TRUE,$S$2=TRUE),VLOOKUP($G301,'KO Calc'!$H:$AW,29,FALSE),VLOOKUP($G301,'KO Calc'!$H307:$AW307,29,FALSE)))))))))))))</f>
        <v>-</v>
      </c>
      <c r="K301" s="36" t="str">
        <f>IF(AND($Q$1=FALSE,$S$3=FALSE),"-",IF(AND($Q$1=TRUE,$S$3=TRUE),"-",IF(AND($Q$1=FALSE,$S$3=FALSE),"-",IF(AND($Q$1=TRUE,$S$1=TRUE,$S$4=FALSE)=TRUE,IF(OR($Q$4=TRUE,$Q$5=TRUE,$S$2=TRUE),VLOOKUP($G301,'KO Calc'!$H:$AW,15,FALSE),VLOOKUP($G301,'KO Calc'!$H307:$AW307,15,FALSE)),IF(AND($Q$1=TRUE,$S$4=FALSE),IF(OR($Q$4=TRUE,$Q$5=TRUE,$S$2=TRUE),VLOOKUP($G301,'KO Calc'!$H:$AW,5,FALSE),VLOOKUP($G301,'KO Calc'!$H307:$AW307,5,FALSE)),
IF(AND($Q$1=TRUE,$S$1=TRUE,$S$4=TRUE)=TRUE,IF(OR($Q$4=TRUE,$Q$5=TRUE,$S$2=TRUE),VLOOKUP($G301,'KO Calc'!$H:$AW,20,FALSE),VLOOKUP($G301,'KO Calc'!$H307:$AW307,20,FALSE)),IF(AND($Q$1=TRUE,$S$4=TRUE),IF(OR($Q$4=TRUE,$Q$5=TRUE,$S$2=TRUE),VLOOKUP($G301,'KO Calc'!$H:$AW,10,FALSE),VLOOKUP($G301,'KO Calc'!$H307:$AW307,10,FALSE)),
IF(AND($S$3=TRUE,$S$1=TRUE,$S$4=FALSE)=TRUE,IF(OR($Q$4=TRUE,$Q$5=TRUE,$S$2=TRUE),VLOOKUP($G301,'KO Calc'!$H:$AW,35,FALSE),VLOOKUP($G301,'KO Calc'!$H307:$AW307,35,FALSE)),IF(AND($S$3=TRUE,$S$4=FALSE),IF(OR($Q$4=TRUE,$Q$5=TRUE,$S$2=TRUE),VLOOKUP($G301,'KO Calc'!$H:$AW,25,FALSE),VLOOKUP($G301,'KO Calc'!$H307:$AW307,25,FALSE)),
IF(AND($S$3=TRUE,$S$1=TRUE,$S$4=TRUE)=TRUE,IF(OR($Q$4=TRUE,$Q$5=TRUE,$S$2=TRUE),VLOOKUP($G301,'KO Calc'!$H:$AW,40,FALSE),VLOOKUP($G301,'KO Calc'!$H307:$AW307,40,FALSE)),IF(AND($S$3=TRUE,$S$4=TRUE),IF(OR($Q$4=TRUE,$Q$5=TRUE,$S$2=TRUE),VLOOKUP($G301,'KO Calc'!$H:$AW,30,FALSE),VLOOKUP($G301,'KO Calc'!$H307:$AW307,30,FALSE)))))))))))))</f>
        <v>-</v>
      </c>
      <c r="L301" s="36" t="str">
        <f>IFERROR(IF(AND($Q$1=FALSE,$S$3=FALSE),"-",VLOOKUP($E301,'Status Thresholds'!$E:$AU,41,FALSE)),"-")</f>
        <v>-</v>
      </c>
      <c r="M301" s="36" t="str">
        <f>IFERROR(IF(AND($Q$1=FALSE,$S$3=FALSE),"-",VLOOKUP($E301,'Status Thresholds'!$E:$AU,42,FALSE)),"-")</f>
        <v>-</v>
      </c>
      <c r="N301" s="36" t="str">
        <f>IFERROR(IF(AND($Q$1=FALSE,$S$3=FALSE),"-",VLOOKUP($E301,'Status Thresholds'!$E:$AU,43,FALSE)),"-")</f>
        <v>-</v>
      </c>
    </row>
    <row r="302" spans="1:14" x14ac:dyDescent="0.25">
      <c r="B302" s="64" t="str">
        <f>VLOOKUP(C302,'Status Thresholds'!B:C,2,FALSE)</f>
        <v>MHGU</v>
      </c>
      <c r="C302" s="46" t="str">
        <f>IF(ISBLANK('KO Calc'!C298)=TRUE,"",'KO Calc'!C298)</f>
        <v>Fatalis (Black)</v>
      </c>
      <c r="D302" s="78" t="s">
        <v>207</v>
      </c>
      <c r="E302" s="62" t="str">
        <f t="shared" si="9"/>
        <v>Fatalis (Black)Shock Trap</v>
      </c>
      <c r="F302" t="s">
        <v>13</v>
      </c>
      <c r="G302" s="36" t="str">
        <f t="shared" si="10"/>
        <v>Fatalis (Black)Crag 3</v>
      </c>
      <c r="H302" s="36" t="str">
        <f>IF(AND($Q$1=FALSE,$S$3=FALSE),"-",IF(AND($Q$1=TRUE,$S$3=TRUE),"-",IF(AND($Q$1=FALSE,$S$3=FALSE),"-",IF(AND($Q$1=TRUE,$S$1=TRUE,$S$4=FALSE)=TRUE,IF(OR($Q$4=TRUE,$Q$5=TRUE,$S$2=TRUE),VLOOKUP($G302,'KO Calc'!$H:$AW,12,FALSE),VLOOKUP($G302,'KO Calc'!$H308:$AW308,12,FALSE)),IF(AND($Q$1=TRUE,$S$4=FALSE),IF(OR($Q$4=TRUE,$Q$5=TRUE,$S$2=TRUE),VLOOKUP($G302,'KO Calc'!$H:$AW,2,FALSE),VLOOKUP($G302,'KO Calc'!$H308:$AW308,2,FALSE)),
IF(AND($Q$1=TRUE,$S$1=TRUE,$S$4=TRUE)=TRUE,IF(OR($Q$4=TRUE,$Q$5=TRUE,$S$2=TRUE),VLOOKUP($G302,'KO Calc'!$H:$AW,17,FALSE),VLOOKUP($G302,'KO Calc'!$H308:$AW308,17,FALSE)),IF(AND($Q$1=TRUE,$S$4=TRUE),IF(OR($Q$4=TRUE,$Q$5=TRUE,$S$2=TRUE),VLOOKUP($G302,'KO Calc'!$H:$AW,7,FALSE),VLOOKUP($G302,'KO Calc'!$H308:$AW308,7,FALSE)),
IF(AND($S$3=TRUE,$S$1=TRUE,$S$4=FALSE)=TRUE,IF(OR($Q$4=TRUE,$Q$5=TRUE,$S$2=TRUE),VLOOKUP($G302,'KO Calc'!$H:$AW,32,FALSE),VLOOKUP($G302,'KO Calc'!$H308:$AW308,32,FALSE)),IF(AND($S$3=TRUE,$S$4=FALSE),IF(OR($Q$4=TRUE,$Q$5=TRUE,$S$2=TRUE),VLOOKUP($G302,'KO Calc'!$H:$AW,22,FALSE),VLOOKUP($G302,'KO Calc'!$H308:$AW308,22,FALSE)),
IF(AND($S$3=TRUE,$S$1=TRUE,$S$4=TRUE)=TRUE,IF(OR($Q$4=TRUE,$Q$5=TRUE,$S$2=TRUE),VLOOKUP($G302,'KO Calc'!$H:$AW,37,FALSE),VLOOKUP($G302,'KO Calc'!$H308:$AW308,37,FALSE)),IF(AND($S$3=TRUE,$S$4=TRUE),IF(OR($Q$4=TRUE,$Q$5=TRUE,$S$2=TRUE),VLOOKUP($G302,'KO Calc'!$H:$AW,27,FALSE),VLOOKUP($G302,'KO Calc'!$H308:$AW308,27,FALSE)))))))))))))</f>
        <v>-</v>
      </c>
      <c r="I302" s="36" t="str">
        <f>IF(AND($Q$1=FALSE,$S$3=FALSE),"-",IF(AND($Q$1=TRUE,$S$3=TRUE),"-",IF(AND($Q$1=FALSE,$S$3=FALSE),"-",IF(AND($Q$1=TRUE,$S$1=TRUE,$S$4=FALSE)=TRUE,IF(OR($Q$4=TRUE,$Q$5=TRUE,$S$2=TRUE),VLOOKUP($G302,'KO Calc'!$H:$AW,13,FALSE),VLOOKUP($G302,'KO Calc'!$H308:$AW308,13,FALSE)),IF(AND($Q$1=TRUE,$S$4=FALSE),IF(OR($Q$4=TRUE,$Q$5=TRUE,$S$2=TRUE),VLOOKUP($G302,'KO Calc'!$H:$AW,3,FALSE),VLOOKUP($G302,'KO Calc'!$H308:$AW308,3,FALSE)),
IF(AND($Q$1=TRUE,$S$1=TRUE,$S$4=TRUE)=TRUE,IF(OR($Q$4=TRUE,$Q$5=TRUE,$S$2=TRUE),VLOOKUP($G302,'KO Calc'!$H:$AW,18,FALSE),VLOOKUP($G302,'KO Calc'!$H308:$AW308,18,FALSE)),IF(AND($Q$1=TRUE,$S$4=TRUE),IF(OR($Q$4=TRUE,$Q$5=TRUE,$S$2=TRUE),VLOOKUP($G302,'KO Calc'!$H:$AW,8,FALSE),VLOOKUP($G302,'KO Calc'!$H308:$AW308,8,FALSE)),
IF(AND($S$3=TRUE,$S$1=TRUE,$S$4=FALSE)=TRUE,IF(OR($Q$4=TRUE,$Q$5=TRUE,$S$2=TRUE),VLOOKUP($G302,'KO Calc'!$H:$AW,33,FALSE),VLOOKUP($G302,'KO Calc'!$H308:$AW308,33,FALSE)),IF(AND($S$3=TRUE,$S$4=FALSE),IF(OR($Q$4=TRUE,$Q$5=TRUE,$S$2=TRUE),VLOOKUP($G302,'KO Calc'!$H:$AW,23,FALSE),VLOOKUP($G302,'KO Calc'!$H308:$AW308,23,FALSE)),
IF(AND($S$3=TRUE,$S$1=TRUE,$S$4=TRUE)=TRUE,IF(OR($Q$4=TRUE,$Q$5=TRUE,$S$2=TRUE),VLOOKUP($G302,'KO Calc'!$H:$AW,38,FALSE),VLOOKUP($G302,'KO Calc'!$H308:$AW308,38,FALSE)),IF(AND($S$3=TRUE,$S$4=TRUE),IF(OR($Q$4=TRUE,$Q$5=TRUE,$S$2=TRUE),VLOOKUP($G302,'KO Calc'!$H:$AW,28,FALSE),VLOOKUP($G302,'KO Calc'!$H308:$AW308,28,FALSE)))))))))))))</f>
        <v>-</v>
      </c>
      <c r="J302" s="36" t="str">
        <f>IF(AND($Q$1=FALSE,$S$3=FALSE),"-",IF(AND($Q$1=TRUE,$S$3=TRUE),"-",IF(AND($Q$1=FALSE,$S$3=FALSE),"-",IF(AND($Q$1=TRUE,$S$1=TRUE,$S$4=FALSE)=TRUE,IF(OR($Q$4=TRUE,$Q$5=TRUE,$S$2=TRUE),VLOOKUP($G302,'KO Calc'!$H:$AW,FALSE),VLOOKUP($G302,'KO Calc'!$H308:$AW308,14,FALSE)),IF(AND($Q$1=TRUE,$S$4=FALSE),IF(OR($Q$4=TRUE,$Q$5=TRUE,$S$2=TRUE),VLOOKUP($G302,'KO Calc'!$H:$AW,4,FALSE),VLOOKUP($G302,'KO Calc'!$H308:$AW308,4,FALSE)),
IF(AND($Q$1=TRUE,$S$1=TRUE,$S$4=TRUE)=TRUE,IF(OR($Q$4=TRUE,$Q$5=TRUE,$S$2=TRUE),VLOOKUP($G302,'KO Calc'!$H:$AW,19,FALSE),VLOOKUP($G302,'KO Calc'!$H308:$AW308,19,FALSE)),IF(AND($Q$1=TRUE,$S$4=TRUE),IF(OR($Q$4=TRUE,$Q$5=TRUE,$S$2=TRUE),VLOOKUP($G302,'KO Calc'!$H:$AW,9,FALSE),VLOOKUP($G302,'KO Calc'!$H308:$AW308,9,FALSE)),
IF(AND($S$3=TRUE,$S$1=TRUE,$S$4=FALSE)=TRUE,IF(OR($Q$4=TRUE,$Q$5=TRUE,$S$2=TRUE),VLOOKUP($G302,'KO Calc'!$H:$AW,34,FALSE),VLOOKUP($G302,'KO Calc'!$H308:$AW308,34,FALSE)),IF(AND($S$3=TRUE,$S$4=FALSE),IF(OR($Q$4=TRUE,$Q$5=TRUE,$S$2=TRUE),VLOOKUP($G302,'KO Calc'!$H:$AW,24,FALSE),VLOOKUP($G302,'KO Calc'!$H308:$AW308,24,FALSE)),
IF(AND($S$3=TRUE,$S$1=TRUE,$S$4=TRUE)=TRUE,IF(OR($Q$4=TRUE,$Q$5=TRUE,$S$2=TRUE),VLOOKUP($G302,'KO Calc'!$H:$AW,39,FALSE),VLOOKUP($G302,'KO Calc'!$H308:$AW308,39,FALSE)),IF(AND($S$3=TRUE,$S$4=TRUE),IF(OR($Q$4=TRUE,$Q$5=TRUE,$S$2=TRUE),VLOOKUP($G302,'KO Calc'!$H:$AW,29,FALSE),VLOOKUP($G302,'KO Calc'!$H308:$AW308,29,FALSE)))))))))))))</f>
        <v>-</v>
      </c>
      <c r="K302" s="36" t="str">
        <f>IF(AND($Q$1=FALSE,$S$3=FALSE),"-",IF(AND($Q$1=TRUE,$S$3=TRUE),"-",IF(AND($Q$1=FALSE,$S$3=FALSE),"-",IF(AND($Q$1=TRUE,$S$1=TRUE,$S$4=FALSE)=TRUE,IF(OR($Q$4=TRUE,$Q$5=TRUE,$S$2=TRUE),VLOOKUP($G302,'KO Calc'!$H:$AW,15,FALSE),VLOOKUP($G302,'KO Calc'!$H308:$AW308,15,FALSE)),IF(AND($Q$1=TRUE,$S$4=FALSE),IF(OR($Q$4=TRUE,$Q$5=TRUE,$S$2=TRUE),VLOOKUP($G302,'KO Calc'!$H:$AW,5,FALSE),VLOOKUP($G302,'KO Calc'!$H308:$AW308,5,FALSE)),
IF(AND($Q$1=TRUE,$S$1=TRUE,$S$4=TRUE)=TRUE,IF(OR($Q$4=TRUE,$Q$5=TRUE,$S$2=TRUE),VLOOKUP($G302,'KO Calc'!$H:$AW,20,FALSE),VLOOKUP($G302,'KO Calc'!$H308:$AW308,20,FALSE)),IF(AND($Q$1=TRUE,$S$4=TRUE),IF(OR($Q$4=TRUE,$Q$5=TRUE,$S$2=TRUE),VLOOKUP($G302,'KO Calc'!$H:$AW,10,FALSE),VLOOKUP($G302,'KO Calc'!$H308:$AW308,10,FALSE)),
IF(AND($S$3=TRUE,$S$1=TRUE,$S$4=FALSE)=TRUE,IF(OR($Q$4=TRUE,$Q$5=TRUE,$S$2=TRUE),VLOOKUP($G302,'KO Calc'!$H:$AW,35,FALSE),VLOOKUP($G302,'KO Calc'!$H308:$AW308,35,FALSE)),IF(AND($S$3=TRUE,$S$4=FALSE),IF(OR($Q$4=TRUE,$Q$5=TRUE,$S$2=TRUE),VLOOKUP($G302,'KO Calc'!$H:$AW,25,FALSE),VLOOKUP($G302,'KO Calc'!$H308:$AW308,25,FALSE)),
IF(AND($S$3=TRUE,$S$1=TRUE,$S$4=TRUE)=TRUE,IF(OR($Q$4=TRUE,$Q$5=TRUE,$S$2=TRUE),VLOOKUP($G302,'KO Calc'!$H:$AW,40,FALSE),VLOOKUP($G302,'KO Calc'!$H308:$AW308,40,FALSE)),IF(AND($S$3=TRUE,$S$4=TRUE),IF(OR($Q$4=TRUE,$Q$5=TRUE,$S$2=TRUE),VLOOKUP($G302,'KO Calc'!$H:$AW,30,FALSE),VLOOKUP($G302,'KO Calc'!$H308:$AW308,30,FALSE)))))))))))))</f>
        <v>-</v>
      </c>
      <c r="L302" s="36" t="str">
        <f>IFERROR(IF(AND($Q$1=FALSE,$S$3=FALSE),"-",VLOOKUP($E302,'Status Thresholds'!$E:$AU,43,FALSE)),"-")</f>
        <v>-</v>
      </c>
      <c r="M302" s="36" t="str">
        <f>IFERROR(IF(AND($Q$1=FALSE,$S$3=FALSE),"-",VLOOKUP($E302,'Status Thresholds'!$E:$AU,41,FALSE)),"-")</f>
        <v>-</v>
      </c>
      <c r="N302" s="36" t="str">
        <f>IFERROR(IF(AND($Q$1=FALSE,$S$3=FALSE),"-",VLOOKUP($E302,'Status Thresholds'!$E:$AU,42,FALSE)),"-")</f>
        <v>-</v>
      </c>
    </row>
    <row r="303" spans="1:14" x14ac:dyDescent="0.25">
      <c r="B303" s="64" t="str">
        <f>VLOOKUP(C303,'Status Thresholds'!B:C,2,FALSE)</f>
        <v>MHGU</v>
      </c>
      <c r="C303" s="46" t="str">
        <f>IF(ISBLANK('KO Calc'!C299)=TRUE,"",'KO Calc'!C299)</f>
        <v>Fatalis (Black)</v>
      </c>
      <c r="D303" s="78" t="s">
        <v>213</v>
      </c>
      <c r="E303" s="62" t="str">
        <f t="shared" si="9"/>
        <v>Fatalis (Black)Pitfall Trap</v>
      </c>
      <c r="F303" t="s">
        <v>12</v>
      </c>
      <c r="G303" s="36" t="str">
        <f t="shared" si="10"/>
        <v>Fatalis (Black)Crag 2</v>
      </c>
      <c r="H303" s="36" t="str">
        <f>IF(AND($Q$1=FALSE,$S$3=FALSE),"-",IF(AND($Q$1=TRUE,$S$3=TRUE),"-",IF(AND($Q$1=FALSE,$S$3=FALSE),"-",IF(AND($Q$1=TRUE,$S$1=TRUE,$S$4=FALSE)=TRUE,IF(OR($Q$4=TRUE,$Q$5=TRUE,$S$2=TRUE),VLOOKUP($G303,'KO Calc'!$H:$AW,12,FALSE),VLOOKUP($G303,'KO Calc'!$H309:$AW309,12,FALSE)),IF(AND($Q$1=TRUE,$S$4=FALSE),IF(OR($Q$4=TRUE,$Q$5=TRUE,$S$2=TRUE),VLOOKUP($G303,'KO Calc'!$H:$AW,2,FALSE),VLOOKUP($G303,'KO Calc'!$H309:$AW309,2,FALSE)),
IF(AND($Q$1=TRUE,$S$1=TRUE,$S$4=TRUE)=TRUE,IF(OR($Q$4=TRUE,$Q$5=TRUE,$S$2=TRUE),VLOOKUP($G303,'KO Calc'!$H:$AW,17,FALSE),VLOOKUP($G303,'KO Calc'!$H309:$AW309,17,FALSE)),IF(AND($Q$1=TRUE,$S$4=TRUE),IF(OR($Q$4=TRUE,$Q$5=TRUE,$S$2=TRUE),VLOOKUP($G303,'KO Calc'!$H:$AW,7,FALSE),VLOOKUP($G303,'KO Calc'!$H309:$AW309,7,FALSE)),
IF(AND($S$3=TRUE,$S$1=TRUE,$S$4=FALSE)=TRUE,IF(OR($Q$4=TRUE,$Q$5=TRUE,$S$2=TRUE),VLOOKUP($G303,'KO Calc'!$H:$AW,32,FALSE),VLOOKUP($G303,'KO Calc'!$H309:$AW309,32,FALSE)),IF(AND($S$3=TRUE,$S$4=FALSE),IF(OR($Q$4=TRUE,$Q$5=TRUE,$S$2=TRUE),VLOOKUP($G303,'KO Calc'!$H:$AW,22,FALSE),VLOOKUP($G303,'KO Calc'!$H309:$AW309,22,FALSE)),
IF(AND($S$3=TRUE,$S$1=TRUE,$S$4=TRUE)=TRUE,IF(OR($Q$4=TRUE,$Q$5=TRUE,$S$2=TRUE),VLOOKUP($G303,'KO Calc'!$H:$AW,37,FALSE),VLOOKUP($G303,'KO Calc'!$H309:$AW309,37,FALSE)),IF(AND($S$3=TRUE,$S$4=TRUE),IF(OR($Q$4=TRUE,$Q$5=TRUE,$S$2=TRUE),VLOOKUP($G303,'KO Calc'!$H:$AW,27,FALSE),VLOOKUP($G303,'KO Calc'!$H309:$AW309,27,FALSE)))))))))))))</f>
        <v>-</v>
      </c>
      <c r="I303" s="36" t="str">
        <f>IF(AND($Q$1=FALSE,$S$3=FALSE),"-",IF(AND($Q$1=TRUE,$S$3=TRUE),"-",IF(AND($Q$1=FALSE,$S$3=FALSE),"-",IF(AND($Q$1=TRUE,$S$1=TRUE,$S$4=FALSE)=TRUE,IF(OR($Q$4=TRUE,$Q$5=TRUE,$S$2=TRUE),VLOOKUP($G303,'KO Calc'!$H:$AW,13,FALSE),VLOOKUP($G303,'KO Calc'!$H309:$AW309,13,FALSE)),IF(AND($Q$1=TRUE,$S$4=FALSE),IF(OR($Q$4=TRUE,$Q$5=TRUE,$S$2=TRUE),VLOOKUP($G303,'KO Calc'!$H:$AW,3,FALSE),VLOOKUP($G303,'KO Calc'!$H309:$AW309,3,FALSE)),
IF(AND($Q$1=TRUE,$S$1=TRUE,$S$4=TRUE)=TRUE,IF(OR($Q$4=TRUE,$Q$5=TRUE,$S$2=TRUE),VLOOKUP($G303,'KO Calc'!$H:$AW,18,FALSE),VLOOKUP($G303,'KO Calc'!$H309:$AW309,18,FALSE)),IF(AND($Q$1=TRUE,$S$4=TRUE),IF(OR($Q$4=TRUE,$Q$5=TRUE,$S$2=TRUE),VLOOKUP($G303,'KO Calc'!$H:$AW,8,FALSE),VLOOKUP($G303,'KO Calc'!$H309:$AW309,8,FALSE)),
IF(AND($S$3=TRUE,$S$1=TRUE,$S$4=FALSE)=TRUE,IF(OR($Q$4=TRUE,$Q$5=TRUE,$S$2=TRUE),VLOOKUP($G303,'KO Calc'!$H:$AW,33,FALSE),VLOOKUP($G303,'KO Calc'!$H309:$AW309,33,FALSE)),IF(AND($S$3=TRUE,$S$4=FALSE),IF(OR($Q$4=TRUE,$Q$5=TRUE,$S$2=TRUE),VLOOKUP($G303,'KO Calc'!$H:$AW,23,FALSE),VLOOKUP($G303,'KO Calc'!$H309:$AW309,23,FALSE)),
IF(AND($S$3=TRUE,$S$1=TRUE,$S$4=TRUE)=TRUE,IF(OR($Q$4=TRUE,$Q$5=TRUE,$S$2=TRUE),VLOOKUP($G303,'KO Calc'!$H:$AW,38,FALSE),VLOOKUP($G303,'KO Calc'!$H309:$AW309,38,FALSE)),IF(AND($S$3=TRUE,$S$4=TRUE),IF(OR($Q$4=TRUE,$Q$5=TRUE,$S$2=TRUE),VLOOKUP($G303,'KO Calc'!$H:$AW,28,FALSE),VLOOKUP($G303,'KO Calc'!$H309:$AW309,28,FALSE)))))))))))))</f>
        <v>-</v>
      </c>
      <c r="J303" s="36" t="str">
        <f>IF(AND($Q$1=FALSE,$S$3=FALSE),"-",IF(AND($Q$1=TRUE,$S$3=TRUE),"-",IF(AND($Q$1=FALSE,$S$3=FALSE),"-",IF(AND($Q$1=TRUE,$S$1=TRUE,$S$4=FALSE)=TRUE,IF(OR($Q$4=TRUE,$Q$5=TRUE,$S$2=TRUE),VLOOKUP($G303,'KO Calc'!$H:$AW,FALSE),VLOOKUP($G303,'KO Calc'!$H309:$AW309,14,FALSE)),IF(AND($Q$1=TRUE,$S$4=FALSE),IF(OR($Q$4=TRUE,$Q$5=TRUE,$S$2=TRUE),VLOOKUP($G303,'KO Calc'!$H:$AW,4,FALSE),VLOOKUP($G303,'KO Calc'!$H309:$AW309,4,FALSE)),
IF(AND($Q$1=TRUE,$S$1=TRUE,$S$4=TRUE)=TRUE,IF(OR($Q$4=TRUE,$Q$5=TRUE,$S$2=TRUE),VLOOKUP($G303,'KO Calc'!$H:$AW,19,FALSE),VLOOKUP($G303,'KO Calc'!$H309:$AW309,19,FALSE)),IF(AND($Q$1=TRUE,$S$4=TRUE),IF(OR($Q$4=TRUE,$Q$5=TRUE,$S$2=TRUE),VLOOKUP($G303,'KO Calc'!$H:$AW,9,FALSE),VLOOKUP($G303,'KO Calc'!$H309:$AW309,9,FALSE)),
IF(AND($S$3=TRUE,$S$1=TRUE,$S$4=FALSE)=TRUE,IF(OR($Q$4=TRUE,$Q$5=TRUE,$S$2=TRUE),VLOOKUP($G303,'KO Calc'!$H:$AW,34,FALSE),VLOOKUP($G303,'KO Calc'!$H309:$AW309,34,FALSE)),IF(AND($S$3=TRUE,$S$4=FALSE),IF(OR($Q$4=TRUE,$Q$5=TRUE,$S$2=TRUE),VLOOKUP($G303,'KO Calc'!$H:$AW,24,FALSE),VLOOKUP($G303,'KO Calc'!$H309:$AW309,24,FALSE)),
IF(AND($S$3=TRUE,$S$1=TRUE,$S$4=TRUE)=TRUE,IF(OR($Q$4=TRUE,$Q$5=TRUE,$S$2=TRUE),VLOOKUP($G303,'KO Calc'!$H:$AW,39,FALSE),VLOOKUP($G303,'KO Calc'!$H309:$AW309,39,FALSE)),IF(AND($S$3=TRUE,$S$4=TRUE),IF(OR($Q$4=TRUE,$Q$5=TRUE,$S$2=TRUE),VLOOKUP($G303,'KO Calc'!$H:$AW,29,FALSE),VLOOKUP($G303,'KO Calc'!$H309:$AW309,29,FALSE)))))))))))))</f>
        <v>-</v>
      </c>
      <c r="K303" s="36" t="str">
        <f>IF(AND($Q$1=FALSE,$S$3=FALSE),"-",IF(AND($Q$1=TRUE,$S$3=TRUE),"-",IF(AND($Q$1=FALSE,$S$3=FALSE),"-",IF(AND($Q$1=TRUE,$S$1=TRUE,$S$4=FALSE)=TRUE,IF(OR($Q$4=TRUE,$Q$5=TRUE,$S$2=TRUE),VLOOKUP($G303,'KO Calc'!$H:$AW,15,FALSE),VLOOKUP($G303,'KO Calc'!$H309:$AW309,15,FALSE)),IF(AND($Q$1=TRUE,$S$4=FALSE),IF(OR($Q$4=TRUE,$Q$5=TRUE,$S$2=TRUE),VLOOKUP($G303,'KO Calc'!$H:$AW,5,FALSE),VLOOKUP($G303,'KO Calc'!$H309:$AW309,5,FALSE)),
IF(AND($Q$1=TRUE,$S$1=TRUE,$S$4=TRUE)=TRUE,IF(OR($Q$4=TRUE,$Q$5=TRUE,$S$2=TRUE),VLOOKUP($G303,'KO Calc'!$H:$AW,20,FALSE),VLOOKUP($G303,'KO Calc'!$H309:$AW309,20,FALSE)),IF(AND($Q$1=TRUE,$S$4=TRUE),IF(OR($Q$4=TRUE,$Q$5=TRUE,$S$2=TRUE),VLOOKUP($G303,'KO Calc'!$H:$AW,10,FALSE),VLOOKUP($G303,'KO Calc'!$H309:$AW309,10,FALSE)),
IF(AND($S$3=TRUE,$S$1=TRUE,$S$4=FALSE)=TRUE,IF(OR($Q$4=TRUE,$Q$5=TRUE,$S$2=TRUE),VLOOKUP($G303,'KO Calc'!$H:$AW,35,FALSE),VLOOKUP($G303,'KO Calc'!$H309:$AW309,35,FALSE)),IF(AND($S$3=TRUE,$S$4=FALSE),IF(OR($Q$4=TRUE,$Q$5=TRUE,$S$2=TRUE),VLOOKUP($G303,'KO Calc'!$H:$AW,25,FALSE),VLOOKUP($G303,'KO Calc'!$H309:$AW309,25,FALSE)),
IF(AND($S$3=TRUE,$S$1=TRUE,$S$4=TRUE)=TRUE,IF(OR($Q$4=TRUE,$Q$5=TRUE,$S$2=TRUE),VLOOKUP($G303,'KO Calc'!$H:$AW,40,FALSE),VLOOKUP($G303,'KO Calc'!$H309:$AW309,40,FALSE)),IF(AND($S$3=TRUE,$S$4=TRUE),IF(OR($Q$4=TRUE,$Q$5=TRUE,$S$2=TRUE),VLOOKUP($G303,'KO Calc'!$H:$AW,30,FALSE),VLOOKUP($G303,'KO Calc'!$H309:$AW309,30,FALSE)))))))))))))</f>
        <v>-</v>
      </c>
      <c r="L303" s="36" t="str">
        <f>IFERROR(IF(AND($Q$1=FALSE,$S$3=FALSE),"-",VLOOKUP($E303,'Status Thresholds'!$E:$AU,43,FALSE)),"-")</f>
        <v>-</v>
      </c>
      <c r="M303" s="36" t="str">
        <f>IFERROR(IF(AND($Q$1=FALSE,$S$3=FALSE),"-",VLOOKUP($E303,'Status Thresholds'!$E:$AU,41,FALSE)),"-")</f>
        <v>-</v>
      </c>
      <c r="N303" s="36" t="str">
        <f>IFERROR(IF(AND($Q$1=FALSE,$S$3=FALSE),"-",VLOOKUP($E303,'Status Thresholds'!$E:$AU,42,FALSE)),"-")</f>
        <v>-</v>
      </c>
    </row>
    <row r="304" spans="1:14" x14ac:dyDescent="0.25">
      <c r="B304" s="64" t="str">
        <f>VLOOKUP(C304,'Status Thresholds'!B:C,2,FALSE)</f>
        <v>MHGU</v>
      </c>
      <c r="C304" s="46" t="str">
        <f>IF(ISBLANK('KO Calc'!C300)=TRUE,"",'KO Calc'!C300)</f>
        <v>Fatalis (Black)</v>
      </c>
      <c r="D304" s="78"/>
      <c r="E304" s="62" t="str">
        <f t="shared" si="9"/>
        <v>Fatalis (Black)</v>
      </c>
      <c r="F304" t="s">
        <v>11</v>
      </c>
      <c r="G304" s="36" t="str">
        <f t="shared" si="10"/>
        <v>Fatalis (Black)Crag 1</v>
      </c>
      <c r="H304" s="36" t="str">
        <f>IF(AND($Q$1=FALSE,$S$3=FALSE),"-",IF(AND($Q$1=TRUE,$S$3=TRUE),"-",IF(AND($Q$1=FALSE,$S$3=FALSE),"-",IF(AND($Q$1=TRUE,$S$1=TRUE,$S$4=FALSE)=TRUE,IF(OR($Q$4=TRUE,$Q$5=TRUE,$S$2=TRUE),VLOOKUP($G304,'KO Calc'!$H:$AW,12,FALSE),VLOOKUP($G304,'KO Calc'!$H310:$AW310,12,FALSE)),IF(AND($Q$1=TRUE,$S$4=FALSE),IF(OR($Q$4=TRUE,$Q$5=TRUE,$S$2=TRUE),VLOOKUP($G304,'KO Calc'!$H:$AW,2,FALSE),VLOOKUP($G304,'KO Calc'!$H310:$AW310,2,FALSE)),
IF(AND($Q$1=TRUE,$S$1=TRUE,$S$4=TRUE)=TRUE,IF(OR($Q$4=TRUE,$Q$5=TRUE,$S$2=TRUE),VLOOKUP($G304,'KO Calc'!$H:$AW,17,FALSE),VLOOKUP($G304,'KO Calc'!$H310:$AW310,17,FALSE)),IF(AND($Q$1=TRUE,$S$4=TRUE),IF(OR($Q$4=TRUE,$Q$5=TRUE,$S$2=TRUE),VLOOKUP($G304,'KO Calc'!$H:$AW,7,FALSE),VLOOKUP($G304,'KO Calc'!$H310:$AW310,7,FALSE)),
IF(AND($S$3=TRUE,$S$1=TRUE,$S$4=FALSE)=TRUE,IF(OR($Q$4=TRUE,$Q$5=TRUE,$S$2=TRUE),VLOOKUP($G304,'KO Calc'!$H:$AW,32,FALSE),VLOOKUP($G304,'KO Calc'!$H310:$AW310,32,FALSE)),IF(AND($S$3=TRUE,$S$4=FALSE),IF(OR($Q$4=TRUE,$Q$5=TRUE,$S$2=TRUE),VLOOKUP($G304,'KO Calc'!$H:$AW,22,FALSE),VLOOKUP($G304,'KO Calc'!$H310:$AW310,22,FALSE)),
IF(AND($S$3=TRUE,$S$1=TRUE,$S$4=TRUE)=TRUE,IF(OR($Q$4=TRUE,$Q$5=TRUE,$S$2=TRUE),VLOOKUP($G304,'KO Calc'!$H:$AW,37,FALSE),VLOOKUP($G304,'KO Calc'!$H310:$AW310,37,FALSE)),IF(AND($S$3=TRUE,$S$4=TRUE),IF(OR($Q$4=TRUE,$Q$5=TRUE,$S$2=TRUE),VLOOKUP($G304,'KO Calc'!$H:$AW,27,FALSE),VLOOKUP($G304,'KO Calc'!$H310:$AW310,27,FALSE)))))))))))))</f>
        <v>-</v>
      </c>
      <c r="I304" s="36" t="str">
        <f>IF(AND($Q$1=FALSE,$S$3=FALSE),"-",IF(AND($Q$1=TRUE,$S$3=TRUE),"-",IF(AND($Q$1=FALSE,$S$3=FALSE),"-",IF(AND($Q$1=TRUE,$S$1=TRUE,$S$4=FALSE)=TRUE,IF(OR($Q$4=TRUE,$Q$5=TRUE,$S$2=TRUE),VLOOKUP($G304,'KO Calc'!$H:$AW,13,FALSE),VLOOKUP($G304,'KO Calc'!$H310:$AW310,13,FALSE)),IF(AND($Q$1=TRUE,$S$4=FALSE),IF(OR($Q$4=TRUE,$Q$5=TRUE,$S$2=TRUE),VLOOKUP($G304,'KO Calc'!$H:$AW,3,FALSE),VLOOKUP($G304,'KO Calc'!$H310:$AW310,3,FALSE)),
IF(AND($Q$1=TRUE,$S$1=TRUE,$S$4=TRUE)=TRUE,IF(OR($Q$4=TRUE,$Q$5=TRUE,$S$2=TRUE),VLOOKUP($G304,'KO Calc'!$H:$AW,18,FALSE),VLOOKUP($G304,'KO Calc'!$H310:$AW310,18,FALSE)),IF(AND($Q$1=TRUE,$S$4=TRUE),IF(OR($Q$4=TRUE,$Q$5=TRUE,$S$2=TRUE),VLOOKUP($G304,'KO Calc'!$H:$AW,8,FALSE),VLOOKUP($G304,'KO Calc'!$H310:$AW310,8,FALSE)),
IF(AND($S$3=TRUE,$S$1=TRUE,$S$4=FALSE)=TRUE,IF(OR($Q$4=TRUE,$Q$5=TRUE,$S$2=TRUE),VLOOKUP($G304,'KO Calc'!$H:$AW,33,FALSE),VLOOKUP($G304,'KO Calc'!$H310:$AW310,33,FALSE)),IF(AND($S$3=TRUE,$S$4=FALSE),IF(OR($Q$4=TRUE,$Q$5=TRUE,$S$2=TRUE),VLOOKUP($G304,'KO Calc'!$H:$AW,23,FALSE),VLOOKUP($G304,'KO Calc'!$H310:$AW310,23,FALSE)),
IF(AND($S$3=TRUE,$S$1=TRUE,$S$4=TRUE)=TRUE,IF(OR($Q$4=TRUE,$Q$5=TRUE,$S$2=TRUE),VLOOKUP($G304,'KO Calc'!$H:$AW,38,FALSE),VLOOKUP($G304,'KO Calc'!$H310:$AW310,38,FALSE)),IF(AND($S$3=TRUE,$S$4=TRUE),IF(OR($Q$4=TRUE,$Q$5=TRUE,$S$2=TRUE),VLOOKUP($G304,'KO Calc'!$H:$AW,28,FALSE),VLOOKUP($G304,'KO Calc'!$H310:$AW310,28,FALSE)))))))))))))</f>
        <v>-</v>
      </c>
      <c r="J304" s="36" t="str">
        <f>IF(AND($Q$1=FALSE,$S$3=FALSE),"-",IF(AND($Q$1=TRUE,$S$3=TRUE),"-",IF(AND($Q$1=FALSE,$S$3=FALSE),"-",IF(AND($Q$1=TRUE,$S$1=TRUE,$S$4=FALSE)=TRUE,IF(OR($Q$4=TRUE,$Q$5=TRUE,$S$2=TRUE),VLOOKUP($G304,'KO Calc'!$H:$AW,FALSE),VLOOKUP($G304,'KO Calc'!$H310:$AW310,14,FALSE)),IF(AND($Q$1=TRUE,$S$4=FALSE),IF(OR($Q$4=TRUE,$Q$5=TRUE,$S$2=TRUE),VLOOKUP($G304,'KO Calc'!$H:$AW,4,FALSE),VLOOKUP($G304,'KO Calc'!$H310:$AW310,4,FALSE)),
IF(AND($Q$1=TRUE,$S$1=TRUE,$S$4=TRUE)=TRUE,IF(OR($Q$4=TRUE,$Q$5=TRUE,$S$2=TRUE),VLOOKUP($G304,'KO Calc'!$H:$AW,19,FALSE),VLOOKUP($G304,'KO Calc'!$H310:$AW310,19,FALSE)),IF(AND($Q$1=TRUE,$S$4=TRUE),IF(OR($Q$4=TRUE,$Q$5=TRUE,$S$2=TRUE),VLOOKUP($G304,'KO Calc'!$H:$AW,9,FALSE),VLOOKUP($G304,'KO Calc'!$H310:$AW310,9,FALSE)),
IF(AND($S$3=TRUE,$S$1=TRUE,$S$4=FALSE)=TRUE,IF(OR($Q$4=TRUE,$Q$5=TRUE,$S$2=TRUE),VLOOKUP($G304,'KO Calc'!$H:$AW,34,FALSE),VLOOKUP($G304,'KO Calc'!$H310:$AW310,34,FALSE)),IF(AND($S$3=TRUE,$S$4=FALSE),IF(OR($Q$4=TRUE,$Q$5=TRUE,$S$2=TRUE),VLOOKUP($G304,'KO Calc'!$H:$AW,24,FALSE),VLOOKUP($G304,'KO Calc'!$H310:$AW310,24,FALSE)),
IF(AND($S$3=TRUE,$S$1=TRUE,$S$4=TRUE)=TRUE,IF(OR($Q$4=TRUE,$Q$5=TRUE,$S$2=TRUE),VLOOKUP($G304,'KO Calc'!$H:$AW,39,FALSE),VLOOKUP($G304,'KO Calc'!$H310:$AW310,39,FALSE)),IF(AND($S$3=TRUE,$S$4=TRUE),IF(OR($Q$4=TRUE,$Q$5=TRUE,$S$2=TRUE),VLOOKUP($G304,'KO Calc'!$H:$AW,29,FALSE),VLOOKUP($G304,'KO Calc'!$H310:$AW310,29,FALSE)))))))))))))</f>
        <v>-</v>
      </c>
      <c r="K304" s="36" t="str">
        <f>IF(AND($Q$1=FALSE,$S$3=FALSE),"-",IF(AND($Q$1=TRUE,$S$3=TRUE),"-",IF(AND($Q$1=FALSE,$S$3=FALSE),"-",IF(AND($Q$1=TRUE,$S$1=TRUE,$S$4=FALSE)=TRUE,IF(OR($Q$4=TRUE,$Q$5=TRUE,$S$2=TRUE),VLOOKUP($G304,'KO Calc'!$H:$AW,15,FALSE),VLOOKUP($G304,'KO Calc'!$H310:$AW310,15,FALSE)),IF(AND($Q$1=TRUE,$S$4=FALSE),IF(OR($Q$4=TRUE,$Q$5=TRUE,$S$2=TRUE),VLOOKUP($G304,'KO Calc'!$H:$AW,5,FALSE),VLOOKUP($G304,'KO Calc'!$H310:$AW310,5,FALSE)),
IF(AND($Q$1=TRUE,$S$1=TRUE,$S$4=TRUE)=TRUE,IF(OR($Q$4=TRUE,$Q$5=TRUE,$S$2=TRUE),VLOOKUP($G304,'KO Calc'!$H:$AW,20,FALSE),VLOOKUP($G304,'KO Calc'!$H310:$AW310,20,FALSE)),IF(AND($Q$1=TRUE,$S$4=TRUE),IF(OR($Q$4=TRUE,$Q$5=TRUE,$S$2=TRUE),VLOOKUP($G304,'KO Calc'!$H:$AW,10,FALSE),VLOOKUP($G304,'KO Calc'!$H310:$AW310,10,FALSE)),
IF(AND($S$3=TRUE,$S$1=TRUE,$S$4=FALSE)=TRUE,IF(OR($Q$4=TRUE,$Q$5=TRUE,$S$2=TRUE),VLOOKUP($G304,'KO Calc'!$H:$AW,35,FALSE),VLOOKUP($G304,'KO Calc'!$H310:$AW310,35,FALSE)),IF(AND($S$3=TRUE,$S$4=FALSE),IF(OR($Q$4=TRUE,$Q$5=TRUE,$S$2=TRUE),VLOOKUP($G304,'KO Calc'!$H:$AW,25,FALSE),VLOOKUP($G304,'KO Calc'!$H310:$AW310,25,FALSE)),
IF(AND($S$3=TRUE,$S$1=TRUE,$S$4=TRUE)=TRUE,IF(OR($Q$4=TRUE,$Q$5=TRUE,$S$2=TRUE),VLOOKUP($G304,'KO Calc'!$H:$AW,40,FALSE),VLOOKUP($G304,'KO Calc'!$H310:$AW310,40,FALSE)),IF(AND($S$3=TRUE,$S$4=TRUE),IF(OR($Q$4=TRUE,$Q$5=TRUE,$S$2=TRUE),VLOOKUP($G304,'KO Calc'!$H:$AW,30,FALSE),VLOOKUP($G304,'KO Calc'!$H310:$AW310,30,FALSE)))))))))))))</f>
        <v>-</v>
      </c>
      <c r="L304" s="36" t="str">
        <f>IFERROR(VLOOKUP($E304,'Status Thresholds'!$E:$AS,41,FALSE),"-")</f>
        <v>-</v>
      </c>
    </row>
    <row r="305" spans="1:14" x14ac:dyDescent="0.25">
      <c r="B305" s="64" t="str">
        <f>VLOOKUP(C305,'Status Thresholds'!B:C,2,FALSE)</f>
        <v>MHGU</v>
      </c>
      <c r="C305" s="46" t="str">
        <f>IF(ISBLANK('KO Calc'!C301)=TRUE,"",'KO Calc'!C301)</f>
        <v>Fatalis (Black)</v>
      </c>
      <c r="D305" s="78"/>
      <c r="E305" s="62"/>
      <c r="G305" s="36"/>
      <c r="L305" s="36" t="str">
        <f>IFERROR(VLOOKUP($E305,'Status Thresholds'!$E:$AS,41,FALSE),"-")</f>
        <v>-</v>
      </c>
    </row>
    <row r="306" spans="1:14" s="36" customFormat="1" x14ac:dyDescent="0.25">
      <c r="B306" s="64" t="str">
        <f>VLOOKUP(C306,'Status Thresholds'!B:C,2,FALSE)</f>
        <v>MHGU</v>
      </c>
      <c r="C306" s="46" t="str">
        <f>IF(ISBLANK('KO Calc'!C302)=TRUE,"",'KO Calc'!C302)</f>
        <v>Fatalis (Crimson)</v>
      </c>
      <c r="D306" s="65" t="s">
        <v>0</v>
      </c>
      <c r="E306" s="62" t="str">
        <f t="shared" si="9"/>
        <v>Fatalis (Crimson)Para</v>
      </c>
      <c r="F306" s="36" t="s">
        <v>2</v>
      </c>
      <c r="G306" s="36" t="str">
        <f t="shared" si="10"/>
        <v>Fatalis (Crimson)Para lvl 2</v>
      </c>
      <c r="H306" s="36" t="str">
        <f>IFERROR(ROUNDUP(IF(AND($Q$1=FALSE,$S$3=FALSE),"-",IF(AND($Q$1=TRUE,$S$3=TRUE),"-",IF(AND($Q$1=TRUE,$S$1=TRUE,$S$4=FALSE),VLOOKUP($E306,'Status Thresholds'!$E:$AS,12,FALSE),IF(AND($Q$1=TRUE,$S$4=FALSE),VLOOKUP($E306,'Status Thresholds'!$E:$AS,2,FALSE), IF(AND($Q$1=TRUE,$S$1=TRUE,$S$4=TRUE),VLOOKUP($E306,'Status Thresholds'!$E:$AS,17,FALSE),IF(AND($Q$1=TRUE,$S$4=TRUE),VLOOKUP($E306,'Status Thresholds'!$E:$AS,7,FALSE),IF(AND($S$3=TRUE,$S$1=TRUE,$S$4=FALSE),VLOOKUP($E306,'Status Thresholds'!$E:$AS,32,FALSE),IF(AND($S$3=TRUE,$S$4=FALSE),VLOOKUP($E306,'Status Thresholds'!$E:$AS,22,FALSE),IF(AND($S$3=TRUE,$S$1=TRUE,$S$4=TRUE),VLOOKUP($E306,'Status Thresholds'!$E:$AS,37,FALSE),IF(AND($S$3=TRUE,$S$4=TRUE),VLOOKUP($E306,'Status Thresholds'!$E:$AS,27,FALSE),""))))))))/IF(OR($Q$3=TRUE,AND($Q$2=TRUE,$Q$7=TRUE),AND($Q$3=TRUE,$Q$7=TRUE))=TRUE,'Shots and Status'!$F$5,IF((OR($Q$2,$Q$7)=TRUE),'Shots and Status'!$D$5,'Shots and Status'!$C$5)))),0),"-")</f>
        <v>-</v>
      </c>
      <c r="I306" s="36" t="str">
        <f>IFERROR(ROUNDUP(IF(AND($Q$1=FALSE,$S$3=FALSE),"-",IF(AND($Q$1=TRUE,$S$3=TRUE),"-",IF(AND($Q$1=TRUE,$S$1=TRUE,$S$4=FALSE),VLOOKUP($E306,'Status Thresholds'!$E:$AS,13,FALSE),IF(AND($Q$1=TRUE,$S$4=FALSE),VLOOKUP($E306,'Status Thresholds'!$E:$AS,3,FALSE), IF(AND($Q$1=TRUE,$S$1=TRUE,$S$4=TRUE),VLOOKUP($E306,'Status Thresholds'!$E:$AS,18,FALSE),IF(AND($Q$1=TRUE,$S$4=TRUE),VLOOKUP($E306,'Status Thresholds'!$E:$AS,8,FALSE),IF(AND($S$3=TRUE,$S$1=TRUE,$S$4=FALSE),VLOOKUP($E306,'Status Thresholds'!$E:$AS,33,FALSE),IF(AND($S$3=TRUE,$S$4=FALSE),VLOOKUP($E306,'Status Thresholds'!$E:$AS,23,FALSE),IF(AND($S$3=TRUE,$S$1=TRUE,$S$4=TRUE),VLOOKUP($E306,'Status Thresholds'!$E:$AS,38,FALSE),IF(AND($S$3=TRUE,$S$4=TRUE),VLOOKUP($E306,'Status Thresholds'!$E:$AS,28,FALSE),""))))))))/IF(OR($Q$3=TRUE,AND($Q$2=TRUE,$Q$7=TRUE),AND($Q$3=TRUE,$Q$7=TRUE))=TRUE,'Shots and Status'!$F$5,IF((OR($Q$2,$Q$7)=TRUE),'Shots and Status'!$D$5,'Shots and Status'!$C$5)))),0),"-")</f>
        <v>-</v>
      </c>
      <c r="J306" s="36" t="str">
        <f>IFERROR(ROUNDUP(IF(AND($Q$1=FALSE,$S$3=FALSE),"-",IF(AND($Q$1=TRUE,$S$3=TRUE),"-",IF(AND($Q$1=TRUE,$S$1=TRUE,$S$4=FALSE),VLOOKUP($E306,'Status Thresholds'!$E:$AS,14,FALSE),IF(AND($Q$1=TRUE,$S$4=FALSE),VLOOKUP($E306,'Status Thresholds'!$E:$AS,4,FALSE), IF(AND($Q$1=TRUE,$S$1=TRUE,$S$4=TRUE),VLOOKUP($E306,'Status Thresholds'!$E:$AS,19,FALSE),IF(AND($Q$1=TRUE,$S$4=TRUE),VLOOKUP($E306,'Status Thresholds'!$E:$AS,9,FALSE),IF(AND($S$3=TRUE,$S$1=TRUE,$S$4=FALSE),VLOOKUP($E306,'Status Thresholds'!$E:$AS,34,FALSE),IF(AND($S$3=TRUE,$S$4=FALSE),VLOOKUP($E306,'Status Thresholds'!$E:$AS,24,FALSE),IF(AND($S$3=TRUE,$S$1=TRUE,$S$4=TRUE),VLOOKUP($E306,'Status Thresholds'!$E:$AS,39,FALSE),IF(AND($S$3=TRUE,$S$4=TRUE),VLOOKUP($E306,'Status Thresholds'!$E:$AS,29,FALSE),""))))))))/IF(OR($Q$3=TRUE,AND($Q$2=TRUE,$Q$7=TRUE),AND($Q$3=TRUE,$Q$7=TRUE))=TRUE,'Shots and Status'!$F$5,IF((OR($Q$2,$Q$7)=TRUE),'Shots and Status'!$D$5,'Shots and Status'!$C$5)))),0),"-")</f>
        <v>-</v>
      </c>
      <c r="K306" s="36" t="str">
        <f>IFERROR(ROUNDUP(IF(AND($Q$1=FALSE,$S$3=FALSE),"-",IF(AND($Q$1=TRUE,$S$3=TRUE),"-",IF(AND($Q$1=TRUE,$S$1=TRUE,$S$4=FALSE),VLOOKUP($E306,'Status Thresholds'!$E:$AS,15,FALSE),IF(AND($Q$1=TRUE,$S$4=FALSE),VLOOKUP($E306,'Status Thresholds'!$E:$AS,5,FALSE), IF(AND($Q$1=TRUE,$S$1=TRUE,$S$4=TRUE),VLOOKUP($E306,'Status Thresholds'!$E:$AS,20,FALSE),IF(AND($Q$1=TRUE,$S$4=TRUE),VLOOKUP($E306,'Status Thresholds'!$E:$AS,10,FALSE),IF(AND($S$3=TRUE,$S$1=TRUE,$S$4=FALSE),VLOOKUP($E306,'Status Thresholds'!$E:$AS,35,FALSE),IF(AND($S$3=TRUE,$S$4=FALSE),VLOOKUP($E306,'Status Thresholds'!$E:$AS,25,FALSE),IF(AND($S$3=TRUE,$S$1=TRUE,$S$4=TRUE),VLOOKUP($E306,'Status Thresholds'!$E:$AS,40,FALSE),IF(AND($S$3=TRUE,$S$4=TRUE),VLOOKUP($E306,'Status Thresholds'!$E:$AS,30,FALSE),""))))))))/IF(OR($Q$3=TRUE,AND($Q$2=TRUE,$Q$7=TRUE),AND($Q$3=TRUE,$Q$7=TRUE))=TRUE,'Shots and Status'!$F$5,IF((OR($Q$2,$Q$7)=TRUE),'Shots and Status'!$D$5,'Shots and Status'!$C$5)))),0),"-")</f>
        <v>-</v>
      </c>
      <c r="L306" s="36" t="str">
        <f>IFERROR(IF(AND($Q$1=FALSE,$S$3=FALSE),"-",VLOOKUP($E306,'Status Thresholds'!$E:$AU,41,FALSE)),"-")</f>
        <v>-</v>
      </c>
      <c r="M306" s="36" t="str">
        <f>IFERROR(IF(AND($Q$1=FALSE,$S$3=FALSE),"-",VLOOKUP($E306,'Status Thresholds'!$E:$AU,42,FALSE)),"-")</f>
        <v>-</v>
      </c>
      <c r="N306" s="36" t="str">
        <f>IFERROR(IF(AND($Q$1=FALSE,$S$3=FALSE),"-",VLOOKUP($E306,'Status Thresholds'!$E:$AU,43,FALSE)),"-")</f>
        <v>-</v>
      </c>
    </row>
    <row r="307" spans="1:14" s="59" customFormat="1" x14ac:dyDescent="0.25">
      <c r="A307" s="46"/>
      <c r="B307" s="64" t="str">
        <f>VLOOKUP(C307,'Status Thresholds'!B:C,2,FALSE)</f>
        <v>MHGU</v>
      </c>
      <c r="C307" s="46" t="str">
        <f>IF(ISBLANK('KO Calc'!C303)=TRUE,"",'KO Calc'!C303)</f>
        <v>Fatalis (Crimson)</v>
      </c>
      <c r="D307" s="60" t="s">
        <v>32</v>
      </c>
      <c r="E307" s="62" t="str">
        <f t="shared" si="9"/>
        <v>Fatalis (Crimson)Sleep</v>
      </c>
      <c r="F307" s="59" t="s">
        <v>5</v>
      </c>
      <c r="G307" s="36" t="str">
        <f t="shared" si="10"/>
        <v>Fatalis (Crimson)Sleep lvl 2</v>
      </c>
      <c r="H307" s="36" t="str">
        <f>IFERROR(ROUNDUP(IF(AND($Q$1=FALSE,$S$3=FALSE),"-",IF(AND($Q$1=TRUE,$S$3=TRUE),"-",IF(AND($Q$1=TRUE,$S$1=TRUE,$S$4=FALSE),VLOOKUP($E307,'Status Thresholds'!$E:$AS,12,FALSE),IF(AND($Q$1=TRUE,$S$4=FALSE),VLOOKUP($E307,'Status Thresholds'!$E:$AS,2,FALSE), IF(AND($Q$1=TRUE,$S$1=TRUE,$S$4=TRUE),VLOOKUP($E307,'Status Thresholds'!$E:$AS,17,FALSE),IF(AND($Q$1=TRUE,$S$4=TRUE),VLOOKUP($E307,'Status Thresholds'!$E:$AS,7,FALSE),IF(AND($S$3=TRUE,$S$1=TRUE,$S$4=FALSE),VLOOKUP($E307,'Status Thresholds'!$E:$AS,32,FALSE),IF(AND($S$3=TRUE,$S$4=FALSE),VLOOKUP($E307,'Status Thresholds'!$E:$AS,22,FALSE),IF(AND($S$3=TRUE,$S$1=TRUE,$S$4=TRUE),VLOOKUP($E307,'Status Thresholds'!$E:$AS,37,FALSE),IF(AND($S$3=TRUE,$S$4=TRUE),VLOOKUP($E307,'Status Thresholds'!$E:$AS,27,FALSE),""))))))))/IF(OR($Q$3=TRUE,AND($Q$2=TRUE,$Q$7=TRUE),AND($Q$3=TRUE,$Q$7=TRUE))=TRUE,'Shots and Status'!$F$5,IF((OR($Q$2,$Q$7)=TRUE),'Shots and Status'!$D$5,'Shots and Status'!$C$5)))),0),"-")</f>
        <v>-</v>
      </c>
      <c r="I307" s="36" t="str">
        <f>IFERROR(ROUNDUP(IF(AND($Q$1=FALSE,$S$3=FALSE),"-",IF(AND($Q$1=TRUE,$S$3=TRUE),"-",IF(AND($Q$1=TRUE,$S$1=TRUE,$S$4=FALSE),VLOOKUP($E307,'Status Thresholds'!$E:$AS,13,FALSE),IF(AND($Q$1=TRUE,$S$4=FALSE),VLOOKUP($E307,'Status Thresholds'!$E:$AS,3,FALSE), IF(AND($Q$1=TRUE,$S$1=TRUE,$S$4=TRUE),VLOOKUP($E307,'Status Thresholds'!$E:$AS,18,FALSE),IF(AND($Q$1=TRUE,$S$4=TRUE),VLOOKUP($E307,'Status Thresholds'!$E:$AS,8,FALSE),IF(AND($S$3=TRUE,$S$1=TRUE,$S$4=FALSE),VLOOKUP($E307,'Status Thresholds'!$E:$AS,33,FALSE),IF(AND($S$3=TRUE,$S$4=FALSE),VLOOKUP($E307,'Status Thresholds'!$E:$AS,23,FALSE),IF(AND($S$3=TRUE,$S$1=TRUE,$S$4=TRUE),VLOOKUP($E307,'Status Thresholds'!$E:$AS,38,FALSE),IF(AND($S$3=TRUE,$S$4=TRUE),VLOOKUP($E307,'Status Thresholds'!$E:$AS,28,FALSE),""))))))))/IF(OR($Q$3=TRUE,AND($Q$2=TRUE,$Q$7=TRUE),AND($Q$3=TRUE,$Q$7=TRUE))=TRUE,'Shots and Status'!$F$5,IF((OR($Q$2,$Q$7)=TRUE),'Shots and Status'!$D$5,'Shots and Status'!$C$5)))),0),"-")</f>
        <v>-</v>
      </c>
      <c r="J307" s="36" t="str">
        <f>IFERROR(ROUNDUP(IF(AND($Q$1=FALSE,$S$3=FALSE),"-",IF(AND($Q$1=TRUE,$S$3=TRUE),"-",IF(AND($Q$1=TRUE,$S$1=TRUE,$S$4=FALSE),VLOOKUP($E307,'Status Thresholds'!$E:$AS,14,FALSE),IF(AND($Q$1=TRUE,$S$4=FALSE),VLOOKUP($E307,'Status Thresholds'!$E:$AS,4,FALSE), IF(AND($Q$1=TRUE,$S$1=TRUE,$S$4=TRUE),VLOOKUP($E307,'Status Thresholds'!$E:$AS,19,FALSE),IF(AND($Q$1=TRUE,$S$4=TRUE),VLOOKUP($E307,'Status Thresholds'!$E:$AS,9,FALSE),IF(AND($S$3=TRUE,$S$1=TRUE,$S$4=FALSE),VLOOKUP($E307,'Status Thresholds'!$E:$AS,34,FALSE),IF(AND($S$3=TRUE,$S$4=FALSE),VLOOKUP($E307,'Status Thresholds'!$E:$AS,24,FALSE),IF(AND($S$3=TRUE,$S$1=TRUE,$S$4=TRUE),VLOOKUP($E307,'Status Thresholds'!$E:$AS,39,FALSE),IF(AND($S$3=TRUE,$S$4=TRUE),VLOOKUP($E307,'Status Thresholds'!$E:$AS,29,FALSE),""))))))))/IF(OR($Q$3=TRUE,AND($Q$2=TRUE,$Q$7=TRUE),AND($Q$3=TRUE,$Q$7=TRUE))=TRUE,'Shots and Status'!$F$5,IF((OR($Q$2,$Q$7)=TRUE),'Shots and Status'!$D$5,'Shots and Status'!$C$5)))),0),"-")</f>
        <v>-</v>
      </c>
      <c r="K307" s="36" t="str">
        <f>IFERROR(ROUNDUP(IF(AND($Q$1=FALSE,$S$3=FALSE),"-",IF(AND($Q$1=TRUE,$S$3=TRUE),"-",IF(AND($Q$1=TRUE,$S$1=TRUE,$S$4=FALSE),VLOOKUP($E307,'Status Thresholds'!$E:$AS,15,FALSE),IF(AND($Q$1=TRUE,$S$4=FALSE),VLOOKUP($E307,'Status Thresholds'!$E:$AS,5,FALSE), IF(AND($Q$1=TRUE,$S$1=TRUE,$S$4=TRUE),VLOOKUP($E307,'Status Thresholds'!$E:$AS,20,FALSE),IF(AND($Q$1=TRUE,$S$4=TRUE),VLOOKUP($E307,'Status Thresholds'!$E:$AS,10,FALSE),IF(AND($S$3=TRUE,$S$1=TRUE,$S$4=FALSE),VLOOKUP($E307,'Status Thresholds'!$E:$AS,35,FALSE),IF(AND($S$3=TRUE,$S$4=FALSE),VLOOKUP($E307,'Status Thresholds'!$E:$AS,25,FALSE),IF(AND($S$3=TRUE,$S$1=TRUE,$S$4=TRUE),VLOOKUP($E307,'Status Thresholds'!$E:$AS,40,FALSE),IF(AND($S$3=TRUE,$S$4=TRUE),VLOOKUP($E307,'Status Thresholds'!$E:$AS,30,FALSE),""))))))))/IF(OR($Q$3=TRUE,AND($Q$2=TRUE,$Q$7=TRUE),AND($Q$3=TRUE,$Q$7=TRUE))=TRUE,'Shots and Status'!$F$5,IF((OR($Q$2,$Q$7)=TRUE),'Shots and Status'!$D$5,'Shots and Status'!$C$5)))),0),"-")</f>
        <v>-</v>
      </c>
      <c r="L307" s="36" t="str">
        <f>IFERROR(IF(AND($Q$1=FALSE,$S$3=FALSE),"-",VLOOKUP($E307,'Status Thresholds'!$E:$AU,41,FALSE)),"-")</f>
        <v>-</v>
      </c>
      <c r="M307" s="36" t="str">
        <f>IFERROR(IF(AND($Q$1=FALSE,$S$3=FALSE),"-",VLOOKUP($E307,'Status Thresholds'!$E:$AU,42,FALSE)),"-")</f>
        <v>-</v>
      </c>
      <c r="N307" s="36" t="str">
        <f>IFERROR(IF(AND($Q$1=FALSE,$S$3=FALSE),"-",VLOOKUP($E307,'Status Thresholds'!$E:$AU,43,FALSE)),"-")</f>
        <v>-</v>
      </c>
    </row>
    <row r="308" spans="1:14" s="59" customFormat="1" x14ac:dyDescent="0.25">
      <c r="A308" s="46"/>
      <c r="B308" s="64" t="str">
        <f>VLOOKUP(C308,'Status Thresholds'!B:C,2,FALSE)</f>
        <v>MHGU</v>
      </c>
      <c r="C308" s="46" t="str">
        <f>IF(ISBLANK('KO Calc'!C304)=TRUE,"",'KO Calc'!C304)</f>
        <v>Fatalis (Crimson)</v>
      </c>
      <c r="D308" s="58" t="s">
        <v>33</v>
      </c>
      <c r="E308" s="62" t="str">
        <f t="shared" si="9"/>
        <v>Fatalis (Crimson)Poison</v>
      </c>
      <c r="F308" s="59" t="s">
        <v>6</v>
      </c>
      <c r="G308" s="36" t="str">
        <f t="shared" si="10"/>
        <v>Fatalis (Crimson)Poison lvl 2</v>
      </c>
      <c r="H308" s="36" t="str">
        <f>IFERROR(ROUNDUP(IF(AND($Q$1=FALSE,$S$3=FALSE),"-",IF(AND($Q$1=TRUE,$S$3=TRUE),"-",IF(AND($Q$1=TRUE,$S$1=TRUE,$S$4=FALSE),VLOOKUP($E308,'Status Thresholds'!$E:$AS,12,FALSE),IF(AND($Q$1=TRUE,$S$4=FALSE),VLOOKUP($E308,'Status Thresholds'!$E:$AS,2,FALSE), IF(AND($Q$1=TRUE,$S$1=TRUE,$S$4=TRUE),VLOOKUP($E308,'Status Thresholds'!$E:$AS,17,FALSE),IF(AND($Q$1=TRUE,$S$4=TRUE),VLOOKUP($E308,'Status Thresholds'!$E:$AS,7,FALSE),IF(AND($S$3=TRUE,$S$1=TRUE,$S$4=FALSE),VLOOKUP($E308,'Status Thresholds'!$E:$AS,32,FALSE),IF(AND($S$3=TRUE,$S$4=FALSE),VLOOKUP($E308,'Status Thresholds'!$E:$AS,22,FALSE),IF(AND($S$3=TRUE,$S$1=TRUE,$S$4=TRUE),VLOOKUP($E308,'Status Thresholds'!$E:$AS,37,FALSE),IF(AND($S$3=TRUE,$S$4=TRUE),VLOOKUP($E308,'Status Thresholds'!$E:$AS,27,FALSE),""))))))))/IF(OR($Q$3=TRUE,AND($Q$2=TRUE,$Q$7=TRUE),AND($Q$3=TRUE,$Q$7=TRUE))=TRUE,'Shots and Status'!$F$5,IF((OR($Q$2,$Q$7)=TRUE),'Shots and Status'!$D$5,'Shots and Status'!$C$5)))),0),"-")</f>
        <v>-</v>
      </c>
      <c r="I308" s="36" t="str">
        <f>IFERROR(ROUNDUP(IF(AND($Q$1=FALSE,$S$3=FALSE),"-",IF(AND($Q$1=TRUE,$S$3=TRUE),"-",IF(AND($Q$1=TRUE,$S$1=TRUE,$S$4=FALSE),VLOOKUP($E308,'Status Thresholds'!$E:$AS,13,FALSE),IF(AND($Q$1=TRUE,$S$4=FALSE),VLOOKUP($E308,'Status Thresholds'!$E:$AS,3,FALSE), IF(AND($Q$1=TRUE,$S$1=TRUE,$S$4=TRUE),VLOOKUP($E308,'Status Thresholds'!$E:$AS,18,FALSE),IF(AND($Q$1=TRUE,$S$4=TRUE),VLOOKUP($E308,'Status Thresholds'!$E:$AS,8,FALSE),IF(AND($S$3=TRUE,$S$1=TRUE,$S$4=FALSE),VLOOKUP($E308,'Status Thresholds'!$E:$AS,33,FALSE),IF(AND($S$3=TRUE,$S$4=FALSE),VLOOKUP($E308,'Status Thresholds'!$E:$AS,23,FALSE),IF(AND($S$3=TRUE,$S$1=TRUE,$S$4=TRUE),VLOOKUP($E308,'Status Thresholds'!$E:$AS,38,FALSE),IF(AND($S$3=TRUE,$S$4=TRUE),VLOOKUP($E308,'Status Thresholds'!$E:$AS,28,FALSE),""))))))))/IF(OR($Q$3=TRUE,AND($Q$2=TRUE,$Q$7=TRUE),AND($Q$3=TRUE,$Q$7=TRUE))=TRUE,'Shots and Status'!$F$5,IF((OR($Q$2,$Q$7)=TRUE),'Shots and Status'!$D$5,'Shots and Status'!$C$5)))),0),"-")</f>
        <v>-</v>
      </c>
      <c r="J308" s="36" t="str">
        <f>IFERROR(ROUNDUP(IF(AND($Q$1=FALSE,$S$3=FALSE),"-",IF(AND($Q$1=TRUE,$S$3=TRUE),"-",IF(AND($Q$1=TRUE,$S$1=TRUE,$S$4=FALSE),VLOOKUP($E308,'Status Thresholds'!$E:$AS,14,FALSE),IF(AND($Q$1=TRUE,$S$4=FALSE),VLOOKUP($E308,'Status Thresholds'!$E:$AS,4,FALSE), IF(AND($Q$1=TRUE,$S$1=TRUE,$S$4=TRUE),VLOOKUP($E308,'Status Thresholds'!$E:$AS,19,FALSE),IF(AND($Q$1=TRUE,$S$4=TRUE),VLOOKUP($E308,'Status Thresholds'!$E:$AS,9,FALSE),IF(AND($S$3=TRUE,$S$1=TRUE,$S$4=FALSE),VLOOKUP($E308,'Status Thresholds'!$E:$AS,34,FALSE),IF(AND($S$3=TRUE,$S$4=FALSE),VLOOKUP($E308,'Status Thresholds'!$E:$AS,24,FALSE),IF(AND($S$3=TRUE,$S$1=TRUE,$S$4=TRUE),VLOOKUP($E308,'Status Thresholds'!$E:$AS,39,FALSE),IF(AND($S$3=TRUE,$S$4=TRUE),VLOOKUP($E308,'Status Thresholds'!$E:$AS,29,FALSE),""))))))))/IF(OR($Q$3=TRUE,AND($Q$2=TRUE,$Q$7=TRUE),AND($Q$3=TRUE,$Q$7=TRUE))=TRUE,'Shots and Status'!$F$5,IF((OR($Q$2,$Q$7)=TRUE),'Shots and Status'!$D$5,'Shots and Status'!$C$5)))),0),"-")</f>
        <v>-</v>
      </c>
      <c r="K308" s="36" t="str">
        <f>IFERROR(ROUNDUP(IF(AND($Q$1=FALSE,$S$3=FALSE),"-",IF(AND($Q$1=TRUE,$S$3=TRUE),"-",IF(AND($Q$1=TRUE,$S$1=TRUE,$S$4=FALSE),VLOOKUP($E308,'Status Thresholds'!$E:$AS,15,FALSE),IF(AND($Q$1=TRUE,$S$4=FALSE),VLOOKUP($E308,'Status Thresholds'!$E:$AS,5,FALSE), IF(AND($Q$1=TRUE,$S$1=TRUE,$S$4=TRUE),VLOOKUP($E308,'Status Thresholds'!$E:$AS,20,FALSE),IF(AND($Q$1=TRUE,$S$4=TRUE),VLOOKUP($E308,'Status Thresholds'!$E:$AS,10,FALSE),IF(AND($S$3=TRUE,$S$1=TRUE,$S$4=FALSE),VLOOKUP($E308,'Status Thresholds'!$E:$AS,35,FALSE),IF(AND($S$3=TRUE,$S$4=FALSE),VLOOKUP($E308,'Status Thresholds'!$E:$AS,25,FALSE),IF(AND($S$3=TRUE,$S$1=TRUE,$S$4=TRUE),VLOOKUP($E308,'Status Thresholds'!$E:$AS,40,FALSE),IF(AND($S$3=TRUE,$S$4=TRUE),VLOOKUP($E308,'Status Thresholds'!$E:$AS,30,FALSE),""))))))))/IF(OR($Q$3=TRUE,AND($Q$2=TRUE,$Q$7=TRUE),AND($Q$3=TRUE,$Q$7=TRUE))=TRUE,'Shots and Status'!$F$5,IF((OR($Q$2,$Q$7)=TRUE),'Shots and Status'!$D$5,'Shots and Status'!$C$5)))),0),"-")</f>
        <v>-</v>
      </c>
      <c r="L308" s="36" t="str">
        <f>IFERROR(IF(AND($Q$1=FALSE,$S$3=FALSE),"-",VLOOKUP($E308,'Status Thresholds'!$E:$AU,41,FALSE)),"-")</f>
        <v>-</v>
      </c>
      <c r="M308" s="36" t="str">
        <f>IFERROR(IF(AND($Q$1=FALSE,$S$3=FALSE),"-",VLOOKUP($E308,'Status Thresholds'!$E:$AU,42,FALSE)),"-")</f>
        <v>-</v>
      </c>
      <c r="N308" s="36" t="str">
        <f>IFERROR(IF(AND($Q$1=FALSE,$S$3=FALSE),"-",VLOOKUP($E308,'Status Thresholds'!$E:$AU,43,FALSE)),"-")</f>
        <v>-</v>
      </c>
    </row>
    <row r="309" spans="1:14" s="36" customFormat="1" x14ac:dyDescent="0.25">
      <c r="A309" s="46"/>
      <c r="B309" s="64" t="str">
        <f>VLOOKUP(C309,'Status Thresholds'!B:C,2,FALSE)</f>
        <v>MHGU</v>
      </c>
      <c r="C309" s="46" t="str">
        <f>IF(ISBLANK('KO Calc'!C305)=TRUE,"",'KO Calc'!C305)</f>
        <v>Fatalis (Crimson)</v>
      </c>
      <c r="D309" s="57" t="s">
        <v>22</v>
      </c>
      <c r="E309" s="62" t="str">
        <f t="shared" si="9"/>
        <v>Fatalis (Crimson)Exhaust</v>
      </c>
      <c r="F309" s="36" t="s">
        <v>8</v>
      </c>
      <c r="G309" s="36" t="str">
        <f t="shared" si="10"/>
        <v>Fatalis (Crimson)Exhaust lvl 2</v>
      </c>
      <c r="H309" s="36" t="str">
        <f>IFERROR(ROUNDUP(IF(AND($Q$1=FALSE,$S$3=FALSE),"-",IF(AND($Q$1=TRUE,$S$3=TRUE),"-",IF(AND($Q$1=TRUE,$S$1=TRUE,$S$4=FALSE),VLOOKUP($E309,'Status Thresholds'!$E:$AS,12,FALSE),IF(AND($Q$1=TRUE,$S$4=FALSE),VLOOKUP($E309,'Status Thresholds'!$E:$AS,2,FALSE), IF(AND($Q$1=TRUE,$S$1=TRUE,$S$4=TRUE),VLOOKUP($E309,'Status Thresholds'!$E:$AS,17,FALSE),IF(AND($Q$1=TRUE,$S$4=TRUE),VLOOKUP($E309,'Status Thresholds'!$E:$AS,7,FALSE),IF(AND($S$3=TRUE,$S$1=TRUE,$S$4=FALSE),VLOOKUP($E309,'Status Thresholds'!$E:$AS,32,FALSE),IF(AND($S$3=TRUE,$S$4=FALSE),VLOOKUP($E309,'Status Thresholds'!$E:$AS,22,FALSE),IF(AND($S$3=TRUE,$S$1=TRUE,$S$4=TRUE),VLOOKUP($E309,'Status Thresholds'!$E:$AS,37,FALSE),IF(AND($S$3=TRUE,$S$4=TRUE),VLOOKUP($E309,'Status Thresholds'!$E:$AS,27,FALSE),""))))))))/IF(OR($Q$3=TRUE,AND($Q$2=TRUE,$Q$7=TRUE),AND($Q$3=TRUE,$Q$7=TRUE))=TRUE,'Shots and Status'!$F$5,IF((OR($Q$2,$Q$7)=TRUE),'Shots and Status'!$D$5,'Shots and Status'!$C$5)))),0),"-")</f>
        <v>-</v>
      </c>
      <c r="I309" s="36" t="str">
        <f>IFERROR(ROUNDUP(IF(AND($Q$1=FALSE,$S$3=FALSE),"-",IF(AND($Q$1=TRUE,$S$3=TRUE),"-",IF(AND($Q$1=TRUE,$S$1=TRUE,$S$4=FALSE),VLOOKUP($E309,'Status Thresholds'!$E:$AS,13,FALSE),IF(AND($Q$1=TRUE,$S$4=FALSE),VLOOKUP($E309,'Status Thresholds'!$E:$AS,3,FALSE), IF(AND($Q$1=TRUE,$S$1=TRUE,$S$4=TRUE),VLOOKUP($E309,'Status Thresholds'!$E:$AS,18,FALSE),IF(AND($Q$1=TRUE,$S$4=TRUE),VLOOKUP($E309,'Status Thresholds'!$E:$AS,8,FALSE),IF(AND($S$3=TRUE,$S$1=TRUE,$S$4=FALSE),VLOOKUP($E309,'Status Thresholds'!$E:$AS,33,FALSE),IF(AND($S$3=TRUE,$S$4=FALSE),VLOOKUP($E309,'Status Thresholds'!$E:$AS,23,FALSE),IF(AND($S$3=TRUE,$S$1=TRUE,$S$4=TRUE),VLOOKUP($E309,'Status Thresholds'!$E:$AS,38,FALSE),IF(AND($S$3=TRUE,$S$4=TRUE),VLOOKUP($E309,'Status Thresholds'!$E:$AS,28,FALSE),""))))))))/IF(OR($Q$3=TRUE,AND($Q$2=TRUE,$Q$7=TRUE),AND($Q$3=TRUE,$Q$7=TRUE))=TRUE,'Shots and Status'!$F$5,IF((OR($Q$2,$Q$7)=TRUE),'Shots and Status'!$D$5,'Shots and Status'!$C$5)))),0),"-")</f>
        <v>-</v>
      </c>
      <c r="J309" s="36" t="str">
        <f>IFERROR(ROUNDUP(IF(AND($Q$1=FALSE,$S$3=FALSE),"-",IF(AND($Q$1=TRUE,$S$3=TRUE),"-",IF(AND($Q$1=TRUE,$S$1=TRUE,$S$4=FALSE),VLOOKUP($E309,'Status Thresholds'!$E:$AS,14,FALSE),IF(AND($Q$1=TRUE,$S$4=FALSE),VLOOKUP($E309,'Status Thresholds'!$E:$AS,4,FALSE), IF(AND($Q$1=TRUE,$S$1=TRUE,$S$4=TRUE),VLOOKUP($E309,'Status Thresholds'!$E:$AS,19,FALSE),IF(AND($Q$1=TRUE,$S$4=TRUE),VLOOKUP($E309,'Status Thresholds'!$E:$AS,9,FALSE),IF(AND($S$3=TRUE,$S$1=TRUE,$S$4=FALSE),VLOOKUP($E309,'Status Thresholds'!$E:$AS,34,FALSE),IF(AND($S$3=TRUE,$S$4=FALSE),VLOOKUP($E309,'Status Thresholds'!$E:$AS,24,FALSE),IF(AND($S$3=TRUE,$S$1=TRUE,$S$4=TRUE),VLOOKUP($E309,'Status Thresholds'!$E:$AS,39,FALSE),IF(AND($S$3=TRUE,$S$4=TRUE),VLOOKUP($E309,'Status Thresholds'!$E:$AS,29,FALSE),""))))))))/IF(OR($Q$3=TRUE,AND($Q$2=TRUE,$Q$7=TRUE),AND($Q$3=TRUE,$Q$7=TRUE))=TRUE,'Shots and Status'!$F$5,IF((OR($Q$2,$Q$7)=TRUE),'Shots and Status'!$D$5,'Shots and Status'!$C$5)))),0),"-")</f>
        <v>-</v>
      </c>
      <c r="K309" s="36" t="str">
        <f>IFERROR(ROUNDUP(IF(AND($Q$1=FALSE,$S$3=FALSE),"-",IF(AND($Q$1=TRUE,$S$3=TRUE),"-",IF(AND($Q$1=TRUE,$S$1=TRUE,$S$4=FALSE),VLOOKUP($E309,'Status Thresholds'!$E:$AS,15,FALSE),IF(AND($Q$1=TRUE,$S$4=FALSE),VLOOKUP($E309,'Status Thresholds'!$E:$AS,5,FALSE), IF(AND($Q$1=TRUE,$S$1=TRUE,$S$4=TRUE),VLOOKUP($E309,'Status Thresholds'!$E:$AS,20,FALSE),IF(AND($Q$1=TRUE,$S$4=TRUE),VLOOKUP($E309,'Status Thresholds'!$E:$AS,10,FALSE),IF(AND($S$3=TRUE,$S$1=TRUE,$S$4=FALSE),VLOOKUP($E309,'Status Thresholds'!$E:$AS,35,FALSE),IF(AND($S$3=TRUE,$S$4=FALSE),VLOOKUP($E309,'Status Thresholds'!$E:$AS,25,FALSE),IF(AND($S$3=TRUE,$S$1=TRUE,$S$4=TRUE),VLOOKUP($E309,'Status Thresholds'!$E:$AS,40,FALSE),IF(AND($S$3=TRUE,$S$4=TRUE),VLOOKUP($E309,'Status Thresholds'!$E:$AS,30,FALSE),""))))))))/IF(OR($Q$3=TRUE,AND($Q$2=TRUE,$Q$7=TRUE),AND($Q$3=TRUE,$Q$7=TRUE))=TRUE,'Shots and Status'!$F$5,IF((OR($Q$2,$Q$7)=TRUE),'Shots and Status'!$D$5,'Shots and Status'!$C$5)))),0),"-")</f>
        <v>-</v>
      </c>
      <c r="L309" s="36" t="str">
        <f>IFERROR(IF(AND($Q$1=FALSE,$S$3=FALSE),"-",VLOOKUP($E309,'Status Thresholds'!$E:$AU,41,FALSE)),"-")</f>
        <v>-</v>
      </c>
      <c r="M309" s="36" t="str">
        <f>IFERROR(IF(AND($Q$1=FALSE,$S$3=FALSE),"-",VLOOKUP($E309,'Status Thresholds'!$E:$AU,42,FALSE)),"-")</f>
        <v>-</v>
      </c>
      <c r="N309" s="36" t="str">
        <f>IFERROR(IF(AND($Q$1=FALSE,$S$3=FALSE),"-",VLOOKUP($E309,'Status Thresholds'!$E:$AU,43,FALSE)),"-")</f>
        <v>-</v>
      </c>
    </row>
    <row r="310" spans="1:14" s="36" customFormat="1" x14ac:dyDescent="0.25">
      <c r="A310" s="46"/>
      <c r="B310" s="64" t="str">
        <f>VLOOKUP(C310,'Status Thresholds'!B:C,2,FALSE)</f>
        <v>MHGU</v>
      </c>
      <c r="C310" s="46" t="str">
        <f>IF(ISBLANK('KO Calc'!C306)=TRUE,"",'KO Calc'!C306)</f>
        <v>Fatalis (Crimson)</v>
      </c>
      <c r="D310" s="67" t="s">
        <v>14</v>
      </c>
      <c r="E310" s="62" t="str">
        <f t="shared" si="9"/>
        <v>Fatalis (Crimson)KO</v>
      </c>
      <c r="F310" s="36" t="s">
        <v>21</v>
      </c>
      <c r="G310" s="36" t="str">
        <f t="shared" si="10"/>
        <v>Fatalis (Crimson)Triblast</v>
      </c>
      <c r="H310" s="36" t="str">
        <f>IF(AND($Q$1=FALSE,$S$3=FALSE),"-",IF(AND($Q$1=TRUE,$S$3=TRUE),"-",IF(AND($Q$1=FALSE,$S$3=FALSE),"-",IF(AND($Q$1=TRUE,$S$1=TRUE,$S$4=FALSE)=TRUE,IF(OR($Q$4=TRUE,$Q$5=TRUE,$S$2=TRUE),VLOOKUP($G310,'KO Calc'!$H:$AW,12,FALSE),VLOOKUP($G310,'KO Calc'!$H316:$AW316,12,FALSE)),IF(AND($Q$1=TRUE,$S$4=FALSE),IF(OR($Q$4=TRUE,$Q$5=TRUE,$S$2=TRUE),VLOOKUP($G310,'KO Calc'!$H:$AW,2,FALSE),VLOOKUP($G310,'KO Calc'!$H316:$AW316,2,FALSE)),
IF(AND($Q$1=TRUE,$S$1=TRUE,$S$4=TRUE)=TRUE,IF(OR($Q$4=TRUE,$Q$5=TRUE,$S$2=TRUE),VLOOKUP($G310,'KO Calc'!$H:$AW,17,FALSE),VLOOKUP($G310,'KO Calc'!$H316:$AW316,17,FALSE)),IF(AND($Q$1=TRUE,$S$4=TRUE),IF(OR($Q$4=TRUE,$Q$5=TRUE,$S$2=TRUE),VLOOKUP($G310,'KO Calc'!$H:$AW,7,FALSE),VLOOKUP($G310,'KO Calc'!$H316:$AW316,7,FALSE)),
IF(AND($S$3=TRUE,$S$1=TRUE,$S$4=FALSE)=TRUE,IF(OR($Q$4=TRUE,$Q$5=TRUE,$S$2=TRUE),VLOOKUP($G310,'KO Calc'!$H:$AW,32,FALSE),VLOOKUP($G310,'KO Calc'!$H316:$AW316,32,FALSE)),IF(AND($S$3=TRUE,$S$4=FALSE),IF(OR($Q$4=TRUE,$Q$5=TRUE,$S$2=TRUE),VLOOKUP($G310,'KO Calc'!$H:$AW,22,FALSE),VLOOKUP($G310,'KO Calc'!$H316:$AW316,22,FALSE)),
IF(AND($S$3=TRUE,$S$1=TRUE,$S$4=TRUE)=TRUE,IF(OR($Q$4=TRUE,$Q$5=TRUE,$S$2=TRUE),VLOOKUP($G310,'KO Calc'!$H:$AW,37,FALSE),VLOOKUP($G310,'KO Calc'!$H316:$AW316,37,FALSE)),IF(AND($S$3=TRUE,$S$4=TRUE),IF(OR($Q$4=TRUE,$Q$5=TRUE,$S$2=TRUE),VLOOKUP($G310,'KO Calc'!$H:$AW,27,FALSE),VLOOKUP($G310,'KO Calc'!$H316:$AW316,27,FALSE)))))))))))))</f>
        <v>-</v>
      </c>
      <c r="I310" s="36" t="str">
        <f>IF(AND($Q$1=FALSE,$S$3=FALSE),"-",IF(AND($Q$1=TRUE,$S$3=TRUE),"-",IF(AND($Q$1=FALSE,$S$3=FALSE),"-",IF(AND($Q$1=TRUE,$S$1=TRUE,$S$4=FALSE)=TRUE,IF(OR($Q$4=TRUE,$Q$5=TRUE,$S$2=TRUE),VLOOKUP($G310,'KO Calc'!$H:$AW,13,FALSE),VLOOKUP($G310,'KO Calc'!$H316:$AW316,13,FALSE)),IF(AND($Q$1=TRUE,$S$4=FALSE),IF(OR($Q$4=TRUE,$Q$5=TRUE,$S$2=TRUE),VLOOKUP($G310,'KO Calc'!$H:$AW,3,FALSE),VLOOKUP($G310,'KO Calc'!$H316:$AW316,3,FALSE)),
IF(AND($Q$1=TRUE,$S$1=TRUE,$S$4=TRUE)=TRUE,IF(OR($Q$4=TRUE,$Q$5=TRUE,$S$2=TRUE),VLOOKUP($G310,'KO Calc'!$H:$AW,18,FALSE),VLOOKUP($G310,'KO Calc'!$H316:$AW316,18,FALSE)),IF(AND($Q$1=TRUE,$S$4=TRUE),IF(OR($Q$4=TRUE,$Q$5=TRUE,$S$2=TRUE),VLOOKUP($G310,'KO Calc'!$H:$AW,8,FALSE),VLOOKUP($G310,'KO Calc'!$H316:$AW316,8,FALSE)),
IF(AND($S$3=TRUE,$S$1=TRUE,$S$4=FALSE)=TRUE,IF(OR($Q$4=TRUE,$Q$5=TRUE,$S$2=TRUE),VLOOKUP($G310,'KO Calc'!$H:$AW,33,FALSE),VLOOKUP($G310,'KO Calc'!$H316:$AW316,33,FALSE)),IF(AND($S$3=TRUE,$S$4=FALSE),IF(OR($Q$4=TRUE,$Q$5=TRUE,$S$2=TRUE),VLOOKUP($G310,'KO Calc'!$H:$AW,23,FALSE),VLOOKUP($G310,'KO Calc'!$H316:$AW316,23,FALSE)),
IF(AND($S$3=TRUE,$S$1=TRUE,$S$4=TRUE)=TRUE,IF(OR($Q$4=TRUE,$Q$5=TRUE,$S$2=TRUE),VLOOKUP($G310,'KO Calc'!$H:$AW,38,FALSE),VLOOKUP($G310,'KO Calc'!$H316:$AW316,38,FALSE)),IF(AND($S$3=TRUE,$S$4=TRUE),IF(OR($Q$4=TRUE,$Q$5=TRUE,$S$2=TRUE),VLOOKUP($G310,'KO Calc'!$H:$AW,28,FALSE),VLOOKUP($G310,'KO Calc'!$H316:$AW316,28,FALSE)))))))))))))</f>
        <v>-</v>
      </c>
      <c r="J310" s="36" t="str">
        <f>IF(AND($Q$1=FALSE,$S$3=FALSE),"-",IF(AND($Q$1=TRUE,$S$3=TRUE),"-",IF(AND($Q$1=FALSE,$S$3=FALSE),"-",IF(AND($Q$1=TRUE,$S$1=TRUE,$S$4=FALSE)=TRUE,IF(OR($Q$4=TRUE,$Q$5=TRUE,$S$2=TRUE),VLOOKUP($G310,'KO Calc'!$H:$AW,FALSE),VLOOKUP($G310,'KO Calc'!$H316:$AW316,14,FALSE)),IF(AND($Q$1=TRUE,$S$4=FALSE),IF(OR($Q$4=TRUE,$Q$5=TRUE,$S$2=TRUE),VLOOKUP($G310,'KO Calc'!$H:$AW,4,FALSE),VLOOKUP($G310,'KO Calc'!$H316:$AW316,4,FALSE)),
IF(AND($Q$1=TRUE,$S$1=TRUE,$S$4=TRUE)=TRUE,IF(OR($Q$4=TRUE,$Q$5=TRUE,$S$2=TRUE),VLOOKUP($G310,'KO Calc'!$H:$AW,19,FALSE),VLOOKUP($G310,'KO Calc'!$H316:$AW316,19,FALSE)),IF(AND($Q$1=TRUE,$S$4=TRUE),IF(OR($Q$4=TRUE,$Q$5=TRUE,$S$2=TRUE),VLOOKUP($G310,'KO Calc'!$H:$AW,9,FALSE),VLOOKUP($G310,'KO Calc'!$H316:$AW316,9,FALSE)),
IF(AND($S$3=TRUE,$S$1=TRUE,$S$4=FALSE)=TRUE,IF(OR($Q$4=TRUE,$Q$5=TRUE,$S$2=TRUE),VLOOKUP($G310,'KO Calc'!$H:$AW,34,FALSE),VLOOKUP($G310,'KO Calc'!$H316:$AW316,34,FALSE)),IF(AND($S$3=TRUE,$S$4=FALSE),IF(OR($Q$4=TRUE,$Q$5=TRUE,$S$2=TRUE),VLOOKUP($G310,'KO Calc'!$H:$AW,24,FALSE),VLOOKUP($G310,'KO Calc'!$H316:$AW316,24,FALSE)),
IF(AND($S$3=TRUE,$S$1=TRUE,$S$4=TRUE)=TRUE,IF(OR($Q$4=TRUE,$Q$5=TRUE,$S$2=TRUE),VLOOKUP($G310,'KO Calc'!$H:$AW,39,FALSE),VLOOKUP($G310,'KO Calc'!$H316:$AW316,39,FALSE)),IF(AND($S$3=TRUE,$S$4=TRUE),IF(OR($Q$4=TRUE,$Q$5=TRUE,$S$2=TRUE),VLOOKUP($G310,'KO Calc'!$H:$AW,29,FALSE),VLOOKUP($G310,'KO Calc'!$H316:$AW316,29,FALSE)))))))))))))</f>
        <v>-</v>
      </c>
      <c r="K310" s="36" t="str">
        <f>IF(AND($Q$1=FALSE,$S$3=FALSE),"-",IF(AND($Q$1=TRUE,$S$3=TRUE),"-",IF(AND($Q$1=FALSE,$S$3=FALSE),"-",IF(AND($Q$1=TRUE,$S$1=TRUE,$S$4=FALSE)=TRUE,IF(OR($Q$4=TRUE,$Q$5=TRUE,$S$2=TRUE),VLOOKUP($G310,'KO Calc'!$H:$AW,15,FALSE),VLOOKUP($G310,'KO Calc'!$H316:$AW316,15,FALSE)),IF(AND($Q$1=TRUE,$S$4=FALSE),IF(OR($Q$4=TRUE,$Q$5=TRUE,$S$2=TRUE),VLOOKUP($G310,'KO Calc'!$H:$AW,5,FALSE),VLOOKUP($G310,'KO Calc'!$H316:$AW316,5,FALSE)),
IF(AND($Q$1=TRUE,$S$1=TRUE,$S$4=TRUE)=TRUE,IF(OR($Q$4=TRUE,$Q$5=TRUE,$S$2=TRUE),VLOOKUP($G310,'KO Calc'!$H:$AW,20,FALSE),VLOOKUP($G310,'KO Calc'!$H316:$AW316,20,FALSE)),IF(AND($Q$1=TRUE,$S$4=TRUE),IF(OR($Q$4=TRUE,$Q$5=TRUE,$S$2=TRUE),VLOOKUP($G310,'KO Calc'!$H:$AW,10,FALSE),VLOOKUP($G310,'KO Calc'!$H316:$AW316,10,FALSE)),
IF(AND($S$3=TRUE,$S$1=TRUE,$S$4=FALSE)=TRUE,IF(OR($Q$4=TRUE,$Q$5=TRUE,$S$2=TRUE),VLOOKUP($G310,'KO Calc'!$H:$AW,35,FALSE),VLOOKUP($G310,'KO Calc'!$H316:$AW316,35,FALSE)),IF(AND($S$3=TRUE,$S$4=FALSE),IF(OR($Q$4=TRUE,$Q$5=TRUE,$S$2=TRUE),VLOOKUP($G310,'KO Calc'!$H:$AW,25,FALSE),VLOOKUP($G310,'KO Calc'!$H316:$AW316,25,FALSE)),
IF(AND($S$3=TRUE,$S$1=TRUE,$S$4=TRUE)=TRUE,IF(OR($Q$4=TRUE,$Q$5=TRUE,$S$2=TRUE),VLOOKUP($G310,'KO Calc'!$H:$AW,40,FALSE),VLOOKUP($G310,'KO Calc'!$H316:$AW316,40,FALSE)),IF(AND($S$3=TRUE,$S$4=TRUE),IF(OR($Q$4=TRUE,$Q$5=TRUE,$S$2=TRUE),VLOOKUP($G310,'KO Calc'!$H:$AW,30,FALSE),VLOOKUP($G310,'KO Calc'!$H316:$AW316,30,FALSE)))))))))))))</f>
        <v>-</v>
      </c>
      <c r="L310" s="36" t="str">
        <f>IFERROR(IF(AND($Q$1=FALSE,$S$3=FALSE),"-",VLOOKUP($E310,'Status Thresholds'!$E:$AU,41,FALSE)),"-")</f>
        <v>-</v>
      </c>
      <c r="M310" s="36" t="str">
        <f>IFERROR(IF(AND($Q$1=FALSE,$S$3=FALSE),"-",VLOOKUP($E310,'Status Thresholds'!$E:$AU,42,FALSE)),"-")</f>
        <v>-</v>
      </c>
      <c r="N310" s="36" t="str">
        <f>IFERROR(IF(AND($Q$1=FALSE,$S$3=FALSE),"-",VLOOKUP($E310,'Status Thresholds'!$E:$AU,43,FALSE)),"-")</f>
        <v>-</v>
      </c>
    </row>
    <row r="311" spans="1:14" x14ac:dyDescent="0.25">
      <c r="B311" s="64" t="str">
        <f>VLOOKUP(C311,'Status Thresholds'!B:C,2,FALSE)</f>
        <v>MHGU</v>
      </c>
      <c r="C311" s="46" t="str">
        <f>IF(ISBLANK('KO Calc'!C307)=TRUE,"",'KO Calc'!C307)</f>
        <v>Fatalis (Crimson)</v>
      </c>
      <c r="D311" s="78" t="s">
        <v>207</v>
      </c>
      <c r="E311" s="62" t="str">
        <f t="shared" si="9"/>
        <v>Fatalis (Crimson)Shock Trap</v>
      </c>
      <c r="F311" t="s">
        <v>13</v>
      </c>
      <c r="G311" s="36" t="str">
        <f t="shared" si="10"/>
        <v>Fatalis (Crimson)Crag 3</v>
      </c>
      <c r="H311" s="36" t="str">
        <f>IF(AND($Q$1=FALSE,$S$3=FALSE),"-",IF(AND($Q$1=TRUE,$S$3=TRUE),"-",IF(AND($Q$1=FALSE,$S$3=FALSE),"-",IF(AND($Q$1=TRUE,$S$1=TRUE,$S$4=FALSE)=TRUE,IF(OR($Q$4=TRUE,$Q$5=TRUE,$S$2=TRUE),VLOOKUP($G311,'KO Calc'!$H:$AW,12,FALSE),VLOOKUP($G311,'KO Calc'!$H317:$AW317,12,FALSE)),IF(AND($Q$1=TRUE,$S$4=FALSE),IF(OR($Q$4=TRUE,$Q$5=TRUE,$S$2=TRUE),VLOOKUP($G311,'KO Calc'!$H:$AW,2,FALSE),VLOOKUP($G311,'KO Calc'!$H317:$AW317,2,FALSE)),
IF(AND($Q$1=TRUE,$S$1=TRUE,$S$4=TRUE)=TRUE,IF(OR($Q$4=TRUE,$Q$5=TRUE,$S$2=TRUE),VLOOKUP($G311,'KO Calc'!$H:$AW,17,FALSE),VLOOKUP($G311,'KO Calc'!$H317:$AW317,17,FALSE)),IF(AND($Q$1=TRUE,$S$4=TRUE),IF(OR($Q$4=TRUE,$Q$5=TRUE,$S$2=TRUE),VLOOKUP($G311,'KO Calc'!$H:$AW,7,FALSE),VLOOKUP($G311,'KO Calc'!$H317:$AW317,7,FALSE)),
IF(AND($S$3=TRUE,$S$1=TRUE,$S$4=FALSE)=TRUE,IF(OR($Q$4=TRUE,$Q$5=TRUE,$S$2=TRUE),VLOOKUP($G311,'KO Calc'!$H:$AW,32,FALSE),VLOOKUP($G311,'KO Calc'!$H317:$AW317,32,FALSE)),IF(AND($S$3=TRUE,$S$4=FALSE),IF(OR($Q$4=TRUE,$Q$5=TRUE,$S$2=TRUE),VLOOKUP($G311,'KO Calc'!$H:$AW,22,FALSE),VLOOKUP($G311,'KO Calc'!$H317:$AW317,22,FALSE)),
IF(AND($S$3=TRUE,$S$1=TRUE,$S$4=TRUE)=TRUE,IF(OR($Q$4=TRUE,$Q$5=TRUE,$S$2=TRUE),VLOOKUP($G311,'KO Calc'!$H:$AW,37,FALSE),VLOOKUP($G311,'KO Calc'!$H317:$AW317,37,FALSE)),IF(AND($S$3=TRUE,$S$4=TRUE),IF(OR($Q$4=TRUE,$Q$5=TRUE,$S$2=TRUE),VLOOKUP($G311,'KO Calc'!$H:$AW,27,FALSE),VLOOKUP($G311,'KO Calc'!$H317:$AW317,27,FALSE)))))))))))))</f>
        <v>-</v>
      </c>
      <c r="I311" s="36" t="str">
        <f>IF(AND($Q$1=FALSE,$S$3=FALSE),"-",IF(AND($Q$1=TRUE,$S$3=TRUE),"-",IF(AND($Q$1=FALSE,$S$3=FALSE),"-",IF(AND($Q$1=TRUE,$S$1=TRUE,$S$4=FALSE)=TRUE,IF(OR($Q$4=TRUE,$Q$5=TRUE,$S$2=TRUE),VLOOKUP($G311,'KO Calc'!$H:$AW,13,FALSE),VLOOKUP($G311,'KO Calc'!$H317:$AW317,13,FALSE)),IF(AND($Q$1=TRUE,$S$4=FALSE),IF(OR($Q$4=TRUE,$Q$5=TRUE,$S$2=TRUE),VLOOKUP($G311,'KO Calc'!$H:$AW,3,FALSE),VLOOKUP($G311,'KO Calc'!$H317:$AW317,3,FALSE)),
IF(AND($Q$1=TRUE,$S$1=TRUE,$S$4=TRUE)=TRUE,IF(OR($Q$4=TRUE,$Q$5=TRUE,$S$2=TRUE),VLOOKUP($G311,'KO Calc'!$H:$AW,18,FALSE),VLOOKUP($G311,'KO Calc'!$H317:$AW317,18,FALSE)),IF(AND($Q$1=TRUE,$S$4=TRUE),IF(OR($Q$4=TRUE,$Q$5=TRUE,$S$2=TRUE),VLOOKUP($G311,'KO Calc'!$H:$AW,8,FALSE),VLOOKUP($G311,'KO Calc'!$H317:$AW317,8,FALSE)),
IF(AND($S$3=TRUE,$S$1=TRUE,$S$4=FALSE)=TRUE,IF(OR($Q$4=TRUE,$Q$5=TRUE,$S$2=TRUE),VLOOKUP($G311,'KO Calc'!$H:$AW,33,FALSE),VLOOKUP($G311,'KO Calc'!$H317:$AW317,33,FALSE)),IF(AND($S$3=TRUE,$S$4=FALSE),IF(OR($Q$4=TRUE,$Q$5=TRUE,$S$2=TRUE),VLOOKUP($G311,'KO Calc'!$H:$AW,23,FALSE),VLOOKUP($G311,'KO Calc'!$H317:$AW317,23,FALSE)),
IF(AND($S$3=TRUE,$S$1=TRUE,$S$4=TRUE)=TRUE,IF(OR($Q$4=TRUE,$Q$5=TRUE,$S$2=TRUE),VLOOKUP($G311,'KO Calc'!$H:$AW,38,FALSE),VLOOKUP($G311,'KO Calc'!$H317:$AW317,38,FALSE)),IF(AND($S$3=TRUE,$S$4=TRUE),IF(OR($Q$4=TRUE,$Q$5=TRUE,$S$2=TRUE),VLOOKUP($G311,'KO Calc'!$H:$AW,28,FALSE),VLOOKUP($G311,'KO Calc'!$H317:$AW317,28,FALSE)))))))))))))</f>
        <v>-</v>
      </c>
      <c r="J311" s="36" t="str">
        <f>IF(AND($Q$1=FALSE,$S$3=FALSE),"-",IF(AND($Q$1=TRUE,$S$3=TRUE),"-",IF(AND($Q$1=FALSE,$S$3=FALSE),"-",IF(AND($Q$1=TRUE,$S$1=TRUE,$S$4=FALSE)=TRUE,IF(OR($Q$4=TRUE,$Q$5=TRUE,$S$2=TRUE),VLOOKUP($G311,'KO Calc'!$H:$AW,FALSE),VLOOKUP($G311,'KO Calc'!$H317:$AW317,14,FALSE)),IF(AND($Q$1=TRUE,$S$4=FALSE),IF(OR($Q$4=TRUE,$Q$5=TRUE,$S$2=TRUE),VLOOKUP($G311,'KO Calc'!$H:$AW,4,FALSE),VLOOKUP($G311,'KO Calc'!$H317:$AW317,4,FALSE)),
IF(AND($Q$1=TRUE,$S$1=TRUE,$S$4=TRUE)=TRUE,IF(OR($Q$4=TRUE,$Q$5=TRUE,$S$2=TRUE),VLOOKUP($G311,'KO Calc'!$H:$AW,19,FALSE),VLOOKUP($G311,'KO Calc'!$H317:$AW317,19,FALSE)),IF(AND($Q$1=TRUE,$S$4=TRUE),IF(OR($Q$4=TRUE,$Q$5=TRUE,$S$2=TRUE),VLOOKUP($G311,'KO Calc'!$H:$AW,9,FALSE),VLOOKUP($G311,'KO Calc'!$H317:$AW317,9,FALSE)),
IF(AND($S$3=TRUE,$S$1=TRUE,$S$4=FALSE)=TRUE,IF(OR($Q$4=TRUE,$Q$5=TRUE,$S$2=TRUE),VLOOKUP($G311,'KO Calc'!$H:$AW,34,FALSE),VLOOKUP($G311,'KO Calc'!$H317:$AW317,34,FALSE)),IF(AND($S$3=TRUE,$S$4=FALSE),IF(OR($Q$4=TRUE,$Q$5=TRUE,$S$2=TRUE),VLOOKUP($G311,'KO Calc'!$H:$AW,24,FALSE),VLOOKUP($G311,'KO Calc'!$H317:$AW317,24,FALSE)),
IF(AND($S$3=TRUE,$S$1=TRUE,$S$4=TRUE)=TRUE,IF(OR($Q$4=TRUE,$Q$5=TRUE,$S$2=TRUE),VLOOKUP($G311,'KO Calc'!$H:$AW,39,FALSE),VLOOKUP($G311,'KO Calc'!$H317:$AW317,39,FALSE)),IF(AND($S$3=TRUE,$S$4=TRUE),IF(OR($Q$4=TRUE,$Q$5=TRUE,$S$2=TRUE),VLOOKUP($G311,'KO Calc'!$H:$AW,29,FALSE),VLOOKUP($G311,'KO Calc'!$H317:$AW317,29,FALSE)))))))))))))</f>
        <v>-</v>
      </c>
      <c r="K311" s="36" t="str">
        <f>IF(AND($Q$1=FALSE,$S$3=FALSE),"-",IF(AND($Q$1=TRUE,$S$3=TRUE),"-",IF(AND($Q$1=FALSE,$S$3=FALSE),"-",IF(AND($Q$1=TRUE,$S$1=TRUE,$S$4=FALSE)=TRUE,IF(OR($Q$4=TRUE,$Q$5=TRUE,$S$2=TRUE),VLOOKUP($G311,'KO Calc'!$H:$AW,15,FALSE),VLOOKUP($G311,'KO Calc'!$H317:$AW317,15,FALSE)),IF(AND($Q$1=TRUE,$S$4=FALSE),IF(OR($Q$4=TRUE,$Q$5=TRUE,$S$2=TRUE),VLOOKUP($G311,'KO Calc'!$H:$AW,5,FALSE),VLOOKUP($G311,'KO Calc'!$H317:$AW317,5,FALSE)),
IF(AND($Q$1=TRUE,$S$1=TRUE,$S$4=TRUE)=TRUE,IF(OR($Q$4=TRUE,$Q$5=TRUE,$S$2=TRUE),VLOOKUP($G311,'KO Calc'!$H:$AW,20,FALSE),VLOOKUP($G311,'KO Calc'!$H317:$AW317,20,FALSE)),IF(AND($Q$1=TRUE,$S$4=TRUE),IF(OR($Q$4=TRUE,$Q$5=TRUE,$S$2=TRUE),VLOOKUP($G311,'KO Calc'!$H:$AW,10,FALSE),VLOOKUP($G311,'KO Calc'!$H317:$AW317,10,FALSE)),
IF(AND($S$3=TRUE,$S$1=TRUE,$S$4=FALSE)=TRUE,IF(OR($Q$4=TRUE,$Q$5=TRUE,$S$2=TRUE),VLOOKUP($G311,'KO Calc'!$H:$AW,35,FALSE),VLOOKUP($G311,'KO Calc'!$H317:$AW317,35,FALSE)),IF(AND($S$3=TRUE,$S$4=FALSE),IF(OR($Q$4=TRUE,$Q$5=TRUE,$S$2=TRUE),VLOOKUP($G311,'KO Calc'!$H:$AW,25,FALSE),VLOOKUP($G311,'KO Calc'!$H317:$AW317,25,FALSE)),
IF(AND($S$3=TRUE,$S$1=TRUE,$S$4=TRUE)=TRUE,IF(OR($Q$4=TRUE,$Q$5=TRUE,$S$2=TRUE),VLOOKUP($G311,'KO Calc'!$H:$AW,40,FALSE),VLOOKUP($G311,'KO Calc'!$H317:$AW317,40,FALSE)),IF(AND($S$3=TRUE,$S$4=TRUE),IF(OR($Q$4=TRUE,$Q$5=TRUE,$S$2=TRUE),VLOOKUP($G311,'KO Calc'!$H:$AW,30,FALSE),VLOOKUP($G311,'KO Calc'!$H317:$AW317,30,FALSE)))))))))))))</f>
        <v>-</v>
      </c>
      <c r="L311" s="36" t="str">
        <f>IFERROR(IF(AND($Q$1=FALSE,$S$3=FALSE),"-",VLOOKUP($E311,'Status Thresholds'!$E:$AU,43,FALSE)),"-")</f>
        <v>-</v>
      </c>
      <c r="M311" s="36" t="str">
        <f>IFERROR(IF(AND($Q$1=FALSE,$S$3=FALSE),"-",VLOOKUP($E311,'Status Thresholds'!$E:$AU,41,FALSE)),"-")</f>
        <v>-</v>
      </c>
      <c r="N311" s="36" t="str">
        <f>IFERROR(IF(AND($Q$1=FALSE,$S$3=FALSE),"-",VLOOKUP($E311,'Status Thresholds'!$E:$AU,42,FALSE)),"-")</f>
        <v>-</v>
      </c>
    </row>
    <row r="312" spans="1:14" x14ac:dyDescent="0.25">
      <c r="B312" s="64" t="str">
        <f>VLOOKUP(C312,'Status Thresholds'!B:C,2,FALSE)</f>
        <v>MHGU</v>
      </c>
      <c r="C312" s="46" t="str">
        <f>IF(ISBLANK('KO Calc'!C308)=TRUE,"",'KO Calc'!C308)</f>
        <v>Fatalis (Crimson)</v>
      </c>
      <c r="D312" s="78" t="s">
        <v>213</v>
      </c>
      <c r="E312" s="62" t="str">
        <f t="shared" si="9"/>
        <v>Fatalis (Crimson)Pitfall Trap</v>
      </c>
      <c r="F312" t="s">
        <v>12</v>
      </c>
      <c r="G312" s="36" t="str">
        <f t="shared" si="10"/>
        <v>Fatalis (Crimson)Crag 2</v>
      </c>
      <c r="H312" s="36" t="str">
        <f>IF(AND($Q$1=FALSE,$S$3=FALSE),"-",IF(AND($Q$1=TRUE,$S$3=TRUE),"-",IF(AND($Q$1=FALSE,$S$3=FALSE),"-",IF(AND($Q$1=TRUE,$S$1=TRUE,$S$4=FALSE)=TRUE,IF(OR($Q$4=TRUE,$Q$5=TRUE,$S$2=TRUE),VLOOKUP($G312,'KO Calc'!$H:$AW,12,FALSE),VLOOKUP($G312,'KO Calc'!$H318:$AW318,12,FALSE)),IF(AND($Q$1=TRUE,$S$4=FALSE),IF(OR($Q$4=TRUE,$Q$5=TRUE,$S$2=TRUE),VLOOKUP($G312,'KO Calc'!$H:$AW,2,FALSE),VLOOKUP($G312,'KO Calc'!$H318:$AW318,2,FALSE)),
IF(AND($Q$1=TRUE,$S$1=TRUE,$S$4=TRUE)=TRUE,IF(OR($Q$4=TRUE,$Q$5=TRUE,$S$2=TRUE),VLOOKUP($G312,'KO Calc'!$H:$AW,17,FALSE),VLOOKUP($G312,'KO Calc'!$H318:$AW318,17,FALSE)),IF(AND($Q$1=TRUE,$S$4=TRUE),IF(OR($Q$4=TRUE,$Q$5=TRUE,$S$2=TRUE),VLOOKUP($G312,'KO Calc'!$H:$AW,7,FALSE),VLOOKUP($G312,'KO Calc'!$H318:$AW318,7,FALSE)),
IF(AND($S$3=TRUE,$S$1=TRUE,$S$4=FALSE)=TRUE,IF(OR($Q$4=TRUE,$Q$5=TRUE,$S$2=TRUE),VLOOKUP($G312,'KO Calc'!$H:$AW,32,FALSE),VLOOKUP($G312,'KO Calc'!$H318:$AW318,32,FALSE)),IF(AND($S$3=TRUE,$S$4=FALSE),IF(OR($Q$4=TRUE,$Q$5=TRUE,$S$2=TRUE),VLOOKUP($G312,'KO Calc'!$H:$AW,22,FALSE),VLOOKUP($G312,'KO Calc'!$H318:$AW318,22,FALSE)),
IF(AND($S$3=TRUE,$S$1=TRUE,$S$4=TRUE)=TRUE,IF(OR($Q$4=TRUE,$Q$5=TRUE,$S$2=TRUE),VLOOKUP($G312,'KO Calc'!$H:$AW,37,FALSE),VLOOKUP($G312,'KO Calc'!$H318:$AW318,37,FALSE)),IF(AND($S$3=TRUE,$S$4=TRUE),IF(OR($Q$4=TRUE,$Q$5=TRUE,$S$2=TRUE),VLOOKUP($G312,'KO Calc'!$H:$AW,27,FALSE),VLOOKUP($G312,'KO Calc'!$H318:$AW318,27,FALSE)))))))))))))</f>
        <v>-</v>
      </c>
      <c r="I312" s="36" t="str">
        <f>IF(AND($Q$1=FALSE,$S$3=FALSE),"-",IF(AND($Q$1=TRUE,$S$3=TRUE),"-",IF(AND($Q$1=FALSE,$S$3=FALSE),"-",IF(AND($Q$1=TRUE,$S$1=TRUE,$S$4=FALSE)=TRUE,IF(OR($Q$4=TRUE,$Q$5=TRUE,$S$2=TRUE),VLOOKUP($G312,'KO Calc'!$H:$AW,13,FALSE),VLOOKUP($G312,'KO Calc'!$H318:$AW318,13,FALSE)),IF(AND($Q$1=TRUE,$S$4=FALSE),IF(OR($Q$4=TRUE,$Q$5=TRUE,$S$2=TRUE),VLOOKUP($G312,'KO Calc'!$H:$AW,3,FALSE),VLOOKUP($G312,'KO Calc'!$H318:$AW318,3,FALSE)),
IF(AND($Q$1=TRUE,$S$1=TRUE,$S$4=TRUE)=TRUE,IF(OR($Q$4=TRUE,$Q$5=TRUE,$S$2=TRUE),VLOOKUP($G312,'KO Calc'!$H:$AW,18,FALSE),VLOOKUP($G312,'KO Calc'!$H318:$AW318,18,FALSE)),IF(AND($Q$1=TRUE,$S$4=TRUE),IF(OR($Q$4=TRUE,$Q$5=TRUE,$S$2=TRUE),VLOOKUP($G312,'KO Calc'!$H:$AW,8,FALSE),VLOOKUP($G312,'KO Calc'!$H318:$AW318,8,FALSE)),
IF(AND($S$3=TRUE,$S$1=TRUE,$S$4=FALSE)=TRUE,IF(OR($Q$4=TRUE,$Q$5=TRUE,$S$2=TRUE),VLOOKUP($G312,'KO Calc'!$H:$AW,33,FALSE),VLOOKUP($G312,'KO Calc'!$H318:$AW318,33,FALSE)),IF(AND($S$3=TRUE,$S$4=FALSE),IF(OR($Q$4=TRUE,$Q$5=TRUE,$S$2=TRUE),VLOOKUP($G312,'KO Calc'!$H:$AW,23,FALSE),VLOOKUP($G312,'KO Calc'!$H318:$AW318,23,FALSE)),
IF(AND($S$3=TRUE,$S$1=TRUE,$S$4=TRUE)=TRUE,IF(OR($Q$4=TRUE,$Q$5=TRUE,$S$2=TRUE),VLOOKUP($G312,'KO Calc'!$H:$AW,38,FALSE),VLOOKUP($G312,'KO Calc'!$H318:$AW318,38,FALSE)),IF(AND($S$3=TRUE,$S$4=TRUE),IF(OR($Q$4=TRUE,$Q$5=TRUE,$S$2=TRUE),VLOOKUP($G312,'KO Calc'!$H:$AW,28,FALSE),VLOOKUP($G312,'KO Calc'!$H318:$AW318,28,FALSE)))))))))))))</f>
        <v>-</v>
      </c>
      <c r="J312" s="36" t="str">
        <f>IF(AND($Q$1=FALSE,$S$3=FALSE),"-",IF(AND($Q$1=TRUE,$S$3=TRUE),"-",IF(AND($Q$1=FALSE,$S$3=FALSE),"-",IF(AND($Q$1=TRUE,$S$1=TRUE,$S$4=FALSE)=TRUE,IF(OR($Q$4=TRUE,$Q$5=TRUE,$S$2=TRUE),VLOOKUP($G312,'KO Calc'!$H:$AW,FALSE),VLOOKUP($G312,'KO Calc'!$H318:$AW318,14,FALSE)),IF(AND($Q$1=TRUE,$S$4=FALSE),IF(OR($Q$4=TRUE,$Q$5=TRUE,$S$2=TRUE),VLOOKUP($G312,'KO Calc'!$H:$AW,4,FALSE),VLOOKUP($G312,'KO Calc'!$H318:$AW318,4,FALSE)),
IF(AND($Q$1=TRUE,$S$1=TRUE,$S$4=TRUE)=TRUE,IF(OR($Q$4=TRUE,$Q$5=TRUE,$S$2=TRUE),VLOOKUP($G312,'KO Calc'!$H:$AW,19,FALSE),VLOOKUP($G312,'KO Calc'!$H318:$AW318,19,FALSE)),IF(AND($Q$1=TRUE,$S$4=TRUE),IF(OR($Q$4=TRUE,$Q$5=TRUE,$S$2=TRUE),VLOOKUP($G312,'KO Calc'!$H:$AW,9,FALSE),VLOOKUP($G312,'KO Calc'!$H318:$AW318,9,FALSE)),
IF(AND($S$3=TRUE,$S$1=TRUE,$S$4=FALSE)=TRUE,IF(OR($Q$4=TRUE,$Q$5=TRUE,$S$2=TRUE),VLOOKUP($G312,'KO Calc'!$H:$AW,34,FALSE),VLOOKUP($G312,'KO Calc'!$H318:$AW318,34,FALSE)),IF(AND($S$3=TRUE,$S$4=FALSE),IF(OR($Q$4=TRUE,$Q$5=TRUE,$S$2=TRUE),VLOOKUP($G312,'KO Calc'!$H:$AW,24,FALSE),VLOOKUP($G312,'KO Calc'!$H318:$AW318,24,FALSE)),
IF(AND($S$3=TRUE,$S$1=TRUE,$S$4=TRUE)=TRUE,IF(OR($Q$4=TRUE,$Q$5=TRUE,$S$2=TRUE),VLOOKUP($G312,'KO Calc'!$H:$AW,39,FALSE),VLOOKUP($G312,'KO Calc'!$H318:$AW318,39,FALSE)),IF(AND($S$3=TRUE,$S$4=TRUE),IF(OR($Q$4=TRUE,$Q$5=TRUE,$S$2=TRUE),VLOOKUP($G312,'KO Calc'!$H:$AW,29,FALSE),VLOOKUP($G312,'KO Calc'!$H318:$AW318,29,FALSE)))))))))))))</f>
        <v>-</v>
      </c>
      <c r="K312" s="36" t="str">
        <f>IF(AND($Q$1=FALSE,$S$3=FALSE),"-",IF(AND($Q$1=TRUE,$S$3=TRUE),"-",IF(AND($Q$1=FALSE,$S$3=FALSE),"-",IF(AND($Q$1=TRUE,$S$1=TRUE,$S$4=FALSE)=TRUE,IF(OR($Q$4=TRUE,$Q$5=TRUE,$S$2=TRUE),VLOOKUP($G312,'KO Calc'!$H:$AW,15,FALSE),VLOOKUP($G312,'KO Calc'!$H318:$AW318,15,FALSE)),IF(AND($Q$1=TRUE,$S$4=FALSE),IF(OR($Q$4=TRUE,$Q$5=TRUE,$S$2=TRUE),VLOOKUP($G312,'KO Calc'!$H:$AW,5,FALSE),VLOOKUP($G312,'KO Calc'!$H318:$AW318,5,FALSE)),
IF(AND($Q$1=TRUE,$S$1=TRUE,$S$4=TRUE)=TRUE,IF(OR($Q$4=TRUE,$Q$5=TRUE,$S$2=TRUE),VLOOKUP($G312,'KO Calc'!$H:$AW,20,FALSE),VLOOKUP($G312,'KO Calc'!$H318:$AW318,20,FALSE)),IF(AND($Q$1=TRUE,$S$4=TRUE),IF(OR($Q$4=TRUE,$Q$5=TRUE,$S$2=TRUE),VLOOKUP($G312,'KO Calc'!$H:$AW,10,FALSE),VLOOKUP($G312,'KO Calc'!$H318:$AW318,10,FALSE)),
IF(AND($S$3=TRUE,$S$1=TRUE,$S$4=FALSE)=TRUE,IF(OR($Q$4=TRUE,$Q$5=TRUE,$S$2=TRUE),VLOOKUP($G312,'KO Calc'!$H:$AW,35,FALSE),VLOOKUP($G312,'KO Calc'!$H318:$AW318,35,FALSE)),IF(AND($S$3=TRUE,$S$4=FALSE),IF(OR($Q$4=TRUE,$Q$5=TRUE,$S$2=TRUE),VLOOKUP($G312,'KO Calc'!$H:$AW,25,FALSE),VLOOKUP($G312,'KO Calc'!$H318:$AW318,25,FALSE)),
IF(AND($S$3=TRUE,$S$1=TRUE,$S$4=TRUE)=TRUE,IF(OR($Q$4=TRUE,$Q$5=TRUE,$S$2=TRUE),VLOOKUP($G312,'KO Calc'!$H:$AW,40,FALSE),VLOOKUP($G312,'KO Calc'!$H318:$AW318,40,FALSE)),IF(AND($S$3=TRUE,$S$4=TRUE),IF(OR($Q$4=TRUE,$Q$5=TRUE,$S$2=TRUE),VLOOKUP($G312,'KO Calc'!$H:$AW,30,FALSE),VLOOKUP($G312,'KO Calc'!$H318:$AW318,30,FALSE)))))))))))))</f>
        <v>-</v>
      </c>
      <c r="L312" s="36" t="str">
        <f>IFERROR(IF(AND($Q$1=FALSE,$S$3=FALSE),"-",VLOOKUP($E312,'Status Thresholds'!$E:$AU,43,FALSE)),"-")</f>
        <v>-</v>
      </c>
      <c r="M312" s="36" t="str">
        <f>IFERROR(IF(AND($Q$1=FALSE,$S$3=FALSE),"-",VLOOKUP($E312,'Status Thresholds'!$E:$AU,41,FALSE)),"-")</f>
        <v>-</v>
      </c>
      <c r="N312" s="36" t="str">
        <f>IFERROR(IF(AND($Q$1=FALSE,$S$3=FALSE),"-",VLOOKUP($E312,'Status Thresholds'!$E:$AU,42,FALSE)),"-")</f>
        <v>-</v>
      </c>
    </row>
    <row r="313" spans="1:14" x14ac:dyDescent="0.25">
      <c r="B313" s="64" t="str">
        <f>VLOOKUP(C313,'Status Thresholds'!B:C,2,FALSE)</f>
        <v>MHGU</v>
      </c>
      <c r="C313" s="46" t="str">
        <f>IF(ISBLANK('KO Calc'!C309)=TRUE,"",'KO Calc'!C309)</f>
        <v>Fatalis (Crimson)</v>
      </c>
      <c r="D313" s="78"/>
      <c r="E313" s="62" t="str">
        <f t="shared" si="9"/>
        <v>Fatalis (Crimson)</v>
      </c>
      <c r="F313" t="s">
        <v>11</v>
      </c>
      <c r="G313" s="36" t="str">
        <f t="shared" si="10"/>
        <v>Fatalis (Crimson)Crag 1</v>
      </c>
      <c r="H313" s="36" t="str">
        <f>IF(AND($Q$1=FALSE,$S$3=FALSE),"-",IF(AND($Q$1=TRUE,$S$3=TRUE),"-",IF(AND($Q$1=FALSE,$S$3=FALSE),"-",IF(AND($Q$1=TRUE,$S$1=TRUE,$S$4=FALSE)=TRUE,IF(OR($Q$4=TRUE,$Q$5=TRUE,$S$2=TRUE),VLOOKUP($G313,'KO Calc'!$H:$AW,12,FALSE),VLOOKUP($G313,'KO Calc'!$H319:$AW319,12,FALSE)),IF(AND($Q$1=TRUE,$S$4=FALSE),IF(OR($Q$4=TRUE,$Q$5=TRUE,$S$2=TRUE),VLOOKUP($G313,'KO Calc'!$H:$AW,2,FALSE),VLOOKUP($G313,'KO Calc'!$H319:$AW319,2,FALSE)),
IF(AND($Q$1=TRUE,$S$1=TRUE,$S$4=TRUE)=TRUE,IF(OR($Q$4=TRUE,$Q$5=TRUE,$S$2=TRUE),VLOOKUP($G313,'KO Calc'!$H:$AW,17,FALSE),VLOOKUP($G313,'KO Calc'!$H319:$AW319,17,FALSE)),IF(AND($Q$1=TRUE,$S$4=TRUE),IF(OR($Q$4=TRUE,$Q$5=TRUE,$S$2=TRUE),VLOOKUP($G313,'KO Calc'!$H:$AW,7,FALSE),VLOOKUP($G313,'KO Calc'!$H319:$AW319,7,FALSE)),
IF(AND($S$3=TRUE,$S$1=TRUE,$S$4=FALSE)=TRUE,IF(OR($Q$4=TRUE,$Q$5=TRUE,$S$2=TRUE),VLOOKUP($G313,'KO Calc'!$H:$AW,32,FALSE),VLOOKUP($G313,'KO Calc'!$H319:$AW319,32,FALSE)),IF(AND($S$3=TRUE,$S$4=FALSE),IF(OR($Q$4=TRUE,$Q$5=TRUE,$S$2=TRUE),VLOOKUP($G313,'KO Calc'!$H:$AW,22,FALSE),VLOOKUP($G313,'KO Calc'!$H319:$AW319,22,FALSE)),
IF(AND($S$3=TRUE,$S$1=TRUE,$S$4=TRUE)=TRUE,IF(OR($Q$4=TRUE,$Q$5=TRUE,$S$2=TRUE),VLOOKUP($G313,'KO Calc'!$H:$AW,37,FALSE),VLOOKUP($G313,'KO Calc'!$H319:$AW319,37,FALSE)),IF(AND($S$3=TRUE,$S$4=TRUE),IF(OR($Q$4=TRUE,$Q$5=TRUE,$S$2=TRUE),VLOOKUP($G313,'KO Calc'!$H:$AW,27,FALSE),VLOOKUP($G313,'KO Calc'!$H319:$AW319,27,FALSE)))))))))))))</f>
        <v>-</v>
      </c>
      <c r="I313" s="36" t="str">
        <f>IF(AND($Q$1=FALSE,$S$3=FALSE),"-",IF(AND($Q$1=TRUE,$S$3=TRUE),"-",IF(AND($Q$1=FALSE,$S$3=FALSE),"-",IF(AND($Q$1=TRUE,$S$1=TRUE,$S$4=FALSE)=TRUE,IF(OR($Q$4=TRUE,$Q$5=TRUE,$S$2=TRUE),VLOOKUP($G313,'KO Calc'!$H:$AW,13,FALSE),VLOOKUP($G313,'KO Calc'!$H319:$AW319,13,FALSE)),IF(AND($Q$1=TRUE,$S$4=FALSE),IF(OR($Q$4=TRUE,$Q$5=TRUE,$S$2=TRUE),VLOOKUP($G313,'KO Calc'!$H:$AW,3,FALSE),VLOOKUP($G313,'KO Calc'!$H319:$AW319,3,FALSE)),
IF(AND($Q$1=TRUE,$S$1=TRUE,$S$4=TRUE)=TRUE,IF(OR($Q$4=TRUE,$Q$5=TRUE,$S$2=TRUE),VLOOKUP($G313,'KO Calc'!$H:$AW,18,FALSE),VLOOKUP($G313,'KO Calc'!$H319:$AW319,18,FALSE)),IF(AND($Q$1=TRUE,$S$4=TRUE),IF(OR($Q$4=TRUE,$Q$5=TRUE,$S$2=TRUE),VLOOKUP($G313,'KO Calc'!$H:$AW,8,FALSE),VLOOKUP($G313,'KO Calc'!$H319:$AW319,8,FALSE)),
IF(AND($S$3=TRUE,$S$1=TRUE,$S$4=FALSE)=TRUE,IF(OR($Q$4=TRUE,$Q$5=TRUE,$S$2=TRUE),VLOOKUP($G313,'KO Calc'!$H:$AW,33,FALSE),VLOOKUP($G313,'KO Calc'!$H319:$AW319,33,FALSE)),IF(AND($S$3=TRUE,$S$4=FALSE),IF(OR($Q$4=TRUE,$Q$5=TRUE,$S$2=TRUE),VLOOKUP($G313,'KO Calc'!$H:$AW,23,FALSE),VLOOKUP($G313,'KO Calc'!$H319:$AW319,23,FALSE)),
IF(AND($S$3=TRUE,$S$1=TRUE,$S$4=TRUE)=TRUE,IF(OR($Q$4=TRUE,$Q$5=TRUE,$S$2=TRUE),VLOOKUP($G313,'KO Calc'!$H:$AW,38,FALSE),VLOOKUP($G313,'KO Calc'!$H319:$AW319,38,FALSE)),IF(AND($S$3=TRUE,$S$4=TRUE),IF(OR($Q$4=TRUE,$Q$5=TRUE,$S$2=TRUE),VLOOKUP($G313,'KO Calc'!$H:$AW,28,FALSE),VLOOKUP($G313,'KO Calc'!$H319:$AW319,28,FALSE)))))))))))))</f>
        <v>-</v>
      </c>
      <c r="J313" s="36" t="str">
        <f>IF(AND($Q$1=FALSE,$S$3=FALSE),"-",IF(AND($Q$1=TRUE,$S$3=TRUE),"-",IF(AND($Q$1=FALSE,$S$3=FALSE),"-",IF(AND($Q$1=TRUE,$S$1=TRUE,$S$4=FALSE)=TRUE,IF(OR($Q$4=TRUE,$Q$5=TRUE,$S$2=TRUE),VLOOKUP($G313,'KO Calc'!$H:$AW,FALSE),VLOOKUP($G313,'KO Calc'!$H319:$AW319,14,FALSE)),IF(AND($Q$1=TRUE,$S$4=FALSE),IF(OR($Q$4=TRUE,$Q$5=TRUE,$S$2=TRUE),VLOOKUP($G313,'KO Calc'!$H:$AW,4,FALSE),VLOOKUP($G313,'KO Calc'!$H319:$AW319,4,FALSE)),
IF(AND($Q$1=TRUE,$S$1=TRUE,$S$4=TRUE)=TRUE,IF(OR($Q$4=TRUE,$Q$5=TRUE,$S$2=TRUE),VLOOKUP($G313,'KO Calc'!$H:$AW,19,FALSE),VLOOKUP($G313,'KO Calc'!$H319:$AW319,19,FALSE)),IF(AND($Q$1=TRUE,$S$4=TRUE),IF(OR($Q$4=TRUE,$Q$5=TRUE,$S$2=TRUE),VLOOKUP($G313,'KO Calc'!$H:$AW,9,FALSE),VLOOKUP($G313,'KO Calc'!$H319:$AW319,9,FALSE)),
IF(AND($S$3=TRUE,$S$1=TRUE,$S$4=FALSE)=TRUE,IF(OR($Q$4=TRUE,$Q$5=TRUE,$S$2=TRUE),VLOOKUP($G313,'KO Calc'!$H:$AW,34,FALSE),VLOOKUP($G313,'KO Calc'!$H319:$AW319,34,FALSE)),IF(AND($S$3=TRUE,$S$4=FALSE),IF(OR($Q$4=TRUE,$Q$5=TRUE,$S$2=TRUE),VLOOKUP($G313,'KO Calc'!$H:$AW,24,FALSE),VLOOKUP($G313,'KO Calc'!$H319:$AW319,24,FALSE)),
IF(AND($S$3=TRUE,$S$1=TRUE,$S$4=TRUE)=TRUE,IF(OR($Q$4=TRUE,$Q$5=TRUE,$S$2=TRUE),VLOOKUP($G313,'KO Calc'!$H:$AW,39,FALSE),VLOOKUP($G313,'KO Calc'!$H319:$AW319,39,FALSE)),IF(AND($S$3=TRUE,$S$4=TRUE),IF(OR($Q$4=TRUE,$Q$5=TRUE,$S$2=TRUE),VLOOKUP($G313,'KO Calc'!$H:$AW,29,FALSE),VLOOKUP($G313,'KO Calc'!$H319:$AW319,29,FALSE)))))))))))))</f>
        <v>-</v>
      </c>
      <c r="K313" s="36" t="str">
        <f>IF(AND($Q$1=FALSE,$S$3=FALSE),"-",IF(AND($Q$1=TRUE,$S$3=TRUE),"-",IF(AND($Q$1=FALSE,$S$3=FALSE),"-",IF(AND($Q$1=TRUE,$S$1=TRUE,$S$4=FALSE)=TRUE,IF(OR($Q$4=TRUE,$Q$5=TRUE,$S$2=TRUE),VLOOKUP($G313,'KO Calc'!$H:$AW,15,FALSE),VLOOKUP($G313,'KO Calc'!$H319:$AW319,15,FALSE)),IF(AND($Q$1=TRUE,$S$4=FALSE),IF(OR($Q$4=TRUE,$Q$5=TRUE,$S$2=TRUE),VLOOKUP($G313,'KO Calc'!$H:$AW,5,FALSE),VLOOKUP($G313,'KO Calc'!$H319:$AW319,5,FALSE)),
IF(AND($Q$1=TRUE,$S$1=TRUE,$S$4=TRUE)=TRUE,IF(OR($Q$4=TRUE,$Q$5=TRUE,$S$2=TRUE),VLOOKUP($G313,'KO Calc'!$H:$AW,20,FALSE),VLOOKUP($G313,'KO Calc'!$H319:$AW319,20,FALSE)),IF(AND($Q$1=TRUE,$S$4=TRUE),IF(OR($Q$4=TRUE,$Q$5=TRUE,$S$2=TRUE),VLOOKUP($G313,'KO Calc'!$H:$AW,10,FALSE),VLOOKUP($G313,'KO Calc'!$H319:$AW319,10,FALSE)),
IF(AND($S$3=TRUE,$S$1=TRUE,$S$4=FALSE)=TRUE,IF(OR($Q$4=TRUE,$Q$5=TRUE,$S$2=TRUE),VLOOKUP($G313,'KO Calc'!$H:$AW,35,FALSE),VLOOKUP($G313,'KO Calc'!$H319:$AW319,35,FALSE)),IF(AND($S$3=TRUE,$S$4=FALSE),IF(OR($Q$4=TRUE,$Q$5=TRUE,$S$2=TRUE),VLOOKUP($G313,'KO Calc'!$H:$AW,25,FALSE),VLOOKUP($G313,'KO Calc'!$H319:$AW319,25,FALSE)),
IF(AND($S$3=TRUE,$S$1=TRUE,$S$4=TRUE)=TRUE,IF(OR($Q$4=TRUE,$Q$5=TRUE,$S$2=TRUE),VLOOKUP($G313,'KO Calc'!$H:$AW,40,FALSE),VLOOKUP($G313,'KO Calc'!$H319:$AW319,40,FALSE)),IF(AND($S$3=TRUE,$S$4=TRUE),IF(OR($Q$4=TRUE,$Q$5=TRUE,$S$2=TRUE),VLOOKUP($G313,'KO Calc'!$H:$AW,30,FALSE),VLOOKUP($G313,'KO Calc'!$H319:$AW319,30,FALSE)))))))))))))</f>
        <v>-</v>
      </c>
      <c r="L313" s="36" t="str">
        <f>IFERROR(VLOOKUP($E313,'Status Thresholds'!$E:$AS,41,FALSE),"-")</f>
        <v>-</v>
      </c>
    </row>
    <row r="314" spans="1:14" x14ac:dyDescent="0.25">
      <c r="B314" s="64" t="str">
        <f>VLOOKUP(C314,'Status Thresholds'!B:C,2,FALSE)</f>
        <v>MHGU</v>
      </c>
      <c r="C314" s="46" t="str">
        <f>IF(ISBLANK('KO Calc'!C310)=TRUE,"",'KO Calc'!C310)</f>
        <v>Fatalis (Crimson)</v>
      </c>
      <c r="D314" s="78"/>
      <c r="E314" s="62"/>
      <c r="G314" s="36"/>
      <c r="L314" s="36" t="str">
        <f>IFERROR(VLOOKUP($E314,'Status Thresholds'!$E:$AS,41,FALSE),"-")</f>
        <v>-</v>
      </c>
    </row>
    <row r="315" spans="1:14" s="36" customFormat="1" x14ac:dyDescent="0.25">
      <c r="B315" s="64" t="str">
        <f>VLOOKUP(C315,'Status Thresholds'!B:C,2,FALSE)</f>
        <v>MHGU</v>
      </c>
      <c r="C315" s="46" t="str">
        <f>IF(ISBLANK('KO Calc'!C311)=TRUE,"",'KO Calc'!C311)</f>
        <v>Fatalis (White, Old)</v>
      </c>
      <c r="D315" s="65" t="s">
        <v>0</v>
      </c>
      <c r="E315" s="62" t="str">
        <f t="shared" si="9"/>
        <v>Fatalis (White, Old)Para</v>
      </c>
      <c r="F315" s="36" t="s">
        <v>2</v>
      </c>
      <c r="G315" s="36" t="str">
        <f t="shared" si="10"/>
        <v>Fatalis (White, Old)Para lvl 2</v>
      </c>
      <c r="H315" s="36" t="str">
        <f>IFERROR(ROUNDUP(IF(AND($Q$1=FALSE,$S$3=FALSE),"-",IF(AND($Q$1=TRUE,$S$3=TRUE),"-",IF(AND($Q$1=TRUE,$S$1=TRUE,$S$4=FALSE),VLOOKUP($E315,'Status Thresholds'!$E:$AS,12,FALSE),IF(AND($Q$1=TRUE,$S$4=FALSE),VLOOKUP($E315,'Status Thresholds'!$E:$AS,2,FALSE), IF(AND($Q$1=TRUE,$S$1=TRUE,$S$4=TRUE),VLOOKUP($E315,'Status Thresholds'!$E:$AS,17,FALSE),IF(AND($Q$1=TRUE,$S$4=TRUE),VLOOKUP($E315,'Status Thresholds'!$E:$AS,7,FALSE),IF(AND($S$3=TRUE,$S$1=TRUE,$S$4=FALSE),VLOOKUP($E315,'Status Thresholds'!$E:$AS,32,FALSE),IF(AND($S$3=TRUE,$S$4=FALSE),VLOOKUP($E315,'Status Thresholds'!$E:$AS,22,FALSE),IF(AND($S$3=TRUE,$S$1=TRUE,$S$4=TRUE),VLOOKUP($E315,'Status Thresholds'!$E:$AS,37,FALSE),IF(AND($S$3=TRUE,$S$4=TRUE),VLOOKUP($E315,'Status Thresholds'!$E:$AS,27,FALSE),""))))))))/IF(OR($Q$3=TRUE,AND($Q$2=TRUE,$Q$7=TRUE),AND($Q$3=TRUE,$Q$7=TRUE))=TRUE,'Shots and Status'!$F$5,IF((OR($Q$2,$Q$7)=TRUE),'Shots and Status'!$D$5,'Shots and Status'!$C$5)))),0),"-")</f>
        <v>-</v>
      </c>
      <c r="I315" s="36" t="str">
        <f>IFERROR(ROUNDUP(IF(AND($Q$1=FALSE,$S$3=FALSE),"-",IF(AND($Q$1=TRUE,$S$3=TRUE),"-",IF(AND($Q$1=TRUE,$S$1=TRUE,$S$4=FALSE),VLOOKUP($E315,'Status Thresholds'!$E:$AS,13,FALSE),IF(AND($Q$1=TRUE,$S$4=FALSE),VLOOKUP($E315,'Status Thresholds'!$E:$AS,3,FALSE), IF(AND($Q$1=TRUE,$S$1=TRUE,$S$4=TRUE),VLOOKUP($E315,'Status Thresholds'!$E:$AS,18,FALSE),IF(AND($Q$1=TRUE,$S$4=TRUE),VLOOKUP($E315,'Status Thresholds'!$E:$AS,8,FALSE),IF(AND($S$3=TRUE,$S$1=TRUE,$S$4=FALSE),VLOOKUP($E315,'Status Thresholds'!$E:$AS,33,FALSE),IF(AND($S$3=TRUE,$S$4=FALSE),VLOOKUP($E315,'Status Thresholds'!$E:$AS,23,FALSE),IF(AND($S$3=TRUE,$S$1=TRUE,$S$4=TRUE),VLOOKUP($E315,'Status Thresholds'!$E:$AS,38,FALSE),IF(AND($S$3=TRUE,$S$4=TRUE),VLOOKUP($E315,'Status Thresholds'!$E:$AS,28,FALSE),""))))))))/IF(OR($Q$3=TRUE,AND($Q$2=TRUE,$Q$7=TRUE),AND($Q$3=TRUE,$Q$7=TRUE))=TRUE,'Shots and Status'!$F$5,IF((OR($Q$2,$Q$7)=TRUE),'Shots and Status'!$D$5,'Shots and Status'!$C$5)))),0),"-")</f>
        <v>-</v>
      </c>
      <c r="J315" s="36" t="str">
        <f>IFERROR(ROUNDUP(IF(AND($Q$1=FALSE,$S$3=FALSE),"-",IF(AND($Q$1=TRUE,$S$3=TRUE),"-",IF(AND($Q$1=TRUE,$S$1=TRUE,$S$4=FALSE),VLOOKUP($E315,'Status Thresholds'!$E:$AS,14,FALSE),IF(AND($Q$1=TRUE,$S$4=FALSE),VLOOKUP($E315,'Status Thresholds'!$E:$AS,4,FALSE), IF(AND($Q$1=TRUE,$S$1=TRUE,$S$4=TRUE),VLOOKUP($E315,'Status Thresholds'!$E:$AS,19,FALSE),IF(AND($Q$1=TRUE,$S$4=TRUE),VLOOKUP($E315,'Status Thresholds'!$E:$AS,9,FALSE),IF(AND($S$3=TRUE,$S$1=TRUE,$S$4=FALSE),VLOOKUP($E315,'Status Thresholds'!$E:$AS,34,FALSE),IF(AND($S$3=TRUE,$S$4=FALSE),VLOOKUP($E315,'Status Thresholds'!$E:$AS,24,FALSE),IF(AND($S$3=TRUE,$S$1=TRUE,$S$4=TRUE),VLOOKUP($E315,'Status Thresholds'!$E:$AS,39,FALSE),IF(AND($S$3=TRUE,$S$4=TRUE),VLOOKUP($E315,'Status Thresholds'!$E:$AS,29,FALSE),""))))))))/IF(OR($Q$3=TRUE,AND($Q$2=TRUE,$Q$7=TRUE),AND($Q$3=TRUE,$Q$7=TRUE))=TRUE,'Shots and Status'!$F$5,IF((OR($Q$2,$Q$7)=TRUE),'Shots and Status'!$D$5,'Shots and Status'!$C$5)))),0),"-")</f>
        <v>-</v>
      </c>
      <c r="K315" s="36" t="str">
        <f>IFERROR(ROUNDUP(IF(AND($Q$1=FALSE,$S$3=FALSE),"-",IF(AND($Q$1=TRUE,$S$3=TRUE),"-",IF(AND($Q$1=TRUE,$S$1=TRUE,$S$4=FALSE),VLOOKUP($E315,'Status Thresholds'!$E:$AS,15,FALSE),IF(AND($Q$1=TRUE,$S$4=FALSE),VLOOKUP($E315,'Status Thresholds'!$E:$AS,5,FALSE), IF(AND($Q$1=TRUE,$S$1=TRUE,$S$4=TRUE),VLOOKUP($E315,'Status Thresholds'!$E:$AS,20,FALSE),IF(AND($Q$1=TRUE,$S$4=TRUE),VLOOKUP($E315,'Status Thresholds'!$E:$AS,10,FALSE),IF(AND($S$3=TRUE,$S$1=TRUE,$S$4=FALSE),VLOOKUP($E315,'Status Thresholds'!$E:$AS,35,FALSE),IF(AND($S$3=TRUE,$S$4=FALSE),VLOOKUP($E315,'Status Thresholds'!$E:$AS,25,FALSE),IF(AND($S$3=TRUE,$S$1=TRUE,$S$4=TRUE),VLOOKUP($E315,'Status Thresholds'!$E:$AS,40,FALSE),IF(AND($S$3=TRUE,$S$4=TRUE),VLOOKUP($E315,'Status Thresholds'!$E:$AS,30,FALSE),""))))))))/IF(OR($Q$3=TRUE,AND($Q$2=TRUE,$Q$7=TRUE),AND($Q$3=TRUE,$Q$7=TRUE))=TRUE,'Shots and Status'!$F$5,IF((OR($Q$2,$Q$7)=TRUE),'Shots and Status'!$D$5,'Shots and Status'!$C$5)))),0),"-")</f>
        <v>-</v>
      </c>
      <c r="L315" s="36" t="str">
        <f>IFERROR(IF(AND($Q$1=FALSE,$S$3=FALSE),"-",VLOOKUP($E315,'Status Thresholds'!$E:$AU,41,FALSE)),"-")</f>
        <v>-</v>
      </c>
      <c r="M315" s="36" t="str">
        <f>IFERROR(IF(AND($Q$1=FALSE,$S$3=FALSE),"-",VLOOKUP($E315,'Status Thresholds'!$E:$AU,42,FALSE)),"-")</f>
        <v>-</v>
      </c>
      <c r="N315" s="36" t="str">
        <f>IFERROR(IF(AND($Q$1=FALSE,$S$3=FALSE),"-",VLOOKUP($E315,'Status Thresholds'!$E:$AU,43,FALSE)),"-")</f>
        <v>-</v>
      </c>
    </row>
    <row r="316" spans="1:14" s="59" customFormat="1" x14ac:dyDescent="0.25">
      <c r="A316" s="46"/>
      <c r="B316" s="64" t="str">
        <f>VLOOKUP(C316,'Status Thresholds'!B:C,2,FALSE)</f>
        <v>MHGU</v>
      </c>
      <c r="C316" s="46" t="str">
        <f>IF(ISBLANK('KO Calc'!C312)=TRUE,"",'KO Calc'!C312)</f>
        <v>Fatalis (White, Old)</v>
      </c>
      <c r="D316" s="60" t="s">
        <v>32</v>
      </c>
      <c r="E316" s="62" t="str">
        <f t="shared" si="9"/>
        <v>Fatalis (White, Old)Sleep</v>
      </c>
      <c r="F316" s="59" t="s">
        <v>5</v>
      </c>
      <c r="G316" s="36" t="str">
        <f t="shared" si="10"/>
        <v>Fatalis (White, Old)Sleep lvl 2</v>
      </c>
      <c r="H316" s="36" t="str">
        <f>IFERROR(ROUNDUP(IF(AND($Q$1=FALSE,$S$3=FALSE),"-",IF(AND($Q$1=TRUE,$S$3=TRUE),"-",IF(AND($Q$1=TRUE,$S$1=TRUE,$S$4=FALSE),VLOOKUP($E316,'Status Thresholds'!$E:$AS,12,FALSE),IF(AND($Q$1=TRUE,$S$4=FALSE),VLOOKUP($E316,'Status Thresholds'!$E:$AS,2,FALSE), IF(AND($Q$1=TRUE,$S$1=TRUE,$S$4=TRUE),VLOOKUP($E316,'Status Thresholds'!$E:$AS,17,FALSE),IF(AND($Q$1=TRUE,$S$4=TRUE),VLOOKUP($E316,'Status Thresholds'!$E:$AS,7,FALSE),IF(AND($S$3=TRUE,$S$1=TRUE,$S$4=FALSE),VLOOKUP($E316,'Status Thresholds'!$E:$AS,32,FALSE),IF(AND($S$3=TRUE,$S$4=FALSE),VLOOKUP($E316,'Status Thresholds'!$E:$AS,22,FALSE),IF(AND($S$3=TRUE,$S$1=TRUE,$S$4=TRUE),VLOOKUP($E316,'Status Thresholds'!$E:$AS,37,FALSE),IF(AND($S$3=TRUE,$S$4=TRUE),VLOOKUP($E316,'Status Thresholds'!$E:$AS,27,FALSE),""))))))))/IF(OR($Q$3=TRUE,AND($Q$2=TRUE,$Q$7=TRUE),AND($Q$3=TRUE,$Q$7=TRUE))=TRUE,'Shots and Status'!$F$5,IF((OR($Q$2,$Q$7)=TRUE),'Shots and Status'!$D$5,'Shots and Status'!$C$5)))),0),"-")</f>
        <v>-</v>
      </c>
      <c r="I316" s="36" t="str">
        <f>IFERROR(ROUNDUP(IF(AND($Q$1=FALSE,$S$3=FALSE),"-",IF(AND($Q$1=TRUE,$S$3=TRUE),"-",IF(AND($Q$1=TRUE,$S$1=TRUE,$S$4=FALSE),VLOOKUP($E316,'Status Thresholds'!$E:$AS,13,FALSE),IF(AND($Q$1=TRUE,$S$4=FALSE),VLOOKUP($E316,'Status Thresholds'!$E:$AS,3,FALSE), IF(AND($Q$1=TRUE,$S$1=TRUE,$S$4=TRUE),VLOOKUP($E316,'Status Thresholds'!$E:$AS,18,FALSE),IF(AND($Q$1=TRUE,$S$4=TRUE),VLOOKUP($E316,'Status Thresholds'!$E:$AS,8,FALSE),IF(AND($S$3=TRUE,$S$1=TRUE,$S$4=FALSE),VLOOKUP($E316,'Status Thresholds'!$E:$AS,33,FALSE),IF(AND($S$3=TRUE,$S$4=FALSE),VLOOKUP($E316,'Status Thresholds'!$E:$AS,23,FALSE),IF(AND($S$3=TRUE,$S$1=TRUE,$S$4=TRUE),VLOOKUP($E316,'Status Thresholds'!$E:$AS,38,FALSE),IF(AND($S$3=TRUE,$S$4=TRUE),VLOOKUP($E316,'Status Thresholds'!$E:$AS,28,FALSE),""))))))))/IF(OR($Q$3=TRUE,AND($Q$2=TRUE,$Q$7=TRUE),AND($Q$3=TRUE,$Q$7=TRUE))=TRUE,'Shots and Status'!$F$5,IF((OR($Q$2,$Q$7)=TRUE),'Shots and Status'!$D$5,'Shots and Status'!$C$5)))),0),"-")</f>
        <v>-</v>
      </c>
      <c r="J316" s="36" t="str">
        <f>IFERROR(ROUNDUP(IF(AND($Q$1=FALSE,$S$3=FALSE),"-",IF(AND($Q$1=TRUE,$S$3=TRUE),"-",IF(AND($Q$1=TRUE,$S$1=TRUE,$S$4=FALSE),VLOOKUP($E316,'Status Thresholds'!$E:$AS,14,FALSE),IF(AND($Q$1=TRUE,$S$4=FALSE),VLOOKUP($E316,'Status Thresholds'!$E:$AS,4,FALSE), IF(AND($Q$1=TRUE,$S$1=TRUE,$S$4=TRUE),VLOOKUP($E316,'Status Thresholds'!$E:$AS,19,FALSE),IF(AND($Q$1=TRUE,$S$4=TRUE),VLOOKUP($E316,'Status Thresholds'!$E:$AS,9,FALSE),IF(AND($S$3=TRUE,$S$1=TRUE,$S$4=FALSE),VLOOKUP($E316,'Status Thresholds'!$E:$AS,34,FALSE),IF(AND($S$3=TRUE,$S$4=FALSE),VLOOKUP($E316,'Status Thresholds'!$E:$AS,24,FALSE),IF(AND($S$3=TRUE,$S$1=TRUE,$S$4=TRUE),VLOOKUP($E316,'Status Thresholds'!$E:$AS,39,FALSE),IF(AND($S$3=TRUE,$S$4=TRUE),VLOOKUP($E316,'Status Thresholds'!$E:$AS,29,FALSE),""))))))))/IF(OR($Q$3=TRUE,AND($Q$2=TRUE,$Q$7=TRUE),AND($Q$3=TRUE,$Q$7=TRUE))=TRUE,'Shots and Status'!$F$5,IF((OR($Q$2,$Q$7)=TRUE),'Shots and Status'!$D$5,'Shots and Status'!$C$5)))),0),"-")</f>
        <v>-</v>
      </c>
      <c r="K316" s="36" t="str">
        <f>IFERROR(ROUNDUP(IF(AND($Q$1=FALSE,$S$3=FALSE),"-",IF(AND($Q$1=TRUE,$S$3=TRUE),"-",IF(AND($Q$1=TRUE,$S$1=TRUE,$S$4=FALSE),VLOOKUP($E316,'Status Thresholds'!$E:$AS,15,FALSE),IF(AND($Q$1=TRUE,$S$4=FALSE),VLOOKUP($E316,'Status Thresholds'!$E:$AS,5,FALSE), IF(AND($Q$1=TRUE,$S$1=TRUE,$S$4=TRUE),VLOOKUP($E316,'Status Thresholds'!$E:$AS,20,FALSE),IF(AND($Q$1=TRUE,$S$4=TRUE),VLOOKUP($E316,'Status Thresholds'!$E:$AS,10,FALSE),IF(AND($S$3=TRUE,$S$1=TRUE,$S$4=FALSE),VLOOKUP($E316,'Status Thresholds'!$E:$AS,35,FALSE),IF(AND($S$3=TRUE,$S$4=FALSE),VLOOKUP($E316,'Status Thresholds'!$E:$AS,25,FALSE),IF(AND($S$3=TRUE,$S$1=TRUE,$S$4=TRUE),VLOOKUP($E316,'Status Thresholds'!$E:$AS,40,FALSE),IF(AND($S$3=TRUE,$S$4=TRUE),VLOOKUP($E316,'Status Thresholds'!$E:$AS,30,FALSE),""))))))))/IF(OR($Q$3=TRUE,AND($Q$2=TRUE,$Q$7=TRUE),AND($Q$3=TRUE,$Q$7=TRUE))=TRUE,'Shots and Status'!$F$5,IF((OR($Q$2,$Q$7)=TRUE),'Shots and Status'!$D$5,'Shots and Status'!$C$5)))),0),"-")</f>
        <v>-</v>
      </c>
      <c r="L316" s="36" t="str">
        <f>IFERROR(IF(AND($Q$1=FALSE,$S$3=FALSE),"-",VLOOKUP($E316,'Status Thresholds'!$E:$AU,41,FALSE)),"-")</f>
        <v>-</v>
      </c>
      <c r="M316" s="36" t="str">
        <f>IFERROR(IF(AND($Q$1=FALSE,$S$3=FALSE),"-",VLOOKUP($E316,'Status Thresholds'!$E:$AU,42,FALSE)),"-")</f>
        <v>-</v>
      </c>
      <c r="N316" s="36" t="str">
        <f>IFERROR(IF(AND($Q$1=FALSE,$S$3=FALSE),"-",VLOOKUP($E316,'Status Thresholds'!$E:$AU,43,FALSE)),"-")</f>
        <v>-</v>
      </c>
    </row>
    <row r="317" spans="1:14" s="59" customFormat="1" x14ac:dyDescent="0.25">
      <c r="A317" s="46"/>
      <c r="B317" s="64" t="str">
        <f>VLOOKUP(C317,'Status Thresholds'!B:C,2,FALSE)</f>
        <v>MHGU</v>
      </c>
      <c r="C317" s="46" t="str">
        <f>IF(ISBLANK('KO Calc'!C313)=TRUE,"",'KO Calc'!C313)</f>
        <v>Fatalis (White, Old)</v>
      </c>
      <c r="D317" s="58" t="s">
        <v>33</v>
      </c>
      <c r="E317" s="62" t="str">
        <f t="shared" si="9"/>
        <v>Fatalis (White, Old)Poison</v>
      </c>
      <c r="F317" s="59" t="s">
        <v>6</v>
      </c>
      <c r="G317" s="36" t="str">
        <f t="shared" si="10"/>
        <v>Fatalis (White, Old)Poison lvl 2</v>
      </c>
      <c r="H317" s="36" t="str">
        <f>IFERROR(ROUNDUP(IF(AND($Q$1=FALSE,$S$3=FALSE),"-",IF(AND($Q$1=TRUE,$S$3=TRUE),"-",IF(AND($Q$1=TRUE,$S$1=TRUE,$S$4=FALSE),VLOOKUP($E317,'Status Thresholds'!$E:$AS,12,FALSE),IF(AND($Q$1=TRUE,$S$4=FALSE),VLOOKUP($E317,'Status Thresholds'!$E:$AS,2,FALSE), IF(AND($Q$1=TRUE,$S$1=TRUE,$S$4=TRUE),VLOOKUP($E317,'Status Thresholds'!$E:$AS,17,FALSE),IF(AND($Q$1=TRUE,$S$4=TRUE),VLOOKUP($E317,'Status Thresholds'!$E:$AS,7,FALSE),IF(AND($S$3=TRUE,$S$1=TRUE,$S$4=FALSE),VLOOKUP($E317,'Status Thresholds'!$E:$AS,32,FALSE),IF(AND($S$3=TRUE,$S$4=FALSE),VLOOKUP($E317,'Status Thresholds'!$E:$AS,22,FALSE),IF(AND($S$3=TRUE,$S$1=TRUE,$S$4=TRUE),VLOOKUP($E317,'Status Thresholds'!$E:$AS,37,FALSE),IF(AND($S$3=TRUE,$S$4=TRUE),VLOOKUP($E317,'Status Thresholds'!$E:$AS,27,FALSE),""))))))))/IF(OR($Q$3=TRUE,AND($Q$2=TRUE,$Q$7=TRUE),AND($Q$3=TRUE,$Q$7=TRUE))=TRUE,'Shots and Status'!$F$5,IF((OR($Q$2,$Q$7)=TRUE),'Shots and Status'!$D$5,'Shots and Status'!$C$5)))),0),"-")</f>
        <v>-</v>
      </c>
      <c r="I317" s="36" t="str">
        <f>IFERROR(ROUNDUP(IF(AND($Q$1=FALSE,$S$3=FALSE),"-",IF(AND($Q$1=TRUE,$S$3=TRUE),"-",IF(AND($Q$1=TRUE,$S$1=TRUE,$S$4=FALSE),VLOOKUP($E317,'Status Thresholds'!$E:$AS,13,FALSE),IF(AND($Q$1=TRUE,$S$4=FALSE),VLOOKUP($E317,'Status Thresholds'!$E:$AS,3,FALSE), IF(AND($Q$1=TRUE,$S$1=TRUE,$S$4=TRUE),VLOOKUP($E317,'Status Thresholds'!$E:$AS,18,FALSE),IF(AND($Q$1=TRUE,$S$4=TRUE),VLOOKUP($E317,'Status Thresholds'!$E:$AS,8,FALSE),IF(AND($S$3=TRUE,$S$1=TRUE,$S$4=FALSE),VLOOKUP($E317,'Status Thresholds'!$E:$AS,33,FALSE),IF(AND($S$3=TRUE,$S$4=FALSE),VLOOKUP($E317,'Status Thresholds'!$E:$AS,23,FALSE),IF(AND($S$3=TRUE,$S$1=TRUE,$S$4=TRUE),VLOOKUP($E317,'Status Thresholds'!$E:$AS,38,FALSE),IF(AND($S$3=TRUE,$S$4=TRUE),VLOOKUP($E317,'Status Thresholds'!$E:$AS,28,FALSE),""))))))))/IF(OR($Q$3=TRUE,AND($Q$2=TRUE,$Q$7=TRUE),AND($Q$3=TRUE,$Q$7=TRUE))=TRUE,'Shots and Status'!$F$5,IF((OR($Q$2,$Q$7)=TRUE),'Shots and Status'!$D$5,'Shots and Status'!$C$5)))),0),"-")</f>
        <v>-</v>
      </c>
      <c r="J317" s="36" t="str">
        <f>IFERROR(ROUNDUP(IF(AND($Q$1=FALSE,$S$3=FALSE),"-",IF(AND($Q$1=TRUE,$S$3=TRUE),"-",IF(AND($Q$1=TRUE,$S$1=TRUE,$S$4=FALSE),VLOOKUP($E317,'Status Thresholds'!$E:$AS,14,FALSE),IF(AND($Q$1=TRUE,$S$4=FALSE),VLOOKUP($E317,'Status Thresholds'!$E:$AS,4,FALSE), IF(AND($Q$1=TRUE,$S$1=TRUE,$S$4=TRUE),VLOOKUP($E317,'Status Thresholds'!$E:$AS,19,FALSE),IF(AND($Q$1=TRUE,$S$4=TRUE),VLOOKUP($E317,'Status Thresholds'!$E:$AS,9,FALSE),IF(AND($S$3=TRUE,$S$1=TRUE,$S$4=FALSE),VLOOKUP($E317,'Status Thresholds'!$E:$AS,34,FALSE),IF(AND($S$3=TRUE,$S$4=FALSE),VLOOKUP($E317,'Status Thresholds'!$E:$AS,24,FALSE),IF(AND($S$3=TRUE,$S$1=TRUE,$S$4=TRUE),VLOOKUP($E317,'Status Thresholds'!$E:$AS,39,FALSE),IF(AND($S$3=TRUE,$S$4=TRUE),VLOOKUP($E317,'Status Thresholds'!$E:$AS,29,FALSE),""))))))))/IF(OR($Q$3=TRUE,AND($Q$2=TRUE,$Q$7=TRUE),AND($Q$3=TRUE,$Q$7=TRUE))=TRUE,'Shots and Status'!$F$5,IF((OR($Q$2,$Q$7)=TRUE),'Shots and Status'!$D$5,'Shots and Status'!$C$5)))),0),"-")</f>
        <v>-</v>
      </c>
      <c r="K317" s="36" t="str">
        <f>IFERROR(ROUNDUP(IF(AND($Q$1=FALSE,$S$3=FALSE),"-",IF(AND($Q$1=TRUE,$S$3=TRUE),"-",IF(AND($Q$1=TRUE,$S$1=TRUE,$S$4=FALSE),VLOOKUP($E317,'Status Thresholds'!$E:$AS,15,FALSE),IF(AND($Q$1=TRUE,$S$4=FALSE),VLOOKUP($E317,'Status Thresholds'!$E:$AS,5,FALSE), IF(AND($Q$1=TRUE,$S$1=TRUE,$S$4=TRUE),VLOOKUP($E317,'Status Thresholds'!$E:$AS,20,FALSE),IF(AND($Q$1=TRUE,$S$4=TRUE),VLOOKUP($E317,'Status Thresholds'!$E:$AS,10,FALSE),IF(AND($S$3=TRUE,$S$1=TRUE,$S$4=FALSE),VLOOKUP($E317,'Status Thresholds'!$E:$AS,35,FALSE),IF(AND($S$3=TRUE,$S$4=FALSE),VLOOKUP($E317,'Status Thresholds'!$E:$AS,25,FALSE),IF(AND($S$3=TRUE,$S$1=TRUE,$S$4=TRUE),VLOOKUP($E317,'Status Thresholds'!$E:$AS,40,FALSE),IF(AND($S$3=TRUE,$S$4=TRUE),VLOOKUP($E317,'Status Thresholds'!$E:$AS,30,FALSE),""))))))))/IF(OR($Q$3=TRUE,AND($Q$2=TRUE,$Q$7=TRUE),AND($Q$3=TRUE,$Q$7=TRUE))=TRUE,'Shots and Status'!$F$5,IF((OR($Q$2,$Q$7)=TRUE),'Shots and Status'!$D$5,'Shots and Status'!$C$5)))),0),"-")</f>
        <v>-</v>
      </c>
      <c r="L317" s="36" t="str">
        <f>IFERROR(IF(AND($Q$1=FALSE,$S$3=FALSE),"-",VLOOKUP($E317,'Status Thresholds'!$E:$AU,41,FALSE)),"-")</f>
        <v>-</v>
      </c>
      <c r="M317" s="36" t="str">
        <f>IFERROR(IF(AND($Q$1=FALSE,$S$3=FALSE),"-",VLOOKUP($E317,'Status Thresholds'!$E:$AU,42,FALSE)),"-")</f>
        <v>-</v>
      </c>
      <c r="N317" s="36" t="str">
        <f>IFERROR(IF(AND($Q$1=FALSE,$S$3=FALSE),"-",VLOOKUP($E317,'Status Thresholds'!$E:$AU,43,FALSE)),"-")</f>
        <v>-</v>
      </c>
    </row>
    <row r="318" spans="1:14" s="36" customFormat="1" x14ac:dyDescent="0.25">
      <c r="A318" s="46"/>
      <c r="B318" s="64" t="str">
        <f>VLOOKUP(C318,'Status Thresholds'!B:C,2,FALSE)</f>
        <v>MHGU</v>
      </c>
      <c r="C318" s="46" t="str">
        <f>IF(ISBLANK('KO Calc'!C314)=TRUE,"",'KO Calc'!C314)</f>
        <v>Fatalis (White, Old)</v>
      </c>
      <c r="D318" s="57" t="s">
        <v>22</v>
      </c>
      <c r="E318" s="62" t="str">
        <f t="shared" si="9"/>
        <v>Fatalis (White, Old)Exhaust</v>
      </c>
      <c r="F318" s="36" t="s">
        <v>8</v>
      </c>
      <c r="G318" s="36" t="str">
        <f t="shared" si="10"/>
        <v>Fatalis (White, Old)Exhaust lvl 2</v>
      </c>
      <c r="H318" s="36" t="str">
        <f>IFERROR(ROUNDUP(IF(AND($Q$1=FALSE,$S$3=FALSE),"-",IF(AND($Q$1=TRUE,$S$3=TRUE),"-",IF(AND($Q$1=TRUE,$S$1=TRUE,$S$4=FALSE),VLOOKUP($E318,'Status Thresholds'!$E:$AS,12,FALSE),IF(AND($Q$1=TRUE,$S$4=FALSE),VLOOKUP($E318,'Status Thresholds'!$E:$AS,2,FALSE), IF(AND($Q$1=TRUE,$S$1=TRUE,$S$4=TRUE),VLOOKUP($E318,'Status Thresholds'!$E:$AS,17,FALSE),IF(AND($Q$1=TRUE,$S$4=TRUE),VLOOKUP($E318,'Status Thresholds'!$E:$AS,7,FALSE),IF(AND($S$3=TRUE,$S$1=TRUE,$S$4=FALSE),VLOOKUP($E318,'Status Thresholds'!$E:$AS,32,FALSE),IF(AND($S$3=TRUE,$S$4=FALSE),VLOOKUP($E318,'Status Thresholds'!$E:$AS,22,FALSE),IF(AND($S$3=TRUE,$S$1=TRUE,$S$4=TRUE),VLOOKUP($E318,'Status Thresholds'!$E:$AS,37,FALSE),IF(AND($S$3=TRUE,$S$4=TRUE),VLOOKUP($E318,'Status Thresholds'!$E:$AS,27,FALSE),""))))))))/IF(OR($Q$3=TRUE,AND($Q$2=TRUE,$Q$7=TRUE),AND($Q$3=TRUE,$Q$7=TRUE))=TRUE,'Shots and Status'!$F$5,IF((OR($Q$2,$Q$7)=TRUE),'Shots and Status'!$D$5,'Shots and Status'!$C$5)))),0),"-")</f>
        <v>-</v>
      </c>
      <c r="I318" s="36" t="str">
        <f>IFERROR(ROUNDUP(IF(AND($Q$1=FALSE,$S$3=FALSE),"-",IF(AND($Q$1=TRUE,$S$3=TRUE),"-",IF(AND($Q$1=TRUE,$S$1=TRUE,$S$4=FALSE),VLOOKUP($E318,'Status Thresholds'!$E:$AS,13,FALSE),IF(AND($Q$1=TRUE,$S$4=FALSE),VLOOKUP($E318,'Status Thresholds'!$E:$AS,3,FALSE), IF(AND($Q$1=TRUE,$S$1=TRUE,$S$4=TRUE),VLOOKUP($E318,'Status Thresholds'!$E:$AS,18,FALSE),IF(AND($Q$1=TRUE,$S$4=TRUE),VLOOKUP($E318,'Status Thresholds'!$E:$AS,8,FALSE),IF(AND($S$3=TRUE,$S$1=TRUE,$S$4=FALSE),VLOOKUP($E318,'Status Thresholds'!$E:$AS,33,FALSE),IF(AND($S$3=TRUE,$S$4=FALSE),VLOOKUP($E318,'Status Thresholds'!$E:$AS,23,FALSE),IF(AND($S$3=TRUE,$S$1=TRUE,$S$4=TRUE),VLOOKUP($E318,'Status Thresholds'!$E:$AS,38,FALSE),IF(AND($S$3=TRUE,$S$4=TRUE),VLOOKUP($E318,'Status Thresholds'!$E:$AS,28,FALSE),""))))))))/IF(OR($Q$3=TRUE,AND($Q$2=TRUE,$Q$7=TRUE),AND($Q$3=TRUE,$Q$7=TRUE))=TRUE,'Shots and Status'!$F$5,IF((OR($Q$2,$Q$7)=TRUE),'Shots and Status'!$D$5,'Shots and Status'!$C$5)))),0),"-")</f>
        <v>-</v>
      </c>
      <c r="J318" s="36" t="str">
        <f>IFERROR(ROUNDUP(IF(AND($Q$1=FALSE,$S$3=FALSE),"-",IF(AND($Q$1=TRUE,$S$3=TRUE),"-",IF(AND($Q$1=TRUE,$S$1=TRUE,$S$4=FALSE),VLOOKUP($E318,'Status Thresholds'!$E:$AS,14,FALSE),IF(AND($Q$1=TRUE,$S$4=FALSE),VLOOKUP($E318,'Status Thresholds'!$E:$AS,4,FALSE), IF(AND($Q$1=TRUE,$S$1=TRUE,$S$4=TRUE),VLOOKUP($E318,'Status Thresholds'!$E:$AS,19,FALSE),IF(AND($Q$1=TRUE,$S$4=TRUE),VLOOKUP($E318,'Status Thresholds'!$E:$AS,9,FALSE),IF(AND($S$3=TRUE,$S$1=TRUE,$S$4=FALSE),VLOOKUP($E318,'Status Thresholds'!$E:$AS,34,FALSE),IF(AND($S$3=TRUE,$S$4=FALSE),VLOOKUP($E318,'Status Thresholds'!$E:$AS,24,FALSE),IF(AND($S$3=TRUE,$S$1=TRUE,$S$4=TRUE),VLOOKUP($E318,'Status Thresholds'!$E:$AS,39,FALSE),IF(AND($S$3=TRUE,$S$4=TRUE),VLOOKUP($E318,'Status Thresholds'!$E:$AS,29,FALSE),""))))))))/IF(OR($Q$3=TRUE,AND($Q$2=TRUE,$Q$7=TRUE),AND($Q$3=TRUE,$Q$7=TRUE))=TRUE,'Shots and Status'!$F$5,IF((OR($Q$2,$Q$7)=TRUE),'Shots and Status'!$D$5,'Shots and Status'!$C$5)))),0),"-")</f>
        <v>-</v>
      </c>
      <c r="K318" s="36" t="str">
        <f>IFERROR(ROUNDUP(IF(AND($Q$1=FALSE,$S$3=FALSE),"-",IF(AND($Q$1=TRUE,$S$3=TRUE),"-",IF(AND($Q$1=TRUE,$S$1=TRUE,$S$4=FALSE),VLOOKUP($E318,'Status Thresholds'!$E:$AS,15,FALSE),IF(AND($Q$1=TRUE,$S$4=FALSE),VLOOKUP($E318,'Status Thresholds'!$E:$AS,5,FALSE), IF(AND($Q$1=TRUE,$S$1=TRUE,$S$4=TRUE),VLOOKUP($E318,'Status Thresholds'!$E:$AS,20,FALSE),IF(AND($Q$1=TRUE,$S$4=TRUE),VLOOKUP($E318,'Status Thresholds'!$E:$AS,10,FALSE),IF(AND($S$3=TRUE,$S$1=TRUE,$S$4=FALSE),VLOOKUP($E318,'Status Thresholds'!$E:$AS,35,FALSE),IF(AND($S$3=TRUE,$S$4=FALSE),VLOOKUP($E318,'Status Thresholds'!$E:$AS,25,FALSE),IF(AND($S$3=TRUE,$S$1=TRUE,$S$4=TRUE),VLOOKUP($E318,'Status Thresholds'!$E:$AS,40,FALSE),IF(AND($S$3=TRUE,$S$4=TRUE),VLOOKUP($E318,'Status Thresholds'!$E:$AS,30,FALSE),""))))))))/IF(OR($Q$3=TRUE,AND($Q$2=TRUE,$Q$7=TRUE),AND($Q$3=TRUE,$Q$7=TRUE))=TRUE,'Shots and Status'!$F$5,IF((OR($Q$2,$Q$7)=TRUE),'Shots and Status'!$D$5,'Shots and Status'!$C$5)))),0),"-")</f>
        <v>-</v>
      </c>
      <c r="L318" s="36" t="str">
        <f>IFERROR(IF(AND($Q$1=FALSE,$S$3=FALSE),"-",VLOOKUP($E318,'Status Thresholds'!$E:$AU,41,FALSE)),"-")</f>
        <v>-</v>
      </c>
      <c r="M318" s="36" t="str">
        <f>IFERROR(IF(AND($Q$1=FALSE,$S$3=FALSE),"-",VLOOKUP($E318,'Status Thresholds'!$E:$AU,42,FALSE)),"-")</f>
        <v>-</v>
      </c>
      <c r="N318" s="36" t="str">
        <f>IFERROR(IF(AND($Q$1=FALSE,$S$3=FALSE),"-",VLOOKUP($E318,'Status Thresholds'!$E:$AU,43,FALSE)),"-")</f>
        <v>-</v>
      </c>
    </row>
    <row r="319" spans="1:14" s="36" customFormat="1" x14ac:dyDescent="0.25">
      <c r="A319" s="46"/>
      <c r="B319" s="64" t="str">
        <f>VLOOKUP(C319,'Status Thresholds'!B:C,2,FALSE)</f>
        <v>MHGU</v>
      </c>
      <c r="C319" s="46" t="str">
        <f>IF(ISBLANK('KO Calc'!C315)=TRUE,"",'KO Calc'!C315)</f>
        <v>Fatalis (White, Old)</v>
      </c>
      <c r="D319" s="67" t="s">
        <v>14</v>
      </c>
      <c r="E319" s="62" t="str">
        <f t="shared" si="9"/>
        <v>Fatalis (White, Old)KO</v>
      </c>
      <c r="F319" s="36" t="s">
        <v>21</v>
      </c>
      <c r="G319" s="36" t="str">
        <f t="shared" si="10"/>
        <v>Fatalis (White, Old)Triblast</v>
      </c>
      <c r="H319" s="36" t="str">
        <f>IF(AND($Q$1=FALSE,$S$3=FALSE),"-",IF(AND($Q$1=TRUE,$S$3=TRUE),"-",IF(AND($Q$1=FALSE,$S$3=FALSE),"-",IF(AND($Q$1=TRUE,$S$1=TRUE,$S$4=FALSE)=TRUE,IF(OR($Q$4=TRUE,$Q$5=TRUE,$S$2=TRUE),VLOOKUP($G319,'KO Calc'!$H:$AW,12,FALSE),VLOOKUP($G319,'KO Calc'!$H325:$AW325,12,FALSE)),IF(AND($Q$1=TRUE,$S$4=FALSE),IF(OR($Q$4=TRUE,$Q$5=TRUE,$S$2=TRUE),VLOOKUP($G319,'KO Calc'!$H:$AW,2,FALSE),VLOOKUP($G319,'KO Calc'!$H325:$AW325,2,FALSE)),
IF(AND($Q$1=TRUE,$S$1=TRUE,$S$4=TRUE)=TRUE,IF(OR($Q$4=TRUE,$Q$5=TRUE,$S$2=TRUE),VLOOKUP($G319,'KO Calc'!$H:$AW,17,FALSE),VLOOKUP($G319,'KO Calc'!$H325:$AW325,17,FALSE)),IF(AND($Q$1=TRUE,$S$4=TRUE),IF(OR($Q$4=TRUE,$Q$5=TRUE,$S$2=TRUE),VLOOKUP($G319,'KO Calc'!$H:$AW,7,FALSE),VLOOKUP($G319,'KO Calc'!$H325:$AW325,7,FALSE)),
IF(AND($S$3=TRUE,$S$1=TRUE,$S$4=FALSE)=TRUE,IF(OR($Q$4=TRUE,$Q$5=TRUE,$S$2=TRUE),VLOOKUP($G319,'KO Calc'!$H:$AW,32,FALSE),VLOOKUP($G319,'KO Calc'!$H325:$AW325,32,FALSE)),IF(AND($S$3=TRUE,$S$4=FALSE),IF(OR($Q$4=TRUE,$Q$5=TRUE,$S$2=TRUE),VLOOKUP($G319,'KO Calc'!$H:$AW,22,FALSE),VLOOKUP($G319,'KO Calc'!$H325:$AW325,22,FALSE)),
IF(AND($S$3=TRUE,$S$1=TRUE,$S$4=TRUE)=TRUE,IF(OR($Q$4=TRUE,$Q$5=TRUE,$S$2=TRUE),VLOOKUP($G319,'KO Calc'!$H:$AW,37,FALSE),VLOOKUP($G319,'KO Calc'!$H325:$AW325,37,FALSE)),IF(AND($S$3=TRUE,$S$4=TRUE),IF(OR($Q$4=TRUE,$Q$5=TRUE,$S$2=TRUE),VLOOKUP($G319,'KO Calc'!$H:$AW,27,FALSE),VLOOKUP($G319,'KO Calc'!$H325:$AW325,27,FALSE)))))))))))))</f>
        <v>-</v>
      </c>
      <c r="I319" s="36" t="str">
        <f>IF(AND($Q$1=FALSE,$S$3=FALSE),"-",IF(AND($Q$1=TRUE,$S$3=TRUE),"-",IF(AND($Q$1=FALSE,$S$3=FALSE),"-",IF(AND($Q$1=TRUE,$S$1=TRUE,$S$4=FALSE)=TRUE,IF(OR($Q$4=TRUE,$Q$5=TRUE,$S$2=TRUE),VLOOKUP($G319,'KO Calc'!$H:$AW,13,FALSE),VLOOKUP($G319,'KO Calc'!$H325:$AW325,13,FALSE)),IF(AND($Q$1=TRUE,$S$4=FALSE),IF(OR($Q$4=TRUE,$Q$5=TRUE,$S$2=TRUE),VLOOKUP($G319,'KO Calc'!$H:$AW,3,FALSE),VLOOKUP($G319,'KO Calc'!$H325:$AW325,3,FALSE)),
IF(AND($Q$1=TRUE,$S$1=TRUE,$S$4=TRUE)=TRUE,IF(OR($Q$4=TRUE,$Q$5=TRUE,$S$2=TRUE),VLOOKUP($G319,'KO Calc'!$H:$AW,18,FALSE),VLOOKUP($G319,'KO Calc'!$H325:$AW325,18,FALSE)),IF(AND($Q$1=TRUE,$S$4=TRUE),IF(OR($Q$4=TRUE,$Q$5=TRUE,$S$2=TRUE),VLOOKUP($G319,'KO Calc'!$H:$AW,8,FALSE),VLOOKUP($G319,'KO Calc'!$H325:$AW325,8,FALSE)),
IF(AND($S$3=TRUE,$S$1=TRUE,$S$4=FALSE)=TRUE,IF(OR($Q$4=TRUE,$Q$5=TRUE,$S$2=TRUE),VLOOKUP($G319,'KO Calc'!$H:$AW,33,FALSE),VLOOKUP($G319,'KO Calc'!$H325:$AW325,33,FALSE)),IF(AND($S$3=TRUE,$S$4=FALSE),IF(OR($Q$4=TRUE,$Q$5=TRUE,$S$2=TRUE),VLOOKUP($G319,'KO Calc'!$H:$AW,23,FALSE),VLOOKUP($G319,'KO Calc'!$H325:$AW325,23,FALSE)),
IF(AND($S$3=TRUE,$S$1=TRUE,$S$4=TRUE)=TRUE,IF(OR($Q$4=TRUE,$Q$5=TRUE,$S$2=TRUE),VLOOKUP($G319,'KO Calc'!$H:$AW,38,FALSE),VLOOKUP($G319,'KO Calc'!$H325:$AW325,38,FALSE)),IF(AND($S$3=TRUE,$S$4=TRUE),IF(OR($Q$4=TRUE,$Q$5=TRUE,$S$2=TRUE),VLOOKUP($G319,'KO Calc'!$H:$AW,28,FALSE),VLOOKUP($G319,'KO Calc'!$H325:$AW325,28,FALSE)))))))))))))</f>
        <v>-</v>
      </c>
      <c r="J319" s="36" t="str">
        <f>IF(AND($Q$1=FALSE,$S$3=FALSE),"-",IF(AND($Q$1=TRUE,$S$3=TRUE),"-",IF(AND($Q$1=FALSE,$S$3=FALSE),"-",IF(AND($Q$1=TRUE,$S$1=TRUE,$S$4=FALSE)=TRUE,IF(OR($Q$4=TRUE,$Q$5=TRUE,$S$2=TRUE),VLOOKUP($G319,'KO Calc'!$H:$AW,FALSE),VLOOKUP($G319,'KO Calc'!$H325:$AW325,14,FALSE)),IF(AND($Q$1=TRUE,$S$4=FALSE),IF(OR($Q$4=TRUE,$Q$5=TRUE,$S$2=TRUE),VLOOKUP($G319,'KO Calc'!$H:$AW,4,FALSE),VLOOKUP($G319,'KO Calc'!$H325:$AW325,4,FALSE)),
IF(AND($Q$1=TRUE,$S$1=TRUE,$S$4=TRUE)=TRUE,IF(OR($Q$4=TRUE,$Q$5=TRUE,$S$2=TRUE),VLOOKUP($G319,'KO Calc'!$H:$AW,19,FALSE),VLOOKUP($G319,'KO Calc'!$H325:$AW325,19,FALSE)),IF(AND($Q$1=TRUE,$S$4=TRUE),IF(OR($Q$4=TRUE,$Q$5=TRUE,$S$2=TRUE),VLOOKUP($G319,'KO Calc'!$H:$AW,9,FALSE),VLOOKUP($G319,'KO Calc'!$H325:$AW325,9,FALSE)),
IF(AND($S$3=TRUE,$S$1=TRUE,$S$4=FALSE)=TRUE,IF(OR($Q$4=TRUE,$Q$5=TRUE,$S$2=TRUE),VLOOKUP($G319,'KO Calc'!$H:$AW,34,FALSE),VLOOKUP($G319,'KO Calc'!$H325:$AW325,34,FALSE)),IF(AND($S$3=TRUE,$S$4=FALSE),IF(OR($Q$4=TRUE,$Q$5=TRUE,$S$2=TRUE),VLOOKUP($G319,'KO Calc'!$H:$AW,24,FALSE),VLOOKUP($G319,'KO Calc'!$H325:$AW325,24,FALSE)),
IF(AND($S$3=TRUE,$S$1=TRUE,$S$4=TRUE)=TRUE,IF(OR($Q$4=TRUE,$Q$5=TRUE,$S$2=TRUE),VLOOKUP($G319,'KO Calc'!$H:$AW,39,FALSE),VLOOKUP($G319,'KO Calc'!$H325:$AW325,39,FALSE)),IF(AND($S$3=TRUE,$S$4=TRUE),IF(OR($Q$4=TRUE,$Q$5=TRUE,$S$2=TRUE),VLOOKUP($G319,'KO Calc'!$H:$AW,29,FALSE),VLOOKUP($G319,'KO Calc'!$H325:$AW325,29,FALSE)))))))))))))</f>
        <v>-</v>
      </c>
      <c r="K319" s="36" t="str">
        <f>IF(AND($Q$1=FALSE,$S$3=FALSE),"-",IF(AND($Q$1=TRUE,$S$3=TRUE),"-",IF(AND($Q$1=FALSE,$S$3=FALSE),"-",IF(AND($Q$1=TRUE,$S$1=TRUE,$S$4=FALSE)=TRUE,IF(OR($Q$4=TRUE,$Q$5=TRUE,$S$2=TRUE),VLOOKUP($G319,'KO Calc'!$H:$AW,15,FALSE),VLOOKUP($G319,'KO Calc'!$H325:$AW325,15,FALSE)),IF(AND($Q$1=TRUE,$S$4=FALSE),IF(OR($Q$4=TRUE,$Q$5=TRUE,$S$2=TRUE),VLOOKUP($G319,'KO Calc'!$H:$AW,5,FALSE),VLOOKUP($G319,'KO Calc'!$H325:$AW325,5,FALSE)),
IF(AND($Q$1=TRUE,$S$1=TRUE,$S$4=TRUE)=TRUE,IF(OR($Q$4=TRUE,$Q$5=TRUE,$S$2=TRUE),VLOOKUP($G319,'KO Calc'!$H:$AW,20,FALSE),VLOOKUP($G319,'KO Calc'!$H325:$AW325,20,FALSE)),IF(AND($Q$1=TRUE,$S$4=TRUE),IF(OR($Q$4=TRUE,$Q$5=TRUE,$S$2=TRUE),VLOOKUP($G319,'KO Calc'!$H:$AW,10,FALSE),VLOOKUP($G319,'KO Calc'!$H325:$AW325,10,FALSE)),
IF(AND($S$3=TRUE,$S$1=TRUE,$S$4=FALSE)=TRUE,IF(OR($Q$4=TRUE,$Q$5=TRUE,$S$2=TRUE),VLOOKUP($G319,'KO Calc'!$H:$AW,35,FALSE),VLOOKUP($G319,'KO Calc'!$H325:$AW325,35,FALSE)),IF(AND($S$3=TRUE,$S$4=FALSE),IF(OR($Q$4=TRUE,$Q$5=TRUE,$S$2=TRUE),VLOOKUP($G319,'KO Calc'!$H:$AW,25,FALSE),VLOOKUP($G319,'KO Calc'!$H325:$AW325,25,FALSE)),
IF(AND($S$3=TRUE,$S$1=TRUE,$S$4=TRUE)=TRUE,IF(OR($Q$4=TRUE,$Q$5=TRUE,$S$2=TRUE),VLOOKUP($G319,'KO Calc'!$H:$AW,40,FALSE),VLOOKUP($G319,'KO Calc'!$H325:$AW325,40,FALSE)),IF(AND($S$3=TRUE,$S$4=TRUE),IF(OR($Q$4=TRUE,$Q$5=TRUE,$S$2=TRUE),VLOOKUP($G319,'KO Calc'!$H:$AW,30,FALSE),VLOOKUP($G319,'KO Calc'!$H325:$AW325,30,FALSE)))))))))))))</f>
        <v>-</v>
      </c>
      <c r="L319" s="36" t="str">
        <f>IFERROR(IF(AND($Q$1=FALSE,$S$3=FALSE),"-",VLOOKUP($E319,'Status Thresholds'!$E:$AU,41,FALSE)),"-")</f>
        <v>-</v>
      </c>
      <c r="M319" s="36" t="str">
        <f>IFERROR(IF(AND($Q$1=FALSE,$S$3=FALSE),"-",VLOOKUP($E319,'Status Thresholds'!$E:$AU,42,FALSE)),"-")</f>
        <v>-</v>
      </c>
      <c r="N319" s="36" t="str">
        <f>IFERROR(IF(AND($Q$1=FALSE,$S$3=FALSE),"-",VLOOKUP($E319,'Status Thresholds'!$E:$AU,43,FALSE)),"-")</f>
        <v>-</v>
      </c>
    </row>
    <row r="320" spans="1:14" x14ac:dyDescent="0.25">
      <c r="B320" s="64" t="str">
        <f>VLOOKUP(C320,'Status Thresholds'!B:C,2,FALSE)</f>
        <v>MHGU</v>
      </c>
      <c r="C320" s="46" t="str">
        <f>IF(ISBLANK('KO Calc'!C316)=TRUE,"",'KO Calc'!C316)</f>
        <v>Fatalis (White, Old)</v>
      </c>
      <c r="D320" s="78" t="s">
        <v>207</v>
      </c>
      <c r="E320" s="62" t="str">
        <f t="shared" si="9"/>
        <v>Fatalis (White, Old)Shock Trap</v>
      </c>
      <c r="F320" t="s">
        <v>13</v>
      </c>
      <c r="G320" s="36" t="str">
        <f t="shared" si="10"/>
        <v>Fatalis (White, Old)Crag 3</v>
      </c>
      <c r="H320" s="36" t="str">
        <f>IF(AND($Q$1=FALSE,$S$3=FALSE),"-",IF(AND($Q$1=TRUE,$S$3=TRUE),"-",IF(AND($Q$1=FALSE,$S$3=FALSE),"-",IF(AND($Q$1=TRUE,$S$1=TRUE,$S$4=FALSE)=TRUE,IF(OR($Q$4=TRUE,$Q$5=TRUE,$S$2=TRUE),VLOOKUP($G320,'KO Calc'!$H:$AW,12,FALSE),VLOOKUP($G320,'KO Calc'!$H326:$AW326,12,FALSE)),IF(AND($Q$1=TRUE,$S$4=FALSE),IF(OR($Q$4=TRUE,$Q$5=TRUE,$S$2=TRUE),VLOOKUP($G320,'KO Calc'!$H:$AW,2,FALSE),VLOOKUP($G320,'KO Calc'!$H326:$AW326,2,FALSE)),
IF(AND($Q$1=TRUE,$S$1=TRUE,$S$4=TRUE)=TRUE,IF(OR($Q$4=TRUE,$Q$5=TRUE,$S$2=TRUE),VLOOKUP($G320,'KO Calc'!$H:$AW,17,FALSE),VLOOKUP($G320,'KO Calc'!$H326:$AW326,17,FALSE)),IF(AND($Q$1=TRUE,$S$4=TRUE),IF(OR($Q$4=TRUE,$Q$5=TRUE,$S$2=TRUE),VLOOKUP($G320,'KO Calc'!$H:$AW,7,FALSE),VLOOKUP($G320,'KO Calc'!$H326:$AW326,7,FALSE)),
IF(AND($S$3=TRUE,$S$1=TRUE,$S$4=FALSE)=TRUE,IF(OR($Q$4=TRUE,$Q$5=TRUE,$S$2=TRUE),VLOOKUP($G320,'KO Calc'!$H:$AW,32,FALSE),VLOOKUP($G320,'KO Calc'!$H326:$AW326,32,FALSE)),IF(AND($S$3=TRUE,$S$4=FALSE),IF(OR($Q$4=TRUE,$Q$5=TRUE,$S$2=TRUE),VLOOKUP($G320,'KO Calc'!$H:$AW,22,FALSE),VLOOKUP($G320,'KO Calc'!$H326:$AW326,22,FALSE)),
IF(AND($S$3=TRUE,$S$1=TRUE,$S$4=TRUE)=TRUE,IF(OR($Q$4=TRUE,$Q$5=TRUE,$S$2=TRUE),VLOOKUP($G320,'KO Calc'!$H:$AW,37,FALSE),VLOOKUP($G320,'KO Calc'!$H326:$AW326,37,FALSE)),IF(AND($S$3=TRUE,$S$4=TRUE),IF(OR($Q$4=TRUE,$Q$5=TRUE,$S$2=TRUE),VLOOKUP($G320,'KO Calc'!$H:$AW,27,FALSE),VLOOKUP($G320,'KO Calc'!$H326:$AW326,27,FALSE)))))))))))))</f>
        <v>-</v>
      </c>
      <c r="I320" s="36" t="str">
        <f>IF(AND($Q$1=FALSE,$S$3=FALSE),"-",IF(AND($Q$1=TRUE,$S$3=TRUE),"-",IF(AND($Q$1=FALSE,$S$3=FALSE),"-",IF(AND($Q$1=TRUE,$S$1=TRUE,$S$4=FALSE)=TRUE,IF(OR($Q$4=TRUE,$Q$5=TRUE,$S$2=TRUE),VLOOKUP($G320,'KO Calc'!$H:$AW,13,FALSE),VLOOKUP($G320,'KO Calc'!$H326:$AW326,13,FALSE)),IF(AND($Q$1=TRUE,$S$4=FALSE),IF(OR($Q$4=TRUE,$Q$5=TRUE,$S$2=TRUE),VLOOKUP($G320,'KO Calc'!$H:$AW,3,FALSE),VLOOKUP($G320,'KO Calc'!$H326:$AW326,3,FALSE)),
IF(AND($Q$1=TRUE,$S$1=TRUE,$S$4=TRUE)=TRUE,IF(OR($Q$4=TRUE,$Q$5=TRUE,$S$2=TRUE),VLOOKUP($G320,'KO Calc'!$H:$AW,18,FALSE),VLOOKUP($G320,'KO Calc'!$H326:$AW326,18,FALSE)),IF(AND($Q$1=TRUE,$S$4=TRUE),IF(OR($Q$4=TRUE,$Q$5=TRUE,$S$2=TRUE),VLOOKUP($G320,'KO Calc'!$H:$AW,8,FALSE),VLOOKUP($G320,'KO Calc'!$H326:$AW326,8,FALSE)),
IF(AND($S$3=TRUE,$S$1=TRUE,$S$4=FALSE)=TRUE,IF(OR($Q$4=TRUE,$Q$5=TRUE,$S$2=TRUE),VLOOKUP($G320,'KO Calc'!$H:$AW,33,FALSE),VLOOKUP($G320,'KO Calc'!$H326:$AW326,33,FALSE)),IF(AND($S$3=TRUE,$S$4=FALSE),IF(OR($Q$4=TRUE,$Q$5=TRUE,$S$2=TRUE),VLOOKUP($G320,'KO Calc'!$H:$AW,23,FALSE),VLOOKUP($G320,'KO Calc'!$H326:$AW326,23,FALSE)),
IF(AND($S$3=TRUE,$S$1=TRUE,$S$4=TRUE)=TRUE,IF(OR($Q$4=TRUE,$Q$5=TRUE,$S$2=TRUE),VLOOKUP($G320,'KO Calc'!$H:$AW,38,FALSE),VLOOKUP($G320,'KO Calc'!$H326:$AW326,38,FALSE)),IF(AND($S$3=TRUE,$S$4=TRUE),IF(OR($Q$4=TRUE,$Q$5=TRUE,$S$2=TRUE),VLOOKUP($G320,'KO Calc'!$H:$AW,28,FALSE),VLOOKUP($G320,'KO Calc'!$H326:$AW326,28,FALSE)))))))))))))</f>
        <v>-</v>
      </c>
      <c r="J320" s="36" t="str">
        <f>IF(AND($Q$1=FALSE,$S$3=FALSE),"-",IF(AND($Q$1=TRUE,$S$3=TRUE),"-",IF(AND($Q$1=FALSE,$S$3=FALSE),"-",IF(AND($Q$1=TRUE,$S$1=TRUE,$S$4=FALSE)=TRUE,IF(OR($Q$4=TRUE,$Q$5=TRUE,$S$2=TRUE),VLOOKUP($G320,'KO Calc'!$H:$AW,FALSE),VLOOKUP($G320,'KO Calc'!$H326:$AW326,14,FALSE)),IF(AND($Q$1=TRUE,$S$4=FALSE),IF(OR($Q$4=TRUE,$Q$5=TRUE,$S$2=TRUE),VLOOKUP($G320,'KO Calc'!$H:$AW,4,FALSE),VLOOKUP($G320,'KO Calc'!$H326:$AW326,4,FALSE)),
IF(AND($Q$1=TRUE,$S$1=TRUE,$S$4=TRUE)=TRUE,IF(OR($Q$4=TRUE,$Q$5=TRUE,$S$2=TRUE),VLOOKUP($G320,'KO Calc'!$H:$AW,19,FALSE),VLOOKUP($G320,'KO Calc'!$H326:$AW326,19,FALSE)),IF(AND($Q$1=TRUE,$S$4=TRUE),IF(OR($Q$4=TRUE,$Q$5=TRUE,$S$2=TRUE),VLOOKUP($G320,'KO Calc'!$H:$AW,9,FALSE),VLOOKUP($G320,'KO Calc'!$H326:$AW326,9,FALSE)),
IF(AND($S$3=TRUE,$S$1=TRUE,$S$4=FALSE)=TRUE,IF(OR($Q$4=TRUE,$Q$5=TRUE,$S$2=TRUE),VLOOKUP($G320,'KO Calc'!$H:$AW,34,FALSE),VLOOKUP($G320,'KO Calc'!$H326:$AW326,34,FALSE)),IF(AND($S$3=TRUE,$S$4=FALSE),IF(OR($Q$4=TRUE,$Q$5=TRUE,$S$2=TRUE),VLOOKUP($G320,'KO Calc'!$H:$AW,24,FALSE),VLOOKUP($G320,'KO Calc'!$H326:$AW326,24,FALSE)),
IF(AND($S$3=TRUE,$S$1=TRUE,$S$4=TRUE)=TRUE,IF(OR($Q$4=TRUE,$Q$5=TRUE,$S$2=TRUE),VLOOKUP($G320,'KO Calc'!$H:$AW,39,FALSE),VLOOKUP($G320,'KO Calc'!$H326:$AW326,39,FALSE)),IF(AND($S$3=TRUE,$S$4=TRUE),IF(OR($Q$4=TRUE,$Q$5=TRUE,$S$2=TRUE),VLOOKUP($G320,'KO Calc'!$H:$AW,29,FALSE),VLOOKUP($G320,'KO Calc'!$H326:$AW326,29,FALSE)))))))))))))</f>
        <v>-</v>
      </c>
      <c r="K320" s="36" t="str">
        <f>IF(AND($Q$1=FALSE,$S$3=FALSE),"-",IF(AND($Q$1=TRUE,$S$3=TRUE),"-",IF(AND($Q$1=FALSE,$S$3=FALSE),"-",IF(AND($Q$1=TRUE,$S$1=TRUE,$S$4=FALSE)=TRUE,IF(OR($Q$4=TRUE,$Q$5=TRUE,$S$2=TRUE),VLOOKUP($G320,'KO Calc'!$H:$AW,15,FALSE),VLOOKUP($G320,'KO Calc'!$H326:$AW326,15,FALSE)),IF(AND($Q$1=TRUE,$S$4=FALSE),IF(OR($Q$4=TRUE,$Q$5=TRUE,$S$2=TRUE),VLOOKUP($G320,'KO Calc'!$H:$AW,5,FALSE),VLOOKUP($G320,'KO Calc'!$H326:$AW326,5,FALSE)),
IF(AND($Q$1=TRUE,$S$1=TRUE,$S$4=TRUE)=TRUE,IF(OR($Q$4=TRUE,$Q$5=TRUE,$S$2=TRUE),VLOOKUP($G320,'KO Calc'!$H:$AW,20,FALSE),VLOOKUP($G320,'KO Calc'!$H326:$AW326,20,FALSE)),IF(AND($Q$1=TRUE,$S$4=TRUE),IF(OR($Q$4=TRUE,$Q$5=TRUE,$S$2=TRUE),VLOOKUP($G320,'KO Calc'!$H:$AW,10,FALSE),VLOOKUP($G320,'KO Calc'!$H326:$AW326,10,FALSE)),
IF(AND($S$3=TRUE,$S$1=TRUE,$S$4=FALSE)=TRUE,IF(OR($Q$4=TRUE,$Q$5=TRUE,$S$2=TRUE),VLOOKUP($G320,'KO Calc'!$H:$AW,35,FALSE),VLOOKUP($G320,'KO Calc'!$H326:$AW326,35,FALSE)),IF(AND($S$3=TRUE,$S$4=FALSE),IF(OR($Q$4=TRUE,$Q$5=TRUE,$S$2=TRUE),VLOOKUP($G320,'KO Calc'!$H:$AW,25,FALSE),VLOOKUP($G320,'KO Calc'!$H326:$AW326,25,FALSE)),
IF(AND($S$3=TRUE,$S$1=TRUE,$S$4=TRUE)=TRUE,IF(OR($Q$4=TRUE,$Q$5=TRUE,$S$2=TRUE),VLOOKUP($G320,'KO Calc'!$H:$AW,40,FALSE),VLOOKUP($G320,'KO Calc'!$H326:$AW326,40,FALSE)),IF(AND($S$3=TRUE,$S$4=TRUE),IF(OR($Q$4=TRUE,$Q$5=TRUE,$S$2=TRUE),VLOOKUP($G320,'KO Calc'!$H:$AW,30,FALSE),VLOOKUP($G320,'KO Calc'!$H326:$AW326,30,FALSE)))))))))))))</f>
        <v>-</v>
      </c>
      <c r="L320" s="36" t="str">
        <f>IFERROR(IF(AND($Q$1=FALSE,$S$3=FALSE),"-",VLOOKUP($E320,'Status Thresholds'!$E:$AU,43,FALSE)),"-")</f>
        <v>-</v>
      </c>
      <c r="M320" s="36" t="str">
        <f>IFERROR(IF(AND($Q$1=FALSE,$S$3=FALSE),"-",VLOOKUP($E320,'Status Thresholds'!$E:$AU,41,FALSE)),"-")</f>
        <v>-</v>
      </c>
      <c r="N320" s="36" t="str">
        <f>IFERROR(IF(AND($Q$1=FALSE,$S$3=FALSE),"-",VLOOKUP($E320,'Status Thresholds'!$E:$AU,42,FALSE)),"-")</f>
        <v>-</v>
      </c>
    </row>
    <row r="321" spans="1:14" x14ac:dyDescent="0.25">
      <c r="B321" s="64" t="str">
        <f>VLOOKUP(C321,'Status Thresholds'!B:C,2,FALSE)</f>
        <v>MHGU</v>
      </c>
      <c r="C321" s="46" t="str">
        <f>IF(ISBLANK('KO Calc'!C317)=TRUE,"",'KO Calc'!C317)</f>
        <v>Fatalis (White, Old)</v>
      </c>
      <c r="D321" s="78" t="s">
        <v>213</v>
      </c>
      <c r="E321" s="62" t="str">
        <f t="shared" si="9"/>
        <v>Fatalis (White, Old)Pitfall Trap</v>
      </c>
      <c r="F321" t="s">
        <v>12</v>
      </c>
      <c r="G321" s="36" t="str">
        <f t="shared" si="10"/>
        <v>Fatalis (White, Old)Crag 2</v>
      </c>
      <c r="H321" s="36" t="str">
        <f>IF(AND($Q$1=FALSE,$S$3=FALSE),"-",IF(AND($Q$1=TRUE,$S$3=TRUE),"-",IF(AND($Q$1=FALSE,$S$3=FALSE),"-",IF(AND($Q$1=TRUE,$S$1=TRUE,$S$4=FALSE)=TRUE,IF(OR($Q$4=TRUE,$Q$5=TRUE,$S$2=TRUE),VLOOKUP($G321,'KO Calc'!$H:$AW,12,FALSE),VLOOKUP($G321,'KO Calc'!$H327:$AW327,12,FALSE)),IF(AND($Q$1=TRUE,$S$4=FALSE),IF(OR($Q$4=TRUE,$Q$5=TRUE,$S$2=TRUE),VLOOKUP($G321,'KO Calc'!$H:$AW,2,FALSE),VLOOKUP($G321,'KO Calc'!$H327:$AW327,2,FALSE)),
IF(AND($Q$1=TRUE,$S$1=TRUE,$S$4=TRUE)=TRUE,IF(OR($Q$4=TRUE,$Q$5=TRUE,$S$2=TRUE),VLOOKUP($G321,'KO Calc'!$H:$AW,17,FALSE),VLOOKUP($G321,'KO Calc'!$H327:$AW327,17,FALSE)),IF(AND($Q$1=TRUE,$S$4=TRUE),IF(OR($Q$4=TRUE,$Q$5=TRUE,$S$2=TRUE),VLOOKUP($G321,'KO Calc'!$H:$AW,7,FALSE),VLOOKUP($G321,'KO Calc'!$H327:$AW327,7,FALSE)),
IF(AND($S$3=TRUE,$S$1=TRUE,$S$4=FALSE)=TRUE,IF(OR($Q$4=TRUE,$Q$5=TRUE,$S$2=TRUE),VLOOKUP($G321,'KO Calc'!$H:$AW,32,FALSE),VLOOKUP($G321,'KO Calc'!$H327:$AW327,32,FALSE)),IF(AND($S$3=TRUE,$S$4=FALSE),IF(OR($Q$4=TRUE,$Q$5=TRUE,$S$2=TRUE),VLOOKUP($G321,'KO Calc'!$H:$AW,22,FALSE),VLOOKUP($G321,'KO Calc'!$H327:$AW327,22,FALSE)),
IF(AND($S$3=TRUE,$S$1=TRUE,$S$4=TRUE)=TRUE,IF(OR($Q$4=TRUE,$Q$5=TRUE,$S$2=TRUE),VLOOKUP($G321,'KO Calc'!$H:$AW,37,FALSE),VLOOKUP($G321,'KO Calc'!$H327:$AW327,37,FALSE)),IF(AND($S$3=TRUE,$S$4=TRUE),IF(OR($Q$4=TRUE,$Q$5=TRUE,$S$2=TRUE),VLOOKUP($G321,'KO Calc'!$H:$AW,27,FALSE),VLOOKUP($G321,'KO Calc'!$H327:$AW327,27,FALSE)))))))))))))</f>
        <v>-</v>
      </c>
      <c r="I321" s="36" t="str">
        <f>IF(AND($Q$1=FALSE,$S$3=FALSE),"-",IF(AND($Q$1=TRUE,$S$3=TRUE),"-",IF(AND($Q$1=FALSE,$S$3=FALSE),"-",IF(AND($Q$1=TRUE,$S$1=TRUE,$S$4=FALSE)=TRUE,IF(OR($Q$4=TRUE,$Q$5=TRUE,$S$2=TRUE),VLOOKUP($G321,'KO Calc'!$H:$AW,13,FALSE),VLOOKUP($G321,'KO Calc'!$H327:$AW327,13,FALSE)),IF(AND($Q$1=TRUE,$S$4=FALSE),IF(OR($Q$4=TRUE,$Q$5=TRUE,$S$2=TRUE),VLOOKUP($G321,'KO Calc'!$H:$AW,3,FALSE),VLOOKUP($G321,'KO Calc'!$H327:$AW327,3,FALSE)),
IF(AND($Q$1=TRUE,$S$1=TRUE,$S$4=TRUE)=TRUE,IF(OR($Q$4=TRUE,$Q$5=TRUE,$S$2=TRUE),VLOOKUP($G321,'KO Calc'!$H:$AW,18,FALSE),VLOOKUP($G321,'KO Calc'!$H327:$AW327,18,FALSE)),IF(AND($Q$1=TRUE,$S$4=TRUE),IF(OR($Q$4=TRUE,$Q$5=TRUE,$S$2=TRUE),VLOOKUP($G321,'KO Calc'!$H:$AW,8,FALSE),VLOOKUP($G321,'KO Calc'!$H327:$AW327,8,FALSE)),
IF(AND($S$3=TRUE,$S$1=TRUE,$S$4=FALSE)=TRUE,IF(OR($Q$4=TRUE,$Q$5=TRUE,$S$2=TRUE),VLOOKUP($G321,'KO Calc'!$H:$AW,33,FALSE),VLOOKUP($G321,'KO Calc'!$H327:$AW327,33,FALSE)),IF(AND($S$3=TRUE,$S$4=FALSE),IF(OR($Q$4=TRUE,$Q$5=TRUE,$S$2=TRUE),VLOOKUP($G321,'KO Calc'!$H:$AW,23,FALSE),VLOOKUP($G321,'KO Calc'!$H327:$AW327,23,FALSE)),
IF(AND($S$3=TRUE,$S$1=TRUE,$S$4=TRUE)=TRUE,IF(OR($Q$4=TRUE,$Q$5=TRUE,$S$2=TRUE),VLOOKUP($G321,'KO Calc'!$H:$AW,38,FALSE),VLOOKUP($G321,'KO Calc'!$H327:$AW327,38,FALSE)),IF(AND($S$3=TRUE,$S$4=TRUE),IF(OR($Q$4=TRUE,$Q$5=TRUE,$S$2=TRUE),VLOOKUP($G321,'KO Calc'!$H:$AW,28,FALSE),VLOOKUP($G321,'KO Calc'!$H327:$AW327,28,FALSE)))))))))))))</f>
        <v>-</v>
      </c>
      <c r="J321" s="36" t="str">
        <f>IF(AND($Q$1=FALSE,$S$3=FALSE),"-",IF(AND($Q$1=TRUE,$S$3=TRUE),"-",IF(AND($Q$1=FALSE,$S$3=FALSE),"-",IF(AND($Q$1=TRUE,$S$1=TRUE,$S$4=FALSE)=TRUE,IF(OR($Q$4=TRUE,$Q$5=TRUE,$S$2=TRUE),VLOOKUP($G321,'KO Calc'!$H:$AW,FALSE),VLOOKUP($G321,'KO Calc'!$H327:$AW327,14,FALSE)),IF(AND($Q$1=TRUE,$S$4=FALSE),IF(OR($Q$4=TRUE,$Q$5=TRUE,$S$2=TRUE),VLOOKUP($G321,'KO Calc'!$H:$AW,4,FALSE),VLOOKUP($G321,'KO Calc'!$H327:$AW327,4,FALSE)),
IF(AND($Q$1=TRUE,$S$1=TRUE,$S$4=TRUE)=TRUE,IF(OR($Q$4=TRUE,$Q$5=TRUE,$S$2=TRUE),VLOOKUP($G321,'KO Calc'!$H:$AW,19,FALSE),VLOOKUP($G321,'KO Calc'!$H327:$AW327,19,FALSE)),IF(AND($Q$1=TRUE,$S$4=TRUE),IF(OR($Q$4=TRUE,$Q$5=TRUE,$S$2=TRUE),VLOOKUP($G321,'KO Calc'!$H:$AW,9,FALSE),VLOOKUP($G321,'KO Calc'!$H327:$AW327,9,FALSE)),
IF(AND($S$3=TRUE,$S$1=TRUE,$S$4=FALSE)=TRUE,IF(OR($Q$4=TRUE,$Q$5=TRUE,$S$2=TRUE),VLOOKUP($G321,'KO Calc'!$H:$AW,34,FALSE),VLOOKUP($G321,'KO Calc'!$H327:$AW327,34,FALSE)),IF(AND($S$3=TRUE,$S$4=FALSE),IF(OR($Q$4=TRUE,$Q$5=TRUE,$S$2=TRUE),VLOOKUP($G321,'KO Calc'!$H:$AW,24,FALSE),VLOOKUP($G321,'KO Calc'!$H327:$AW327,24,FALSE)),
IF(AND($S$3=TRUE,$S$1=TRUE,$S$4=TRUE)=TRUE,IF(OR($Q$4=TRUE,$Q$5=TRUE,$S$2=TRUE),VLOOKUP($G321,'KO Calc'!$H:$AW,39,FALSE),VLOOKUP($G321,'KO Calc'!$H327:$AW327,39,FALSE)),IF(AND($S$3=TRUE,$S$4=TRUE),IF(OR($Q$4=TRUE,$Q$5=TRUE,$S$2=TRUE),VLOOKUP($G321,'KO Calc'!$H:$AW,29,FALSE),VLOOKUP($G321,'KO Calc'!$H327:$AW327,29,FALSE)))))))))))))</f>
        <v>-</v>
      </c>
      <c r="K321" s="36" t="str">
        <f>IF(AND($Q$1=FALSE,$S$3=FALSE),"-",IF(AND($Q$1=TRUE,$S$3=TRUE),"-",IF(AND($Q$1=FALSE,$S$3=FALSE),"-",IF(AND($Q$1=TRUE,$S$1=TRUE,$S$4=FALSE)=TRUE,IF(OR($Q$4=TRUE,$Q$5=TRUE,$S$2=TRUE),VLOOKUP($G321,'KO Calc'!$H:$AW,15,FALSE),VLOOKUP($G321,'KO Calc'!$H327:$AW327,15,FALSE)),IF(AND($Q$1=TRUE,$S$4=FALSE),IF(OR($Q$4=TRUE,$Q$5=TRUE,$S$2=TRUE),VLOOKUP($G321,'KO Calc'!$H:$AW,5,FALSE),VLOOKUP($G321,'KO Calc'!$H327:$AW327,5,FALSE)),
IF(AND($Q$1=TRUE,$S$1=TRUE,$S$4=TRUE)=TRUE,IF(OR($Q$4=TRUE,$Q$5=TRUE,$S$2=TRUE),VLOOKUP($G321,'KO Calc'!$H:$AW,20,FALSE),VLOOKUP($G321,'KO Calc'!$H327:$AW327,20,FALSE)),IF(AND($Q$1=TRUE,$S$4=TRUE),IF(OR($Q$4=TRUE,$Q$5=TRUE,$S$2=TRUE),VLOOKUP($G321,'KO Calc'!$H:$AW,10,FALSE),VLOOKUP($G321,'KO Calc'!$H327:$AW327,10,FALSE)),
IF(AND($S$3=TRUE,$S$1=TRUE,$S$4=FALSE)=TRUE,IF(OR($Q$4=TRUE,$Q$5=TRUE,$S$2=TRUE),VLOOKUP($G321,'KO Calc'!$H:$AW,35,FALSE),VLOOKUP($G321,'KO Calc'!$H327:$AW327,35,FALSE)),IF(AND($S$3=TRUE,$S$4=FALSE),IF(OR($Q$4=TRUE,$Q$5=TRUE,$S$2=TRUE),VLOOKUP($G321,'KO Calc'!$H:$AW,25,FALSE),VLOOKUP($G321,'KO Calc'!$H327:$AW327,25,FALSE)),
IF(AND($S$3=TRUE,$S$1=TRUE,$S$4=TRUE)=TRUE,IF(OR($Q$4=TRUE,$Q$5=TRUE,$S$2=TRUE),VLOOKUP($G321,'KO Calc'!$H:$AW,40,FALSE),VLOOKUP($G321,'KO Calc'!$H327:$AW327,40,FALSE)),IF(AND($S$3=TRUE,$S$4=TRUE),IF(OR($Q$4=TRUE,$Q$5=TRUE,$S$2=TRUE),VLOOKUP($G321,'KO Calc'!$H:$AW,30,FALSE),VLOOKUP($G321,'KO Calc'!$H327:$AW327,30,FALSE)))))))))))))</f>
        <v>-</v>
      </c>
      <c r="L321" s="36" t="str">
        <f>IFERROR(IF(AND($Q$1=FALSE,$S$3=FALSE),"-",VLOOKUP($E321,'Status Thresholds'!$E:$AU,43,FALSE)),"-")</f>
        <v>-</v>
      </c>
      <c r="M321" s="36" t="str">
        <f>IFERROR(IF(AND($Q$1=FALSE,$S$3=FALSE),"-",VLOOKUP($E321,'Status Thresholds'!$E:$AU,41,FALSE)),"-")</f>
        <v>-</v>
      </c>
      <c r="N321" s="36" t="str">
        <f>IFERROR(IF(AND($Q$1=FALSE,$S$3=FALSE),"-",VLOOKUP($E321,'Status Thresholds'!$E:$AU,42,FALSE)),"-")</f>
        <v>-</v>
      </c>
    </row>
    <row r="322" spans="1:14" x14ac:dyDescent="0.25">
      <c r="B322" s="64" t="str">
        <f>VLOOKUP(C322,'Status Thresholds'!B:C,2,FALSE)</f>
        <v>MHGU</v>
      </c>
      <c r="C322" s="46" t="str">
        <f>IF(ISBLANK('KO Calc'!C318)=TRUE,"",'KO Calc'!C318)</f>
        <v>Fatalis (White, Old)</v>
      </c>
      <c r="D322" s="78"/>
      <c r="E322" s="62" t="str">
        <f t="shared" si="9"/>
        <v>Fatalis (White, Old)</v>
      </c>
      <c r="F322" t="s">
        <v>11</v>
      </c>
      <c r="G322" s="36" t="str">
        <f t="shared" si="10"/>
        <v>Fatalis (White, Old)Crag 1</v>
      </c>
      <c r="H322" s="36" t="str">
        <f>IF(AND($Q$1=FALSE,$S$3=FALSE),"-",IF(AND($Q$1=TRUE,$S$3=TRUE),"-",IF(AND($Q$1=FALSE,$S$3=FALSE),"-",IF(AND($Q$1=TRUE,$S$1=TRUE,$S$4=FALSE)=TRUE,IF(OR($Q$4=TRUE,$Q$5=TRUE,$S$2=TRUE),VLOOKUP($G322,'KO Calc'!$H:$AW,12,FALSE),VLOOKUP($G322,'KO Calc'!$H328:$AW328,12,FALSE)),IF(AND($Q$1=TRUE,$S$4=FALSE),IF(OR($Q$4=TRUE,$Q$5=TRUE,$S$2=TRUE),VLOOKUP($G322,'KO Calc'!$H:$AW,2,FALSE),VLOOKUP($G322,'KO Calc'!$H328:$AW328,2,FALSE)),
IF(AND($Q$1=TRUE,$S$1=TRUE,$S$4=TRUE)=TRUE,IF(OR($Q$4=TRUE,$Q$5=TRUE,$S$2=TRUE),VLOOKUP($G322,'KO Calc'!$H:$AW,17,FALSE),VLOOKUP($G322,'KO Calc'!$H328:$AW328,17,FALSE)),IF(AND($Q$1=TRUE,$S$4=TRUE),IF(OR($Q$4=TRUE,$Q$5=TRUE,$S$2=TRUE),VLOOKUP($G322,'KO Calc'!$H:$AW,7,FALSE),VLOOKUP($G322,'KO Calc'!$H328:$AW328,7,FALSE)),
IF(AND($S$3=TRUE,$S$1=TRUE,$S$4=FALSE)=TRUE,IF(OR($Q$4=TRUE,$Q$5=TRUE,$S$2=TRUE),VLOOKUP($G322,'KO Calc'!$H:$AW,32,FALSE),VLOOKUP($G322,'KO Calc'!$H328:$AW328,32,FALSE)),IF(AND($S$3=TRUE,$S$4=FALSE),IF(OR($Q$4=TRUE,$Q$5=TRUE,$S$2=TRUE),VLOOKUP($G322,'KO Calc'!$H:$AW,22,FALSE),VLOOKUP($G322,'KO Calc'!$H328:$AW328,22,FALSE)),
IF(AND($S$3=TRUE,$S$1=TRUE,$S$4=TRUE)=TRUE,IF(OR($Q$4=TRUE,$Q$5=TRUE,$S$2=TRUE),VLOOKUP($G322,'KO Calc'!$H:$AW,37,FALSE),VLOOKUP($G322,'KO Calc'!$H328:$AW328,37,FALSE)),IF(AND($S$3=TRUE,$S$4=TRUE),IF(OR($Q$4=TRUE,$Q$5=TRUE,$S$2=TRUE),VLOOKUP($G322,'KO Calc'!$H:$AW,27,FALSE),VLOOKUP($G322,'KO Calc'!$H328:$AW328,27,FALSE)))))))))))))</f>
        <v>-</v>
      </c>
      <c r="I322" s="36" t="str">
        <f>IF(AND($Q$1=FALSE,$S$3=FALSE),"-",IF(AND($Q$1=TRUE,$S$3=TRUE),"-",IF(AND($Q$1=FALSE,$S$3=FALSE),"-",IF(AND($Q$1=TRUE,$S$1=TRUE,$S$4=FALSE)=TRUE,IF(OR($Q$4=TRUE,$Q$5=TRUE,$S$2=TRUE),VLOOKUP($G322,'KO Calc'!$H:$AW,13,FALSE),VLOOKUP($G322,'KO Calc'!$H328:$AW328,13,FALSE)),IF(AND($Q$1=TRUE,$S$4=FALSE),IF(OR($Q$4=TRUE,$Q$5=TRUE,$S$2=TRUE),VLOOKUP($G322,'KO Calc'!$H:$AW,3,FALSE),VLOOKUP($G322,'KO Calc'!$H328:$AW328,3,FALSE)),
IF(AND($Q$1=TRUE,$S$1=TRUE,$S$4=TRUE)=TRUE,IF(OR($Q$4=TRUE,$Q$5=TRUE,$S$2=TRUE),VLOOKUP($G322,'KO Calc'!$H:$AW,18,FALSE),VLOOKUP($G322,'KO Calc'!$H328:$AW328,18,FALSE)),IF(AND($Q$1=TRUE,$S$4=TRUE),IF(OR($Q$4=TRUE,$Q$5=TRUE,$S$2=TRUE),VLOOKUP($G322,'KO Calc'!$H:$AW,8,FALSE),VLOOKUP($G322,'KO Calc'!$H328:$AW328,8,FALSE)),
IF(AND($S$3=TRUE,$S$1=TRUE,$S$4=FALSE)=TRUE,IF(OR($Q$4=TRUE,$Q$5=TRUE,$S$2=TRUE),VLOOKUP($G322,'KO Calc'!$H:$AW,33,FALSE),VLOOKUP($G322,'KO Calc'!$H328:$AW328,33,FALSE)),IF(AND($S$3=TRUE,$S$4=FALSE),IF(OR($Q$4=TRUE,$Q$5=TRUE,$S$2=TRUE),VLOOKUP($G322,'KO Calc'!$H:$AW,23,FALSE),VLOOKUP($G322,'KO Calc'!$H328:$AW328,23,FALSE)),
IF(AND($S$3=TRUE,$S$1=TRUE,$S$4=TRUE)=TRUE,IF(OR($Q$4=TRUE,$Q$5=TRUE,$S$2=TRUE),VLOOKUP($G322,'KO Calc'!$H:$AW,38,FALSE),VLOOKUP($G322,'KO Calc'!$H328:$AW328,38,FALSE)),IF(AND($S$3=TRUE,$S$4=TRUE),IF(OR($Q$4=TRUE,$Q$5=TRUE,$S$2=TRUE),VLOOKUP($G322,'KO Calc'!$H:$AW,28,FALSE),VLOOKUP($G322,'KO Calc'!$H328:$AW328,28,FALSE)))))))))))))</f>
        <v>-</v>
      </c>
      <c r="J322" s="36" t="str">
        <f>IF(AND($Q$1=FALSE,$S$3=FALSE),"-",IF(AND($Q$1=TRUE,$S$3=TRUE),"-",IF(AND($Q$1=FALSE,$S$3=FALSE),"-",IF(AND($Q$1=TRUE,$S$1=TRUE,$S$4=FALSE)=TRUE,IF(OR($Q$4=TRUE,$Q$5=TRUE,$S$2=TRUE),VLOOKUP($G322,'KO Calc'!$H:$AW,FALSE),VLOOKUP($G322,'KO Calc'!$H328:$AW328,14,FALSE)),IF(AND($Q$1=TRUE,$S$4=FALSE),IF(OR($Q$4=TRUE,$Q$5=TRUE,$S$2=TRUE),VLOOKUP($G322,'KO Calc'!$H:$AW,4,FALSE),VLOOKUP($G322,'KO Calc'!$H328:$AW328,4,FALSE)),
IF(AND($Q$1=TRUE,$S$1=TRUE,$S$4=TRUE)=TRUE,IF(OR($Q$4=TRUE,$Q$5=TRUE,$S$2=TRUE),VLOOKUP($G322,'KO Calc'!$H:$AW,19,FALSE),VLOOKUP($G322,'KO Calc'!$H328:$AW328,19,FALSE)),IF(AND($Q$1=TRUE,$S$4=TRUE),IF(OR($Q$4=TRUE,$Q$5=TRUE,$S$2=TRUE),VLOOKUP($G322,'KO Calc'!$H:$AW,9,FALSE),VLOOKUP($G322,'KO Calc'!$H328:$AW328,9,FALSE)),
IF(AND($S$3=TRUE,$S$1=TRUE,$S$4=FALSE)=TRUE,IF(OR($Q$4=TRUE,$Q$5=TRUE,$S$2=TRUE),VLOOKUP($G322,'KO Calc'!$H:$AW,34,FALSE),VLOOKUP($G322,'KO Calc'!$H328:$AW328,34,FALSE)),IF(AND($S$3=TRUE,$S$4=FALSE),IF(OR($Q$4=TRUE,$Q$5=TRUE,$S$2=TRUE),VLOOKUP($G322,'KO Calc'!$H:$AW,24,FALSE),VLOOKUP($G322,'KO Calc'!$H328:$AW328,24,FALSE)),
IF(AND($S$3=TRUE,$S$1=TRUE,$S$4=TRUE)=TRUE,IF(OR($Q$4=TRUE,$Q$5=TRUE,$S$2=TRUE),VLOOKUP($G322,'KO Calc'!$H:$AW,39,FALSE),VLOOKUP($G322,'KO Calc'!$H328:$AW328,39,FALSE)),IF(AND($S$3=TRUE,$S$4=TRUE),IF(OR($Q$4=TRUE,$Q$5=TRUE,$S$2=TRUE),VLOOKUP($G322,'KO Calc'!$H:$AW,29,FALSE),VLOOKUP($G322,'KO Calc'!$H328:$AW328,29,FALSE)))))))))))))</f>
        <v>-</v>
      </c>
      <c r="K322" s="36" t="str">
        <f>IF(AND($Q$1=FALSE,$S$3=FALSE),"-",IF(AND($Q$1=TRUE,$S$3=TRUE),"-",IF(AND($Q$1=FALSE,$S$3=FALSE),"-",IF(AND($Q$1=TRUE,$S$1=TRUE,$S$4=FALSE)=TRUE,IF(OR($Q$4=TRUE,$Q$5=TRUE,$S$2=TRUE),VLOOKUP($G322,'KO Calc'!$H:$AW,15,FALSE),VLOOKUP($G322,'KO Calc'!$H328:$AW328,15,FALSE)),IF(AND($Q$1=TRUE,$S$4=FALSE),IF(OR($Q$4=TRUE,$Q$5=TRUE,$S$2=TRUE),VLOOKUP($G322,'KO Calc'!$H:$AW,5,FALSE),VLOOKUP($G322,'KO Calc'!$H328:$AW328,5,FALSE)),
IF(AND($Q$1=TRUE,$S$1=TRUE,$S$4=TRUE)=TRUE,IF(OR($Q$4=TRUE,$Q$5=TRUE,$S$2=TRUE),VLOOKUP($G322,'KO Calc'!$H:$AW,20,FALSE),VLOOKUP($G322,'KO Calc'!$H328:$AW328,20,FALSE)),IF(AND($Q$1=TRUE,$S$4=TRUE),IF(OR($Q$4=TRUE,$Q$5=TRUE,$S$2=TRUE),VLOOKUP($G322,'KO Calc'!$H:$AW,10,FALSE),VLOOKUP($G322,'KO Calc'!$H328:$AW328,10,FALSE)),
IF(AND($S$3=TRUE,$S$1=TRUE,$S$4=FALSE)=TRUE,IF(OR($Q$4=TRUE,$Q$5=TRUE,$S$2=TRUE),VLOOKUP($G322,'KO Calc'!$H:$AW,35,FALSE),VLOOKUP($G322,'KO Calc'!$H328:$AW328,35,FALSE)),IF(AND($S$3=TRUE,$S$4=FALSE),IF(OR($Q$4=TRUE,$Q$5=TRUE,$S$2=TRUE),VLOOKUP($G322,'KO Calc'!$H:$AW,25,FALSE),VLOOKUP($G322,'KO Calc'!$H328:$AW328,25,FALSE)),
IF(AND($S$3=TRUE,$S$1=TRUE,$S$4=TRUE)=TRUE,IF(OR($Q$4=TRUE,$Q$5=TRUE,$S$2=TRUE),VLOOKUP($G322,'KO Calc'!$H:$AW,40,FALSE),VLOOKUP($G322,'KO Calc'!$H328:$AW328,40,FALSE)),IF(AND($S$3=TRUE,$S$4=TRUE),IF(OR($Q$4=TRUE,$Q$5=TRUE,$S$2=TRUE),VLOOKUP($G322,'KO Calc'!$H:$AW,30,FALSE),VLOOKUP($G322,'KO Calc'!$H328:$AW328,30,FALSE)))))))))))))</f>
        <v>-</v>
      </c>
      <c r="L322" s="36" t="str">
        <f>IFERROR(VLOOKUP($E322,'Status Thresholds'!$E:$AS,41,FALSE),"-")</f>
        <v>-</v>
      </c>
    </row>
    <row r="323" spans="1:14" x14ac:dyDescent="0.25">
      <c r="B323" s="64" t="str">
        <f>VLOOKUP(C323,'Status Thresholds'!B:C,2,FALSE)</f>
        <v>MHGU</v>
      </c>
      <c r="C323" s="46" t="str">
        <f>IF(ISBLANK('KO Calc'!C319)=TRUE,"",'KO Calc'!C319)</f>
        <v>Fatalis (White, Old)</v>
      </c>
      <c r="D323" s="78"/>
      <c r="E323" s="62"/>
      <c r="G323" s="36"/>
      <c r="L323" s="36" t="str">
        <f>IFERROR(VLOOKUP($E323,'Status Thresholds'!$E:$AS,41,FALSE),"-")</f>
        <v>-</v>
      </c>
    </row>
    <row r="324" spans="1:14" s="36" customFormat="1" x14ac:dyDescent="0.25">
      <c r="B324" s="64" t="str">
        <f>VLOOKUP(C324,'Status Thresholds'!B:C,2,FALSE)</f>
        <v>MHGen</v>
      </c>
      <c r="C324" s="46" t="str">
        <f>IF(ISBLANK('KO Calc'!C320)=TRUE,"",'KO Calc'!C320)</f>
        <v>Gammoth</v>
      </c>
      <c r="D324" s="65" t="s">
        <v>0</v>
      </c>
      <c r="E324" s="62" t="str">
        <f t="shared" si="9"/>
        <v>GammothPara</v>
      </c>
      <c r="F324" s="36" t="s">
        <v>2</v>
      </c>
      <c r="G324" s="36" t="str">
        <f t="shared" si="10"/>
        <v>GammothPara lvl 2</v>
      </c>
      <c r="H324" s="36" t="str">
        <f>IFERROR(ROUNDUP(IF(AND($Q$1=FALSE,$S$3=FALSE),"-",IF(AND($Q$1=TRUE,$S$3=TRUE),"-",IF(AND($Q$1=TRUE,$S$1=TRUE,$S$4=FALSE),VLOOKUP($E324,'Status Thresholds'!$E:$AS,12,FALSE),IF(AND($Q$1=TRUE,$S$4=FALSE),VLOOKUP($E324,'Status Thresholds'!$E:$AS,2,FALSE), IF(AND($Q$1=TRUE,$S$1=TRUE,$S$4=TRUE),VLOOKUP($E324,'Status Thresholds'!$E:$AS,17,FALSE),IF(AND($Q$1=TRUE,$S$4=TRUE),VLOOKUP($E324,'Status Thresholds'!$E:$AS,7,FALSE),IF(AND($S$3=TRUE,$S$1=TRUE,$S$4=FALSE),VLOOKUP($E324,'Status Thresholds'!$E:$AS,32,FALSE),IF(AND($S$3=TRUE,$S$4=FALSE),VLOOKUP($E324,'Status Thresholds'!$E:$AS,22,FALSE),IF(AND($S$3=TRUE,$S$1=TRUE,$S$4=TRUE),VLOOKUP($E324,'Status Thresholds'!$E:$AS,37,FALSE),IF(AND($S$3=TRUE,$S$4=TRUE),VLOOKUP($E324,'Status Thresholds'!$E:$AS,27,FALSE),""))))))))/IF(OR($Q$3=TRUE,AND($Q$2=TRUE,$Q$7=TRUE),AND($Q$3=TRUE,$Q$7=TRUE))=TRUE,'Shots and Status'!$F$5,IF((OR($Q$2,$Q$7)=TRUE),'Shots and Status'!$D$5,'Shots and Status'!$C$5)))),0),"-")</f>
        <v>-</v>
      </c>
      <c r="I324" s="36" t="str">
        <f>IFERROR(ROUNDUP(IF(AND($Q$1=FALSE,$S$3=FALSE),"-",IF(AND($Q$1=TRUE,$S$3=TRUE),"-",IF(AND($Q$1=TRUE,$S$1=TRUE,$S$4=FALSE),VLOOKUP($E324,'Status Thresholds'!$E:$AS,13,FALSE),IF(AND($Q$1=TRUE,$S$4=FALSE),VLOOKUP($E324,'Status Thresholds'!$E:$AS,3,FALSE), IF(AND($Q$1=TRUE,$S$1=TRUE,$S$4=TRUE),VLOOKUP($E324,'Status Thresholds'!$E:$AS,18,FALSE),IF(AND($Q$1=TRUE,$S$4=TRUE),VLOOKUP($E324,'Status Thresholds'!$E:$AS,8,FALSE),IF(AND($S$3=TRUE,$S$1=TRUE,$S$4=FALSE),VLOOKUP($E324,'Status Thresholds'!$E:$AS,33,FALSE),IF(AND($S$3=TRUE,$S$4=FALSE),VLOOKUP($E324,'Status Thresholds'!$E:$AS,23,FALSE),IF(AND($S$3=TRUE,$S$1=TRUE,$S$4=TRUE),VLOOKUP($E324,'Status Thresholds'!$E:$AS,38,FALSE),IF(AND($S$3=TRUE,$S$4=TRUE),VLOOKUP($E324,'Status Thresholds'!$E:$AS,28,FALSE),""))))))))/IF(OR($Q$3=TRUE,AND($Q$2=TRUE,$Q$7=TRUE),AND($Q$3=TRUE,$Q$7=TRUE))=TRUE,'Shots and Status'!$F$5,IF((OR($Q$2,$Q$7)=TRUE),'Shots and Status'!$D$5,'Shots and Status'!$C$5)))),0),"-")</f>
        <v>-</v>
      </c>
      <c r="J324" s="36" t="str">
        <f>IFERROR(ROUNDUP(IF(AND($Q$1=FALSE,$S$3=FALSE),"-",IF(AND($Q$1=TRUE,$S$3=TRUE),"-",IF(AND($Q$1=TRUE,$S$1=TRUE,$S$4=FALSE),VLOOKUP($E324,'Status Thresholds'!$E:$AS,14,FALSE),IF(AND($Q$1=TRUE,$S$4=FALSE),VLOOKUP($E324,'Status Thresholds'!$E:$AS,4,FALSE), IF(AND($Q$1=TRUE,$S$1=TRUE,$S$4=TRUE),VLOOKUP($E324,'Status Thresholds'!$E:$AS,19,FALSE),IF(AND($Q$1=TRUE,$S$4=TRUE),VLOOKUP($E324,'Status Thresholds'!$E:$AS,9,FALSE),IF(AND($S$3=TRUE,$S$1=TRUE,$S$4=FALSE),VLOOKUP($E324,'Status Thresholds'!$E:$AS,34,FALSE),IF(AND($S$3=TRUE,$S$4=FALSE),VLOOKUP($E324,'Status Thresholds'!$E:$AS,24,FALSE),IF(AND($S$3=TRUE,$S$1=TRUE,$S$4=TRUE),VLOOKUP($E324,'Status Thresholds'!$E:$AS,39,FALSE),IF(AND($S$3=TRUE,$S$4=TRUE),VLOOKUP($E324,'Status Thresholds'!$E:$AS,29,FALSE),""))))))))/IF(OR($Q$3=TRUE,AND($Q$2=TRUE,$Q$7=TRUE),AND($Q$3=TRUE,$Q$7=TRUE))=TRUE,'Shots and Status'!$F$5,IF((OR($Q$2,$Q$7)=TRUE),'Shots and Status'!$D$5,'Shots and Status'!$C$5)))),0),"-")</f>
        <v>-</v>
      </c>
      <c r="K324" s="36" t="str">
        <f>IFERROR(ROUNDUP(IF(AND($Q$1=FALSE,$S$3=FALSE),"-",IF(AND($Q$1=TRUE,$S$3=TRUE),"-",IF(AND($Q$1=TRUE,$S$1=TRUE,$S$4=FALSE),VLOOKUP($E324,'Status Thresholds'!$E:$AS,15,FALSE),IF(AND($Q$1=TRUE,$S$4=FALSE),VLOOKUP($E324,'Status Thresholds'!$E:$AS,5,FALSE), IF(AND($Q$1=TRUE,$S$1=TRUE,$S$4=TRUE),VLOOKUP($E324,'Status Thresholds'!$E:$AS,20,FALSE),IF(AND($Q$1=TRUE,$S$4=TRUE),VLOOKUP($E324,'Status Thresholds'!$E:$AS,10,FALSE),IF(AND($S$3=TRUE,$S$1=TRUE,$S$4=FALSE),VLOOKUP($E324,'Status Thresholds'!$E:$AS,35,FALSE),IF(AND($S$3=TRUE,$S$4=FALSE),VLOOKUP($E324,'Status Thresholds'!$E:$AS,25,FALSE),IF(AND($S$3=TRUE,$S$1=TRUE,$S$4=TRUE),VLOOKUP($E324,'Status Thresholds'!$E:$AS,40,FALSE),IF(AND($S$3=TRUE,$S$4=TRUE),VLOOKUP($E324,'Status Thresholds'!$E:$AS,30,FALSE),""))))))))/IF(OR($Q$3=TRUE,AND($Q$2=TRUE,$Q$7=TRUE),AND($Q$3=TRUE,$Q$7=TRUE))=TRUE,'Shots and Status'!$F$5,IF((OR($Q$2,$Q$7)=TRUE),'Shots and Status'!$D$5,'Shots and Status'!$C$5)))),0),"-")</f>
        <v>-</v>
      </c>
      <c r="L324" s="36" t="str">
        <f>IFERROR(IF(AND($Q$1=FALSE,$S$3=FALSE),"-",VLOOKUP($E324,'Status Thresholds'!$E:$AU,41,FALSE)),"-")</f>
        <v>-</v>
      </c>
      <c r="M324" s="36" t="str">
        <f>IFERROR(IF(AND($Q$1=FALSE,$S$3=FALSE),"-",VLOOKUP($E324,'Status Thresholds'!$E:$AU,42,FALSE)),"-")</f>
        <v>-</v>
      </c>
      <c r="N324" s="36" t="str">
        <f>IFERROR(IF(AND($Q$1=FALSE,$S$3=FALSE),"-",VLOOKUP($E324,'Status Thresholds'!$E:$AU,43,FALSE)),"-")</f>
        <v>-</v>
      </c>
    </row>
    <row r="325" spans="1:14" s="59" customFormat="1" x14ac:dyDescent="0.25">
      <c r="A325" s="46"/>
      <c r="B325" s="64" t="str">
        <f>VLOOKUP(C325,'Status Thresholds'!B:C,2,FALSE)</f>
        <v>MHGen</v>
      </c>
      <c r="C325" s="46" t="str">
        <f>IF(ISBLANK('KO Calc'!C321)=TRUE,"",'KO Calc'!C321)</f>
        <v>Gammoth</v>
      </c>
      <c r="D325" s="60" t="s">
        <v>32</v>
      </c>
      <c r="E325" s="62" t="str">
        <f t="shared" si="9"/>
        <v>GammothSleep</v>
      </c>
      <c r="F325" s="59" t="s">
        <v>5</v>
      </c>
      <c r="G325" s="36" t="str">
        <f t="shared" si="10"/>
        <v>GammothSleep lvl 2</v>
      </c>
      <c r="H325" s="36" t="str">
        <f>IFERROR(ROUNDUP(IF(AND($Q$1=FALSE,$S$3=FALSE),"-",IF(AND($Q$1=TRUE,$S$3=TRUE),"-",IF(AND($Q$1=TRUE,$S$1=TRUE,$S$4=FALSE),VLOOKUP($E325,'Status Thresholds'!$E:$AS,12,FALSE),IF(AND($Q$1=TRUE,$S$4=FALSE),VLOOKUP($E325,'Status Thresholds'!$E:$AS,2,FALSE), IF(AND($Q$1=TRUE,$S$1=TRUE,$S$4=TRUE),VLOOKUP($E325,'Status Thresholds'!$E:$AS,17,FALSE),IF(AND($Q$1=TRUE,$S$4=TRUE),VLOOKUP($E325,'Status Thresholds'!$E:$AS,7,FALSE),IF(AND($S$3=TRUE,$S$1=TRUE,$S$4=FALSE),VLOOKUP($E325,'Status Thresholds'!$E:$AS,32,FALSE),IF(AND($S$3=TRUE,$S$4=FALSE),VLOOKUP($E325,'Status Thresholds'!$E:$AS,22,FALSE),IF(AND($S$3=TRUE,$S$1=TRUE,$S$4=TRUE),VLOOKUP($E325,'Status Thresholds'!$E:$AS,37,FALSE),IF(AND($S$3=TRUE,$S$4=TRUE),VLOOKUP($E325,'Status Thresholds'!$E:$AS,27,FALSE),""))))))))/IF(OR($Q$3=TRUE,AND($Q$2=TRUE,$Q$7=TRUE),AND($Q$3=TRUE,$Q$7=TRUE))=TRUE,'Shots and Status'!$F$5,IF((OR($Q$2,$Q$7)=TRUE),'Shots and Status'!$D$5,'Shots and Status'!$C$5)))),0),"-")</f>
        <v>-</v>
      </c>
      <c r="I325" s="36" t="str">
        <f>IFERROR(ROUNDUP(IF(AND($Q$1=FALSE,$S$3=FALSE),"-",IF(AND($Q$1=TRUE,$S$3=TRUE),"-",IF(AND($Q$1=TRUE,$S$1=TRUE,$S$4=FALSE),VLOOKUP($E325,'Status Thresholds'!$E:$AS,13,FALSE),IF(AND($Q$1=TRUE,$S$4=FALSE),VLOOKUP($E325,'Status Thresholds'!$E:$AS,3,FALSE), IF(AND($Q$1=TRUE,$S$1=TRUE,$S$4=TRUE),VLOOKUP($E325,'Status Thresholds'!$E:$AS,18,FALSE),IF(AND($Q$1=TRUE,$S$4=TRUE),VLOOKUP($E325,'Status Thresholds'!$E:$AS,8,FALSE),IF(AND($S$3=TRUE,$S$1=TRUE,$S$4=FALSE),VLOOKUP($E325,'Status Thresholds'!$E:$AS,33,FALSE),IF(AND($S$3=TRUE,$S$4=FALSE),VLOOKUP($E325,'Status Thresholds'!$E:$AS,23,FALSE),IF(AND($S$3=TRUE,$S$1=TRUE,$S$4=TRUE),VLOOKUP($E325,'Status Thresholds'!$E:$AS,38,FALSE),IF(AND($S$3=TRUE,$S$4=TRUE),VLOOKUP($E325,'Status Thresholds'!$E:$AS,28,FALSE),""))))))))/IF(OR($Q$3=TRUE,AND($Q$2=TRUE,$Q$7=TRUE),AND($Q$3=TRUE,$Q$7=TRUE))=TRUE,'Shots and Status'!$F$5,IF((OR($Q$2,$Q$7)=TRUE),'Shots and Status'!$D$5,'Shots and Status'!$C$5)))),0),"-")</f>
        <v>-</v>
      </c>
      <c r="J325" s="36" t="str">
        <f>IFERROR(ROUNDUP(IF(AND($Q$1=FALSE,$S$3=FALSE),"-",IF(AND($Q$1=TRUE,$S$3=TRUE),"-",IF(AND($Q$1=TRUE,$S$1=TRUE,$S$4=FALSE),VLOOKUP($E325,'Status Thresholds'!$E:$AS,14,FALSE),IF(AND($Q$1=TRUE,$S$4=FALSE),VLOOKUP($E325,'Status Thresholds'!$E:$AS,4,FALSE), IF(AND($Q$1=TRUE,$S$1=TRUE,$S$4=TRUE),VLOOKUP($E325,'Status Thresholds'!$E:$AS,19,FALSE),IF(AND($Q$1=TRUE,$S$4=TRUE),VLOOKUP($E325,'Status Thresholds'!$E:$AS,9,FALSE),IF(AND($S$3=TRUE,$S$1=TRUE,$S$4=FALSE),VLOOKUP($E325,'Status Thresholds'!$E:$AS,34,FALSE),IF(AND($S$3=TRUE,$S$4=FALSE),VLOOKUP($E325,'Status Thresholds'!$E:$AS,24,FALSE),IF(AND($S$3=TRUE,$S$1=TRUE,$S$4=TRUE),VLOOKUP($E325,'Status Thresholds'!$E:$AS,39,FALSE),IF(AND($S$3=TRUE,$S$4=TRUE),VLOOKUP($E325,'Status Thresholds'!$E:$AS,29,FALSE),""))))))))/IF(OR($Q$3=TRUE,AND($Q$2=TRUE,$Q$7=TRUE),AND($Q$3=TRUE,$Q$7=TRUE))=TRUE,'Shots and Status'!$F$5,IF((OR($Q$2,$Q$7)=TRUE),'Shots and Status'!$D$5,'Shots and Status'!$C$5)))),0),"-")</f>
        <v>-</v>
      </c>
      <c r="K325" s="36" t="str">
        <f>IFERROR(ROUNDUP(IF(AND($Q$1=FALSE,$S$3=FALSE),"-",IF(AND($Q$1=TRUE,$S$3=TRUE),"-",IF(AND($Q$1=TRUE,$S$1=TRUE,$S$4=FALSE),VLOOKUP($E325,'Status Thresholds'!$E:$AS,15,FALSE),IF(AND($Q$1=TRUE,$S$4=FALSE),VLOOKUP($E325,'Status Thresholds'!$E:$AS,5,FALSE), IF(AND($Q$1=TRUE,$S$1=TRUE,$S$4=TRUE),VLOOKUP($E325,'Status Thresholds'!$E:$AS,20,FALSE),IF(AND($Q$1=TRUE,$S$4=TRUE),VLOOKUP($E325,'Status Thresholds'!$E:$AS,10,FALSE),IF(AND($S$3=TRUE,$S$1=TRUE,$S$4=FALSE),VLOOKUP($E325,'Status Thresholds'!$E:$AS,35,FALSE),IF(AND($S$3=TRUE,$S$4=FALSE),VLOOKUP($E325,'Status Thresholds'!$E:$AS,25,FALSE),IF(AND($S$3=TRUE,$S$1=TRUE,$S$4=TRUE),VLOOKUP($E325,'Status Thresholds'!$E:$AS,40,FALSE),IF(AND($S$3=TRUE,$S$4=TRUE),VLOOKUP($E325,'Status Thresholds'!$E:$AS,30,FALSE),""))))))))/IF(OR($Q$3=TRUE,AND($Q$2=TRUE,$Q$7=TRUE),AND($Q$3=TRUE,$Q$7=TRUE))=TRUE,'Shots and Status'!$F$5,IF((OR($Q$2,$Q$7)=TRUE),'Shots and Status'!$D$5,'Shots and Status'!$C$5)))),0),"-")</f>
        <v>-</v>
      </c>
      <c r="L325" s="36" t="str">
        <f>IFERROR(IF(AND($Q$1=FALSE,$S$3=FALSE),"-",VLOOKUP($E325,'Status Thresholds'!$E:$AU,41,FALSE)),"-")</f>
        <v>-</v>
      </c>
      <c r="M325" s="36" t="str">
        <f>IFERROR(IF(AND($Q$1=FALSE,$S$3=FALSE),"-",VLOOKUP($E325,'Status Thresholds'!$E:$AU,42,FALSE)),"-")</f>
        <v>-</v>
      </c>
      <c r="N325" s="36" t="str">
        <f>IFERROR(IF(AND($Q$1=FALSE,$S$3=FALSE),"-",VLOOKUP($E325,'Status Thresholds'!$E:$AU,43,FALSE)),"-")</f>
        <v>-</v>
      </c>
    </row>
    <row r="326" spans="1:14" s="59" customFormat="1" x14ac:dyDescent="0.25">
      <c r="A326" s="46"/>
      <c r="B326" s="64" t="str">
        <f>VLOOKUP(C326,'Status Thresholds'!B:C,2,FALSE)</f>
        <v>MHGen</v>
      </c>
      <c r="C326" s="46" t="str">
        <f>IF(ISBLANK('KO Calc'!C322)=TRUE,"",'KO Calc'!C322)</f>
        <v>Gammoth</v>
      </c>
      <c r="D326" s="58" t="s">
        <v>33</v>
      </c>
      <c r="E326" s="62" t="str">
        <f t="shared" si="9"/>
        <v>GammothPoison</v>
      </c>
      <c r="F326" s="59" t="s">
        <v>6</v>
      </c>
      <c r="G326" s="36" t="str">
        <f t="shared" si="10"/>
        <v>GammothPoison lvl 2</v>
      </c>
      <c r="H326" s="36" t="str">
        <f>IFERROR(ROUNDUP(IF(AND($Q$1=FALSE,$S$3=FALSE),"-",IF(AND($Q$1=TRUE,$S$3=TRUE),"-",IF(AND($Q$1=TRUE,$S$1=TRUE,$S$4=FALSE),VLOOKUP($E326,'Status Thresholds'!$E:$AS,12,FALSE),IF(AND($Q$1=TRUE,$S$4=FALSE),VLOOKUP($E326,'Status Thresholds'!$E:$AS,2,FALSE), IF(AND($Q$1=TRUE,$S$1=TRUE,$S$4=TRUE),VLOOKUP($E326,'Status Thresholds'!$E:$AS,17,FALSE),IF(AND($Q$1=TRUE,$S$4=TRUE),VLOOKUP($E326,'Status Thresholds'!$E:$AS,7,FALSE),IF(AND($S$3=TRUE,$S$1=TRUE,$S$4=FALSE),VLOOKUP($E326,'Status Thresholds'!$E:$AS,32,FALSE),IF(AND($S$3=TRUE,$S$4=FALSE),VLOOKUP($E326,'Status Thresholds'!$E:$AS,22,FALSE),IF(AND($S$3=TRUE,$S$1=TRUE,$S$4=TRUE),VLOOKUP($E326,'Status Thresholds'!$E:$AS,37,FALSE),IF(AND($S$3=TRUE,$S$4=TRUE),VLOOKUP($E326,'Status Thresholds'!$E:$AS,27,FALSE),""))))))))/IF(OR($Q$3=TRUE,AND($Q$2=TRUE,$Q$7=TRUE),AND($Q$3=TRUE,$Q$7=TRUE))=TRUE,'Shots and Status'!$F$5,IF((OR($Q$2,$Q$7)=TRUE),'Shots and Status'!$D$5,'Shots and Status'!$C$5)))),0),"-")</f>
        <v>-</v>
      </c>
      <c r="I326" s="36" t="str">
        <f>IFERROR(ROUNDUP(IF(AND($Q$1=FALSE,$S$3=FALSE),"-",IF(AND($Q$1=TRUE,$S$3=TRUE),"-",IF(AND($Q$1=TRUE,$S$1=TRUE,$S$4=FALSE),VLOOKUP($E326,'Status Thresholds'!$E:$AS,13,FALSE),IF(AND($Q$1=TRUE,$S$4=FALSE),VLOOKUP($E326,'Status Thresholds'!$E:$AS,3,FALSE), IF(AND($Q$1=TRUE,$S$1=TRUE,$S$4=TRUE),VLOOKUP($E326,'Status Thresholds'!$E:$AS,18,FALSE),IF(AND($Q$1=TRUE,$S$4=TRUE),VLOOKUP($E326,'Status Thresholds'!$E:$AS,8,FALSE),IF(AND($S$3=TRUE,$S$1=TRUE,$S$4=FALSE),VLOOKUP($E326,'Status Thresholds'!$E:$AS,33,FALSE),IF(AND($S$3=TRUE,$S$4=FALSE),VLOOKUP($E326,'Status Thresholds'!$E:$AS,23,FALSE),IF(AND($S$3=TRUE,$S$1=TRUE,$S$4=TRUE),VLOOKUP($E326,'Status Thresholds'!$E:$AS,38,FALSE),IF(AND($S$3=TRUE,$S$4=TRUE),VLOOKUP($E326,'Status Thresholds'!$E:$AS,28,FALSE),""))))))))/IF(OR($Q$3=TRUE,AND($Q$2=TRUE,$Q$7=TRUE),AND($Q$3=TRUE,$Q$7=TRUE))=TRUE,'Shots and Status'!$F$5,IF((OR($Q$2,$Q$7)=TRUE),'Shots and Status'!$D$5,'Shots and Status'!$C$5)))),0),"-")</f>
        <v>-</v>
      </c>
      <c r="J326" s="36" t="str">
        <f>IFERROR(ROUNDUP(IF(AND($Q$1=FALSE,$S$3=FALSE),"-",IF(AND($Q$1=TRUE,$S$3=TRUE),"-",IF(AND($Q$1=TRUE,$S$1=TRUE,$S$4=FALSE),VLOOKUP($E326,'Status Thresholds'!$E:$AS,14,FALSE),IF(AND($Q$1=TRUE,$S$4=FALSE),VLOOKUP($E326,'Status Thresholds'!$E:$AS,4,FALSE), IF(AND($Q$1=TRUE,$S$1=TRUE,$S$4=TRUE),VLOOKUP($E326,'Status Thresholds'!$E:$AS,19,FALSE),IF(AND($Q$1=TRUE,$S$4=TRUE),VLOOKUP($E326,'Status Thresholds'!$E:$AS,9,FALSE),IF(AND($S$3=TRUE,$S$1=TRUE,$S$4=FALSE),VLOOKUP($E326,'Status Thresholds'!$E:$AS,34,FALSE),IF(AND($S$3=TRUE,$S$4=FALSE),VLOOKUP($E326,'Status Thresholds'!$E:$AS,24,FALSE),IF(AND($S$3=TRUE,$S$1=TRUE,$S$4=TRUE),VLOOKUP($E326,'Status Thresholds'!$E:$AS,39,FALSE),IF(AND($S$3=TRUE,$S$4=TRUE),VLOOKUP($E326,'Status Thresholds'!$E:$AS,29,FALSE),""))))))))/IF(OR($Q$3=TRUE,AND($Q$2=TRUE,$Q$7=TRUE),AND($Q$3=TRUE,$Q$7=TRUE))=TRUE,'Shots and Status'!$F$5,IF((OR($Q$2,$Q$7)=TRUE),'Shots and Status'!$D$5,'Shots and Status'!$C$5)))),0),"-")</f>
        <v>-</v>
      </c>
      <c r="K326" s="36" t="str">
        <f>IFERROR(ROUNDUP(IF(AND($Q$1=FALSE,$S$3=FALSE),"-",IF(AND($Q$1=TRUE,$S$3=TRUE),"-",IF(AND($Q$1=TRUE,$S$1=TRUE,$S$4=FALSE),VLOOKUP($E326,'Status Thresholds'!$E:$AS,15,FALSE),IF(AND($Q$1=TRUE,$S$4=FALSE),VLOOKUP($E326,'Status Thresholds'!$E:$AS,5,FALSE), IF(AND($Q$1=TRUE,$S$1=TRUE,$S$4=TRUE),VLOOKUP($E326,'Status Thresholds'!$E:$AS,20,FALSE),IF(AND($Q$1=TRUE,$S$4=TRUE),VLOOKUP($E326,'Status Thresholds'!$E:$AS,10,FALSE),IF(AND($S$3=TRUE,$S$1=TRUE,$S$4=FALSE),VLOOKUP($E326,'Status Thresholds'!$E:$AS,35,FALSE),IF(AND($S$3=TRUE,$S$4=FALSE),VLOOKUP($E326,'Status Thresholds'!$E:$AS,25,FALSE),IF(AND($S$3=TRUE,$S$1=TRUE,$S$4=TRUE),VLOOKUP($E326,'Status Thresholds'!$E:$AS,40,FALSE),IF(AND($S$3=TRUE,$S$4=TRUE),VLOOKUP($E326,'Status Thresholds'!$E:$AS,30,FALSE),""))))))))/IF(OR($Q$3=TRUE,AND($Q$2=TRUE,$Q$7=TRUE),AND($Q$3=TRUE,$Q$7=TRUE))=TRUE,'Shots and Status'!$F$5,IF((OR($Q$2,$Q$7)=TRUE),'Shots and Status'!$D$5,'Shots and Status'!$C$5)))),0),"-")</f>
        <v>-</v>
      </c>
      <c r="L326" s="36" t="str">
        <f>IFERROR(IF(AND($Q$1=FALSE,$S$3=FALSE),"-",VLOOKUP($E326,'Status Thresholds'!$E:$AU,41,FALSE)),"-")</f>
        <v>-</v>
      </c>
      <c r="M326" s="36" t="str">
        <f>IFERROR(IF(AND($Q$1=FALSE,$S$3=FALSE),"-",VLOOKUP($E326,'Status Thresholds'!$E:$AU,42,FALSE)),"-")</f>
        <v>-</v>
      </c>
      <c r="N326" s="36" t="str">
        <f>IFERROR(IF(AND($Q$1=FALSE,$S$3=FALSE),"-",VLOOKUP($E326,'Status Thresholds'!$E:$AU,43,FALSE)),"-")</f>
        <v>-</v>
      </c>
    </row>
    <row r="327" spans="1:14" s="36" customFormat="1" x14ac:dyDescent="0.25">
      <c r="A327" s="46"/>
      <c r="B327" s="64" t="str">
        <f>VLOOKUP(C327,'Status Thresholds'!B:C,2,FALSE)</f>
        <v>MHGen</v>
      </c>
      <c r="C327" s="46" t="str">
        <f>IF(ISBLANK('KO Calc'!C323)=TRUE,"",'KO Calc'!C323)</f>
        <v>Gammoth</v>
      </c>
      <c r="D327" s="57" t="s">
        <v>22</v>
      </c>
      <c r="E327" s="62" t="str">
        <f t="shared" si="9"/>
        <v>GammothExhaust</v>
      </c>
      <c r="F327" s="36" t="s">
        <v>8</v>
      </c>
      <c r="G327" s="36" t="str">
        <f t="shared" si="10"/>
        <v>GammothExhaust lvl 2</v>
      </c>
      <c r="H327" s="36" t="str">
        <f>IFERROR(ROUNDUP(IF(AND($Q$1=FALSE,$S$3=FALSE),"-",IF(AND($Q$1=TRUE,$S$3=TRUE),"-",IF(AND($Q$1=TRUE,$S$1=TRUE,$S$4=FALSE),VLOOKUP($E327,'Status Thresholds'!$E:$AS,12,FALSE),IF(AND($Q$1=TRUE,$S$4=FALSE),VLOOKUP($E327,'Status Thresholds'!$E:$AS,2,FALSE), IF(AND($Q$1=TRUE,$S$1=TRUE,$S$4=TRUE),VLOOKUP($E327,'Status Thresholds'!$E:$AS,17,FALSE),IF(AND($Q$1=TRUE,$S$4=TRUE),VLOOKUP($E327,'Status Thresholds'!$E:$AS,7,FALSE),IF(AND($S$3=TRUE,$S$1=TRUE,$S$4=FALSE),VLOOKUP($E327,'Status Thresholds'!$E:$AS,32,FALSE),IF(AND($S$3=TRUE,$S$4=FALSE),VLOOKUP($E327,'Status Thresholds'!$E:$AS,22,FALSE),IF(AND($S$3=TRUE,$S$1=TRUE,$S$4=TRUE),VLOOKUP($E327,'Status Thresholds'!$E:$AS,37,FALSE),IF(AND($S$3=TRUE,$S$4=TRUE),VLOOKUP($E327,'Status Thresholds'!$E:$AS,27,FALSE),""))))))))/IF(OR($Q$3=TRUE,AND($Q$2=TRUE,$Q$7=TRUE),AND($Q$3=TRUE,$Q$7=TRUE))=TRUE,'Shots and Status'!$F$5,IF((OR($Q$2,$Q$7)=TRUE),'Shots and Status'!$D$5,'Shots and Status'!$C$5)))),0),"-")</f>
        <v>-</v>
      </c>
      <c r="I327" s="36" t="str">
        <f>IFERROR(ROUNDUP(IF(AND($Q$1=FALSE,$S$3=FALSE),"-",IF(AND($Q$1=TRUE,$S$3=TRUE),"-",IF(AND($Q$1=TRUE,$S$1=TRUE,$S$4=FALSE),VLOOKUP($E327,'Status Thresholds'!$E:$AS,13,FALSE),IF(AND($Q$1=TRUE,$S$4=FALSE),VLOOKUP($E327,'Status Thresholds'!$E:$AS,3,FALSE), IF(AND($Q$1=TRUE,$S$1=TRUE,$S$4=TRUE),VLOOKUP($E327,'Status Thresholds'!$E:$AS,18,FALSE),IF(AND($Q$1=TRUE,$S$4=TRUE),VLOOKUP($E327,'Status Thresholds'!$E:$AS,8,FALSE),IF(AND($S$3=TRUE,$S$1=TRUE,$S$4=FALSE),VLOOKUP($E327,'Status Thresholds'!$E:$AS,33,FALSE),IF(AND($S$3=TRUE,$S$4=FALSE),VLOOKUP($E327,'Status Thresholds'!$E:$AS,23,FALSE),IF(AND($S$3=TRUE,$S$1=TRUE,$S$4=TRUE),VLOOKUP($E327,'Status Thresholds'!$E:$AS,38,FALSE),IF(AND($S$3=TRUE,$S$4=TRUE),VLOOKUP($E327,'Status Thresholds'!$E:$AS,28,FALSE),""))))))))/IF(OR($Q$3=TRUE,AND($Q$2=TRUE,$Q$7=TRUE),AND($Q$3=TRUE,$Q$7=TRUE))=TRUE,'Shots and Status'!$F$5,IF((OR($Q$2,$Q$7)=TRUE),'Shots and Status'!$D$5,'Shots and Status'!$C$5)))),0),"-")</f>
        <v>-</v>
      </c>
      <c r="J327" s="36" t="str">
        <f>IFERROR(ROUNDUP(IF(AND($Q$1=FALSE,$S$3=FALSE),"-",IF(AND($Q$1=TRUE,$S$3=TRUE),"-",IF(AND($Q$1=TRUE,$S$1=TRUE,$S$4=FALSE),VLOOKUP($E327,'Status Thresholds'!$E:$AS,14,FALSE),IF(AND($Q$1=TRUE,$S$4=FALSE),VLOOKUP($E327,'Status Thresholds'!$E:$AS,4,FALSE), IF(AND($Q$1=TRUE,$S$1=TRUE,$S$4=TRUE),VLOOKUP($E327,'Status Thresholds'!$E:$AS,19,FALSE),IF(AND($Q$1=TRUE,$S$4=TRUE),VLOOKUP($E327,'Status Thresholds'!$E:$AS,9,FALSE),IF(AND($S$3=TRUE,$S$1=TRUE,$S$4=FALSE),VLOOKUP($E327,'Status Thresholds'!$E:$AS,34,FALSE),IF(AND($S$3=TRUE,$S$4=FALSE),VLOOKUP($E327,'Status Thresholds'!$E:$AS,24,FALSE),IF(AND($S$3=TRUE,$S$1=TRUE,$S$4=TRUE),VLOOKUP($E327,'Status Thresholds'!$E:$AS,39,FALSE),IF(AND($S$3=TRUE,$S$4=TRUE),VLOOKUP($E327,'Status Thresholds'!$E:$AS,29,FALSE),""))))))))/IF(OR($Q$3=TRUE,AND($Q$2=TRUE,$Q$7=TRUE),AND($Q$3=TRUE,$Q$7=TRUE))=TRUE,'Shots and Status'!$F$5,IF((OR($Q$2,$Q$7)=TRUE),'Shots and Status'!$D$5,'Shots and Status'!$C$5)))),0),"-")</f>
        <v>-</v>
      </c>
      <c r="K327" s="36" t="str">
        <f>IFERROR(ROUNDUP(IF(AND($Q$1=FALSE,$S$3=FALSE),"-",IF(AND($Q$1=TRUE,$S$3=TRUE),"-",IF(AND($Q$1=TRUE,$S$1=TRUE,$S$4=FALSE),VLOOKUP($E327,'Status Thresholds'!$E:$AS,15,FALSE),IF(AND($Q$1=TRUE,$S$4=FALSE),VLOOKUP($E327,'Status Thresholds'!$E:$AS,5,FALSE), IF(AND($Q$1=TRUE,$S$1=TRUE,$S$4=TRUE),VLOOKUP($E327,'Status Thresholds'!$E:$AS,20,FALSE),IF(AND($Q$1=TRUE,$S$4=TRUE),VLOOKUP($E327,'Status Thresholds'!$E:$AS,10,FALSE),IF(AND($S$3=TRUE,$S$1=TRUE,$S$4=FALSE),VLOOKUP($E327,'Status Thresholds'!$E:$AS,35,FALSE),IF(AND($S$3=TRUE,$S$4=FALSE),VLOOKUP($E327,'Status Thresholds'!$E:$AS,25,FALSE),IF(AND($S$3=TRUE,$S$1=TRUE,$S$4=TRUE),VLOOKUP($E327,'Status Thresholds'!$E:$AS,40,FALSE),IF(AND($S$3=TRUE,$S$4=TRUE),VLOOKUP($E327,'Status Thresholds'!$E:$AS,30,FALSE),""))))))))/IF(OR($Q$3=TRUE,AND($Q$2=TRUE,$Q$7=TRUE),AND($Q$3=TRUE,$Q$7=TRUE))=TRUE,'Shots and Status'!$F$5,IF((OR($Q$2,$Q$7)=TRUE),'Shots and Status'!$D$5,'Shots and Status'!$C$5)))),0),"-")</f>
        <v>-</v>
      </c>
      <c r="L327" s="36" t="str">
        <f>IFERROR(IF(AND($Q$1=FALSE,$S$3=FALSE),"-",VLOOKUP($E327,'Status Thresholds'!$E:$AU,41,FALSE)),"-")</f>
        <v>-</v>
      </c>
      <c r="M327" s="36" t="str">
        <f>IFERROR(IF(AND($Q$1=FALSE,$S$3=FALSE),"-",VLOOKUP($E327,'Status Thresholds'!$E:$AU,42,FALSE)),"-")</f>
        <v>-</v>
      </c>
      <c r="N327" s="36" t="str">
        <f>IFERROR(IF(AND($Q$1=FALSE,$S$3=FALSE),"-",VLOOKUP($E327,'Status Thresholds'!$E:$AU,43,FALSE)),"-")</f>
        <v>-</v>
      </c>
    </row>
    <row r="328" spans="1:14" s="36" customFormat="1" x14ac:dyDescent="0.25">
      <c r="A328" s="46"/>
      <c r="B328" s="64" t="str">
        <f>VLOOKUP(C328,'Status Thresholds'!B:C,2,FALSE)</f>
        <v>MHGen</v>
      </c>
      <c r="C328" s="46" t="str">
        <f>IF(ISBLANK('KO Calc'!C324)=TRUE,"",'KO Calc'!C324)</f>
        <v>Gammoth</v>
      </c>
      <c r="D328" s="67" t="s">
        <v>14</v>
      </c>
      <c r="E328" s="62" t="str">
        <f t="shared" si="9"/>
        <v>GammothKO</v>
      </c>
      <c r="F328" s="36" t="s">
        <v>21</v>
      </c>
      <c r="G328" s="36" t="str">
        <f t="shared" si="10"/>
        <v>GammothTriblast</v>
      </c>
      <c r="H328" s="36" t="str">
        <f>IF(AND($Q$1=FALSE,$S$3=FALSE),"-",IF(AND($Q$1=TRUE,$S$3=TRUE),"-",IF(AND($Q$1=FALSE,$S$3=FALSE),"-",IF(AND($Q$1=TRUE,$S$1=TRUE,$S$4=FALSE)=TRUE,IF(OR($Q$4=TRUE,$Q$5=TRUE,$S$2=TRUE),VLOOKUP($G328,'KO Calc'!$H:$AW,12,FALSE),VLOOKUP($G328,'KO Calc'!$H334:$AW334,12,FALSE)),IF(AND($Q$1=TRUE,$S$4=FALSE),IF(OR($Q$4=TRUE,$Q$5=TRUE,$S$2=TRUE),VLOOKUP($G328,'KO Calc'!$H:$AW,2,FALSE),VLOOKUP($G328,'KO Calc'!$H334:$AW334,2,FALSE)),
IF(AND($Q$1=TRUE,$S$1=TRUE,$S$4=TRUE)=TRUE,IF(OR($Q$4=TRUE,$Q$5=TRUE,$S$2=TRUE),VLOOKUP($G328,'KO Calc'!$H:$AW,17,FALSE),VLOOKUP($G328,'KO Calc'!$H334:$AW334,17,FALSE)),IF(AND($Q$1=TRUE,$S$4=TRUE),IF(OR($Q$4=TRUE,$Q$5=TRUE,$S$2=TRUE),VLOOKUP($G328,'KO Calc'!$H:$AW,7,FALSE),VLOOKUP($G328,'KO Calc'!$H334:$AW334,7,FALSE)),
IF(AND($S$3=TRUE,$S$1=TRUE,$S$4=FALSE)=TRUE,IF(OR($Q$4=TRUE,$Q$5=TRUE,$S$2=TRUE),VLOOKUP($G328,'KO Calc'!$H:$AW,32,FALSE),VLOOKUP($G328,'KO Calc'!$H334:$AW334,32,FALSE)),IF(AND($S$3=TRUE,$S$4=FALSE),IF(OR($Q$4=TRUE,$Q$5=TRUE,$S$2=TRUE),VLOOKUP($G328,'KO Calc'!$H:$AW,22,FALSE),VLOOKUP($G328,'KO Calc'!$H334:$AW334,22,FALSE)),
IF(AND($S$3=TRUE,$S$1=TRUE,$S$4=TRUE)=TRUE,IF(OR($Q$4=TRUE,$Q$5=TRUE,$S$2=TRUE),VLOOKUP($G328,'KO Calc'!$H:$AW,37,FALSE),VLOOKUP($G328,'KO Calc'!$H334:$AW334,37,FALSE)),IF(AND($S$3=TRUE,$S$4=TRUE),IF(OR($Q$4=TRUE,$Q$5=TRUE,$S$2=TRUE),VLOOKUP($G328,'KO Calc'!$H:$AW,27,FALSE),VLOOKUP($G328,'KO Calc'!$H334:$AW334,27,FALSE)))))))))))))</f>
        <v>-</v>
      </c>
      <c r="I328" s="36" t="str">
        <f>IF(AND($Q$1=FALSE,$S$3=FALSE),"-",IF(AND($Q$1=TRUE,$S$3=TRUE),"-",IF(AND($Q$1=FALSE,$S$3=FALSE),"-",IF(AND($Q$1=TRUE,$S$1=TRUE,$S$4=FALSE)=TRUE,IF(OR($Q$4=TRUE,$Q$5=TRUE,$S$2=TRUE),VLOOKUP($G328,'KO Calc'!$H:$AW,13,FALSE),VLOOKUP($G328,'KO Calc'!$H334:$AW334,13,FALSE)),IF(AND($Q$1=TRUE,$S$4=FALSE),IF(OR($Q$4=TRUE,$Q$5=TRUE,$S$2=TRUE),VLOOKUP($G328,'KO Calc'!$H:$AW,3,FALSE),VLOOKUP($G328,'KO Calc'!$H334:$AW334,3,FALSE)),
IF(AND($Q$1=TRUE,$S$1=TRUE,$S$4=TRUE)=TRUE,IF(OR($Q$4=TRUE,$Q$5=TRUE,$S$2=TRUE),VLOOKUP($G328,'KO Calc'!$H:$AW,18,FALSE),VLOOKUP($G328,'KO Calc'!$H334:$AW334,18,FALSE)),IF(AND($Q$1=TRUE,$S$4=TRUE),IF(OR($Q$4=TRUE,$Q$5=TRUE,$S$2=TRUE),VLOOKUP($G328,'KO Calc'!$H:$AW,8,FALSE),VLOOKUP($G328,'KO Calc'!$H334:$AW334,8,FALSE)),
IF(AND($S$3=TRUE,$S$1=TRUE,$S$4=FALSE)=TRUE,IF(OR($Q$4=TRUE,$Q$5=TRUE,$S$2=TRUE),VLOOKUP($G328,'KO Calc'!$H:$AW,33,FALSE),VLOOKUP($G328,'KO Calc'!$H334:$AW334,33,FALSE)),IF(AND($S$3=TRUE,$S$4=FALSE),IF(OR($Q$4=TRUE,$Q$5=TRUE,$S$2=TRUE),VLOOKUP($G328,'KO Calc'!$H:$AW,23,FALSE),VLOOKUP($G328,'KO Calc'!$H334:$AW334,23,FALSE)),
IF(AND($S$3=TRUE,$S$1=TRUE,$S$4=TRUE)=TRUE,IF(OR($Q$4=TRUE,$Q$5=TRUE,$S$2=TRUE),VLOOKUP($G328,'KO Calc'!$H:$AW,38,FALSE),VLOOKUP($G328,'KO Calc'!$H334:$AW334,38,FALSE)),IF(AND($S$3=TRUE,$S$4=TRUE),IF(OR($Q$4=TRUE,$Q$5=TRUE,$S$2=TRUE),VLOOKUP($G328,'KO Calc'!$H:$AW,28,FALSE),VLOOKUP($G328,'KO Calc'!$H334:$AW334,28,FALSE)))))))))))))</f>
        <v>-</v>
      </c>
      <c r="J328" s="36" t="str">
        <f>IF(AND($Q$1=FALSE,$S$3=FALSE),"-",IF(AND($Q$1=TRUE,$S$3=TRUE),"-",IF(AND($Q$1=FALSE,$S$3=FALSE),"-",IF(AND($Q$1=TRUE,$S$1=TRUE,$S$4=FALSE)=TRUE,IF(OR($Q$4=TRUE,$Q$5=TRUE,$S$2=TRUE),VLOOKUP($G328,'KO Calc'!$H:$AW,FALSE),VLOOKUP($G328,'KO Calc'!$H334:$AW334,14,FALSE)),IF(AND($Q$1=TRUE,$S$4=FALSE),IF(OR($Q$4=TRUE,$Q$5=TRUE,$S$2=TRUE),VLOOKUP($G328,'KO Calc'!$H:$AW,4,FALSE),VLOOKUP($G328,'KO Calc'!$H334:$AW334,4,FALSE)),
IF(AND($Q$1=TRUE,$S$1=TRUE,$S$4=TRUE)=TRUE,IF(OR($Q$4=TRUE,$Q$5=TRUE,$S$2=TRUE),VLOOKUP($G328,'KO Calc'!$H:$AW,19,FALSE),VLOOKUP($G328,'KO Calc'!$H334:$AW334,19,FALSE)),IF(AND($Q$1=TRUE,$S$4=TRUE),IF(OR($Q$4=TRUE,$Q$5=TRUE,$S$2=TRUE),VLOOKUP($G328,'KO Calc'!$H:$AW,9,FALSE),VLOOKUP($G328,'KO Calc'!$H334:$AW334,9,FALSE)),
IF(AND($S$3=TRUE,$S$1=TRUE,$S$4=FALSE)=TRUE,IF(OR($Q$4=TRUE,$Q$5=TRUE,$S$2=TRUE),VLOOKUP($G328,'KO Calc'!$H:$AW,34,FALSE),VLOOKUP($G328,'KO Calc'!$H334:$AW334,34,FALSE)),IF(AND($S$3=TRUE,$S$4=FALSE),IF(OR($Q$4=TRUE,$Q$5=TRUE,$S$2=TRUE),VLOOKUP($G328,'KO Calc'!$H:$AW,24,FALSE),VLOOKUP($G328,'KO Calc'!$H334:$AW334,24,FALSE)),
IF(AND($S$3=TRUE,$S$1=TRUE,$S$4=TRUE)=TRUE,IF(OR($Q$4=TRUE,$Q$5=TRUE,$S$2=TRUE),VLOOKUP($G328,'KO Calc'!$H:$AW,39,FALSE),VLOOKUP($G328,'KO Calc'!$H334:$AW334,39,FALSE)),IF(AND($S$3=TRUE,$S$4=TRUE),IF(OR($Q$4=TRUE,$Q$5=TRUE,$S$2=TRUE),VLOOKUP($G328,'KO Calc'!$H:$AW,29,FALSE),VLOOKUP($G328,'KO Calc'!$H334:$AW334,29,FALSE)))))))))))))</f>
        <v>-</v>
      </c>
      <c r="K328" s="36" t="str">
        <f>IF(AND($Q$1=FALSE,$S$3=FALSE),"-",IF(AND($Q$1=TRUE,$S$3=TRUE),"-",IF(AND($Q$1=FALSE,$S$3=FALSE),"-",IF(AND($Q$1=TRUE,$S$1=TRUE,$S$4=FALSE)=TRUE,IF(OR($Q$4=TRUE,$Q$5=TRUE,$S$2=TRUE),VLOOKUP($G328,'KO Calc'!$H:$AW,15,FALSE),VLOOKUP($G328,'KO Calc'!$H334:$AW334,15,FALSE)),IF(AND($Q$1=TRUE,$S$4=FALSE),IF(OR($Q$4=TRUE,$Q$5=TRUE,$S$2=TRUE),VLOOKUP($G328,'KO Calc'!$H:$AW,5,FALSE),VLOOKUP($G328,'KO Calc'!$H334:$AW334,5,FALSE)),
IF(AND($Q$1=TRUE,$S$1=TRUE,$S$4=TRUE)=TRUE,IF(OR($Q$4=TRUE,$Q$5=TRUE,$S$2=TRUE),VLOOKUP($G328,'KO Calc'!$H:$AW,20,FALSE),VLOOKUP($G328,'KO Calc'!$H334:$AW334,20,FALSE)),IF(AND($Q$1=TRUE,$S$4=TRUE),IF(OR($Q$4=TRUE,$Q$5=TRUE,$S$2=TRUE),VLOOKUP($G328,'KO Calc'!$H:$AW,10,FALSE),VLOOKUP($G328,'KO Calc'!$H334:$AW334,10,FALSE)),
IF(AND($S$3=TRUE,$S$1=TRUE,$S$4=FALSE)=TRUE,IF(OR($Q$4=TRUE,$Q$5=TRUE,$S$2=TRUE),VLOOKUP($G328,'KO Calc'!$H:$AW,35,FALSE),VLOOKUP($G328,'KO Calc'!$H334:$AW334,35,FALSE)),IF(AND($S$3=TRUE,$S$4=FALSE),IF(OR($Q$4=TRUE,$Q$5=TRUE,$S$2=TRUE),VLOOKUP($G328,'KO Calc'!$H:$AW,25,FALSE),VLOOKUP($G328,'KO Calc'!$H334:$AW334,25,FALSE)),
IF(AND($S$3=TRUE,$S$1=TRUE,$S$4=TRUE)=TRUE,IF(OR($Q$4=TRUE,$Q$5=TRUE,$S$2=TRUE),VLOOKUP($G328,'KO Calc'!$H:$AW,40,FALSE),VLOOKUP($G328,'KO Calc'!$H334:$AW334,40,FALSE)),IF(AND($S$3=TRUE,$S$4=TRUE),IF(OR($Q$4=TRUE,$Q$5=TRUE,$S$2=TRUE),VLOOKUP($G328,'KO Calc'!$H:$AW,30,FALSE),VLOOKUP($G328,'KO Calc'!$H334:$AW334,30,FALSE)))))))))))))</f>
        <v>-</v>
      </c>
      <c r="L328" s="36" t="str">
        <f>IFERROR(IF(AND($Q$1=FALSE,$S$3=FALSE),"-",VLOOKUP($E328,'Status Thresholds'!$E:$AU,41,FALSE)),"-")</f>
        <v>-</v>
      </c>
      <c r="M328" s="36" t="str">
        <f>IFERROR(IF(AND($Q$1=FALSE,$S$3=FALSE),"-",VLOOKUP($E328,'Status Thresholds'!$E:$AU,42,FALSE)),"-")</f>
        <v>-</v>
      </c>
      <c r="N328" s="36" t="str">
        <f>IFERROR(IF(AND($Q$1=FALSE,$S$3=FALSE),"-",VLOOKUP($E328,'Status Thresholds'!$E:$AU,43,FALSE)),"-")</f>
        <v>-</v>
      </c>
    </row>
    <row r="329" spans="1:14" x14ac:dyDescent="0.25">
      <c r="B329" s="64" t="str">
        <f>VLOOKUP(C329,'Status Thresholds'!B:C,2,FALSE)</f>
        <v>MHGen</v>
      </c>
      <c r="C329" s="46" t="str">
        <f>IF(ISBLANK('KO Calc'!C325)=TRUE,"",'KO Calc'!C325)</f>
        <v>Gammoth</v>
      </c>
      <c r="D329" s="78" t="s">
        <v>207</v>
      </c>
      <c r="E329" s="62" t="str">
        <f t="shared" si="9"/>
        <v>GammothShock Trap</v>
      </c>
      <c r="F329" t="s">
        <v>13</v>
      </c>
      <c r="G329" s="36" t="str">
        <f t="shared" si="10"/>
        <v>GammothCrag 3</v>
      </c>
      <c r="H329" s="36" t="str">
        <f>IF(AND($Q$1=FALSE,$S$3=FALSE),"-",IF(AND($Q$1=TRUE,$S$3=TRUE),"-",IF(AND($Q$1=FALSE,$S$3=FALSE),"-",IF(AND($Q$1=TRUE,$S$1=TRUE,$S$4=FALSE)=TRUE,IF(OR($Q$4=TRUE,$Q$5=TRUE,$S$2=TRUE),VLOOKUP($G329,'KO Calc'!$H:$AW,12,FALSE),VLOOKUP($G329,'KO Calc'!$H335:$AW335,12,FALSE)),IF(AND($Q$1=TRUE,$S$4=FALSE),IF(OR($Q$4=TRUE,$Q$5=TRUE,$S$2=TRUE),VLOOKUP($G329,'KO Calc'!$H:$AW,2,FALSE),VLOOKUP($G329,'KO Calc'!$H335:$AW335,2,FALSE)),
IF(AND($Q$1=TRUE,$S$1=TRUE,$S$4=TRUE)=TRUE,IF(OR($Q$4=TRUE,$Q$5=TRUE,$S$2=TRUE),VLOOKUP($G329,'KO Calc'!$H:$AW,17,FALSE),VLOOKUP($G329,'KO Calc'!$H335:$AW335,17,FALSE)),IF(AND($Q$1=TRUE,$S$4=TRUE),IF(OR($Q$4=TRUE,$Q$5=TRUE,$S$2=TRUE),VLOOKUP($G329,'KO Calc'!$H:$AW,7,FALSE),VLOOKUP($G329,'KO Calc'!$H335:$AW335,7,FALSE)),
IF(AND($S$3=TRUE,$S$1=TRUE,$S$4=FALSE)=TRUE,IF(OR($Q$4=TRUE,$Q$5=TRUE,$S$2=TRUE),VLOOKUP($G329,'KO Calc'!$H:$AW,32,FALSE),VLOOKUP($G329,'KO Calc'!$H335:$AW335,32,FALSE)),IF(AND($S$3=TRUE,$S$4=FALSE),IF(OR($Q$4=TRUE,$Q$5=TRUE,$S$2=TRUE),VLOOKUP($G329,'KO Calc'!$H:$AW,22,FALSE),VLOOKUP($G329,'KO Calc'!$H335:$AW335,22,FALSE)),
IF(AND($S$3=TRUE,$S$1=TRUE,$S$4=TRUE)=TRUE,IF(OR($Q$4=TRUE,$Q$5=TRUE,$S$2=TRUE),VLOOKUP($G329,'KO Calc'!$H:$AW,37,FALSE),VLOOKUP($G329,'KO Calc'!$H335:$AW335,37,FALSE)),IF(AND($S$3=TRUE,$S$4=TRUE),IF(OR($Q$4=TRUE,$Q$5=TRUE,$S$2=TRUE),VLOOKUP($G329,'KO Calc'!$H:$AW,27,FALSE),VLOOKUP($G329,'KO Calc'!$H335:$AW335,27,FALSE)))))))))))))</f>
        <v>-</v>
      </c>
      <c r="I329" s="36" t="str">
        <f>IF(AND($Q$1=FALSE,$S$3=FALSE),"-",IF(AND($Q$1=TRUE,$S$3=TRUE),"-",IF(AND($Q$1=FALSE,$S$3=FALSE),"-",IF(AND($Q$1=TRUE,$S$1=TRUE,$S$4=FALSE)=TRUE,IF(OR($Q$4=TRUE,$Q$5=TRUE,$S$2=TRUE),VLOOKUP($G329,'KO Calc'!$H:$AW,13,FALSE),VLOOKUP($G329,'KO Calc'!$H335:$AW335,13,FALSE)),IF(AND($Q$1=TRUE,$S$4=FALSE),IF(OR($Q$4=TRUE,$Q$5=TRUE,$S$2=TRUE),VLOOKUP($G329,'KO Calc'!$H:$AW,3,FALSE),VLOOKUP($G329,'KO Calc'!$H335:$AW335,3,FALSE)),
IF(AND($Q$1=TRUE,$S$1=TRUE,$S$4=TRUE)=TRUE,IF(OR($Q$4=TRUE,$Q$5=TRUE,$S$2=TRUE),VLOOKUP($G329,'KO Calc'!$H:$AW,18,FALSE),VLOOKUP($G329,'KO Calc'!$H335:$AW335,18,FALSE)),IF(AND($Q$1=TRUE,$S$4=TRUE),IF(OR($Q$4=TRUE,$Q$5=TRUE,$S$2=TRUE),VLOOKUP($G329,'KO Calc'!$H:$AW,8,FALSE),VLOOKUP($G329,'KO Calc'!$H335:$AW335,8,FALSE)),
IF(AND($S$3=TRUE,$S$1=TRUE,$S$4=FALSE)=TRUE,IF(OR($Q$4=TRUE,$Q$5=TRUE,$S$2=TRUE),VLOOKUP($G329,'KO Calc'!$H:$AW,33,FALSE),VLOOKUP($G329,'KO Calc'!$H335:$AW335,33,FALSE)),IF(AND($S$3=TRUE,$S$4=FALSE),IF(OR($Q$4=TRUE,$Q$5=TRUE,$S$2=TRUE),VLOOKUP($G329,'KO Calc'!$H:$AW,23,FALSE),VLOOKUP($G329,'KO Calc'!$H335:$AW335,23,FALSE)),
IF(AND($S$3=TRUE,$S$1=TRUE,$S$4=TRUE)=TRUE,IF(OR($Q$4=TRUE,$Q$5=TRUE,$S$2=TRUE),VLOOKUP($G329,'KO Calc'!$H:$AW,38,FALSE),VLOOKUP($G329,'KO Calc'!$H335:$AW335,38,FALSE)),IF(AND($S$3=TRUE,$S$4=TRUE),IF(OR($Q$4=TRUE,$Q$5=TRUE,$S$2=TRUE),VLOOKUP($G329,'KO Calc'!$H:$AW,28,FALSE),VLOOKUP($G329,'KO Calc'!$H335:$AW335,28,FALSE)))))))))))))</f>
        <v>-</v>
      </c>
      <c r="J329" s="36" t="str">
        <f>IF(AND($Q$1=FALSE,$S$3=FALSE),"-",IF(AND($Q$1=TRUE,$S$3=TRUE),"-",IF(AND($Q$1=FALSE,$S$3=FALSE),"-",IF(AND($Q$1=TRUE,$S$1=TRUE,$S$4=FALSE)=TRUE,IF(OR($Q$4=TRUE,$Q$5=TRUE,$S$2=TRUE),VLOOKUP($G329,'KO Calc'!$H:$AW,FALSE),VLOOKUP($G329,'KO Calc'!$H335:$AW335,14,FALSE)),IF(AND($Q$1=TRUE,$S$4=FALSE),IF(OR($Q$4=TRUE,$Q$5=TRUE,$S$2=TRUE),VLOOKUP($G329,'KO Calc'!$H:$AW,4,FALSE),VLOOKUP($G329,'KO Calc'!$H335:$AW335,4,FALSE)),
IF(AND($Q$1=TRUE,$S$1=TRUE,$S$4=TRUE)=TRUE,IF(OR($Q$4=TRUE,$Q$5=TRUE,$S$2=TRUE),VLOOKUP($G329,'KO Calc'!$H:$AW,19,FALSE),VLOOKUP($G329,'KO Calc'!$H335:$AW335,19,FALSE)),IF(AND($Q$1=TRUE,$S$4=TRUE),IF(OR($Q$4=TRUE,$Q$5=TRUE,$S$2=TRUE),VLOOKUP($G329,'KO Calc'!$H:$AW,9,FALSE),VLOOKUP($G329,'KO Calc'!$H335:$AW335,9,FALSE)),
IF(AND($S$3=TRUE,$S$1=TRUE,$S$4=FALSE)=TRUE,IF(OR($Q$4=TRUE,$Q$5=TRUE,$S$2=TRUE),VLOOKUP($G329,'KO Calc'!$H:$AW,34,FALSE),VLOOKUP($G329,'KO Calc'!$H335:$AW335,34,FALSE)),IF(AND($S$3=TRUE,$S$4=FALSE),IF(OR($Q$4=TRUE,$Q$5=TRUE,$S$2=TRUE),VLOOKUP($G329,'KO Calc'!$H:$AW,24,FALSE),VLOOKUP($G329,'KO Calc'!$H335:$AW335,24,FALSE)),
IF(AND($S$3=TRUE,$S$1=TRUE,$S$4=TRUE)=TRUE,IF(OR($Q$4=TRUE,$Q$5=TRUE,$S$2=TRUE),VLOOKUP($G329,'KO Calc'!$H:$AW,39,FALSE),VLOOKUP($G329,'KO Calc'!$H335:$AW335,39,FALSE)),IF(AND($S$3=TRUE,$S$4=TRUE),IF(OR($Q$4=TRUE,$Q$5=TRUE,$S$2=TRUE),VLOOKUP($G329,'KO Calc'!$H:$AW,29,FALSE),VLOOKUP($G329,'KO Calc'!$H335:$AW335,29,FALSE)))))))))))))</f>
        <v>-</v>
      </c>
      <c r="K329" s="36" t="str">
        <f>IF(AND($Q$1=FALSE,$S$3=FALSE),"-",IF(AND($Q$1=TRUE,$S$3=TRUE),"-",IF(AND($Q$1=FALSE,$S$3=FALSE),"-",IF(AND($Q$1=TRUE,$S$1=TRUE,$S$4=FALSE)=TRUE,IF(OR($Q$4=TRUE,$Q$5=TRUE,$S$2=TRUE),VLOOKUP($G329,'KO Calc'!$H:$AW,15,FALSE),VLOOKUP($G329,'KO Calc'!$H335:$AW335,15,FALSE)),IF(AND($Q$1=TRUE,$S$4=FALSE),IF(OR($Q$4=TRUE,$Q$5=TRUE,$S$2=TRUE),VLOOKUP($G329,'KO Calc'!$H:$AW,5,FALSE),VLOOKUP($G329,'KO Calc'!$H335:$AW335,5,FALSE)),
IF(AND($Q$1=TRUE,$S$1=TRUE,$S$4=TRUE)=TRUE,IF(OR($Q$4=TRUE,$Q$5=TRUE,$S$2=TRUE),VLOOKUP($G329,'KO Calc'!$H:$AW,20,FALSE),VLOOKUP($G329,'KO Calc'!$H335:$AW335,20,FALSE)),IF(AND($Q$1=TRUE,$S$4=TRUE),IF(OR($Q$4=TRUE,$Q$5=TRUE,$S$2=TRUE),VLOOKUP($G329,'KO Calc'!$H:$AW,10,FALSE),VLOOKUP($G329,'KO Calc'!$H335:$AW335,10,FALSE)),
IF(AND($S$3=TRUE,$S$1=TRUE,$S$4=FALSE)=TRUE,IF(OR($Q$4=TRUE,$Q$5=TRUE,$S$2=TRUE),VLOOKUP($G329,'KO Calc'!$H:$AW,35,FALSE),VLOOKUP($G329,'KO Calc'!$H335:$AW335,35,FALSE)),IF(AND($S$3=TRUE,$S$4=FALSE),IF(OR($Q$4=TRUE,$Q$5=TRUE,$S$2=TRUE),VLOOKUP($G329,'KO Calc'!$H:$AW,25,FALSE),VLOOKUP($G329,'KO Calc'!$H335:$AW335,25,FALSE)),
IF(AND($S$3=TRUE,$S$1=TRUE,$S$4=TRUE)=TRUE,IF(OR($Q$4=TRUE,$Q$5=TRUE,$S$2=TRUE),VLOOKUP($G329,'KO Calc'!$H:$AW,40,FALSE),VLOOKUP($G329,'KO Calc'!$H335:$AW335,40,FALSE)),IF(AND($S$3=TRUE,$S$4=TRUE),IF(OR($Q$4=TRUE,$Q$5=TRUE,$S$2=TRUE),VLOOKUP($G329,'KO Calc'!$H:$AW,30,FALSE),VLOOKUP($G329,'KO Calc'!$H335:$AW335,30,FALSE)))))))))))))</f>
        <v>-</v>
      </c>
      <c r="L329" s="36" t="str">
        <f>IFERROR(IF(AND($Q$1=FALSE,$S$3=FALSE),"-",VLOOKUP($E329,'Status Thresholds'!$E:$AU,43,FALSE)),"-")</f>
        <v>-</v>
      </c>
      <c r="M329" s="36" t="str">
        <f>IFERROR(IF(AND($Q$1=FALSE,$S$3=FALSE),"-",VLOOKUP($E329,'Status Thresholds'!$E:$AU,41,FALSE)),"-")</f>
        <v>-</v>
      </c>
      <c r="N329" s="36" t="str">
        <f>IFERROR(IF(AND($Q$1=FALSE,$S$3=FALSE),"-",VLOOKUP($E329,'Status Thresholds'!$E:$AU,42,FALSE)),"-")</f>
        <v>-</v>
      </c>
    </row>
    <row r="330" spans="1:14" x14ac:dyDescent="0.25">
      <c r="B330" s="64" t="str">
        <f>VLOOKUP(C330,'Status Thresholds'!B:C,2,FALSE)</f>
        <v>MHGen</v>
      </c>
      <c r="C330" s="46" t="str">
        <f>IF(ISBLANK('KO Calc'!C326)=TRUE,"",'KO Calc'!C326)</f>
        <v>Gammoth</v>
      </c>
      <c r="D330" s="78" t="s">
        <v>213</v>
      </c>
      <c r="E330" s="62" t="str">
        <f t="shared" si="9"/>
        <v>GammothPitfall Trap</v>
      </c>
      <c r="F330" t="s">
        <v>12</v>
      </c>
      <c r="G330" s="36" t="str">
        <f t="shared" si="10"/>
        <v>GammothCrag 2</v>
      </c>
      <c r="H330" s="36" t="str">
        <f>IF(AND($Q$1=FALSE,$S$3=FALSE),"-",IF(AND($Q$1=TRUE,$S$3=TRUE),"-",IF(AND($Q$1=FALSE,$S$3=FALSE),"-",IF(AND($Q$1=TRUE,$S$1=TRUE,$S$4=FALSE)=TRUE,IF(OR($Q$4=TRUE,$Q$5=TRUE,$S$2=TRUE),VLOOKUP($G330,'KO Calc'!$H:$AW,12,FALSE),VLOOKUP($G330,'KO Calc'!$H336:$AW336,12,FALSE)),IF(AND($Q$1=TRUE,$S$4=FALSE),IF(OR($Q$4=TRUE,$Q$5=TRUE,$S$2=TRUE),VLOOKUP($G330,'KO Calc'!$H:$AW,2,FALSE),VLOOKUP($G330,'KO Calc'!$H336:$AW336,2,FALSE)),
IF(AND($Q$1=TRUE,$S$1=TRUE,$S$4=TRUE)=TRUE,IF(OR($Q$4=TRUE,$Q$5=TRUE,$S$2=TRUE),VLOOKUP($G330,'KO Calc'!$H:$AW,17,FALSE),VLOOKUP($G330,'KO Calc'!$H336:$AW336,17,FALSE)),IF(AND($Q$1=TRUE,$S$4=TRUE),IF(OR($Q$4=TRUE,$Q$5=TRUE,$S$2=TRUE),VLOOKUP($G330,'KO Calc'!$H:$AW,7,FALSE),VLOOKUP($G330,'KO Calc'!$H336:$AW336,7,FALSE)),
IF(AND($S$3=TRUE,$S$1=TRUE,$S$4=FALSE)=TRUE,IF(OR($Q$4=TRUE,$Q$5=TRUE,$S$2=TRUE),VLOOKUP($G330,'KO Calc'!$H:$AW,32,FALSE),VLOOKUP($G330,'KO Calc'!$H336:$AW336,32,FALSE)),IF(AND($S$3=TRUE,$S$4=FALSE),IF(OR($Q$4=TRUE,$Q$5=TRUE,$S$2=TRUE),VLOOKUP($G330,'KO Calc'!$H:$AW,22,FALSE),VLOOKUP($G330,'KO Calc'!$H336:$AW336,22,FALSE)),
IF(AND($S$3=TRUE,$S$1=TRUE,$S$4=TRUE)=TRUE,IF(OR($Q$4=TRUE,$Q$5=TRUE,$S$2=TRUE),VLOOKUP($G330,'KO Calc'!$H:$AW,37,FALSE),VLOOKUP($G330,'KO Calc'!$H336:$AW336,37,FALSE)),IF(AND($S$3=TRUE,$S$4=TRUE),IF(OR($Q$4=TRUE,$Q$5=TRUE,$S$2=TRUE),VLOOKUP($G330,'KO Calc'!$H:$AW,27,FALSE),VLOOKUP($G330,'KO Calc'!$H336:$AW336,27,FALSE)))))))))))))</f>
        <v>-</v>
      </c>
      <c r="I330" s="36" t="str">
        <f>IF(AND($Q$1=FALSE,$S$3=FALSE),"-",IF(AND($Q$1=TRUE,$S$3=TRUE),"-",IF(AND($Q$1=FALSE,$S$3=FALSE),"-",IF(AND($Q$1=TRUE,$S$1=TRUE,$S$4=FALSE)=TRUE,IF(OR($Q$4=TRUE,$Q$5=TRUE,$S$2=TRUE),VLOOKUP($G330,'KO Calc'!$H:$AW,13,FALSE),VLOOKUP($G330,'KO Calc'!$H336:$AW336,13,FALSE)),IF(AND($Q$1=TRUE,$S$4=FALSE),IF(OR($Q$4=TRUE,$Q$5=TRUE,$S$2=TRUE),VLOOKUP($G330,'KO Calc'!$H:$AW,3,FALSE),VLOOKUP($G330,'KO Calc'!$H336:$AW336,3,FALSE)),
IF(AND($Q$1=TRUE,$S$1=TRUE,$S$4=TRUE)=TRUE,IF(OR($Q$4=TRUE,$Q$5=TRUE,$S$2=TRUE),VLOOKUP($G330,'KO Calc'!$H:$AW,18,FALSE),VLOOKUP($G330,'KO Calc'!$H336:$AW336,18,FALSE)),IF(AND($Q$1=TRUE,$S$4=TRUE),IF(OR($Q$4=TRUE,$Q$5=TRUE,$S$2=TRUE),VLOOKUP($G330,'KO Calc'!$H:$AW,8,FALSE),VLOOKUP($G330,'KO Calc'!$H336:$AW336,8,FALSE)),
IF(AND($S$3=TRUE,$S$1=TRUE,$S$4=FALSE)=TRUE,IF(OR($Q$4=TRUE,$Q$5=TRUE,$S$2=TRUE),VLOOKUP($G330,'KO Calc'!$H:$AW,33,FALSE),VLOOKUP($G330,'KO Calc'!$H336:$AW336,33,FALSE)),IF(AND($S$3=TRUE,$S$4=FALSE),IF(OR($Q$4=TRUE,$Q$5=TRUE,$S$2=TRUE),VLOOKUP($G330,'KO Calc'!$H:$AW,23,FALSE),VLOOKUP($G330,'KO Calc'!$H336:$AW336,23,FALSE)),
IF(AND($S$3=TRUE,$S$1=TRUE,$S$4=TRUE)=TRUE,IF(OR($Q$4=TRUE,$Q$5=TRUE,$S$2=TRUE),VLOOKUP($G330,'KO Calc'!$H:$AW,38,FALSE),VLOOKUP($G330,'KO Calc'!$H336:$AW336,38,FALSE)),IF(AND($S$3=TRUE,$S$4=TRUE),IF(OR($Q$4=TRUE,$Q$5=TRUE,$S$2=TRUE),VLOOKUP($G330,'KO Calc'!$H:$AW,28,FALSE),VLOOKUP($G330,'KO Calc'!$H336:$AW336,28,FALSE)))))))))))))</f>
        <v>-</v>
      </c>
      <c r="J330" s="36" t="str">
        <f>IF(AND($Q$1=FALSE,$S$3=FALSE),"-",IF(AND($Q$1=TRUE,$S$3=TRUE),"-",IF(AND($Q$1=FALSE,$S$3=FALSE),"-",IF(AND($Q$1=TRUE,$S$1=TRUE,$S$4=FALSE)=TRUE,IF(OR($Q$4=TRUE,$Q$5=TRUE,$S$2=TRUE),VLOOKUP($G330,'KO Calc'!$H:$AW,FALSE),VLOOKUP($G330,'KO Calc'!$H336:$AW336,14,FALSE)),IF(AND($Q$1=TRUE,$S$4=FALSE),IF(OR($Q$4=TRUE,$Q$5=TRUE,$S$2=TRUE),VLOOKUP($G330,'KO Calc'!$H:$AW,4,FALSE),VLOOKUP($G330,'KO Calc'!$H336:$AW336,4,FALSE)),
IF(AND($Q$1=TRUE,$S$1=TRUE,$S$4=TRUE)=TRUE,IF(OR($Q$4=TRUE,$Q$5=TRUE,$S$2=TRUE),VLOOKUP($G330,'KO Calc'!$H:$AW,19,FALSE),VLOOKUP($G330,'KO Calc'!$H336:$AW336,19,FALSE)),IF(AND($Q$1=TRUE,$S$4=TRUE),IF(OR($Q$4=TRUE,$Q$5=TRUE,$S$2=TRUE),VLOOKUP($G330,'KO Calc'!$H:$AW,9,FALSE),VLOOKUP($G330,'KO Calc'!$H336:$AW336,9,FALSE)),
IF(AND($S$3=TRUE,$S$1=TRUE,$S$4=FALSE)=TRUE,IF(OR($Q$4=TRUE,$Q$5=TRUE,$S$2=TRUE),VLOOKUP($G330,'KO Calc'!$H:$AW,34,FALSE),VLOOKUP($G330,'KO Calc'!$H336:$AW336,34,FALSE)),IF(AND($S$3=TRUE,$S$4=FALSE),IF(OR($Q$4=TRUE,$Q$5=TRUE,$S$2=TRUE),VLOOKUP($G330,'KO Calc'!$H:$AW,24,FALSE),VLOOKUP($G330,'KO Calc'!$H336:$AW336,24,FALSE)),
IF(AND($S$3=TRUE,$S$1=TRUE,$S$4=TRUE)=TRUE,IF(OR($Q$4=TRUE,$Q$5=TRUE,$S$2=TRUE),VLOOKUP($G330,'KO Calc'!$H:$AW,39,FALSE),VLOOKUP($G330,'KO Calc'!$H336:$AW336,39,FALSE)),IF(AND($S$3=TRUE,$S$4=TRUE),IF(OR($Q$4=TRUE,$Q$5=TRUE,$S$2=TRUE),VLOOKUP($G330,'KO Calc'!$H:$AW,29,FALSE),VLOOKUP($G330,'KO Calc'!$H336:$AW336,29,FALSE)))))))))))))</f>
        <v>-</v>
      </c>
      <c r="K330" s="36" t="str">
        <f>IF(AND($Q$1=FALSE,$S$3=FALSE),"-",IF(AND($Q$1=TRUE,$S$3=TRUE),"-",IF(AND($Q$1=FALSE,$S$3=FALSE),"-",IF(AND($Q$1=TRUE,$S$1=TRUE,$S$4=FALSE)=TRUE,IF(OR($Q$4=TRUE,$Q$5=TRUE,$S$2=TRUE),VLOOKUP($G330,'KO Calc'!$H:$AW,15,FALSE),VLOOKUP($G330,'KO Calc'!$H336:$AW336,15,FALSE)),IF(AND($Q$1=TRUE,$S$4=FALSE),IF(OR($Q$4=TRUE,$Q$5=TRUE,$S$2=TRUE),VLOOKUP($G330,'KO Calc'!$H:$AW,5,FALSE),VLOOKUP($G330,'KO Calc'!$H336:$AW336,5,FALSE)),
IF(AND($Q$1=TRUE,$S$1=TRUE,$S$4=TRUE)=TRUE,IF(OR($Q$4=TRUE,$Q$5=TRUE,$S$2=TRUE),VLOOKUP($G330,'KO Calc'!$H:$AW,20,FALSE),VLOOKUP($G330,'KO Calc'!$H336:$AW336,20,FALSE)),IF(AND($Q$1=TRUE,$S$4=TRUE),IF(OR($Q$4=TRUE,$Q$5=TRUE,$S$2=TRUE),VLOOKUP($G330,'KO Calc'!$H:$AW,10,FALSE),VLOOKUP($G330,'KO Calc'!$H336:$AW336,10,FALSE)),
IF(AND($S$3=TRUE,$S$1=TRUE,$S$4=FALSE)=TRUE,IF(OR($Q$4=TRUE,$Q$5=TRUE,$S$2=TRUE),VLOOKUP($G330,'KO Calc'!$H:$AW,35,FALSE),VLOOKUP($G330,'KO Calc'!$H336:$AW336,35,FALSE)),IF(AND($S$3=TRUE,$S$4=FALSE),IF(OR($Q$4=TRUE,$Q$5=TRUE,$S$2=TRUE),VLOOKUP($G330,'KO Calc'!$H:$AW,25,FALSE),VLOOKUP($G330,'KO Calc'!$H336:$AW336,25,FALSE)),
IF(AND($S$3=TRUE,$S$1=TRUE,$S$4=TRUE)=TRUE,IF(OR($Q$4=TRUE,$Q$5=TRUE,$S$2=TRUE),VLOOKUP($G330,'KO Calc'!$H:$AW,40,FALSE),VLOOKUP($G330,'KO Calc'!$H336:$AW336,40,FALSE)),IF(AND($S$3=TRUE,$S$4=TRUE),IF(OR($Q$4=TRUE,$Q$5=TRUE,$S$2=TRUE),VLOOKUP($G330,'KO Calc'!$H:$AW,30,FALSE),VLOOKUP($G330,'KO Calc'!$H336:$AW336,30,FALSE)))))))))))))</f>
        <v>-</v>
      </c>
      <c r="L330" s="36" t="str">
        <f>IFERROR(IF(AND($Q$1=FALSE,$S$3=FALSE),"-",VLOOKUP($E330,'Status Thresholds'!$E:$AU,43,FALSE)),"-")</f>
        <v>-</v>
      </c>
      <c r="M330" s="36" t="str">
        <f>IFERROR(IF(AND($Q$1=FALSE,$S$3=FALSE),"-",VLOOKUP($E330,'Status Thresholds'!$E:$AU,41,FALSE)),"-")</f>
        <v>-</v>
      </c>
      <c r="N330" s="36" t="str">
        <f>IFERROR(IF(AND($Q$1=FALSE,$S$3=FALSE),"-",VLOOKUP($E330,'Status Thresholds'!$E:$AU,42,FALSE)),"-")</f>
        <v>-</v>
      </c>
    </row>
    <row r="331" spans="1:14" x14ac:dyDescent="0.25">
      <c r="B331" s="64" t="str">
        <f>VLOOKUP(C331,'Status Thresholds'!B:C,2,FALSE)</f>
        <v>MHGen</v>
      </c>
      <c r="C331" s="46" t="str">
        <f>IF(ISBLANK('KO Calc'!C327)=TRUE,"",'KO Calc'!C327)</f>
        <v>Gammoth</v>
      </c>
      <c r="D331" s="78"/>
      <c r="E331" s="62" t="str">
        <f t="shared" si="9"/>
        <v>Gammoth</v>
      </c>
      <c r="F331" t="s">
        <v>11</v>
      </c>
      <c r="G331" s="36" t="str">
        <f t="shared" si="10"/>
        <v>GammothCrag 1</v>
      </c>
      <c r="H331" s="36" t="str">
        <f>IF(AND($Q$1=FALSE,$S$3=FALSE),"-",IF(AND($Q$1=TRUE,$S$3=TRUE),"-",IF(AND($Q$1=FALSE,$S$3=FALSE),"-",IF(AND($Q$1=TRUE,$S$1=TRUE,$S$4=FALSE)=TRUE,IF(OR($Q$4=TRUE,$Q$5=TRUE,$S$2=TRUE),VLOOKUP($G331,'KO Calc'!$H:$AW,12,FALSE),VLOOKUP($G331,'KO Calc'!$H337:$AW337,12,FALSE)),IF(AND($Q$1=TRUE,$S$4=FALSE),IF(OR($Q$4=TRUE,$Q$5=TRUE,$S$2=TRUE),VLOOKUP($G331,'KO Calc'!$H:$AW,2,FALSE),VLOOKUP($G331,'KO Calc'!$H337:$AW337,2,FALSE)),
IF(AND($Q$1=TRUE,$S$1=TRUE,$S$4=TRUE)=TRUE,IF(OR($Q$4=TRUE,$Q$5=TRUE,$S$2=TRUE),VLOOKUP($G331,'KO Calc'!$H:$AW,17,FALSE),VLOOKUP($G331,'KO Calc'!$H337:$AW337,17,FALSE)),IF(AND($Q$1=TRUE,$S$4=TRUE),IF(OR($Q$4=TRUE,$Q$5=TRUE,$S$2=TRUE),VLOOKUP($G331,'KO Calc'!$H:$AW,7,FALSE),VLOOKUP($G331,'KO Calc'!$H337:$AW337,7,FALSE)),
IF(AND($S$3=TRUE,$S$1=TRUE,$S$4=FALSE)=TRUE,IF(OR($Q$4=TRUE,$Q$5=TRUE,$S$2=TRUE),VLOOKUP($G331,'KO Calc'!$H:$AW,32,FALSE),VLOOKUP($G331,'KO Calc'!$H337:$AW337,32,FALSE)),IF(AND($S$3=TRUE,$S$4=FALSE),IF(OR($Q$4=TRUE,$Q$5=TRUE,$S$2=TRUE),VLOOKUP($G331,'KO Calc'!$H:$AW,22,FALSE),VLOOKUP($G331,'KO Calc'!$H337:$AW337,22,FALSE)),
IF(AND($S$3=TRUE,$S$1=TRUE,$S$4=TRUE)=TRUE,IF(OR($Q$4=TRUE,$Q$5=TRUE,$S$2=TRUE),VLOOKUP($G331,'KO Calc'!$H:$AW,37,FALSE),VLOOKUP($G331,'KO Calc'!$H337:$AW337,37,FALSE)),IF(AND($S$3=TRUE,$S$4=TRUE),IF(OR($Q$4=TRUE,$Q$5=TRUE,$S$2=TRUE),VLOOKUP($G331,'KO Calc'!$H:$AW,27,FALSE),VLOOKUP($G331,'KO Calc'!$H337:$AW337,27,FALSE)))))))))))))</f>
        <v>-</v>
      </c>
      <c r="I331" s="36" t="str">
        <f>IF(AND($Q$1=FALSE,$S$3=FALSE),"-",IF(AND($Q$1=TRUE,$S$3=TRUE),"-",IF(AND($Q$1=FALSE,$S$3=FALSE),"-",IF(AND($Q$1=TRUE,$S$1=TRUE,$S$4=FALSE)=TRUE,IF(OR($Q$4=TRUE,$Q$5=TRUE,$S$2=TRUE),VLOOKUP($G331,'KO Calc'!$H:$AW,13,FALSE),VLOOKUP($G331,'KO Calc'!$H337:$AW337,13,FALSE)),IF(AND($Q$1=TRUE,$S$4=FALSE),IF(OR($Q$4=TRUE,$Q$5=TRUE,$S$2=TRUE),VLOOKUP($G331,'KO Calc'!$H:$AW,3,FALSE),VLOOKUP($G331,'KO Calc'!$H337:$AW337,3,FALSE)),
IF(AND($Q$1=TRUE,$S$1=TRUE,$S$4=TRUE)=TRUE,IF(OR($Q$4=TRUE,$Q$5=TRUE,$S$2=TRUE),VLOOKUP($G331,'KO Calc'!$H:$AW,18,FALSE),VLOOKUP($G331,'KO Calc'!$H337:$AW337,18,FALSE)),IF(AND($Q$1=TRUE,$S$4=TRUE),IF(OR($Q$4=TRUE,$Q$5=TRUE,$S$2=TRUE),VLOOKUP($G331,'KO Calc'!$H:$AW,8,FALSE),VLOOKUP($G331,'KO Calc'!$H337:$AW337,8,FALSE)),
IF(AND($S$3=TRUE,$S$1=TRUE,$S$4=FALSE)=TRUE,IF(OR($Q$4=TRUE,$Q$5=TRUE,$S$2=TRUE),VLOOKUP($G331,'KO Calc'!$H:$AW,33,FALSE),VLOOKUP($G331,'KO Calc'!$H337:$AW337,33,FALSE)),IF(AND($S$3=TRUE,$S$4=FALSE),IF(OR($Q$4=TRUE,$Q$5=TRUE,$S$2=TRUE),VLOOKUP($G331,'KO Calc'!$H:$AW,23,FALSE),VLOOKUP($G331,'KO Calc'!$H337:$AW337,23,FALSE)),
IF(AND($S$3=TRUE,$S$1=TRUE,$S$4=TRUE)=TRUE,IF(OR($Q$4=TRUE,$Q$5=TRUE,$S$2=TRUE),VLOOKUP($G331,'KO Calc'!$H:$AW,38,FALSE),VLOOKUP($G331,'KO Calc'!$H337:$AW337,38,FALSE)),IF(AND($S$3=TRUE,$S$4=TRUE),IF(OR($Q$4=TRUE,$Q$5=TRUE,$S$2=TRUE),VLOOKUP($G331,'KO Calc'!$H:$AW,28,FALSE),VLOOKUP($G331,'KO Calc'!$H337:$AW337,28,FALSE)))))))))))))</f>
        <v>-</v>
      </c>
      <c r="J331" s="36" t="str">
        <f>IF(AND($Q$1=FALSE,$S$3=FALSE),"-",IF(AND($Q$1=TRUE,$S$3=TRUE),"-",IF(AND($Q$1=FALSE,$S$3=FALSE),"-",IF(AND($Q$1=TRUE,$S$1=TRUE,$S$4=FALSE)=TRUE,IF(OR($Q$4=TRUE,$Q$5=TRUE,$S$2=TRUE),VLOOKUP($G331,'KO Calc'!$H:$AW,FALSE),VLOOKUP($G331,'KO Calc'!$H337:$AW337,14,FALSE)),IF(AND($Q$1=TRUE,$S$4=FALSE),IF(OR($Q$4=TRUE,$Q$5=TRUE,$S$2=TRUE),VLOOKUP($G331,'KO Calc'!$H:$AW,4,FALSE),VLOOKUP($G331,'KO Calc'!$H337:$AW337,4,FALSE)),
IF(AND($Q$1=TRUE,$S$1=TRUE,$S$4=TRUE)=TRUE,IF(OR($Q$4=TRUE,$Q$5=TRUE,$S$2=TRUE),VLOOKUP($G331,'KO Calc'!$H:$AW,19,FALSE),VLOOKUP($G331,'KO Calc'!$H337:$AW337,19,FALSE)),IF(AND($Q$1=TRUE,$S$4=TRUE),IF(OR($Q$4=TRUE,$Q$5=TRUE,$S$2=TRUE),VLOOKUP($G331,'KO Calc'!$H:$AW,9,FALSE),VLOOKUP($G331,'KO Calc'!$H337:$AW337,9,FALSE)),
IF(AND($S$3=TRUE,$S$1=TRUE,$S$4=FALSE)=TRUE,IF(OR($Q$4=TRUE,$Q$5=TRUE,$S$2=TRUE),VLOOKUP($G331,'KO Calc'!$H:$AW,34,FALSE),VLOOKUP($G331,'KO Calc'!$H337:$AW337,34,FALSE)),IF(AND($S$3=TRUE,$S$4=FALSE),IF(OR($Q$4=TRUE,$Q$5=TRUE,$S$2=TRUE),VLOOKUP($G331,'KO Calc'!$H:$AW,24,FALSE),VLOOKUP($G331,'KO Calc'!$H337:$AW337,24,FALSE)),
IF(AND($S$3=TRUE,$S$1=TRUE,$S$4=TRUE)=TRUE,IF(OR($Q$4=TRUE,$Q$5=TRUE,$S$2=TRUE),VLOOKUP($G331,'KO Calc'!$H:$AW,39,FALSE),VLOOKUP($G331,'KO Calc'!$H337:$AW337,39,FALSE)),IF(AND($S$3=TRUE,$S$4=TRUE),IF(OR($Q$4=TRUE,$Q$5=TRUE,$S$2=TRUE),VLOOKUP($G331,'KO Calc'!$H:$AW,29,FALSE),VLOOKUP($G331,'KO Calc'!$H337:$AW337,29,FALSE)))))))))))))</f>
        <v>-</v>
      </c>
      <c r="K331" s="36" t="str">
        <f>IF(AND($Q$1=FALSE,$S$3=FALSE),"-",IF(AND($Q$1=TRUE,$S$3=TRUE),"-",IF(AND($Q$1=FALSE,$S$3=FALSE),"-",IF(AND($Q$1=TRUE,$S$1=TRUE,$S$4=FALSE)=TRUE,IF(OR($Q$4=TRUE,$Q$5=TRUE,$S$2=TRUE),VLOOKUP($G331,'KO Calc'!$H:$AW,15,FALSE),VLOOKUP($G331,'KO Calc'!$H337:$AW337,15,FALSE)),IF(AND($Q$1=TRUE,$S$4=FALSE),IF(OR($Q$4=TRUE,$Q$5=TRUE,$S$2=TRUE),VLOOKUP($G331,'KO Calc'!$H:$AW,5,FALSE),VLOOKUP($G331,'KO Calc'!$H337:$AW337,5,FALSE)),
IF(AND($Q$1=TRUE,$S$1=TRUE,$S$4=TRUE)=TRUE,IF(OR($Q$4=TRUE,$Q$5=TRUE,$S$2=TRUE),VLOOKUP($G331,'KO Calc'!$H:$AW,20,FALSE),VLOOKUP($G331,'KO Calc'!$H337:$AW337,20,FALSE)),IF(AND($Q$1=TRUE,$S$4=TRUE),IF(OR($Q$4=TRUE,$Q$5=TRUE,$S$2=TRUE),VLOOKUP($G331,'KO Calc'!$H:$AW,10,FALSE),VLOOKUP($G331,'KO Calc'!$H337:$AW337,10,FALSE)),
IF(AND($S$3=TRUE,$S$1=TRUE,$S$4=FALSE)=TRUE,IF(OR($Q$4=TRUE,$Q$5=TRUE,$S$2=TRUE),VLOOKUP($G331,'KO Calc'!$H:$AW,35,FALSE),VLOOKUP($G331,'KO Calc'!$H337:$AW337,35,FALSE)),IF(AND($S$3=TRUE,$S$4=FALSE),IF(OR($Q$4=TRUE,$Q$5=TRUE,$S$2=TRUE),VLOOKUP($G331,'KO Calc'!$H:$AW,25,FALSE),VLOOKUP($G331,'KO Calc'!$H337:$AW337,25,FALSE)),
IF(AND($S$3=TRUE,$S$1=TRUE,$S$4=TRUE)=TRUE,IF(OR($Q$4=TRUE,$Q$5=TRUE,$S$2=TRUE),VLOOKUP($G331,'KO Calc'!$H:$AW,40,FALSE),VLOOKUP($G331,'KO Calc'!$H337:$AW337,40,FALSE)),IF(AND($S$3=TRUE,$S$4=TRUE),IF(OR($Q$4=TRUE,$Q$5=TRUE,$S$2=TRUE),VLOOKUP($G331,'KO Calc'!$H:$AW,30,FALSE),VLOOKUP($G331,'KO Calc'!$H337:$AW337,30,FALSE)))))))))))))</f>
        <v>-</v>
      </c>
      <c r="L331" s="36" t="str">
        <f>IFERROR(VLOOKUP($E331,'Status Thresholds'!$E:$AS,41,FALSE),"-")</f>
        <v>-</v>
      </c>
    </row>
    <row r="332" spans="1:14" x14ac:dyDescent="0.25">
      <c r="B332" s="64" t="str">
        <f>VLOOKUP(C332,'Status Thresholds'!B:C,2,FALSE)</f>
        <v>MHGen</v>
      </c>
      <c r="C332" s="46" t="str">
        <f>IF(ISBLANK('KO Calc'!C328)=TRUE,"",'KO Calc'!C328)</f>
        <v>Gammoth</v>
      </c>
      <c r="D332" s="78"/>
      <c r="E332" s="62"/>
      <c r="G332" s="36"/>
      <c r="L332" s="36" t="str">
        <f>IFERROR(VLOOKUP($E332,'Status Thresholds'!$E:$AS,41,FALSE),"-")</f>
        <v>-</v>
      </c>
    </row>
    <row r="333" spans="1:14" s="36" customFormat="1" x14ac:dyDescent="0.25">
      <c r="B333" s="64" t="str">
        <f>VLOOKUP(C333,'Status Thresholds'!B:C,2,FALSE)</f>
        <v>MHGen</v>
      </c>
      <c r="C333" s="46" t="str">
        <f>IF(ISBLANK('KO Calc'!C329)=TRUE,"",'KO Calc'!C329)</f>
        <v>Gendrome</v>
      </c>
      <c r="D333" s="65" t="s">
        <v>0</v>
      </c>
      <c r="E333" s="62" t="str">
        <f t="shared" si="9"/>
        <v>GendromePara</v>
      </c>
      <c r="F333" s="36" t="s">
        <v>2</v>
      </c>
      <c r="G333" s="36" t="str">
        <f t="shared" si="10"/>
        <v>GendromePara lvl 2</v>
      </c>
      <c r="H333" s="36" t="str">
        <f>IFERROR(ROUNDUP(IF(AND($Q$1=FALSE,$S$3=FALSE),"-",IF(AND($Q$1=TRUE,$S$3=TRUE),"-",IF(AND($Q$1=TRUE,$S$1=TRUE,$S$4=FALSE),VLOOKUP($E333,'Status Thresholds'!$E:$AS,12,FALSE),IF(AND($Q$1=TRUE,$S$4=FALSE),VLOOKUP($E333,'Status Thresholds'!$E:$AS,2,FALSE), IF(AND($Q$1=TRUE,$S$1=TRUE,$S$4=TRUE),VLOOKUP($E333,'Status Thresholds'!$E:$AS,17,FALSE),IF(AND($Q$1=TRUE,$S$4=TRUE),VLOOKUP($E333,'Status Thresholds'!$E:$AS,7,FALSE),IF(AND($S$3=TRUE,$S$1=TRUE,$S$4=FALSE),VLOOKUP($E333,'Status Thresholds'!$E:$AS,32,FALSE),IF(AND($S$3=TRUE,$S$4=FALSE),VLOOKUP($E333,'Status Thresholds'!$E:$AS,22,FALSE),IF(AND($S$3=TRUE,$S$1=TRUE,$S$4=TRUE),VLOOKUP($E333,'Status Thresholds'!$E:$AS,37,FALSE),IF(AND($S$3=TRUE,$S$4=TRUE),VLOOKUP($E333,'Status Thresholds'!$E:$AS,27,FALSE),""))))))))/IF(OR($Q$3=TRUE,AND($Q$2=TRUE,$Q$7=TRUE),AND($Q$3=TRUE,$Q$7=TRUE))=TRUE,'Shots and Status'!$F$5,IF((OR($Q$2,$Q$7)=TRUE),'Shots and Status'!$D$5,'Shots and Status'!$C$5)))),0),"-")</f>
        <v>-</v>
      </c>
      <c r="I333" s="36" t="str">
        <f>IFERROR(ROUNDUP(IF(AND($Q$1=FALSE,$S$3=FALSE),"-",IF(AND($Q$1=TRUE,$S$3=TRUE),"-",IF(AND($Q$1=TRUE,$S$1=TRUE,$S$4=FALSE),VLOOKUP($E333,'Status Thresholds'!$E:$AS,13,FALSE),IF(AND($Q$1=TRUE,$S$4=FALSE),VLOOKUP($E333,'Status Thresholds'!$E:$AS,3,FALSE), IF(AND($Q$1=TRUE,$S$1=TRUE,$S$4=TRUE),VLOOKUP($E333,'Status Thresholds'!$E:$AS,18,FALSE),IF(AND($Q$1=TRUE,$S$4=TRUE),VLOOKUP($E333,'Status Thresholds'!$E:$AS,8,FALSE),IF(AND($S$3=TRUE,$S$1=TRUE,$S$4=FALSE),VLOOKUP($E333,'Status Thresholds'!$E:$AS,33,FALSE),IF(AND($S$3=TRUE,$S$4=FALSE),VLOOKUP($E333,'Status Thresholds'!$E:$AS,23,FALSE),IF(AND($S$3=TRUE,$S$1=TRUE,$S$4=TRUE),VLOOKUP($E333,'Status Thresholds'!$E:$AS,38,FALSE),IF(AND($S$3=TRUE,$S$4=TRUE),VLOOKUP($E333,'Status Thresholds'!$E:$AS,28,FALSE),""))))))))/IF(OR($Q$3=TRUE,AND($Q$2=TRUE,$Q$7=TRUE),AND($Q$3=TRUE,$Q$7=TRUE))=TRUE,'Shots and Status'!$F$5,IF((OR($Q$2,$Q$7)=TRUE),'Shots and Status'!$D$5,'Shots and Status'!$C$5)))),0),"-")</f>
        <v>-</v>
      </c>
      <c r="J333" s="36" t="str">
        <f>IFERROR(ROUNDUP(IF(AND($Q$1=FALSE,$S$3=FALSE),"-",IF(AND($Q$1=TRUE,$S$3=TRUE),"-",IF(AND($Q$1=TRUE,$S$1=TRUE,$S$4=FALSE),VLOOKUP($E333,'Status Thresholds'!$E:$AS,14,FALSE),IF(AND($Q$1=TRUE,$S$4=FALSE),VLOOKUP($E333,'Status Thresholds'!$E:$AS,4,FALSE), IF(AND($Q$1=TRUE,$S$1=TRUE,$S$4=TRUE),VLOOKUP($E333,'Status Thresholds'!$E:$AS,19,FALSE),IF(AND($Q$1=TRUE,$S$4=TRUE),VLOOKUP($E333,'Status Thresholds'!$E:$AS,9,FALSE),IF(AND($S$3=TRUE,$S$1=TRUE,$S$4=FALSE),VLOOKUP($E333,'Status Thresholds'!$E:$AS,34,FALSE),IF(AND($S$3=TRUE,$S$4=FALSE),VLOOKUP($E333,'Status Thresholds'!$E:$AS,24,FALSE),IF(AND($S$3=TRUE,$S$1=TRUE,$S$4=TRUE),VLOOKUP($E333,'Status Thresholds'!$E:$AS,39,FALSE),IF(AND($S$3=TRUE,$S$4=TRUE),VLOOKUP($E333,'Status Thresholds'!$E:$AS,29,FALSE),""))))))))/IF(OR($Q$3=TRUE,AND($Q$2=TRUE,$Q$7=TRUE),AND($Q$3=TRUE,$Q$7=TRUE))=TRUE,'Shots and Status'!$F$5,IF((OR($Q$2,$Q$7)=TRUE),'Shots and Status'!$D$5,'Shots and Status'!$C$5)))),0),"-")</f>
        <v>-</v>
      </c>
      <c r="K333" s="36" t="str">
        <f>IFERROR(ROUNDUP(IF(AND($Q$1=FALSE,$S$3=FALSE),"-",IF(AND($Q$1=TRUE,$S$3=TRUE),"-",IF(AND($Q$1=TRUE,$S$1=TRUE,$S$4=FALSE),VLOOKUP($E333,'Status Thresholds'!$E:$AS,15,FALSE),IF(AND($Q$1=TRUE,$S$4=FALSE),VLOOKUP($E333,'Status Thresholds'!$E:$AS,5,FALSE), IF(AND($Q$1=TRUE,$S$1=TRUE,$S$4=TRUE),VLOOKUP($E333,'Status Thresholds'!$E:$AS,20,FALSE),IF(AND($Q$1=TRUE,$S$4=TRUE),VLOOKUP($E333,'Status Thresholds'!$E:$AS,10,FALSE),IF(AND($S$3=TRUE,$S$1=TRUE,$S$4=FALSE),VLOOKUP($E333,'Status Thresholds'!$E:$AS,35,FALSE),IF(AND($S$3=TRUE,$S$4=FALSE),VLOOKUP($E333,'Status Thresholds'!$E:$AS,25,FALSE),IF(AND($S$3=TRUE,$S$1=TRUE,$S$4=TRUE),VLOOKUP($E333,'Status Thresholds'!$E:$AS,40,FALSE),IF(AND($S$3=TRUE,$S$4=TRUE),VLOOKUP($E333,'Status Thresholds'!$E:$AS,30,FALSE),""))))))))/IF(OR($Q$3=TRUE,AND($Q$2=TRUE,$Q$7=TRUE),AND($Q$3=TRUE,$Q$7=TRUE))=TRUE,'Shots and Status'!$F$5,IF((OR($Q$2,$Q$7)=TRUE),'Shots and Status'!$D$5,'Shots and Status'!$C$5)))),0),"-")</f>
        <v>-</v>
      </c>
      <c r="L333" s="36" t="str">
        <f>IFERROR(IF(AND($Q$1=FALSE,$S$3=FALSE),"-",VLOOKUP($E333,'Status Thresholds'!$E:$AU,41,FALSE)),"-")</f>
        <v>-</v>
      </c>
      <c r="M333" s="36" t="str">
        <f>IFERROR(IF(AND($Q$1=FALSE,$S$3=FALSE),"-",VLOOKUP($E333,'Status Thresholds'!$E:$AU,42,FALSE)),"-")</f>
        <v>-</v>
      </c>
      <c r="N333" s="36" t="str">
        <f>IFERROR(IF(AND($Q$1=FALSE,$S$3=FALSE),"-",VLOOKUP($E333,'Status Thresholds'!$E:$AU,43,FALSE)),"-")</f>
        <v>-</v>
      </c>
    </row>
    <row r="334" spans="1:14" s="59" customFormat="1" x14ac:dyDescent="0.25">
      <c r="A334" s="46"/>
      <c r="B334" s="64" t="str">
        <f>VLOOKUP(C334,'Status Thresholds'!B:C,2,FALSE)</f>
        <v>MHGen</v>
      </c>
      <c r="C334" s="46" t="str">
        <f>IF(ISBLANK('KO Calc'!C330)=TRUE,"",'KO Calc'!C330)</f>
        <v>Gendrome</v>
      </c>
      <c r="D334" s="60" t="s">
        <v>32</v>
      </c>
      <c r="E334" s="62" t="str">
        <f t="shared" si="9"/>
        <v>GendromeSleep</v>
      </c>
      <c r="F334" s="59" t="s">
        <v>5</v>
      </c>
      <c r="G334" s="36" t="str">
        <f t="shared" si="10"/>
        <v>GendromeSleep lvl 2</v>
      </c>
      <c r="H334" s="36" t="str">
        <f>IFERROR(ROUNDUP(IF(AND($Q$1=FALSE,$S$3=FALSE),"-",IF(AND($Q$1=TRUE,$S$3=TRUE),"-",IF(AND($Q$1=TRUE,$S$1=TRUE,$S$4=FALSE),VLOOKUP($E334,'Status Thresholds'!$E:$AS,12,FALSE),IF(AND($Q$1=TRUE,$S$4=FALSE),VLOOKUP($E334,'Status Thresholds'!$E:$AS,2,FALSE), IF(AND($Q$1=TRUE,$S$1=TRUE,$S$4=TRUE),VLOOKUP($E334,'Status Thresholds'!$E:$AS,17,FALSE),IF(AND($Q$1=TRUE,$S$4=TRUE),VLOOKUP($E334,'Status Thresholds'!$E:$AS,7,FALSE),IF(AND($S$3=TRUE,$S$1=TRUE,$S$4=FALSE),VLOOKUP($E334,'Status Thresholds'!$E:$AS,32,FALSE),IF(AND($S$3=TRUE,$S$4=FALSE),VLOOKUP($E334,'Status Thresholds'!$E:$AS,22,FALSE),IF(AND($S$3=TRUE,$S$1=TRUE,$S$4=TRUE),VLOOKUP($E334,'Status Thresholds'!$E:$AS,37,FALSE),IF(AND($S$3=TRUE,$S$4=TRUE),VLOOKUP($E334,'Status Thresholds'!$E:$AS,27,FALSE),""))))))))/IF(OR($Q$3=TRUE,AND($Q$2=TRUE,$Q$7=TRUE),AND($Q$3=TRUE,$Q$7=TRUE))=TRUE,'Shots and Status'!$F$5,IF((OR($Q$2,$Q$7)=TRUE),'Shots and Status'!$D$5,'Shots and Status'!$C$5)))),0),"-")</f>
        <v>-</v>
      </c>
      <c r="I334" s="36" t="str">
        <f>IFERROR(ROUNDUP(IF(AND($Q$1=FALSE,$S$3=FALSE),"-",IF(AND($Q$1=TRUE,$S$3=TRUE),"-",IF(AND($Q$1=TRUE,$S$1=TRUE,$S$4=FALSE),VLOOKUP($E334,'Status Thresholds'!$E:$AS,13,FALSE),IF(AND($Q$1=TRUE,$S$4=FALSE),VLOOKUP($E334,'Status Thresholds'!$E:$AS,3,FALSE), IF(AND($Q$1=TRUE,$S$1=TRUE,$S$4=TRUE),VLOOKUP($E334,'Status Thresholds'!$E:$AS,18,FALSE),IF(AND($Q$1=TRUE,$S$4=TRUE),VLOOKUP($E334,'Status Thresholds'!$E:$AS,8,FALSE),IF(AND($S$3=TRUE,$S$1=TRUE,$S$4=FALSE),VLOOKUP($E334,'Status Thresholds'!$E:$AS,33,FALSE),IF(AND($S$3=TRUE,$S$4=FALSE),VLOOKUP($E334,'Status Thresholds'!$E:$AS,23,FALSE),IF(AND($S$3=TRUE,$S$1=TRUE,$S$4=TRUE),VLOOKUP($E334,'Status Thresholds'!$E:$AS,38,FALSE),IF(AND($S$3=TRUE,$S$4=TRUE),VLOOKUP($E334,'Status Thresholds'!$E:$AS,28,FALSE),""))))))))/IF(OR($Q$3=TRUE,AND($Q$2=TRUE,$Q$7=TRUE),AND($Q$3=TRUE,$Q$7=TRUE))=TRUE,'Shots and Status'!$F$5,IF((OR($Q$2,$Q$7)=TRUE),'Shots and Status'!$D$5,'Shots and Status'!$C$5)))),0),"-")</f>
        <v>-</v>
      </c>
      <c r="J334" s="36" t="str">
        <f>IFERROR(ROUNDUP(IF(AND($Q$1=FALSE,$S$3=FALSE),"-",IF(AND($Q$1=TRUE,$S$3=TRUE),"-",IF(AND($Q$1=TRUE,$S$1=TRUE,$S$4=FALSE),VLOOKUP($E334,'Status Thresholds'!$E:$AS,14,FALSE),IF(AND($Q$1=TRUE,$S$4=FALSE),VLOOKUP($E334,'Status Thresholds'!$E:$AS,4,FALSE), IF(AND($Q$1=TRUE,$S$1=TRUE,$S$4=TRUE),VLOOKUP($E334,'Status Thresholds'!$E:$AS,19,FALSE),IF(AND($Q$1=TRUE,$S$4=TRUE),VLOOKUP($E334,'Status Thresholds'!$E:$AS,9,FALSE),IF(AND($S$3=TRUE,$S$1=TRUE,$S$4=FALSE),VLOOKUP($E334,'Status Thresholds'!$E:$AS,34,FALSE),IF(AND($S$3=TRUE,$S$4=FALSE),VLOOKUP($E334,'Status Thresholds'!$E:$AS,24,FALSE),IF(AND($S$3=TRUE,$S$1=TRUE,$S$4=TRUE),VLOOKUP($E334,'Status Thresholds'!$E:$AS,39,FALSE),IF(AND($S$3=TRUE,$S$4=TRUE),VLOOKUP($E334,'Status Thresholds'!$E:$AS,29,FALSE),""))))))))/IF(OR($Q$3=TRUE,AND($Q$2=TRUE,$Q$7=TRUE),AND($Q$3=TRUE,$Q$7=TRUE))=TRUE,'Shots and Status'!$F$5,IF((OR($Q$2,$Q$7)=TRUE),'Shots and Status'!$D$5,'Shots and Status'!$C$5)))),0),"-")</f>
        <v>-</v>
      </c>
      <c r="K334" s="36" t="str">
        <f>IFERROR(ROUNDUP(IF(AND($Q$1=FALSE,$S$3=FALSE),"-",IF(AND($Q$1=TRUE,$S$3=TRUE),"-",IF(AND($Q$1=TRUE,$S$1=TRUE,$S$4=FALSE),VLOOKUP($E334,'Status Thresholds'!$E:$AS,15,FALSE),IF(AND($Q$1=TRUE,$S$4=FALSE),VLOOKUP($E334,'Status Thresholds'!$E:$AS,5,FALSE), IF(AND($Q$1=TRUE,$S$1=TRUE,$S$4=TRUE),VLOOKUP($E334,'Status Thresholds'!$E:$AS,20,FALSE),IF(AND($Q$1=TRUE,$S$4=TRUE),VLOOKUP($E334,'Status Thresholds'!$E:$AS,10,FALSE),IF(AND($S$3=TRUE,$S$1=TRUE,$S$4=FALSE),VLOOKUP($E334,'Status Thresholds'!$E:$AS,35,FALSE),IF(AND($S$3=TRUE,$S$4=FALSE),VLOOKUP($E334,'Status Thresholds'!$E:$AS,25,FALSE),IF(AND($S$3=TRUE,$S$1=TRUE,$S$4=TRUE),VLOOKUP($E334,'Status Thresholds'!$E:$AS,40,FALSE),IF(AND($S$3=TRUE,$S$4=TRUE),VLOOKUP($E334,'Status Thresholds'!$E:$AS,30,FALSE),""))))))))/IF(OR($Q$3=TRUE,AND($Q$2=TRUE,$Q$7=TRUE),AND($Q$3=TRUE,$Q$7=TRUE))=TRUE,'Shots and Status'!$F$5,IF((OR($Q$2,$Q$7)=TRUE),'Shots and Status'!$D$5,'Shots and Status'!$C$5)))),0),"-")</f>
        <v>-</v>
      </c>
      <c r="L334" s="36" t="str">
        <f>IFERROR(IF(AND($Q$1=FALSE,$S$3=FALSE),"-",VLOOKUP($E334,'Status Thresholds'!$E:$AU,41,FALSE)),"-")</f>
        <v>-</v>
      </c>
      <c r="M334" s="36" t="str">
        <f>IFERROR(IF(AND($Q$1=FALSE,$S$3=FALSE),"-",VLOOKUP($E334,'Status Thresholds'!$E:$AU,42,FALSE)),"-")</f>
        <v>-</v>
      </c>
      <c r="N334" s="36" t="str">
        <f>IFERROR(IF(AND($Q$1=FALSE,$S$3=FALSE),"-",VLOOKUP($E334,'Status Thresholds'!$E:$AU,43,FALSE)),"-")</f>
        <v>-</v>
      </c>
    </row>
    <row r="335" spans="1:14" s="59" customFormat="1" x14ac:dyDescent="0.25">
      <c r="A335" s="46"/>
      <c r="B335" s="64" t="str">
        <f>VLOOKUP(C335,'Status Thresholds'!B:C,2,FALSE)</f>
        <v>MHGen</v>
      </c>
      <c r="C335" s="46" t="str">
        <f>IF(ISBLANK('KO Calc'!C331)=TRUE,"",'KO Calc'!C331)</f>
        <v>Gendrome</v>
      </c>
      <c r="D335" s="58" t="s">
        <v>33</v>
      </c>
      <c r="E335" s="62" t="str">
        <f t="shared" si="9"/>
        <v>GendromePoison</v>
      </c>
      <c r="F335" s="59" t="s">
        <v>6</v>
      </c>
      <c r="G335" s="36" t="str">
        <f t="shared" si="10"/>
        <v>GendromePoison lvl 2</v>
      </c>
      <c r="H335" s="36" t="str">
        <f>IFERROR(ROUNDUP(IF(AND($Q$1=FALSE,$S$3=FALSE),"-",IF(AND($Q$1=TRUE,$S$3=TRUE),"-",IF(AND($Q$1=TRUE,$S$1=TRUE,$S$4=FALSE),VLOOKUP($E335,'Status Thresholds'!$E:$AS,12,FALSE),IF(AND($Q$1=TRUE,$S$4=FALSE),VLOOKUP($E335,'Status Thresholds'!$E:$AS,2,FALSE), IF(AND($Q$1=TRUE,$S$1=TRUE,$S$4=TRUE),VLOOKUP($E335,'Status Thresholds'!$E:$AS,17,FALSE),IF(AND($Q$1=TRUE,$S$4=TRUE),VLOOKUP($E335,'Status Thresholds'!$E:$AS,7,FALSE),IF(AND($S$3=TRUE,$S$1=TRUE,$S$4=FALSE),VLOOKUP($E335,'Status Thresholds'!$E:$AS,32,FALSE),IF(AND($S$3=TRUE,$S$4=FALSE),VLOOKUP($E335,'Status Thresholds'!$E:$AS,22,FALSE),IF(AND($S$3=TRUE,$S$1=TRUE,$S$4=TRUE),VLOOKUP($E335,'Status Thresholds'!$E:$AS,37,FALSE),IF(AND($S$3=TRUE,$S$4=TRUE),VLOOKUP($E335,'Status Thresholds'!$E:$AS,27,FALSE),""))))))))/IF(OR($Q$3=TRUE,AND($Q$2=TRUE,$Q$7=TRUE),AND($Q$3=TRUE,$Q$7=TRUE))=TRUE,'Shots and Status'!$F$5,IF((OR($Q$2,$Q$7)=TRUE),'Shots and Status'!$D$5,'Shots and Status'!$C$5)))),0),"-")</f>
        <v>-</v>
      </c>
      <c r="I335" s="36" t="str">
        <f>IFERROR(ROUNDUP(IF(AND($Q$1=FALSE,$S$3=FALSE),"-",IF(AND($Q$1=TRUE,$S$3=TRUE),"-",IF(AND($Q$1=TRUE,$S$1=TRUE,$S$4=FALSE),VLOOKUP($E335,'Status Thresholds'!$E:$AS,13,FALSE),IF(AND($Q$1=TRUE,$S$4=FALSE),VLOOKUP($E335,'Status Thresholds'!$E:$AS,3,FALSE), IF(AND($Q$1=TRUE,$S$1=TRUE,$S$4=TRUE),VLOOKUP($E335,'Status Thresholds'!$E:$AS,18,FALSE),IF(AND($Q$1=TRUE,$S$4=TRUE),VLOOKUP($E335,'Status Thresholds'!$E:$AS,8,FALSE),IF(AND($S$3=TRUE,$S$1=TRUE,$S$4=FALSE),VLOOKUP($E335,'Status Thresholds'!$E:$AS,33,FALSE),IF(AND($S$3=TRUE,$S$4=FALSE),VLOOKUP($E335,'Status Thresholds'!$E:$AS,23,FALSE),IF(AND($S$3=TRUE,$S$1=TRUE,$S$4=TRUE),VLOOKUP($E335,'Status Thresholds'!$E:$AS,38,FALSE),IF(AND($S$3=TRUE,$S$4=TRUE),VLOOKUP($E335,'Status Thresholds'!$E:$AS,28,FALSE),""))))))))/IF(OR($Q$3=TRUE,AND($Q$2=TRUE,$Q$7=TRUE),AND($Q$3=TRUE,$Q$7=TRUE))=TRUE,'Shots and Status'!$F$5,IF((OR($Q$2,$Q$7)=TRUE),'Shots and Status'!$D$5,'Shots and Status'!$C$5)))),0),"-")</f>
        <v>-</v>
      </c>
      <c r="J335" s="36" t="str">
        <f>IFERROR(ROUNDUP(IF(AND($Q$1=FALSE,$S$3=FALSE),"-",IF(AND($Q$1=TRUE,$S$3=TRUE),"-",IF(AND($Q$1=TRUE,$S$1=TRUE,$S$4=FALSE),VLOOKUP($E335,'Status Thresholds'!$E:$AS,14,FALSE),IF(AND($Q$1=TRUE,$S$4=FALSE),VLOOKUP($E335,'Status Thresholds'!$E:$AS,4,FALSE), IF(AND($Q$1=TRUE,$S$1=TRUE,$S$4=TRUE),VLOOKUP($E335,'Status Thresholds'!$E:$AS,19,FALSE),IF(AND($Q$1=TRUE,$S$4=TRUE),VLOOKUP($E335,'Status Thresholds'!$E:$AS,9,FALSE),IF(AND($S$3=TRUE,$S$1=TRUE,$S$4=FALSE),VLOOKUP($E335,'Status Thresholds'!$E:$AS,34,FALSE),IF(AND($S$3=TRUE,$S$4=FALSE),VLOOKUP($E335,'Status Thresholds'!$E:$AS,24,FALSE),IF(AND($S$3=TRUE,$S$1=TRUE,$S$4=TRUE),VLOOKUP($E335,'Status Thresholds'!$E:$AS,39,FALSE),IF(AND($S$3=TRUE,$S$4=TRUE),VLOOKUP($E335,'Status Thresholds'!$E:$AS,29,FALSE),""))))))))/IF(OR($Q$3=TRUE,AND($Q$2=TRUE,$Q$7=TRUE),AND($Q$3=TRUE,$Q$7=TRUE))=TRUE,'Shots and Status'!$F$5,IF((OR($Q$2,$Q$7)=TRUE),'Shots and Status'!$D$5,'Shots and Status'!$C$5)))),0),"-")</f>
        <v>-</v>
      </c>
      <c r="K335" s="36" t="str">
        <f>IFERROR(ROUNDUP(IF(AND($Q$1=FALSE,$S$3=FALSE),"-",IF(AND($Q$1=TRUE,$S$3=TRUE),"-",IF(AND($Q$1=TRUE,$S$1=TRUE,$S$4=FALSE),VLOOKUP($E335,'Status Thresholds'!$E:$AS,15,FALSE),IF(AND($Q$1=TRUE,$S$4=FALSE),VLOOKUP($E335,'Status Thresholds'!$E:$AS,5,FALSE), IF(AND($Q$1=TRUE,$S$1=TRUE,$S$4=TRUE),VLOOKUP($E335,'Status Thresholds'!$E:$AS,20,FALSE),IF(AND($Q$1=TRUE,$S$4=TRUE),VLOOKUP($E335,'Status Thresholds'!$E:$AS,10,FALSE),IF(AND($S$3=TRUE,$S$1=TRUE,$S$4=FALSE),VLOOKUP($E335,'Status Thresholds'!$E:$AS,35,FALSE),IF(AND($S$3=TRUE,$S$4=FALSE),VLOOKUP($E335,'Status Thresholds'!$E:$AS,25,FALSE),IF(AND($S$3=TRUE,$S$1=TRUE,$S$4=TRUE),VLOOKUP($E335,'Status Thresholds'!$E:$AS,40,FALSE),IF(AND($S$3=TRUE,$S$4=TRUE),VLOOKUP($E335,'Status Thresholds'!$E:$AS,30,FALSE),""))))))))/IF(OR($Q$3=TRUE,AND($Q$2=TRUE,$Q$7=TRUE),AND($Q$3=TRUE,$Q$7=TRUE))=TRUE,'Shots and Status'!$F$5,IF((OR($Q$2,$Q$7)=TRUE),'Shots and Status'!$D$5,'Shots and Status'!$C$5)))),0),"-")</f>
        <v>-</v>
      </c>
      <c r="L335" s="36" t="str">
        <f>IFERROR(IF(AND($Q$1=FALSE,$S$3=FALSE),"-",VLOOKUP($E335,'Status Thresholds'!$E:$AU,41,FALSE)),"-")</f>
        <v>-</v>
      </c>
      <c r="M335" s="36" t="str">
        <f>IFERROR(IF(AND($Q$1=FALSE,$S$3=FALSE),"-",VLOOKUP($E335,'Status Thresholds'!$E:$AU,42,FALSE)),"-")</f>
        <v>-</v>
      </c>
      <c r="N335" s="36" t="str">
        <f>IFERROR(IF(AND($Q$1=FALSE,$S$3=FALSE),"-",VLOOKUP($E335,'Status Thresholds'!$E:$AU,43,FALSE)),"-")</f>
        <v>-</v>
      </c>
    </row>
    <row r="336" spans="1:14" s="36" customFormat="1" x14ac:dyDescent="0.25">
      <c r="A336" s="46"/>
      <c r="B336" s="64" t="str">
        <f>VLOOKUP(C336,'Status Thresholds'!B:C,2,FALSE)</f>
        <v>MHGen</v>
      </c>
      <c r="C336" s="46" t="str">
        <f>IF(ISBLANK('KO Calc'!C332)=TRUE,"",'KO Calc'!C332)</f>
        <v>Gendrome</v>
      </c>
      <c r="D336" s="57" t="s">
        <v>22</v>
      </c>
      <c r="E336" s="62" t="str">
        <f t="shared" si="9"/>
        <v>GendromeExhaust</v>
      </c>
      <c r="F336" s="36" t="s">
        <v>8</v>
      </c>
      <c r="G336" s="36" t="str">
        <f t="shared" si="10"/>
        <v>GendromeExhaust lvl 2</v>
      </c>
      <c r="H336" s="36" t="str">
        <f>IFERROR(ROUNDUP(IF(AND($Q$1=FALSE,$S$3=FALSE),"-",IF(AND($Q$1=TRUE,$S$3=TRUE),"-",IF(AND($Q$1=TRUE,$S$1=TRUE,$S$4=FALSE),VLOOKUP($E336,'Status Thresholds'!$E:$AS,12,FALSE),IF(AND($Q$1=TRUE,$S$4=FALSE),VLOOKUP($E336,'Status Thresholds'!$E:$AS,2,FALSE), IF(AND($Q$1=TRUE,$S$1=TRUE,$S$4=TRUE),VLOOKUP($E336,'Status Thresholds'!$E:$AS,17,FALSE),IF(AND($Q$1=TRUE,$S$4=TRUE),VLOOKUP($E336,'Status Thresholds'!$E:$AS,7,FALSE),IF(AND($S$3=TRUE,$S$1=TRUE,$S$4=FALSE),VLOOKUP($E336,'Status Thresholds'!$E:$AS,32,FALSE),IF(AND($S$3=TRUE,$S$4=FALSE),VLOOKUP($E336,'Status Thresholds'!$E:$AS,22,FALSE),IF(AND($S$3=TRUE,$S$1=TRUE,$S$4=TRUE),VLOOKUP($E336,'Status Thresholds'!$E:$AS,37,FALSE),IF(AND($S$3=TRUE,$S$4=TRUE),VLOOKUP($E336,'Status Thresholds'!$E:$AS,27,FALSE),""))))))))/IF(OR($Q$3=TRUE,AND($Q$2=TRUE,$Q$7=TRUE),AND($Q$3=TRUE,$Q$7=TRUE))=TRUE,'Shots and Status'!$F$5,IF((OR($Q$2,$Q$7)=TRUE),'Shots and Status'!$D$5,'Shots and Status'!$C$5)))),0),"-")</f>
        <v>-</v>
      </c>
      <c r="I336" s="36" t="str">
        <f>IFERROR(ROUNDUP(IF(AND($Q$1=FALSE,$S$3=FALSE),"-",IF(AND($Q$1=TRUE,$S$3=TRUE),"-",IF(AND($Q$1=TRUE,$S$1=TRUE,$S$4=FALSE),VLOOKUP($E336,'Status Thresholds'!$E:$AS,13,FALSE),IF(AND($Q$1=TRUE,$S$4=FALSE),VLOOKUP($E336,'Status Thresholds'!$E:$AS,3,FALSE), IF(AND($Q$1=TRUE,$S$1=TRUE,$S$4=TRUE),VLOOKUP($E336,'Status Thresholds'!$E:$AS,18,FALSE),IF(AND($Q$1=TRUE,$S$4=TRUE),VLOOKUP($E336,'Status Thresholds'!$E:$AS,8,FALSE),IF(AND($S$3=TRUE,$S$1=TRUE,$S$4=FALSE),VLOOKUP($E336,'Status Thresholds'!$E:$AS,33,FALSE),IF(AND($S$3=TRUE,$S$4=FALSE),VLOOKUP($E336,'Status Thresholds'!$E:$AS,23,FALSE),IF(AND($S$3=TRUE,$S$1=TRUE,$S$4=TRUE),VLOOKUP($E336,'Status Thresholds'!$E:$AS,38,FALSE),IF(AND($S$3=TRUE,$S$4=TRUE),VLOOKUP($E336,'Status Thresholds'!$E:$AS,28,FALSE),""))))))))/IF(OR($Q$3=TRUE,AND($Q$2=TRUE,$Q$7=TRUE),AND($Q$3=TRUE,$Q$7=TRUE))=TRUE,'Shots and Status'!$F$5,IF((OR($Q$2,$Q$7)=TRUE),'Shots and Status'!$D$5,'Shots and Status'!$C$5)))),0),"-")</f>
        <v>-</v>
      </c>
      <c r="J336" s="36" t="str">
        <f>IFERROR(ROUNDUP(IF(AND($Q$1=FALSE,$S$3=FALSE),"-",IF(AND($Q$1=TRUE,$S$3=TRUE),"-",IF(AND($Q$1=TRUE,$S$1=TRUE,$S$4=FALSE),VLOOKUP($E336,'Status Thresholds'!$E:$AS,14,FALSE),IF(AND($Q$1=TRUE,$S$4=FALSE),VLOOKUP($E336,'Status Thresholds'!$E:$AS,4,FALSE), IF(AND($Q$1=TRUE,$S$1=TRUE,$S$4=TRUE),VLOOKUP($E336,'Status Thresholds'!$E:$AS,19,FALSE),IF(AND($Q$1=TRUE,$S$4=TRUE),VLOOKUP($E336,'Status Thresholds'!$E:$AS,9,FALSE),IF(AND($S$3=TRUE,$S$1=TRUE,$S$4=FALSE),VLOOKUP($E336,'Status Thresholds'!$E:$AS,34,FALSE),IF(AND($S$3=TRUE,$S$4=FALSE),VLOOKUP($E336,'Status Thresholds'!$E:$AS,24,FALSE),IF(AND($S$3=TRUE,$S$1=TRUE,$S$4=TRUE),VLOOKUP($E336,'Status Thresholds'!$E:$AS,39,FALSE),IF(AND($S$3=TRUE,$S$4=TRUE),VLOOKUP($E336,'Status Thresholds'!$E:$AS,29,FALSE),""))))))))/IF(OR($Q$3=TRUE,AND($Q$2=TRUE,$Q$7=TRUE),AND($Q$3=TRUE,$Q$7=TRUE))=TRUE,'Shots and Status'!$F$5,IF((OR($Q$2,$Q$7)=TRUE),'Shots and Status'!$D$5,'Shots and Status'!$C$5)))),0),"-")</f>
        <v>-</v>
      </c>
      <c r="K336" s="36" t="str">
        <f>IFERROR(ROUNDUP(IF(AND($Q$1=FALSE,$S$3=FALSE),"-",IF(AND($Q$1=TRUE,$S$3=TRUE),"-",IF(AND($Q$1=TRUE,$S$1=TRUE,$S$4=FALSE),VLOOKUP($E336,'Status Thresholds'!$E:$AS,15,FALSE),IF(AND($Q$1=TRUE,$S$4=FALSE),VLOOKUP($E336,'Status Thresholds'!$E:$AS,5,FALSE), IF(AND($Q$1=TRUE,$S$1=TRUE,$S$4=TRUE),VLOOKUP($E336,'Status Thresholds'!$E:$AS,20,FALSE),IF(AND($Q$1=TRUE,$S$4=TRUE),VLOOKUP($E336,'Status Thresholds'!$E:$AS,10,FALSE),IF(AND($S$3=TRUE,$S$1=TRUE,$S$4=FALSE),VLOOKUP($E336,'Status Thresholds'!$E:$AS,35,FALSE),IF(AND($S$3=TRUE,$S$4=FALSE),VLOOKUP($E336,'Status Thresholds'!$E:$AS,25,FALSE),IF(AND($S$3=TRUE,$S$1=TRUE,$S$4=TRUE),VLOOKUP($E336,'Status Thresholds'!$E:$AS,40,FALSE),IF(AND($S$3=TRUE,$S$4=TRUE),VLOOKUP($E336,'Status Thresholds'!$E:$AS,30,FALSE),""))))))))/IF(OR($Q$3=TRUE,AND($Q$2=TRUE,$Q$7=TRUE),AND($Q$3=TRUE,$Q$7=TRUE))=TRUE,'Shots and Status'!$F$5,IF((OR($Q$2,$Q$7)=TRUE),'Shots and Status'!$D$5,'Shots and Status'!$C$5)))),0),"-")</f>
        <v>-</v>
      </c>
      <c r="L336" s="36" t="str">
        <f>IFERROR(IF(AND($Q$1=FALSE,$S$3=FALSE),"-",VLOOKUP($E336,'Status Thresholds'!$E:$AU,41,FALSE)),"-")</f>
        <v>-</v>
      </c>
      <c r="M336" s="36" t="str">
        <f>IFERROR(IF(AND($Q$1=FALSE,$S$3=FALSE),"-",VLOOKUP($E336,'Status Thresholds'!$E:$AU,42,FALSE)),"-")</f>
        <v>-</v>
      </c>
      <c r="N336" s="36" t="str">
        <f>IFERROR(IF(AND($Q$1=FALSE,$S$3=FALSE),"-",VLOOKUP($E336,'Status Thresholds'!$E:$AU,43,FALSE)),"-")</f>
        <v>-</v>
      </c>
    </row>
    <row r="337" spans="1:14" s="36" customFormat="1" x14ac:dyDescent="0.25">
      <c r="A337" s="46"/>
      <c r="B337" s="64" t="str">
        <f>VLOOKUP(C337,'Status Thresholds'!B:C,2,FALSE)</f>
        <v>MHGen</v>
      </c>
      <c r="C337" s="46" t="str">
        <f>IF(ISBLANK('KO Calc'!C333)=TRUE,"",'KO Calc'!C333)</f>
        <v>Gendrome</v>
      </c>
      <c r="D337" s="67" t="s">
        <v>14</v>
      </c>
      <c r="E337" s="62" t="str">
        <f t="shared" si="9"/>
        <v>GendromeKO</v>
      </c>
      <c r="F337" s="36" t="s">
        <v>21</v>
      </c>
      <c r="G337" s="36" t="str">
        <f t="shared" si="10"/>
        <v>GendromeTriblast</v>
      </c>
      <c r="H337" s="36" t="str">
        <f>IF(AND($Q$1=FALSE,$S$3=FALSE),"-",IF(AND($Q$1=TRUE,$S$3=TRUE),"-",IF(AND($Q$1=FALSE,$S$3=FALSE),"-",IF(AND($Q$1=TRUE,$S$1=TRUE,$S$4=FALSE)=TRUE,IF(OR($Q$4=TRUE,$Q$5=TRUE,$S$2=TRUE),VLOOKUP($G337,'KO Calc'!$H:$AW,12,FALSE),VLOOKUP($G337,'KO Calc'!$H343:$AW343,12,FALSE)),IF(AND($Q$1=TRUE,$S$4=FALSE),IF(OR($Q$4=TRUE,$Q$5=TRUE,$S$2=TRUE),VLOOKUP($G337,'KO Calc'!$H:$AW,2,FALSE),VLOOKUP($G337,'KO Calc'!$H343:$AW343,2,FALSE)),
IF(AND($Q$1=TRUE,$S$1=TRUE,$S$4=TRUE)=TRUE,IF(OR($Q$4=TRUE,$Q$5=TRUE,$S$2=TRUE),VLOOKUP($G337,'KO Calc'!$H:$AW,17,FALSE),VLOOKUP($G337,'KO Calc'!$H343:$AW343,17,FALSE)),IF(AND($Q$1=TRUE,$S$4=TRUE),IF(OR($Q$4=TRUE,$Q$5=TRUE,$S$2=TRUE),VLOOKUP($G337,'KO Calc'!$H:$AW,7,FALSE),VLOOKUP($G337,'KO Calc'!$H343:$AW343,7,FALSE)),
IF(AND($S$3=TRUE,$S$1=TRUE,$S$4=FALSE)=TRUE,IF(OR($Q$4=TRUE,$Q$5=TRUE,$S$2=TRUE),VLOOKUP($G337,'KO Calc'!$H:$AW,32,FALSE),VLOOKUP($G337,'KO Calc'!$H343:$AW343,32,FALSE)),IF(AND($S$3=TRUE,$S$4=FALSE),IF(OR($Q$4=TRUE,$Q$5=TRUE,$S$2=TRUE),VLOOKUP($G337,'KO Calc'!$H:$AW,22,FALSE),VLOOKUP($G337,'KO Calc'!$H343:$AW343,22,FALSE)),
IF(AND($S$3=TRUE,$S$1=TRUE,$S$4=TRUE)=TRUE,IF(OR($Q$4=TRUE,$Q$5=TRUE,$S$2=TRUE),VLOOKUP($G337,'KO Calc'!$H:$AW,37,FALSE),VLOOKUP($G337,'KO Calc'!$H343:$AW343,37,FALSE)),IF(AND($S$3=TRUE,$S$4=TRUE),IF(OR($Q$4=TRUE,$Q$5=TRUE,$S$2=TRUE),VLOOKUP($G337,'KO Calc'!$H:$AW,27,FALSE),VLOOKUP($G337,'KO Calc'!$H343:$AW343,27,FALSE)))))))))))))</f>
        <v>-</v>
      </c>
      <c r="I337" s="36" t="str">
        <f>IF(AND($Q$1=FALSE,$S$3=FALSE),"-",IF(AND($Q$1=TRUE,$S$3=TRUE),"-",IF(AND($Q$1=FALSE,$S$3=FALSE),"-",IF(AND($Q$1=TRUE,$S$1=TRUE,$S$4=FALSE)=TRUE,IF(OR($Q$4=TRUE,$Q$5=TRUE,$S$2=TRUE),VLOOKUP($G337,'KO Calc'!$H:$AW,13,FALSE),VLOOKUP($G337,'KO Calc'!$H343:$AW343,13,FALSE)),IF(AND($Q$1=TRUE,$S$4=FALSE),IF(OR($Q$4=TRUE,$Q$5=TRUE,$S$2=TRUE),VLOOKUP($G337,'KO Calc'!$H:$AW,3,FALSE),VLOOKUP($G337,'KO Calc'!$H343:$AW343,3,FALSE)),
IF(AND($Q$1=TRUE,$S$1=TRUE,$S$4=TRUE)=TRUE,IF(OR($Q$4=TRUE,$Q$5=TRUE,$S$2=TRUE),VLOOKUP($G337,'KO Calc'!$H:$AW,18,FALSE),VLOOKUP($G337,'KO Calc'!$H343:$AW343,18,FALSE)),IF(AND($Q$1=TRUE,$S$4=TRUE),IF(OR($Q$4=TRUE,$Q$5=TRUE,$S$2=TRUE),VLOOKUP($G337,'KO Calc'!$H:$AW,8,FALSE),VLOOKUP($G337,'KO Calc'!$H343:$AW343,8,FALSE)),
IF(AND($S$3=TRUE,$S$1=TRUE,$S$4=FALSE)=TRUE,IF(OR($Q$4=TRUE,$Q$5=TRUE,$S$2=TRUE),VLOOKUP($G337,'KO Calc'!$H:$AW,33,FALSE),VLOOKUP($G337,'KO Calc'!$H343:$AW343,33,FALSE)),IF(AND($S$3=TRUE,$S$4=FALSE),IF(OR($Q$4=TRUE,$Q$5=TRUE,$S$2=TRUE),VLOOKUP($G337,'KO Calc'!$H:$AW,23,FALSE),VLOOKUP($G337,'KO Calc'!$H343:$AW343,23,FALSE)),
IF(AND($S$3=TRUE,$S$1=TRUE,$S$4=TRUE)=TRUE,IF(OR($Q$4=TRUE,$Q$5=TRUE,$S$2=TRUE),VLOOKUP($G337,'KO Calc'!$H:$AW,38,FALSE),VLOOKUP($G337,'KO Calc'!$H343:$AW343,38,FALSE)),IF(AND($S$3=TRUE,$S$4=TRUE),IF(OR($Q$4=TRUE,$Q$5=TRUE,$S$2=TRUE),VLOOKUP($G337,'KO Calc'!$H:$AW,28,FALSE),VLOOKUP($G337,'KO Calc'!$H343:$AW343,28,FALSE)))))))))))))</f>
        <v>-</v>
      </c>
      <c r="J337" s="36" t="str">
        <f>IF(AND($Q$1=FALSE,$S$3=FALSE),"-",IF(AND($Q$1=TRUE,$S$3=TRUE),"-",IF(AND($Q$1=FALSE,$S$3=FALSE),"-",IF(AND($Q$1=TRUE,$S$1=TRUE,$S$4=FALSE)=TRUE,IF(OR($Q$4=TRUE,$Q$5=TRUE,$S$2=TRUE),VLOOKUP($G337,'KO Calc'!$H:$AW,FALSE),VLOOKUP($G337,'KO Calc'!$H343:$AW343,14,FALSE)),IF(AND($Q$1=TRUE,$S$4=FALSE),IF(OR($Q$4=TRUE,$Q$5=TRUE,$S$2=TRUE),VLOOKUP($G337,'KO Calc'!$H:$AW,4,FALSE),VLOOKUP($G337,'KO Calc'!$H343:$AW343,4,FALSE)),
IF(AND($Q$1=TRUE,$S$1=TRUE,$S$4=TRUE)=TRUE,IF(OR($Q$4=TRUE,$Q$5=TRUE,$S$2=TRUE),VLOOKUP($G337,'KO Calc'!$H:$AW,19,FALSE),VLOOKUP($G337,'KO Calc'!$H343:$AW343,19,FALSE)),IF(AND($Q$1=TRUE,$S$4=TRUE),IF(OR($Q$4=TRUE,$Q$5=TRUE,$S$2=TRUE),VLOOKUP($G337,'KO Calc'!$H:$AW,9,FALSE),VLOOKUP($G337,'KO Calc'!$H343:$AW343,9,FALSE)),
IF(AND($S$3=TRUE,$S$1=TRUE,$S$4=FALSE)=TRUE,IF(OR($Q$4=TRUE,$Q$5=TRUE,$S$2=TRUE),VLOOKUP($G337,'KO Calc'!$H:$AW,34,FALSE),VLOOKUP($G337,'KO Calc'!$H343:$AW343,34,FALSE)),IF(AND($S$3=TRUE,$S$4=FALSE),IF(OR($Q$4=TRUE,$Q$5=TRUE,$S$2=TRUE),VLOOKUP($G337,'KO Calc'!$H:$AW,24,FALSE),VLOOKUP($G337,'KO Calc'!$H343:$AW343,24,FALSE)),
IF(AND($S$3=TRUE,$S$1=TRUE,$S$4=TRUE)=TRUE,IF(OR($Q$4=TRUE,$Q$5=TRUE,$S$2=TRUE),VLOOKUP($G337,'KO Calc'!$H:$AW,39,FALSE),VLOOKUP($G337,'KO Calc'!$H343:$AW343,39,FALSE)),IF(AND($S$3=TRUE,$S$4=TRUE),IF(OR($Q$4=TRUE,$Q$5=TRUE,$S$2=TRUE),VLOOKUP($G337,'KO Calc'!$H:$AW,29,FALSE),VLOOKUP($G337,'KO Calc'!$H343:$AW343,29,FALSE)))))))))))))</f>
        <v>-</v>
      </c>
      <c r="K337" s="36" t="str">
        <f>IF(AND($Q$1=FALSE,$S$3=FALSE),"-",IF(AND($Q$1=TRUE,$S$3=TRUE),"-",IF(AND($Q$1=FALSE,$S$3=FALSE),"-",IF(AND($Q$1=TRUE,$S$1=TRUE,$S$4=FALSE)=TRUE,IF(OR($Q$4=TRUE,$Q$5=TRUE,$S$2=TRUE),VLOOKUP($G337,'KO Calc'!$H:$AW,15,FALSE),VLOOKUP($G337,'KO Calc'!$H343:$AW343,15,FALSE)),IF(AND($Q$1=TRUE,$S$4=FALSE),IF(OR($Q$4=TRUE,$Q$5=TRUE,$S$2=TRUE),VLOOKUP($G337,'KO Calc'!$H:$AW,5,FALSE),VLOOKUP($G337,'KO Calc'!$H343:$AW343,5,FALSE)),
IF(AND($Q$1=TRUE,$S$1=TRUE,$S$4=TRUE)=TRUE,IF(OR($Q$4=TRUE,$Q$5=TRUE,$S$2=TRUE),VLOOKUP($G337,'KO Calc'!$H:$AW,20,FALSE),VLOOKUP($G337,'KO Calc'!$H343:$AW343,20,FALSE)),IF(AND($Q$1=TRUE,$S$4=TRUE),IF(OR($Q$4=TRUE,$Q$5=TRUE,$S$2=TRUE),VLOOKUP($G337,'KO Calc'!$H:$AW,10,FALSE),VLOOKUP($G337,'KO Calc'!$H343:$AW343,10,FALSE)),
IF(AND($S$3=TRUE,$S$1=TRUE,$S$4=FALSE)=TRUE,IF(OR($Q$4=TRUE,$Q$5=TRUE,$S$2=TRUE),VLOOKUP($G337,'KO Calc'!$H:$AW,35,FALSE),VLOOKUP($G337,'KO Calc'!$H343:$AW343,35,FALSE)),IF(AND($S$3=TRUE,$S$4=FALSE),IF(OR($Q$4=TRUE,$Q$5=TRUE,$S$2=TRUE),VLOOKUP($G337,'KO Calc'!$H:$AW,25,FALSE),VLOOKUP($G337,'KO Calc'!$H343:$AW343,25,FALSE)),
IF(AND($S$3=TRUE,$S$1=TRUE,$S$4=TRUE)=TRUE,IF(OR($Q$4=TRUE,$Q$5=TRUE,$S$2=TRUE),VLOOKUP($G337,'KO Calc'!$H:$AW,40,FALSE),VLOOKUP($G337,'KO Calc'!$H343:$AW343,40,FALSE)),IF(AND($S$3=TRUE,$S$4=TRUE),IF(OR($Q$4=TRUE,$Q$5=TRUE,$S$2=TRUE),VLOOKUP($G337,'KO Calc'!$H:$AW,30,FALSE),VLOOKUP($G337,'KO Calc'!$H343:$AW343,30,FALSE)))))))))))))</f>
        <v>-</v>
      </c>
      <c r="L337" s="36" t="str">
        <f>IFERROR(IF(AND($Q$1=FALSE,$S$3=FALSE),"-",VLOOKUP($E337,'Status Thresholds'!$E:$AU,41,FALSE)),"-")</f>
        <v>-</v>
      </c>
      <c r="M337" s="36" t="str">
        <f>IFERROR(IF(AND($Q$1=FALSE,$S$3=FALSE),"-",VLOOKUP($E337,'Status Thresholds'!$E:$AU,42,FALSE)),"-")</f>
        <v>-</v>
      </c>
      <c r="N337" s="36" t="str">
        <f>IFERROR(IF(AND($Q$1=FALSE,$S$3=FALSE),"-",VLOOKUP($E337,'Status Thresholds'!$E:$AU,43,FALSE)),"-")</f>
        <v>-</v>
      </c>
    </row>
    <row r="338" spans="1:14" x14ac:dyDescent="0.25">
      <c r="B338" s="64" t="str">
        <f>VLOOKUP(C338,'Status Thresholds'!B:C,2,FALSE)</f>
        <v>MHGen</v>
      </c>
      <c r="C338" s="46" t="str">
        <f>IF(ISBLANK('KO Calc'!C334)=TRUE,"",'KO Calc'!C334)</f>
        <v>Gendrome</v>
      </c>
      <c r="D338" s="78" t="s">
        <v>207</v>
      </c>
      <c r="E338" s="62" t="str">
        <f t="shared" si="9"/>
        <v>GendromeShock Trap</v>
      </c>
      <c r="F338" t="s">
        <v>13</v>
      </c>
      <c r="G338" s="36" t="str">
        <f t="shared" si="10"/>
        <v>GendromeCrag 3</v>
      </c>
      <c r="H338" s="36" t="str">
        <f>IF(AND($Q$1=FALSE,$S$3=FALSE),"-",IF(AND($Q$1=TRUE,$S$3=TRUE),"-",IF(AND($Q$1=FALSE,$S$3=FALSE),"-",IF(AND($Q$1=TRUE,$S$1=TRUE,$S$4=FALSE)=TRUE,IF(OR($Q$4=TRUE,$Q$5=TRUE,$S$2=TRUE),VLOOKUP($G338,'KO Calc'!$H:$AW,12,FALSE),VLOOKUP($G338,'KO Calc'!$H344:$AW344,12,FALSE)),IF(AND($Q$1=TRUE,$S$4=FALSE),IF(OR($Q$4=TRUE,$Q$5=TRUE,$S$2=TRUE),VLOOKUP($G338,'KO Calc'!$H:$AW,2,FALSE),VLOOKUP($G338,'KO Calc'!$H344:$AW344,2,FALSE)),
IF(AND($Q$1=TRUE,$S$1=TRUE,$S$4=TRUE)=TRUE,IF(OR($Q$4=TRUE,$Q$5=TRUE,$S$2=TRUE),VLOOKUP($G338,'KO Calc'!$H:$AW,17,FALSE),VLOOKUP($G338,'KO Calc'!$H344:$AW344,17,FALSE)),IF(AND($Q$1=TRUE,$S$4=TRUE),IF(OR($Q$4=TRUE,$Q$5=TRUE,$S$2=TRUE),VLOOKUP($G338,'KO Calc'!$H:$AW,7,FALSE),VLOOKUP($G338,'KO Calc'!$H344:$AW344,7,FALSE)),
IF(AND($S$3=TRUE,$S$1=TRUE,$S$4=FALSE)=TRUE,IF(OR($Q$4=TRUE,$Q$5=TRUE,$S$2=TRUE),VLOOKUP($G338,'KO Calc'!$H:$AW,32,FALSE),VLOOKUP($G338,'KO Calc'!$H344:$AW344,32,FALSE)),IF(AND($S$3=TRUE,$S$4=FALSE),IF(OR($Q$4=TRUE,$Q$5=TRUE,$S$2=TRUE),VLOOKUP($G338,'KO Calc'!$H:$AW,22,FALSE),VLOOKUP($G338,'KO Calc'!$H344:$AW344,22,FALSE)),
IF(AND($S$3=TRUE,$S$1=TRUE,$S$4=TRUE)=TRUE,IF(OR($Q$4=TRUE,$Q$5=TRUE,$S$2=TRUE),VLOOKUP($G338,'KO Calc'!$H:$AW,37,FALSE),VLOOKUP($G338,'KO Calc'!$H344:$AW344,37,FALSE)),IF(AND($S$3=TRUE,$S$4=TRUE),IF(OR($Q$4=TRUE,$Q$5=TRUE,$S$2=TRUE),VLOOKUP($G338,'KO Calc'!$H:$AW,27,FALSE),VLOOKUP($G338,'KO Calc'!$H344:$AW344,27,FALSE)))))))))))))</f>
        <v>-</v>
      </c>
      <c r="I338" s="36" t="str">
        <f>IF(AND($Q$1=FALSE,$S$3=FALSE),"-",IF(AND($Q$1=TRUE,$S$3=TRUE),"-",IF(AND($Q$1=FALSE,$S$3=FALSE),"-",IF(AND($Q$1=TRUE,$S$1=TRUE,$S$4=FALSE)=TRUE,IF(OR($Q$4=TRUE,$Q$5=TRUE,$S$2=TRUE),VLOOKUP($G338,'KO Calc'!$H:$AW,13,FALSE),VLOOKUP($G338,'KO Calc'!$H344:$AW344,13,FALSE)),IF(AND($Q$1=TRUE,$S$4=FALSE),IF(OR($Q$4=TRUE,$Q$5=TRUE,$S$2=TRUE),VLOOKUP($G338,'KO Calc'!$H:$AW,3,FALSE),VLOOKUP($G338,'KO Calc'!$H344:$AW344,3,FALSE)),
IF(AND($Q$1=TRUE,$S$1=TRUE,$S$4=TRUE)=TRUE,IF(OR($Q$4=TRUE,$Q$5=TRUE,$S$2=TRUE),VLOOKUP($G338,'KO Calc'!$H:$AW,18,FALSE),VLOOKUP($G338,'KO Calc'!$H344:$AW344,18,FALSE)),IF(AND($Q$1=TRUE,$S$4=TRUE),IF(OR($Q$4=TRUE,$Q$5=TRUE,$S$2=TRUE),VLOOKUP($G338,'KO Calc'!$H:$AW,8,FALSE),VLOOKUP($G338,'KO Calc'!$H344:$AW344,8,FALSE)),
IF(AND($S$3=TRUE,$S$1=TRUE,$S$4=FALSE)=TRUE,IF(OR($Q$4=TRUE,$Q$5=TRUE,$S$2=TRUE),VLOOKUP($G338,'KO Calc'!$H:$AW,33,FALSE),VLOOKUP($G338,'KO Calc'!$H344:$AW344,33,FALSE)),IF(AND($S$3=TRUE,$S$4=FALSE),IF(OR($Q$4=TRUE,$Q$5=TRUE,$S$2=TRUE),VLOOKUP($G338,'KO Calc'!$H:$AW,23,FALSE),VLOOKUP($G338,'KO Calc'!$H344:$AW344,23,FALSE)),
IF(AND($S$3=TRUE,$S$1=TRUE,$S$4=TRUE)=TRUE,IF(OR($Q$4=TRUE,$Q$5=TRUE,$S$2=TRUE),VLOOKUP($G338,'KO Calc'!$H:$AW,38,FALSE),VLOOKUP($G338,'KO Calc'!$H344:$AW344,38,FALSE)),IF(AND($S$3=TRUE,$S$4=TRUE),IF(OR($Q$4=TRUE,$Q$5=TRUE,$S$2=TRUE),VLOOKUP($G338,'KO Calc'!$H:$AW,28,FALSE),VLOOKUP($G338,'KO Calc'!$H344:$AW344,28,FALSE)))))))))))))</f>
        <v>-</v>
      </c>
      <c r="J338" s="36" t="str">
        <f>IF(AND($Q$1=FALSE,$S$3=FALSE),"-",IF(AND($Q$1=TRUE,$S$3=TRUE),"-",IF(AND($Q$1=FALSE,$S$3=FALSE),"-",IF(AND($Q$1=TRUE,$S$1=TRUE,$S$4=FALSE)=TRUE,IF(OR($Q$4=TRUE,$Q$5=TRUE,$S$2=TRUE),VLOOKUP($G338,'KO Calc'!$H:$AW,FALSE),VLOOKUP($G338,'KO Calc'!$H344:$AW344,14,FALSE)),IF(AND($Q$1=TRUE,$S$4=FALSE),IF(OR($Q$4=TRUE,$Q$5=TRUE,$S$2=TRUE),VLOOKUP($G338,'KO Calc'!$H:$AW,4,FALSE),VLOOKUP($G338,'KO Calc'!$H344:$AW344,4,FALSE)),
IF(AND($Q$1=TRUE,$S$1=TRUE,$S$4=TRUE)=TRUE,IF(OR($Q$4=TRUE,$Q$5=TRUE,$S$2=TRUE),VLOOKUP($G338,'KO Calc'!$H:$AW,19,FALSE),VLOOKUP($G338,'KO Calc'!$H344:$AW344,19,FALSE)),IF(AND($Q$1=TRUE,$S$4=TRUE),IF(OR($Q$4=TRUE,$Q$5=TRUE,$S$2=TRUE),VLOOKUP($G338,'KO Calc'!$H:$AW,9,FALSE),VLOOKUP($G338,'KO Calc'!$H344:$AW344,9,FALSE)),
IF(AND($S$3=TRUE,$S$1=TRUE,$S$4=FALSE)=TRUE,IF(OR($Q$4=TRUE,$Q$5=TRUE,$S$2=TRUE),VLOOKUP($G338,'KO Calc'!$H:$AW,34,FALSE),VLOOKUP($G338,'KO Calc'!$H344:$AW344,34,FALSE)),IF(AND($S$3=TRUE,$S$4=FALSE),IF(OR($Q$4=TRUE,$Q$5=TRUE,$S$2=TRUE),VLOOKUP($G338,'KO Calc'!$H:$AW,24,FALSE),VLOOKUP($G338,'KO Calc'!$H344:$AW344,24,FALSE)),
IF(AND($S$3=TRUE,$S$1=TRUE,$S$4=TRUE)=TRUE,IF(OR($Q$4=TRUE,$Q$5=TRUE,$S$2=TRUE),VLOOKUP($G338,'KO Calc'!$H:$AW,39,FALSE),VLOOKUP($G338,'KO Calc'!$H344:$AW344,39,FALSE)),IF(AND($S$3=TRUE,$S$4=TRUE),IF(OR($Q$4=TRUE,$Q$5=TRUE,$S$2=TRUE),VLOOKUP($G338,'KO Calc'!$H:$AW,29,FALSE),VLOOKUP($G338,'KO Calc'!$H344:$AW344,29,FALSE)))))))))))))</f>
        <v>-</v>
      </c>
      <c r="K338" s="36" t="str">
        <f>IF(AND($Q$1=FALSE,$S$3=FALSE),"-",IF(AND($Q$1=TRUE,$S$3=TRUE),"-",IF(AND($Q$1=FALSE,$S$3=FALSE),"-",IF(AND($Q$1=TRUE,$S$1=TRUE,$S$4=FALSE)=TRUE,IF(OR($Q$4=TRUE,$Q$5=TRUE,$S$2=TRUE),VLOOKUP($G338,'KO Calc'!$H:$AW,15,FALSE),VLOOKUP($G338,'KO Calc'!$H344:$AW344,15,FALSE)),IF(AND($Q$1=TRUE,$S$4=FALSE),IF(OR($Q$4=TRUE,$Q$5=TRUE,$S$2=TRUE),VLOOKUP($G338,'KO Calc'!$H:$AW,5,FALSE),VLOOKUP($G338,'KO Calc'!$H344:$AW344,5,FALSE)),
IF(AND($Q$1=TRUE,$S$1=TRUE,$S$4=TRUE)=TRUE,IF(OR($Q$4=TRUE,$Q$5=TRUE,$S$2=TRUE),VLOOKUP($G338,'KO Calc'!$H:$AW,20,FALSE),VLOOKUP($G338,'KO Calc'!$H344:$AW344,20,FALSE)),IF(AND($Q$1=TRUE,$S$4=TRUE),IF(OR($Q$4=TRUE,$Q$5=TRUE,$S$2=TRUE),VLOOKUP($G338,'KO Calc'!$H:$AW,10,FALSE),VLOOKUP($G338,'KO Calc'!$H344:$AW344,10,FALSE)),
IF(AND($S$3=TRUE,$S$1=TRUE,$S$4=FALSE)=TRUE,IF(OR($Q$4=TRUE,$Q$5=TRUE,$S$2=TRUE),VLOOKUP($G338,'KO Calc'!$H:$AW,35,FALSE),VLOOKUP($G338,'KO Calc'!$H344:$AW344,35,FALSE)),IF(AND($S$3=TRUE,$S$4=FALSE),IF(OR($Q$4=TRUE,$Q$5=TRUE,$S$2=TRUE),VLOOKUP($G338,'KO Calc'!$H:$AW,25,FALSE),VLOOKUP($G338,'KO Calc'!$H344:$AW344,25,FALSE)),
IF(AND($S$3=TRUE,$S$1=TRUE,$S$4=TRUE)=TRUE,IF(OR($Q$4=TRUE,$Q$5=TRUE,$S$2=TRUE),VLOOKUP($G338,'KO Calc'!$H:$AW,40,FALSE),VLOOKUP($G338,'KO Calc'!$H344:$AW344,40,FALSE)),IF(AND($S$3=TRUE,$S$4=TRUE),IF(OR($Q$4=TRUE,$Q$5=TRUE,$S$2=TRUE),VLOOKUP($G338,'KO Calc'!$H:$AW,30,FALSE),VLOOKUP($G338,'KO Calc'!$H344:$AW344,30,FALSE)))))))))))))</f>
        <v>-</v>
      </c>
      <c r="L338" s="36" t="str">
        <f>IFERROR(IF(AND($Q$1=FALSE,$S$3=FALSE),"-",VLOOKUP($E338,'Status Thresholds'!$E:$AU,43,FALSE)),"-")</f>
        <v>-</v>
      </c>
      <c r="M338" s="36" t="str">
        <f>IFERROR(IF(AND($Q$1=FALSE,$S$3=FALSE),"-",VLOOKUP($E338,'Status Thresholds'!$E:$AU,41,FALSE)),"-")</f>
        <v>-</v>
      </c>
      <c r="N338" s="36" t="str">
        <f>IFERROR(IF(AND($Q$1=FALSE,$S$3=FALSE),"-",VLOOKUP($E338,'Status Thresholds'!$E:$AU,42,FALSE)),"-")</f>
        <v>-</v>
      </c>
    </row>
    <row r="339" spans="1:14" x14ac:dyDescent="0.25">
      <c r="B339" s="64" t="str">
        <f>VLOOKUP(C339,'Status Thresholds'!B:C,2,FALSE)</f>
        <v>MHGen</v>
      </c>
      <c r="C339" s="46" t="str">
        <f>IF(ISBLANK('KO Calc'!C335)=TRUE,"",'KO Calc'!C335)</f>
        <v>Gendrome</v>
      </c>
      <c r="D339" s="78" t="s">
        <v>213</v>
      </c>
      <c r="E339" s="62" t="str">
        <f t="shared" si="9"/>
        <v>GendromePitfall Trap</v>
      </c>
      <c r="F339" t="s">
        <v>12</v>
      </c>
      <c r="G339" s="36" t="str">
        <f t="shared" si="10"/>
        <v>GendromeCrag 2</v>
      </c>
      <c r="H339" s="36" t="str">
        <f>IF(AND($Q$1=FALSE,$S$3=FALSE),"-",IF(AND($Q$1=TRUE,$S$3=TRUE),"-",IF(AND($Q$1=FALSE,$S$3=FALSE),"-",IF(AND($Q$1=TRUE,$S$1=TRUE,$S$4=FALSE)=TRUE,IF(OR($Q$4=TRUE,$Q$5=TRUE,$S$2=TRUE),VLOOKUP($G339,'KO Calc'!$H:$AW,12,FALSE),VLOOKUP($G339,'KO Calc'!$H345:$AW345,12,FALSE)),IF(AND($Q$1=TRUE,$S$4=FALSE),IF(OR($Q$4=TRUE,$Q$5=TRUE,$S$2=TRUE),VLOOKUP($G339,'KO Calc'!$H:$AW,2,FALSE),VLOOKUP($G339,'KO Calc'!$H345:$AW345,2,FALSE)),
IF(AND($Q$1=TRUE,$S$1=TRUE,$S$4=TRUE)=TRUE,IF(OR($Q$4=TRUE,$Q$5=TRUE,$S$2=TRUE),VLOOKUP($G339,'KO Calc'!$H:$AW,17,FALSE),VLOOKUP($G339,'KO Calc'!$H345:$AW345,17,FALSE)),IF(AND($Q$1=TRUE,$S$4=TRUE),IF(OR($Q$4=TRUE,$Q$5=TRUE,$S$2=TRUE),VLOOKUP($G339,'KO Calc'!$H:$AW,7,FALSE),VLOOKUP($G339,'KO Calc'!$H345:$AW345,7,FALSE)),
IF(AND($S$3=TRUE,$S$1=TRUE,$S$4=FALSE)=TRUE,IF(OR($Q$4=TRUE,$Q$5=TRUE,$S$2=TRUE),VLOOKUP($G339,'KO Calc'!$H:$AW,32,FALSE),VLOOKUP($G339,'KO Calc'!$H345:$AW345,32,FALSE)),IF(AND($S$3=TRUE,$S$4=FALSE),IF(OR($Q$4=TRUE,$Q$5=TRUE,$S$2=TRUE),VLOOKUP($G339,'KO Calc'!$H:$AW,22,FALSE),VLOOKUP($G339,'KO Calc'!$H345:$AW345,22,FALSE)),
IF(AND($S$3=TRUE,$S$1=TRUE,$S$4=TRUE)=TRUE,IF(OR($Q$4=TRUE,$Q$5=TRUE,$S$2=TRUE),VLOOKUP($G339,'KO Calc'!$H:$AW,37,FALSE),VLOOKUP($G339,'KO Calc'!$H345:$AW345,37,FALSE)),IF(AND($S$3=TRUE,$S$4=TRUE),IF(OR($Q$4=TRUE,$Q$5=TRUE,$S$2=TRUE),VLOOKUP($G339,'KO Calc'!$H:$AW,27,FALSE),VLOOKUP($G339,'KO Calc'!$H345:$AW345,27,FALSE)))))))))))))</f>
        <v>-</v>
      </c>
      <c r="I339" s="36" t="str">
        <f>IF(AND($Q$1=FALSE,$S$3=FALSE),"-",IF(AND($Q$1=TRUE,$S$3=TRUE),"-",IF(AND($Q$1=FALSE,$S$3=FALSE),"-",IF(AND($Q$1=TRUE,$S$1=TRUE,$S$4=FALSE)=TRUE,IF(OR($Q$4=TRUE,$Q$5=TRUE,$S$2=TRUE),VLOOKUP($G339,'KO Calc'!$H:$AW,13,FALSE),VLOOKUP($G339,'KO Calc'!$H345:$AW345,13,FALSE)),IF(AND($Q$1=TRUE,$S$4=FALSE),IF(OR($Q$4=TRUE,$Q$5=TRUE,$S$2=TRUE),VLOOKUP($G339,'KO Calc'!$H:$AW,3,FALSE),VLOOKUP($G339,'KO Calc'!$H345:$AW345,3,FALSE)),
IF(AND($Q$1=TRUE,$S$1=TRUE,$S$4=TRUE)=TRUE,IF(OR($Q$4=TRUE,$Q$5=TRUE,$S$2=TRUE),VLOOKUP($G339,'KO Calc'!$H:$AW,18,FALSE),VLOOKUP($G339,'KO Calc'!$H345:$AW345,18,FALSE)),IF(AND($Q$1=TRUE,$S$4=TRUE),IF(OR($Q$4=TRUE,$Q$5=TRUE,$S$2=TRUE),VLOOKUP($G339,'KO Calc'!$H:$AW,8,FALSE),VLOOKUP($G339,'KO Calc'!$H345:$AW345,8,FALSE)),
IF(AND($S$3=TRUE,$S$1=TRUE,$S$4=FALSE)=TRUE,IF(OR($Q$4=TRUE,$Q$5=TRUE,$S$2=TRUE),VLOOKUP($G339,'KO Calc'!$H:$AW,33,FALSE),VLOOKUP($G339,'KO Calc'!$H345:$AW345,33,FALSE)),IF(AND($S$3=TRUE,$S$4=FALSE),IF(OR($Q$4=TRUE,$Q$5=TRUE,$S$2=TRUE),VLOOKUP($G339,'KO Calc'!$H:$AW,23,FALSE),VLOOKUP($G339,'KO Calc'!$H345:$AW345,23,FALSE)),
IF(AND($S$3=TRUE,$S$1=TRUE,$S$4=TRUE)=TRUE,IF(OR($Q$4=TRUE,$Q$5=TRUE,$S$2=TRUE),VLOOKUP($G339,'KO Calc'!$H:$AW,38,FALSE),VLOOKUP($G339,'KO Calc'!$H345:$AW345,38,FALSE)),IF(AND($S$3=TRUE,$S$4=TRUE),IF(OR($Q$4=TRUE,$Q$5=TRUE,$S$2=TRUE),VLOOKUP($G339,'KO Calc'!$H:$AW,28,FALSE),VLOOKUP($G339,'KO Calc'!$H345:$AW345,28,FALSE)))))))))))))</f>
        <v>-</v>
      </c>
      <c r="J339" s="36" t="str">
        <f>IF(AND($Q$1=FALSE,$S$3=FALSE),"-",IF(AND($Q$1=TRUE,$S$3=TRUE),"-",IF(AND($Q$1=FALSE,$S$3=FALSE),"-",IF(AND($Q$1=TRUE,$S$1=TRUE,$S$4=FALSE)=TRUE,IF(OR($Q$4=TRUE,$Q$5=TRUE,$S$2=TRUE),VLOOKUP($G339,'KO Calc'!$H:$AW,FALSE),VLOOKUP($G339,'KO Calc'!$H345:$AW345,14,FALSE)),IF(AND($Q$1=TRUE,$S$4=FALSE),IF(OR($Q$4=TRUE,$Q$5=TRUE,$S$2=TRUE),VLOOKUP($G339,'KO Calc'!$H:$AW,4,FALSE),VLOOKUP($G339,'KO Calc'!$H345:$AW345,4,FALSE)),
IF(AND($Q$1=TRUE,$S$1=TRUE,$S$4=TRUE)=TRUE,IF(OR($Q$4=TRUE,$Q$5=TRUE,$S$2=TRUE),VLOOKUP($G339,'KO Calc'!$H:$AW,19,FALSE),VLOOKUP($G339,'KO Calc'!$H345:$AW345,19,FALSE)),IF(AND($Q$1=TRUE,$S$4=TRUE),IF(OR($Q$4=TRUE,$Q$5=TRUE,$S$2=TRUE),VLOOKUP($G339,'KO Calc'!$H:$AW,9,FALSE),VLOOKUP($G339,'KO Calc'!$H345:$AW345,9,FALSE)),
IF(AND($S$3=TRUE,$S$1=TRUE,$S$4=FALSE)=TRUE,IF(OR($Q$4=TRUE,$Q$5=TRUE,$S$2=TRUE),VLOOKUP($G339,'KO Calc'!$H:$AW,34,FALSE),VLOOKUP($G339,'KO Calc'!$H345:$AW345,34,FALSE)),IF(AND($S$3=TRUE,$S$4=FALSE),IF(OR($Q$4=TRUE,$Q$5=TRUE,$S$2=TRUE),VLOOKUP($G339,'KO Calc'!$H:$AW,24,FALSE),VLOOKUP($G339,'KO Calc'!$H345:$AW345,24,FALSE)),
IF(AND($S$3=TRUE,$S$1=TRUE,$S$4=TRUE)=TRUE,IF(OR($Q$4=TRUE,$Q$5=TRUE,$S$2=TRUE),VLOOKUP($G339,'KO Calc'!$H:$AW,39,FALSE),VLOOKUP($G339,'KO Calc'!$H345:$AW345,39,FALSE)),IF(AND($S$3=TRUE,$S$4=TRUE),IF(OR($Q$4=TRUE,$Q$5=TRUE,$S$2=TRUE),VLOOKUP($G339,'KO Calc'!$H:$AW,29,FALSE),VLOOKUP($G339,'KO Calc'!$H345:$AW345,29,FALSE)))))))))))))</f>
        <v>-</v>
      </c>
      <c r="K339" s="36" t="str">
        <f>IF(AND($Q$1=FALSE,$S$3=FALSE),"-",IF(AND($Q$1=TRUE,$S$3=TRUE),"-",IF(AND($Q$1=FALSE,$S$3=FALSE),"-",IF(AND($Q$1=TRUE,$S$1=TRUE,$S$4=FALSE)=TRUE,IF(OR($Q$4=TRUE,$Q$5=TRUE,$S$2=TRUE),VLOOKUP($G339,'KO Calc'!$H:$AW,15,FALSE),VLOOKUP($G339,'KO Calc'!$H345:$AW345,15,FALSE)),IF(AND($Q$1=TRUE,$S$4=FALSE),IF(OR($Q$4=TRUE,$Q$5=TRUE,$S$2=TRUE),VLOOKUP($G339,'KO Calc'!$H:$AW,5,FALSE),VLOOKUP($G339,'KO Calc'!$H345:$AW345,5,FALSE)),
IF(AND($Q$1=TRUE,$S$1=TRUE,$S$4=TRUE)=TRUE,IF(OR($Q$4=TRUE,$Q$5=TRUE,$S$2=TRUE),VLOOKUP($G339,'KO Calc'!$H:$AW,20,FALSE),VLOOKUP($G339,'KO Calc'!$H345:$AW345,20,FALSE)),IF(AND($Q$1=TRUE,$S$4=TRUE),IF(OR($Q$4=TRUE,$Q$5=TRUE,$S$2=TRUE),VLOOKUP($G339,'KO Calc'!$H:$AW,10,FALSE),VLOOKUP($G339,'KO Calc'!$H345:$AW345,10,FALSE)),
IF(AND($S$3=TRUE,$S$1=TRUE,$S$4=FALSE)=TRUE,IF(OR($Q$4=TRUE,$Q$5=TRUE,$S$2=TRUE),VLOOKUP($G339,'KO Calc'!$H:$AW,35,FALSE),VLOOKUP($G339,'KO Calc'!$H345:$AW345,35,FALSE)),IF(AND($S$3=TRUE,$S$4=FALSE),IF(OR($Q$4=TRUE,$Q$5=TRUE,$S$2=TRUE),VLOOKUP($G339,'KO Calc'!$H:$AW,25,FALSE),VLOOKUP($G339,'KO Calc'!$H345:$AW345,25,FALSE)),
IF(AND($S$3=TRUE,$S$1=TRUE,$S$4=TRUE)=TRUE,IF(OR($Q$4=TRUE,$Q$5=TRUE,$S$2=TRUE),VLOOKUP($G339,'KO Calc'!$H:$AW,40,FALSE),VLOOKUP($G339,'KO Calc'!$H345:$AW345,40,FALSE)),IF(AND($S$3=TRUE,$S$4=TRUE),IF(OR($Q$4=TRUE,$Q$5=TRUE,$S$2=TRUE),VLOOKUP($G339,'KO Calc'!$H:$AW,30,FALSE),VLOOKUP($G339,'KO Calc'!$H345:$AW345,30,FALSE)))))))))))))</f>
        <v>-</v>
      </c>
      <c r="L339" s="36" t="str">
        <f>IFERROR(IF(AND($Q$1=FALSE,$S$3=FALSE),"-",VLOOKUP($E339,'Status Thresholds'!$E:$AU,43,FALSE)),"-")</f>
        <v>-</v>
      </c>
      <c r="M339" s="36" t="str">
        <f>IFERROR(IF(AND($Q$1=FALSE,$S$3=FALSE),"-",VLOOKUP($E339,'Status Thresholds'!$E:$AU,41,FALSE)),"-")</f>
        <v>-</v>
      </c>
      <c r="N339" s="36" t="str">
        <f>IFERROR(IF(AND($Q$1=FALSE,$S$3=FALSE),"-",VLOOKUP($E339,'Status Thresholds'!$E:$AU,42,FALSE)),"-")</f>
        <v>-</v>
      </c>
    </row>
    <row r="340" spans="1:14" x14ac:dyDescent="0.25">
      <c r="B340" s="64" t="str">
        <f>VLOOKUP(C340,'Status Thresholds'!B:C,2,FALSE)</f>
        <v>MHGen</v>
      </c>
      <c r="C340" s="46" t="str">
        <f>IF(ISBLANK('KO Calc'!C336)=TRUE,"",'KO Calc'!C336)</f>
        <v>Gendrome</v>
      </c>
      <c r="D340" s="78"/>
      <c r="E340" s="62" t="str">
        <f t="shared" si="9"/>
        <v>Gendrome</v>
      </c>
      <c r="F340" t="s">
        <v>11</v>
      </c>
      <c r="G340" s="36" t="str">
        <f t="shared" si="10"/>
        <v>GendromeCrag 1</v>
      </c>
      <c r="H340" s="36" t="str">
        <f>IF(AND($Q$1=FALSE,$S$3=FALSE),"-",IF(AND($Q$1=TRUE,$S$3=TRUE),"-",IF(AND($Q$1=FALSE,$S$3=FALSE),"-",IF(AND($Q$1=TRUE,$S$1=TRUE,$S$4=FALSE)=TRUE,IF(OR($Q$4=TRUE,$Q$5=TRUE,$S$2=TRUE),VLOOKUP($G340,'KO Calc'!$H:$AW,12,FALSE),VLOOKUP($G340,'KO Calc'!$H346:$AW346,12,FALSE)),IF(AND($Q$1=TRUE,$S$4=FALSE),IF(OR($Q$4=TRUE,$Q$5=TRUE,$S$2=TRUE),VLOOKUP($G340,'KO Calc'!$H:$AW,2,FALSE),VLOOKUP($G340,'KO Calc'!$H346:$AW346,2,FALSE)),
IF(AND($Q$1=TRUE,$S$1=TRUE,$S$4=TRUE)=TRUE,IF(OR($Q$4=TRUE,$Q$5=TRUE,$S$2=TRUE),VLOOKUP($G340,'KO Calc'!$H:$AW,17,FALSE),VLOOKUP($G340,'KO Calc'!$H346:$AW346,17,FALSE)),IF(AND($Q$1=TRUE,$S$4=TRUE),IF(OR($Q$4=TRUE,$Q$5=TRUE,$S$2=TRUE),VLOOKUP($G340,'KO Calc'!$H:$AW,7,FALSE),VLOOKUP($G340,'KO Calc'!$H346:$AW346,7,FALSE)),
IF(AND($S$3=TRUE,$S$1=TRUE,$S$4=FALSE)=TRUE,IF(OR($Q$4=TRUE,$Q$5=TRUE,$S$2=TRUE),VLOOKUP($G340,'KO Calc'!$H:$AW,32,FALSE),VLOOKUP($G340,'KO Calc'!$H346:$AW346,32,FALSE)),IF(AND($S$3=TRUE,$S$4=FALSE),IF(OR($Q$4=TRUE,$Q$5=TRUE,$S$2=TRUE),VLOOKUP($G340,'KO Calc'!$H:$AW,22,FALSE),VLOOKUP($G340,'KO Calc'!$H346:$AW346,22,FALSE)),
IF(AND($S$3=TRUE,$S$1=TRUE,$S$4=TRUE)=TRUE,IF(OR($Q$4=TRUE,$Q$5=TRUE,$S$2=TRUE),VLOOKUP($G340,'KO Calc'!$H:$AW,37,FALSE),VLOOKUP($G340,'KO Calc'!$H346:$AW346,37,FALSE)),IF(AND($S$3=TRUE,$S$4=TRUE),IF(OR($Q$4=TRUE,$Q$5=TRUE,$S$2=TRUE),VLOOKUP($G340,'KO Calc'!$H:$AW,27,FALSE),VLOOKUP($G340,'KO Calc'!$H346:$AW346,27,FALSE)))))))))))))</f>
        <v>-</v>
      </c>
      <c r="I340" s="36" t="str">
        <f>IF(AND($Q$1=FALSE,$S$3=FALSE),"-",IF(AND($Q$1=TRUE,$S$3=TRUE),"-",IF(AND($Q$1=FALSE,$S$3=FALSE),"-",IF(AND($Q$1=TRUE,$S$1=TRUE,$S$4=FALSE)=TRUE,IF(OR($Q$4=TRUE,$Q$5=TRUE,$S$2=TRUE),VLOOKUP($G340,'KO Calc'!$H:$AW,13,FALSE),VLOOKUP($G340,'KO Calc'!$H346:$AW346,13,FALSE)),IF(AND($Q$1=TRUE,$S$4=FALSE),IF(OR($Q$4=TRUE,$Q$5=TRUE,$S$2=TRUE),VLOOKUP($G340,'KO Calc'!$H:$AW,3,FALSE),VLOOKUP($G340,'KO Calc'!$H346:$AW346,3,FALSE)),
IF(AND($Q$1=TRUE,$S$1=TRUE,$S$4=TRUE)=TRUE,IF(OR($Q$4=TRUE,$Q$5=TRUE,$S$2=TRUE),VLOOKUP($G340,'KO Calc'!$H:$AW,18,FALSE),VLOOKUP($G340,'KO Calc'!$H346:$AW346,18,FALSE)),IF(AND($Q$1=TRUE,$S$4=TRUE),IF(OR($Q$4=TRUE,$Q$5=TRUE,$S$2=TRUE),VLOOKUP($G340,'KO Calc'!$H:$AW,8,FALSE),VLOOKUP($G340,'KO Calc'!$H346:$AW346,8,FALSE)),
IF(AND($S$3=TRUE,$S$1=TRUE,$S$4=FALSE)=TRUE,IF(OR($Q$4=TRUE,$Q$5=TRUE,$S$2=TRUE),VLOOKUP($G340,'KO Calc'!$H:$AW,33,FALSE),VLOOKUP($G340,'KO Calc'!$H346:$AW346,33,FALSE)),IF(AND($S$3=TRUE,$S$4=FALSE),IF(OR($Q$4=TRUE,$Q$5=TRUE,$S$2=TRUE),VLOOKUP($G340,'KO Calc'!$H:$AW,23,FALSE),VLOOKUP($G340,'KO Calc'!$H346:$AW346,23,FALSE)),
IF(AND($S$3=TRUE,$S$1=TRUE,$S$4=TRUE)=TRUE,IF(OR($Q$4=TRUE,$Q$5=TRUE,$S$2=TRUE),VLOOKUP($G340,'KO Calc'!$H:$AW,38,FALSE),VLOOKUP($G340,'KO Calc'!$H346:$AW346,38,FALSE)),IF(AND($S$3=TRUE,$S$4=TRUE),IF(OR($Q$4=TRUE,$Q$5=TRUE,$S$2=TRUE),VLOOKUP($G340,'KO Calc'!$H:$AW,28,FALSE),VLOOKUP($G340,'KO Calc'!$H346:$AW346,28,FALSE)))))))))))))</f>
        <v>-</v>
      </c>
      <c r="J340" s="36" t="str">
        <f>IF(AND($Q$1=FALSE,$S$3=FALSE),"-",IF(AND($Q$1=TRUE,$S$3=TRUE),"-",IF(AND($Q$1=FALSE,$S$3=FALSE),"-",IF(AND($Q$1=TRUE,$S$1=TRUE,$S$4=FALSE)=TRUE,IF(OR($Q$4=TRUE,$Q$5=TRUE,$S$2=TRUE),VLOOKUP($G340,'KO Calc'!$H:$AW,FALSE),VLOOKUP($G340,'KO Calc'!$H346:$AW346,14,FALSE)),IF(AND($Q$1=TRUE,$S$4=FALSE),IF(OR($Q$4=TRUE,$Q$5=TRUE,$S$2=TRUE),VLOOKUP($G340,'KO Calc'!$H:$AW,4,FALSE),VLOOKUP($G340,'KO Calc'!$H346:$AW346,4,FALSE)),
IF(AND($Q$1=TRUE,$S$1=TRUE,$S$4=TRUE)=TRUE,IF(OR($Q$4=TRUE,$Q$5=TRUE,$S$2=TRUE),VLOOKUP($G340,'KO Calc'!$H:$AW,19,FALSE),VLOOKUP($G340,'KO Calc'!$H346:$AW346,19,FALSE)),IF(AND($Q$1=TRUE,$S$4=TRUE),IF(OR($Q$4=TRUE,$Q$5=TRUE,$S$2=TRUE),VLOOKUP($G340,'KO Calc'!$H:$AW,9,FALSE),VLOOKUP($G340,'KO Calc'!$H346:$AW346,9,FALSE)),
IF(AND($S$3=TRUE,$S$1=TRUE,$S$4=FALSE)=TRUE,IF(OR($Q$4=TRUE,$Q$5=TRUE,$S$2=TRUE),VLOOKUP($G340,'KO Calc'!$H:$AW,34,FALSE),VLOOKUP($G340,'KO Calc'!$H346:$AW346,34,FALSE)),IF(AND($S$3=TRUE,$S$4=FALSE),IF(OR($Q$4=TRUE,$Q$5=TRUE,$S$2=TRUE),VLOOKUP($G340,'KO Calc'!$H:$AW,24,FALSE),VLOOKUP($G340,'KO Calc'!$H346:$AW346,24,FALSE)),
IF(AND($S$3=TRUE,$S$1=TRUE,$S$4=TRUE)=TRUE,IF(OR($Q$4=TRUE,$Q$5=TRUE,$S$2=TRUE),VLOOKUP($G340,'KO Calc'!$H:$AW,39,FALSE),VLOOKUP($G340,'KO Calc'!$H346:$AW346,39,FALSE)),IF(AND($S$3=TRUE,$S$4=TRUE),IF(OR($Q$4=TRUE,$Q$5=TRUE,$S$2=TRUE),VLOOKUP($G340,'KO Calc'!$H:$AW,29,FALSE),VLOOKUP($G340,'KO Calc'!$H346:$AW346,29,FALSE)))))))))))))</f>
        <v>-</v>
      </c>
      <c r="K340" s="36" t="str">
        <f>IF(AND($Q$1=FALSE,$S$3=FALSE),"-",IF(AND($Q$1=TRUE,$S$3=TRUE),"-",IF(AND($Q$1=FALSE,$S$3=FALSE),"-",IF(AND($Q$1=TRUE,$S$1=TRUE,$S$4=FALSE)=TRUE,IF(OR($Q$4=TRUE,$Q$5=TRUE,$S$2=TRUE),VLOOKUP($G340,'KO Calc'!$H:$AW,15,FALSE),VLOOKUP($G340,'KO Calc'!$H346:$AW346,15,FALSE)),IF(AND($Q$1=TRUE,$S$4=FALSE),IF(OR($Q$4=TRUE,$Q$5=TRUE,$S$2=TRUE),VLOOKUP($G340,'KO Calc'!$H:$AW,5,FALSE),VLOOKUP($G340,'KO Calc'!$H346:$AW346,5,FALSE)),
IF(AND($Q$1=TRUE,$S$1=TRUE,$S$4=TRUE)=TRUE,IF(OR($Q$4=TRUE,$Q$5=TRUE,$S$2=TRUE),VLOOKUP($G340,'KO Calc'!$H:$AW,20,FALSE),VLOOKUP($G340,'KO Calc'!$H346:$AW346,20,FALSE)),IF(AND($Q$1=TRUE,$S$4=TRUE),IF(OR($Q$4=TRUE,$Q$5=TRUE,$S$2=TRUE),VLOOKUP($G340,'KO Calc'!$H:$AW,10,FALSE),VLOOKUP($G340,'KO Calc'!$H346:$AW346,10,FALSE)),
IF(AND($S$3=TRUE,$S$1=TRUE,$S$4=FALSE)=TRUE,IF(OR($Q$4=TRUE,$Q$5=TRUE,$S$2=TRUE),VLOOKUP($G340,'KO Calc'!$H:$AW,35,FALSE),VLOOKUP($G340,'KO Calc'!$H346:$AW346,35,FALSE)),IF(AND($S$3=TRUE,$S$4=FALSE),IF(OR($Q$4=TRUE,$Q$5=TRUE,$S$2=TRUE),VLOOKUP($G340,'KO Calc'!$H:$AW,25,FALSE),VLOOKUP($G340,'KO Calc'!$H346:$AW346,25,FALSE)),
IF(AND($S$3=TRUE,$S$1=TRUE,$S$4=TRUE)=TRUE,IF(OR($Q$4=TRUE,$Q$5=TRUE,$S$2=TRUE),VLOOKUP($G340,'KO Calc'!$H:$AW,40,FALSE),VLOOKUP($G340,'KO Calc'!$H346:$AW346,40,FALSE)),IF(AND($S$3=TRUE,$S$4=TRUE),IF(OR($Q$4=TRUE,$Q$5=TRUE,$S$2=TRUE),VLOOKUP($G340,'KO Calc'!$H:$AW,30,FALSE),VLOOKUP($G340,'KO Calc'!$H346:$AW346,30,FALSE)))))))))))))</f>
        <v>-</v>
      </c>
      <c r="L340" s="36" t="str">
        <f>IFERROR(VLOOKUP($E340,'Status Thresholds'!$E:$AS,41,FALSE),"-")</f>
        <v>-</v>
      </c>
    </row>
    <row r="341" spans="1:14" x14ac:dyDescent="0.25">
      <c r="B341" s="64" t="str">
        <f>VLOOKUP(C341,'Status Thresholds'!B:C,2,FALSE)</f>
        <v>MHGen</v>
      </c>
      <c r="C341" s="46" t="str">
        <f>IF(ISBLANK('KO Calc'!C337)=TRUE,"",'KO Calc'!C337)</f>
        <v>Gendrome</v>
      </c>
      <c r="D341" s="78"/>
      <c r="E341" s="62"/>
      <c r="G341" s="36"/>
      <c r="L341" s="36" t="str">
        <f>IFERROR(VLOOKUP($E341,'Status Thresholds'!$E:$AS,41,FALSE),"-")</f>
        <v>-</v>
      </c>
    </row>
    <row r="342" spans="1:14" s="36" customFormat="1" x14ac:dyDescent="0.25">
      <c r="B342" s="64" t="str">
        <f>VLOOKUP(C342,'Status Thresholds'!B:C,2,FALSE)</f>
        <v>MHGen</v>
      </c>
      <c r="C342" s="46" t="str">
        <f>IF(ISBLANK('KO Calc'!C338)=TRUE,"",'KO Calc'!C338)</f>
        <v>Glavenus</v>
      </c>
      <c r="D342" s="65" t="s">
        <v>0</v>
      </c>
      <c r="E342" s="62" t="str">
        <f t="shared" si="9"/>
        <v>GlavenusPara</v>
      </c>
      <c r="F342" s="36" t="s">
        <v>2</v>
      </c>
      <c r="G342" s="36" t="str">
        <f t="shared" si="10"/>
        <v>GlavenusPara lvl 2</v>
      </c>
      <c r="H342" s="36" t="str">
        <f>IFERROR(ROUNDUP(IF(AND($Q$1=FALSE,$S$3=FALSE),"-",IF(AND($Q$1=TRUE,$S$3=TRUE),"-",IF(AND($Q$1=TRUE,$S$1=TRUE,$S$4=FALSE),VLOOKUP($E342,'Status Thresholds'!$E:$AS,12,FALSE),IF(AND($Q$1=TRUE,$S$4=FALSE),VLOOKUP($E342,'Status Thresholds'!$E:$AS,2,FALSE), IF(AND($Q$1=TRUE,$S$1=TRUE,$S$4=TRUE),VLOOKUP($E342,'Status Thresholds'!$E:$AS,17,FALSE),IF(AND($Q$1=TRUE,$S$4=TRUE),VLOOKUP($E342,'Status Thresholds'!$E:$AS,7,FALSE),IF(AND($S$3=TRUE,$S$1=TRUE,$S$4=FALSE),VLOOKUP($E342,'Status Thresholds'!$E:$AS,32,FALSE),IF(AND($S$3=TRUE,$S$4=FALSE),VLOOKUP($E342,'Status Thresholds'!$E:$AS,22,FALSE),IF(AND($S$3=TRUE,$S$1=TRUE,$S$4=TRUE),VLOOKUP($E342,'Status Thresholds'!$E:$AS,37,FALSE),IF(AND($S$3=TRUE,$S$4=TRUE),VLOOKUP($E342,'Status Thresholds'!$E:$AS,27,FALSE),""))))))))/IF(OR($Q$3=TRUE,AND($Q$2=TRUE,$Q$7=TRUE),AND($Q$3=TRUE,$Q$7=TRUE))=TRUE,'Shots and Status'!$F$5,IF((OR($Q$2,$Q$7)=TRUE),'Shots and Status'!$D$5,'Shots and Status'!$C$5)))),0),"-")</f>
        <v>-</v>
      </c>
      <c r="I342" s="36" t="str">
        <f>IFERROR(ROUNDUP(IF(AND($Q$1=FALSE,$S$3=FALSE),"-",IF(AND($Q$1=TRUE,$S$3=TRUE),"-",IF(AND($Q$1=TRUE,$S$1=TRUE,$S$4=FALSE),VLOOKUP($E342,'Status Thresholds'!$E:$AS,13,FALSE),IF(AND($Q$1=TRUE,$S$4=FALSE),VLOOKUP($E342,'Status Thresholds'!$E:$AS,3,FALSE), IF(AND($Q$1=TRUE,$S$1=TRUE,$S$4=TRUE),VLOOKUP($E342,'Status Thresholds'!$E:$AS,18,FALSE),IF(AND($Q$1=TRUE,$S$4=TRUE),VLOOKUP($E342,'Status Thresholds'!$E:$AS,8,FALSE),IF(AND($S$3=TRUE,$S$1=TRUE,$S$4=FALSE),VLOOKUP($E342,'Status Thresholds'!$E:$AS,33,FALSE),IF(AND($S$3=TRUE,$S$4=FALSE),VLOOKUP($E342,'Status Thresholds'!$E:$AS,23,FALSE),IF(AND($S$3=TRUE,$S$1=TRUE,$S$4=TRUE),VLOOKUP($E342,'Status Thresholds'!$E:$AS,38,FALSE),IF(AND($S$3=TRUE,$S$4=TRUE),VLOOKUP($E342,'Status Thresholds'!$E:$AS,28,FALSE),""))))))))/IF(OR($Q$3=TRUE,AND($Q$2=TRUE,$Q$7=TRUE),AND($Q$3=TRUE,$Q$7=TRUE))=TRUE,'Shots and Status'!$F$5,IF((OR($Q$2,$Q$7)=TRUE),'Shots and Status'!$D$5,'Shots and Status'!$C$5)))),0),"-")</f>
        <v>-</v>
      </c>
      <c r="J342" s="36" t="str">
        <f>IFERROR(ROUNDUP(IF(AND($Q$1=FALSE,$S$3=FALSE),"-",IF(AND($Q$1=TRUE,$S$3=TRUE),"-",IF(AND($Q$1=TRUE,$S$1=TRUE,$S$4=FALSE),VLOOKUP($E342,'Status Thresholds'!$E:$AS,14,FALSE),IF(AND($Q$1=TRUE,$S$4=FALSE),VLOOKUP($E342,'Status Thresholds'!$E:$AS,4,FALSE), IF(AND($Q$1=TRUE,$S$1=TRUE,$S$4=TRUE),VLOOKUP($E342,'Status Thresholds'!$E:$AS,19,FALSE),IF(AND($Q$1=TRUE,$S$4=TRUE),VLOOKUP($E342,'Status Thresholds'!$E:$AS,9,FALSE),IF(AND($S$3=TRUE,$S$1=TRUE,$S$4=FALSE),VLOOKUP($E342,'Status Thresholds'!$E:$AS,34,FALSE),IF(AND($S$3=TRUE,$S$4=FALSE),VLOOKUP($E342,'Status Thresholds'!$E:$AS,24,FALSE),IF(AND($S$3=TRUE,$S$1=TRUE,$S$4=TRUE),VLOOKUP($E342,'Status Thresholds'!$E:$AS,39,FALSE),IF(AND($S$3=TRUE,$S$4=TRUE),VLOOKUP($E342,'Status Thresholds'!$E:$AS,29,FALSE),""))))))))/IF(OR($Q$3=TRUE,AND($Q$2=TRUE,$Q$7=TRUE),AND($Q$3=TRUE,$Q$7=TRUE))=TRUE,'Shots and Status'!$F$5,IF((OR($Q$2,$Q$7)=TRUE),'Shots and Status'!$D$5,'Shots and Status'!$C$5)))),0),"-")</f>
        <v>-</v>
      </c>
      <c r="K342" s="36" t="str">
        <f>IFERROR(ROUNDUP(IF(AND($Q$1=FALSE,$S$3=FALSE),"-",IF(AND($Q$1=TRUE,$S$3=TRUE),"-",IF(AND($Q$1=TRUE,$S$1=TRUE,$S$4=FALSE),VLOOKUP($E342,'Status Thresholds'!$E:$AS,15,FALSE),IF(AND($Q$1=TRUE,$S$4=FALSE),VLOOKUP($E342,'Status Thresholds'!$E:$AS,5,FALSE), IF(AND($Q$1=TRUE,$S$1=TRUE,$S$4=TRUE),VLOOKUP($E342,'Status Thresholds'!$E:$AS,20,FALSE),IF(AND($Q$1=TRUE,$S$4=TRUE),VLOOKUP($E342,'Status Thresholds'!$E:$AS,10,FALSE),IF(AND($S$3=TRUE,$S$1=TRUE,$S$4=FALSE),VLOOKUP($E342,'Status Thresholds'!$E:$AS,35,FALSE),IF(AND($S$3=TRUE,$S$4=FALSE),VLOOKUP($E342,'Status Thresholds'!$E:$AS,25,FALSE),IF(AND($S$3=TRUE,$S$1=TRUE,$S$4=TRUE),VLOOKUP($E342,'Status Thresholds'!$E:$AS,40,FALSE),IF(AND($S$3=TRUE,$S$4=TRUE),VLOOKUP($E342,'Status Thresholds'!$E:$AS,30,FALSE),""))))))))/IF(OR($Q$3=TRUE,AND($Q$2=TRUE,$Q$7=TRUE),AND($Q$3=TRUE,$Q$7=TRUE))=TRUE,'Shots and Status'!$F$5,IF((OR($Q$2,$Q$7)=TRUE),'Shots and Status'!$D$5,'Shots and Status'!$C$5)))),0),"-")</f>
        <v>-</v>
      </c>
      <c r="L342" s="36" t="str">
        <f>IFERROR(IF(AND($Q$1=FALSE,$S$3=FALSE),"-",VLOOKUP($E342,'Status Thresholds'!$E:$AU,41,FALSE)),"-")</f>
        <v>-</v>
      </c>
      <c r="M342" s="36" t="str">
        <f>IFERROR(IF(AND($Q$1=FALSE,$S$3=FALSE),"-",VLOOKUP($E342,'Status Thresholds'!$E:$AU,42,FALSE)),"-")</f>
        <v>-</v>
      </c>
      <c r="N342" s="36" t="str">
        <f>IFERROR(IF(AND($Q$1=FALSE,$S$3=FALSE),"-",VLOOKUP($E342,'Status Thresholds'!$E:$AU,43,FALSE)),"-")</f>
        <v>-</v>
      </c>
    </row>
    <row r="343" spans="1:14" s="59" customFormat="1" x14ac:dyDescent="0.25">
      <c r="A343" s="46"/>
      <c r="B343" s="64" t="str">
        <f>VLOOKUP(C343,'Status Thresholds'!B:C,2,FALSE)</f>
        <v>MHGen</v>
      </c>
      <c r="C343" s="46" t="str">
        <f>IF(ISBLANK('KO Calc'!C339)=TRUE,"",'KO Calc'!C339)</f>
        <v>Glavenus</v>
      </c>
      <c r="D343" s="60" t="s">
        <v>32</v>
      </c>
      <c r="E343" s="62" t="str">
        <f t="shared" si="9"/>
        <v>GlavenusSleep</v>
      </c>
      <c r="F343" s="59" t="s">
        <v>5</v>
      </c>
      <c r="G343" s="36" t="str">
        <f t="shared" si="10"/>
        <v>GlavenusSleep lvl 2</v>
      </c>
      <c r="H343" s="36" t="str">
        <f>IFERROR(ROUNDUP(IF(AND($Q$1=FALSE,$S$3=FALSE),"-",IF(AND($Q$1=TRUE,$S$3=TRUE),"-",IF(AND($Q$1=TRUE,$S$1=TRUE,$S$4=FALSE),VLOOKUP($E343,'Status Thresholds'!$E:$AS,12,FALSE),IF(AND($Q$1=TRUE,$S$4=FALSE),VLOOKUP($E343,'Status Thresholds'!$E:$AS,2,FALSE), IF(AND($Q$1=TRUE,$S$1=TRUE,$S$4=TRUE),VLOOKUP($E343,'Status Thresholds'!$E:$AS,17,FALSE),IF(AND($Q$1=TRUE,$S$4=TRUE),VLOOKUP($E343,'Status Thresholds'!$E:$AS,7,FALSE),IF(AND($S$3=TRUE,$S$1=TRUE,$S$4=FALSE),VLOOKUP($E343,'Status Thresholds'!$E:$AS,32,FALSE),IF(AND($S$3=TRUE,$S$4=FALSE),VLOOKUP($E343,'Status Thresholds'!$E:$AS,22,FALSE),IF(AND($S$3=TRUE,$S$1=TRUE,$S$4=TRUE),VLOOKUP($E343,'Status Thresholds'!$E:$AS,37,FALSE),IF(AND($S$3=TRUE,$S$4=TRUE),VLOOKUP($E343,'Status Thresholds'!$E:$AS,27,FALSE),""))))))))/IF(OR($Q$3=TRUE,AND($Q$2=TRUE,$Q$7=TRUE),AND($Q$3=TRUE,$Q$7=TRUE))=TRUE,'Shots and Status'!$F$5,IF((OR($Q$2,$Q$7)=TRUE),'Shots and Status'!$D$5,'Shots and Status'!$C$5)))),0),"-")</f>
        <v>-</v>
      </c>
      <c r="I343" s="36" t="str">
        <f>IFERROR(ROUNDUP(IF(AND($Q$1=FALSE,$S$3=FALSE),"-",IF(AND($Q$1=TRUE,$S$3=TRUE),"-",IF(AND($Q$1=TRUE,$S$1=TRUE,$S$4=FALSE),VLOOKUP($E343,'Status Thresholds'!$E:$AS,13,FALSE),IF(AND($Q$1=TRUE,$S$4=FALSE),VLOOKUP($E343,'Status Thresholds'!$E:$AS,3,FALSE), IF(AND($Q$1=TRUE,$S$1=TRUE,$S$4=TRUE),VLOOKUP($E343,'Status Thresholds'!$E:$AS,18,FALSE),IF(AND($Q$1=TRUE,$S$4=TRUE),VLOOKUP($E343,'Status Thresholds'!$E:$AS,8,FALSE),IF(AND($S$3=TRUE,$S$1=TRUE,$S$4=FALSE),VLOOKUP($E343,'Status Thresholds'!$E:$AS,33,FALSE),IF(AND($S$3=TRUE,$S$4=FALSE),VLOOKUP($E343,'Status Thresholds'!$E:$AS,23,FALSE),IF(AND($S$3=TRUE,$S$1=TRUE,$S$4=TRUE),VLOOKUP($E343,'Status Thresholds'!$E:$AS,38,FALSE),IF(AND($S$3=TRUE,$S$4=TRUE),VLOOKUP($E343,'Status Thresholds'!$E:$AS,28,FALSE),""))))))))/IF(OR($Q$3=TRUE,AND($Q$2=TRUE,$Q$7=TRUE),AND($Q$3=TRUE,$Q$7=TRUE))=TRUE,'Shots and Status'!$F$5,IF((OR($Q$2,$Q$7)=TRUE),'Shots and Status'!$D$5,'Shots and Status'!$C$5)))),0),"-")</f>
        <v>-</v>
      </c>
      <c r="J343" s="36" t="str">
        <f>IFERROR(ROUNDUP(IF(AND($Q$1=FALSE,$S$3=FALSE),"-",IF(AND($Q$1=TRUE,$S$3=TRUE),"-",IF(AND($Q$1=TRUE,$S$1=TRUE,$S$4=FALSE),VLOOKUP($E343,'Status Thresholds'!$E:$AS,14,FALSE),IF(AND($Q$1=TRUE,$S$4=FALSE),VLOOKUP($E343,'Status Thresholds'!$E:$AS,4,FALSE), IF(AND($Q$1=TRUE,$S$1=TRUE,$S$4=TRUE),VLOOKUP($E343,'Status Thresholds'!$E:$AS,19,FALSE),IF(AND($Q$1=TRUE,$S$4=TRUE),VLOOKUP($E343,'Status Thresholds'!$E:$AS,9,FALSE),IF(AND($S$3=TRUE,$S$1=TRUE,$S$4=FALSE),VLOOKUP($E343,'Status Thresholds'!$E:$AS,34,FALSE),IF(AND($S$3=TRUE,$S$4=FALSE),VLOOKUP($E343,'Status Thresholds'!$E:$AS,24,FALSE),IF(AND($S$3=TRUE,$S$1=TRUE,$S$4=TRUE),VLOOKUP($E343,'Status Thresholds'!$E:$AS,39,FALSE),IF(AND($S$3=TRUE,$S$4=TRUE),VLOOKUP($E343,'Status Thresholds'!$E:$AS,29,FALSE),""))))))))/IF(OR($Q$3=TRUE,AND($Q$2=TRUE,$Q$7=TRUE),AND($Q$3=TRUE,$Q$7=TRUE))=TRUE,'Shots and Status'!$F$5,IF((OR($Q$2,$Q$7)=TRUE),'Shots and Status'!$D$5,'Shots and Status'!$C$5)))),0),"-")</f>
        <v>-</v>
      </c>
      <c r="K343" s="36" t="str">
        <f>IFERROR(ROUNDUP(IF(AND($Q$1=FALSE,$S$3=FALSE),"-",IF(AND($Q$1=TRUE,$S$3=TRUE),"-",IF(AND($Q$1=TRUE,$S$1=TRUE,$S$4=FALSE),VLOOKUP($E343,'Status Thresholds'!$E:$AS,15,FALSE),IF(AND($Q$1=TRUE,$S$4=FALSE),VLOOKUP($E343,'Status Thresholds'!$E:$AS,5,FALSE), IF(AND($Q$1=TRUE,$S$1=TRUE,$S$4=TRUE),VLOOKUP($E343,'Status Thresholds'!$E:$AS,20,FALSE),IF(AND($Q$1=TRUE,$S$4=TRUE),VLOOKUP($E343,'Status Thresholds'!$E:$AS,10,FALSE),IF(AND($S$3=TRUE,$S$1=TRUE,$S$4=FALSE),VLOOKUP($E343,'Status Thresholds'!$E:$AS,35,FALSE),IF(AND($S$3=TRUE,$S$4=FALSE),VLOOKUP($E343,'Status Thresholds'!$E:$AS,25,FALSE),IF(AND($S$3=TRUE,$S$1=TRUE,$S$4=TRUE),VLOOKUP($E343,'Status Thresholds'!$E:$AS,40,FALSE),IF(AND($S$3=TRUE,$S$4=TRUE),VLOOKUP($E343,'Status Thresholds'!$E:$AS,30,FALSE),""))))))))/IF(OR($Q$3=TRUE,AND($Q$2=TRUE,$Q$7=TRUE),AND($Q$3=TRUE,$Q$7=TRUE))=TRUE,'Shots and Status'!$F$5,IF((OR($Q$2,$Q$7)=TRUE),'Shots and Status'!$D$5,'Shots and Status'!$C$5)))),0),"-")</f>
        <v>-</v>
      </c>
      <c r="L343" s="36" t="str">
        <f>IFERROR(IF(AND($Q$1=FALSE,$S$3=FALSE),"-",VLOOKUP($E343,'Status Thresholds'!$E:$AU,41,FALSE)),"-")</f>
        <v>-</v>
      </c>
      <c r="M343" s="36" t="str">
        <f>IFERROR(IF(AND($Q$1=FALSE,$S$3=FALSE),"-",VLOOKUP($E343,'Status Thresholds'!$E:$AU,42,FALSE)),"-")</f>
        <v>-</v>
      </c>
      <c r="N343" s="36" t="str">
        <f>IFERROR(IF(AND($Q$1=FALSE,$S$3=FALSE),"-",VLOOKUP($E343,'Status Thresholds'!$E:$AU,43,FALSE)),"-")</f>
        <v>-</v>
      </c>
    </row>
    <row r="344" spans="1:14" s="59" customFormat="1" x14ac:dyDescent="0.25">
      <c r="A344" s="46"/>
      <c r="B344" s="64" t="str">
        <f>VLOOKUP(C344,'Status Thresholds'!B:C,2,FALSE)</f>
        <v>MHGen</v>
      </c>
      <c r="C344" s="46" t="str">
        <f>IF(ISBLANK('KO Calc'!C340)=TRUE,"",'KO Calc'!C340)</f>
        <v>Glavenus</v>
      </c>
      <c r="D344" s="58" t="s">
        <v>33</v>
      </c>
      <c r="E344" s="62" t="str">
        <f t="shared" si="9"/>
        <v>GlavenusPoison</v>
      </c>
      <c r="F344" s="59" t="s">
        <v>6</v>
      </c>
      <c r="G344" s="36" t="str">
        <f t="shared" si="10"/>
        <v>GlavenusPoison lvl 2</v>
      </c>
      <c r="H344" s="36" t="str">
        <f>IFERROR(ROUNDUP(IF(AND($Q$1=FALSE,$S$3=FALSE),"-",IF(AND($Q$1=TRUE,$S$3=TRUE),"-",IF(AND($Q$1=TRUE,$S$1=TRUE,$S$4=FALSE),VLOOKUP($E344,'Status Thresholds'!$E:$AS,12,FALSE),IF(AND($Q$1=TRUE,$S$4=FALSE),VLOOKUP($E344,'Status Thresholds'!$E:$AS,2,FALSE), IF(AND($Q$1=TRUE,$S$1=TRUE,$S$4=TRUE),VLOOKUP($E344,'Status Thresholds'!$E:$AS,17,FALSE),IF(AND($Q$1=TRUE,$S$4=TRUE),VLOOKUP($E344,'Status Thresholds'!$E:$AS,7,FALSE),IF(AND($S$3=TRUE,$S$1=TRUE,$S$4=FALSE),VLOOKUP($E344,'Status Thresholds'!$E:$AS,32,FALSE),IF(AND($S$3=TRUE,$S$4=FALSE),VLOOKUP($E344,'Status Thresholds'!$E:$AS,22,FALSE),IF(AND($S$3=TRUE,$S$1=TRUE,$S$4=TRUE),VLOOKUP($E344,'Status Thresholds'!$E:$AS,37,FALSE),IF(AND($S$3=TRUE,$S$4=TRUE),VLOOKUP($E344,'Status Thresholds'!$E:$AS,27,FALSE),""))))))))/IF(OR($Q$3=TRUE,AND($Q$2=TRUE,$Q$7=TRUE),AND($Q$3=TRUE,$Q$7=TRUE))=TRUE,'Shots and Status'!$F$5,IF((OR($Q$2,$Q$7)=TRUE),'Shots and Status'!$D$5,'Shots and Status'!$C$5)))),0),"-")</f>
        <v>-</v>
      </c>
      <c r="I344" s="36" t="str">
        <f>IFERROR(ROUNDUP(IF(AND($Q$1=FALSE,$S$3=FALSE),"-",IF(AND($Q$1=TRUE,$S$3=TRUE),"-",IF(AND($Q$1=TRUE,$S$1=TRUE,$S$4=FALSE),VLOOKUP($E344,'Status Thresholds'!$E:$AS,13,FALSE),IF(AND($Q$1=TRUE,$S$4=FALSE),VLOOKUP($E344,'Status Thresholds'!$E:$AS,3,FALSE), IF(AND($Q$1=TRUE,$S$1=TRUE,$S$4=TRUE),VLOOKUP($E344,'Status Thresholds'!$E:$AS,18,FALSE),IF(AND($Q$1=TRUE,$S$4=TRUE),VLOOKUP($E344,'Status Thresholds'!$E:$AS,8,FALSE),IF(AND($S$3=TRUE,$S$1=TRUE,$S$4=FALSE),VLOOKUP($E344,'Status Thresholds'!$E:$AS,33,FALSE),IF(AND($S$3=TRUE,$S$4=FALSE),VLOOKUP($E344,'Status Thresholds'!$E:$AS,23,FALSE),IF(AND($S$3=TRUE,$S$1=TRUE,$S$4=TRUE),VLOOKUP($E344,'Status Thresholds'!$E:$AS,38,FALSE),IF(AND($S$3=TRUE,$S$4=TRUE),VLOOKUP($E344,'Status Thresholds'!$E:$AS,28,FALSE),""))))))))/IF(OR($Q$3=TRUE,AND($Q$2=TRUE,$Q$7=TRUE),AND($Q$3=TRUE,$Q$7=TRUE))=TRUE,'Shots and Status'!$F$5,IF((OR($Q$2,$Q$7)=TRUE),'Shots and Status'!$D$5,'Shots and Status'!$C$5)))),0),"-")</f>
        <v>-</v>
      </c>
      <c r="J344" s="36" t="str">
        <f>IFERROR(ROUNDUP(IF(AND($Q$1=FALSE,$S$3=FALSE),"-",IF(AND($Q$1=TRUE,$S$3=TRUE),"-",IF(AND($Q$1=TRUE,$S$1=TRUE,$S$4=FALSE),VLOOKUP($E344,'Status Thresholds'!$E:$AS,14,FALSE),IF(AND($Q$1=TRUE,$S$4=FALSE),VLOOKUP($E344,'Status Thresholds'!$E:$AS,4,FALSE), IF(AND($Q$1=TRUE,$S$1=TRUE,$S$4=TRUE),VLOOKUP($E344,'Status Thresholds'!$E:$AS,19,FALSE),IF(AND($Q$1=TRUE,$S$4=TRUE),VLOOKUP($E344,'Status Thresholds'!$E:$AS,9,FALSE),IF(AND($S$3=TRUE,$S$1=TRUE,$S$4=FALSE),VLOOKUP($E344,'Status Thresholds'!$E:$AS,34,FALSE),IF(AND($S$3=TRUE,$S$4=FALSE),VLOOKUP($E344,'Status Thresholds'!$E:$AS,24,FALSE),IF(AND($S$3=TRUE,$S$1=TRUE,$S$4=TRUE),VLOOKUP($E344,'Status Thresholds'!$E:$AS,39,FALSE),IF(AND($S$3=TRUE,$S$4=TRUE),VLOOKUP($E344,'Status Thresholds'!$E:$AS,29,FALSE),""))))))))/IF(OR($Q$3=TRUE,AND($Q$2=TRUE,$Q$7=TRUE),AND($Q$3=TRUE,$Q$7=TRUE))=TRUE,'Shots and Status'!$F$5,IF((OR($Q$2,$Q$7)=TRUE),'Shots and Status'!$D$5,'Shots and Status'!$C$5)))),0),"-")</f>
        <v>-</v>
      </c>
      <c r="K344" s="36" t="str">
        <f>IFERROR(ROUNDUP(IF(AND($Q$1=FALSE,$S$3=FALSE),"-",IF(AND($Q$1=TRUE,$S$3=TRUE),"-",IF(AND($Q$1=TRUE,$S$1=TRUE,$S$4=FALSE),VLOOKUP($E344,'Status Thresholds'!$E:$AS,15,FALSE),IF(AND($Q$1=TRUE,$S$4=FALSE),VLOOKUP($E344,'Status Thresholds'!$E:$AS,5,FALSE), IF(AND($Q$1=TRUE,$S$1=TRUE,$S$4=TRUE),VLOOKUP($E344,'Status Thresholds'!$E:$AS,20,FALSE),IF(AND($Q$1=TRUE,$S$4=TRUE),VLOOKUP($E344,'Status Thresholds'!$E:$AS,10,FALSE),IF(AND($S$3=TRUE,$S$1=TRUE,$S$4=FALSE),VLOOKUP($E344,'Status Thresholds'!$E:$AS,35,FALSE),IF(AND($S$3=TRUE,$S$4=FALSE),VLOOKUP($E344,'Status Thresholds'!$E:$AS,25,FALSE),IF(AND($S$3=TRUE,$S$1=TRUE,$S$4=TRUE),VLOOKUP($E344,'Status Thresholds'!$E:$AS,40,FALSE),IF(AND($S$3=TRUE,$S$4=TRUE),VLOOKUP($E344,'Status Thresholds'!$E:$AS,30,FALSE),""))))))))/IF(OR($Q$3=TRUE,AND($Q$2=TRUE,$Q$7=TRUE),AND($Q$3=TRUE,$Q$7=TRUE))=TRUE,'Shots and Status'!$F$5,IF((OR($Q$2,$Q$7)=TRUE),'Shots and Status'!$D$5,'Shots and Status'!$C$5)))),0),"-")</f>
        <v>-</v>
      </c>
      <c r="L344" s="36" t="str">
        <f>IFERROR(IF(AND($Q$1=FALSE,$S$3=FALSE),"-",VLOOKUP($E344,'Status Thresholds'!$E:$AU,41,FALSE)),"-")</f>
        <v>-</v>
      </c>
      <c r="M344" s="36" t="str">
        <f>IFERROR(IF(AND($Q$1=FALSE,$S$3=FALSE),"-",VLOOKUP($E344,'Status Thresholds'!$E:$AU,42,FALSE)),"-")</f>
        <v>-</v>
      </c>
      <c r="N344" s="36" t="str">
        <f>IFERROR(IF(AND($Q$1=FALSE,$S$3=FALSE),"-",VLOOKUP($E344,'Status Thresholds'!$E:$AU,43,FALSE)),"-")</f>
        <v>-</v>
      </c>
    </row>
    <row r="345" spans="1:14" s="36" customFormat="1" x14ac:dyDescent="0.25">
      <c r="A345" s="46"/>
      <c r="B345" s="64" t="str">
        <f>VLOOKUP(C345,'Status Thresholds'!B:C,2,FALSE)</f>
        <v>MHGen</v>
      </c>
      <c r="C345" s="46" t="str">
        <f>IF(ISBLANK('KO Calc'!C341)=TRUE,"",'KO Calc'!C341)</f>
        <v>Glavenus</v>
      </c>
      <c r="D345" s="57" t="s">
        <v>22</v>
      </c>
      <c r="E345" s="62" t="str">
        <f t="shared" si="9"/>
        <v>GlavenusExhaust</v>
      </c>
      <c r="F345" s="36" t="s">
        <v>8</v>
      </c>
      <c r="G345" s="36" t="str">
        <f t="shared" si="10"/>
        <v>GlavenusExhaust lvl 2</v>
      </c>
      <c r="H345" s="36" t="str">
        <f>IFERROR(ROUNDUP(IF(AND($Q$1=FALSE,$S$3=FALSE),"-",IF(AND($Q$1=TRUE,$S$3=TRUE),"-",IF(AND($Q$1=TRUE,$S$1=TRUE,$S$4=FALSE),VLOOKUP($E345,'Status Thresholds'!$E:$AS,12,FALSE),IF(AND($Q$1=TRUE,$S$4=FALSE),VLOOKUP($E345,'Status Thresholds'!$E:$AS,2,FALSE), IF(AND($Q$1=TRUE,$S$1=TRUE,$S$4=TRUE),VLOOKUP($E345,'Status Thresholds'!$E:$AS,17,FALSE),IF(AND($Q$1=TRUE,$S$4=TRUE),VLOOKUP($E345,'Status Thresholds'!$E:$AS,7,FALSE),IF(AND($S$3=TRUE,$S$1=TRUE,$S$4=FALSE),VLOOKUP($E345,'Status Thresholds'!$E:$AS,32,FALSE),IF(AND($S$3=TRUE,$S$4=FALSE),VLOOKUP($E345,'Status Thresholds'!$E:$AS,22,FALSE),IF(AND($S$3=TRUE,$S$1=TRUE,$S$4=TRUE),VLOOKUP($E345,'Status Thresholds'!$E:$AS,37,FALSE),IF(AND($S$3=TRUE,$S$4=TRUE),VLOOKUP($E345,'Status Thresholds'!$E:$AS,27,FALSE),""))))))))/IF(OR($Q$3=TRUE,AND($Q$2=TRUE,$Q$7=TRUE),AND($Q$3=TRUE,$Q$7=TRUE))=TRUE,'Shots and Status'!$F$5,IF((OR($Q$2,$Q$7)=TRUE),'Shots and Status'!$D$5,'Shots and Status'!$C$5)))),0),"-")</f>
        <v>-</v>
      </c>
      <c r="I345" s="36" t="str">
        <f>IFERROR(ROUNDUP(IF(AND($Q$1=FALSE,$S$3=FALSE),"-",IF(AND($Q$1=TRUE,$S$3=TRUE),"-",IF(AND($Q$1=TRUE,$S$1=TRUE,$S$4=FALSE),VLOOKUP($E345,'Status Thresholds'!$E:$AS,13,FALSE),IF(AND($Q$1=TRUE,$S$4=FALSE),VLOOKUP($E345,'Status Thresholds'!$E:$AS,3,FALSE), IF(AND($Q$1=TRUE,$S$1=TRUE,$S$4=TRUE),VLOOKUP($E345,'Status Thresholds'!$E:$AS,18,FALSE),IF(AND($Q$1=TRUE,$S$4=TRUE),VLOOKUP($E345,'Status Thresholds'!$E:$AS,8,FALSE),IF(AND($S$3=TRUE,$S$1=TRUE,$S$4=FALSE),VLOOKUP($E345,'Status Thresholds'!$E:$AS,33,FALSE),IF(AND($S$3=TRUE,$S$4=FALSE),VLOOKUP($E345,'Status Thresholds'!$E:$AS,23,FALSE),IF(AND($S$3=TRUE,$S$1=TRUE,$S$4=TRUE),VLOOKUP($E345,'Status Thresholds'!$E:$AS,38,FALSE),IF(AND($S$3=TRUE,$S$4=TRUE),VLOOKUP($E345,'Status Thresholds'!$E:$AS,28,FALSE),""))))))))/IF(OR($Q$3=TRUE,AND($Q$2=TRUE,$Q$7=TRUE),AND($Q$3=TRUE,$Q$7=TRUE))=TRUE,'Shots and Status'!$F$5,IF((OR($Q$2,$Q$7)=TRUE),'Shots and Status'!$D$5,'Shots and Status'!$C$5)))),0),"-")</f>
        <v>-</v>
      </c>
      <c r="J345" s="36" t="str">
        <f>IFERROR(ROUNDUP(IF(AND($Q$1=FALSE,$S$3=FALSE),"-",IF(AND($Q$1=TRUE,$S$3=TRUE),"-",IF(AND($Q$1=TRUE,$S$1=TRUE,$S$4=FALSE),VLOOKUP($E345,'Status Thresholds'!$E:$AS,14,FALSE),IF(AND($Q$1=TRUE,$S$4=FALSE),VLOOKUP($E345,'Status Thresholds'!$E:$AS,4,FALSE), IF(AND($Q$1=TRUE,$S$1=TRUE,$S$4=TRUE),VLOOKUP($E345,'Status Thresholds'!$E:$AS,19,FALSE),IF(AND($Q$1=TRUE,$S$4=TRUE),VLOOKUP($E345,'Status Thresholds'!$E:$AS,9,FALSE),IF(AND($S$3=TRUE,$S$1=TRUE,$S$4=FALSE),VLOOKUP($E345,'Status Thresholds'!$E:$AS,34,FALSE),IF(AND($S$3=TRUE,$S$4=FALSE),VLOOKUP($E345,'Status Thresholds'!$E:$AS,24,FALSE),IF(AND($S$3=TRUE,$S$1=TRUE,$S$4=TRUE),VLOOKUP($E345,'Status Thresholds'!$E:$AS,39,FALSE),IF(AND($S$3=TRUE,$S$4=TRUE),VLOOKUP($E345,'Status Thresholds'!$E:$AS,29,FALSE),""))))))))/IF(OR($Q$3=TRUE,AND($Q$2=TRUE,$Q$7=TRUE),AND($Q$3=TRUE,$Q$7=TRUE))=TRUE,'Shots and Status'!$F$5,IF((OR($Q$2,$Q$7)=TRUE),'Shots and Status'!$D$5,'Shots and Status'!$C$5)))),0),"-")</f>
        <v>-</v>
      </c>
      <c r="K345" s="36" t="str">
        <f>IFERROR(ROUNDUP(IF(AND($Q$1=FALSE,$S$3=FALSE),"-",IF(AND($Q$1=TRUE,$S$3=TRUE),"-",IF(AND($Q$1=TRUE,$S$1=TRUE,$S$4=FALSE),VLOOKUP($E345,'Status Thresholds'!$E:$AS,15,FALSE),IF(AND($Q$1=TRUE,$S$4=FALSE),VLOOKUP($E345,'Status Thresholds'!$E:$AS,5,FALSE), IF(AND($Q$1=TRUE,$S$1=TRUE,$S$4=TRUE),VLOOKUP($E345,'Status Thresholds'!$E:$AS,20,FALSE),IF(AND($Q$1=TRUE,$S$4=TRUE),VLOOKUP($E345,'Status Thresholds'!$E:$AS,10,FALSE),IF(AND($S$3=TRUE,$S$1=TRUE,$S$4=FALSE),VLOOKUP($E345,'Status Thresholds'!$E:$AS,35,FALSE),IF(AND($S$3=TRUE,$S$4=FALSE),VLOOKUP($E345,'Status Thresholds'!$E:$AS,25,FALSE),IF(AND($S$3=TRUE,$S$1=TRUE,$S$4=TRUE),VLOOKUP($E345,'Status Thresholds'!$E:$AS,40,FALSE),IF(AND($S$3=TRUE,$S$4=TRUE),VLOOKUP($E345,'Status Thresholds'!$E:$AS,30,FALSE),""))))))))/IF(OR($Q$3=TRUE,AND($Q$2=TRUE,$Q$7=TRUE),AND($Q$3=TRUE,$Q$7=TRUE))=TRUE,'Shots and Status'!$F$5,IF((OR($Q$2,$Q$7)=TRUE),'Shots and Status'!$D$5,'Shots and Status'!$C$5)))),0),"-")</f>
        <v>-</v>
      </c>
      <c r="L345" s="36" t="str">
        <f>IFERROR(IF(AND($Q$1=FALSE,$S$3=FALSE),"-",VLOOKUP($E345,'Status Thresholds'!$E:$AU,41,FALSE)),"-")</f>
        <v>-</v>
      </c>
      <c r="M345" s="36" t="str">
        <f>IFERROR(IF(AND($Q$1=FALSE,$S$3=FALSE),"-",VLOOKUP($E345,'Status Thresholds'!$E:$AU,42,FALSE)),"-")</f>
        <v>-</v>
      </c>
      <c r="N345" s="36" t="str">
        <f>IFERROR(IF(AND($Q$1=FALSE,$S$3=FALSE),"-",VLOOKUP($E345,'Status Thresholds'!$E:$AU,43,FALSE)),"-")</f>
        <v>-</v>
      </c>
    </row>
    <row r="346" spans="1:14" s="36" customFormat="1" x14ac:dyDescent="0.25">
      <c r="A346" s="46"/>
      <c r="B346" s="64" t="str">
        <f>VLOOKUP(C346,'Status Thresholds'!B:C,2,FALSE)</f>
        <v>MHGen</v>
      </c>
      <c r="C346" s="46" t="str">
        <f>IF(ISBLANK('KO Calc'!C342)=TRUE,"",'KO Calc'!C342)</f>
        <v>Glavenus</v>
      </c>
      <c r="D346" s="67" t="s">
        <v>14</v>
      </c>
      <c r="E346" s="62" t="str">
        <f t="shared" si="9"/>
        <v>GlavenusKO</v>
      </c>
      <c r="F346" s="36" t="s">
        <v>21</v>
      </c>
      <c r="G346" s="36" t="str">
        <f t="shared" si="10"/>
        <v>GlavenusTriblast</v>
      </c>
      <c r="H346" s="36" t="str">
        <f>IF(AND($Q$1=FALSE,$S$3=FALSE),"-",IF(AND($Q$1=TRUE,$S$3=TRUE),"-",IF(AND($Q$1=FALSE,$S$3=FALSE),"-",IF(AND($Q$1=TRUE,$S$1=TRUE,$S$4=FALSE)=TRUE,IF(OR($Q$4=TRUE,$Q$5=TRUE,$S$2=TRUE),VLOOKUP($G346,'KO Calc'!$H:$AW,12,FALSE),VLOOKUP($G346,'KO Calc'!$H352:$AW352,12,FALSE)),IF(AND($Q$1=TRUE,$S$4=FALSE),IF(OR($Q$4=TRUE,$Q$5=TRUE,$S$2=TRUE),VLOOKUP($G346,'KO Calc'!$H:$AW,2,FALSE),VLOOKUP($G346,'KO Calc'!$H352:$AW352,2,FALSE)),
IF(AND($Q$1=TRUE,$S$1=TRUE,$S$4=TRUE)=TRUE,IF(OR($Q$4=TRUE,$Q$5=TRUE,$S$2=TRUE),VLOOKUP($G346,'KO Calc'!$H:$AW,17,FALSE),VLOOKUP($G346,'KO Calc'!$H352:$AW352,17,FALSE)),IF(AND($Q$1=TRUE,$S$4=TRUE),IF(OR($Q$4=TRUE,$Q$5=TRUE,$S$2=TRUE),VLOOKUP($G346,'KO Calc'!$H:$AW,7,FALSE),VLOOKUP($G346,'KO Calc'!$H352:$AW352,7,FALSE)),
IF(AND($S$3=TRUE,$S$1=TRUE,$S$4=FALSE)=TRUE,IF(OR($Q$4=TRUE,$Q$5=TRUE,$S$2=TRUE),VLOOKUP($G346,'KO Calc'!$H:$AW,32,FALSE),VLOOKUP($G346,'KO Calc'!$H352:$AW352,32,FALSE)),IF(AND($S$3=TRUE,$S$4=FALSE),IF(OR($Q$4=TRUE,$Q$5=TRUE,$S$2=TRUE),VLOOKUP($G346,'KO Calc'!$H:$AW,22,FALSE),VLOOKUP($G346,'KO Calc'!$H352:$AW352,22,FALSE)),
IF(AND($S$3=TRUE,$S$1=TRUE,$S$4=TRUE)=TRUE,IF(OR($Q$4=TRUE,$Q$5=TRUE,$S$2=TRUE),VLOOKUP($G346,'KO Calc'!$H:$AW,37,FALSE),VLOOKUP($G346,'KO Calc'!$H352:$AW352,37,FALSE)),IF(AND($S$3=TRUE,$S$4=TRUE),IF(OR($Q$4=TRUE,$Q$5=TRUE,$S$2=TRUE),VLOOKUP($G346,'KO Calc'!$H:$AW,27,FALSE),VLOOKUP($G346,'KO Calc'!$H352:$AW352,27,FALSE)))))))))))))</f>
        <v>-</v>
      </c>
      <c r="I346" s="36" t="str">
        <f>IF(AND($Q$1=FALSE,$S$3=FALSE),"-",IF(AND($Q$1=TRUE,$S$3=TRUE),"-",IF(AND($Q$1=FALSE,$S$3=FALSE),"-",IF(AND($Q$1=TRUE,$S$1=TRUE,$S$4=FALSE)=TRUE,IF(OR($Q$4=TRUE,$Q$5=TRUE,$S$2=TRUE),VLOOKUP($G346,'KO Calc'!$H:$AW,13,FALSE),VLOOKUP($G346,'KO Calc'!$H352:$AW352,13,FALSE)),IF(AND($Q$1=TRUE,$S$4=FALSE),IF(OR($Q$4=TRUE,$Q$5=TRUE,$S$2=TRUE),VLOOKUP($G346,'KO Calc'!$H:$AW,3,FALSE),VLOOKUP($G346,'KO Calc'!$H352:$AW352,3,FALSE)),
IF(AND($Q$1=TRUE,$S$1=TRUE,$S$4=TRUE)=TRUE,IF(OR($Q$4=TRUE,$Q$5=TRUE,$S$2=TRUE),VLOOKUP($G346,'KO Calc'!$H:$AW,18,FALSE),VLOOKUP($G346,'KO Calc'!$H352:$AW352,18,FALSE)),IF(AND($Q$1=TRUE,$S$4=TRUE),IF(OR($Q$4=TRUE,$Q$5=TRUE,$S$2=TRUE),VLOOKUP($G346,'KO Calc'!$H:$AW,8,FALSE),VLOOKUP($G346,'KO Calc'!$H352:$AW352,8,FALSE)),
IF(AND($S$3=TRUE,$S$1=TRUE,$S$4=FALSE)=TRUE,IF(OR($Q$4=TRUE,$Q$5=TRUE,$S$2=TRUE),VLOOKUP($G346,'KO Calc'!$H:$AW,33,FALSE),VLOOKUP($G346,'KO Calc'!$H352:$AW352,33,FALSE)),IF(AND($S$3=TRUE,$S$4=FALSE),IF(OR($Q$4=TRUE,$Q$5=TRUE,$S$2=TRUE),VLOOKUP($G346,'KO Calc'!$H:$AW,23,FALSE),VLOOKUP($G346,'KO Calc'!$H352:$AW352,23,FALSE)),
IF(AND($S$3=TRUE,$S$1=TRUE,$S$4=TRUE)=TRUE,IF(OR($Q$4=TRUE,$Q$5=TRUE,$S$2=TRUE),VLOOKUP($G346,'KO Calc'!$H:$AW,38,FALSE),VLOOKUP($G346,'KO Calc'!$H352:$AW352,38,FALSE)),IF(AND($S$3=TRUE,$S$4=TRUE),IF(OR($Q$4=TRUE,$Q$5=TRUE,$S$2=TRUE),VLOOKUP($G346,'KO Calc'!$H:$AW,28,FALSE),VLOOKUP($G346,'KO Calc'!$H352:$AW352,28,FALSE)))))))))))))</f>
        <v>-</v>
      </c>
      <c r="J346" s="36" t="str">
        <f>IF(AND($Q$1=FALSE,$S$3=FALSE),"-",IF(AND($Q$1=TRUE,$S$3=TRUE),"-",IF(AND($Q$1=FALSE,$S$3=FALSE),"-",IF(AND($Q$1=TRUE,$S$1=TRUE,$S$4=FALSE)=TRUE,IF(OR($Q$4=TRUE,$Q$5=TRUE,$S$2=TRUE),VLOOKUP($G346,'KO Calc'!$H:$AW,FALSE),VLOOKUP($G346,'KO Calc'!$H352:$AW352,14,FALSE)),IF(AND($Q$1=TRUE,$S$4=FALSE),IF(OR($Q$4=TRUE,$Q$5=TRUE,$S$2=TRUE),VLOOKUP($G346,'KO Calc'!$H:$AW,4,FALSE),VLOOKUP($G346,'KO Calc'!$H352:$AW352,4,FALSE)),
IF(AND($Q$1=TRUE,$S$1=TRUE,$S$4=TRUE)=TRUE,IF(OR($Q$4=TRUE,$Q$5=TRUE,$S$2=TRUE),VLOOKUP($G346,'KO Calc'!$H:$AW,19,FALSE),VLOOKUP($G346,'KO Calc'!$H352:$AW352,19,FALSE)),IF(AND($Q$1=TRUE,$S$4=TRUE),IF(OR($Q$4=TRUE,$Q$5=TRUE,$S$2=TRUE),VLOOKUP($G346,'KO Calc'!$H:$AW,9,FALSE),VLOOKUP($G346,'KO Calc'!$H352:$AW352,9,FALSE)),
IF(AND($S$3=TRUE,$S$1=TRUE,$S$4=FALSE)=TRUE,IF(OR($Q$4=TRUE,$Q$5=TRUE,$S$2=TRUE),VLOOKUP($G346,'KO Calc'!$H:$AW,34,FALSE),VLOOKUP($G346,'KO Calc'!$H352:$AW352,34,FALSE)),IF(AND($S$3=TRUE,$S$4=FALSE),IF(OR($Q$4=TRUE,$Q$5=TRUE,$S$2=TRUE),VLOOKUP($G346,'KO Calc'!$H:$AW,24,FALSE),VLOOKUP($G346,'KO Calc'!$H352:$AW352,24,FALSE)),
IF(AND($S$3=TRUE,$S$1=TRUE,$S$4=TRUE)=TRUE,IF(OR($Q$4=TRUE,$Q$5=TRUE,$S$2=TRUE),VLOOKUP($G346,'KO Calc'!$H:$AW,39,FALSE),VLOOKUP($G346,'KO Calc'!$H352:$AW352,39,FALSE)),IF(AND($S$3=TRUE,$S$4=TRUE),IF(OR($Q$4=TRUE,$Q$5=TRUE,$S$2=TRUE),VLOOKUP($G346,'KO Calc'!$H:$AW,29,FALSE),VLOOKUP($G346,'KO Calc'!$H352:$AW352,29,FALSE)))))))))))))</f>
        <v>-</v>
      </c>
      <c r="K346" s="36" t="str">
        <f>IF(AND($Q$1=FALSE,$S$3=FALSE),"-",IF(AND($Q$1=TRUE,$S$3=TRUE),"-",IF(AND($Q$1=FALSE,$S$3=FALSE),"-",IF(AND($Q$1=TRUE,$S$1=TRUE,$S$4=FALSE)=TRUE,IF(OR($Q$4=TRUE,$Q$5=TRUE,$S$2=TRUE),VLOOKUP($G346,'KO Calc'!$H:$AW,15,FALSE),VLOOKUP($G346,'KO Calc'!$H352:$AW352,15,FALSE)),IF(AND($Q$1=TRUE,$S$4=FALSE),IF(OR($Q$4=TRUE,$Q$5=TRUE,$S$2=TRUE),VLOOKUP($G346,'KO Calc'!$H:$AW,5,FALSE),VLOOKUP($G346,'KO Calc'!$H352:$AW352,5,FALSE)),
IF(AND($Q$1=TRUE,$S$1=TRUE,$S$4=TRUE)=TRUE,IF(OR($Q$4=TRUE,$Q$5=TRUE,$S$2=TRUE),VLOOKUP($G346,'KO Calc'!$H:$AW,20,FALSE),VLOOKUP($G346,'KO Calc'!$H352:$AW352,20,FALSE)),IF(AND($Q$1=TRUE,$S$4=TRUE),IF(OR($Q$4=TRUE,$Q$5=TRUE,$S$2=TRUE),VLOOKUP($G346,'KO Calc'!$H:$AW,10,FALSE),VLOOKUP($G346,'KO Calc'!$H352:$AW352,10,FALSE)),
IF(AND($S$3=TRUE,$S$1=TRUE,$S$4=FALSE)=TRUE,IF(OR($Q$4=TRUE,$Q$5=TRUE,$S$2=TRUE),VLOOKUP($G346,'KO Calc'!$H:$AW,35,FALSE),VLOOKUP($G346,'KO Calc'!$H352:$AW352,35,FALSE)),IF(AND($S$3=TRUE,$S$4=FALSE),IF(OR($Q$4=TRUE,$Q$5=TRUE,$S$2=TRUE),VLOOKUP($G346,'KO Calc'!$H:$AW,25,FALSE),VLOOKUP($G346,'KO Calc'!$H352:$AW352,25,FALSE)),
IF(AND($S$3=TRUE,$S$1=TRUE,$S$4=TRUE)=TRUE,IF(OR($Q$4=TRUE,$Q$5=TRUE,$S$2=TRUE),VLOOKUP($G346,'KO Calc'!$H:$AW,40,FALSE),VLOOKUP($G346,'KO Calc'!$H352:$AW352,40,FALSE)),IF(AND($S$3=TRUE,$S$4=TRUE),IF(OR($Q$4=TRUE,$Q$5=TRUE,$S$2=TRUE),VLOOKUP($G346,'KO Calc'!$H:$AW,30,FALSE),VLOOKUP($G346,'KO Calc'!$H352:$AW352,30,FALSE)))))))))))))</f>
        <v>-</v>
      </c>
      <c r="L346" s="36" t="str">
        <f>IFERROR(IF(AND($Q$1=FALSE,$S$3=FALSE),"-",VLOOKUP($E346,'Status Thresholds'!$E:$AU,41,FALSE)),"-")</f>
        <v>-</v>
      </c>
      <c r="M346" s="36" t="str">
        <f>IFERROR(IF(AND($Q$1=FALSE,$S$3=FALSE),"-",VLOOKUP($E346,'Status Thresholds'!$E:$AU,42,FALSE)),"-")</f>
        <v>-</v>
      </c>
      <c r="N346" s="36" t="str">
        <f>IFERROR(IF(AND($Q$1=FALSE,$S$3=FALSE),"-",VLOOKUP($E346,'Status Thresholds'!$E:$AU,43,FALSE)),"-")</f>
        <v>-</v>
      </c>
    </row>
    <row r="347" spans="1:14" x14ac:dyDescent="0.25">
      <c r="B347" s="64" t="str">
        <f>VLOOKUP(C347,'Status Thresholds'!B:C,2,FALSE)</f>
        <v>MHGen</v>
      </c>
      <c r="C347" s="46" t="str">
        <f>IF(ISBLANK('KO Calc'!C343)=TRUE,"",'KO Calc'!C343)</f>
        <v>Glavenus</v>
      </c>
      <c r="D347" s="78" t="s">
        <v>207</v>
      </c>
      <c r="E347" s="62" t="str">
        <f t="shared" si="9"/>
        <v>GlavenusShock Trap</v>
      </c>
      <c r="F347" t="s">
        <v>13</v>
      </c>
      <c r="G347" s="36" t="str">
        <f t="shared" si="10"/>
        <v>GlavenusCrag 3</v>
      </c>
      <c r="H347" s="36" t="str">
        <f>IF(AND($Q$1=FALSE,$S$3=FALSE),"-",IF(AND($Q$1=TRUE,$S$3=TRUE),"-",IF(AND($Q$1=FALSE,$S$3=FALSE),"-",IF(AND($Q$1=TRUE,$S$1=TRUE,$S$4=FALSE)=TRUE,IF(OR($Q$4=TRUE,$Q$5=TRUE,$S$2=TRUE),VLOOKUP($G347,'KO Calc'!$H:$AW,12,FALSE),VLOOKUP($G347,'KO Calc'!$H353:$AW353,12,FALSE)),IF(AND($Q$1=TRUE,$S$4=FALSE),IF(OR($Q$4=TRUE,$Q$5=TRUE,$S$2=TRUE),VLOOKUP($G347,'KO Calc'!$H:$AW,2,FALSE),VLOOKUP($G347,'KO Calc'!$H353:$AW353,2,FALSE)),
IF(AND($Q$1=TRUE,$S$1=TRUE,$S$4=TRUE)=TRUE,IF(OR($Q$4=TRUE,$Q$5=TRUE,$S$2=TRUE),VLOOKUP($G347,'KO Calc'!$H:$AW,17,FALSE),VLOOKUP($G347,'KO Calc'!$H353:$AW353,17,FALSE)),IF(AND($Q$1=TRUE,$S$4=TRUE),IF(OR($Q$4=TRUE,$Q$5=TRUE,$S$2=TRUE),VLOOKUP($G347,'KO Calc'!$H:$AW,7,FALSE),VLOOKUP($G347,'KO Calc'!$H353:$AW353,7,FALSE)),
IF(AND($S$3=TRUE,$S$1=TRUE,$S$4=FALSE)=TRUE,IF(OR($Q$4=TRUE,$Q$5=TRUE,$S$2=TRUE),VLOOKUP($G347,'KO Calc'!$H:$AW,32,FALSE),VLOOKUP($G347,'KO Calc'!$H353:$AW353,32,FALSE)),IF(AND($S$3=TRUE,$S$4=FALSE),IF(OR($Q$4=TRUE,$Q$5=TRUE,$S$2=TRUE),VLOOKUP($G347,'KO Calc'!$H:$AW,22,FALSE),VLOOKUP($G347,'KO Calc'!$H353:$AW353,22,FALSE)),
IF(AND($S$3=TRUE,$S$1=TRUE,$S$4=TRUE)=TRUE,IF(OR($Q$4=TRUE,$Q$5=TRUE,$S$2=TRUE),VLOOKUP($G347,'KO Calc'!$H:$AW,37,FALSE),VLOOKUP($G347,'KO Calc'!$H353:$AW353,37,FALSE)),IF(AND($S$3=TRUE,$S$4=TRUE),IF(OR($Q$4=TRUE,$Q$5=TRUE,$S$2=TRUE),VLOOKUP($G347,'KO Calc'!$H:$AW,27,FALSE),VLOOKUP($G347,'KO Calc'!$H353:$AW353,27,FALSE)))))))))))))</f>
        <v>-</v>
      </c>
      <c r="I347" s="36" t="str">
        <f>IF(AND($Q$1=FALSE,$S$3=FALSE),"-",IF(AND($Q$1=TRUE,$S$3=TRUE),"-",IF(AND($Q$1=FALSE,$S$3=FALSE),"-",IF(AND($Q$1=TRUE,$S$1=TRUE,$S$4=FALSE)=TRUE,IF(OR($Q$4=TRUE,$Q$5=TRUE,$S$2=TRUE),VLOOKUP($G347,'KO Calc'!$H:$AW,13,FALSE),VLOOKUP($G347,'KO Calc'!$H353:$AW353,13,FALSE)),IF(AND($Q$1=TRUE,$S$4=FALSE),IF(OR($Q$4=TRUE,$Q$5=TRUE,$S$2=TRUE),VLOOKUP($G347,'KO Calc'!$H:$AW,3,FALSE),VLOOKUP($G347,'KO Calc'!$H353:$AW353,3,FALSE)),
IF(AND($Q$1=TRUE,$S$1=TRUE,$S$4=TRUE)=TRUE,IF(OR($Q$4=TRUE,$Q$5=TRUE,$S$2=TRUE),VLOOKUP($G347,'KO Calc'!$H:$AW,18,FALSE),VLOOKUP($G347,'KO Calc'!$H353:$AW353,18,FALSE)),IF(AND($Q$1=TRUE,$S$4=TRUE),IF(OR($Q$4=TRUE,$Q$5=TRUE,$S$2=TRUE),VLOOKUP($G347,'KO Calc'!$H:$AW,8,FALSE),VLOOKUP($G347,'KO Calc'!$H353:$AW353,8,FALSE)),
IF(AND($S$3=TRUE,$S$1=TRUE,$S$4=FALSE)=TRUE,IF(OR($Q$4=TRUE,$Q$5=TRUE,$S$2=TRUE),VLOOKUP($G347,'KO Calc'!$H:$AW,33,FALSE),VLOOKUP($G347,'KO Calc'!$H353:$AW353,33,FALSE)),IF(AND($S$3=TRUE,$S$4=FALSE),IF(OR($Q$4=TRUE,$Q$5=TRUE,$S$2=TRUE),VLOOKUP($G347,'KO Calc'!$H:$AW,23,FALSE),VLOOKUP($G347,'KO Calc'!$H353:$AW353,23,FALSE)),
IF(AND($S$3=TRUE,$S$1=TRUE,$S$4=TRUE)=TRUE,IF(OR($Q$4=TRUE,$Q$5=TRUE,$S$2=TRUE),VLOOKUP($G347,'KO Calc'!$H:$AW,38,FALSE),VLOOKUP($G347,'KO Calc'!$H353:$AW353,38,FALSE)),IF(AND($S$3=TRUE,$S$4=TRUE),IF(OR($Q$4=TRUE,$Q$5=TRUE,$S$2=TRUE),VLOOKUP($G347,'KO Calc'!$H:$AW,28,FALSE),VLOOKUP($G347,'KO Calc'!$H353:$AW353,28,FALSE)))))))))))))</f>
        <v>-</v>
      </c>
      <c r="J347" s="36" t="str">
        <f>IF(AND($Q$1=FALSE,$S$3=FALSE),"-",IF(AND($Q$1=TRUE,$S$3=TRUE),"-",IF(AND($Q$1=FALSE,$S$3=FALSE),"-",IF(AND($Q$1=TRUE,$S$1=TRUE,$S$4=FALSE)=TRUE,IF(OR($Q$4=TRUE,$Q$5=TRUE,$S$2=TRUE),VLOOKUP($G347,'KO Calc'!$H:$AW,FALSE),VLOOKUP($G347,'KO Calc'!$H353:$AW353,14,FALSE)),IF(AND($Q$1=TRUE,$S$4=FALSE),IF(OR($Q$4=TRUE,$Q$5=TRUE,$S$2=TRUE),VLOOKUP($G347,'KO Calc'!$H:$AW,4,FALSE),VLOOKUP($G347,'KO Calc'!$H353:$AW353,4,FALSE)),
IF(AND($Q$1=TRUE,$S$1=TRUE,$S$4=TRUE)=TRUE,IF(OR($Q$4=TRUE,$Q$5=TRUE,$S$2=TRUE),VLOOKUP($G347,'KO Calc'!$H:$AW,19,FALSE),VLOOKUP($G347,'KO Calc'!$H353:$AW353,19,FALSE)),IF(AND($Q$1=TRUE,$S$4=TRUE),IF(OR($Q$4=TRUE,$Q$5=TRUE,$S$2=TRUE),VLOOKUP($G347,'KO Calc'!$H:$AW,9,FALSE),VLOOKUP($G347,'KO Calc'!$H353:$AW353,9,FALSE)),
IF(AND($S$3=TRUE,$S$1=TRUE,$S$4=FALSE)=TRUE,IF(OR($Q$4=TRUE,$Q$5=TRUE,$S$2=TRUE),VLOOKUP($G347,'KO Calc'!$H:$AW,34,FALSE),VLOOKUP($G347,'KO Calc'!$H353:$AW353,34,FALSE)),IF(AND($S$3=TRUE,$S$4=FALSE),IF(OR($Q$4=TRUE,$Q$5=TRUE,$S$2=TRUE),VLOOKUP($G347,'KO Calc'!$H:$AW,24,FALSE),VLOOKUP($G347,'KO Calc'!$H353:$AW353,24,FALSE)),
IF(AND($S$3=TRUE,$S$1=TRUE,$S$4=TRUE)=TRUE,IF(OR($Q$4=TRUE,$Q$5=TRUE,$S$2=TRUE),VLOOKUP($G347,'KO Calc'!$H:$AW,39,FALSE),VLOOKUP($G347,'KO Calc'!$H353:$AW353,39,FALSE)),IF(AND($S$3=TRUE,$S$4=TRUE),IF(OR($Q$4=TRUE,$Q$5=TRUE,$S$2=TRUE),VLOOKUP($G347,'KO Calc'!$H:$AW,29,FALSE),VLOOKUP($G347,'KO Calc'!$H353:$AW353,29,FALSE)))))))))))))</f>
        <v>-</v>
      </c>
      <c r="K347" s="36" t="str">
        <f>IF(AND($Q$1=FALSE,$S$3=FALSE),"-",IF(AND($Q$1=TRUE,$S$3=TRUE),"-",IF(AND($Q$1=FALSE,$S$3=FALSE),"-",IF(AND($Q$1=TRUE,$S$1=TRUE,$S$4=FALSE)=TRUE,IF(OR($Q$4=TRUE,$Q$5=TRUE,$S$2=TRUE),VLOOKUP($G347,'KO Calc'!$H:$AW,15,FALSE),VLOOKUP($G347,'KO Calc'!$H353:$AW353,15,FALSE)),IF(AND($Q$1=TRUE,$S$4=FALSE),IF(OR($Q$4=TRUE,$Q$5=TRUE,$S$2=TRUE),VLOOKUP($G347,'KO Calc'!$H:$AW,5,FALSE),VLOOKUP($G347,'KO Calc'!$H353:$AW353,5,FALSE)),
IF(AND($Q$1=TRUE,$S$1=TRUE,$S$4=TRUE)=TRUE,IF(OR($Q$4=TRUE,$Q$5=TRUE,$S$2=TRUE),VLOOKUP($G347,'KO Calc'!$H:$AW,20,FALSE),VLOOKUP($G347,'KO Calc'!$H353:$AW353,20,FALSE)),IF(AND($Q$1=TRUE,$S$4=TRUE),IF(OR($Q$4=TRUE,$Q$5=TRUE,$S$2=TRUE),VLOOKUP($G347,'KO Calc'!$H:$AW,10,FALSE),VLOOKUP($G347,'KO Calc'!$H353:$AW353,10,FALSE)),
IF(AND($S$3=TRUE,$S$1=TRUE,$S$4=FALSE)=TRUE,IF(OR($Q$4=TRUE,$Q$5=TRUE,$S$2=TRUE),VLOOKUP($G347,'KO Calc'!$H:$AW,35,FALSE),VLOOKUP($G347,'KO Calc'!$H353:$AW353,35,FALSE)),IF(AND($S$3=TRUE,$S$4=FALSE),IF(OR($Q$4=TRUE,$Q$5=TRUE,$S$2=TRUE),VLOOKUP($G347,'KO Calc'!$H:$AW,25,FALSE),VLOOKUP($G347,'KO Calc'!$H353:$AW353,25,FALSE)),
IF(AND($S$3=TRUE,$S$1=TRUE,$S$4=TRUE)=TRUE,IF(OR($Q$4=TRUE,$Q$5=TRUE,$S$2=TRUE),VLOOKUP($G347,'KO Calc'!$H:$AW,40,FALSE),VLOOKUP($G347,'KO Calc'!$H353:$AW353,40,FALSE)),IF(AND($S$3=TRUE,$S$4=TRUE),IF(OR($Q$4=TRUE,$Q$5=TRUE,$S$2=TRUE),VLOOKUP($G347,'KO Calc'!$H:$AW,30,FALSE),VLOOKUP($G347,'KO Calc'!$H353:$AW353,30,FALSE)))))))))))))</f>
        <v>-</v>
      </c>
      <c r="L347" s="36" t="str">
        <f>IFERROR(IF(AND($Q$1=FALSE,$S$3=FALSE),"-",VLOOKUP($E347,'Status Thresholds'!$E:$AU,43,FALSE)),"-")</f>
        <v>-</v>
      </c>
      <c r="M347" s="36" t="str">
        <f>IFERROR(IF(AND($Q$1=FALSE,$S$3=FALSE),"-",VLOOKUP($E347,'Status Thresholds'!$E:$AU,41,FALSE)),"-")</f>
        <v>-</v>
      </c>
      <c r="N347" s="36" t="str">
        <f>IFERROR(IF(AND($Q$1=FALSE,$S$3=FALSE),"-",VLOOKUP($E347,'Status Thresholds'!$E:$AU,42,FALSE)),"-")</f>
        <v>-</v>
      </c>
    </row>
    <row r="348" spans="1:14" x14ac:dyDescent="0.25">
      <c r="B348" s="64" t="str">
        <f>VLOOKUP(C348,'Status Thresholds'!B:C,2,FALSE)</f>
        <v>MHGen</v>
      </c>
      <c r="C348" s="46" t="str">
        <f>IF(ISBLANK('KO Calc'!C344)=TRUE,"",'KO Calc'!C344)</f>
        <v>Glavenus</v>
      </c>
      <c r="D348" s="78" t="s">
        <v>213</v>
      </c>
      <c r="E348" s="62" t="str">
        <f t="shared" si="9"/>
        <v>GlavenusPitfall Trap</v>
      </c>
      <c r="F348" t="s">
        <v>12</v>
      </c>
      <c r="G348" s="36" t="str">
        <f t="shared" si="10"/>
        <v>GlavenusCrag 2</v>
      </c>
      <c r="H348" s="36" t="str">
        <f>IF(AND($Q$1=FALSE,$S$3=FALSE),"-",IF(AND($Q$1=TRUE,$S$3=TRUE),"-",IF(AND($Q$1=FALSE,$S$3=FALSE),"-",IF(AND($Q$1=TRUE,$S$1=TRUE,$S$4=FALSE)=TRUE,IF(OR($Q$4=TRUE,$Q$5=TRUE,$S$2=TRUE),VLOOKUP($G348,'KO Calc'!$H:$AW,12,FALSE),VLOOKUP($G348,'KO Calc'!$H354:$AW354,12,FALSE)),IF(AND($Q$1=TRUE,$S$4=FALSE),IF(OR($Q$4=TRUE,$Q$5=TRUE,$S$2=TRUE),VLOOKUP($G348,'KO Calc'!$H:$AW,2,FALSE),VLOOKUP($G348,'KO Calc'!$H354:$AW354,2,FALSE)),
IF(AND($Q$1=TRUE,$S$1=TRUE,$S$4=TRUE)=TRUE,IF(OR($Q$4=TRUE,$Q$5=TRUE,$S$2=TRUE),VLOOKUP($G348,'KO Calc'!$H:$AW,17,FALSE),VLOOKUP($G348,'KO Calc'!$H354:$AW354,17,FALSE)),IF(AND($Q$1=TRUE,$S$4=TRUE),IF(OR($Q$4=TRUE,$Q$5=TRUE,$S$2=TRUE),VLOOKUP($G348,'KO Calc'!$H:$AW,7,FALSE),VLOOKUP($G348,'KO Calc'!$H354:$AW354,7,FALSE)),
IF(AND($S$3=TRUE,$S$1=TRUE,$S$4=FALSE)=TRUE,IF(OR($Q$4=TRUE,$Q$5=TRUE,$S$2=TRUE),VLOOKUP($G348,'KO Calc'!$H:$AW,32,FALSE),VLOOKUP($G348,'KO Calc'!$H354:$AW354,32,FALSE)),IF(AND($S$3=TRUE,$S$4=FALSE),IF(OR($Q$4=TRUE,$Q$5=TRUE,$S$2=TRUE),VLOOKUP($G348,'KO Calc'!$H:$AW,22,FALSE),VLOOKUP($G348,'KO Calc'!$H354:$AW354,22,FALSE)),
IF(AND($S$3=TRUE,$S$1=TRUE,$S$4=TRUE)=TRUE,IF(OR($Q$4=TRUE,$Q$5=TRUE,$S$2=TRUE),VLOOKUP($G348,'KO Calc'!$H:$AW,37,FALSE),VLOOKUP($G348,'KO Calc'!$H354:$AW354,37,FALSE)),IF(AND($S$3=TRUE,$S$4=TRUE),IF(OR($Q$4=TRUE,$Q$5=TRUE,$S$2=TRUE),VLOOKUP($G348,'KO Calc'!$H:$AW,27,FALSE),VLOOKUP($G348,'KO Calc'!$H354:$AW354,27,FALSE)))))))))))))</f>
        <v>-</v>
      </c>
      <c r="I348" s="36" t="str">
        <f>IF(AND($Q$1=FALSE,$S$3=FALSE),"-",IF(AND($Q$1=TRUE,$S$3=TRUE),"-",IF(AND($Q$1=FALSE,$S$3=FALSE),"-",IF(AND($Q$1=TRUE,$S$1=TRUE,$S$4=FALSE)=TRUE,IF(OR($Q$4=TRUE,$Q$5=TRUE,$S$2=TRUE),VLOOKUP($G348,'KO Calc'!$H:$AW,13,FALSE),VLOOKUP($G348,'KO Calc'!$H354:$AW354,13,FALSE)),IF(AND($Q$1=TRUE,$S$4=FALSE),IF(OR($Q$4=TRUE,$Q$5=TRUE,$S$2=TRUE),VLOOKUP($G348,'KO Calc'!$H:$AW,3,FALSE),VLOOKUP($G348,'KO Calc'!$H354:$AW354,3,FALSE)),
IF(AND($Q$1=TRUE,$S$1=TRUE,$S$4=TRUE)=TRUE,IF(OR($Q$4=TRUE,$Q$5=TRUE,$S$2=TRUE),VLOOKUP($G348,'KO Calc'!$H:$AW,18,FALSE),VLOOKUP($G348,'KO Calc'!$H354:$AW354,18,FALSE)),IF(AND($Q$1=TRUE,$S$4=TRUE),IF(OR($Q$4=TRUE,$Q$5=TRUE,$S$2=TRUE),VLOOKUP($G348,'KO Calc'!$H:$AW,8,FALSE),VLOOKUP($G348,'KO Calc'!$H354:$AW354,8,FALSE)),
IF(AND($S$3=TRUE,$S$1=TRUE,$S$4=FALSE)=TRUE,IF(OR($Q$4=TRUE,$Q$5=TRUE,$S$2=TRUE),VLOOKUP($G348,'KO Calc'!$H:$AW,33,FALSE),VLOOKUP($G348,'KO Calc'!$H354:$AW354,33,FALSE)),IF(AND($S$3=TRUE,$S$4=FALSE),IF(OR($Q$4=TRUE,$Q$5=TRUE,$S$2=TRUE),VLOOKUP($G348,'KO Calc'!$H:$AW,23,FALSE),VLOOKUP($G348,'KO Calc'!$H354:$AW354,23,FALSE)),
IF(AND($S$3=TRUE,$S$1=TRUE,$S$4=TRUE)=TRUE,IF(OR($Q$4=TRUE,$Q$5=TRUE,$S$2=TRUE),VLOOKUP($G348,'KO Calc'!$H:$AW,38,FALSE),VLOOKUP($G348,'KO Calc'!$H354:$AW354,38,FALSE)),IF(AND($S$3=TRUE,$S$4=TRUE),IF(OR($Q$4=TRUE,$Q$5=TRUE,$S$2=TRUE),VLOOKUP($G348,'KO Calc'!$H:$AW,28,FALSE),VLOOKUP($G348,'KO Calc'!$H354:$AW354,28,FALSE)))))))))))))</f>
        <v>-</v>
      </c>
      <c r="J348" s="36" t="str">
        <f>IF(AND($Q$1=FALSE,$S$3=FALSE),"-",IF(AND($Q$1=TRUE,$S$3=TRUE),"-",IF(AND($Q$1=FALSE,$S$3=FALSE),"-",IF(AND($Q$1=TRUE,$S$1=TRUE,$S$4=FALSE)=TRUE,IF(OR($Q$4=TRUE,$Q$5=TRUE,$S$2=TRUE),VLOOKUP($G348,'KO Calc'!$H:$AW,FALSE),VLOOKUP($G348,'KO Calc'!$H354:$AW354,14,FALSE)),IF(AND($Q$1=TRUE,$S$4=FALSE),IF(OR($Q$4=TRUE,$Q$5=TRUE,$S$2=TRUE),VLOOKUP($G348,'KO Calc'!$H:$AW,4,FALSE),VLOOKUP($G348,'KO Calc'!$H354:$AW354,4,FALSE)),
IF(AND($Q$1=TRUE,$S$1=TRUE,$S$4=TRUE)=TRUE,IF(OR($Q$4=TRUE,$Q$5=TRUE,$S$2=TRUE),VLOOKUP($G348,'KO Calc'!$H:$AW,19,FALSE),VLOOKUP($G348,'KO Calc'!$H354:$AW354,19,FALSE)),IF(AND($Q$1=TRUE,$S$4=TRUE),IF(OR($Q$4=TRUE,$Q$5=TRUE,$S$2=TRUE),VLOOKUP($G348,'KO Calc'!$H:$AW,9,FALSE),VLOOKUP($G348,'KO Calc'!$H354:$AW354,9,FALSE)),
IF(AND($S$3=TRUE,$S$1=TRUE,$S$4=FALSE)=TRUE,IF(OR($Q$4=TRUE,$Q$5=TRUE,$S$2=TRUE),VLOOKUP($G348,'KO Calc'!$H:$AW,34,FALSE),VLOOKUP($G348,'KO Calc'!$H354:$AW354,34,FALSE)),IF(AND($S$3=TRUE,$S$4=FALSE),IF(OR($Q$4=TRUE,$Q$5=TRUE,$S$2=TRUE),VLOOKUP($G348,'KO Calc'!$H:$AW,24,FALSE),VLOOKUP($G348,'KO Calc'!$H354:$AW354,24,FALSE)),
IF(AND($S$3=TRUE,$S$1=TRUE,$S$4=TRUE)=TRUE,IF(OR($Q$4=TRUE,$Q$5=TRUE,$S$2=TRUE),VLOOKUP($G348,'KO Calc'!$H:$AW,39,FALSE),VLOOKUP($G348,'KO Calc'!$H354:$AW354,39,FALSE)),IF(AND($S$3=TRUE,$S$4=TRUE),IF(OR($Q$4=TRUE,$Q$5=TRUE,$S$2=TRUE),VLOOKUP($G348,'KO Calc'!$H:$AW,29,FALSE),VLOOKUP($G348,'KO Calc'!$H354:$AW354,29,FALSE)))))))))))))</f>
        <v>-</v>
      </c>
      <c r="K348" s="36" t="str">
        <f>IF(AND($Q$1=FALSE,$S$3=FALSE),"-",IF(AND($Q$1=TRUE,$S$3=TRUE),"-",IF(AND($Q$1=FALSE,$S$3=FALSE),"-",IF(AND($Q$1=TRUE,$S$1=TRUE,$S$4=FALSE)=TRUE,IF(OR($Q$4=TRUE,$Q$5=TRUE,$S$2=TRUE),VLOOKUP($G348,'KO Calc'!$H:$AW,15,FALSE),VLOOKUP($G348,'KO Calc'!$H354:$AW354,15,FALSE)),IF(AND($Q$1=TRUE,$S$4=FALSE),IF(OR($Q$4=TRUE,$Q$5=TRUE,$S$2=TRUE),VLOOKUP($G348,'KO Calc'!$H:$AW,5,FALSE),VLOOKUP($G348,'KO Calc'!$H354:$AW354,5,FALSE)),
IF(AND($Q$1=TRUE,$S$1=TRUE,$S$4=TRUE)=TRUE,IF(OR($Q$4=TRUE,$Q$5=TRUE,$S$2=TRUE),VLOOKUP($G348,'KO Calc'!$H:$AW,20,FALSE),VLOOKUP($G348,'KO Calc'!$H354:$AW354,20,FALSE)),IF(AND($Q$1=TRUE,$S$4=TRUE),IF(OR($Q$4=TRUE,$Q$5=TRUE,$S$2=TRUE),VLOOKUP($G348,'KO Calc'!$H:$AW,10,FALSE),VLOOKUP($G348,'KO Calc'!$H354:$AW354,10,FALSE)),
IF(AND($S$3=TRUE,$S$1=TRUE,$S$4=FALSE)=TRUE,IF(OR($Q$4=TRUE,$Q$5=TRUE,$S$2=TRUE),VLOOKUP($G348,'KO Calc'!$H:$AW,35,FALSE),VLOOKUP($G348,'KO Calc'!$H354:$AW354,35,FALSE)),IF(AND($S$3=TRUE,$S$4=FALSE),IF(OR($Q$4=TRUE,$Q$5=TRUE,$S$2=TRUE),VLOOKUP($G348,'KO Calc'!$H:$AW,25,FALSE),VLOOKUP($G348,'KO Calc'!$H354:$AW354,25,FALSE)),
IF(AND($S$3=TRUE,$S$1=TRUE,$S$4=TRUE)=TRUE,IF(OR($Q$4=TRUE,$Q$5=TRUE,$S$2=TRUE),VLOOKUP($G348,'KO Calc'!$H:$AW,40,FALSE),VLOOKUP($G348,'KO Calc'!$H354:$AW354,40,FALSE)),IF(AND($S$3=TRUE,$S$4=TRUE),IF(OR($Q$4=TRUE,$Q$5=TRUE,$S$2=TRUE),VLOOKUP($G348,'KO Calc'!$H:$AW,30,FALSE),VLOOKUP($G348,'KO Calc'!$H354:$AW354,30,FALSE)))))))))))))</f>
        <v>-</v>
      </c>
      <c r="L348" s="36" t="str">
        <f>IFERROR(IF(AND($Q$1=FALSE,$S$3=FALSE),"-",VLOOKUP($E348,'Status Thresholds'!$E:$AU,43,FALSE)),"-")</f>
        <v>-</v>
      </c>
      <c r="M348" s="36" t="str">
        <f>IFERROR(IF(AND($Q$1=FALSE,$S$3=FALSE),"-",VLOOKUP($E348,'Status Thresholds'!$E:$AU,41,FALSE)),"-")</f>
        <v>-</v>
      </c>
      <c r="N348" s="36" t="str">
        <f>IFERROR(IF(AND($Q$1=FALSE,$S$3=FALSE),"-",VLOOKUP($E348,'Status Thresholds'!$E:$AU,42,FALSE)),"-")</f>
        <v>-</v>
      </c>
    </row>
    <row r="349" spans="1:14" x14ac:dyDescent="0.25">
      <c r="B349" s="64" t="str">
        <f>VLOOKUP(C349,'Status Thresholds'!B:C,2,FALSE)</f>
        <v>MHGen</v>
      </c>
      <c r="C349" s="46" t="str">
        <f>IF(ISBLANK('KO Calc'!C345)=TRUE,"",'KO Calc'!C345)</f>
        <v>Glavenus</v>
      </c>
      <c r="D349" s="78"/>
      <c r="E349" s="62" t="str">
        <f t="shared" si="9"/>
        <v>Glavenus</v>
      </c>
      <c r="F349" t="s">
        <v>11</v>
      </c>
      <c r="G349" s="36" t="str">
        <f t="shared" si="10"/>
        <v>GlavenusCrag 1</v>
      </c>
      <c r="H349" s="36" t="str">
        <f>IF(AND($Q$1=FALSE,$S$3=FALSE),"-",IF(AND($Q$1=TRUE,$S$3=TRUE),"-",IF(AND($Q$1=FALSE,$S$3=FALSE),"-",IF(AND($Q$1=TRUE,$S$1=TRUE,$S$4=FALSE)=TRUE,IF(OR($Q$4=TRUE,$Q$5=TRUE,$S$2=TRUE),VLOOKUP($G349,'KO Calc'!$H:$AW,12,FALSE),VLOOKUP($G349,'KO Calc'!$H355:$AW355,12,FALSE)),IF(AND($Q$1=TRUE,$S$4=FALSE),IF(OR($Q$4=TRUE,$Q$5=TRUE,$S$2=TRUE),VLOOKUP($G349,'KO Calc'!$H:$AW,2,FALSE),VLOOKUP($G349,'KO Calc'!$H355:$AW355,2,FALSE)),
IF(AND($Q$1=TRUE,$S$1=TRUE,$S$4=TRUE)=TRUE,IF(OR($Q$4=TRUE,$Q$5=TRUE,$S$2=TRUE),VLOOKUP($G349,'KO Calc'!$H:$AW,17,FALSE),VLOOKUP($G349,'KO Calc'!$H355:$AW355,17,FALSE)),IF(AND($Q$1=TRUE,$S$4=TRUE),IF(OR($Q$4=TRUE,$Q$5=TRUE,$S$2=TRUE),VLOOKUP($G349,'KO Calc'!$H:$AW,7,FALSE),VLOOKUP($G349,'KO Calc'!$H355:$AW355,7,FALSE)),
IF(AND($S$3=TRUE,$S$1=TRUE,$S$4=FALSE)=TRUE,IF(OR($Q$4=TRUE,$Q$5=TRUE,$S$2=TRUE),VLOOKUP($G349,'KO Calc'!$H:$AW,32,FALSE),VLOOKUP($G349,'KO Calc'!$H355:$AW355,32,FALSE)),IF(AND($S$3=TRUE,$S$4=FALSE),IF(OR($Q$4=TRUE,$Q$5=TRUE,$S$2=TRUE),VLOOKUP($G349,'KO Calc'!$H:$AW,22,FALSE),VLOOKUP($G349,'KO Calc'!$H355:$AW355,22,FALSE)),
IF(AND($S$3=TRUE,$S$1=TRUE,$S$4=TRUE)=TRUE,IF(OR($Q$4=TRUE,$Q$5=TRUE,$S$2=TRUE),VLOOKUP($G349,'KO Calc'!$H:$AW,37,FALSE),VLOOKUP($G349,'KO Calc'!$H355:$AW355,37,FALSE)),IF(AND($S$3=TRUE,$S$4=TRUE),IF(OR($Q$4=TRUE,$Q$5=TRUE,$S$2=TRUE),VLOOKUP($G349,'KO Calc'!$H:$AW,27,FALSE),VLOOKUP($G349,'KO Calc'!$H355:$AW355,27,FALSE)))))))))))))</f>
        <v>-</v>
      </c>
      <c r="I349" s="36" t="str">
        <f>IF(AND($Q$1=FALSE,$S$3=FALSE),"-",IF(AND($Q$1=TRUE,$S$3=TRUE),"-",IF(AND($Q$1=FALSE,$S$3=FALSE),"-",IF(AND($Q$1=TRUE,$S$1=TRUE,$S$4=FALSE)=TRUE,IF(OR($Q$4=TRUE,$Q$5=TRUE,$S$2=TRUE),VLOOKUP($G349,'KO Calc'!$H:$AW,13,FALSE),VLOOKUP($G349,'KO Calc'!$H355:$AW355,13,FALSE)),IF(AND($Q$1=TRUE,$S$4=FALSE),IF(OR($Q$4=TRUE,$Q$5=TRUE,$S$2=TRUE),VLOOKUP($G349,'KO Calc'!$H:$AW,3,FALSE),VLOOKUP($G349,'KO Calc'!$H355:$AW355,3,FALSE)),
IF(AND($Q$1=TRUE,$S$1=TRUE,$S$4=TRUE)=TRUE,IF(OR($Q$4=TRUE,$Q$5=TRUE,$S$2=TRUE),VLOOKUP($G349,'KO Calc'!$H:$AW,18,FALSE),VLOOKUP($G349,'KO Calc'!$H355:$AW355,18,FALSE)),IF(AND($Q$1=TRUE,$S$4=TRUE),IF(OR($Q$4=TRUE,$Q$5=TRUE,$S$2=TRUE),VLOOKUP($G349,'KO Calc'!$H:$AW,8,FALSE),VLOOKUP($G349,'KO Calc'!$H355:$AW355,8,FALSE)),
IF(AND($S$3=TRUE,$S$1=TRUE,$S$4=FALSE)=TRUE,IF(OR($Q$4=TRUE,$Q$5=TRUE,$S$2=TRUE),VLOOKUP($G349,'KO Calc'!$H:$AW,33,FALSE),VLOOKUP($G349,'KO Calc'!$H355:$AW355,33,FALSE)),IF(AND($S$3=TRUE,$S$4=FALSE),IF(OR($Q$4=TRUE,$Q$5=TRUE,$S$2=TRUE),VLOOKUP($G349,'KO Calc'!$H:$AW,23,FALSE),VLOOKUP($G349,'KO Calc'!$H355:$AW355,23,FALSE)),
IF(AND($S$3=TRUE,$S$1=TRUE,$S$4=TRUE)=TRUE,IF(OR($Q$4=TRUE,$Q$5=TRUE,$S$2=TRUE),VLOOKUP($G349,'KO Calc'!$H:$AW,38,FALSE),VLOOKUP($G349,'KO Calc'!$H355:$AW355,38,FALSE)),IF(AND($S$3=TRUE,$S$4=TRUE),IF(OR($Q$4=TRUE,$Q$5=TRUE,$S$2=TRUE),VLOOKUP($G349,'KO Calc'!$H:$AW,28,FALSE),VLOOKUP($G349,'KO Calc'!$H355:$AW355,28,FALSE)))))))))))))</f>
        <v>-</v>
      </c>
      <c r="J349" s="36" t="str">
        <f>IF(AND($Q$1=FALSE,$S$3=FALSE),"-",IF(AND($Q$1=TRUE,$S$3=TRUE),"-",IF(AND($Q$1=FALSE,$S$3=FALSE),"-",IF(AND($Q$1=TRUE,$S$1=TRUE,$S$4=FALSE)=TRUE,IF(OR($Q$4=TRUE,$Q$5=TRUE,$S$2=TRUE),VLOOKUP($G349,'KO Calc'!$H:$AW,FALSE),VLOOKUP($G349,'KO Calc'!$H355:$AW355,14,FALSE)),IF(AND($Q$1=TRUE,$S$4=FALSE),IF(OR($Q$4=TRUE,$Q$5=TRUE,$S$2=TRUE),VLOOKUP($G349,'KO Calc'!$H:$AW,4,FALSE),VLOOKUP($G349,'KO Calc'!$H355:$AW355,4,FALSE)),
IF(AND($Q$1=TRUE,$S$1=TRUE,$S$4=TRUE)=TRUE,IF(OR($Q$4=TRUE,$Q$5=TRUE,$S$2=TRUE),VLOOKUP($G349,'KO Calc'!$H:$AW,19,FALSE),VLOOKUP($G349,'KO Calc'!$H355:$AW355,19,FALSE)),IF(AND($Q$1=TRUE,$S$4=TRUE),IF(OR($Q$4=TRUE,$Q$5=TRUE,$S$2=TRUE),VLOOKUP($G349,'KO Calc'!$H:$AW,9,FALSE),VLOOKUP($G349,'KO Calc'!$H355:$AW355,9,FALSE)),
IF(AND($S$3=TRUE,$S$1=TRUE,$S$4=FALSE)=TRUE,IF(OR($Q$4=TRUE,$Q$5=TRUE,$S$2=TRUE),VLOOKUP($G349,'KO Calc'!$H:$AW,34,FALSE),VLOOKUP($G349,'KO Calc'!$H355:$AW355,34,FALSE)),IF(AND($S$3=TRUE,$S$4=FALSE),IF(OR($Q$4=TRUE,$Q$5=TRUE,$S$2=TRUE),VLOOKUP($G349,'KO Calc'!$H:$AW,24,FALSE),VLOOKUP($G349,'KO Calc'!$H355:$AW355,24,FALSE)),
IF(AND($S$3=TRUE,$S$1=TRUE,$S$4=TRUE)=TRUE,IF(OR($Q$4=TRUE,$Q$5=TRUE,$S$2=TRUE),VLOOKUP($G349,'KO Calc'!$H:$AW,39,FALSE),VLOOKUP($G349,'KO Calc'!$H355:$AW355,39,FALSE)),IF(AND($S$3=TRUE,$S$4=TRUE),IF(OR($Q$4=TRUE,$Q$5=TRUE,$S$2=TRUE),VLOOKUP($G349,'KO Calc'!$H:$AW,29,FALSE),VLOOKUP($G349,'KO Calc'!$H355:$AW355,29,FALSE)))))))))))))</f>
        <v>-</v>
      </c>
      <c r="K349" s="36" t="str">
        <f>IF(AND($Q$1=FALSE,$S$3=FALSE),"-",IF(AND($Q$1=TRUE,$S$3=TRUE),"-",IF(AND($Q$1=FALSE,$S$3=FALSE),"-",IF(AND($Q$1=TRUE,$S$1=TRUE,$S$4=FALSE)=TRUE,IF(OR($Q$4=TRUE,$Q$5=TRUE,$S$2=TRUE),VLOOKUP($G349,'KO Calc'!$H:$AW,15,FALSE),VLOOKUP($G349,'KO Calc'!$H355:$AW355,15,FALSE)),IF(AND($Q$1=TRUE,$S$4=FALSE),IF(OR($Q$4=TRUE,$Q$5=TRUE,$S$2=TRUE),VLOOKUP($G349,'KO Calc'!$H:$AW,5,FALSE),VLOOKUP($G349,'KO Calc'!$H355:$AW355,5,FALSE)),
IF(AND($Q$1=TRUE,$S$1=TRUE,$S$4=TRUE)=TRUE,IF(OR($Q$4=TRUE,$Q$5=TRUE,$S$2=TRUE),VLOOKUP($G349,'KO Calc'!$H:$AW,20,FALSE),VLOOKUP($G349,'KO Calc'!$H355:$AW355,20,FALSE)),IF(AND($Q$1=TRUE,$S$4=TRUE),IF(OR($Q$4=TRUE,$Q$5=TRUE,$S$2=TRUE),VLOOKUP($G349,'KO Calc'!$H:$AW,10,FALSE),VLOOKUP($G349,'KO Calc'!$H355:$AW355,10,FALSE)),
IF(AND($S$3=TRUE,$S$1=TRUE,$S$4=FALSE)=TRUE,IF(OR($Q$4=TRUE,$Q$5=TRUE,$S$2=TRUE),VLOOKUP($G349,'KO Calc'!$H:$AW,35,FALSE),VLOOKUP($G349,'KO Calc'!$H355:$AW355,35,FALSE)),IF(AND($S$3=TRUE,$S$4=FALSE),IF(OR($Q$4=TRUE,$Q$5=TRUE,$S$2=TRUE),VLOOKUP($G349,'KO Calc'!$H:$AW,25,FALSE),VLOOKUP($G349,'KO Calc'!$H355:$AW355,25,FALSE)),
IF(AND($S$3=TRUE,$S$1=TRUE,$S$4=TRUE)=TRUE,IF(OR($Q$4=TRUE,$Q$5=TRUE,$S$2=TRUE),VLOOKUP($G349,'KO Calc'!$H:$AW,40,FALSE),VLOOKUP($G349,'KO Calc'!$H355:$AW355,40,FALSE)),IF(AND($S$3=TRUE,$S$4=TRUE),IF(OR($Q$4=TRUE,$Q$5=TRUE,$S$2=TRUE),VLOOKUP($G349,'KO Calc'!$H:$AW,30,FALSE),VLOOKUP($G349,'KO Calc'!$H355:$AW355,30,FALSE)))))))))))))</f>
        <v>-</v>
      </c>
      <c r="L349" s="36" t="str">
        <f>IFERROR(VLOOKUP($E349,'Status Thresholds'!$E:$AS,41,FALSE),"-")</f>
        <v>-</v>
      </c>
    </row>
    <row r="350" spans="1:14" x14ac:dyDescent="0.25">
      <c r="B350" s="64" t="str">
        <f>VLOOKUP(C350,'Status Thresholds'!B:C,2,FALSE)</f>
        <v>MHGen</v>
      </c>
      <c r="C350" s="46" t="str">
        <f>IF(ISBLANK('KO Calc'!C346)=TRUE,"",'KO Calc'!C346)</f>
        <v>Glavenus</v>
      </c>
      <c r="D350" s="78"/>
      <c r="E350" s="62"/>
      <c r="G350" s="36"/>
      <c r="L350" s="36" t="str">
        <f>IFERROR(VLOOKUP($E350,'Status Thresholds'!$E:$AS,41,FALSE),"-")</f>
        <v>-</v>
      </c>
    </row>
    <row r="351" spans="1:14" s="36" customFormat="1" x14ac:dyDescent="0.25">
      <c r="B351" s="64" t="str">
        <f>VLOOKUP(C351,'Status Thresholds'!B:C,2,FALSE)</f>
        <v>MHGen</v>
      </c>
      <c r="C351" s="46" t="str">
        <f>IF(ISBLANK('KO Calc'!C347)=TRUE,"",'KO Calc'!C347)</f>
        <v>Gore Magala</v>
      </c>
      <c r="D351" s="65" t="s">
        <v>0</v>
      </c>
      <c r="E351" s="62" t="str">
        <f t="shared" si="9"/>
        <v>Gore MagalaPara</v>
      </c>
      <c r="F351" s="36" t="s">
        <v>2</v>
      </c>
      <c r="G351" s="36" t="str">
        <f t="shared" si="10"/>
        <v>Gore MagalaPara lvl 2</v>
      </c>
      <c r="H351" s="36" t="str">
        <f>IFERROR(ROUNDUP(IF(AND($Q$1=FALSE,$S$3=FALSE),"-",IF(AND($Q$1=TRUE,$S$3=TRUE),"-",IF(AND($Q$1=TRUE,$S$1=TRUE,$S$4=FALSE),VLOOKUP($E351,'Status Thresholds'!$E:$AS,12,FALSE),IF(AND($Q$1=TRUE,$S$4=FALSE),VLOOKUP($E351,'Status Thresholds'!$E:$AS,2,FALSE), IF(AND($Q$1=TRUE,$S$1=TRUE,$S$4=TRUE),VLOOKUP($E351,'Status Thresholds'!$E:$AS,17,FALSE),IF(AND($Q$1=TRUE,$S$4=TRUE),VLOOKUP($E351,'Status Thresholds'!$E:$AS,7,FALSE),IF(AND($S$3=TRUE,$S$1=TRUE,$S$4=FALSE),VLOOKUP($E351,'Status Thresholds'!$E:$AS,32,FALSE),IF(AND($S$3=TRUE,$S$4=FALSE),VLOOKUP($E351,'Status Thresholds'!$E:$AS,22,FALSE),IF(AND($S$3=TRUE,$S$1=TRUE,$S$4=TRUE),VLOOKUP($E351,'Status Thresholds'!$E:$AS,37,FALSE),IF(AND($S$3=TRUE,$S$4=TRUE),VLOOKUP($E351,'Status Thresholds'!$E:$AS,27,FALSE),""))))))))/IF(OR($Q$3=TRUE,AND($Q$2=TRUE,$Q$7=TRUE),AND($Q$3=TRUE,$Q$7=TRUE))=TRUE,'Shots and Status'!$F$5,IF((OR($Q$2,$Q$7)=TRUE),'Shots and Status'!$D$5,'Shots and Status'!$C$5)))),0),"-")</f>
        <v>-</v>
      </c>
      <c r="I351" s="36" t="str">
        <f>IFERROR(ROUNDUP(IF(AND($Q$1=FALSE,$S$3=FALSE),"-",IF(AND($Q$1=TRUE,$S$3=TRUE),"-",IF(AND($Q$1=TRUE,$S$1=TRUE,$S$4=FALSE),VLOOKUP($E351,'Status Thresholds'!$E:$AS,13,FALSE),IF(AND($Q$1=TRUE,$S$4=FALSE),VLOOKUP($E351,'Status Thresholds'!$E:$AS,3,FALSE), IF(AND($Q$1=TRUE,$S$1=TRUE,$S$4=TRUE),VLOOKUP($E351,'Status Thresholds'!$E:$AS,18,FALSE),IF(AND($Q$1=TRUE,$S$4=TRUE),VLOOKUP($E351,'Status Thresholds'!$E:$AS,8,FALSE),IF(AND($S$3=TRUE,$S$1=TRUE,$S$4=FALSE),VLOOKUP($E351,'Status Thresholds'!$E:$AS,33,FALSE),IF(AND($S$3=TRUE,$S$4=FALSE),VLOOKUP($E351,'Status Thresholds'!$E:$AS,23,FALSE),IF(AND($S$3=TRUE,$S$1=TRUE,$S$4=TRUE),VLOOKUP($E351,'Status Thresholds'!$E:$AS,38,FALSE),IF(AND($S$3=TRUE,$S$4=TRUE),VLOOKUP($E351,'Status Thresholds'!$E:$AS,28,FALSE),""))))))))/IF(OR($Q$3=TRUE,AND($Q$2=TRUE,$Q$7=TRUE),AND($Q$3=TRUE,$Q$7=TRUE))=TRUE,'Shots and Status'!$F$5,IF((OR($Q$2,$Q$7)=TRUE),'Shots and Status'!$D$5,'Shots and Status'!$C$5)))),0),"-")</f>
        <v>-</v>
      </c>
      <c r="J351" s="36" t="str">
        <f>IFERROR(ROUNDUP(IF(AND($Q$1=FALSE,$S$3=FALSE),"-",IF(AND($Q$1=TRUE,$S$3=TRUE),"-",IF(AND($Q$1=TRUE,$S$1=TRUE,$S$4=FALSE),VLOOKUP($E351,'Status Thresholds'!$E:$AS,14,FALSE),IF(AND($Q$1=TRUE,$S$4=FALSE),VLOOKUP($E351,'Status Thresholds'!$E:$AS,4,FALSE), IF(AND($Q$1=TRUE,$S$1=TRUE,$S$4=TRUE),VLOOKUP($E351,'Status Thresholds'!$E:$AS,19,FALSE),IF(AND($Q$1=TRUE,$S$4=TRUE),VLOOKUP($E351,'Status Thresholds'!$E:$AS,9,FALSE),IF(AND($S$3=TRUE,$S$1=TRUE,$S$4=FALSE),VLOOKUP($E351,'Status Thresholds'!$E:$AS,34,FALSE),IF(AND($S$3=TRUE,$S$4=FALSE),VLOOKUP($E351,'Status Thresholds'!$E:$AS,24,FALSE),IF(AND($S$3=TRUE,$S$1=TRUE,$S$4=TRUE),VLOOKUP($E351,'Status Thresholds'!$E:$AS,39,FALSE),IF(AND($S$3=TRUE,$S$4=TRUE),VLOOKUP($E351,'Status Thresholds'!$E:$AS,29,FALSE),""))))))))/IF(OR($Q$3=TRUE,AND($Q$2=TRUE,$Q$7=TRUE),AND($Q$3=TRUE,$Q$7=TRUE))=TRUE,'Shots and Status'!$F$5,IF((OR($Q$2,$Q$7)=TRUE),'Shots and Status'!$D$5,'Shots and Status'!$C$5)))),0),"-")</f>
        <v>-</v>
      </c>
      <c r="K351" s="36" t="str">
        <f>IFERROR(ROUNDUP(IF(AND($Q$1=FALSE,$S$3=FALSE),"-",IF(AND($Q$1=TRUE,$S$3=TRUE),"-",IF(AND($Q$1=TRUE,$S$1=TRUE,$S$4=FALSE),VLOOKUP($E351,'Status Thresholds'!$E:$AS,15,FALSE),IF(AND($Q$1=TRUE,$S$4=FALSE),VLOOKUP($E351,'Status Thresholds'!$E:$AS,5,FALSE), IF(AND($Q$1=TRUE,$S$1=TRUE,$S$4=TRUE),VLOOKUP($E351,'Status Thresholds'!$E:$AS,20,FALSE),IF(AND($Q$1=TRUE,$S$4=TRUE),VLOOKUP($E351,'Status Thresholds'!$E:$AS,10,FALSE),IF(AND($S$3=TRUE,$S$1=TRUE,$S$4=FALSE),VLOOKUP($E351,'Status Thresholds'!$E:$AS,35,FALSE),IF(AND($S$3=TRUE,$S$4=FALSE),VLOOKUP($E351,'Status Thresholds'!$E:$AS,25,FALSE),IF(AND($S$3=TRUE,$S$1=TRUE,$S$4=TRUE),VLOOKUP($E351,'Status Thresholds'!$E:$AS,40,FALSE),IF(AND($S$3=TRUE,$S$4=TRUE),VLOOKUP($E351,'Status Thresholds'!$E:$AS,30,FALSE),""))))))))/IF(OR($Q$3=TRUE,AND($Q$2=TRUE,$Q$7=TRUE),AND($Q$3=TRUE,$Q$7=TRUE))=TRUE,'Shots and Status'!$F$5,IF((OR($Q$2,$Q$7)=TRUE),'Shots and Status'!$D$5,'Shots and Status'!$C$5)))),0),"-")</f>
        <v>-</v>
      </c>
      <c r="L351" s="36" t="str">
        <f>IFERROR(IF(AND($Q$1=FALSE,$S$3=FALSE),"-",VLOOKUP($E351,'Status Thresholds'!$E:$AU,41,FALSE)),"-")</f>
        <v>-</v>
      </c>
      <c r="M351" s="36" t="str">
        <f>IFERROR(IF(AND($Q$1=FALSE,$S$3=FALSE),"-",VLOOKUP($E351,'Status Thresholds'!$E:$AU,42,FALSE)),"-")</f>
        <v>-</v>
      </c>
      <c r="N351" s="36" t="str">
        <f>IFERROR(IF(AND($Q$1=FALSE,$S$3=FALSE),"-",VLOOKUP($E351,'Status Thresholds'!$E:$AU,43,FALSE)),"-")</f>
        <v>-</v>
      </c>
    </row>
    <row r="352" spans="1:14" s="59" customFormat="1" x14ac:dyDescent="0.25">
      <c r="A352" s="46"/>
      <c r="B352" s="64" t="str">
        <f>VLOOKUP(C352,'Status Thresholds'!B:C,2,FALSE)</f>
        <v>MHGen</v>
      </c>
      <c r="C352" s="46" t="str">
        <f>IF(ISBLANK('KO Calc'!C348)=TRUE,"",'KO Calc'!C348)</f>
        <v>Gore Magala</v>
      </c>
      <c r="D352" s="60" t="s">
        <v>32</v>
      </c>
      <c r="E352" s="62" t="str">
        <f t="shared" si="9"/>
        <v>Gore MagalaSleep</v>
      </c>
      <c r="F352" s="59" t="s">
        <v>5</v>
      </c>
      <c r="G352" s="36" t="str">
        <f t="shared" si="10"/>
        <v>Gore MagalaSleep lvl 2</v>
      </c>
      <c r="H352" s="36" t="str">
        <f>IFERROR(ROUNDUP(IF(AND($Q$1=FALSE,$S$3=FALSE),"-",IF(AND($Q$1=TRUE,$S$3=TRUE),"-",IF(AND($Q$1=TRUE,$S$1=TRUE,$S$4=FALSE),VLOOKUP($E352,'Status Thresholds'!$E:$AS,12,FALSE),IF(AND($Q$1=TRUE,$S$4=FALSE),VLOOKUP($E352,'Status Thresholds'!$E:$AS,2,FALSE), IF(AND($Q$1=TRUE,$S$1=TRUE,$S$4=TRUE),VLOOKUP($E352,'Status Thresholds'!$E:$AS,17,FALSE),IF(AND($Q$1=TRUE,$S$4=TRUE),VLOOKUP($E352,'Status Thresholds'!$E:$AS,7,FALSE),IF(AND($S$3=TRUE,$S$1=TRUE,$S$4=FALSE),VLOOKUP($E352,'Status Thresholds'!$E:$AS,32,FALSE),IF(AND($S$3=TRUE,$S$4=FALSE),VLOOKUP($E352,'Status Thresholds'!$E:$AS,22,FALSE),IF(AND($S$3=TRUE,$S$1=TRUE,$S$4=TRUE),VLOOKUP($E352,'Status Thresholds'!$E:$AS,37,FALSE),IF(AND($S$3=TRUE,$S$4=TRUE),VLOOKUP($E352,'Status Thresholds'!$E:$AS,27,FALSE),""))))))))/IF(OR($Q$3=TRUE,AND($Q$2=TRUE,$Q$7=TRUE),AND($Q$3=TRUE,$Q$7=TRUE))=TRUE,'Shots and Status'!$F$5,IF((OR($Q$2,$Q$7)=TRUE),'Shots and Status'!$D$5,'Shots and Status'!$C$5)))),0),"-")</f>
        <v>-</v>
      </c>
      <c r="I352" s="36" t="str">
        <f>IFERROR(ROUNDUP(IF(AND($Q$1=FALSE,$S$3=FALSE),"-",IF(AND($Q$1=TRUE,$S$3=TRUE),"-",IF(AND($Q$1=TRUE,$S$1=TRUE,$S$4=FALSE),VLOOKUP($E352,'Status Thresholds'!$E:$AS,13,FALSE),IF(AND($Q$1=TRUE,$S$4=FALSE),VLOOKUP($E352,'Status Thresholds'!$E:$AS,3,FALSE), IF(AND($Q$1=TRUE,$S$1=TRUE,$S$4=TRUE),VLOOKUP($E352,'Status Thresholds'!$E:$AS,18,FALSE),IF(AND($Q$1=TRUE,$S$4=TRUE),VLOOKUP($E352,'Status Thresholds'!$E:$AS,8,FALSE),IF(AND($S$3=TRUE,$S$1=TRUE,$S$4=FALSE),VLOOKUP($E352,'Status Thresholds'!$E:$AS,33,FALSE),IF(AND($S$3=TRUE,$S$4=FALSE),VLOOKUP($E352,'Status Thresholds'!$E:$AS,23,FALSE),IF(AND($S$3=TRUE,$S$1=TRUE,$S$4=TRUE),VLOOKUP($E352,'Status Thresholds'!$E:$AS,38,FALSE),IF(AND($S$3=TRUE,$S$4=TRUE),VLOOKUP($E352,'Status Thresholds'!$E:$AS,28,FALSE),""))))))))/IF(OR($Q$3=TRUE,AND($Q$2=TRUE,$Q$7=TRUE),AND($Q$3=TRUE,$Q$7=TRUE))=TRUE,'Shots and Status'!$F$5,IF((OR($Q$2,$Q$7)=TRUE),'Shots and Status'!$D$5,'Shots and Status'!$C$5)))),0),"-")</f>
        <v>-</v>
      </c>
      <c r="J352" s="36" t="str">
        <f>IFERROR(ROUNDUP(IF(AND($Q$1=FALSE,$S$3=FALSE),"-",IF(AND($Q$1=TRUE,$S$3=TRUE),"-",IF(AND($Q$1=TRUE,$S$1=TRUE,$S$4=FALSE),VLOOKUP($E352,'Status Thresholds'!$E:$AS,14,FALSE),IF(AND($Q$1=TRUE,$S$4=FALSE),VLOOKUP($E352,'Status Thresholds'!$E:$AS,4,FALSE), IF(AND($Q$1=TRUE,$S$1=TRUE,$S$4=TRUE),VLOOKUP($E352,'Status Thresholds'!$E:$AS,19,FALSE),IF(AND($Q$1=TRUE,$S$4=TRUE),VLOOKUP($E352,'Status Thresholds'!$E:$AS,9,FALSE),IF(AND($S$3=TRUE,$S$1=TRUE,$S$4=FALSE),VLOOKUP($E352,'Status Thresholds'!$E:$AS,34,FALSE),IF(AND($S$3=TRUE,$S$4=FALSE),VLOOKUP($E352,'Status Thresholds'!$E:$AS,24,FALSE),IF(AND($S$3=TRUE,$S$1=TRUE,$S$4=TRUE),VLOOKUP($E352,'Status Thresholds'!$E:$AS,39,FALSE),IF(AND($S$3=TRUE,$S$4=TRUE),VLOOKUP($E352,'Status Thresholds'!$E:$AS,29,FALSE),""))))))))/IF(OR($Q$3=TRUE,AND($Q$2=TRUE,$Q$7=TRUE),AND($Q$3=TRUE,$Q$7=TRUE))=TRUE,'Shots and Status'!$F$5,IF((OR($Q$2,$Q$7)=TRUE),'Shots and Status'!$D$5,'Shots and Status'!$C$5)))),0),"-")</f>
        <v>-</v>
      </c>
      <c r="K352" s="36" t="str">
        <f>IFERROR(ROUNDUP(IF(AND($Q$1=FALSE,$S$3=FALSE),"-",IF(AND($Q$1=TRUE,$S$3=TRUE),"-",IF(AND($Q$1=TRUE,$S$1=TRUE,$S$4=FALSE),VLOOKUP($E352,'Status Thresholds'!$E:$AS,15,FALSE),IF(AND($Q$1=TRUE,$S$4=FALSE),VLOOKUP($E352,'Status Thresholds'!$E:$AS,5,FALSE), IF(AND($Q$1=TRUE,$S$1=TRUE,$S$4=TRUE),VLOOKUP($E352,'Status Thresholds'!$E:$AS,20,FALSE),IF(AND($Q$1=TRUE,$S$4=TRUE),VLOOKUP($E352,'Status Thresholds'!$E:$AS,10,FALSE),IF(AND($S$3=TRUE,$S$1=TRUE,$S$4=FALSE),VLOOKUP($E352,'Status Thresholds'!$E:$AS,35,FALSE),IF(AND($S$3=TRUE,$S$4=FALSE),VLOOKUP($E352,'Status Thresholds'!$E:$AS,25,FALSE),IF(AND($S$3=TRUE,$S$1=TRUE,$S$4=TRUE),VLOOKUP($E352,'Status Thresholds'!$E:$AS,40,FALSE),IF(AND($S$3=TRUE,$S$4=TRUE),VLOOKUP($E352,'Status Thresholds'!$E:$AS,30,FALSE),""))))))))/IF(OR($Q$3=TRUE,AND($Q$2=TRUE,$Q$7=TRUE),AND($Q$3=TRUE,$Q$7=TRUE))=TRUE,'Shots and Status'!$F$5,IF((OR($Q$2,$Q$7)=TRUE),'Shots and Status'!$D$5,'Shots and Status'!$C$5)))),0),"-")</f>
        <v>-</v>
      </c>
      <c r="L352" s="36" t="str">
        <f>IFERROR(IF(AND($Q$1=FALSE,$S$3=FALSE),"-",VLOOKUP($E352,'Status Thresholds'!$E:$AU,41,FALSE)),"-")</f>
        <v>-</v>
      </c>
      <c r="M352" s="36" t="str">
        <f>IFERROR(IF(AND($Q$1=FALSE,$S$3=FALSE),"-",VLOOKUP($E352,'Status Thresholds'!$E:$AU,42,FALSE)),"-")</f>
        <v>-</v>
      </c>
      <c r="N352" s="36" t="str">
        <f>IFERROR(IF(AND($Q$1=FALSE,$S$3=FALSE),"-",VLOOKUP($E352,'Status Thresholds'!$E:$AU,43,FALSE)),"-")</f>
        <v>-</v>
      </c>
    </row>
    <row r="353" spans="1:14" s="59" customFormat="1" x14ac:dyDescent="0.25">
      <c r="A353" s="46"/>
      <c r="B353" s="64" t="str">
        <f>VLOOKUP(C353,'Status Thresholds'!B:C,2,FALSE)</f>
        <v>MHGen</v>
      </c>
      <c r="C353" s="46" t="str">
        <f>IF(ISBLANK('KO Calc'!C349)=TRUE,"",'KO Calc'!C349)</f>
        <v>Gore Magala</v>
      </c>
      <c r="D353" s="58" t="s">
        <v>33</v>
      </c>
      <c r="E353" s="62" t="str">
        <f t="shared" si="9"/>
        <v>Gore MagalaPoison</v>
      </c>
      <c r="F353" s="59" t="s">
        <v>6</v>
      </c>
      <c r="G353" s="36" t="str">
        <f t="shared" si="10"/>
        <v>Gore MagalaPoison lvl 2</v>
      </c>
      <c r="H353" s="36" t="str">
        <f>IFERROR(ROUNDUP(IF(AND($Q$1=FALSE,$S$3=FALSE),"-",IF(AND($Q$1=TRUE,$S$3=TRUE),"-",IF(AND($Q$1=TRUE,$S$1=TRUE,$S$4=FALSE),VLOOKUP($E353,'Status Thresholds'!$E:$AS,12,FALSE),IF(AND($Q$1=TRUE,$S$4=FALSE),VLOOKUP($E353,'Status Thresholds'!$E:$AS,2,FALSE), IF(AND($Q$1=TRUE,$S$1=TRUE,$S$4=TRUE),VLOOKUP($E353,'Status Thresholds'!$E:$AS,17,FALSE),IF(AND($Q$1=TRUE,$S$4=TRUE),VLOOKUP($E353,'Status Thresholds'!$E:$AS,7,FALSE),IF(AND($S$3=TRUE,$S$1=TRUE,$S$4=FALSE),VLOOKUP($E353,'Status Thresholds'!$E:$AS,32,FALSE),IF(AND($S$3=TRUE,$S$4=FALSE),VLOOKUP($E353,'Status Thresholds'!$E:$AS,22,FALSE),IF(AND($S$3=TRUE,$S$1=TRUE,$S$4=TRUE),VLOOKUP($E353,'Status Thresholds'!$E:$AS,37,FALSE),IF(AND($S$3=TRUE,$S$4=TRUE),VLOOKUP($E353,'Status Thresholds'!$E:$AS,27,FALSE),""))))))))/IF(OR($Q$3=TRUE,AND($Q$2=TRUE,$Q$7=TRUE),AND($Q$3=TRUE,$Q$7=TRUE))=TRUE,'Shots and Status'!$F$5,IF((OR($Q$2,$Q$7)=TRUE),'Shots and Status'!$D$5,'Shots and Status'!$C$5)))),0),"-")</f>
        <v>-</v>
      </c>
      <c r="I353" s="36" t="str">
        <f>IFERROR(ROUNDUP(IF(AND($Q$1=FALSE,$S$3=FALSE),"-",IF(AND($Q$1=TRUE,$S$3=TRUE),"-",IF(AND($Q$1=TRUE,$S$1=TRUE,$S$4=FALSE),VLOOKUP($E353,'Status Thresholds'!$E:$AS,13,FALSE),IF(AND($Q$1=TRUE,$S$4=FALSE),VLOOKUP($E353,'Status Thresholds'!$E:$AS,3,FALSE), IF(AND($Q$1=TRUE,$S$1=TRUE,$S$4=TRUE),VLOOKUP($E353,'Status Thresholds'!$E:$AS,18,FALSE),IF(AND($Q$1=TRUE,$S$4=TRUE),VLOOKUP($E353,'Status Thresholds'!$E:$AS,8,FALSE),IF(AND($S$3=TRUE,$S$1=TRUE,$S$4=FALSE),VLOOKUP($E353,'Status Thresholds'!$E:$AS,33,FALSE),IF(AND($S$3=TRUE,$S$4=FALSE),VLOOKUP($E353,'Status Thresholds'!$E:$AS,23,FALSE),IF(AND($S$3=TRUE,$S$1=TRUE,$S$4=TRUE),VLOOKUP($E353,'Status Thresholds'!$E:$AS,38,FALSE),IF(AND($S$3=TRUE,$S$4=TRUE),VLOOKUP($E353,'Status Thresholds'!$E:$AS,28,FALSE),""))))))))/IF(OR($Q$3=TRUE,AND($Q$2=TRUE,$Q$7=TRUE),AND($Q$3=TRUE,$Q$7=TRUE))=TRUE,'Shots and Status'!$F$5,IF((OR($Q$2,$Q$7)=TRUE),'Shots and Status'!$D$5,'Shots and Status'!$C$5)))),0),"-")</f>
        <v>-</v>
      </c>
      <c r="J353" s="36" t="str">
        <f>IFERROR(ROUNDUP(IF(AND($Q$1=FALSE,$S$3=FALSE),"-",IF(AND($Q$1=TRUE,$S$3=TRUE),"-",IF(AND($Q$1=TRUE,$S$1=TRUE,$S$4=FALSE),VLOOKUP($E353,'Status Thresholds'!$E:$AS,14,FALSE),IF(AND($Q$1=TRUE,$S$4=FALSE),VLOOKUP($E353,'Status Thresholds'!$E:$AS,4,FALSE), IF(AND($Q$1=TRUE,$S$1=TRUE,$S$4=TRUE),VLOOKUP($E353,'Status Thresholds'!$E:$AS,19,FALSE),IF(AND($Q$1=TRUE,$S$4=TRUE),VLOOKUP($E353,'Status Thresholds'!$E:$AS,9,FALSE),IF(AND($S$3=TRUE,$S$1=TRUE,$S$4=FALSE),VLOOKUP($E353,'Status Thresholds'!$E:$AS,34,FALSE),IF(AND($S$3=TRUE,$S$4=FALSE),VLOOKUP($E353,'Status Thresholds'!$E:$AS,24,FALSE),IF(AND($S$3=TRUE,$S$1=TRUE,$S$4=TRUE),VLOOKUP($E353,'Status Thresholds'!$E:$AS,39,FALSE),IF(AND($S$3=TRUE,$S$4=TRUE),VLOOKUP($E353,'Status Thresholds'!$E:$AS,29,FALSE),""))))))))/IF(OR($Q$3=TRUE,AND($Q$2=TRUE,$Q$7=TRUE),AND($Q$3=TRUE,$Q$7=TRUE))=TRUE,'Shots and Status'!$F$5,IF((OR($Q$2,$Q$7)=TRUE),'Shots and Status'!$D$5,'Shots and Status'!$C$5)))),0),"-")</f>
        <v>-</v>
      </c>
      <c r="K353" s="36" t="str">
        <f>IFERROR(ROUNDUP(IF(AND($Q$1=FALSE,$S$3=FALSE),"-",IF(AND($Q$1=TRUE,$S$3=TRUE),"-",IF(AND($Q$1=TRUE,$S$1=TRUE,$S$4=FALSE),VLOOKUP($E353,'Status Thresholds'!$E:$AS,15,FALSE),IF(AND($Q$1=TRUE,$S$4=FALSE),VLOOKUP($E353,'Status Thresholds'!$E:$AS,5,FALSE), IF(AND($Q$1=TRUE,$S$1=TRUE,$S$4=TRUE),VLOOKUP($E353,'Status Thresholds'!$E:$AS,20,FALSE),IF(AND($Q$1=TRUE,$S$4=TRUE),VLOOKUP($E353,'Status Thresholds'!$E:$AS,10,FALSE),IF(AND($S$3=TRUE,$S$1=TRUE,$S$4=FALSE),VLOOKUP($E353,'Status Thresholds'!$E:$AS,35,FALSE),IF(AND($S$3=TRUE,$S$4=FALSE),VLOOKUP($E353,'Status Thresholds'!$E:$AS,25,FALSE),IF(AND($S$3=TRUE,$S$1=TRUE,$S$4=TRUE),VLOOKUP($E353,'Status Thresholds'!$E:$AS,40,FALSE),IF(AND($S$3=TRUE,$S$4=TRUE),VLOOKUP($E353,'Status Thresholds'!$E:$AS,30,FALSE),""))))))))/IF(OR($Q$3=TRUE,AND($Q$2=TRUE,$Q$7=TRUE),AND($Q$3=TRUE,$Q$7=TRUE))=TRUE,'Shots and Status'!$F$5,IF((OR($Q$2,$Q$7)=TRUE),'Shots and Status'!$D$5,'Shots and Status'!$C$5)))),0),"-")</f>
        <v>-</v>
      </c>
      <c r="L353" s="36" t="str">
        <f>IFERROR(IF(AND($Q$1=FALSE,$S$3=FALSE),"-",VLOOKUP($E353,'Status Thresholds'!$E:$AU,41,FALSE)),"-")</f>
        <v>-</v>
      </c>
      <c r="M353" s="36" t="str">
        <f>IFERROR(IF(AND($Q$1=FALSE,$S$3=FALSE),"-",VLOOKUP($E353,'Status Thresholds'!$E:$AU,42,FALSE)),"-")</f>
        <v>-</v>
      </c>
      <c r="N353" s="36" t="str">
        <f>IFERROR(IF(AND($Q$1=FALSE,$S$3=FALSE),"-",VLOOKUP($E353,'Status Thresholds'!$E:$AU,43,FALSE)),"-")</f>
        <v>-</v>
      </c>
    </row>
    <row r="354" spans="1:14" s="36" customFormat="1" x14ac:dyDescent="0.25">
      <c r="A354" s="46"/>
      <c r="B354" s="64" t="str">
        <f>VLOOKUP(C354,'Status Thresholds'!B:C,2,FALSE)</f>
        <v>MHGen</v>
      </c>
      <c r="C354" s="46" t="str">
        <f>IF(ISBLANK('KO Calc'!C350)=TRUE,"",'KO Calc'!C350)</f>
        <v>Gore Magala</v>
      </c>
      <c r="D354" s="57" t="s">
        <v>22</v>
      </c>
      <c r="E354" s="62" t="str">
        <f t="shared" si="9"/>
        <v>Gore MagalaExhaust</v>
      </c>
      <c r="F354" s="36" t="s">
        <v>8</v>
      </c>
      <c r="G354" s="36" t="str">
        <f t="shared" si="10"/>
        <v>Gore MagalaExhaust lvl 2</v>
      </c>
      <c r="H354" s="36" t="str">
        <f>IFERROR(ROUNDUP(IF(AND($Q$1=FALSE,$S$3=FALSE),"-",IF(AND($Q$1=TRUE,$S$3=TRUE),"-",IF(AND($Q$1=TRUE,$S$1=TRUE,$S$4=FALSE),VLOOKUP($E354,'Status Thresholds'!$E:$AS,12,FALSE),IF(AND($Q$1=TRUE,$S$4=FALSE),VLOOKUP($E354,'Status Thresholds'!$E:$AS,2,FALSE), IF(AND($Q$1=TRUE,$S$1=TRUE,$S$4=TRUE),VLOOKUP($E354,'Status Thresholds'!$E:$AS,17,FALSE),IF(AND($Q$1=TRUE,$S$4=TRUE),VLOOKUP($E354,'Status Thresholds'!$E:$AS,7,FALSE),IF(AND($S$3=TRUE,$S$1=TRUE,$S$4=FALSE),VLOOKUP($E354,'Status Thresholds'!$E:$AS,32,FALSE),IF(AND($S$3=TRUE,$S$4=FALSE),VLOOKUP($E354,'Status Thresholds'!$E:$AS,22,FALSE),IF(AND($S$3=TRUE,$S$1=TRUE,$S$4=TRUE),VLOOKUP($E354,'Status Thresholds'!$E:$AS,37,FALSE),IF(AND($S$3=TRUE,$S$4=TRUE),VLOOKUP($E354,'Status Thresholds'!$E:$AS,27,FALSE),""))))))))/IF(OR($Q$3=TRUE,AND($Q$2=TRUE,$Q$7=TRUE),AND($Q$3=TRUE,$Q$7=TRUE))=TRUE,'Shots and Status'!$F$5,IF((OR($Q$2,$Q$7)=TRUE),'Shots and Status'!$D$5,'Shots and Status'!$C$5)))),0),"-")</f>
        <v>-</v>
      </c>
      <c r="I354" s="36" t="str">
        <f>IFERROR(ROUNDUP(IF(AND($Q$1=FALSE,$S$3=FALSE),"-",IF(AND($Q$1=TRUE,$S$3=TRUE),"-",IF(AND($Q$1=TRUE,$S$1=TRUE,$S$4=FALSE),VLOOKUP($E354,'Status Thresholds'!$E:$AS,13,FALSE),IF(AND($Q$1=TRUE,$S$4=FALSE),VLOOKUP($E354,'Status Thresholds'!$E:$AS,3,FALSE), IF(AND($Q$1=TRUE,$S$1=TRUE,$S$4=TRUE),VLOOKUP($E354,'Status Thresholds'!$E:$AS,18,FALSE),IF(AND($Q$1=TRUE,$S$4=TRUE),VLOOKUP($E354,'Status Thresholds'!$E:$AS,8,FALSE),IF(AND($S$3=TRUE,$S$1=TRUE,$S$4=FALSE),VLOOKUP($E354,'Status Thresholds'!$E:$AS,33,FALSE),IF(AND($S$3=TRUE,$S$4=FALSE),VLOOKUP($E354,'Status Thresholds'!$E:$AS,23,FALSE),IF(AND($S$3=TRUE,$S$1=TRUE,$S$4=TRUE),VLOOKUP($E354,'Status Thresholds'!$E:$AS,38,FALSE),IF(AND($S$3=TRUE,$S$4=TRUE),VLOOKUP($E354,'Status Thresholds'!$E:$AS,28,FALSE),""))))))))/IF(OR($Q$3=TRUE,AND($Q$2=TRUE,$Q$7=TRUE),AND($Q$3=TRUE,$Q$7=TRUE))=TRUE,'Shots and Status'!$F$5,IF((OR($Q$2,$Q$7)=TRUE),'Shots and Status'!$D$5,'Shots and Status'!$C$5)))),0),"-")</f>
        <v>-</v>
      </c>
      <c r="J354" s="36" t="str">
        <f>IFERROR(ROUNDUP(IF(AND($Q$1=FALSE,$S$3=FALSE),"-",IF(AND($Q$1=TRUE,$S$3=TRUE),"-",IF(AND($Q$1=TRUE,$S$1=TRUE,$S$4=FALSE),VLOOKUP($E354,'Status Thresholds'!$E:$AS,14,FALSE),IF(AND($Q$1=TRUE,$S$4=FALSE),VLOOKUP($E354,'Status Thresholds'!$E:$AS,4,FALSE), IF(AND($Q$1=TRUE,$S$1=TRUE,$S$4=TRUE),VLOOKUP($E354,'Status Thresholds'!$E:$AS,19,FALSE),IF(AND($Q$1=TRUE,$S$4=TRUE),VLOOKUP($E354,'Status Thresholds'!$E:$AS,9,FALSE),IF(AND($S$3=TRUE,$S$1=TRUE,$S$4=FALSE),VLOOKUP($E354,'Status Thresholds'!$E:$AS,34,FALSE),IF(AND($S$3=TRUE,$S$4=FALSE),VLOOKUP($E354,'Status Thresholds'!$E:$AS,24,FALSE),IF(AND($S$3=TRUE,$S$1=TRUE,$S$4=TRUE),VLOOKUP($E354,'Status Thresholds'!$E:$AS,39,FALSE),IF(AND($S$3=TRUE,$S$4=TRUE),VLOOKUP($E354,'Status Thresholds'!$E:$AS,29,FALSE),""))))))))/IF(OR($Q$3=TRUE,AND($Q$2=TRUE,$Q$7=TRUE),AND($Q$3=TRUE,$Q$7=TRUE))=TRUE,'Shots and Status'!$F$5,IF((OR($Q$2,$Q$7)=TRUE),'Shots and Status'!$D$5,'Shots and Status'!$C$5)))),0),"-")</f>
        <v>-</v>
      </c>
      <c r="K354" s="36" t="str">
        <f>IFERROR(ROUNDUP(IF(AND($Q$1=FALSE,$S$3=FALSE),"-",IF(AND($Q$1=TRUE,$S$3=TRUE),"-",IF(AND($Q$1=TRUE,$S$1=TRUE,$S$4=FALSE),VLOOKUP($E354,'Status Thresholds'!$E:$AS,15,FALSE),IF(AND($Q$1=TRUE,$S$4=FALSE),VLOOKUP($E354,'Status Thresholds'!$E:$AS,5,FALSE), IF(AND($Q$1=TRUE,$S$1=TRUE,$S$4=TRUE),VLOOKUP($E354,'Status Thresholds'!$E:$AS,20,FALSE),IF(AND($Q$1=TRUE,$S$4=TRUE),VLOOKUP($E354,'Status Thresholds'!$E:$AS,10,FALSE),IF(AND($S$3=TRUE,$S$1=TRUE,$S$4=FALSE),VLOOKUP($E354,'Status Thresholds'!$E:$AS,35,FALSE),IF(AND($S$3=TRUE,$S$4=FALSE),VLOOKUP($E354,'Status Thresholds'!$E:$AS,25,FALSE),IF(AND($S$3=TRUE,$S$1=TRUE,$S$4=TRUE),VLOOKUP($E354,'Status Thresholds'!$E:$AS,40,FALSE),IF(AND($S$3=TRUE,$S$4=TRUE),VLOOKUP($E354,'Status Thresholds'!$E:$AS,30,FALSE),""))))))))/IF(OR($Q$3=TRUE,AND($Q$2=TRUE,$Q$7=TRUE),AND($Q$3=TRUE,$Q$7=TRUE))=TRUE,'Shots and Status'!$F$5,IF((OR($Q$2,$Q$7)=TRUE),'Shots and Status'!$D$5,'Shots and Status'!$C$5)))),0),"-")</f>
        <v>-</v>
      </c>
      <c r="L354" s="36" t="str">
        <f>IFERROR(IF(AND($Q$1=FALSE,$S$3=FALSE),"-",VLOOKUP($E354,'Status Thresholds'!$E:$AU,41,FALSE)),"-")</f>
        <v>-</v>
      </c>
      <c r="M354" s="36" t="str">
        <f>IFERROR(IF(AND($Q$1=FALSE,$S$3=FALSE),"-",VLOOKUP($E354,'Status Thresholds'!$E:$AU,42,FALSE)),"-")</f>
        <v>-</v>
      </c>
      <c r="N354" s="36" t="str">
        <f>IFERROR(IF(AND($Q$1=FALSE,$S$3=FALSE),"-",VLOOKUP($E354,'Status Thresholds'!$E:$AU,43,FALSE)),"-")</f>
        <v>-</v>
      </c>
    </row>
    <row r="355" spans="1:14" s="36" customFormat="1" x14ac:dyDescent="0.25">
      <c r="A355" s="46"/>
      <c r="B355" s="64" t="str">
        <f>VLOOKUP(C355,'Status Thresholds'!B:C,2,FALSE)</f>
        <v>MHGen</v>
      </c>
      <c r="C355" s="46" t="str">
        <f>IF(ISBLANK('KO Calc'!C351)=TRUE,"",'KO Calc'!C351)</f>
        <v>Gore Magala</v>
      </c>
      <c r="D355" s="67" t="s">
        <v>14</v>
      </c>
      <c r="E355" s="62" t="str">
        <f t="shared" si="9"/>
        <v>Gore MagalaKO</v>
      </c>
      <c r="F355" s="36" t="s">
        <v>21</v>
      </c>
      <c r="G355" s="36" t="str">
        <f t="shared" si="10"/>
        <v>Gore MagalaTriblast</v>
      </c>
      <c r="H355" s="36" t="str">
        <f>IF(AND($Q$1=FALSE,$S$3=FALSE),"-",IF(AND($Q$1=TRUE,$S$3=TRUE),"-",IF(AND($Q$1=FALSE,$S$3=FALSE),"-",IF(AND($Q$1=TRUE,$S$1=TRUE,$S$4=FALSE)=TRUE,IF(OR($Q$4=TRUE,$Q$5=TRUE,$S$2=TRUE),VLOOKUP($G355,'KO Calc'!$H:$AW,12,FALSE),VLOOKUP($G355,'KO Calc'!$H361:$AW361,12,FALSE)),IF(AND($Q$1=TRUE,$S$4=FALSE),IF(OR($Q$4=TRUE,$Q$5=TRUE,$S$2=TRUE),VLOOKUP($G355,'KO Calc'!$H:$AW,2,FALSE),VLOOKUP($G355,'KO Calc'!$H361:$AW361,2,FALSE)),
IF(AND($Q$1=TRUE,$S$1=TRUE,$S$4=TRUE)=TRUE,IF(OR($Q$4=TRUE,$Q$5=TRUE,$S$2=TRUE),VLOOKUP($G355,'KO Calc'!$H:$AW,17,FALSE),VLOOKUP($G355,'KO Calc'!$H361:$AW361,17,FALSE)),IF(AND($Q$1=TRUE,$S$4=TRUE),IF(OR($Q$4=TRUE,$Q$5=TRUE,$S$2=TRUE),VLOOKUP($G355,'KO Calc'!$H:$AW,7,FALSE),VLOOKUP($G355,'KO Calc'!$H361:$AW361,7,FALSE)),
IF(AND($S$3=TRUE,$S$1=TRUE,$S$4=FALSE)=TRUE,IF(OR($Q$4=TRUE,$Q$5=TRUE,$S$2=TRUE),VLOOKUP($G355,'KO Calc'!$H:$AW,32,FALSE),VLOOKUP($G355,'KO Calc'!$H361:$AW361,32,FALSE)),IF(AND($S$3=TRUE,$S$4=FALSE),IF(OR($Q$4=TRUE,$Q$5=TRUE,$S$2=TRUE),VLOOKUP($G355,'KO Calc'!$H:$AW,22,FALSE),VLOOKUP($G355,'KO Calc'!$H361:$AW361,22,FALSE)),
IF(AND($S$3=TRUE,$S$1=TRUE,$S$4=TRUE)=TRUE,IF(OR($Q$4=TRUE,$Q$5=TRUE,$S$2=TRUE),VLOOKUP($G355,'KO Calc'!$H:$AW,37,FALSE),VLOOKUP($G355,'KO Calc'!$H361:$AW361,37,FALSE)),IF(AND($S$3=TRUE,$S$4=TRUE),IF(OR($Q$4=TRUE,$Q$5=TRUE,$S$2=TRUE),VLOOKUP($G355,'KO Calc'!$H:$AW,27,FALSE),VLOOKUP($G355,'KO Calc'!$H361:$AW361,27,FALSE)))))))))))))</f>
        <v>-</v>
      </c>
      <c r="I355" s="36" t="str">
        <f>IF(AND($Q$1=FALSE,$S$3=FALSE),"-",IF(AND($Q$1=TRUE,$S$3=TRUE),"-",IF(AND($Q$1=FALSE,$S$3=FALSE),"-",IF(AND($Q$1=TRUE,$S$1=TRUE,$S$4=FALSE)=TRUE,IF(OR($Q$4=TRUE,$Q$5=TRUE,$S$2=TRUE),VLOOKUP($G355,'KO Calc'!$H:$AW,13,FALSE),VLOOKUP($G355,'KO Calc'!$H361:$AW361,13,FALSE)),IF(AND($Q$1=TRUE,$S$4=FALSE),IF(OR($Q$4=TRUE,$Q$5=TRUE,$S$2=TRUE),VLOOKUP($G355,'KO Calc'!$H:$AW,3,FALSE),VLOOKUP($G355,'KO Calc'!$H361:$AW361,3,FALSE)),
IF(AND($Q$1=TRUE,$S$1=TRUE,$S$4=TRUE)=TRUE,IF(OR($Q$4=TRUE,$Q$5=TRUE,$S$2=TRUE),VLOOKUP($G355,'KO Calc'!$H:$AW,18,FALSE),VLOOKUP($G355,'KO Calc'!$H361:$AW361,18,FALSE)),IF(AND($Q$1=TRUE,$S$4=TRUE),IF(OR($Q$4=TRUE,$Q$5=TRUE,$S$2=TRUE),VLOOKUP($G355,'KO Calc'!$H:$AW,8,FALSE),VLOOKUP($G355,'KO Calc'!$H361:$AW361,8,FALSE)),
IF(AND($S$3=TRUE,$S$1=TRUE,$S$4=FALSE)=TRUE,IF(OR($Q$4=TRUE,$Q$5=TRUE,$S$2=TRUE),VLOOKUP($G355,'KO Calc'!$H:$AW,33,FALSE),VLOOKUP($G355,'KO Calc'!$H361:$AW361,33,FALSE)),IF(AND($S$3=TRUE,$S$4=FALSE),IF(OR($Q$4=TRUE,$Q$5=TRUE,$S$2=TRUE),VLOOKUP($G355,'KO Calc'!$H:$AW,23,FALSE),VLOOKUP($G355,'KO Calc'!$H361:$AW361,23,FALSE)),
IF(AND($S$3=TRUE,$S$1=TRUE,$S$4=TRUE)=TRUE,IF(OR($Q$4=TRUE,$Q$5=TRUE,$S$2=TRUE),VLOOKUP($G355,'KO Calc'!$H:$AW,38,FALSE),VLOOKUP($G355,'KO Calc'!$H361:$AW361,38,FALSE)),IF(AND($S$3=TRUE,$S$4=TRUE),IF(OR($Q$4=TRUE,$Q$5=TRUE,$S$2=TRUE),VLOOKUP($G355,'KO Calc'!$H:$AW,28,FALSE),VLOOKUP($G355,'KO Calc'!$H361:$AW361,28,FALSE)))))))))))))</f>
        <v>-</v>
      </c>
      <c r="J355" s="36" t="str">
        <f>IF(AND($Q$1=FALSE,$S$3=FALSE),"-",IF(AND($Q$1=TRUE,$S$3=TRUE),"-",IF(AND($Q$1=FALSE,$S$3=FALSE),"-",IF(AND($Q$1=TRUE,$S$1=TRUE,$S$4=FALSE)=TRUE,IF(OR($Q$4=TRUE,$Q$5=TRUE,$S$2=TRUE),VLOOKUP($G355,'KO Calc'!$H:$AW,FALSE),VLOOKUP($G355,'KO Calc'!$H361:$AW361,14,FALSE)),IF(AND($Q$1=TRUE,$S$4=FALSE),IF(OR($Q$4=TRUE,$Q$5=TRUE,$S$2=TRUE),VLOOKUP($G355,'KO Calc'!$H:$AW,4,FALSE),VLOOKUP($G355,'KO Calc'!$H361:$AW361,4,FALSE)),
IF(AND($Q$1=TRUE,$S$1=TRUE,$S$4=TRUE)=TRUE,IF(OR($Q$4=TRUE,$Q$5=TRUE,$S$2=TRUE),VLOOKUP($G355,'KO Calc'!$H:$AW,19,FALSE),VLOOKUP($G355,'KO Calc'!$H361:$AW361,19,FALSE)),IF(AND($Q$1=TRUE,$S$4=TRUE),IF(OR($Q$4=TRUE,$Q$5=TRUE,$S$2=TRUE),VLOOKUP($G355,'KO Calc'!$H:$AW,9,FALSE),VLOOKUP($G355,'KO Calc'!$H361:$AW361,9,FALSE)),
IF(AND($S$3=TRUE,$S$1=TRUE,$S$4=FALSE)=TRUE,IF(OR($Q$4=TRUE,$Q$5=TRUE,$S$2=TRUE),VLOOKUP($G355,'KO Calc'!$H:$AW,34,FALSE),VLOOKUP($G355,'KO Calc'!$H361:$AW361,34,FALSE)),IF(AND($S$3=TRUE,$S$4=FALSE),IF(OR($Q$4=TRUE,$Q$5=TRUE,$S$2=TRUE),VLOOKUP($G355,'KO Calc'!$H:$AW,24,FALSE),VLOOKUP($G355,'KO Calc'!$H361:$AW361,24,FALSE)),
IF(AND($S$3=TRUE,$S$1=TRUE,$S$4=TRUE)=TRUE,IF(OR($Q$4=TRUE,$Q$5=TRUE,$S$2=TRUE),VLOOKUP($G355,'KO Calc'!$H:$AW,39,FALSE),VLOOKUP($G355,'KO Calc'!$H361:$AW361,39,FALSE)),IF(AND($S$3=TRUE,$S$4=TRUE),IF(OR($Q$4=TRUE,$Q$5=TRUE,$S$2=TRUE),VLOOKUP($G355,'KO Calc'!$H:$AW,29,FALSE),VLOOKUP($G355,'KO Calc'!$H361:$AW361,29,FALSE)))))))))))))</f>
        <v>-</v>
      </c>
      <c r="K355" s="36" t="str">
        <f>IF(AND($Q$1=FALSE,$S$3=FALSE),"-",IF(AND($Q$1=TRUE,$S$3=TRUE),"-",IF(AND($Q$1=FALSE,$S$3=FALSE),"-",IF(AND($Q$1=TRUE,$S$1=TRUE,$S$4=FALSE)=TRUE,IF(OR($Q$4=TRUE,$Q$5=TRUE,$S$2=TRUE),VLOOKUP($G355,'KO Calc'!$H:$AW,15,FALSE),VLOOKUP($G355,'KO Calc'!$H361:$AW361,15,FALSE)),IF(AND($Q$1=TRUE,$S$4=FALSE),IF(OR($Q$4=TRUE,$Q$5=TRUE,$S$2=TRUE),VLOOKUP($G355,'KO Calc'!$H:$AW,5,FALSE),VLOOKUP($G355,'KO Calc'!$H361:$AW361,5,FALSE)),
IF(AND($Q$1=TRUE,$S$1=TRUE,$S$4=TRUE)=TRUE,IF(OR($Q$4=TRUE,$Q$5=TRUE,$S$2=TRUE),VLOOKUP($G355,'KO Calc'!$H:$AW,20,FALSE),VLOOKUP($G355,'KO Calc'!$H361:$AW361,20,FALSE)),IF(AND($Q$1=TRUE,$S$4=TRUE),IF(OR($Q$4=TRUE,$Q$5=TRUE,$S$2=TRUE),VLOOKUP($G355,'KO Calc'!$H:$AW,10,FALSE),VLOOKUP($G355,'KO Calc'!$H361:$AW361,10,FALSE)),
IF(AND($S$3=TRUE,$S$1=TRUE,$S$4=FALSE)=TRUE,IF(OR($Q$4=TRUE,$Q$5=TRUE,$S$2=TRUE),VLOOKUP($G355,'KO Calc'!$H:$AW,35,FALSE),VLOOKUP($G355,'KO Calc'!$H361:$AW361,35,FALSE)),IF(AND($S$3=TRUE,$S$4=FALSE),IF(OR($Q$4=TRUE,$Q$5=TRUE,$S$2=TRUE),VLOOKUP($G355,'KO Calc'!$H:$AW,25,FALSE),VLOOKUP($G355,'KO Calc'!$H361:$AW361,25,FALSE)),
IF(AND($S$3=TRUE,$S$1=TRUE,$S$4=TRUE)=TRUE,IF(OR($Q$4=TRUE,$Q$5=TRUE,$S$2=TRUE),VLOOKUP($G355,'KO Calc'!$H:$AW,40,FALSE),VLOOKUP($G355,'KO Calc'!$H361:$AW361,40,FALSE)),IF(AND($S$3=TRUE,$S$4=TRUE),IF(OR($Q$4=TRUE,$Q$5=TRUE,$S$2=TRUE),VLOOKUP($G355,'KO Calc'!$H:$AW,30,FALSE),VLOOKUP($G355,'KO Calc'!$H361:$AW361,30,FALSE)))))))))))))</f>
        <v>-</v>
      </c>
      <c r="L355" s="36" t="str">
        <f>IFERROR(IF(AND($Q$1=FALSE,$S$3=FALSE),"-",VLOOKUP($E355,'Status Thresholds'!$E:$AU,41,FALSE)),"-")</f>
        <v>-</v>
      </c>
      <c r="M355" s="36" t="str">
        <f>IFERROR(IF(AND($Q$1=FALSE,$S$3=FALSE),"-",VLOOKUP($E355,'Status Thresholds'!$E:$AU,42,FALSE)),"-")</f>
        <v>-</v>
      </c>
      <c r="N355" s="36" t="str">
        <f>IFERROR(IF(AND($Q$1=FALSE,$S$3=FALSE),"-",VLOOKUP($E355,'Status Thresholds'!$E:$AU,43,FALSE)),"-")</f>
        <v>-</v>
      </c>
    </row>
    <row r="356" spans="1:14" x14ac:dyDescent="0.25">
      <c r="B356" s="64" t="str">
        <f>VLOOKUP(C356,'Status Thresholds'!B:C,2,FALSE)</f>
        <v>MHGen</v>
      </c>
      <c r="C356" s="46" t="str">
        <f>IF(ISBLANK('KO Calc'!C352)=TRUE,"",'KO Calc'!C352)</f>
        <v>Gore Magala</v>
      </c>
      <c r="D356" s="78" t="s">
        <v>207</v>
      </c>
      <c r="E356" s="62" t="str">
        <f t="shared" si="9"/>
        <v>Gore MagalaShock Trap</v>
      </c>
      <c r="F356" t="s">
        <v>13</v>
      </c>
      <c r="G356" s="36" t="str">
        <f t="shared" si="10"/>
        <v>Gore MagalaCrag 3</v>
      </c>
      <c r="H356" s="36" t="str">
        <f>IF(AND($Q$1=FALSE,$S$3=FALSE),"-",IF(AND($Q$1=TRUE,$S$3=TRUE),"-",IF(AND($Q$1=FALSE,$S$3=FALSE),"-",IF(AND($Q$1=TRUE,$S$1=TRUE,$S$4=FALSE)=TRUE,IF(OR($Q$4=TRUE,$Q$5=TRUE,$S$2=TRUE),VLOOKUP($G356,'KO Calc'!$H:$AW,12,FALSE),VLOOKUP($G356,'KO Calc'!$H362:$AW362,12,FALSE)),IF(AND($Q$1=TRUE,$S$4=FALSE),IF(OR($Q$4=TRUE,$Q$5=TRUE,$S$2=TRUE),VLOOKUP($G356,'KO Calc'!$H:$AW,2,FALSE),VLOOKUP($G356,'KO Calc'!$H362:$AW362,2,FALSE)),
IF(AND($Q$1=TRUE,$S$1=TRUE,$S$4=TRUE)=TRUE,IF(OR($Q$4=TRUE,$Q$5=TRUE,$S$2=TRUE),VLOOKUP($G356,'KO Calc'!$H:$AW,17,FALSE),VLOOKUP($G356,'KO Calc'!$H362:$AW362,17,FALSE)),IF(AND($Q$1=TRUE,$S$4=TRUE),IF(OR($Q$4=TRUE,$Q$5=TRUE,$S$2=TRUE),VLOOKUP($G356,'KO Calc'!$H:$AW,7,FALSE),VLOOKUP($G356,'KO Calc'!$H362:$AW362,7,FALSE)),
IF(AND($S$3=TRUE,$S$1=TRUE,$S$4=FALSE)=TRUE,IF(OR($Q$4=TRUE,$Q$5=TRUE,$S$2=TRUE),VLOOKUP($G356,'KO Calc'!$H:$AW,32,FALSE),VLOOKUP($G356,'KO Calc'!$H362:$AW362,32,FALSE)),IF(AND($S$3=TRUE,$S$4=FALSE),IF(OR($Q$4=TRUE,$Q$5=TRUE,$S$2=TRUE),VLOOKUP($G356,'KO Calc'!$H:$AW,22,FALSE),VLOOKUP($G356,'KO Calc'!$H362:$AW362,22,FALSE)),
IF(AND($S$3=TRUE,$S$1=TRUE,$S$4=TRUE)=TRUE,IF(OR($Q$4=TRUE,$Q$5=TRUE,$S$2=TRUE),VLOOKUP($G356,'KO Calc'!$H:$AW,37,FALSE),VLOOKUP($G356,'KO Calc'!$H362:$AW362,37,FALSE)),IF(AND($S$3=TRUE,$S$4=TRUE),IF(OR($Q$4=TRUE,$Q$5=TRUE,$S$2=TRUE),VLOOKUP($G356,'KO Calc'!$H:$AW,27,FALSE),VLOOKUP($G356,'KO Calc'!$H362:$AW362,27,FALSE)))))))))))))</f>
        <v>-</v>
      </c>
      <c r="I356" s="36" t="str">
        <f>IF(AND($Q$1=FALSE,$S$3=FALSE),"-",IF(AND($Q$1=TRUE,$S$3=TRUE),"-",IF(AND($Q$1=FALSE,$S$3=FALSE),"-",IF(AND($Q$1=TRUE,$S$1=TRUE,$S$4=FALSE)=TRUE,IF(OR($Q$4=TRUE,$Q$5=TRUE,$S$2=TRUE),VLOOKUP($G356,'KO Calc'!$H:$AW,13,FALSE),VLOOKUP($G356,'KO Calc'!$H362:$AW362,13,FALSE)),IF(AND($Q$1=TRUE,$S$4=FALSE),IF(OR($Q$4=TRUE,$Q$5=TRUE,$S$2=TRUE),VLOOKUP($G356,'KO Calc'!$H:$AW,3,FALSE),VLOOKUP($G356,'KO Calc'!$H362:$AW362,3,FALSE)),
IF(AND($Q$1=TRUE,$S$1=TRUE,$S$4=TRUE)=TRUE,IF(OR($Q$4=TRUE,$Q$5=TRUE,$S$2=TRUE),VLOOKUP($G356,'KO Calc'!$H:$AW,18,FALSE),VLOOKUP($G356,'KO Calc'!$H362:$AW362,18,FALSE)),IF(AND($Q$1=TRUE,$S$4=TRUE),IF(OR($Q$4=TRUE,$Q$5=TRUE,$S$2=TRUE),VLOOKUP($G356,'KO Calc'!$H:$AW,8,FALSE),VLOOKUP($G356,'KO Calc'!$H362:$AW362,8,FALSE)),
IF(AND($S$3=TRUE,$S$1=TRUE,$S$4=FALSE)=TRUE,IF(OR($Q$4=TRUE,$Q$5=TRUE,$S$2=TRUE),VLOOKUP($G356,'KO Calc'!$H:$AW,33,FALSE),VLOOKUP($G356,'KO Calc'!$H362:$AW362,33,FALSE)),IF(AND($S$3=TRUE,$S$4=FALSE),IF(OR($Q$4=TRUE,$Q$5=TRUE,$S$2=TRUE),VLOOKUP($G356,'KO Calc'!$H:$AW,23,FALSE),VLOOKUP($G356,'KO Calc'!$H362:$AW362,23,FALSE)),
IF(AND($S$3=TRUE,$S$1=TRUE,$S$4=TRUE)=TRUE,IF(OR($Q$4=TRUE,$Q$5=TRUE,$S$2=TRUE),VLOOKUP($G356,'KO Calc'!$H:$AW,38,FALSE),VLOOKUP($G356,'KO Calc'!$H362:$AW362,38,FALSE)),IF(AND($S$3=TRUE,$S$4=TRUE),IF(OR($Q$4=TRUE,$Q$5=TRUE,$S$2=TRUE),VLOOKUP($G356,'KO Calc'!$H:$AW,28,FALSE),VLOOKUP($G356,'KO Calc'!$H362:$AW362,28,FALSE)))))))))))))</f>
        <v>-</v>
      </c>
      <c r="J356" s="36" t="str">
        <f>IF(AND($Q$1=FALSE,$S$3=FALSE),"-",IF(AND($Q$1=TRUE,$S$3=TRUE),"-",IF(AND($Q$1=FALSE,$S$3=FALSE),"-",IF(AND($Q$1=TRUE,$S$1=TRUE,$S$4=FALSE)=TRUE,IF(OR($Q$4=TRUE,$Q$5=TRUE,$S$2=TRUE),VLOOKUP($G356,'KO Calc'!$H:$AW,FALSE),VLOOKUP($G356,'KO Calc'!$H362:$AW362,14,FALSE)),IF(AND($Q$1=TRUE,$S$4=FALSE),IF(OR($Q$4=TRUE,$Q$5=TRUE,$S$2=TRUE),VLOOKUP($G356,'KO Calc'!$H:$AW,4,FALSE),VLOOKUP($G356,'KO Calc'!$H362:$AW362,4,FALSE)),
IF(AND($Q$1=TRUE,$S$1=TRUE,$S$4=TRUE)=TRUE,IF(OR($Q$4=TRUE,$Q$5=TRUE,$S$2=TRUE),VLOOKUP($G356,'KO Calc'!$H:$AW,19,FALSE),VLOOKUP($G356,'KO Calc'!$H362:$AW362,19,FALSE)),IF(AND($Q$1=TRUE,$S$4=TRUE),IF(OR($Q$4=TRUE,$Q$5=TRUE,$S$2=TRUE),VLOOKUP($G356,'KO Calc'!$H:$AW,9,FALSE),VLOOKUP($G356,'KO Calc'!$H362:$AW362,9,FALSE)),
IF(AND($S$3=TRUE,$S$1=TRUE,$S$4=FALSE)=TRUE,IF(OR($Q$4=TRUE,$Q$5=TRUE,$S$2=TRUE),VLOOKUP($G356,'KO Calc'!$H:$AW,34,FALSE),VLOOKUP($G356,'KO Calc'!$H362:$AW362,34,FALSE)),IF(AND($S$3=TRUE,$S$4=FALSE),IF(OR($Q$4=TRUE,$Q$5=TRUE,$S$2=TRUE),VLOOKUP($G356,'KO Calc'!$H:$AW,24,FALSE),VLOOKUP($G356,'KO Calc'!$H362:$AW362,24,FALSE)),
IF(AND($S$3=TRUE,$S$1=TRUE,$S$4=TRUE)=TRUE,IF(OR($Q$4=TRUE,$Q$5=TRUE,$S$2=TRUE),VLOOKUP($G356,'KO Calc'!$H:$AW,39,FALSE),VLOOKUP($G356,'KO Calc'!$H362:$AW362,39,FALSE)),IF(AND($S$3=TRUE,$S$4=TRUE),IF(OR($Q$4=TRUE,$Q$5=TRUE,$S$2=TRUE),VLOOKUP($G356,'KO Calc'!$H:$AW,29,FALSE),VLOOKUP($G356,'KO Calc'!$H362:$AW362,29,FALSE)))))))))))))</f>
        <v>-</v>
      </c>
      <c r="K356" s="36" t="str">
        <f>IF(AND($Q$1=FALSE,$S$3=FALSE),"-",IF(AND($Q$1=TRUE,$S$3=TRUE),"-",IF(AND($Q$1=FALSE,$S$3=FALSE),"-",IF(AND($Q$1=TRUE,$S$1=TRUE,$S$4=FALSE)=TRUE,IF(OR($Q$4=TRUE,$Q$5=TRUE,$S$2=TRUE),VLOOKUP($G356,'KO Calc'!$H:$AW,15,FALSE),VLOOKUP($G356,'KO Calc'!$H362:$AW362,15,FALSE)),IF(AND($Q$1=TRUE,$S$4=FALSE),IF(OR($Q$4=TRUE,$Q$5=TRUE,$S$2=TRUE),VLOOKUP($G356,'KO Calc'!$H:$AW,5,FALSE),VLOOKUP($G356,'KO Calc'!$H362:$AW362,5,FALSE)),
IF(AND($Q$1=TRUE,$S$1=TRUE,$S$4=TRUE)=TRUE,IF(OR($Q$4=TRUE,$Q$5=TRUE,$S$2=TRUE),VLOOKUP($G356,'KO Calc'!$H:$AW,20,FALSE),VLOOKUP($G356,'KO Calc'!$H362:$AW362,20,FALSE)),IF(AND($Q$1=TRUE,$S$4=TRUE),IF(OR($Q$4=TRUE,$Q$5=TRUE,$S$2=TRUE),VLOOKUP($G356,'KO Calc'!$H:$AW,10,FALSE),VLOOKUP($G356,'KO Calc'!$H362:$AW362,10,FALSE)),
IF(AND($S$3=TRUE,$S$1=TRUE,$S$4=FALSE)=TRUE,IF(OR($Q$4=TRUE,$Q$5=TRUE,$S$2=TRUE),VLOOKUP($G356,'KO Calc'!$H:$AW,35,FALSE),VLOOKUP($G356,'KO Calc'!$H362:$AW362,35,FALSE)),IF(AND($S$3=TRUE,$S$4=FALSE),IF(OR($Q$4=TRUE,$Q$5=TRUE,$S$2=TRUE),VLOOKUP($G356,'KO Calc'!$H:$AW,25,FALSE),VLOOKUP($G356,'KO Calc'!$H362:$AW362,25,FALSE)),
IF(AND($S$3=TRUE,$S$1=TRUE,$S$4=TRUE)=TRUE,IF(OR($Q$4=TRUE,$Q$5=TRUE,$S$2=TRUE),VLOOKUP($G356,'KO Calc'!$H:$AW,40,FALSE),VLOOKUP($G356,'KO Calc'!$H362:$AW362,40,FALSE)),IF(AND($S$3=TRUE,$S$4=TRUE),IF(OR($Q$4=TRUE,$Q$5=TRUE,$S$2=TRUE),VLOOKUP($G356,'KO Calc'!$H:$AW,30,FALSE),VLOOKUP($G356,'KO Calc'!$H362:$AW362,30,FALSE)))))))))))))</f>
        <v>-</v>
      </c>
      <c r="L356" s="36" t="str">
        <f>IFERROR(IF(AND($Q$1=FALSE,$S$3=FALSE),"-",VLOOKUP($E356,'Status Thresholds'!$E:$AU,43,FALSE)),"-")</f>
        <v>-</v>
      </c>
      <c r="M356" s="36" t="str">
        <f>IFERROR(IF(AND($Q$1=FALSE,$S$3=FALSE),"-",VLOOKUP($E356,'Status Thresholds'!$E:$AU,41,FALSE)),"-")</f>
        <v>-</v>
      </c>
      <c r="N356" s="36" t="str">
        <f>IFERROR(IF(AND($Q$1=FALSE,$S$3=FALSE),"-",VLOOKUP($E356,'Status Thresholds'!$E:$AU,42,FALSE)),"-")</f>
        <v>-</v>
      </c>
    </row>
    <row r="357" spans="1:14" x14ac:dyDescent="0.25">
      <c r="B357" s="64" t="str">
        <f>VLOOKUP(C357,'Status Thresholds'!B:C,2,FALSE)</f>
        <v>MHGen</v>
      </c>
      <c r="C357" s="46" t="str">
        <f>IF(ISBLANK('KO Calc'!C353)=TRUE,"",'KO Calc'!C353)</f>
        <v>Gore Magala</v>
      </c>
      <c r="D357" s="78" t="s">
        <v>213</v>
      </c>
      <c r="E357" s="62" t="str">
        <f t="shared" si="9"/>
        <v>Gore MagalaPitfall Trap</v>
      </c>
      <c r="F357" t="s">
        <v>12</v>
      </c>
      <c r="G357" s="36" t="str">
        <f t="shared" si="10"/>
        <v>Gore MagalaCrag 2</v>
      </c>
      <c r="H357" s="36" t="str">
        <f>IF(AND($Q$1=FALSE,$S$3=FALSE),"-",IF(AND($Q$1=TRUE,$S$3=TRUE),"-",IF(AND($Q$1=FALSE,$S$3=FALSE),"-",IF(AND($Q$1=TRUE,$S$1=TRUE,$S$4=FALSE)=TRUE,IF(OR($Q$4=TRUE,$Q$5=TRUE,$S$2=TRUE),VLOOKUP($G357,'KO Calc'!$H:$AW,12,FALSE),VLOOKUP($G357,'KO Calc'!$H363:$AW363,12,FALSE)),IF(AND($Q$1=TRUE,$S$4=FALSE),IF(OR($Q$4=TRUE,$Q$5=TRUE,$S$2=TRUE),VLOOKUP($G357,'KO Calc'!$H:$AW,2,FALSE),VLOOKUP($G357,'KO Calc'!$H363:$AW363,2,FALSE)),
IF(AND($Q$1=TRUE,$S$1=TRUE,$S$4=TRUE)=TRUE,IF(OR($Q$4=TRUE,$Q$5=TRUE,$S$2=TRUE),VLOOKUP($G357,'KO Calc'!$H:$AW,17,FALSE),VLOOKUP($G357,'KO Calc'!$H363:$AW363,17,FALSE)),IF(AND($Q$1=TRUE,$S$4=TRUE),IF(OR($Q$4=TRUE,$Q$5=TRUE,$S$2=TRUE),VLOOKUP($G357,'KO Calc'!$H:$AW,7,FALSE),VLOOKUP($G357,'KO Calc'!$H363:$AW363,7,FALSE)),
IF(AND($S$3=TRUE,$S$1=TRUE,$S$4=FALSE)=TRUE,IF(OR($Q$4=TRUE,$Q$5=TRUE,$S$2=TRUE),VLOOKUP($G357,'KO Calc'!$H:$AW,32,FALSE),VLOOKUP($G357,'KO Calc'!$H363:$AW363,32,FALSE)),IF(AND($S$3=TRUE,$S$4=FALSE),IF(OR($Q$4=TRUE,$Q$5=TRUE,$S$2=TRUE),VLOOKUP($G357,'KO Calc'!$H:$AW,22,FALSE),VLOOKUP($G357,'KO Calc'!$H363:$AW363,22,FALSE)),
IF(AND($S$3=TRUE,$S$1=TRUE,$S$4=TRUE)=TRUE,IF(OR($Q$4=TRUE,$Q$5=TRUE,$S$2=TRUE),VLOOKUP($G357,'KO Calc'!$H:$AW,37,FALSE),VLOOKUP($G357,'KO Calc'!$H363:$AW363,37,FALSE)),IF(AND($S$3=TRUE,$S$4=TRUE),IF(OR($Q$4=TRUE,$Q$5=TRUE,$S$2=TRUE),VLOOKUP($G357,'KO Calc'!$H:$AW,27,FALSE),VLOOKUP($G357,'KO Calc'!$H363:$AW363,27,FALSE)))))))))))))</f>
        <v>-</v>
      </c>
      <c r="I357" s="36" t="str">
        <f>IF(AND($Q$1=FALSE,$S$3=FALSE),"-",IF(AND($Q$1=TRUE,$S$3=TRUE),"-",IF(AND($Q$1=FALSE,$S$3=FALSE),"-",IF(AND($Q$1=TRUE,$S$1=TRUE,$S$4=FALSE)=TRUE,IF(OR($Q$4=TRUE,$Q$5=TRUE,$S$2=TRUE),VLOOKUP($G357,'KO Calc'!$H:$AW,13,FALSE),VLOOKUP($G357,'KO Calc'!$H363:$AW363,13,FALSE)),IF(AND($Q$1=TRUE,$S$4=FALSE),IF(OR($Q$4=TRUE,$Q$5=TRUE,$S$2=TRUE),VLOOKUP($G357,'KO Calc'!$H:$AW,3,FALSE),VLOOKUP($G357,'KO Calc'!$H363:$AW363,3,FALSE)),
IF(AND($Q$1=TRUE,$S$1=TRUE,$S$4=TRUE)=TRUE,IF(OR($Q$4=TRUE,$Q$5=TRUE,$S$2=TRUE),VLOOKUP($G357,'KO Calc'!$H:$AW,18,FALSE),VLOOKUP($G357,'KO Calc'!$H363:$AW363,18,FALSE)),IF(AND($Q$1=TRUE,$S$4=TRUE),IF(OR($Q$4=TRUE,$Q$5=TRUE,$S$2=TRUE),VLOOKUP($G357,'KO Calc'!$H:$AW,8,FALSE),VLOOKUP($G357,'KO Calc'!$H363:$AW363,8,FALSE)),
IF(AND($S$3=TRUE,$S$1=TRUE,$S$4=FALSE)=TRUE,IF(OR($Q$4=TRUE,$Q$5=TRUE,$S$2=TRUE),VLOOKUP($G357,'KO Calc'!$H:$AW,33,FALSE),VLOOKUP($G357,'KO Calc'!$H363:$AW363,33,FALSE)),IF(AND($S$3=TRUE,$S$4=FALSE),IF(OR($Q$4=TRUE,$Q$5=TRUE,$S$2=TRUE),VLOOKUP($G357,'KO Calc'!$H:$AW,23,FALSE),VLOOKUP($G357,'KO Calc'!$H363:$AW363,23,FALSE)),
IF(AND($S$3=TRUE,$S$1=TRUE,$S$4=TRUE)=TRUE,IF(OR($Q$4=TRUE,$Q$5=TRUE,$S$2=TRUE),VLOOKUP($G357,'KO Calc'!$H:$AW,38,FALSE),VLOOKUP($G357,'KO Calc'!$H363:$AW363,38,FALSE)),IF(AND($S$3=TRUE,$S$4=TRUE),IF(OR($Q$4=TRUE,$Q$5=TRUE,$S$2=TRUE),VLOOKUP($G357,'KO Calc'!$H:$AW,28,FALSE),VLOOKUP($G357,'KO Calc'!$H363:$AW363,28,FALSE)))))))))))))</f>
        <v>-</v>
      </c>
      <c r="J357" s="36" t="str">
        <f>IF(AND($Q$1=FALSE,$S$3=FALSE),"-",IF(AND($Q$1=TRUE,$S$3=TRUE),"-",IF(AND($Q$1=FALSE,$S$3=FALSE),"-",IF(AND($Q$1=TRUE,$S$1=TRUE,$S$4=FALSE)=TRUE,IF(OR($Q$4=TRUE,$Q$5=TRUE,$S$2=TRUE),VLOOKUP($G357,'KO Calc'!$H:$AW,FALSE),VLOOKUP($G357,'KO Calc'!$H363:$AW363,14,FALSE)),IF(AND($Q$1=TRUE,$S$4=FALSE),IF(OR($Q$4=TRUE,$Q$5=TRUE,$S$2=TRUE),VLOOKUP($G357,'KO Calc'!$H:$AW,4,FALSE),VLOOKUP($G357,'KO Calc'!$H363:$AW363,4,FALSE)),
IF(AND($Q$1=TRUE,$S$1=TRUE,$S$4=TRUE)=TRUE,IF(OR($Q$4=TRUE,$Q$5=TRUE,$S$2=TRUE),VLOOKUP($G357,'KO Calc'!$H:$AW,19,FALSE),VLOOKUP($G357,'KO Calc'!$H363:$AW363,19,FALSE)),IF(AND($Q$1=TRUE,$S$4=TRUE),IF(OR($Q$4=TRUE,$Q$5=TRUE,$S$2=TRUE),VLOOKUP($G357,'KO Calc'!$H:$AW,9,FALSE),VLOOKUP($G357,'KO Calc'!$H363:$AW363,9,FALSE)),
IF(AND($S$3=TRUE,$S$1=TRUE,$S$4=FALSE)=TRUE,IF(OR($Q$4=TRUE,$Q$5=TRUE,$S$2=TRUE),VLOOKUP($G357,'KO Calc'!$H:$AW,34,FALSE),VLOOKUP($G357,'KO Calc'!$H363:$AW363,34,FALSE)),IF(AND($S$3=TRUE,$S$4=FALSE),IF(OR($Q$4=TRUE,$Q$5=TRUE,$S$2=TRUE),VLOOKUP($G357,'KO Calc'!$H:$AW,24,FALSE),VLOOKUP($G357,'KO Calc'!$H363:$AW363,24,FALSE)),
IF(AND($S$3=TRUE,$S$1=TRUE,$S$4=TRUE)=TRUE,IF(OR($Q$4=TRUE,$Q$5=TRUE,$S$2=TRUE),VLOOKUP($G357,'KO Calc'!$H:$AW,39,FALSE),VLOOKUP($G357,'KO Calc'!$H363:$AW363,39,FALSE)),IF(AND($S$3=TRUE,$S$4=TRUE),IF(OR($Q$4=TRUE,$Q$5=TRUE,$S$2=TRUE),VLOOKUP($G357,'KO Calc'!$H:$AW,29,FALSE),VLOOKUP($G357,'KO Calc'!$H363:$AW363,29,FALSE)))))))))))))</f>
        <v>-</v>
      </c>
      <c r="K357" s="36" t="str">
        <f>IF(AND($Q$1=FALSE,$S$3=FALSE),"-",IF(AND($Q$1=TRUE,$S$3=TRUE),"-",IF(AND($Q$1=FALSE,$S$3=FALSE),"-",IF(AND($Q$1=TRUE,$S$1=TRUE,$S$4=FALSE)=TRUE,IF(OR($Q$4=TRUE,$Q$5=TRUE,$S$2=TRUE),VLOOKUP($G357,'KO Calc'!$H:$AW,15,FALSE),VLOOKUP($G357,'KO Calc'!$H363:$AW363,15,FALSE)),IF(AND($Q$1=TRUE,$S$4=FALSE),IF(OR($Q$4=TRUE,$Q$5=TRUE,$S$2=TRUE),VLOOKUP($G357,'KO Calc'!$H:$AW,5,FALSE),VLOOKUP($G357,'KO Calc'!$H363:$AW363,5,FALSE)),
IF(AND($Q$1=TRUE,$S$1=TRUE,$S$4=TRUE)=TRUE,IF(OR($Q$4=TRUE,$Q$5=TRUE,$S$2=TRUE),VLOOKUP($G357,'KO Calc'!$H:$AW,20,FALSE),VLOOKUP($G357,'KO Calc'!$H363:$AW363,20,FALSE)),IF(AND($Q$1=TRUE,$S$4=TRUE),IF(OR($Q$4=TRUE,$Q$5=TRUE,$S$2=TRUE),VLOOKUP($G357,'KO Calc'!$H:$AW,10,FALSE),VLOOKUP($G357,'KO Calc'!$H363:$AW363,10,FALSE)),
IF(AND($S$3=TRUE,$S$1=TRUE,$S$4=FALSE)=TRUE,IF(OR($Q$4=TRUE,$Q$5=TRUE,$S$2=TRUE),VLOOKUP($G357,'KO Calc'!$H:$AW,35,FALSE),VLOOKUP($G357,'KO Calc'!$H363:$AW363,35,FALSE)),IF(AND($S$3=TRUE,$S$4=FALSE),IF(OR($Q$4=TRUE,$Q$5=TRUE,$S$2=TRUE),VLOOKUP($G357,'KO Calc'!$H:$AW,25,FALSE),VLOOKUP($G357,'KO Calc'!$H363:$AW363,25,FALSE)),
IF(AND($S$3=TRUE,$S$1=TRUE,$S$4=TRUE)=TRUE,IF(OR($Q$4=TRUE,$Q$5=TRUE,$S$2=TRUE),VLOOKUP($G357,'KO Calc'!$H:$AW,40,FALSE),VLOOKUP($G357,'KO Calc'!$H363:$AW363,40,FALSE)),IF(AND($S$3=TRUE,$S$4=TRUE),IF(OR($Q$4=TRUE,$Q$5=TRUE,$S$2=TRUE),VLOOKUP($G357,'KO Calc'!$H:$AW,30,FALSE),VLOOKUP($G357,'KO Calc'!$H363:$AW363,30,FALSE)))))))))))))</f>
        <v>-</v>
      </c>
      <c r="L357" s="36" t="str">
        <f>IFERROR(IF(AND($Q$1=FALSE,$S$3=FALSE),"-",VLOOKUP($E357,'Status Thresholds'!$E:$AU,43,FALSE)),"-")</f>
        <v>-</v>
      </c>
      <c r="M357" s="36" t="str">
        <f>IFERROR(IF(AND($Q$1=FALSE,$S$3=FALSE),"-",VLOOKUP($E357,'Status Thresholds'!$E:$AU,41,FALSE)),"-")</f>
        <v>-</v>
      </c>
      <c r="N357" s="36" t="str">
        <f>IFERROR(IF(AND($Q$1=FALSE,$S$3=FALSE),"-",VLOOKUP($E357,'Status Thresholds'!$E:$AU,42,FALSE)),"-")</f>
        <v>-</v>
      </c>
    </row>
    <row r="358" spans="1:14" x14ac:dyDescent="0.25">
      <c r="B358" s="64" t="str">
        <f>VLOOKUP(C358,'Status Thresholds'!B:C,2,FALSE)</f>
        <v>MHGen</v>
      </c>
      <c r="C358" s="46" t="str">
        <f>IF(ISBLANK('KO Calc'!C354)=TRUE,"",'KO Calc'!C354)</f>
        <v>Gore Magala</v>
      </c>
      <c r="D358" s="78"/>
      <c r="E358" s="62" t="str">
        <f t="shared" si="9"/>
        <v>Gore Magala</v>
      </c>
      <c r="F358" t="s">
        <v>11</v>
      </c>
      <c r="G358" s="36" t="str">
        <f t="shared" si="10"/>
        <v>Gore MagalaCrag 1</v>
      </c>
      <c r="H358" s="36" t="str">
        <f>IF(AND($Q$1=FALSE,$S$3=FALSE),"-",IF(AND($Q$1=TRUE,$S$3=TRUE),"-",IF(AND($Q$1=FALSE,$S$3=FALSE),"-",IF(AND($Q$1=TRUE,$S$1=TRUE,$S$4=FALSE)=TRUE,IF(OR($Q$4=TRUE,$Q$5=TRUE,$S$2=TRUE),VLOOKUP($G358,'KO Calc'!$H:$AW,12,FALSE),VLOOKUP($G358,'KO Calc'!$H364:$AW364,12,FALSE)),IF(AND($Q$1=TRUE,$S$4=FALSE),IF(OR($Q$4=TRUE,$Q$5=TRUE,$S$2=TRUE),VLOOKUP($G358,'KO Calc'!$H:$AW,2,FALSE),VLOOKUP($G358,'KO Calc'!$H364:$AW364,2,FALSE)),
IF(AND($Q$1=TRUE,$S$1=TRUE,$S$4=TRUE)=TRUE,IF(OR($Q$4=TRUE,$Q$5=TRUE,$S$2=TRUE),VLOOKUP($G358,'KO Calc'!$H:$AW,17,FALSE),VLOOKUP($G358,'KO Calc'!$H364:$AW364,17,FALSE)),IF(AND($Q$1=TRUE,$S$4=TRUE),IF(OR($Q$4=TRUE,$Q$5=TRUE,$S$2=TRUE),VLOOKUP($G358,'KO Calc'!$H:$AW,7,FALSE),VLOOKUP($G358,'KO Calc'!$H364:$AW364,7,FALSE)),
IF(AND($S$3=TRUE,$S$1=TRUE,$S$4=FALSE)=TRUE,IF(OR($Q$4=TRUE,$Q$5=TRUE,$S$2=TRUE),VLOOKUP($G358,'KO Calc'!$H:$AW,32,FALSE),VLOOKUP($G358,'KO Calc'!$H364:$AW364,32,FALSE)),IF(AND($S$3=TRUE,$S$4=FALSE),IF(OR($Q$4=TRUE,$Q$5=TRUE,$S$2=TRUE),VLOOKUP($G358,'KO Calc'!$H:$AW,22,FALSE),VLOOKUP($G358,'KO Calc'!$H364:$AW364,22,FALSE)),
IF(AND($S$3=TRUE,$S$1=TRUE,$S$4=TRUE)=TRUE,IF(OR($Q$4=TRUE,$Q$5=TRUE,$S$2=TRUE),VLOOKUP($G358,'KO Calc'!$H:$AW,37,FALSE),VLOOKUP($G358,'KO Calc'!$H364:$AW364,37,FALSE)),IF(AND($S$3=TRUE,$S$4=TRUE),IF(OR($Q$4=TRUE,$Q$5=TRUE,$S$2=TRUE),VLOOKUP($G358,'KO Calc'!$H:$AW,27,FALSE),VLOOKUP($G358,'KO Calc'!$H364:$AW364,27,FALSE)))))))))))))</f>
        <v>-</v>
      </c>
      <c r="I358" s="36" t="str">
        <f>IF(AND($Q$1=FALSE,$S$3=FALSE),"-",IF(AND($Q$1=TRUE,$S$3=TRUE),"-",IF(AND($Q$1=FALSE,$S$3=FALSE),"-",IF(AND($Q$1=TRUE,$S$1=TRUE,$S$4=FALSE)=TRUE,IF(OR($Q$4=TRUE,$Q$5=TRUE,$S$2=TRUE),VLOOKUP($G358,'KO Calc'!$H:$AW,13,FALSE),VLOOKUP($G358,'KO Calc'!$H364:$AW364,13,FALSE)),IF(AND($Q$1=TRUE,$S$4=FALSE),IF(OR($Q$4=TRUE,$Q$5=TRUE,$S$2=TRUE),VLOOKUP($G358,'KO Calc'!$H:$AW,3,FALSE),VLOOKUP($G358,'KO Calc'!$H364:$AW364,3,FALSE)),
IF(AND($Q$1=TRUE,$S$1=TRUE,$S$4=TRUE)=TRUE,IF(OR($Q$4=TRUE,$Q$5=TRUE,$S$2=TRUE),VLOOKUP($G358,'KO Calc'!$H:$AW,18,FALSE),VLOOKUP($G358,'KO Calc'!$H364:$AW364,18,FALSE)),IF(AND($Q$1=TRUE,$S$4=TRUE),IF(OR($Q$4=TRUE,$Q$5=TRUE,$S$2=TRUE),VLOOKUP($G358,'KO Calc'!$H:$AW,8,FALSE),VLOOKUP($G358,'KO Calc'!$H364:$AW364,8,FALSE)),
IF(AND($S$3=TRUE,$S$1=TRUE,$S$4=FALSE)=TRUE,IF(OR($Q$4=TRUE,$Q$5=TRUE,$S$2=TRUE),VLOOKUP($G358,'KO Calc'!$H:$AW,33,FALSE),VLOOKUP($G358,'KO Calc'!$H364:$AW364,33,FALSE)),IF(AND($S$3=TRUE,$S$4=FALSE),IF(OR($Q$4=TRUE,$Q$5=TRUE,$S$2=TRUE),VLOOKUP($G358,'KO Calc'!$H:$AW,23,FALSE),VLOOKUP($G358,'KO Calc'!$H364:$AW364,23,FALSE)),
IF(AND($S$3=TRUE,$S$1=TRUE,$S$4=TRUE)=TRUE,IF(OR($Q$4=TRUE,$Q$5=TRUE,$S$2=TRUE),VLOOKUP($G358,'KO Calc'!$H:$AW,38,FALSE),VLOOKUP($G358,'KO Calc'!$H364:$AW364,38,FALSE)),IF(AND($S$3=TRUE,$S$4=TRUE),IF(OR($Q$4=TRUE,$Q$5=TRUE,$S$2=TRUE),VLOOKUP($G358,'KO Calc'!$H:$AW,28,FALSE),VLOOKUP($G358,'KO Calc'!$H364:$AW364,28,FALSE)))))))))))))</f>
        <v>-</v>
      </c>
      <c r="J358" s="36" t="str">
        <f>IF(AND($Q$1=FALSE,$S$3=FALSE),"-",IF(AND($Q$1=TRUE,$S$3=TRUE),"-",IF(AND($Q$1=FALSE,$S$3=FALSE),"-",IF(AND($Q$1=TRUE,$S$1=TRUE,$S$4=FALSE)=TRUE,IF(OR($Q$4=TRUE,$Q$5=TRUE,$S$2=TRUE),VLOOKUP($G358,'KO Calc'!$H:$AW,FALSE),VLOOKUP($G358,'KO Calc'!$H364:$AW364,14,FALSE)),IF(AND($Q$1=TRUE,$S$4=FALSE),IF(OR($Q$4=TRUE,$Q$5=TRUE,$S$2=TRUE),VLOOKUP($G358,'KO Calc'!$H:$AW,4,FALSE),VLOOKUP($G358,'KO Calc'!$H364:$AW364,4,FALSE)),
IF(AND($Q$1=TRUE,$S$1=TRUE,$S$4=TRUE)=TRUE,IF(OR($Q$4=TRUE,$Q$5=TRUE,$S$2=TRUE),VLOOKUP($G358,'KO Calc'!$H:$AW,19,FALSE),VLOOKUP($G358,'KO Calc'!$H364:$AW364,19,FALSE)),IF(AND($Q$1=TRUE,$S$4=TRUE),IF(OR($Q$4=TRUE,$Q$5=TRUE,$S$2=TRUE),VLOOKUP($G358,'KO Calc'!$H:$AW,9,FALSE),VLOOKUP($G358,'KO Calc'!$H364:$AW364,9,FALSE)),
IF(AND($S$3=TRUE,$S$1=TRUE,$S$4=FALSE)=TRUE,IF(OR($Q$4=TRUE,$Q$5=TRUE,$S$2=TRUE),VLOOKUP($G358,'KO Calc'!$H:$AW,34,FALSE),VLOOKUP($G358,'KO Calc'!$H364:$AW364,34,FALSE)),IF(AND($S$3=TRUE,$S$4=FALSE),IF(OR($Q$4=TRUE,$Q$5=TRUE,$S$2=TRUE),VLOOKUP($G358,'KO Calc'!$H:$AW,24,FALSE),VLOOKUP($G358,'KO Calc'!$H364:$AW364,24,FALSE)),
IF(AND($S$3=TRUE,$S$1=TRUE,$S$4=TRUE)=TRUE,IF(OR($Q$4=TRUE,$Q$5=TRUE,$S$2=TRUE),VLOOKUP($G358,'KO Calc'!$H:$AW,39,FALSE),VLOOKUP($G358,'KO Calc'!$H364:$AW364,39,FALSE)),IF(AND($S$3=TRUE,$S$4=TRUE),IF(OR($Q$4=TRUE,$Q$5=TRUE,$S$2=TRUE),VLOOKUP($G358,'KO Calc'!$H:$AW,29,FALSE),VLOOKUP($G358,'KO Calc'!$H364:$AW364,29,FALSE)))))))))))))</f>
        <v>-</v>
      </c>
      <c r="K358" s="36" t="str">
        <f>IF(AND($Q$1=FALSE,$S$3=FALSE),"-",IF(AND($Q$1=TRUE,$S$3=TRUE),"-",IF(AND($Q$1=FALSE,$S$3=FALSE),"-",IF(AND($Q$1=TRUE,$S$1=TRUE,$S$4=FALSE)=TRUE,IF(OR($Q$4=TRUE,$Q$5=TRUE,$S$2=TRUE),VLOOKUP($G358,'KO Calc'!$H:$AW,15,FALSE),VLOOKUP($G358,'KO Calc'!$H364:$AW364,15,FALSE)),IF(AND($Q$1=TRUE,$S$4=FALSE),IF(OR($Q$4=TRUE,$Q$5=TRUE,$S$2=TRUE),VLOOKUP($G358,'KO Calc'!$H:$AW,5,FALSE),VLOOKUP($G358,'KO Calc'!$H364:$AW364,5,FALSE)),
IF(AND($Q$1=TRUE,$S$1=TRUE,$S$4=TRUE)=TRUE,IF(OR($Q$4=TRUE,$Q$5=TRUE,$S$2=TRUE),VLOOKUP($G358,'KO Calc'!$H:$AW,20,FALSE),VLOOKUP($G358,'KO Calc'!$H364:$AW364,20,FALSE)),IF(AND($Q$1=TRUE,$S$4=TRUE),IF(OR($Q$4=TRUE,$Q$5=TRUE,$S$2=TRUE),VLOOKUP($G358,'KO Calc'!$H:$AW,10,FALSE),VLOOKUP($G358,'KO Calc'!$H364:$AW364,10,FALSE)),
IF(AND($S$3=TRUE,$S$1=TRUE,$S$4=FALSE)=TRUE,IF(OR($Q$4=TRUE,$Q$5=TRUE,$S$2=TRUE),VLOOKUP($G358,'KO Calc'!$H:$AW,35,FALSE),VLOOKUP($G358,'KO Calc'!$H364:$AW364,35,FALSE)),IF(AND($S$3=TRUE,$S$4=FALSE),IF(OR($Q$4=TRUE,$Q$5=TRUE,$S$2=TRUE),VLOOKUP($G358,'KO Calc'!$H:$AW,25,FALSE),VLOOKUP($G358,'KO Calc'!$H364:$AW364,25,FALSE)),
IF(AND($S$3=TRUE,$S$1=TRUE,$S$4=TRUE)=TRUE,IF(OR($Q$4=TRUE,$Q$5=TRUE,$S$2=TRUE),VLOOKUP($G358,'KO Calc'!$H:$AW,40,FALSE),VLOOKUP($G358,'KO Calc'!$H364:$AW364,40,FALSE)),IF(AND($S$3=TRUE,$S$4=TRUE),IF(OR($Q$4=TRUE,$Q$5=TRUE,$S$2=TRUE),VLOOKUP($G358,'KO Calc'!$H:$AW,30,FALSE),VLOOKUP($G358,'KO Calc'!$H364:$AW364,30,FALSE)))))))))))))</f>
        <v>-</v>
      </c>
      <c r="L358" s="36" t="str">
        <f>IFERROR(VLOOKUP($E358,'Status Thresholds'!$E:$AS,41,FALSE),"-")</f>
        <v>-</v>
      </c>
    </row>
    <row r="359" spans="1:14" x14ac:dyDescent="0.25">
      <c r="B359" s="64" t="str">
        <f>VLOOKUP(C359,'Status Thresholds'!B:C,2,FALSE)</f>
        <v>MHGen</v>
      </c>
      <c r="C359" s="46" t="str">
        <f>IF(ISBLANK('KO Calc'!C355)=TRUE,"",'KO Calc'!C355)</f>
        <v>Gore Magala</v>
      </c>
      <c r="D359" s="78"/>
      <c r="E359" s="62"/>
      <c r="G359" s="36"/>
      <c r="L359" s="36" t="str">
        <f>IFERROR(VLOOKUP($E359,'Status Thresholds'!$E:$AS,41,FALSE),"-")</f>
        <v>-</v>
      </c>
    </row>
    <row r="360" spans="1:14" s="36" customFormat="1" x14ac:dyDescent="0.25">
      <c r="B360" s="64" t="str">
        <f>VLOOKUP(C360,'Status Thresholds'!B:C,2,FALSE)</f>
        <v>MHGU</v>
      </c>
      <c r="C360" s="46" t="str">
        <f>IF(ISBLANK('KO Calc'!C356)=TRUE,"",'KO Calc'!C356)</f>
        <v>Gore Magala (Chaotic)</v>
      </c>
      <c r="D360" s="65" t="s">
        <v>0</v>
      </c>
      <c r="E360" s="62" t="str">
        <f t="shared" si="9"/>
        <v>Gore Magala (Chaotic)Para</v>
      </c>
      <c r="F360" s="36" t="s">
        <v>2</v>
      </c>
      <c r="G360" s="36" t="str">
        <f t="shared" si="10"/>
        <v>Gore Magala (Chaotic)Para lvl 2</v>
      </c>
      <c r="H360" s="36" t="str">
        <f>IFERROR(ROUNDUP(IF(AND($Q$1=FALSE,$S$3=FALSE),"-",IF(AND($Q$1=TRUE,$S$3=TRUE),"-",IF(AND($Q$1=TRUE,$S$1=TRUE,$S$4=FALSE),VLOOKUP($E360,'Status Thresholds'!$E:$AS,12,FALSE),IF(AND($Q$1=TRUE,$S$4=FALSE),VLOOKUP($E360,'Status Thresholds'!$E:$AS,2,FALSE), IF(AND($Q$1=TRUE,$S$1=TRUE,$S$4=TRUE),VLOOKUP($E360,'Status Thresholds'!$E:$AS,17,FALSE),IF(AND($Q$1=TRUE,$S$4=TRUE),VLOOKUP($E360,'Status Thresholds'!$E:$AS,7,FALSE),IF(AND($S$3=TRUE,$S$1=TRUE,$S$4=FALSE),VLOOKUP($E360,'Status Thresholds'!$E:$AS,32,FALSE),IF(AND($S$3=TRUE,$S$4=FALSE),VLOOKUP($E360,'Status Thresholds'!$E:$AS,22,FALSE),IF(AND($S$3=TRUE,$S$1=TRUE,$S$4=TRUE),VLOOKUP($E360,'Status Thresholds'!$E:$AS,37,FALSE),IF(AND($S$3=TRUE,$S$4=TRUE),VLOOKUP($E360,'Status Thresholds'!$E:$AS,27,FALSE),""))))))))/IF(OR($Q$3=TRUE,AND($Q$2=TRUE,$Q$7=TRUE),AND($Q$3=TRUE,$Q$7=TRUE))=TRUE,'Shots and Status'!$F$5,IF((OR($Q$2,$Q$7)=TRUE),'Shots and Status'!$D$5,'Shots and Status'!$C$5)))),0),"-")</f>
        <v>-</v>
      </c>
      <c r="I360" s="36" t="str">
        <f>IFERROR(ROUNDUP(IF(AND($Q$1=FALSE,$S$3=FALSE),"-",IF(AND($Q$1=TRUE,$S$3=TRUE),"-",IF(AND($Q$1=TRUE,$S$1=TRUE,$S$4=FALSE),VLOOKUP($E360,'Status Thresholds'!$E:$AS,13,FALSE),IF(AND($Q$1=TRUE,$S$4=FALSE),VLOOKUP($E360,'Status Thresholds'!$E:$AS,3,FALSE), IF(AND($Q$1=TRUE,$S$1=TRUE,$S$4=TRUE),VLOOKUP($E360,'Status Thresholds'!$E:$AS,18,FALSE),IF(AND($Q$1=TRUE,$S$4=TRUE),VLOOKUP($E360,'Status Thresholds'!$E:$AS,8,FALSE),IF(AND($S$3=TRUE,$S$1=TRUE,$S$4=FALSE),VLOOKUP($E360,'Status Thresholds'!$E:$AS,33,FALSE),IF(AND($S$3=TRUE,$S$4=FALSE),VLOOKUP($E360,'Status Thresholds'!$E:$AS,23,FALSE),IF(AND($S$3=TRUE,$S$1=TRUE,$S$4=TRUE),VLOOKUP($E360,'Status Thresholds'!$E:$AS,38,FALSE),IF(AND($S$3=TRUE,$S$4=TRUE),VLOOKUP($E360,'Status Thresholds'!$E:$AS,28,FALSE),""))))))))/IF(OR($Q$3=TRUE,AND($Q$2=TRUE,$Q$7=TRUE),AND($Q$3=TRUE,$Q$7=TRUE))=TRUE,'Shots and Status'!$F$5,IF((OR($Q$2,$Q$7)=TRUE),'Shots and Status'!$D$5,'Shots and Status'!$C$5)))),0),"-")</f>
        <v>-</v>
      </c>
      <c r="J360" s="36" t="str">
        <f>IFERROR(ROUNDUP(IF(AND($Q$1=FALSE,$S$3=FALSE),"-",IF(AND($Q$1=TRUE,$S$3=TRUE),"-",IF(AND($Q$1=TRUE,$S$1=TRUE,$S$4=FALSE),VLOOKUP($E360,'Status Thresholds'!$E:$AS,14,FALSE),IF(AND($Q$1=TRUE,$S$4=FALSE),VLOOKUP($E360,'Status Thresholds'!$E:$AS,4,FALSE), IF(AND($Q$1=TRUE,$S$1=TRUE,$S$4=TRUE),VLOOKUP($E360,'Status Thresholds'!$E:$AS,19,FALSE),IF(AND($Q$1=TRUE,$S$4=TRUE),VLOOKUP($E360,'Status Thresholds'!$E:$AS,9,FALSE),IF(AND($S$3=TRUE,$S$1=TRUE,$S$4=FALSE),VLOOKUP($E360,'Status Thresholds'!$E:$AS,34,FALSE),IF(AND($S$3=TRUE,$S$4=FALSE),VLOOKUP($E360,'Status Thresholds'!$E:$AS,24,FALSE),IF(AND($S$3=TRUE,$S$1=TRUE,$S$4=TRUE),VLOOKUP($E360,'Status Thresholds'!$E:$AS,39,FALSE),IF(AND($S$3=TRUE,$S$4=TRUE),VLOOKUP($E360,'Status Thresholds'!$E:$AS,29,FALSE),""))))))))/IF(OR($Q$3=TRUE,AND($Q$2=TRUE,$Q$7=TRUE),AND($Q$3=TRUE,$Q$7=TRUE))=TRUE,'Shots and Status'!$F$5,IF((OR($Q$2,$Q$7)=TRUE),'Shots and Status'!$D$5,'Shots and Status'!$C$5)))),0),"-")</f>
        <v>-</v>
      </c>
      <c r="K360" s="36" t="str">
        <f>IFERROR(ROUNDUP(IF(AND($Q$1=FALSE,$S$3=FALSE),"-",IF(AND($Q$1=TRUE,$S$3=TRUE),"-",IF(AND($Q$1=TRUE,$S$1=TRUE,$S$4=FALSE),VLOOKUP($E360,'Status Thresholds'!$E:$AS,15,FALSE),IF(AND($Q$1=TRUE,$S$4=FALSE),VLOOKUP($E360,'Status Thresholds'!$E:$AS,5,FALSE), IF(AND($Q$1=TRUE,$S$1=TRUE,$S$4=TRUE),VLOOKUP($E360,'Status Thresholds'!$E:$AS,20,FALSE),IF(AND($Q$1=TRUE,$S$4=TRUE),VLOOKUP($E360,'Status Thresholds'!$E:$AS,10,FALSE),IF(AND($S$3=TRUE,$S$1=TRUE,$S$4=FALSE),VLOOKUP($E360,'Status Thresholds'!$E:$AS,35,FALSE),IF(AND($S$3=TRUE,$S$4=FALSE),VLOOKUP($E360,'Status Thresholds'!$E:$AS,25,FALSE),IF(AND($S$3=TRUE,$S$1=TRUE,$S$4=TRUE),VLOOKUP($E360,'Status Thresholds'!$E:$AS,40,FALSE),IF(AND($S$3=TRUE,$S$4=TRUE),VLOOKUP($E360,'Status Thresholds'!$E:$AS,30,FALSE),""))))))))/IF(OR($Q$3=TRUE,AND($Q$2=TRUE,$Q$7=TRUE),AND($Q$3=TRUE,$Q$7=TRUE))=TRUE,'Shots and Status'!$F$5,IF((OR($Q$2,$Q$7)=TRUE),'Shots and Status'!$D$5,'Shots and Status'!$C$5)))),0),"-")</f>
        <v>-</v>
      </c>
      <c r="L360" s="36" t="str">
        <f>IFERROR(IF(AND($Q$1=FALSE,$S$3=FALSE),"-",VLOOKUP($E360,'Status Thresholds'!$E:$AU,41,FALSE)),"-")</f>
        <v>-</v>
      </c>
      <c r="M360" s="36" t="str">
        <f>IFERROR(IF(AND($Q$1=FALSE,$S$3=FALSE),"-",VLOOKUP($E360,'Status Thresholds'!$E:$AU,42,FALSE)),"-")</f>
        <v>-</v>
      </c>
      <c r="N360" s="36" t="str">
        <f>IFERROR(IF(AND($Q$1=FALSE,$S$3=FALSE),"-",VLOOKUP($E360,'Status Thresholds'!$E:$AU,43,FALSE)),"-")</f>
        <v>-</v>
      </c>
    </row>
    <row r="361" spans="1:14" s="59" customFormat="1" x14ac:dyDescent="0.25">
      <c r="A361" s="46"/>
      <c r="B361" s="64" t="str">
        <f>VLOOKUP(C361,'Status Thresholds'!B:C,2,FALSE)</f>
        <v>MHGU</v>
      </c>
      <c r="C361" s="46" t="str">
        <f>IF(ISBLANK('KO Calc'!C357)=TRUE,"",'KO Calc'!C357)</f>
        <v>Gore Magala (Chaotic)</v>
      </c>
      <c r="D361" s="60" t="s">
        <v>32</v>
      </c>
      <c r="E361" s="62" t="str">
        <f t="shared" ref="E361:E432" si="11">C361&amp;D361</f>
        <v>Gore Magala (Chaotic)Sleep</v>
      </c>
      <c r="F361" s="59" t="s">
        <v>5</v>
      </c>
      <c r="G361" s="36" t="str">
        <f t="shared" si="10"/>
        <v>Gore Magala (Chaotic)Sleep lvl 2</v>
      </c>
      <c r="H361" s="36" t="str">
        <f>IFERROR(ROUNDUP(IF(AND($Q$1=FALSE,$S$3=FALSE),"-",IF(AND($Q$1=TRUE,$S$3=TRUE),"-",IF(AND($Q$1=TRUE,$S$1=TRUE,$S$4=FALSE),VLOOKUP($E361,'Status Thresholds'!$E:$AS,12,FALSE),IF(AND($Q$1=TRUE,$S$4=FALSE),VLOOKUP($E361,'Status Thresholds'!$E:$AS,2,FALSE), IF(AND($Q$1=TRUE,$S$1=TRUE,$S$4=TRUE),VLOOKUP($E361,'Status Thresholds'!$E:$AS,17,FALSE),IF(AND($Q$1=TRUE,$S$4=TRUE),VLOOKUP($E361,'Status Thresholds'!$E:$AS,7,FALSE),IF(AND($S$3=TRUE,$S$1=TRUE,$S$4=FALSE),VLOOKUP($E361,'Status Thresholds'!$E:$AS,32,FALSE),IF(AND($S$3=TRUE,$S$4=FALSE),VLOOKUP($E361,'Status Thresholds'!$E:$AS,22,FALSE),IF(AND($S$3=TRUE,$S$1=TRUE,$S$4=TRUE),VLOOKUP($E361,'Status Thresholds'!$E:$AS,37,FALSE),IF(AND($S$3=TRUE,$S$4=TRUE),VLOOKUP($E361,'Status Thresholds'!$E:$AS,27,FALSE),""))))))))/IF(OR($Q$3=TRUE,AND($Q$2=TRUE,$Q$7=TRUE),AND($Q$3=TRUE,$Q$7=TRUE))=TRUE,'Shots and Status'!$F$5,IF((OR($Q$2,$Q$7)=TRUE),'Shots and Status'!$D$5,'Shots and Status'!$C$5)))),0),"-")</f>
        <v>-</v>
      </c>
      <c r="I361" s="36" t="str">
        <f>IFERROR(ROUNDUP(IF(AND($Q$1=FALSE,$S$3=FALSE),"-",IF(AND($Q$1=TRUE,$S$3=TRUE),"-",IF(AND($Q$1=TRUE,$S$1=TRUE,$S$4=FALSE),VLOOKUP($E361,'Status Thresholds'!$E:$AS,13,FALSE),IF(AND($Q$1=TRUE,$S$4=FALSE),VLOOKUP($E361,'Status Thresholds'!$E:$AS,3,FALSE), IF(AND($Q$1=TRUE,$S$1=TRUE,$S$4=TRUE),VLOOKUP($E361,'Status Thresholds'!$E:$AS,18,FALSE),IF(AND($Q$1=TRUE,$S$4=TRUE),VLOOKUP($E361,'Status Thresholds'!$E:$AS,8,FALSE),IF(AND($S$3=TRUE,$S$1=TRUE,$S$4=FALSE),VLOOKUP($E361,'Status Thresholds'!$E:$AS,33,FALSE),IF(AND($S$3=TRUE,$S$4=FALSE),VLOOKUP($E361,'Status Thresholds'!$E:$AS,23,FALSE),IF(AND($S$3=TRUE,$S$1=TRUE,$S$4=TRUE),VLOOKUP($E361,'Status Thresholds'!$E:$AS,38,FALSE),IF(AND($S$3=TRUE,$S$4=TRUE),VLOOKUP($E361,'Status Thresholds'!$E:$AS,28,FALSE),""))))))))/IF(OR($Q$3=TRUE,AND($Q$2=TRUE,$Q$7=TRUE),AND($Q$3=TRUE,$Q$7=TRUE))=TRUE,'Shots and Status'!$F$5,IF((OR($Q$2,$Q$7)=TRUE),'Shots and Status'!$D$5,'Shots and Status'!$C$5)))),0),"-")</f>
        <v>-</v>
      </c>
      <c r="J361" s="36" t="str">
        <f>IFERROR(ROUNDUP(IF(AND($Q$1=FALSE,$S$3=FALSE),"-",IF(AND($Q$1=TRUE,$S$3=TRUE),"-",IF(AND($Q$1=TRUE,$S$1=TRUE,$S$4=FALSE),VLOOKUP($E361,'Status Thresholds'!$E:$AS,14,FALSE),IF(AND($Q$1=TRUE,$S$4=FALSE),VLOOKUP($E361,'Status Thresholds'!$E:$AS,4,FALSE), IF(AND($Q$1=TRUE,$S$1=TRUE,$S$4=TRUE),VLOOKUP($E361,'Status Thresholds'!$E:$AS,19,FALSE),IF(AND($Q$1=TRUE,$S$4=TRUE),VLOOKUP($E361,'Status Thresholds'!$E:$AS,9,FALSE),IF(AND($S$3=TRUE,$S$1=TRUE,$S$4=FALSE),VLOOKUP($E361,'Status Thresholds'!$E:$AS,34,FALSE),IF(AND($S$3=TRUE,$S$4=FALSE),VLOOKUP($E361,'Status Thresholds'!$E:$AS,24,FALSE),IF(AND($S$3=TRUE,$S$1=TRUE,$S$4=TRUE),VLOOKUP($E361,'Status Thresholds'!$E:$AS,39,FALSE),IF(AND($S$3=TRUE,$S$4=TRUE),VLOOKUP($E361,'Status Thresholds'!$E:$AS,29,FALSE),""))))))))/IF(OR($Q$3=TRUE,AND($Q$2=TRUE,$Q$7=TRUE),AND($Q$3=TRUE,$Q$7=TRUE))=TRUE,'Shots and Status'!$F$5,IF((OR($Q$2,$Q$7)=TRUE),'Shots and Status'!$D$5,'Shots and Status'!$C$5)))),0),"-")</f>
        <v>-</v>
      </c>
      <c r="K361" s="36" t="str">
        <f>IFERROR(ROUNDUP(IF(AND($Q$1=FALSE,$S$3=FALSE),"-",IF(AND($Q$1=TRUE,$S$3=TRUE),"-",IF(AND($Q$1=TRUE,$S$1=TRUE,$S$4=FALSE),VLOOKUP($E361,'Status Thresholds'!$E:$AS,15,FALSE),IF(AND($Q$1=TRUE,$S$4=FALSE),VLOOKUP($E361,'Status Thresholds'!$E:$AS,5,FALSE), IF(AND($Q$1=TRUE,$S$1=TRUE,$S$4=TRUE),VLOOKUP($E361,'Status Thresholds'!$E:$AS,20,FALSE),IF(AND($Q$1=TRUE,$S$4=TRUE),VLOOKUP($E361,'Status Thresholds'!$E:$AS,10,FALSE),IF(AND($S$3=TRUE,$S$1=TRUE,$S$4=FALSE),VLOOKUP($E361,'Status Thresholds'!$E:$AS,35,FALSE),IF(AND($S$3=TRUE,$S$4=FALSE),VLOOKUP($E361,'Status Thresholds'!$E:$AS,25,FALSE),IF(AND($S$3=TRUE,$S$1=TRUE,$S$4=TRUE),VLOOKUP($E361,'Status Thresholds'!$E:$AS,40,FALSE),IF(AND($S$3=TRUE,$S$4=TRUE),VLOOKUP($E361,'Status Thresholds'!$E:$AS,30,FALSE),""))))))))/IF(OR($Q$3=TRUE,AND($Q$2=TRUE,$Q$7=TRUE),AND($Q$3=TRUE,$Q$7=TRUE))=TRUE,'Shots and Status'!$F$5,IF((OR($Q$2,$Q$7)=TRUE),'Shots and Status'!$D$5,'Shots and Status'!$C$5)))),0),"-")</f>
        <v>-</v>
      </c>
      <c r="L361" s="36" t="str">
        <f>IFERROR(IF(AND($Q$1=FALSE,$S$3=FALSE),"-",VLOOKUP($E361,'Status Thresholds'!$E:$AU,41,FALSE)),"-")</f>
        <v>-</v>
      </c>
      <c r="M361" s="36" t="str">
        <f>IFERROR(IF(AND($Q$1=FALSE,$S$3=FALSE),"-",VLOOKUP($E361,'Status Thresholds'!$E:$AU,42,FALSE)),"-")</f>
        <v>-</v>
      </c>
      <c r="N361" s="36" t="str">
        <f>IFERROR(IF(AND($Q$1=FALSE,$S$3=FALSE),"-",VLOOKUP($E361,'Status Thresholds'!$E:$AU,43,FALSE)),"-")</f>
        <v>-</v>
      </c>
    </row>
    <row r="362" spans="1:14" s="59" customFormat="1" x14ac:dyDescent="0.25">
      <c r="A362" s="46"/>
      <c r="B362" s="64" t="str">
        <f>VLOOKUP(C362,'Status Thresholds'!B:C,2,FALSE)</f>
        <v>MHGU</v>
      </c>
      <c r="C362" s="46" t="str">
        <f>IF(ISBLANK('KO Calc'!C358)=TRUE,"",'KO Calc'!C358)</f>
        <v>Gore Magala (Chaotic)</v>
      </c>
      <c r="D362" s="58" t="s">
        <v>33</v>
      </c>
      <c r="E362" s="62" t="str">
        <f t="shared" si="11"/>
        <v>Gore Magala (Chaotic)Poison</v>
      </c>
      <c r="F362" s="59" t="s">
        <v>6</v>
      </c>
      <c r="G362" s="36" t="str">
        <f t="shared" si="10"/>
        <v>Gore Magala (Chaotic)Poison lvl 2</v>
      </c>
      <c r="H362" s="36" t="str">
        <f>IFERROR(ROUNDUP(IF(AND($Q$1=FALSE,$S$3=FALSE),"-",IF(AND($Q$1=TRUE,$S$3=TRUE),"-",IF(AND($Q$1=TRUE,$S$1=TRUE,$S$4=FALSE),VLOOKUP($E362,'Status Thresholds'!$E:$AS,12,FALSE),IF(AND($Q$1=TRUE,$S$4=FALSE),VLOOKUP($E362,'Status Thresholds'!$E:$AS,2,FALSE), IF(AND($Q$1=TRUE,$S$1=TRUE,$S$4=TRUE),VLOOKUP($E362,'Status Thresholds'!$E:$AS,17,FALSE),IF(AND($Q$1=TRUE,$S$4=TRUE),VLOOKUP($E362,'Status Thresholds'!$E:$AS,7,FALSE),IF(AND($S$3=TRUE,$S$1=TRUE,$S$4=FALSE),VLOOKUP($E362,'Status Thresholds'!$E:$AS,32,FALSE),IF(AND($S$3=TRUE,$S$4=FALSE),VLOOKUP($E362,'Status Thresholds'!$E:$AS,22,FALSE),IF(AND($S$3=TRUE,$S$1=TRUE,$S$4=TRUE),VLOOKUP($E362,'Status Thresholds'!$E:$AS,37,FALSE),IF(AND($S$3=TRUE,$S$4=TRUE),VLOOKUP($E362,'Status Thresholds'!$E:$AS,27,FALSE),""))))))))/IF(OR($Q$3=TRUE,AND($Q$2=TRUE,$Q$7=TRUE),AND($Q$3=TRUE,$Q$7=TRUE))=TRUE,'Shots and Status'!$F$5,IF((OR($Q$2,$Q$7)=TRUE),'Shots and Status'!$D$5,'Shots and Status'!$C$5)))),0),"-")</f>
        <v>-</v>
      </c>
      <c r="I362" s="36" t="str">
        <f>IFERROR(ROUNDUP(IF(AND($Q$1=FALSE,$S$3=FALSE),"-",IF(AND($Q$1=TRUE,$S$3=TRUE),"-",IF(AND($Q$1=TRUE,$S$1=TRUE,$S$4=FALSE),VLOOKUP($E362,'Status Thresholds'!$E:$AS,13,FALSE),IF(AND($Q$1=TRUE,$S$4=FALSE),VLOOKUP($E362,'Status Thresholds'!$E:$AS,3,FALSE), IF(AND($Q$1=TRUE,$S$1=TRUE,$S$4=TRUE),VLOOKUP($E362,'Status Thresholds'!$E:$AS,18,FALSE),IF(AND($Q$1=TRUE,$S$4=TRUE),VLOOKUP($E362,'Status Thresholds'!$E:$AS,8,FALSE),IF(AND($S$3=TRUE,$S$1=TRUE,$S$4=FALSE),VLOOKUP($E362,'Status Thresholds'!$E:$AS,33,FALSE),IF(AND($S$3=TRUE,$S$4=FALSE),VLOOKUP($E362,'Status Thresholds'!$E:$AS,23,FALSE),IF(AND($S$3=TRUE,$S$1=TRUE,$S$4=TRUE),VLOOKUP($E362,'Status Thresholds'!$E:$AS,38,FALSE),IF(AND($S$3=TRUE,$S$4=TRUE),VLOOKUP($E362,'Status Thresholds'!$E:$AS,28,FALSE),""))))))))/IF(OR($Q$3=TRUE,AND($Q$2=TRUE,$Q$7=TRUE),AND($Q$3=TRUE,$Q$7=TRUE))=TRUE,'Shots and Status'!$F$5,IF((OR($Q$2,$Q$7)=TRUE),'Shots and Status'!$D$5,'Shots and Status'!$C$5)))),0),"-")</f>
        <v>-</v>
      </c>
      <c r="J362" s="36" t="str">
        <f>IFERROR(ROUNDUP(IF(AND($Q$1=FALSE,$S$3=FALSE),"-",IF(AND($Q$1=TRUE,$S$3=TRUE),"-",IF(AND($Q$1=TRUE,$S$1=TRUE,$S$4=FALSE),VLOOKUP($E362,'Status Thresholds'!$E:$AS,14,FALSE),IF(AND($Q$1=TRUE,$S$4=FALSE),VLOOKUP($E362,'Status Thresholds'!$E:$AS,4,FALSE), IF(AND($Q$1=TRUE,$S$1=TRUE,$S$4=TRUE),VLOOKUP($E362,'Status Thresholds'!$E:$AS,19,FALSE),IF(AND($Q$1=TRUE,$S$4=TRUE),VLOOKUP($E362,'Status Thresholds'!$E:$AS,9,FALSE),IF(AND($S$3=TRUE,$S$1=TRUE,$S$4=FALSE),VLOOKUP($E362,'Status Thresholds'!$E:$AS,34,FALSE),IF(AND($S$3=TRUE,$S$4=FALSE),VLOOKUP($E362,'Status Thresholds'!$E:$AS,24,FALSE),IF(AND($S$3=TRUE,$S$1=TRUE,$S$4=TRUE),VLOOKUP($E362,'Status Thresholds'!$E:$AS,39,FALSE),IF(AND($S$3=TRUE,$S$4=TRUE),VLOOKUP($E362,'Status Thresholds'!$E:$AS,29,FALSE),""))))))))/IF(OR($Q$3=TRUE,AND($Q$2=TRUE,$Q$7=TRUE),AND($Q$3=TRUE,$Q$7=TRUE))=TRUE,'Shots and Status'!$F$5,IF((OR($Q$2,$Q$7)=TRUE),'Shots and Status'!$D$5,'Shots and Status'!$C$5)))),0),"-")</f>
        <v>-</v>
      </c>
      <c r="K362" s="36" t="str">
        <f>IFERROR(ROUNDUP(IF(AND($Q$1=FALSE,$S$3=FALSE),"-",IF(AND($Q$1=TRUE,$S$3=TRUE),"-",IF(AND($Q$1=TRUE,$S$1=TRUE,$S$4=FALSE),VLOOKUP($E362,'Status Thresholds'!$E:$AS,15,FALSE),IF(AND($Q$1=TRUE,$S$4=FALSE),VLOOKUP($E362,'Status Thresholds'!$E:$AS,5,FALSE), IF(AND($Q$1=TRUE,$S$1=TRUE,$S$4=TRUE),VLOOKUP($E362,'Status Thresholds'!$E:$AS,20,FALSE),IF(AND($Q$1=TRUE,$S$4=TRUE),VLOOKUP($E362,'Status Thresholds'!$E:$AS,10,FALSE),IF(AND($S$3=TRUE,$S$1=TRUE,$S$4=FALSE),VLOOKUP($E362,'Status Thresholds'!$E:$AS,35,FALSE),IF(AND($S$3=TRUE,$S$4=FALSE),VLOOKUP($E362,'Status Thresholds'!$E:$AS,25,FALSE),IF(AND($S$3=TRUE,$S$1=TRUE,$S$4=TRUE),VLOOKUP($E362,'Status Thresholds'!$E:$AS,40,FALSE),IF(AND($S$3=TRUE,$S$4=TRUE),VLOOKUP($E362,'Status Thresholds'!$E:$AS,30,FALSE),""))))))))/IF(OR($Q$3=TRUE,AND($Q$2=TRUE,$Q$7=TRUE),AND($Q$3=TRUE,$Q$7=TRUE))=TRUE,'Shots and Status'!$F$5,IF((OR($Q$2,$Q$7)=TRUE),'Shots and Status'!$D$5,'Shots and Status'!$C$5)))),0),"-")</f>
        <v>-</v>
      </c>
      <c r="L362" s="36" t="str">
        <f>IFERROR(IF(AND($Q$1=FALSE,$S$3=FALSE),"-",VLOOKUP($E362,'Status Thresholds'!$E:$AU,41,FALSE)),"-")</f>
        <v>-</v>
      </c>
      <c r="M362" s="36" t="str">
        <f>IFERROR(IF(AND($Q$1=FALSE,$S$3=FALSE),"-",VLOOKUP($E362,'Status Thresholds'!$E:$AU,42,FALSE)),"-")</f>
        <v>-</v>
      </c>
      <c r="N362" s="36" t="str">
        <f>IFERROR(IF(AND($Q$1=FALSE,$S$3=FALSE),"-",VLOOKUP($E362,'Status Thresholds'!$E:$AU,43,FALSE)),"-")</f>
        <v>-</v>
      </c>
    </row>
    <row r="363" spans="1:14" s="36" customFormat="1" x14ac:dyDescent="0.25">
      <c r="A363" s="46"/>
      <c r="B363" s="64" t="str">
        <f>VLOOKUP(C363,'Status Thresholds'!B:C,2,FALSE)</f>
        <v>MHGU</v>
      </c>
      <c r="C363" s="46" t="str">
        <f>IF(ISBLANK('KO Calc'!C359)=TRUE,"",'KO Calc'!C359)</f>
        <v>Gore Magala (Chaotic)</v>
      </c>
      <c r="D363" s="57" t="s">
        <v>22</v>
      </c>
      <c r="E363" s="62" t="str">
        <f t="shared" si="11"/>
        <v>Gore Magala (Chaotic)Exhaust</v>
      </c>
      <c r="F363" s="36" t="s">
        <v>8</v>
      </c>
      <c r="G363" s="36" t="str">
        <f t="shared" si="10"/>
        <v>Gore Magala (Chaotic)Exhaust lvl 2</v>
      </c>
      <c r="H363" s="36" t="str">
        <f>IFERROR(ROUNDUP(IF(AND($Q$1=FALSE,$S$3=FALSE),"-",IF(AND($Q$1=TRUE,$S$3=TRUE),"-",IF(AND($Q$1=TRUE,$S$1=TRUE,$S$4=FALSE),VLOOKUP($E363,'Status Thresholds'!$E:$AS,12,FALSE),IF(AND($Q$1=TRUE,$S$4=FALSE),VLOOKUP($E363,'Status Thresholds'!$E:$AS,2,FALSE), IF(AND($Q$1=TRUE,$S$1=TRUE,$S$4=TRUE),VLOOKUP($E363,'Status Thresholds'!$E:$AS,17,FALSE),IF(AND($Q$1=TRUE,$S$4=TRUE),VLOOKUP($E363,'Status Thresholds'!$E:$AS,7,FALSE),IF(AND($S$3=TRUE,$S$1=TRUE,$S$4=FALSE),VLOOKUP($E363,'Status Thresholds'!$E:$AS,32,FALSE),IF(AND($S$3=TRUE,$S$4=FALSE),VLOOKUP($E363,'Status Thresholds'!$E:$AS,22,FALSE),IF(AND($S$3=TRUE,$S$1=TRUE,$S$4=TRUE),VLOOKUP($E363,'Status Thresholds'!$E:$AS,37,FALSE),IF(AND($S$3=TRUE,$S$4=TRUE),VLOOKUP($E363,'Status Thresholds'!$E:$AS,27,FALSE),""))))))))/IF(OR($Q$3=TRUE,AND($Q$2=TRUE,$Q$7=TRUE),AND($Q$3=TRUE,$Q$7=TRUE))=TRUE,'Shots and Status'!$F$5,IF((OR($Q$2,$Q$7)=TRUE),'Shots and Status'!$D$5,'Shots and Status'!$C$5)))),0),"-")</f>
        <v>-</v>
      </c>
      <c r="I363" s="36" t="str">
        <f>IFERROR(ROUNDUP(IF(AND($Q$1=FALSE,$S$3=FALSE),"-",IF(AND($Q$1=TRUE,$S$3=TRUE),"-",IF(AND($Q$1=TRUE,$S$1=TRUE,$S$4=FALSE),VLOOKUP($E363,'Status Thresholds'!$E:$AS,13,FALSE),IF(AND($Q$1=TRUE,$S$4=FALSE),VLOOKUP($E363,'Status Thresholds'!$E:$AS,3,FALSE), IF(AND($Q$1=TRUE,$S$1=TRUE,$S$4=TRUE),VLOOKUP($E363,'Status Thresholds'!$E:$AS,18,FALSE),IF(AND($Q$1=TRUE,$S$4=TRUE),VLOOKUP($E363,'Status Thresholds'!$E:$AS,8,FALSE),IF(AND($S$3=TRUE,$S$1=TRUE,$S$4=FALSE),VLOOKUP($E363,'Status Thresholds'!$E:$AS,33,FALSE),IF(AND($S$3=TRUE,$S$4=FALSE),VLOOKUP($E363,'Status Thresholds'!$E:$AS,23,FALSE),IF(AND($S$3=TRUE,$S$1=TRUE,$S$4=TRUE),VLOOKUP($E363,'Status Thresholds'!$E:$AS,38,FALSE),IF(AND($S$3=TRUE,$S$4=TRUE),VLOOKUP($E363,'Status Thresholds'!$E:$AS,28,FALSE),""))))))))/IF(OR($Q$3=TRUE,AND($Q$2=TRUE,$Q$7=TRUE),AND($Q$3=TRUE,$Q$7=TRUE))=TRUE,'Shots and Status'!$F$5,IF((OR($Q$2,$Q$7)=TRUE),'Shots and Status'!$D$5,'Shots and Status'!$C$5)))),0),"-")</f>
        <v>-</v>
      </c>
      <c r="J363" s="36" t="str">
        <f>IFERROR(ROUNDUP(IF(AND($Q$1=FALSE,$S$3=FALSE),"-",IF(AND($Q$1=TRUE,$S$3=TRUE),"-",IF(AND($Q$1=TRUE,$S$1=TRUE,$S$4=FALSE),VLOOKUP($E363,'Status Thresholds'!$E:$AS,14,FALSE),IF(AND($Q$1=TRUE,$S$4=FALSE),VLOOKUP($E363,'Status Thresholds'!$E:$AS,4,FALSE), IF(AND($Q$1=TRUE,$S$1=TRUE,$S$4=TRUE),VLOOKUP($E363,'Status Thresholds'!$E:$AS,19,FALSE),IF(AND($Q$1=TRUE,$S$4=TRUE),VLOOKUP($E363,'Status Thresholds'!$E:$AS,9,FALSE),IF(AND($S$3=TRUE,$S$1=TRUE,$S$4=FALSE),VLOOKUP($E363,'Status Thresholds'!$E:$AS,34,FALSE),IF(AND($S$3=TRUE,$S$4=FALSE),VLOOKUP($E363,'Status Thresholds'!$E:$AS,24,FALSE),IF(AND($S$3=TRUE,$S$1=TRUE,$S$4=TRUE),VLOOKUP($E363,'Status Thresholds'!$E:$AS,39,FALSE),IF(AND($S$3=TRUE,$S$4=TRUE),VLOOKUP($E363,'Status Thresholds'!$E:$AS,29,FALSE),""))))))))/IF(OR($Q$3=TRUE,AND($Q$2=TRUE,$Q$7=TRUE),AND($Q$3=TRUE,$Q$7=TRUE))=TRUE,'Shots and Status'!$F$5,IF((OR($Q$2,$Q$7)=TRUE),'Shots and Status'!$D$5,'Shots and Status'!$C$5)))),0),"-")</f>
        <v>-</v>
      </c>
      <c r="K363" s="36" t="str">
        <f>IFERROR(ROUNDUP(IF(AND($Q$1=FALSE,$S$3=FALSE),"-",IF(AND($Q$1=TRUE,$S$3=TRUE),"-",IF(AND($Q$1=TRUE,$S$1=TRUE,$S$4=FALSE),VLOOKUP($E363,'Status Thresholds'!$E:$AS,15,FALSE),IF(AND($Q$1=TRUE,$S$4=FALSE),VLOOKUP($E363,'Status Thresholds'!$E:$AS,5,FALSE), IF(AND($Q$1=TRUE,$S$1=TRUE,$S$4=TRUE),VLOOKUP($E363,'Status Thresholds'!$E:$AS,20,FALSE),IF(AND($Q$1=TRUE,$S$4=TRUE),VLOOKUP($E363,'Status Thresholds'!$E:$AS,10,FALSE),IF(AND($S$3=TRUE,$S$1=TRUE,$S$4=FALSE),VLOOKUP($E363,'Status Thresholds'!$E:$AS,35,FALSE),IF(AND($S$3=TRUE,$S$4=FALSE),VLOOKUP($E363,'Status Thresholds'!$E:$AS,25,FALSE),IF(AND($S$3=TRUE,$S$1=TRUE,$S$4=TRUE),VLOOKUP($E363,'Status Thresholds'!$E:$AS,40,FALSE),IF(AND($S$3=TRUE,$S$4=TRUE),VLOOKUP($E363,'Status Thresholds'!$E:$AS,30,FALSE),""))))))))/IF(OR($Q$3=TRUE,AND($Q$2=TRUE,$Q$7=TRUE),AND($Q$3=TRUE,$Q$7=TRUE))=TRUE,'Shots and Status'!$F$5,IF((OR($Q$2,$Q$7)=TRUE),'Shots and Status'!$D$5,'Shots and Status'!$C$5)))),0),"-")</f>
        <v>-</v>
      </c>
      <c r="L363" s="36" t="str">
        <f>IFERROR(IF(AND($Q$1=FALSE,$S$3=FALSE),"-",VLOOKUP($E363,'Status Thresholds'!$E:$AU,41,FALSE)),"-")</f>
        <v>-</v>
      </c>
      <c r="M363" s="36" t="str">
        <f>IFERROR(IF(AND($Q$1=FALSE,$S$3=FALSE),"-",VLOOKUP($E363,'Status Thresholds'!$E:$AU,42,FALSE)),"-")</f>
        <v>-</v>
      </c>
      <c r="N363" s="36" t="str">
        <f>IFERROR(IF(AND($Q$1=FALSE,$S$3=FALSE),"-",VLOOKUP($E363,'Status Thresholds'!$E:$AU,43,FALSE)),"-")</f>
        <v>-</v>
      </c>
    </row>
    <row r="364" spans="1:14" s="36" customFormat="1" x14ac:dyDescent="0.25">
      <c r="A364" s="46"/>
      <c r="B364" s="64" t="str">
        <f>VLOOKUP(C364,'Status Thresholds'!B:C,2,FALSE)</f>
        <v>MHGU</v>
      </c>
      <c r="C364" s="46" t="str">
        <f>IF(ISBLANK('KO Calc'!C360)=TRUE,"",'KO Calc'!C360)</f>
        <v>Gore Magala (Chaotic)</v>
      </c>
      <c r="D364" s="67" t="s">
        <v>14</v>
      </c>
      <c r="E364" s="62" t="str">
        <f t="shared" si="11"/>
        <v>Gore Magala (Chaotic)KO</v>
      </c>
      <c r="F364" s="36" t="s">
        <v>21</v>
      </c>
      <c r="G364" s="36" t="str">
        <f t="shared" si="10"/>
        <v>Gore Magala (Chaotic)Triblast</v>
      </c>
      <c r="H364" s="36" t="str">
        <f>IF(AND($Q$1=FALSE,$S$3=FALSE),"-",IF(AND($Q$1=TRUE,$S$3=TRUE),"-",IF(AND($Q$1=FALSE,$S$3=FALSE),"-",IF(AND($Q$1=TRUE,$S$1=TRUE,$S$4=FALSE)=TRUE,IF(OR($Q$4=TRUE,$Q$5=TRUE,$S$2=TRUE),VLOOKUP($G364,'KO Calc'!$H:$AW,12,FALSE),VLOOKUP($G364,'KO Calc'!$H370:$AW370,12,FALSE)),IF(AND($Q$1=TRUE,$S$4=FALSE),IF(OR($Q$4=TRUE,$Q$5=TRUE,$S$2=TRUE),VLOOKUP($G364,'KO Calc'!$H:$AW,2,FALSE),VLOOKUP($G364,'KO Calc'!$H370:$AW370,2,FALSE)),
IF(AND($Q$1=TRUE,$S$1=TRUE,$S$4=TRUE)=TRUE,IF(OR($Q$4=TRUE,$Q$5=TRUE,$S$2=TRUE),VLOOKUP($G364,'KO Calc'!$H:$AW,17,FALSE),VLOOKUP($G364,'KO Calc'!$H370:$AW370,17,FALSE)),IF(AND($Q$1=TRUE,$S$4=TRUE),IF(OR($Q$4=TRUE,$Q$5=TRUE,$S$2=TRUE),VLOOKUP($G364,'KO Calc'!$H:$AW,7,FALSE),VLOOKUP($G364,'KO Calc'!$H370:$AW370,7,FALSE)),
IF(AND($S$3=TRUE,$S$1=TRUE,$S$4=FALSE)=TRUE,IF(OR($Q$4=TRUE,$Q$5=TRUE,$S$2=TRUE),VLOOKUP($G364,'KO Calc'!$H:$AW,32,FALSE),VLOOKUP($G364,'KO Calc'!$H370:$AW370,32,FALSE)),IF(AND($S$3=TRUE,$S$4=FALSE),IF(OR($Q$4=TRUE,$Q$5=TRUE,$S$2=TRUE),VLOOKUP($G364,'KO Calc'!$H:$AW,22,FALSE),VLOOKUP($G364,'KO Calc'!$H370:$AW370,22,FALSE)),
IF(AND($S$3=TRUE,$S$1=TRUE,$S$4=TRUE)=TRUE,IF(OR($Q$4=TRUE,$Q$5=TRUE,$S$2=TRUE),VLOOKUP($G364,'KO Calc'!$H:$AW,37,FALSE),VLOOKUP($G364,'KO Calc'!$H370:$AW370,37,FALSE)),IF(AND($S$3=TRUE,$S$4=TRUE),IF(OR($Q$4=TRUE,$Q$5=TRUE,$S$2=TRUE),VLOOKUP($G364,'KO Calc'!$H:$AW,27,FALSE),VLOOKUP($G364,'KO Calc'!$H370:$AW370,27,FALSE)))))))))))))</f>
        <v>-</v>
      </c>
      <c r="I364" s="36" t="str">
        <f>IF(AND($Q$1=FALSE,$S$3=FALSE),"-",IF(AND($Q$1=TRUE,$S$3=TRUE),"-",IF(AND($Q$1=FALSE,$S$3=FALSE),"-",IF(AND($Q$1=TRUE,$S$1=TRUE,$S$4=FALSE)=TRUE,IF(OR($Q$4=TRUE,$Q$5=TRUE,$S$2=TRUE),VLOOKUP($G364,'KO Calc'!$H:$AW,13,FALSE),VLOOKUP($G364,'KO Calc'!$H370:$AW370,13,FALSE)),IF(AND($Q$1=TRUE,$S$4=FALSE),IF(OR($Q$4=TRUE,$Q$5=TRUE,$S$2=TRUE),VLOOKUP($G364,'KO Calc'!$H:$AW,3,FALSE),VLOOKUP($G364,'KO Calc'!$H370:$AW370,3,FALSE)),
IF(AND($Q$1=TRUE,$S$1=TRUE,$S$4=TRUE)=TRUE,IF(OR($Q$4=TRUE,$Q$5=TRUE,$S$2=TRUE),VLOOKUP($G364,'KO Calc'!$H:$AW,18,FALSE),VLOOKUP($G364,'KO Calc'!$H370:$AW370,18,FALSE)),IF(AND($Q$1=TRUE,$S$4=TRUE),IF(OR($Q$4=TRUE,$Q$5=TRUE,$S$2=TRUE),VLOOKUP($G364,'KO Calc'!$H:$AW,8,FALSE),VLOOKUP($G364,'KO Calc'!$H370:$AW370,8,FALSE)),
IF(AND($S$3=TRUE,$S$1=TRUE,$S$4=FALSE)=TRUE,IF(OR($Q$4=TRUE,$Q$5=TRUE,$S$2=TRUE),VLOOKUP($G364,'KO Calc'!$H:$AW,33,FALSE),VLOOKUP($G364,'KO Calc'!$H370:$AW370,33,FALSE)),IF(AND($S$3=TRUE,$S$4=FALSE),IF(OR($Q$4=TRUE,$Q$5=TRUE,$S$2=TRUE),VLOOKUP($G364,'KO Calc'!$H:$AW,23,FALSE),VLOOKUP($G364,'KO Calc'!$H370:$AW370,23,FALSE)),
IF(AND($S$3=TRUE,$S$1=TRUE,$S$4=TRUE)=TRUE,IF(OR($Q$4=TRUE,$Q$5=TRUE,$S$2=TRUE),VLOOKUP($G364,'KO Calc'!$H:$AW,38,FALSE),VLOOKUP($G364,'KO Calc'!$H370:$AW370,38,FALSE)),IF(AND($S$3=TRUE,$S$4=TRUE),IF(OR($Q$4=TRUE,$Q$5=TRUE,$S$2=TRUE),VLOOKUP($G364,'KO Calc'!$H:$AW,28,FALSE),VLOOKUP($G364,'KO Calc'!$H370:$AW370,28,FALSE)))))))))))))</f>
        <v>-</v>
      </c>
      <c r="J364" s="36" t="str">
        <f>IF(AND($Q$1=FALSE,$S$3=FALSE),"-",IF(AND($Q$1=TRUE,$S$3=TRUE),"-",IF(AND($Q$1=FALSE,$S$3=FALSE),"-",IF(AND($Q$1=TRUE,$S$1=TRUE,$S$4=FALSE)=TRUE,IF(OR($Q$4=TRUE,$Q$5=TRUE,$S$2=TRUE),VLOOKUP($G364,'KO Calc'!$H:$AW,FALSE),VLOOKUP($G364,'KO Calc'!$H370:$AW370,14,FALSE)),IF(AND($Q$1=TRUE,$S$4=FALSE),IF(OR($Q$4=TRUE,$Q$5=TRUE,$S$2=TRUE),VLOOKUP($G364,'KO Calc'!$H:$AW,4,FALSE),VLOOKUP($G364,'KO Calc'!$H370:$AW370,4,FALSE)),
IF(AND($Q$1=TRUE,$S$1=TRUE,$S$4=TRUE)=TRUE,IF(OR($Q$4=TRUE,$Q$5=TRUE,$S$2=TRUE),VLOOKUP($G364,'KO Calc'!$H:$AW,19,FALSE),VLOOKUP($G364,'KO Calc'!$H370:$AW370,19,FALSE)),IF(AND($Q$1=TRUE,$S$4=TRUE),IF(OR($Q$4=TRUE,$Q$5=TRUE,$S$2=TRUE),VLOOKUP($G364,'KO Calc'!$H:$AW,9,FALSE),VLOOKUP($G364,'KO Calc'!$H370:$AW370,9,FALSE)),
IF(AND($S$3=TRUE,$S$1=TRUE,$S$4=FALSE)=TRUE,IF(OR($Q$4=TRUE,$Q$5=TRUE,$S$2=TRUE),VLOOKUP($G364,'KO Calc'!$H:$AW,34,FALSE),VLOOKUP($G364,'KO Calc'!$H370:$AW370,34,FALSE)),IF(AND($S$3=TRUE,$S$4=FALSE),IF(OR($Q$4=TRUE,$Q$5=TRUE,$S$2=TRUE),VLOOKUP($G364,'KO Calc'!$H:$AW,24,FALSE),VLOOKUP($G364,'KO Calc'!$H370:$AW370,24,FALSE)),
IF(AND($S$3=TRUE,$S$1=TRUE,$S$4=TRUE)=TRUE,IF(OR($Q$4=TRUE,$Q$5=TRUE,$S$2=TRUE),VLOOKUP($G364,'KO Calc'!$H:$AW,39,FALSE),VLOOKUP($G364,'KO Calc'!$H370:$AW370,39,FALSE)),IF(AND($S$3=TRUE,$S$4=TRUE),IF(OR($Q$4=TRUE,$Q$5=TRUE,$S$2=TRUE),VLOOKUP($G364,'KO Calc'!$H:$AW,29,FALSE),VLOOKUP($G364,'KO Calc'!$H370:$AW370,29,FALSE)))))))))))))</f>
        <v>-</v>
      </c>
      <c r="K364" s="36" t="str">
        <f>IF(AND($Q$1=FALSE,$S$3=FALSE),"-",IF(AND($Q$1=TRUE,$S$3=TRUE),"-",IF(AND($Q$1=FALSE,$S$3=FALSE),"-",IF(AND($Q$1=TRUE,$S$1=TRUE,$S$4=FALSE)=TRUE,IF(OR($Q$4=TRUE,$Q$5=TRUE,$S$2=TRUE),VLOOKUP($G364,'KO Calc'!$H:$AW,15,FALSE),VLOOKUP($G364,'KO Calc'!$H370:$AW370,15,FALSE)),IF(AND($Q$1=TRUE,$S$4=FALSE),IF(OR($Q$4=TRUE,$Q$5=TRUE,$S$2=TRUE),VLOOKUP($G364,'KO Calc'!$H:$AW,5,FALSE),VLOOKUP($G364,'KO Calc'!$H370:$AW370,5,FALSE)),
IF(AND($Q$1=TRUE,$S$1=TRUE,$S$4=TRUE)=TRUE,IF(OR($Q$4=TRUE,$Q$5=TRUE,$S$2=TRUE),VLOOKUP($G364,'KO Calc'!$H:$AW,20,FALSE),VLOOKUP($G364,'KO Calc'!$H370:$AW370,20,FALSE)),IF(AND($Q$1=TRUE,$S$4=TRUE),IF(OR($Q$4=TRUE,$Q$5=TRUE,$S$2=TRUE),VLOOKUP($G364,'KO Calc'!$H:$AW,10,FALSE),VLOOKUP($G364,'KO Calc'!$H370:$AW370,10,FALSE)),
IF(AND($S$3=TRUE,$S$1=TRUE,$S$4=FALSE)=TRUE,IF(OR($Q$4=TRUE,$Q$5=TRUE,$S$2=TRUE),VLOOKUP($G364,'KO Calc'!$H:$AW,35,FALSE),VLOOKUP($G364,'KO Calc'!$H370:$AW370,35,FALSE)),IF(AND($S$3=TRUE,$S$4=FALSE),IF(OR($Q$4=TRUE,$Q$5=TRUE,$S$2=TRUE),VLOOKUP($G364,'KO Calc'!$H:$AW,25,FALSE),VLOOKUP($G364,'KO Calc'!$H370:$AW370,25,FALSE)),
IF(AND($S$3=TRUE,$S$1=TRUE,$S$4=TRUE)=TRUE,IF(OR($Q$4=TRUE,$Q$5=TRUE,$S$2=TRUE),VLOOKUP($G364,'KO Calc'!$H:$AW,40,FALSE),VLOOKUP($G364,'KO Calc'!$H370:$AW370,40,FALSE)),IF(AND($S$3=TRUE,$S$4=TRUE),IF(OR($Q$4=TRUE,$Q$5=TRUE,$S$2=TRUE),VLOOKUP($G364,'KO Calc'!$H:$AW,30,FALSE),VLOOKUP($G364,'KO Calc'!$H370:$AW370,30,FALSE)))))))))))))</f>
        <v>-</v>
      </c>
      <c r="L364" s="36" t="str">
        <f>IFERROR(IF(AND($Q$1=FALSE,$S$3=FALSE),"-",VLOOKUP($E364,'Status Thresholds'!$E:$AU,41,FALSE)),"-")</f>
        <v>-</v>
      </c>
      <c r="M364" s="36" t="str">
        <f>IFERROR(IF(AND($Q$1=FALSE,$S$3=FALSE),"-",VLOOKUP($E364,'Status Thresholds'!$E:$AU,42,FALSE)),"-")</f>
        <v>-</v>
      </c>
      <c r="N364" s="36" t="str">
        <f>IFERROR(IF(AND($Q$1=FALSE,$S$3=FALSE),"-",VLOOKUP($E364,'Status Thresholds'!$E:$AU,43,FALSE)),"-")</f>
        <v>-</v>
      </c>
    </row>
    <row r="365" spans="1:14" x14ac:dyDescent="0.25">
      <c r="B365" s="64" t="str">
        <f>VLOOKUP(C365,'Status Thresholds'!B:C,2,FALSE)</f>
        <v>MHGU</v>
      </c>
      <c r="C365" s="46" t="str">
        <f>IF(ISBLANK('KO Calc'!C361)=TRUE,"",'KO Calc'!C361)</f>
        <v>Gore Magala (Chaotic)</v>
      </c>
      <c r="D365" s="78" t="s">
        <v>207</v>
      </c>
      <c r="E365" s="62" t="str">
        <f t="shared" si="11"/>
        <v>Gore Magala (Chaotic)Shock Trap</v>
      </c>
      <c r="F365" t="s">
        <v>13</v>
      </c>
      <c r="G365" s="36" t="str">
        <f t="shared" ref="G365:G436" si="12">C365&amp;F365</f>
        <v>Gore Magala (Chaotic)Crag 3</v>
      </c>
      <c r="H365" s="36" t="str">
        <f>IF(AND($Q$1=FALSE,$S$3=FALSE),"-",IF(AND($Q$1=TRUE,$S$3=TRUE),"-",IF(AND($Q$1=FALSE,$S$3=FALSE),"-",IF(AND($Q$1=TRUE,$S$1=TRUE,$S$4=FALSE)=TRUE,IF(OR($Q$4=TRUE,$Q$5=TRUE,$S$2=TRUE),VLOOKUP($G365,'KO Calc'!$H:$AW,12,FALSE),VLOOKUP($G365,'KO Calc'!$H371:$AW371,12,FALSE)),IF(AND($Q$1=TRUE,$S$4=FALSE),IF(OR($Q$4=TRUE,$Q$5=TRUE,$S$2=TRUE),VLOOKUP($G365,'KO Calc'!$H:$AW,2,FALSE),VLOOKUP($G365,'KO Calc'!$H371:$AW371,2,FALSE)),
IF(AND($Q$1=TRUE,$S$1=TRUE,$S$4=TRUE)=TRUE,IF(OR($Q$4=TRUE,$Q$5=TRUE,$S$2=TRUE),VLOOKUP($G365,'KO Calc'!$H:$AW,17,FALSE),VLOOKUP($G365,'KO Calc'!$H371:$AW371,17,FALSE)),IF(AND($Q$1=TRUE,$S$4=TRUE),IF(OR($Q$4=TRUE,$Q$5=TRUE,$S$2=TRUE),VLOOKUP($G365,'KO Calc'!$H:$AW,7,FALSE),VLOOKUP($G365,'KO Calc'!$H371:$AW371,7,FALSE)),
IF(AND($S$3=TRUE,$S$1=TRUE,$S$4=FALSE)=TRUE,IF(OR($Q$4=TRUE,$Q$5=TRUE,$S$2=TRUE),VLOOKUP($G365,'KO Calc'!$H:$AW,32,FALSE),VLOOKUP($G365,'KO Calc'!$H371:$AW371,32,FALSE)),IF(AND($S$3=TRUE,$S$4=FALSE),IF(OR($Q$4=TRUE,$Q$5=TRUE,$S$2=TRUE),VLOOKUP($G365,'KO Calc'!$H:$AW,22,FALSE),VLOOKUP($G365,'KO Calc'!$H371:$AW371,22,FALSE)),
IF(AND($S$3=TRUE,$S$1=TRUE,$S$4=TRUE)=TRUE,IF(OR($Q$4=TRUE,$Q$5=TRUE,$S$2=TRUE),VLOOKUP($G365,'KO Calc'!$H:$AW,37,FALSE),VLOOKUP($G365,'KO Calc'!$H371:$AW371,37,FALSE)),IF(AND($S$3=TRUE,$S$4=TRUE),IF(OR($Q$4=TRUE,$Q$5=TRUE,$S$2=TRUE),VLOOKUP($G365,'KO Calc'!$H:$AW,27,FALSE),VLOOKUP($G365,'KO Calc'!$H371:$AW371,27,FALSE)))))))))))))</f>
        <v>-</v>
      </c>
      <c r="I365" s="36" t="str">
        <f>IF(AND($Q$1=FALSE,$S$3=FALSE),"-",IF(AND($Q$1=TRUE,$S$3=TRUE),"-",IF(AND($Q$1=FALSE,$S$3=FALSE),"-",IF(AND($Q$1=TRUE,$S$1=TRUE,$S$4=FALSE)=TRUE,IF(OR($Q$4=TRUE,$Q$5=TRUE,$S$2=TRUE),VLOOKUP($G365,'KO Calc'!$H:$AW,13,FALSE),VLOOKUP($G365,'KO Calc'!$H371:$AW371,13,FALSE)),IF(AND($Q$1=TRUE,$S$4=FALSE),IF(OR($Q$4=TRUE,$Q$5=TRUE,$S$2=TRUE),VLOOKUP($G365,'KO Calc'!$H:$AW,3,FALSE),VLOOKUP($G365,'KO Calc'!$H371:$AW371,3,FALSE)),
IF(AND($Q$1=TRUE,$S$1=TRUE,$S$4=TRUE)=TRUE,IF(OR($Q$4=TRUE,$Q$5=TRUE,$S$2=TRUE),VLOOKUP($G365,'KO Calc'!$H:$AW,18,FALSE),VLOOKUP($G365,'KO Calc'!$H371:$AW371,18,FALSE)),IF(AND($Q$1=TRUE,$S$4=TRUE),IF(OR($Q$4=TRUE,$Q$5=TRUE,$S$2=TRUE),VLOOKUP($G365,'KO Calc'!$H:$AW,8,FALSE),VLOOKUP($G365,'KO Calc'!$H371:$AW371,8,FALSE)),
IF(AND($S$3=TRUE,$S$1=TRUE,$S$4=FALSE)=TRUE,IF(OR($Q$4=TRUE,$Q$5=TRUE,$S$2=TRUE),VLOOKUP($G365,'KO Calc'!$H:$AW,33,FALSE),VLOOKUP($G365,'KO Calc'!$H371:$AW371,33,FALSE)),IF(AND($S$3=TRUE,$S$4=FALSE),IF(OR($Q$4=TRUE,$Q$5=TRUE,$S$2=TRUE),VLOOKUP($G365,'KO Calc'!$H:$AW,23,FALSE),VLOOKUP($G365,'KO Calc'!$H371:$AW371,23,FALSE)),
IF(AND($S$3=TRUE,$S$1=TRUE,$S$4=TRUE)=TRUE,IF(OR($Q$4=TRUE,$Q$5=TRUE,$S$2=TRUE),VLOOKUP($G365,'KO Calc'!$H:$AW,38,FALSE),VLOOKUP($G365,'KO Calc'!$H371:$AW371,38,FALSE)),IF(AND($S$3=TRUE,$S$4=TRUE),IF(OR($Q$4=TRUE,$Q$5=TRUE,$S$2=TRUE),VLOOKUP($G365,'KO Calc'!$H:$AW,28,FALSE),VLOOKUP($G365,'KO Calc'!$H371:$AW371,28,FALSE)))))))))))))</f>
        <v>-</v>
      </c>
      <c r="J365" s="36" t="str">
        <f>IF(AND($Q$1=FALSE,$S$3=FALSE),"-",IF(AND($Q$1=TRUE,$S$3=TRUE),"-",IF(AND($Q$1=FALSE,$S$3=FALSE),"-",IF(AND($Q$1=TRUE,$S$1=TRUE,$S$4=FALSE)=TRUE,IF(OR($Q$4=TRUE,$Q$5=TRUE,$S$2=TRUE),VLOOKUP($G365,'KO Calc'!$H:$AW,FALSE),VLOOKUP($G365,'KO Calc'!$H371:$AW371,14,FALSE)),IF(AND($Q$1=TRUE,$S$4=FALSE),IF(OR($Q$4=TRUE,$Q$5=TRUE,$S$2=TRUE),VLOOKUP($G365,'KO Calc'!$H:$AW,4,FALSE),VLOOKUP($G365,'KO Calc'!$H371:$AW371,4,FALSE)),
IF(AND($Q$1=TRUE,$S$1=TRUE,$S$4=TRUE)=TRUE,IF(OR($Q$4=TRUE,$Q$5=TRUE,$S$2=TRUE),VLOOKUP($G365,'KO Calc'!$H:$AW,19,FALSE),VLOOKUP($G365,'KO Calc'!$H371:$AW371,19,FALSE)),IF(AND($Q$1=TRUE,$S$4=TRUE),IF(OR($Q$4=TRUE,$Q$5=TRUE,$S$2=TRUE),VLOOKUP($G365,'KO Calc'!$H:$AW,9,FALSE),VLOOKUP($G365,'KO Calc'!$H371:$AW371,9,FALSE)),
IF(AND($S$3=TRUE,$S$1=TRUE,$S$4=FALSE)=TRUE,IF(OR($Q$4=TRUE,$Q$5=TRUE,$S$2=TRUE),VLOOKUP($G365,'KO Calc'!$H:$AW,34,FALSE),VLOOKUP($G365,'KO Calc'!$H371:$AW371,34,FALSE)),IF(AND($S$3=TRUE,$S$4=FALSE),IF(OR($Q$4=TRUE,$Q$5=TRUE,$S$2=TRUE),VLOOKUP($G365,'KO Calc'!$H:$AW,24,FALSE),VLOOKUP($G365,'KO Calc'!$H371:$AW371,24,FALSE)),
IF(AND($S$3=TRUE,$S$1=TRUE,$S$4=TRUE)=TRUE,IF(OR($Q$4=TRUE,$Q$5=TRUE,$S$2=TRUE),VLOOKUP($G365,'KO Calc'!$H:$AW,39,FALSE),VLOOKUP($G365,'KO Calc'!$H371:$AW371,39,FALSE)),IF(AND($S$3=TRUE,$S$4=TRUE),IF(OR($Q$4=TRUE,$Q$5=TRUE,$S$2=TRUE),VLOOKUP($G365,'KO Calc'!$H:$AW,29,FALSE),VLOOKUP($G365,'KO Calc'!$H371:$AW371,29,FALSE)))))))))))))</f>
        <v>-</v>
      </c>
      <c r="K365" s="36" t="str">
        <f>IF(AND($Q$1=FALSE,$S$3=FALSE),"-",IF(AND($Q$1=TRUE,$S$3=TRUE),"-",IF(AND($Q$1=FALSE,$S$3=FALSE),"-",IF(AND($Q$1=TRUE,$S$1=TRUE,$S$4=FALSE)=TRUE,IF(OR($Q$4=TRUE,$Q$5=TRUE,$S$2=TRUE),VLOOKUP($G365,'KO Calc'!$H:$AW,15,FALSE),VLOOKUP($G365,'KO Calc'!$H371:$AW371,15,FALSE)),IF(AND($Q$1=TRUE,$S$4=FALSE),IF(OR($Q$4=TRUE,$Q$5=TRUE,$S$2=TRUE),VLOOKUP($G365,'KO Calc'!$H:$AW,5,FALSE),VLOOKUP($G365,'KO Calc'!$H371:$AW371,5,FALSE)),
IF(AND($Q$1=TRUE,$S$1=TRUE,$S$4=TRUE)=TRUE,IF(OR($Q$4=TRUE,$Q$5=TRUE,$S$2=TRUE),VLOOKUP($G365,'KO Calc'!$H:$AW,20,FALSE),VLOOKUP($G365,'KO Calc'!$H371:$AW371,20,FALSE)),IF(AND($Q$1=TRUE,$S$4=TRUE),IF(OR($Q$4=TRUE,$Q$5=TRUE,$S$2=TRUE),VLOOKUP($G365,'KO Calc'!$H:$AW,10,FALSE),VLOOKUP($G365,'KO Calc'!$H371:$AW371,10,FALSE)),
IF(AND($S$3=TRUE,$S$1=TRUE,$S$4=FALSE)=TRUE,IF(OR($Q$4=TRUE,$Q$5=TRUE,$S$2=TRUE),VLOOKUP($G365,'KO Calc'!$H:$AW,35,FALSE),VLOOKUP($G365,'KO Calc'!$H371:$AW371,35,FALSE)),IF(AND($S$3=TRUE,$S$4=FALSE),IF(OR($Q$4=TRUE,$Q$5=TRUE,$S$2=TRUE),VLOOKUP($G365,'KO Calc'!$H:$AW,25,FALSE),VLOOKUP($G365,'KO Calc'!$H371:$AW371,25,FALSE)),
IF(AND($S$3=TRUE,$S$1=TRUE,$S$4=TRUE)=TRUE,IF(OR($Q$4=TRUE,$Q$5=TRUE,$S$2=TRUE),VLOOKUP($G365,'KO Calc'!$H:$AW,40,FALSE),VLOOKUP($G365,'KO Calc'!$H371:$AW371,40,FALSE)),IF(AND($S$3=TRUE,$S$4=TRUE),IF(OR($Q$4=TRUE,$Q$5=TRUE,$S$2=TRUE),VLOOKUP($G365,'KO Calc'!$H:$AW,30,FALSE),VLOOKUP($G365,'KO Calc'!$H371:$AW371,30,FALSE)))))))))))))</f>
        <v>-</v>
      </c>
      <c r="L365" s="36" t="str">
        <f>IFERROR(IF(AND($Q$1=FALSE,$S$3=FALSE),"-",VLOOKUP($E365,'Status Thresholds'!$E:$AU,43,FALSE)),"-")</f>
        <v>-</v>
      </c>
      <c r="M365" s="36" t="str">
        <f>IFERROR(IF(AND($Q$1=FALSE,$S$3=FALSE),"-",VLOOKUP($E365,'Status Thresholds'!$E:$AU,41,FALSE)),"-")</f>
        <v>-</v>
      </c>
      <c r="N365" s="36" t="str">
        <f>IFERROR(IF(AND($Q$1=FALSE,$S$3=FALSE),"-",VLOOKUP($E365,'Status Thresholds'!$E:$AU,42,FALSE)),"-")</f>
        <v>-</v>
      </c>
    </row>
    <row r="366" spans="1:14" x14ac:dyDescent="0.25">
      <c r="B366" s="64" t="str">
        <f>VLOOKUP(C366,'Status Thresholds'!B:C,2,FALSE)</f>
        <v>MHGU</v>
      </c>
      <c r="C366" s="46" t="str">
        <f>IF(ISBLANK('KO Calc'!C362)=TRUE,"",'KO Calc'!C362)</f>
        <v>Gore Magala (Chaotic)</v>
      </c>
      <c r="D366" s="78" t="s">
        <v>213</v>
      </c>
      <c r="E366" s="62" t="str">
        <f t="shared" si="11"/>
        <v>Gore Magala (Chaotic)Pitfall Trap</v>
      </c>
      <c r="F366" t="s">
        <v>12</v>
      </c>
      <c r="G366" s="36" t="str">
        <f t="shared" si="12"/>
        <v>Gore Magala (Chaotic)Crag 2</v>
      </c>
      <c r="H366" s="36" t="str">
        <f>IF(AND($Q$1=FALSE,$S$3=FALSE),"-",IF(AND($Q$1=TRUE,$S$3=TRUE),"-",IF(AND($Q$1=FALSE,$S$3=FALSE),"-",IF(AND($Q$1=TRUE,$S$1=TRUE,$S$4=FALSE)=TRUE,IF(OR($Q$4=TRUE,$Q$5=TRUE,$S$2=TRUE),VLOOKUP($G366,'KO Calc'!$H:$AW,12,FALSE),VLOOKUP($G366,'KO Calc'!$H372:$AW372,12,FALSE)),IF(AND($Q$1=TRUE,$S$4=FALSE),IF(OR($Q$4=TRUE,$Q$5=TRUE,$S$2=TRUE),VLOOKUP($G366,'KO Calc'!$H:$AW,2,FALSE),VLOOKUP($G366,'KO Calc'!$H372:$AW372,2,FALSE)),
IF(AND($Q$1=TRUE,$S$1=TRUE,$S$4=TRUE)=TRUE,IF(OR($Q$4=TRUE,$Q$5=TRUE,$S$2=TRUE),VLOOKUP($G366,'KO Calc'!$H:$AW,17,FALSE),VLOOKUP($G366,'KO Calc'!$H372:$AW372,17,FALSE)),IF(AND($Q$1=TRUE,$S$4=TRUE),IF(OR($Q$4=TRUE,$Q$5=TRUE,$S$2=TRUE),VLOOKUP($G366,'KO Calc'!$H:$AW,7,FALSE),VLOOKUP($G366,'KO Calc'!$H372:$AW372,7,FALSE)),
IF(AND($S$3=TRUE,$S$1=TRUE,$S$4=FALSE)=TRUE,IF(OR($Q$4=TRUE,$Q$5=TRUE,$S$2=TRUE),VLOOKUP($G366,'KO Calc'!$H:$AW,32,FALSE),VLOOKUP($G366,'KO Calc'!$H372:$AW372,32,FALSE)),IF(AND($S$3=TRUE,$S$4=FALSE),IF(OR($Q$4=TRUE,$Q$5=TRUE,$S$2=TRUE),VLOOKUP($G366,'KO Calc'!$H:$AW,22,FALSE),VLOOKUP($G366,'KO Calc'!$H372:$AW372,22,FALSE)),
IF(AND($S$3=TRUE,$S$1=TRUE,$S$4=TRUE)=TRUE,IF(OR($Q$4=TRUE,$Q$5=TRUE,$S$2=TRUE),VLOOKUP($G366,'KO Calc'!$H:$AW,37,FALSE),VLOOKUP($G366,'KO Calc'!$H372:$AW372,37,FALSE)),IF(AND($S$3=TRUE,$S$4=TRUE),IF(OR($Q$4=TRUE,$Q$5=TRUE,$S$2=TRUE),VLOOKUP($G366,'KO Calc'!$H:$AW,27,FALSE),VLOOKUP($G366,'KO Calc'!$H372:$AW372,27,FALSE)))))))))))))</f>
        <v>-</v>
      </c>
      <c r="I366" s="36" t="str">
        <f>IF(AND($Q$1=FALSE,$S$3=FALSE),"-",IF(AND($Q$1=TRUE,$S$3=TRUE),"-",IF(AND($Q$1=FALSE,$S$3=FALSE),"-",IF(AND($Q$1=TRUE,$S$1=TRUE,$S$4=FALSE)=TRUE,IF(OR($Q$4=TRUE,$Q$5=TRUE,$S$2=TRUE),VLOOKUP($G366,'KO Calc'!$H:$AW,13,FALSE),VLOOKUP($G366,'KO Calc'!$H372:$AW372,13,FALSE)),IF(AND($Q$1=TRUE,$S$4=FALSE),IF(OR($Q$4=TRUE,$Q$5=TRUE,$S$2=TRUE),VLOOKUP($G366,'KO Calc'!$H:$AW,3,FALSE),VLOOKUP($G366,'KO Calc'!$H372:$AW372,3,FALSE)),
IF(AND($Q$1=TRUE,$S$1=TRUE,$S$4=TRUE)=TRUE,IF(OR($Q$4=TRUE,$Q$5=TRUE,$S$2=TRUE),VLOOKUP($G366,'KO Calc'!$H:$AW,18,FALSE),VLOOKUP($G366,'KO Calc'!$H372:$AW372,18,FALSE)),IF(AND($Q$1=TRUE,$S$4=TRUE),IF(OR($Q$4=TRUE,$Q$5=TRUE,$S$2=TRUE),VLOOKUP($G366,'KO Calc'!$H:$AW,8,FALSE),VLOOKUP($G366,'KO Calc'!$H372:$AW372,8,FALSE)),
IF(AND($S$3=TRUE,$S$1=TRUE,$S$4=FALSE)=TRUE,IF(OR($Q$4=TRUE,$Q$5=TRUE,$S$2=TRUE),VLOOKUP($G366,'KO Calc'!$H:$AW,33,FALSE),VLOOKUP($G366,'KO Calc'!$H372:$AW372,33,FALSE)),IF(AND($S$3=TRUE,$S$4=FALSE),IF(OR($Q$4=TRUE,$Q$5=TRUE,$S$2=TRUE),VLOOKUP($G366,'KO Calc'!$H:$AW,23,FALSE),VLOOKUP($G366,'KO Calc'!$H372:$AW372,23,FALSE)),
IF(AND($S$3=TRUE,$S$1=TRUE,$S$4=TRUE)=TRUE,IF(OR($Q$4=TRUE,$Q$5=TRUE,$S$2=TRUE),VLOOKUP($G366,'KO Calc'!$H:$AW,38,FALSE),VLOOKUP($G366,'KO Calc'!$H372:$AW372,38,FALSE)),IF(AND($S$3=TRUE,$S$4=TRUE),IF(OR($Q$4=TRUE,$Q$5=TRUE,$S$2=TRUE),VLOOKUP($G366,'KO Calc'!$H:$AW,28,FALSE),VLOOKUP($G366,'KO Calc'!$H372:$AW372,28,FALSE)))))))))))))</f>
        <v>-</v>
      </c>
      <c r="J366" s="36" t="str">
        <f>IF(AND($Q$1=FALSE,$S$3=FALSE),"-",IF(AND($Q$1=TRUE,$S$3=TRUE),"-",IF(AND($Q$1=FALSE,$S$3=FALSE),"-",IF(AND($Q$1=TRUE,$S$1=TRUE,$S$4=FALSE)=TRUE,IF(OR($Q$4=TRUE,$Q$5=TRUE,$S$2=TRUE),VLOOKUP($G366,'KO Calc'!$H:$AW,FALSE),VLOOKUP($G366,'KO Calc'!$H372:$AW372,14,FALSE)),IF(AND($Q$1=TRUE,$S$4=FALSE),IF(OR($Q$4=TRUE,$Q$5=TRUE,$S$2=TRUE),VLOOKUP($G366,'KO Calc'!$H:$AW,4,FALSE),VLOOKUP($G366,'KO Calc'!$H372:$AW372,4,FALSE)),
IF(AND($Q$1=TRUE,$S$1=TRUE,$S$4=TRUE)=TRUE,IF(OR($Q$4=TRUE,$Q$5=TRUE,$S$2=TRUE),VLOOKUP($G366,'KO Calc'!$H:$AW,19,FALSE),VLOOKUP($G366,'KO Calc'!$H372:$AW372,19,FALSE)),IF(AND($Q$1=TRUE,$S$4=TRUE),IF(OR($Q$4=TRUE,$Q$5=TRUE,$S$2=TRUE),VLOOKUP($G366,'KO Calc'!$H:$AW,9,FALSE),VLOOKUP($G366,'KO Calc'!$H372:$AW372,9,FALSE)),
IF(AND($S$3=TRUE,$S$1=TRUE,$S$4=FALSE)=TRUE,IF(OR($Q$4=TRUE,$Q$5=TRUE,$S$2=TRUE),VLOOKUP($G366,'KO Calc'!$H:$AW,34,FALSE),VLOOKUP($G366,'KO Calc'!$H372:$AW372,34,FALSE)),IF(AND($S$3=TRUE,$S$4=FALSE),IF(OR($Q$4=TRUE,$Q$5=TRUE,$S$2=TRUE),VLOOKUP($G366,'KO Calc'!$H:$AW,24,FALSE),VLOOKUP($G366,'KO Calc'!$H372:$AW372,24,FALSE)),
IF(AND($S$3=TRUE,$S$1=TRUE,$S$4=TRUE)=TRUE,IF(OR($Q$4=TRUE,$Q$5=TRUE,$S$2=TRUE),VLOOKUP($G366,'KO Calc'!$H:$AW,39,FALSE),VLOOKUP($G366,'KO Calc'!$H372:$AW372,39,FALSE)),IF(AND($S$3=TRUE,$S$4=TRUE),IF(OR($Q$4=TRUE,$Q$5=TRUE,$S$2=TRUE),VLOOKUP($G366,'KO Calc'!$H:$AW,29,FALSE),VLOOKUP($G366,'KO Calc'!$H372:$AW372,29,FALSE)))))))))))))</f>
        <v>-</v>
      </c>
      <c r="K366" s="36" t="str">
        <f>IF(AND($Q$1=FALSE,$S$3=FALSE),"-",IF(AND($Q$1=TRUE,$S$3=TRUE),"-",IF(AND($Q$1=FALSE,$S$3=FALSE),"-",IF(AND($Q$1=TRUE,$S$1=TRUE,$S$4=FALSE)=TRUE,IF(OR($Q$4=TRUE,$Q$5=TRUE,$S$2=TRUE),VLOOKUP($G366,'KO Calc'!$H:$AW,15,FALSE),VLOOKUP($G366,'KO Calc'!$H372:$AW372,15,FALSE)),IF(AND($Q$1=TRUE,$S$4=FALSE),IF(OR($Q$4=TRUE,$Q$5=TRUE,$S$2=TRUE),VLOOKUP($G366,'KO Calc'!$H:$AW,5,FALSE),VLOOKUP($G366,'KO Calc'!$H372:$AW372,5,FALSE)),
IF(AND($Q$1=TRUE,$S$1=TRUE,$S$4=TRUE)=TRUE,IF(OR($Q$4=TRUE,$Q$5=TRUE,$S$2=TRUE),VLOOKUP($G366,'KO Calc'!$H:$AW,20,FALSE),VLOOKUP($G366,'KO Calc'!$H372:$AW372,20,FALSE)),IF(AND($Q$1=TRUE,$S$4=TRUE),IF(OR($Q$4=TRUE,$Q$5=TRUE,$S$2=TRUE),VLOOKUP($G366,'KO Calc'!$H:$AW,10,FALSE),VLOOKUP($G366,'KO Calc'!$H372:$AW372,10,FALSE)),
IF(AND($S$3=TRUE,$S$1=TRUE,$S$4=FALSE)=TRUE,IF(OR($Q$4=TRUE,$Q$5=TRUE,$S$2=TRUE),VLOOKUP($G366,'KO Calc'!$H:$AW,35,FALSE),VLOOKUP($G366,'KO Calc'!$H372:$AW372,35,FALSE)),IF(AND($S$3=TRUE,$S$4=FALSE),IF(OR($Q$4=TRUE,$Q$5=TRUE,$S$2=TRUE),VLOOKUP($G366,'KO Calc'!$H:$AW,25,FALSE),VLOOKUP($G366,'KO Calc'!$H372:$AW372,25,FALSE)),
IF(AND($S$3=TRUE,$S$1=TRUE,$S$4=TRUE)=TRUE,IF(OR($Q$4=TRUE,$Q$5=TRUE,$S$2=TRUE),VLOOKUP($G366,'KO Calc'!$H:$AW,40,FALSE),VLOOKUP($G366,'KO Calc'!$H372:$AW372,40,FALSE)),IF(AND($S$3=TRUE,$S$4=TRUE),IF(OR($Q$4=TRUE,$Q$5=TRUE,$S$2=TRUE),VLOOKUP($G366,'KO Calc'!$H:$AW,30,FALSE),VLOOKUP($G366,'KO Calc'!$H372:$AW372,30,FALSE)))))))))))))</f>
        <v>-</v>
      </c>
      <c r="L366" s="36" t="str">
        <f>IFERROR(IF(AND($Q$1=FALSE,$S$3=FALSE),"-",VLOOKUP($E366,'Status Thresholds'!$E:$AU,43,FALSE)),"-")</f>
        <v>-</v>
      </c>
      <c r="M366" s="36" t="str">
        <f>IFERROR(IF(AND($Q$1=FALSE,$S$3=FALSE),"-",VLOOKUP($E366,'Status Thresholds'!$E:$AU,41,FALSE)),"-")</f>
        <v>-</v>
      </c>
      <c r="N366" s="36" t="str">
        <f>IFERROR(IF(AND($Q$1=FALSE,$S$3=FALSE),"-",VLOOKUP($E366,'Status Thresholds'!$E:$AU,42,FALSE)),"-")</f>
        <v>-</v>
      </c>
    </row>
    <row r="367" spans="1:14" x14ac:dyDescent="0.25">
      <c r="B367" s="64" t="str">
        <f>VLOOKUP(C367,'Status Thresholds'!B:C,2,FALSE)</f>
        <v>MHGU</v>
      </c>
      <c r="C367" s="46" t="str">
        <f>IF(ISBLANK('KO Calc'!C363)=TRUE,"",'KO Calc'!C363)</f>
        <v>Gore Magala (Chaotic)</v>
      </c>
      <c r="D367" s="78"/>
      <c r="E367" s="62" t="str">
        <f t="shared" si="11"/>
        <v>Gore Magala (Chaotic)</v>
      </c>
      <c r="F367" t="s">
        <v>11</v>
      </c>
      <c r="G367" s="36" t="str">
        <f t="shared" si="12"/>
        <v>Gore Magala (Chaotic)Crag 1</v>
      </c>
      <c r="H367" s="36" t="str">
        <f>IF(AND($Q$1=FALSE,$S$3=FALSE),"-",IF(AND($Q$1=TRUE,$S$3=TRUE),"-",IF(AND($Q$1=FALSE,$S$3=FALSE),"-",IF(AND($Q$1=TRUE,$S$1=TRUE,$S$4=FALSE)=TRUE,IF(OR($Q$4=TRUE,$Q$5=TRUE,$S$2=TRUE),VLOOKUP($G367,'KO Calc'!$H:$AW,12,FALSE),VLOOKUP($G367,'KO Calc'!$H373:$AW373,12,FALSE)),IF(AND($Q$1=TRUE,$S$4=FALSE),IF(OR($Q$4=TRUE,$Q$5=TRUE,$S$2=TRUE),VLOOKUP($G367,'KO Calc'!$H:$AW,2,FALSE),VLOOKUP($G367,'KO Calc'!$H373:$AW373,2,FALSE)),
IF(AND($Q$1=TRUE,$S$1=TRUE,$S$4=TRUE)=TRUE,IF(OR($Q$4=TRUE,$Q$5=TRUE,$S$2=TRUE),VLOOKUP($G367,'KO Calc'!$H:$AW,17,FALSE),VLOOKUP($G367,'KO Calc'!$H373:$AW373,17,FALSE)),IF(AND($Q$1=TRUE,$S$4=TRUE),IF(OR($Q$4=TRUE,$Q$5=TRUE,$S$2=TRUE),VLOOKUP($G367,'KO Calc'!$H:$AW,7,FALSE),VLOOKUP($G367,'KO Calc'!$H373:$AW373,7,FALSE)),
IF(AND($S$3=TRUE,$S$1=TRUE,$S$4=FALSE)=TRUE,IF(OR($Q$4=TRUE,$Q$5=TRUE,$S$2=TRUE),VLOOKUP($G367,'KO Calc'!$H:$AW,32,FALSE),VLOOKUP($G367,'KO Calc'!$H373:$AW373,32,FALSE)),IF(AND($S$3=TRUE,$S$4=FALSE),IF(OR($Q$4=TRUE,$Q$5=TRUE,$S$2=TRUE),VLOOKUP($G367,'KO Calc'!$H:$AW,22,FALSE),VLOOKUP($G367,'KO Calc'!$H373:$AW373,22,FALSE)),
IF(AND($S$3=TRUE,$S$1=TRUE,$S$4=TRUE)=TRUE,IF(OR($Q$4=TRUE,$Q$5=TRUE,$S$2=TRUE),VLOOKUP($G367,'KO Calc'!$H:$AW,37,FALSE),VLOOKUP($G367,'KO Calc'!$H373:$AW373,37,FALSE)),IF(AND($S$3=TRUE,$S$4=TRUE),IF(OR($Q$4=TRUE,$Q$5=TRUE,$S$2=TRUE),VLOOKUP($G367,'KO Calc'!$H:$AW,27,FALSE),VLOOKUP($G367,'KO Calc'!$H373:$AW373,27,FALSE)))))))))))))</f>
        <v>-</v>
      </c>
      <c r="I367" s="36" t="str">
        <f>IF(AND($Q$1=FALSE,$S$3=FALSE),"-",IF(AND($Q$1=TRUE,$S$3=TRUE),"-",IF(AND($Q$1=FALSE,$S$3=FALSE),"-",IF(AND($Q$1=TRUE,$S$1=TRUE,$S$4=FALSE)=TRUE,IF(OR($Q$4=TRUE,$Q$5=TRUE,$S$2=TRUE),VLOOKUP($G367,'KO Calc'!$H:$AW,13,FALSE),VLOOKUP($G367,'KO Calc'!$H373:$AW373,13,FALSE)),IF(AND($Q$1=TRUE,$S$4=FALSE),IF(OR($Q$4=TRUE,$Q$5=TRUE,$S$2=TRUE),VLOOKUP($G367,'KO Calc'!$H:$AW,3,FALSE),VLOOKUP($G367,'KO Calc'!$H373:$AW373,3,FALSE)),
IF(AND($Q$1=TRUE,$S$1=TRUE,$S$4=TRUE)=TRUE,IF(OR($Q$4=TRUE,$Q$5=TRUE,$S$2=TRUE),VLOOKUP($G367,'KO Calc'!$H:$AW,18,FALSE),VLOOKUP($G367,'KO Calc'!$H373:$AW373,18,FALSE)),IF(AND($Q$1=TRUE,$S$4=TRUE),IF(OR($Q$4=TRUE,$Q$5=TRUE,$S$2=TRUE),VLOOKUP($G367,'KO Calc'!$H:$AW,8,FALSE),VLOOKUP($G367,'KO Calc'!$H373:$AW373,8,FALSE)),
IF(AND($S$3=TRUE,$S$1=TRUE,$S$4=FALSE)=TRUE,IF(OR($Q$4=TRUE,$Q$5=TRUE,$S$2=TRUE),VLOOKUP($G367,'KO Calc'!$H:$AW,33,FALSE),VLOOKUP($G367,'KO Calc'!$H373:$AW373,33,FALSE)),IF(AND($S$3=TRUE,$S$4=FALSE),IF(OR($Q$4=TRUE,$Q$5=TRUE,$S$2=TRUE),VLOOKUP($G367,'KO Calc'!$H:$AW,23,FALSE),VLOOKUP($G367,'KO Calc'!$H373:$AW373,23,FALSE)),
IF(AND($S$3=TRUE,$S$1=TRUE,$S$4=TRUE)=TRUE,IF(OR($Q$4=TRUE,$Q$5=TRUE,$S$2=TRUE),VLOOKUP($G367,'KO Calc'!$H:$AW,38,FALSE),VLOOKUP($G367,'KO Calc'!$H373:$AW373,38,FALSE)),IF(AND($S$3=TRUE,$S$4=TRUE),IF(OR($Q$4=TRUE,$Q$5=TRUE,$S$2=TRUE),VLOOKUP($G367,'KO Calc'!$H:$AW,28,FALSE),VLOOKUP($G367,'KO Calc'!$H373:$AW373,28,FALSE)))))))))))))</f>
        <v>-</v>
      </c>
      <c r="J367" s="36" t="str">
        <f>IF(AND($Q$1=FALSE,$S$3=FALSE),"-",IF(AND($Q$1=TRUE,$S$3=TRUE),"-",IF(AND($Q$1=FALSE,$S$3=FALSE),"-",IF(AND($Q$1=TRUE,$S$1=TRUE,$S$4=FALSE)=TRUE,IF(OR($Q$4=TRUE,$Q$5=TRUE,$S$2=TRUE),VLOOKUP($G367,'KO Calc'!$H:$AW,FALSE),VLOOKUP($G367,'KO Calc'!$H373:$AW373,14,FALSE)),IF(AND($Q$1=TRUE,$S$4=FALSE),IF(OR($Q$4=TRUE,$Q$5=TRUE,$S$2=TRUE),VLOOKUP($G367,'KO Calc'!$H:$AW,4,FALSE),VLOOKUP($G367,'KO Calc'!$H373:$AW373,4,FALSE)),
IF(AND($Q$1=TRUE,$S$1=TRUE,$S$4=TRUE)=TRUE,IF(OR($Q$4=TRUE,$Q$5=TRUE,$S$2=TRUE),VLOOKUP($G367,'KO Calc'!$H:$AW,19,FALSE),VLOOKUP($G367,'KO Calc'!$H373:$AW373,19,FALSE)),IF(AND($Q$1=TRUE,$S$4=TRUE),IF(OR($Q$4=TRUE,$Q$5=TRUE,$S$2=TRUE),VLOOKUP($G367,'KO Calc'!$H:$AW,9,FALSE),VLOOKUP($G367,'KO Calc'!$H373:$AW373,9,FALSE)),
IF(AND($S$3=TRUE,$S$1=TRUE,$S$4=FALSE)=TRUE,IF(OR($Q$4=TRUE,$Q$5=TRUE,$S$2=TRUE),VLOOKUP($G367,'KO Calc'!$H:$AW,34,FALSE),VLOOKUP($G367,'KO Calc'!$H373:$AW373,34,FALSE)),IF(AND($S$3=TRUE,$S$4=FALSE),IF(OR($Q$4=TRUE,$Q$5=TRUE,$S$2=TRUE),VLOOKUP($G367,'KO Calc'!$H:$AW,24,FALSE),VLOOKUP($G367,'KO Calc'!$H373:$AW373,24,FALSE)),
IF(AND($S$3=TRUE,$S$1=TRUE,$S$4=TRUE)=TRUE,IF(OR($Q$4=TRUE,$Q$5=TRUE,$S$2=TRUE),VLOOKUP($G367,'KO Calc'!$H:$AW,39,FALSE),VLOOKUP($G367,'KO Calc'!$H373:$AW373,39,FALSE)),IF(AND($S$3=TRUE,$S$4=TRUE),IF(OR($Q$4=TRUE,$Q$5=TRUE,$S$2=TRUE),VLOOKUP($G367,'KO Calc'!$H:$AW,29,FALSE),VLOOKUP($G367,'KO Calc'!$H373:$AW373,29,FALSE)))))))))))))</f>
        <v>-</v>
      </c>
      <c r="K367" s="36" t="str">
        <f>IF(AND($Q$1=FALSE,$S$3=FALSE),"-",IF(AND($Q$1=TRUE,$S$3=TRUE),"-",IF(AND($Q$1=FALSE,$S$3=FALSE),"-",IF(AND($Q$1=TRUE,$S$1=TRUE,$S$4=FALSE)=TRUE,IF(OR($Q$4=TRUE,$Q$5=TRUE,$S$2=TRUE),VLOOKUP($G367,'KO Calc'!$H:$AW,15,FALSE),VLOOKUP($G367,'KO Calc'!$H373:$AW373,15,FALSE)),IF(AND($Q$1=TRUE,$S$4=FALSE),IF(OR($Q$4=TRUE,$Q$5=TRUE,$S$2=TRUE),VLOOKUP($G367,'KO Calc'!$H:$AW,5,FALSE),VLOOKUP($G367,'KO Calc'!$H373:$AW373,5,FALSE)),
IF(AND($Q$1=TRUE,$S$1=TRUE,$S$4=TRUE)=TRUE,IF(OR($Q$4=TRUE,$Q$5=TRUE,$S$2=TRUE),VLOOKUP($G367,'KO Calc'!$H:$AW,20,FALSE),VLOOKUP($G367,'KO Calc'!$H373:$AW373,20,FALSE)),IF(AND($Q$1=TRUE,$S$4=TRUE),IF(OR($Q$4=TRUE,$Q$5=TRUE,$S$2=TRUE),VLOOKUP($G367,'KO Calc'!$H:$AW,10,FALSE),VLOOKUP($G367,'KO Calc'!$H373:$AW373,10,FALSE)),
IF(AND($S$3=TRUE,$S$1=TRUE,$S$4=FALSE)=TRUE,IF(OR($Q$4=TRUE,$Q$5=TRUE,$S$2=TRUE),VLOOKUP($G367,'KO Calc'!$H:$AW,35,FALSE),VLOOKUP($G367,'KO Calc'!$H373:$AW373,35,FALSE)),IF(AND($S$3=TRUE,$S$4=FALSE),IF(OR($Q$4=TRUE,$Q$5=TRUE,$S$2=TRUE),VLOOKUP($G367,'KO Calc'!$H:$AW,25,FALSE),VLOOKUP($G367,'KO Calc'!$H373:$AW373,25,FALSE)),
IF(AND($S$3=TRUE,$S$1=TRUE,$S$4=TRUE)=TRUE,IF(OR($Q$4=TRUE,$Q$5=TRUE,$S$2=TRUE),VLOOKUP($G367,'KO Calc'!$H:$AW,40,FALSE),VLOOKUP($G367,'KO Calc'!$H373:$AW373,40,FALSE)),IF(AND($S$3=TRUE,$S$4=TRUE),IF(OR($Q$4=TRUE,$Q$5=TRUE,$S$2=TRUE),VLOOKUP($G367,'KO Calc'!$H:$AW,30,FALSE),VLOOKUP($G367,'KO Calc'!$H373:$AW373,30,FALSE)))))))))))))</f>
        <v>-</v>
      </c>
      <c r="L367" s="36" t="str">
        <f>IFERROR(VLOOKUP($E367,'Status Thresholds'!$E:$AS,41,FALSE),"-")</f>
        <v>-</v>
      </c>
    </row>
    <row r="368" spans="1:14" x14ac:dyDescent="0.25">
      <c r="B368" s="64" t="str">
        <f>VLOOKUP(C368,'Status Thresholds'!B:C,2,FALSE)</f>
        <v>MHGU</v>
      </c>
      <c r="C368" s="46" t="str">
        <f>IF(ISBLANK('KO Calc'!C364)=TRUE,"",'KO Calc'!C364)</f>
        <v>Gore Magala (Chaotic)</v>
      </c>
      <c r="D368" s="78"/>
      <c r="E368" s="62"/>
      <c r="G368" s="36"/>
      <c r="L368" s="36" t="str">
        <f>IFERROR(VLOOKUP($E368,'Status Thresholds'!$E:$AS,41,FALSE),"-")</f>
        <v>-</v>
      </c>
    </row>
    <row r="369" spans="1:14" s="36" customFormat="1" x14ac:dyDescent="0.25">
      <c r="B369" s="64" t="str">
        <f>VLOOKUP(C369,'Status Thresholds'!B:C,2,FALSE)</f>
        <v>MHGen</v>
      </c>
      <c r="C369" s="46" t="str">
        <f>IF(ISBLANK('KO Calc'!C365)=TRUE,"",'KO Calc'!C365)</f>
        <v>Gore Magala (Shagaru)</v>
      </c>
      <c r="D369" s="65" t="s">
        <v>0</v>
      </c>
      <c r="E369" s="62" t="str">
        <f t="shared" si="11"/>
        <v>Gore Magala (Shagaru)Para</v>
      </c>
      <c r="F369" s="36" t="s">
        <v>2</v>
      </c>
      <c r="G369" s="36" t="str">
        <f t="shared" si="12"/>
        <v>Gore Magala (Shagaru)Para lvl 2</v>
      </c>
      <c r="H369" s="36" t="str">
        <f>IFERROR(ROUNDUP(IF(AND($Q$1=FALSE,$S$3=FALSE),"-",IF(AND($Q$1=TRUE,$S$3=TRUE),"-",IF(AND($Q$1=TRUE,$S$1=TRUE,$S$4=FALSE),VLOOKUP($E369,'Status Thresholds'!$E:$AS,12,FALSE),IF(AND($Q$1=TRUE,$S$4=FALSE),VLOOKUP($E369,'Status Thresholds'!$E:$AS,2,FALSE), IF(AND($Q$1=TRUE,$S$1=TRUE,$S$4=TRUE),VLOOKUP($E369,'Status Thresholds'!$E:$AS,17,FALSE),IF(AND($Q$1=TRUE,$S$4=TRUE),VLOOKUP($E369,'Status Thresholds'!$E:$AS,7,FALSE),IF(AND($S$3=TRUE,$S$1=TRUE,$S$4=FALSE),VLOOKUP($E369,'Status Thresholds'!$E:$AS,32,FALSE),IF(AND($S$3=TRUE,$S$4=FALSE),VLOOKUP($E369,'Status Thresholds'!$E:$AS,22,FALSE),IF(AND($S$3=TRUE,$S$1=TRUE,$S$4=TRUE),VLOOKUP($E369,'Status Thresholds'!$E:$AS,37,FALSE),IF(AND($S$3=TRUE,$S$4=TRUE),VLOOKUP($E369,'Status Thresholds'!$E:$AS,27,FALSE),""))))))))/IF(OR($Q$3=TRUE,AND($Q$2=TRUE,$Q$7=TRUE),AND($Q$3=TRUE,$Q$7=TRUE))=TRUE,'Shots and Status'!$F$5,IF((OR($Q$2,$Q$7)=TRUE),'Shots and Status'!$D$5,'Shots and Status'!$C$5)))),0),"-")</f>
        <v>-</v>
      </c>
      <c r="I369" s="36" t="str">
        <f>IFERROR(ROUNDUP(IF(AND($Q$1=FALSE,$S$3=FALSE),"-",IF(AND($Q$1=TRUE,$S$3=TRUE),"-",IF(AND($Q$1=TRUE,$S$1=TRUE,$S$4=FALSE),VLOOKUP($E369,'Status Thresholds'!$E:$AS,13,FALSE),IF(AND($Q$1=TRUE,$S$4=FALSE),VLOOKUP($E369,'Status Thresholds'!$E:$AS,3,FALSE), IF(AND($Q$1=TRUE,$S$1=TRUE,$S$4=TRUE),VLOOKUP($E369,'Status Thresholds'!$E:$AS,18,FALSE),IF(AND($Q$1=TRUE,$S$4=TRUE),VLOOKUP($E369,'Status Thresholds'!$E:$AS,8,FALSE),IF(AND($S$3=TRUE,$S$1=TRUE,$S$4=FALSE),VLOOKUP($E369,'Status Thresholds'!$E:$AS,33,FALSE),IF(AND($S$3=TRUE,$S$4=FALSE),VLOOKUP($E369,'Status Thresholds'!$E:$AS,23,FALSE),IF(AND($S$3=TRUE,$S$1=TRUE,$S$4=TRUE),VLOOKUP($E369,'Status Thresholds'!$E:$AS,38,FALSE),IF(AND($S$3=TRUE,$S$4=TRUE),VLOOKUP($E369,'Status Thresholds'!$E:$AS,28,FALSE),""))))))))/IF(OR($Q$3=TRUE,AND($Q$2=TRUE,$Q$7=TRUE),AND($Q$3=TRUE,$Q$7=TRUE))=TRUE,'Shots and Status'!$F$5,IF((OR($Q$2,$Q$7)=TRUE),'Shots and Status'!$D$5,'Shots and Status'!$C$5)))),0),"-")</f>
        <v>-</v>
      </c>
      <c r="J369" s="36" t="str">
        <f>IFERROR(ROUNDUP(IF(AND($Q$1=FALSE,$S$3=FALSE),"-",IF(AND($Q$1=TRUE,$S$3=TRUE),"-",IF(AND($Q$1=TRUE,$S$1=TRUE,$S$4=FALSE),VLOOKUP($E369,'Status Thresholds'!$E:$AS,14,FALSE),IF(AND($Q$1=TRUE,$S$4=FALSE),VLOOKUP($E369,'Status Thresholds'!$E:$AS,4,FALSE), IF(AND($Q$1=TRUE,$S$1=TRUE,$S$4=TRUE),VLOOKUP($E369,'Status Thresholds'!$E:$AS,19,FALSE),IF(AND($Q$1=TRUE,$S$4=TRUE),VLOOKUP($E369,'Status Thresholds'!$E:$AS,9,FALSE),IF(AND($S$3=TRUE,$S$1=TRUE,$S$4=FALSE),VLOOKUP($E369,'Status Thresholds'!$E:$AS,34,FALSE),IF(AND($S$3=TRUE,$S$4=FALSE),VLOOKUP($E369,'Status Thresholds'!$E:$AS,24,FALSE),IF(AND($S$3=TRUE,$S$1=TRUE,$S$4=TRUE),VLOOKUP($E369,'Status Thresholds'!$E:$AS,39,FALSE),IF(AND($S$3=TRUE,$S$4=TRUE),VLOOKUP($E369,'Status Thresholds'!$E:$AS,29,FALSE),""))))))))/IF(OR($Q$3=TRUE,AND($Q$2=TRUE,$Q$7=TRUE),AND($Q$3=TRUE,$Q$7=TRUE))=TRUE,'Shots and Status'!$F$5,IF((OR($Q$2,$Q$7)=TRUE),'Shots and Status'!$D$5,'Shots and Status'!$C$5)))),0),"-")</f>
        <v>-</v>
      </c>
      <c r="K369" s="36" t="str">
        <f>IFERROR(ROUNDUP(IF(AND($Q$1=FALSE,$S$3=FALSE),"-",IF(AND($Q$1=TRUE,$S$3=TRUE),"-",IF(AND($Q$1=TRUE,$S$1=TRUE,$S$4=FALSE),VLOOKUP($E369,'Status Thresholds'!$E:$AS,15,FALSE),IF(AND($Q$1=TRUE,$S$4=FALSE),VLOOKUP($E369,'Status Thresholds'!$E:$AS,5,FALSE), IF(AND($Q$1=TRUE,$S$1=TRUE,$S$4=TRUE),VLOOKUP($E369,'Status Thresholds'!$E:$AS,20,FALSE),IF(AND($Q$1=TRUE,$S$4=TRUE),VLOOKUP($E369,'Status Thresholds'!$E:$AS,10,FALSE),IF(AND($S$3=TRUE,$S$1=TRUE,$S$4=FALSE),VLOOKUP($E369,'Status Thresholds'!$E:$AS,35,FALSE),IF(AND($S$3=TRUE,$S$4=FALSE),VLOOKUP($E369,'Status Thresholds'!$E:$AS,25,FALSE),IF(AND($S$3=TRUE,$S$1=TRUE,$S$4=TRUE),VLOOKUP($E369,'Status Thresholds'!$E:$AS,40,FALSE),IF(AND($S$3=TRUE,$S$4=TRUE),VLOOKUP($E369,'Status Thresholds'!$E:$AS,30,FALSE),""))))))))/IF(OR($Q$3=TRUE,AND($Q$2=TRUE,$Q$7=TRUE),AND($Q$3=TRUE,$Q$7=TRUE))=TRUE,'Shots and Status'!$F$5,IF((OR($Q$2,$Q$7)=TRUE),'Shots and Status'!$D$5,'Shots and Status'!$C$5)))),0),"-")</f>
        <v>-</v>
      </c>
      <c r="L369" s="36" t="str">
        <f>IFERROR(IF(AND($Q$1=FALSE,$S$3=FALSE),"-",VLOOKUP($E369,'Status Thresholds'!$E:$AU,41,FALSE)),"-")</f>
        <v>-</v>
      </c>
      <c r="M369" s="36" t="str">
        <f>IFERROR(IF(AND($Q$1=FALSE,$S$3=FALSE),"-",VLOOKUP($E369,'Status Thresholds'!$E:$AU,42,FALSE)),"-")</f>
        <v>-</v>
      </c>
      <c r="N369" s="36" t="str">
        <f>IFERROR(IF(AND($Q$1=FALSE,$S$3=FALSE),"-",VLOOKUP($E369,'Status Thresholds'!$E:$AU,43,FALSE)),"-")</f>
        <v>-</v>
      </c>
    </row>
    <row r="370" spans="1:14" s="59" customFormat="1" x14ac:dyDescent="0.25">
      <c r="A370" s="46"/>
      <c r="B370" s="64" t="str">
        <f>VLOOKUP(C370,'Status Thresholds'!B:C,2,FALSE)</f>
        <v>MHGen</v>
      </c>
      <c r="C370" s="46" t="str">
        <f>IF(ISBLANK('KO Calc'!C366)=TRUE,"",'KO Calc'!C366)</f>
        <v>Gore Magala (Shagaru)</v>
      </c>
      <c r="D370" s="60" t="s">
        <v>32</v>
      </c>
      <c r="E370" s="62" t="str">
        <f t="shared" si="11"/>
        <v>Gore Magala (Shagaru)Sleep</v>
      </c>
      <c r="F370" s="59" t="s">
        <v>5</v>
      </c>
      <c r="G370" s="36" t="str">
        <f t="shared" si="12"/>
        <v>Gore Magala (Shagaru)Sleep lvl 2</v>
      </c>
      <c r="H370" s="36" t="str">
        <f>IFERROR(ROUNDUP(IF(AND($Q$1=FALSE,$S$3=FALSE),"-",IF(AND($Q$1=TRUE,$S$3=TRUE),"-",IF(AND($Q$1=TRUE,$S$1=TRUE,$S$4=FALSE),VLOOKUP($E370,'Status Thresholds'!$E:$AS,12,FALSE),IF(AND($Q$1=TRUE,$S$4=FALSE),VLOOKUP($E370,'Status Thresholds'!$E:$AS,2,FALSE), IF(AND($Q$1=TRUE,$S$1=TRUE,$S$4=TRUE),VLOOKUP($E370,'Status Thresholds'!$E:$AS,17,FALSE),IF(AND($Q$1=TRUE,$S$4=TRUE),VLOOKUP($E370,'Status Thresholds'!$E:$AS,7,FALSE),IF(AND($S$3=TRUE,$S$1=TRUE,$S$4=FALSE),VLOOKUP($E370,'Status Thresholds'!$E:$AS,32,FALSE),IF(AND($S$3=TRUE,$S$4=FALSE),VLOOKUP($E370,'Status Thresholds'!$E:$AS,22,FALSE),IF(AND($S$3=TRUE,$S$1=TRUE,$S$4=TRUE),VLOOKUP($E370,'Status Thresholds'!$E:$AS,37,FALSE),IF(AND($S$3=TRUE,$S$4=TRUE),VLOOKUP($E370,'Status Thresholds'!$E:$AS,27,FALSE),""))))))))/IF(OR($Q$3=TRUE,AND($Q$2=TRUE,$Q$7=TRUE),AND($Q$3=TRUE,$Q$7=TRUE))=TRUE,'Shots and Status'!$F$5,IF((OR($Q$2,$Q$7)=TRUE),'Shots and Status'!$D$5,'Shots and Status'!$C$5)))),0),"-")</f>
        <v>-</v>
      </c>
      <c r="I370" s="36" t="str">
        <f>IFERROR(ROUNDUP(IF(AND($Q$1=FALSE,$S$3=FALSE),"-",IF(AND($Q$1=TRUE,$S$3=TRUE),"-",IF(AND($Q$1=TRUE,$S$1=TRUE,$S$4=FALSE),VLOOKUP($E370,'Status Thresholds'!$E:$AS,13,FALSE),IF(AND($Q$1=TRUE,$S$4=FALSE),VLOOKUP($E370,'Status Thresholds'!$E:$AS,3,FALSE), IF(AND($Q$1=TRUE,$S$1=TRUE,$S$4=TRUE),VLOOKUP($E370,'Status Thresholds'!$E:$AS,18,FALSE),IF(AND($Q$1=TRUE,$S$4=TRUE),VLOOKUP($E370,'Status Thresholds'!$E:$AS,8,FALSE),IF(AND($S$3=TRUE,$S$1=TRUE,$S$4=FALSE),VLOOKUP($E370,'Status Thresholds'!$E:$AS,33,FALSE),IF(AND($S$3=TRUE,$S$4=FALSE),VLOOKUP($E370,'Status Thresholds'!$E:$AS,23,FALSE),IF(AND($S$3=TRUE,$S$1=TRUE,$S$4=TRUE),VLOOKUP($E370,'Status Thresholds'!$E:$AS,38,FALSE),IF(AND($S$3=TRUE,$S$4=TRUE),VLOOKUP($E370,'Status Thresholds'!$E:$AS,28,FALSE),""))))))))/IF(OR($Q$3=TRUE,AND($Q$2=TRUE,$Q$7=TRUE),AND($Q$3=TRUE,$Q$7=TRUE))=TRUE,'Shots and Status'!$F$5,IF((OR($Q$2,$Q$7)=TRUE),'Shots and Status'!$D$5,'Shots and Status'!$C$5)))),0),"-")</f>
        <v>-</v>
      </c>
      <c r="J370" s="36" t="str">
        <f>IFERROR(ROUNDUP(IF(AND($Q$1=FALSE,$S$3=FALSE),"-",IF(AND($Q$1=TRUE,$S$3=TRUE),"-",IF(AND($Q$1=TRUE,$S$1=TRUE,$S$4=FALSE),VLOOKUP($E370,'Status Thresholds'!$E:$AS,14,FALSE),IF(AND($Q$1=TRUE,$S$4=FALSE),VLOOKUP($E370,'Status Thresholds'!$E:$AS,4,FALSE), IF(AND($Q$1=TRUE,$S$1=TRUE,$S$4=TRUE),VLOOKUP($E370,'Status Thresholds'!$E:$AS,19,FALSE),IF(AND($Q$1=TRUE,$S$4=TRUE),VLOOKUP($E370,'Status Thresholds'!$E:$AS,9,FALSE),IF(AND($S$3=TRUE,$S$1=TRUE,$S$4=FALSE),VLOOKUP($E370,'Status Thresholds'!$E:$AS,34,FALSE),IF(AND($S$3=TRUE,$S$4=FALSE),VLOOKUP($E370,'Status Thresholds'!$E:$AS,24,FALSE),IF(AND($S$3=TRUE,$S$1=TRUE,$S$4=TRUE),VLOOKUP($E370,'Status Thresholds'!$E:$AS,39,FALSE),IF(AND($S$3=TRUE,$S$4=TRUE),VLOOKUP($E370,'Status Thresholds'!$E:$AS,29,FALSE),""))))))))/IF(OR($Q$3=TRUE,AND($Q$2=TRUE,$Q$7=TRUE),AND($Q$3=TRUE,$Q$7=TRUE))=TRUE,'Shots and Status'!$F$5,IF((OR($Q$2,$Q$7)=TRUE),'Shots and Status'!$D$5,'Shots and Status'!$C$5)))),0),"-")</f>
        <v>-</v>
      </c>
      <c r="K370" s="36" t="str">
        <f>IFERROR(ROUNDUP(IF(AND($Q$1=FALSE,$S$3=FALSE),"-",IF(AND($Q$1=TRUE,$S$3=TRUE),"-",IF(AND($Q$1=TRUE,$S$1=TRUE,$S$4=FALSE),VLOOKUP($E370,'Status Thresholds'!$E:$AS,15,FALSE),IF(AND($Q$1=TRUE,$S$4=FALSE),VLOOKUP($E370,'Status Thresholds'!$E:$AS,5,FALSE), IF(AND($Q$1=TRUE,$S$1=TRUE,$S$4=TRUE),VLOOKUP($E370,'Status Thresholds'!$E:$AS,20,FALSE),IF(AND($Q$1=TRUE,$S$4=TRUE),VLOOKUP($E370,'Status Thresholds'!$E:$AS,10,FALSE),IF(AND($S$3=TRUE,$S$1=TRUE,$S$4=FALSE),VLOOKUP($E370,'Status Thresholds'!$E:$AS,35,FALSE),IF(AND($S$3=TRUE,$S$4=FALSE),VLOOKUP($E370,'Status Thresholds'!$E:$AS,25,FALSE),IF(AND($S$3=TRUE,$S$1=TRUE,$S$4=TRUE),VLOOKUP($E370,'Status Thresholds'!$E:$AS,40,FALSE),IF(AND($S$3=TRUE,$S$4=TRUE),VLOOKUP($E370,'Status Thresholds'!$E:$AS,30,FALSE),""))))))))/IF(OR($Q$3=TRUE,AND($Q$2=TRUE,$Q$7=TRUE),AND($Q$3=TRUE,$Q$7=TRUE))=TRUE,'Shots and Status'!$F$5,IF((OR($Q$2,$Q$7)=TRUE),'Shots and Status'!$D$5,'Shots and Status'!$C$5)))),0),"-")</f>
        <v>-</v>
      </c>
      <c r="L370" s="36" t="str">
        <f>IFERROR(IF(AND($Q$1=FALSE,$S$3=FALSE),"-",VLOOKUP($E370,'Status Thresholds'!$E:$AU,41,FALSE)),"-")</f>
        <v>-</v>
      </c>
      <c r="M370" s="36" t="str">
        <f>IFERROR(IF(AND($Q$1=FALSE,$S$3=FALSE),"-",VLOOKUP($E370,'Status Thresholds'!$E:$AU,42,FALSE)),"-")</f>
        <v>-</v>
      </c>
      <c r="N370" s="36" t="str">
        <f>IFERROR(IF(AND($Q$1=FALSE,$S$3=FALSE),"-",VLOOKUP($E370,'Status Thresholds'!$E:$AU,43,FALSE)),"-")</f>
        <v>-</v>
      </c>
    </row>
    <row r="371" spans="1:14" s="59" customFormat="1" x14ac:dyDescent="0.25">
      <c r="A371" s="46"/>
      <c r="B371" s="64" t="str">
        <f>VLOOKUP(C371,'Status Thresholds'!B:C,2,FALSE)</f>
        <v>MHGen</v>
      </c>
      <c r="C371" s="46" t="str">
        <f>IF(ISBLANK('KO Calc'!C367)=TRUE,"",'KO Calc'!C367)</f>
        <v>Gore Magala (Shagaru)</v>
      </c>
      <c r="D371" s="58" t="s">
        <v>33</v>
      </c>
      <c r="E371" s="62" t="str">
        <f t="shared" si="11"/>
        <v>Gore Magala (Shagaru)Poison</v>
      </c>
      <c r="F371" s="59" t="s">
        <v>6</v>
      </c>
      <c r="G371" s="36" t="str">
        <f t="shared" si="12"/>
        <v>Gore Magala (Shagaru)Poison lvl 2</v>
      </c>
      <c r="H371" s="36" t="str">
        <f>IFERROR(ROUNDUP(IF(AND($Q$1=FALSE,$S$3=FALSE),"-",IF(AND($Q$1=TRUE,$S$3=TRUE),"-",IF(AND($Q$1=TRUE,$S$1=TRUE,$S$4=FALSE),VLOOKUP($E371,'Status Thresholds'!$E:$AS,12,FALSE),IF(AND($Q$1=TRUE,$S$4=FALSE),VLOOKUP($E371,'Status Thresholds'!$E:$AS,2,FALSE), IF(AND($Q$1=TRUE,$S$1=TRUE,$S$4=TRUE),VLOOKUP($E371,'Status Thresholds'!$E:$AS,17,FALSE),IF(AND($Q$1=TRUE,$S$4=TRUE),VLOOKUP($E371,'Status Thresholds'!$E:$AS,7,FALSE),IF(AND($S$3=TRUE,$S$1=TRUE,$S$4=FALSE),VLOOKUP($E371,'Status Thresholds'!$E:$AS,32,FALSE),IF(AND($S$3=TRUE,$S$4=FALSE),VLOOKUP($E371,'Status Thresholds'!$E:$AS,22,FALSE),IF(AND($S$3=TRUE,$S$1=TRUE,$S$4=TRUE),VLOOKUP($E371,'Status Thresholds'!$E:$AS,37,FALSE),IF(AND($S$3=TRUE,$S$4=TRUE),VLOOKUP($E371,'Status Thresholds'!$E:$AS,27,FALSE),""))))))))/IF(OR($Q$3=TRUE,AND($Q$2=TRUE,$Q$7=TRUE),AND($Q$3=TRUE,$Q$7=TRUE))=TRUE,'Shots and Status'!$F$5,IF((OR($Q$2,$Q$7)=TRUE),'Shots and Status'!$D$5,'Shots and Status'!$C$5)))),0),"-")</f>
        <v>-</v>
      </c>
      <c r="I371" s="36" t="str">
        <f>IFERROR(ROUNDUP(IF(AND($Q$1=FALSE,$S$3=FALSE),"-",IF(AND($Q$1=TRUE,$S$3=TRUE),"-",IF(AND($Q$1=TRUE,$S$1=TRUE,$S$4=FALSE),VLOOKUP($E371,'Status Thresholds'!$E:$AS,13,FALSE),IF(AND($Q$1=TRUE,$S$4=FALSE),VLOOKUP($E371,'Status Thresholds'!$E:$AS,3,FALSE), IF(AND($Q$1=TRUE,$S$1=TRUE,$S$4=TRUE),VLOOKUP($E371,'Status Thresholds'!$E:$AS,18,FALSE),IF(AND($Q$1=TRUE,$S$4=TRUE),VLOOKUP($E371,'Status Thresholds'!$E:$AS,8,FALSE),IF(AND($S$3=TRUE,$S$1=TRUE,$S$4=FALSE),VLOOKUP($E371,'Status Thresholds'!$E:$AS,33,FALSE),IF(AND($S$3=TRUE,$S$4=FALSE),VLOOKUP($E371,'Status Thresholds'!$E:$AS,23,FALSE),IF(AND($S$3=TRUE,$S$1=TRUE,$S$4=TRUE),VLOOKUP($E371,'Status Thresholds'!$E:$AS,38,FALSE),IF(AND($S$3=TRUE,$S$4=TRUE),VLOOKUP($E371,'Status Thresholds'!$E:$AS,28,FALSE),""))))))))/IF(OR($Q$3=TRUE,AND($Q$2=TRUE,$Q$7=TRUE),AND($Q$3=TRUE,$Q$7=TRUE))=TRUE,'Shots and Status'!$F$5,IF((OR($Q$2,$Q$7)=TRUE),'Shots and Status'!$D$5,'Shots and Status'!$C$5)))),0),"-")</f>
        <v>-</v>
      </c>
      <c r="J371" s="36" t="str">
        <f>IFERROR(ROUNDUP(IF(AND($Q$1=FALSE,$S$3=FALSE),"-",IF(AND($Q$1=TRUE,$S$3=TRUE),"-",IF(AND($Q$1=TRUE,$S$1=TRUE,$S$4=FALSE),VLOOKUP($E371,'Status Thresholds'!$E:$AS,14,FALSE),IF(AND($Q$1=TRUE,$S$4=FALSE),VLOOKUP($E371,'Status Thresholds'!$E:$AS,4,FALSE), IF(AND($Q$1=TRUE,$S$1=TRUE,$S$4=TRUE),VLOOKUP($E371,'Status Thresholds'!$E:$AS,19,FALSE),IF(AND($Q$1=TRUE,$S$4=TRUE),VLOOKUP($E371,'Status Thresholds'!$E:$AS,9,FALSE),IF(AND($S$3=TRUE,$S$1=TRUE,$S$4=FALSE),VLOOKUP($E371,'Status Thresholds'!$E:$AS,34,FALSE),IF(AND($S$3=TRUE,$S$4=FALSE),VLOOKUP($E371,'Status Thresholds'!$E:$AS,24,FALSE),IF(AND($S$3=TRUE,$S$1=TRUE,$S$4=TRUE),VLOOKUP($E371,'Status Thresholds'!$E:$AS,39,FALSE),IF(AND($S$3=TRUE,$S$4=TRUE),VLOOKUP($E371,'Status Thresholds'!$E:$AS,29,FALSE),""))))))))/IF(OR($Q$3=TRUE,AND($Q$2=TRUE,$Q$7=TRUE),AND($Q$3=TRUE,$Q$7=TRUE))=TRUE,'Shots and Status'!$F$5,IF((OR($Q$2,$Q$7)=TRUE),'Shots and Status'!$D$5,'Shots and Status'!$C$5)))),0),"-")</f>
        <v>-</v>
      </c>
      <c r="K371" s="36" t="str">
        <f>IFERROR(ROUNDUP(IF(AND($Q$1=FALSE,$S$3=FALSE),"-",IF(AND($Q$1=TRUE,$S$3=TRUE),"-",IF(AND($Q$1=TRUE,$S$1=TRUE,$S$4=FALSE),VLOOKUP($E371,'Status Thresholds'!$E:$AS,15,FALSE),IF(AND($Q$1=TRUE,$S$4=FALSE),VLOOKUP($E371,'Status Thresholds'!$E:$AS,5,FALSE), IF(AND($Q$1=TRUE,$S$1=TRUE,$S$4=TRUE),VLOOKUP($E371,'Status Thresholds'!$E:$AS,20,FALSE),IF(AND($Q$1=TRUE,$S$4=TRUE),VLOOKUP($E371,'Status Thresholds'!$E:$AS,10,FALSE),IF(AND($S$3=TRUE,$S$1=TRUE,$S$4=FALSE),VLOOKUP($E371,'Status Thresholds'!$E:$AS,35,FALSE),IF(AND($S$3=TRUE,$S$4=FALSE),VLOOKUP($E371,'Status Thresholds'!$E:$AS,25,FALSE),IF(AND($S$3=TRUE,$S$1=TRUE,$S$4=TRUE),VLOOKUP($E371,'Status Thresholds'!$E:$AS,40,FALSE),IF(AND($S$3=TRUE,$S$4=TRUE),VLOOKUP($E371,'Status Thresholds'!$E:$AS,30,FALSE),""))))))))/IF(OR($Q$3=TRUE,AND($Q$2=TRUE,$Q$7=TRUE),AND($Q$3=TRUE,$Q$7=TRUE))=TRUE,'Shots and Status'!$F$5,IF((OR($Q$2,$Q$7)=TRUE),'Shots and Status'!$D$5,'Shots and Status'!$C$5)))),0),"-")</f>
        <v>-</v>
      </c>
      <c r="L371" s="36" t="str">
        <f>IFERROR(IF(AND($Q$1=FALSE,$S$3=FALSE),"-",VLOOKUP($E371,'Status Thresholds'!$E:$AU,41,FALSE)),"-")</f>
        <v>-</v>
      </c>
      <c r="M371" s="36" t="str">
        <f>IFERROR(IF(AND($Q$1=FALSE,$S$3=FALSE),"-",VLOOKUP($E371,'Status Thresholds'!$E:$AU,42,FALSE)),"-")</f>
        <v>-</v>
      </c>
      <c r="N371" s="36" t="str">
        <f>IFERROR(IF(AND($Q$1=FALSE,$S$3=FALSE),"-",VLOOKUP($E371,'Status Thresholds'!$E:$AU,43,FALSE)),"-")</f>
        <v>-</v>
      </c>
    </row>
    <row r="372" spans="1:14" s="36" customFormat="1" x14ac:dyDescent="0.25">
      <c r="A372" s="46"/>
      <c r="B372" s="64" t="str">
        <f>VLOOKUP(C372,'Status Thresholds'!B:C,2,FALSE)</f>
        <v>MHGen</v>
      </c>
      <c r="C372" s="46" t="str">
        <f>IF(ISBLANK('KO Calc'!C368)=TRUE,"",'KO Calc'!C368)</f>
        <v>Gore Magala (Shagaru)</v>
      </c>
      <c r="D372" s="57" t="s">
        <v>22</v>
      </c>
      <c r="E372" s="62" t="str">
        <f t="shared" si="11"/>
        <v>Gore Magala (Shagaru)Exhaust</v>
      </c>
      <c r="F372" s="36" t="s">
        <v>8</v>
      </c>
      <c r="G372" s="36" t="str">
        <f t="shared" si="12"/>
        <v>Gore Magala (Shagaru)Exhaust lvl 2</v>
      </c>
      <c r="H372" s="36" t="str">
        <f>IFERROR(ROUNDUP(IF(AND($Q$1=FALSE,$S$3=FALSE),"-",IF(AND($Q$1=TRUE,$S$3=TRUE),"-",IF(AND($Q$1=TRUE,$S$1=TRUE,$S$4=FALSE),VLOOKUP($E372,'Status Thresholds'!$E:$AS,12,FALSE),IF(AND($Q$1=TRUE,$S$4=FALSE),VLOOKUP($E372,'Status Thresholds'!$E:$AS,2,FALSE), IF(AND($Q$1=TRUE,$S$1=TRUE,$S$4=TRUE),VLOOKUP($E372,'Status Thresholds'!$E:$AS,17,FALSE),IF(AND($Q$1=TRUE,$S$4=TRUE),VLOOKUP($E372,'Status Thresholds'!$E:$AS,7,FALSE),IF(AND($S$3=TRUE,$S$1=TRUE,$S$4=FALSE),VLOOKUP($E372,'Status Thresholds'!$E:$AS,32,FALSE),IF(AND($S$3=TRUE,$S$4=FALSE),VLOOKUP($E372,'Status Thresholds'!$E:$AS,22,FALSE),IF(AND($S$3=TRUE,$S$1=TRUE,$S$4=TRUE),VLOOKUP($E372,'Status Thresholds'!$E:$AS,37,FALSE),IF(AND($S$3=TRUE,$S$4=TRUE),VLOOKUP($E372,'Status Thresholds'!$E:$AS,27,FALSE),""))))))))/IF(OR($Q$3=TRUE,AND($Q$2=TRUE,$Q$7=TRUE),AND($Q$3=TRUE,$Q$7=TRUE))=TRUE,'Shots and Status'!$F$5,IF((OR($Q$2,$Q$7)=TRUE),'Shots and Status'!$D$5,'Shots and Status'!$C$5)))),0),"-")</f>
        <v>-</v>
      </c>
      <c r="I372" s="36" t="str">
        <f>IFERROR(ROUNDUP(IF(AND($Q$1=FALSE,$S$3=FALSE),"-",IF(AND($Q$1=TRUE,$S$3=TRUE),"-",IF(AND($Q$1=TRUE,$S$1=TRUE,$S$4=FALSE),VLOOKUP($E372,'Status Thresholds'!$E:$AS,13,FALSE),IF(AND($Q$1=TRUE,$S$4=FALSE),VLOOKUP($E372,'Status Thresholds'!$E:$AS,3,FALSE), IF(AND($Q$1=TRUE,$S$1=TRUE,$S$4=TRUE),VLOOKUP($E372,'Status Thresholds'!$E:$AS,18,FALSE),IF(AND($Q$1=TRUE,$S$4=TRUE),VLOOKUP($E372,'Status Thresholds'!$E:$AS,8,FALSE),IF(AND($S$3=TRUE,$S$1=TRUE,$S$4=FALSE),VLOOKUP($E372,'Status Thresholds'!$E:$AS,33,FALSE),IF(AND($S$3=TRUE,$S$4=FALSE),VLOOKUP($E372,'Status Thresholds'!$E:$AS,23,FALSE),IF(AND($S$3=TRUE,$S$1=TRUE,$S$4=TRUE),VLOOKUP($E372,'Status Thresholds'!$E:$AS,38,FALSE),IF(AND($S$3=TRUE,$S$4=TRUE),VLOOKUP($E372,'Status Thresholds'!$E:$AS,28,FALSE),""))))))))/IF(OR($Q$3=TRUE,AND($Q$2=TRUE,$Q$7=TRUE),AND($Q$3=TRUE,$Q$7=TRUE))=TRUE,'Shots and Status'!$F$5,IF((OR($Q$2,$Q$7)=TRUE),'Shots and Status'!$D$5,'Shots and Status'!$C$5)))),0),"-")</f>
        <v>-</v>
      </c>
      <c r="J372" s="36" t="str">
        <f>IFERROR(ROUNDUP(IF(AND($Q$1=FALSE,$S$3=FALSE),"-",IF(AND($Q$1=TRUE,$S$3=TRUE),"-",IF(AND($Q$1=TRUE,$S$1=TRUE,$S$4=FALSE),VLOOKUP($E372,'Status Thresholds'!$E:$AS,14,FALSE),IF(AND($Q$1=TRUE,$S$4=FALSE),VLOOKUP($E372,'Status Thresholds'!$E:$AS,4,FALSE), IF(AND($Q$1=TRUE,$S$1=TRUE,$S$4=TRUE),VLOOKUP($E372,'Status Thresholds'!$E:$AS,19,FALSE),IF(AND($Q$1=TRUE,$S$4=TRUE),VLOOKUP($E372,'Status Thresholds'!$E:$AS,9,FALSE),IF(AND($S$3=TRUE,$S$1=TRUE,$S$4=FALSE),VLOOKUP($E372,'Status Thresholds'!$E:$AS,34,FALSE),IF(AND($S$3=TRUE,$S$4=FALSE),VLOOKUP($E372,'Status Thresholds'!$E:$AS,24,FALSE),IF(AND($S$3=TRUE,$S$1=TRUE,$S$4=TRUE),VLOOKUP($E372,'Status Thresholds'!$E:$AS,39,FALSE),IF(AND($S$3=TRUE,$S$4=TRUE),VLOOKUP($E372,'Status Thresholds'!$E:$AS,29,FALSE),""))))))))/IF(OR($Q$3=TRUE,AND($Q$2=TRUE,$Q$7=TRUE),AND($Q$3=TRUE,$Q$7=TRUE))=TRUE,'Shots and Status'!$F$5,IF((OR($Q$2,$Q$7)=TRUE),'Shots and Status'!$D$5,'Shots and Status'!$C$5)))),0),"-")</f>
        <v>-</v>
      </c>
      <c r="K372" s="36" t="str">
        <f>IFERROR(ROUNDUP(IF(AND($Q$1=FALSE,$S$3=FALSE),"-",IF(AND($Q$1=TRUE,$S$3=TRUE),"-",IF(AND($Q$1=TRUE,$S$1=TRUE,$S$4=FALSE),VLOOKUP($E372,'Status Thresholds'!$E:$AS,15,FALSE),IF(AND($Q$1=TRUE,$S$4=FALSE),VLOOKUP($E372,'Status Thresholds'!$E:$AS,5,FALSE), IF(AND($Q$1=TRUE,$S$1=TRUE,$S$4=TRUE),VLOOKUP($E372,'Status Thresholds'!$E:$AS,20,FALSE),IF(AND($Q$1=TRUE,$S$4=TRUE),VLOOKUP($E372,'Status Thresholds'!$E:$AS,10,FALSE),IF(AND($S$3=TRUE,$S$1=TRUE,$S$4=FALSE),VLOOKUP($E372,'Status Thresholds'!$E:$AS,35,FALSE),IF(AND($S$3=TRUE,$S$4=FALSE),VLOOKUP($E372,'Status Thresholds'!$E:$AS,25,FALSE),IF(AND($S$3=TRUE,$S$1=TRUE,$S$4=TRUE),VLOOKUP($E372,'Status Thresholds'!$E:$AS,40,FALSE),IF(AND($S$3=TRUE,$S$4=TRUE),VLOOKUP($E372,'Status Thresholds'!$E:$AS,30,FALSE),""))))))))/IF(OR($Q$3=TRUE,AND($Q$2=TRUE,$Q$7=TRUE),AND($Q$3=TRUE,$Q$7=TRUE))=TRUE,'Shots and Status'!$F$5,IF((OR($Q$2,$Q$7)=TRUE),'Shots and Status'!$D$5,'Shots and Status'!$C$5)))),0),"-")</f>
        <v>-</v>
      </c>
      <c r="L372" s="36" t="str">
        <f>IFERROR(IF(AND($Q$1=FALSE,$S$3=FALSE),"-",VLOOKUP($E372,'Status Thresholds'!$E:$AU,41,FALSE)),"-")</f>
        <v>-</v>
      </c>
      <c r="M372" s="36" t="str">
        <f>IFERROR(IF(AND($Q$1=FALSE,$S$3=FALSE),"-",VLOOKUP($E372,'Status Thresholds'!$E:$AU,42,FALSE)),"-")</f>
        <v>-</v>
      </c>
      <c r="N372" s="36" t="str">
        <f>IFERROR(IF(AND($Q$1=FALSE,$S$3=FALSE),"-",VLOOKUP($E372,'Status Thresholds'!$E:$AU,43,FALSE)),"-")</f>
        <v>-</v>
      </c>
    </row>
    <row r="373" spans="1:14" s="36" customFormat="1" x14ac:dyDescent="0.25">
      <c r="A373" s="46"/>
      <c r="B373" s="64" t="str">
        <f>VLOOKUP(C373,'Status Thresholds'!B:C,2,FALSE)</f>
        <v>MHGen</v>
      </c>
      <c r="C373" s="46" t="str">
        <f>IF(ISBLANK('KO Calc'!C369)=TRUE,"",'KO Calc'!C369)</f>
        <v>Gore Magala (Shagaru)</v>
      </c>
      <c r="D373" s="67" t="s">
        <v>14</v>
      </c>
      <c r="E373" s="62" t="str">
        <f t="shared" si="11"/>
        <v>Gore Magala (Shagaru)KO</v>
      </c>
      <c r="F373" s="36" t="s">
        <v>21</v>
      </c>
      <c r="G373" s="36" t="str">
        <f t="shared" si="12"/>
        <v>Gore Magala (Shagaru)Triblast</v>
      </c>
      <c r="H373" s="36" t="str">
        <f>IF(AND($Q$1=FALSE,$S$3=FALSE),"-",IF(AND($Q$1=TRUE,$S$3=TRUE),"-",IF(AND($Q$1=FALSE,$S$3=FALSE),"-",IF(AND($Q$1=TRUE,$S$1=TRUE,$S$4=FALSE)=TRUE,IF(OR($Q$4=TRUE,$Q$5=TRUE,$S$2=TRUE),VLOOKUP($G373,'KO Calc'!$H:$AW,12,FALSE),VLOOKUP($G373,'KO Calc'!$H379:$AW379,12,FALSE)),IF(AND($Q$1=TRUE,$S$4=FALSE),IF(OR($Q$4=TRUE,$Q$5=TRUE,$S$2=TRUE),VLOOKUP($G373,'KO Calc'!$H:$AW,2,FALSE),VLOOKUP($G373,'KO Calc'!$H379:$AW379,2,FALSE)),
IF(AND($Q$1=TRUE,$S$1=TRUE,$S$4=TRUE)=TRUE,IF(OR($Q$4=TRUE,$Q$5=TRUE,$S$2=TRUE),VLOOKUP($G373,'KO Calc'!$H:$AW,17,FALSE),VLOOKUP($G373,'KO Calc'!$H379:$AW379,17,FALSE)),IF(AND($Q$1=TRUE,$S$4=TRUE),IF(OR($Q$4=TRUE,$Q$5=TRUE,$S$2=TRUE),VLOOKUP($G373,'KO Calc'!$H:$AW,7,FALSE),VLOOKUP($G373,'KO Calc'!$H379:$AW379,7,FALSE)),
IF(AND($S$3=TRUE,$S$1=TRUE,$S$4=FALSE)=TRUE,IF(OR($Q$4=TRUE,$Q$5=TRUE,$S$2=TRUE),VLOOKUP($G373,'KO Calc'!$H:$AW,32,FALSE),VLOOKUP($G373,'KO Calc'!$H379:$AW379,32,FALSE)),IF(AND($S$3=TRUE,$S$4=FALSE),IF(OR($Q$4=TRUE,$Q$5=TRUE,$S$2=TRUE),VLOOKUP($G373,'KO Calc'!$H:$AW,22,FALSE),VLOOKUP($G373,'KO Calc'!$H379:$AW379,22,FALSE)),
IF(AND($S$3=TRUE,$S$1=TRUE,$S$4=TRUE)=TRUE,IF(OR($Q$4=TRUE,$Q$5=TRUE,$S$2=TRUE),VLOOKUP($G373,'KO Calc'!$H:$AW,37,FALSE),VLOOKUP($G373,'KO Calc'!$H379:$AW379,37,FALSE)),IF(AND($S$3=TRUE,$S$4=TRUE),IF(OR($Q$4=TRUE,$Q$5=TRUE,$S$2=TRUE),VLOOKUP($G373,'KO Calc'!$H:$AW,27,FALSE),VLOOKUP($G373,'KO Calc'!$H379:$AW379,27,FALSE)))))))))))))</f>
        <v>-</v>
      </c>
      <c r="I373" s="36" t="str">
        <f>IF(AND($Q$1=FALSE,$S$3=FALSE),"-",IF(AND($Q$1=TRUE,$S$3=TRUE),"-",IF(AND($Q$1=FALSE,$S$3=FALSE),"-",IF(AND($Q$1=TRUE,$S$1=TRUE,$S$4=FALSE)=TRUE,IF(OR($Q$4=TRUE,$Q$5=TRUE,$S$2=TRUE),VLOOKUP($G373,'KO Calc'!$H:$AW,13,FALSE),VLOOKUP($G373,'KO Calc'!$H379:$AW379,13,FALSE)),IF(AND($Q$1=TRUE,$S$4=FALSE),IF(OR($Q$4=TRUE,$Q$5=TRUE,$S$2=TRUE),VLOOKUP($G373,'KO Calc'!$H:$AW,3,FALSE),VLOOKUP($G373,'KO Calc'!$H379:$AW379,3,FALSE)),
IF(AND($Q$1=TRUE,$S$1=TRUE,$S$4=TRUE)=TRUE,IF(OR($Q$4=TRUE,$Q$5=TRUE,$S$2=TRUE),VLOOKUP($G373,'KO Calc'!$H:$AW,18,FALSE),VLOOKUP($G373,'KO Calc'!$H379:$AW379,18,FALSE)),IF(AND($Q$1=TRUE,$S$4=TRUE),IF(OR($Q$4=TRUE,$Q$5=TRUE,$S$2=TRUE),VLOOKUP($G373,'KO Calc'!$H:$AW,8,FALSE),VLOOKUP($G373,'KO Calc'!$H379:$AW379,8,FALSE)),
IF(AND($S$3=TRUE,$S$1=TRUE,$S$4=FALSE)=TRUE,IF(OR($Q$4=TRUE,$Q$5=TRUE,$S$2=TRUE),VLOOKUP($G373,'KO Calc'!$H:$AW,33,FALSE),VLOOKUP($G373,'KO Calc'!$H379:$AW379,33,FALSE)),IF(AND($S$3=TRUE,$S$4=FALSE),IF(OR($Q$4=TRUE,$Q$5=TRUE,$S$2=TRUE),VLOOKUP($G373,'KO Calc'!$H:$AW,23,FALSE),VLOOKUP($G373,'KO Calc'!$H379:$AW379,23,FALSE)),
IF(AND($S$3=TRUE,$S$1=TRUE,$S$4=TRUE)=TRUE,IF(OR($Q$4=TRUE,$Q$5=TRUE,$S$2=TRUE),VLOOKUP($G373,'KO Calc'!$H:$AW,38,FALSE),VLOOKUP($G373,'KO Calc'!$H379:$AW379,38,FALSE)),IF(AND($S$3=TRUE,$S$4=TRUE),IF(OR($Q$4=TRUE,$Q$5=TRUE,$S$2=TRUE),VLOOKUP($G373,'KO Calc'!$H:$AW,28,FALSE),VLOOKUP($G373,'KO Calc'!$H379:$AW379,28,FALSE)))))))))))))</f>
        <v>-</v>
      </c>
      <c r="J373" s="36" t="str">
        <f>IF(AND($Q$1=FALSE,$S$3=FALSE),"-",IF(AND($Q$1=TRUE,$S$3=TRUE),"-",IF(AND($Q$1=FALSE,$S$3=FALSE),"-",IF(AND($Q$1=TRUE,$S$1=TRUE,$S$4=FALSE)=TRUE,IF(OR($Q$4=TRUE,$Q$5=TRUE,$S$2=TRUE),VLOOKUP($G373,'KO Calc'!$H:$AW,FALSE),VLOOKUP($G373,'KO Calc'!$H379:$AW379,14,FALSE)),IF(AND($Q$1=TRUE,$S$4=FALSE),IF(OR($Q$4=TRUE,$Q$5=TRUE,$S$2=TRUE),VLOOKUP($G373,'KO Calc'!$H:$AW,4,FALSE),VLOOKUP($G373,'KO Calc'!$H379:$AW379,4,FALSE)),
IF(AND($Q$1=TRUE,$S$1=TRUE,$S$4=TRUE)=TRUE,IF(OR($Q$4=TRUE,$Q$5=TRUE,$S$2=TRUE),VLOOKUP($G373,'KO Calc'!$H:$AW,19,FALSE),VLOOKUP($G373,'KO Calc'!$H379:$AW379,19,FALSE)),IF(AND($Q$1=TRUE,$S$4=TRUE),IF(OR($Q$4=TRUE,$Q$5=TRUE,$S$2=TRUE),VLOOKUP($G373,'KO Calc'!$H:$AW,9,FALSE),VLOOKUP($G373,'KO Calc'!$H379:$AW379,9,FALSE)),
IF(AND($S$3=TRUE,$S$1=TRUE,$S$4=FALSE)=TRUE,IF(OR($Q$4=TRUE,$Q$5=TRUE,$S$2=TRUE),VLOOKUP($G373,'KO Calc'!$H:$AW,34,FALSE),VLOOKUP($G373,'KO Calc'!$H379:$AW379,34,FALSE)),IF(AND($S$3=TRUE,$S$4=FALSE),IF(OR($Q$4=TRUE,$Q$5=TRUE,$S$2=TRUE),VLOOKUP($G373,'KO Calc'!$H:$AW,24,FALSE),VLOOKUP($G373,'KO Calc'!$H379:$AW379,24,FALSE)),
IF(AND($S$3=TRUE,$S$1=TRUE,$S$4=TRUE)=TRUE,IF(OR($Q$4=TRUE,$Q$5=TRUE,$S$2=TRUE),VLOOKUP($G373,'KO Calc'!$H:$AW,39,FALSE),VLOOKUP($G373,'KO Calc'!$H379:$AW379,39,FALSE)),IF(AND($S$3=TRUE,$S$4=TRUE),IF(OR($Q$4=TRUE,$Q$5=TRUE,$S$2=TRUE),VLOOKUP($G373,'KO Calc'!$H:$AW,29,FALSE),VLOOKUP($G373,'KO Calc'!$H379:$AW379,29,FALSE)))))))))))))</f>
        <v>-</v>
      </c>
      <c r="K373" s="36" t="str">
        <f>IF(AND($Q$1=FALSE,$S$3=FALSE),"-",IF(AND($Q$1=TRUE,$S$3=TRUE),"-",IF(AND($Q$1=FALSE,$S$3=FALSE),"-",IF(AND($Q$1=TRUE,$S$1=TRUE,$S$4=FALSE)=TRUE,IF(OR($Q$4=TRUE,$Q$5=TRUE,$S$2=TRUE),VLOOKUP($G373,'KO Calc'!$H:$AW,15,FALSE),VLOOKUP($G373,'KO Calc'!$H379:$AW379,15,FALSE)),IF(AND($Q$1=TRUE,$S$4=FALSE),IF(OR($Q$4=TRUE,$Q$5=TRUE,$S$2=TRUE),VLOOKUP($G373,'KO Calc'!$H:$AW,5,FALSE),VLOOKUP($G373,'KO Calc'!$H379:$AW379,5,FALSE)),
IF(AND($Q$1=TRUE,$S$1=TRUE,$S$4=TRUE)=TRUE,IF(OR($Q$4=TRUE,$Q$5=TRUE,$S$2=TRUE),VLOOKUP($G373,'KO Calc'!$H:$AW,20,FALSE),VLOOKUP($G373,'KO Calc'!$H379:$AW379,20,FALSE)),IF(AND($Q$1=TRUE,$S$4=TRUE),IF(OR($Q$4=TRUE,$Q$5=TRUE,$S$2=TRUE),VLOOKUP($G373,'KO Calc'!$H:$AW,10,FALSE),VLOOKUP($G373,'KO Calc'!$H379:$AW379,10,FALSE)),
IF(AND($S$3=TRUE,$S$1=TRUE,$S$4=FALSE)=TRUE,IF(OR($Q$4=TRUE,$Q$5=TRUE,$S$2=TRUE),VLOOKUP($G373,'KO Calc'!$H:$AW,35,FALSE),VLOOKUP($G373,'KO Calc'!$H379:$AW379,35,FALSE)),IF(AND($S$3=TRUE,$S$4=FALSE),IF(OR($Q$4=TRUE,$Q$5=TRUE,$S$2=TRUE),VLOOKUP($G373,'KO Calc'!$H:$AW,25,FALSE),VLOOKUP($G373,'KO Calc'!$H379:$AW379,25,FALSE)),
IF(AND($S$3=TRUE,$S$1=TRUE,$S$4=TRUE)=TRUE,IF(OR($Q$4=TRUE,$Q$5=TRUE,$S$2=TRUE),VLOOKUP($G373,'KO Calc'!$H:$AW,40,FALSE),VLOOKUP($G373,'KO Calc'!$H379:$AW379,40,FALSE)),IF(AND($S$3=TRUE,$S$4=TRUE),IF(OR($Q$4=TRUE,$Q$5=TRUE,$S$2=TRUE),VLOOKUP($G373,'KO Calc'!$H:$AW,30,FALSE),VLOOKUP($G373,'KO Calc'!$H379:$AW379,30,FALSE)))))))))))))</f>
        <v>-</v>
      </c>
      <c r="L373" s="36" t="str">
        <f>IFERROR(IF(AND($Q$1=FALSE,$S$3=FALSE),"-",VLOOKUP($E373,'Status Thresholds'!$E:$AU,41,FALSE)),"-")</f>
        <v>-</v>
      </c>
      <c r="M373" s="36" t="str">
        <f>IFERROR(IF(AND($Q$1=FALSE,$S$3=FALSE),"-",VLOOKUP($E373,'Status Thresholds'!$E:$AU,42,FALSE)),"-")</f>
        <v>-</v>
      </c>
      <c r="N373" s="36" t="str">
        <f>IFERROR(IF(AND($Q$1=FALSE,$S$3=FALSE),"-",VLOOKUP($E373,'Status Thresholds'!$E:$AU,43,FALSE)),"-")</f>
        <v>-</v>
      </c>
    </row>
    <row r="374" spans="1:14" x14ac:dyDescent="0.25">
      <c r="B374" s="64" t="str">
        <f>VLOOKUP(C374,'Status Thresholds'!B:C,2,FALSE)</f>
        <v>MHGen</v>
      </c>
      <c r="C374" s="46" t="str">
        <f>IF(ISBLANK('KO Calc'!C370)=TRUE,"",'KO Calc'!C370)</f>
        <v>Gore Magala (Shagaru)</v>
      </c>
      <c r="D374" s="78" t="s">
        <v>207</v>
      </c>
      <c r="E374" s="62" t="str">
        <f t="shared" si="11"/>
        <v>Gore Magala (Shagaru)Shock Trap</v>
      </c>
      <c r="F374" t="s">
        <v>13</v>
      </c>
      <c r="G374" s="36" t="str">
        <f t="shared" si="12"/>
        <v>Gore Magala (Shagaru)Crag 3</v>
      </c>
      <c r="H374" s="36" t="str">
        <f>IF(AND($Q$1=FALSE,$S$3=FALSE),"-",IF(AND($Q$1=TRUE,$S$3=TRUE),"-",IF(AND($Q$1=FALSE,$S$3=FALSE),"-",IF(AND($Q$1=TRUE,$S$1=TRUE,$S$4=FALSE)=TRUE,IF(OR($Q$4=TRUE,$Q$5=TRUE,$S$2=TRUE),VLOOKUP($G374,'KO Calc'!$H:$AW,12,FALSE),VLOOKUP($G374,'KO Calc'!$H380:$AW380,12,FALSE)),IF(AND($Q$1=TRUE,$S$4=FALSE),IF(OR($Q$4=TRUE,$Q$5=TRUE,$S$2=TRUE),VLOOKUP($G374,'KO Calc'!$H:$AW,2,FALSE),VLOOKUP($G374,'KO Calc'!$H380:$AW380,2,FALSE)),
IF(AND($Q$1=TRUE,$S$1=TRUE,$S$4=TRUE)=TRUE,IF(OR($Q$4=TRUE,$Q$5=TRUE,$S$2=TRUE),VLOOKUP($G374,'KO Calc'!$H:$AW,17,FALSE),VLOOKUP($G374,'KO Calc'!$H380:$AW380,17,FALSE)),IF(AND($Q$1=TRUE,$S$4=TRUE),IF(OR($Q$4=TRUE,$Q$5=TRUE,$S$2=TRUE),VLOOKUP($G374,'KO Calc'!$H:$AW,7,FALSE),VLOOKUP($G374,'KO Calc'!$H380:$AW380,7,FALSE)),
IF(AND($S$3=TRUE,$S$1=TRUE,$S$4=FALSE)=TRUE,IF(OR($Q$4=TRUE,$Q$5=TRUE,$S$2=TRUE),VLOOKUP($G374,'KO Calc'!$H:$AW,32,FALSE),VLOOKUP($G374,'KO Calc'!$H380:$AW380,32,FALSE)),IF(AND($S$3=TRUE,$S$4=FALSE),IF(OR($Q$4=TRUE,$Q$5=TRUE,$S$2=TRUE),VLOOKUP($G374,'KO Calc'!$H:$AW,22,FALSE),VLOOKUP($G374,'KO Calc'!$H380:$AW380,22,FALSE)),
IF(AND($S$3=TRUE,$S$1=TRUE,$S$4=TRUE)=TRUE,IF(OR($Q$4=TRUE,$Q$5=TRUE,$S$2=TRUE),VLOOKUP($G374,'KO Calc'!$H:$AW,37,FALSE),VLOOKUP($G374,'KO Calc'!$H380:$AW380,37,FALSE)),IF(AND($S$3=TRUE,$S$4=TRUE),IF(OR($Q$4=TRUE,$Q$5=TRUE,$S$2=TRUE),VLOOKUP($G374,'KO Calc'!$H:$AW,27,FALSE),VLOOKUP($G374,'KO Calc'!$H380:$AW380,27,FALSE)))))))))))))</f>
        <v>-</v>
      </c>
      <c r="I374" s="36" t="str">
        <f>IF(AND($Q$1=FALSE,$S$3=FALSE),"-",IF(AND($Q$1=TRUE,$S$3=TRUE),"-",IF(AND($Q$1=FALSE,$S$3=FALSE),"-",IF(AND($Q$1=TRUE,$S$1=TRUE,$S$4=FALSE)=TRUE,IF(OR($Q$4=TRUE,$Q$5=TRUE,$S$2=TRUE),VLOOKUP($G374,'KO Calc'!$H:$AW,13,FALSE),VLOOKUP($G374,'KO Calc'!$H380:$AW380,13,FALSE)),IF(AND($Q$1=TRUE,$S$4=FALSE),IF(OR($Q$4=TRUE,$Q$5=TRUE,$S$2=TRUE),VLOOKUP($G374,'KO Calc'!$H:$AW,3,FALSE),VLOOKUP($G374,'KO Calc'!$H380:$AW380,3,FALSE)),
IF(AND($Q$1=TRUE,$S$1=TRUE,$S$4=TRUE)=TRUE,IF(OR($Q$4=TRUE,$Q$5=TRUE,$S$2=TRUE),VLOOKUP($G374,'KO Calc'!$H:$AW,18,FALSE),VLOOKUP($G374,'KO Calc'!$H380:$AW380,18,FALSE)),IF(AND($Q$1=TRUE,$S$4=TRUE),IF(OR($Q$4=TRUE,$Q$5=TRUE,$S$2=TRUE),VLOOKUP($G374,'KO Calc'!$H:$AW,8,FALSE),VLOOKUP($G374,'KO Calc'!$H380:$AW380,8,FALSE)),
IF(AND($S$3=TRUE,$S$1=TRUE,$S$4=FALSE)=TRUE,IF(OR($Q$4=TRUE,$Q$5=TRUE,$S$2=TRUE),VLOOKUP($G374,'KO Calc'!$H:$AW,33,FALSE),VLOOKUP($G374,'KO Calc'!$H380:$AW380,33,FALSE)),IF(AND($S$3=TRUE,$S$4=FALSE),IF(OR($Q$4=TRUE,$Q$5=TRUE,$S$2=TRUE),VLOOKUP($G374,'KO Calc'!$H:$AW,23,FALSE),VLOOKUP($G374,'KO Calc'!$H380:$AW380,23,FALSE)),
IF(AND($S$3=TRUE,$S$1=TRUE,$S$4=TRUE)=TRUE,IF(OR($Q$4=TRUE,$Q$5=TRUE,$S$2=TRUE),VLOOKUP($G374,'KO Calc'!$H:$AW,38,FALSE),VLOOKUP($G374,'KO Calc'!$H380:$AW380,38,FALSE)),IF(AND($S$3=TRUE,$S$4=TRUE),IF(OR($Q$4=TRUE,$Q$5=TRUE,$S$2=TRUE),VLOOKUP($G374,'KO Calc'!$H:$AW,28,FALSE),VLOOKUP($G374,'KO Calc'!$H380:$AW380,28,FALSE)))))))))))))</f>
        <v>-</v>
      </c>
      <c r="J374" s="36" t="str">
        <f>IF(AND($Q$1=FALSE,$S$3=FALSE),"-",IF(AND($Q$1=TRUE,$S$3=TRUE),"-",IF(AND($Q$1=FALSE,$S$3=FALSE),"-",IF(AND($Q$1=TRUE,$S$1=TRUE,$S$4=FALSE)=TRUE,IF(OR($Q$4=TRUE,$Q$5=TRUE,$S$2=TRUE),VLOOKUP($G374,'KO Calc'!$H:$AW,FALSE),VLOOKUP($G374,'KO Calc'!$H380:$AW380,14,FALSE)),IF(AND($Q$1=TRUE,$S$4=FALSE),IF(OR($Q$4=TRUE,$Q$5=TRUE,$S$2=TRUE),VLOOKUP($G374,'KO Calc'!$H:$AW,4,FALSE),VLOOKUP($G374,'KO Calc'!$H380:$AW380,4,FALSE)),
IF(AND($Q$1=TRUE,$S$1=TRUE,$S$4=TRUE)=TRUE,IF(OR($Q$4=TRUE,$Q$5=TRUE,$S$2=TRUE),VLOOKUP($G374,'KO Calc'!$H:$AW,19,FALSE),VLOOKUP($G374,'KO Calc'!$H380:$AW380,19,FALSE)),IF(AND($Q$1=TRUE,$S$4=TRUE),IF(OR($Q$4=TRUE,$Q$5=TRUE,$S$2=TRUE),VLOOKUP($G374,'KO Calc'!$H:$AW,9,FALSE),VLOOKUP($G374,'KO Calc'!$H380:$AW380,9,FALSE)),
IF(AND($S$3=TRUE,$S$1=TRUE,$S$4=FALSE)=TRUE,IF(OR($Q$4=TRUE,$Q$5=TRUE,$S$2=TRUE),VLOOKUP($G374,'KO Calc'!$H:$AW,34,FALSE),VLOOKUP($G374,'KO Calc'!$H380:$AW380,34,FALSE)),IF(AND($S$3=TRUE,$S$4=FALSE),IF(OR($Q$4=TRUE,$Q$5=TRUE,$S$2=TRUE),VLOOKUP($G374,'KO Calc'!$H:$AW,24,FALSE),VLOOKUP($G374,'KO Calc'!$H380:$AW380,24,FALSE)),
IF(AND($S$3=TRUE,$S$1=TRUE,$S$4=TRUE)=TRUE,IF(OR($Q$4=TRUE,$Q$5=TRUE,$S$2=TRUE),VLOOKUP($G374,'KO Calc'!$H:$AW,39,FALSE),VLOOKUP($G374,'KO Calc'!$H380:$AW380,39,FALSE)),IF(AND($S$3=TRUE,$S$4=TRUE),IF(OR($Q$4=TRUE,$Q$5=TRUE,$S$2=TRUE),VLOOKUP($G374,'KO Calc'!$H:$AW,29,FALSE),VLOOKUP($G374,'KO Calc'!$H380:$AW380,29,FALSE)))))))))))))</f>
        <v>-</v>
      </c>
      <c r="K374" s="36" t="str">
        <f>IF(AND($Q$1=FALSE,$S$3=FALSE),"-",IF(AND($Q$1=TRUE,$S$3=TRUE),"-",IF(AND($Q$1=FALSE,$S$3=FALSE),"-",IF(AND($Q$1=TRUE,$S$1=TRUE,$S$4=FALSE)=TRUE,IF(OR($Q$4=TRUE,$Q$5=TRUE,$S$2=TRUE),VLOOKUP($G374,'KO Calc'!$H:$AW,15,FALSE),VLOOKUP($G374,'KO Calc'!$H380:$AW380,15,FALSE)),IF(AND($Q$1=TRUE,$S$4=FALSE),IF(OR($Q$4=TRUE,$Q$5=TRUE,$S$2=TRUE),VLOOKUP($G374,'KO Calc'!$H:$AW,5,FALSE),VLOOKUP($G374,'KO Calc'!$H380:$AW380,5,FALSE)),
IF(AND($Q$1=TRUE,$S$1=TRUE,$S$4=TRUE)=TRUE,IF(OR($Q$4=TRUE,$Q$5=TRUE,$S$2=TRUE),VLOOKUP($G374,'KO Calc'!$H:$AW,20,FALSE),VLOOKUP($G374,'KO Calc'!$H380:$AW380,20,FALSE)),IF(AND($Q$1=TRUE,$S$4=TRUE),IF(OR($Q$4=TRUE,$Q$5=TRUE,$S$2=TRUE),VLOOKUP($G374,'KO Calc'!$H:$AW,10,FALSE),VLOOKUP($G374,'KO Calc'!$H380:$AW380,10,FALSE)),
IF(AND($S$3=TRUE,$S$1=TRUE,$S$4=FALSE)=TRUE,IF(OR($Q$4=TRUE,$Q$5=TRUE,$S$2=TRUE),VLOOKUP($G374,'KO Calc'!$H:$AW,35,FALSE),VLOOKUP($G374,'KO Calc'!$H380:$AW380,35,FALSE)),IF(AND($S$3=TRUE,$S$4=FALSE),IF(OR($Q$4=TRUE,$Q$5=TRUE,$S$2=TRUE),VLOOKUP($G374,'KO Calc'!$H:$AW,25,FALSE),VLOOKUP($G374,'KO Calc'!$H380:$AW380,25,FALSE)),
IF(AND($S$3=TRUE,$S$1=TRUE,$S$4=TRUE)=TRUE,IF(OR($Q$4=TRUE,$Q$5=TRUE,$S$2=TRUE),VLOOKUP($G374,'KO Calc'!$H:$AW,40,FALSE),VLOOKUP($G374,'KO Calc'!$H380:$AW380,40,FALSE)),IF(AND($S$3=TRUE,$S$4=TRUE),IF(OR($Q$4=TRUE,$Q$5=TRUE,$S$2=TRUE),VLOOKUP($G374,'KO Calc'!$H:$AW,30,FALSE),VLOOKUP($G374,'KO Calc'!$H380:$AW380,30,FALSE)))))))))))))</f>
        <v>-</v>
      </c>
      <c r="L374" s="36" t="str">
        <f>IFERROR(IF(AND($Q$1=FALSE,$S$3=FALSE),"-",VLOOKUP($E374,'Status Thresholds'!$E:$AU,43,FALSE)),"-")</f>
        <v>-</v>
      </c>
      <c r="M374" s="36" t="str">
        <f>IFERROR(IF(AND($Q$1=FALSE,$S$3=FALSE),"-",VLOOKUP($E374,'Status Thresholds'!$E:$AU,41,FALSE)),"-")</f>
        <v>-</v>
      </c>
      <c r="N374" s="36" t="str">
        <f>IFERROR(IF(AND($Q$1=FALSE,$S$3=FALSE),"-",VLOOKUP($E374,'Status Thresholds'!$E:$AU,42,FALSE)),"-")</f>
        <v>-</v>
      </c>
    </row>
    <row r="375" spans="1:14" x14ac:dyDescent="0.25">
      <c r="B375" s="64" t="str">
        <f>VLOOKUP(C375,'Status Thresholds'!B:C,2,FALSE)</f>
        <v>MHGen</v>
      </c>
      <c r="C375" s="46" t="str">
        <f>IF(ISBLANK('KO Calc'!C371)=TRUE,"",'KO Calc'!C371)</f>
        <v>Gore Magala (Shagaru)</v>
      </c>
      <c r="D375" s="78" t="s">
        <v>213</v>
      </c>
      <c r="E375" s="62" t="str">
        <f t="shared" si="11"/>
        <v>Gore Magala (Shagaru)Pitfall Trap</v>
      </c>
      <c r="F375" t="s">
        <v>12</v>
      </c>
      <c r="G375" s="36" t="str">
        <f t="shared" si="12"/>
        <v>Gore Magala (Shagaru)Crag 2</v>
      </c>
      <c r="H375" s="36" t="str">
        <f>IF(AND($Q$1=FALSE,$S$3=FALSE),"-",IF(AND($Q$1=TRUE,$S$3=TRUE),"-",IF(AND($Q$1=FALSE,$S$3=FALSE),"-",IF(AND($Q$1=TRUE,$S$1=TRUE,$S$4=FALSE)=TRUE,IF(OR($Q$4=TRUE,$Q$5=TRUE,$S$2=TRUE),VLOOKUP($G375,'KO Calc'!$H:$AW,12,FALSE),VLOOKUP($G375,'KO Calc'!$H381:$AW381,12,FALSE)),IF(AND($Q$1=TRUE,$S$4=FALSE),IF(OR($Q$4=TRUE,$Q$5=TRUE,$S$2=TRUE),VLOOKUP($G375,'KO Calc'!$H:$AW,2,FALSE),VLOOKUP($G375,'KO Calc'!$H381:$AW381,2,FALSE)),
IF(AND($Q$1=TRUE,$S$1=TRUE,$S$4=TRUE)=TRUE,IF(OR($Q$4=TRUE,$Q$5=TRUE,$S$2=TRUE),VLOOKUP($G375,'KO Calc'!$H:$AW,17,FALSE),VLOOKUP($G375,'KO Calc'!$H381:$AW381,17,FALSE)),IF(AND($Q$1=TRUE,$S$4=TRUE),IF(OR($Q$4=TRUE,$Q$5=TRUE,$S$2=TRUE),VLOOKUP($G375,'KO Calc'!$H:$AW,7,FALSE),VLOOKUP($G375,'KO Calc'!$H381:$AW381,7,FALSE)),
IF(AND($S$3=TRUE,$S$1=TRUE,$S$4=FALSE)=TRUE,IF(OR($Q$4=TRUE,$Q$5=TRUE,$S$2=TRUE),VLOOKUP($G375,'KO Calc'!$H:$AW,32,FALSE),VLOOKUP($G375,'KO Calc'!$H381:$AW381,32,FALSE)),IF(AND($S$3=TRUE,$S$4=FALSE),IF(OR($Q$4=TRUE,$Q$5=TRUE,$S$2=TRUE),VLOOKUP($G375,'KO Calc'!$H:$AW,22,FALSE),VLOOKUP($G375,'KO Calc'!$H381:$AW381,22,FALSE)),
IF(AND($S$3=TRUE,$S$1=TRUE,$S$4=TRUE)=TRUE,IF(OR($Q$4=TRUE,$Q$5=TRUE,$S$2=TRUE),VLOOKUP($G375,'KO Calc'!$H:$AW,37,FALSE),VLOOKUP($G375,'KO Calc'!$H381:$AW381,37,FALSE)),IF(AND($S$3=TRUE,$S$4=TRUE),IF(OR($Q$4=TRUE,$Q$5=TRUE,$S$2=TRUE),VLOOKUP($G375,'KO Calc'!$H:$AW,27,FALSE),VLOOKUP($G375,'KO Calc'!$H381:$AW381,27,FALSE)))))))))))))</f>
        <v>-</v>
      </c>
      <c r="I375" s="36" t="str">
        <f>IF(AND($Q$1=FALSE,$S$3=FALSE),"-",IF(AND($Q$1=TRUE,$S$3=TRUE),"-",IF(AND($Q$1=FALSE,$S$3=FALSE),"-",IF(AND($Q$1=TRUE,$S$1=TRUE,$S$4=FALSE)=TRUE,IF(OR($Q$4=TRUE,$Q$5=TRUE,$S$2=TRUE),VLOOKUP($G375,'KO Calc'!$H:$AW,13,FALSE),VLOOKUP($G375,'KO Calc'!$H381:$AW381,13,FALSE)),IF(AND($Q$1=TRUE,$S$4=FALSE),IF(OR($Q$4=TRUE,$Q$5=TRUE,$S$2=TRUE),VLOOKUP($G375,'KO Calc'!$H:$AW,3,FALSE),VLOOKUP($G375,'KO Calc'!$H381:$AW381,3,FALSE)),
IF(AND($Q$1=TRUE,$S$1=TRUE,$S$4=TRUE)=TRUE,IF(OR($Q$4=TRUE,$Q$5=TRUE,$S$2=TRUE),VLOOKUP($G375,'KO Calc'!$H:$AW,18,FALSE),VLOOKUP($G375,'KO Calc'!$H381:$AW381,18,FALSE)),IF(AND($Q$1=TRUE,$S$4=TRUE),IF(OR($Q$4=TRUE,$Q$5=TRUE,$S$2=TRUE),VLOOKUP($G375,'KO Calc'!$H:$AW,8,FALSE),VLOOKUP($G375,'KO Calc'!$H381:$AW381,8,FALSE)),
IF(AND($S$3=TRUE,$S$1=TRUE,$S$4=FALSE)=TRUE,IF(OR($Q$4=TRUE,$Q$5=TRUE,$S$2=TRUE),VLOOKUP($G375,'KO Calc'!$H:$AW,33,FALSE),VLOOKUP($G375,'KO Calc'!$H381:$AW381,33,FALSE)),IF(AND($S$3=TRUE,$S$4=FALSE),IF(OR($Q$4=TRUE,$Q$5=TRUE,$S$2=TRUE),VLOOKUP($G375,'KO Calc'!$H:$AW,23,FALSE),VLOOKUP($G375,'KO Calc'!$H381:$AW381,23,FALSE)),
IF(AND($S$3=TRUE,$S$1=TRUE,$S$4=TRUE)=TRUE,IF(OR($Q$4=TRUE,$Q$5=TRUE,$S$2=TRUE),VLOOKUP($G375,'KO Calc'!$H:$AW,38,FALSE),VLOOKUP($G375,'KO Calc'!$H381:$AW381,38,FALSE)),IF(AND($S$3=TRUE,$S$4=TRUE),IF(OR($Q$4=TRUE,$Q$5=TRUE,$S$2=TRUE),VLOOKUP($G375,'KO Calc'!$H:$AW,28,FALSE),VLOOKUP($G375,'KO Calc'!$H381:$AW381,28,FALSE)))))))))))))</f>
        <v>-</v>
      </c>
      <c r="J375" s="36" t="str">
        <f>IF(AND($Q$1=FALSE,$S$3=FALSE),"-",IF(AND($Q$1=TRUE,$S$3=TRUE),"-",IF(AND($Q$1=FALSE,$S$3=FALSE),"-",IF(AND($Q$1=TRUE,$S$1=TRUE,$S$4=FALSE)=TRUE,IF(OR($Q$4=TRUE,$Q$5=TRUE,$S$2=TRUE),VLOOKUP($G375,'KO Calc'!$H:$AW,FALSE),VLOOKUP($G375,'KO Calc'!$H381:$AW381,14,FALSE)),IF(AND($Q$1=TRUE,$S$4=FALSE),IF(OR($Q$4=TRUE,$Q$5=TRUE,$S$2=TRUE),VLOOKUP($G375,'KO Calc'!$H:$AW,4,FALSE),VLOOKUP($G375,'KO Calc'!$H381:$AW381,4,FALSE)),
IF(AND($Q$1=TRUE,$S$1=TRUE,$S$4=TRUE)=TRUE,IF(OR($Q$4=TRUE,$Q$5=TRUE,$S$2=TRUE),VLOOKUP($G375,'KO Calc'!$H:$AW,19,FALSE),VLOOKUP($G375,'KO Calc'!$H381:$AW381,19,FALSE)),IF(AND($Q$1=TRUE,$S$4=TRUE),IF(OR($Q$4=TRUE,$Q$5=TRUE,$S$2=TRUE),VLOOKUP($G375,'KO Calc'!$H:$AW,9,FALSE),VLOOKUP($G375,'KO Calc'!$H381:$AW381,9,FALSE)),
IF(AND($S$3=TRUE,$S$1=TRUE,$S$4=FALSE)=TRUE,IF(OR($Q$4=TRUE,$Q$5=TRUE,$S$2=TRUE),VLOOKUP($G375,'KO Calc'!$H:$AW,34,FALSE),VLOOKUP($G375,'KO Calc'!$H381:$AW381,34,FALSE)),IF(AND($S$3=TRUE,$S$4=FALSE),IF(OR($Q$4=TRUE,$Q$5=TRUE,$S$2=TRUE),VLOOKUP($G375,'KO Calc'!$H:$AW,24,FALSE),VLOOKUP($G375,'KO Calc'!$H381:$AW381,24,FALSE)),
IF(AND($S$3=TRUE,$S$1=TRUE,$S$4=TRUE)=TRUE,IF(OR($Q$4=TRUE,$Q$5=TRUE,$S$2=TRUE),VLOOKUP($G375,'KO Calc'!$H:$AW,39,FALSE),VLOOKUP($G375,'KO Calc'!$H381:$AW381,39,FALSE)),IF(AND($S$3=TRUE,$S$4=TRUE),IF(OR($Q$4=TRUE,$Q$5=TRUE,$S$2=TRUE),VLOOKUP($G375,'KO Calc'!$H:$AW,29,FALSE),VLOOKUP($G375,'KO Calc'!$H381:$AW381,29,FALSE)))))))))))))</f>
        <v>-</v>
      </c>
      <c r="K375" s="36" t="str">
        <f>IF(AND($Q$1=FALSE,$S$3=FALSE),"-",IF(AND($Q$1=TRUE,$S$3=TRUE),"-",IF(AND($Q$1=FALSE,$S$3=FALSE),"-",IF(AND($Q$1=TRUE,$S$1=TRUE,$S$4=FALSE)=TRUE,IF(OR($Q$4=TRUE,$Q$5=TRUE,$S$2=TRUE),VLOOKUP($G375,'KO Calc'!$H:$AW,15,FALSE),VLOOKUP($G375,'KO Calc'!$H381:$AW381,15,FALSE)),IF(AND($Q$1=TRUE,$S$4=FALSE),IF(OR($Q$4=TRUE,$Q$5=TRUE,$S$2=TRUE),VLOOKUP($G375,'KO Calc'!$H:$AW,5,FALSE),VLOOKUP($G375,'KO Calc'!$H381:$AW381,5,FALSE)),
IF(AND($Q$1=TRUE,$S$1=TRUE,$S$4=TRUE)=TRUE,IF(OR($Q$4=TRUE,$Q$5=TRUE,$S$2=TRUE),VLOOKUP($G375,'KO Calc'!$H:$AW,20,FALSE),VLOOKUP($G375,'KO Calc'!$H381:$AW381,20,FALSE)),IF(AND($Q$1=TRUE,$S$4=TRUE),IF(OR($Q$4=TRUE,$Q$5=TRUE,$S$2=TRUE),VLOOKUP($G375,'KO Calc'!$H:$AW,10,FALSE),VLOOKUP($G375,'KO Calc'!$H381:$AW381,10,FALSE)),
IF(AND($S$3=TRUE,$S$1=TRUE,$S$4=FALSE)=TRUE,IF(OR($Q$4=TRUE,$Q$5=TRUE,$S$2=TRUE),VLOOKUP($G375,'KO Calc'!$H:$AW,35,FALSE),VLOOKUP($G375,'KO Calc'!$H381:$AW381,35,FALSE)),IF(AND($S$3=TRUE,$S$4=FALSE),IF(OR($Q$4=TRUE,$Q$5=TRUE,$S$2=TRUE),VLOOKUP($G375,'KO Calc'!$H:$AW,25,FALSE),VLOOKUP($G375,'KO Calc'!$H381:$AW381,25,FALSE)),
IF(AND($S$3=TRUE,$S$1=TRUE,$S$4=TRUE)=TRUE,IF(OR($Q$4=TRUE,$Q$5=TRUE,$S$2=TRUE),VLOOKUP($G375,'KO Calc'!$H:$AW,40,FALSE),VLOOKUP($G375,'KO Calc'!$H381:$AW381,40,FALSE)),IF(AND($S$3=TRUE,$S$4=TRUE),IF(OR($Q$4=TRUE,$Q$5=TRUE,$S$2=TRUE),VLOOKUP($G375,'KO Calc'!$H:$AW,30,FALSE),VLOOKUP($G375,'KO Calc'!$H381:$AW381,30,FALSE)))))))))))))</f>
        <v>-</v>
      </c>
      <c r="L375" s="36" t="str">
        <f>IFERROR(IF(AND($Q$1=FALSE,$S$3=FALSE),"-",VLOOKUP($E375,'Status Thresholds'!$E:$AU,43,FALSE)),"-")</f>
        <v>-</v>
      </c>
      <c r="M375" s="36" t="str">
        <f>IFERROR(IF(AND($Q$1=FALSE,$S$3=FALSE),"-",VLOOKUP($E375,'Status Thresholds'!$E:$AU,41,FALSE)),"-")</f>
        <v>-</v>
      </c>
      <c r="N375" s="36" t="str">
        <f>IFERROR(IF(AND($Q$1=FALSE,$S$3=FALSE),"-",VLOOKUP($E375,'Status Thresholds'!$E:$AU,42,FALSE)),"-")</f>
        <v>-</v>
      </c>
    </row>
    <row r="376" spans="1:14" x14ac:dyDescent="0.25">
      <c r="B376" s="64" t="str">
        <f>VLOOKUP(C376,'Status Thresholds'!B:C,2,FALSE)</f>
        <v>MHGen</v>
      </c>
      <c r="C376" s="46" t="str">
        <f>IF(ISBLANK('KO Calc'!C372)=TRUE,"",'KO Calc'!C372)</f>
        <v>Gore Magala (Shagaru)</v>
      </c>
      <c r="D376" s="78"/>
      <c r="E376" s="62" t="str">
        <f t="shared" si="11"/>
        <v>Gore Magala (Shagaru)</v>
      </c>
      <c r="F376" t="s">
        <v>11</v>
      </c>
      <c r="G376" s="36" t="str">
        <f t="shared" si="12"/>
        <v>Gore Magala (Shagaru)Crag 1</v>
      </c>
      <c r="H376" s="36" t="str">
        <f>IF(AND($Q$1=FALSE,$S$3=FALSE),"-",IF(AND($Q$1=TRUE,$S$3=TRUE),"-",IF(AND($Q$1=FALSE,$S$3=FALSE),"-",IF(AND($Q$1=TRUE,$S$1=TRUE,$S$4=FALSE)=TRUE,IF(OR($Q$4=TRUE,$Q$5=TRUE,$S$2=TRUE),VLOOKUP($G376,'KO Calc'!$H:$AW,12,FALSE),VLOOKUP($G376,'KO Calc'!$H382:$AW382,12,FALSE)),IF(AND($Q$1=TRUE,$S$4=FALSE),IF(OR($Q$4=TRUE,$Q$5=TRUE,$S$2=TRUE),VLOOKUP($G376,'KO Calc'!$H:$AW,2,FALSE),VLOOKUP($G376,'KO Calc'!$H382:$AW382,2,FALSE)),
IF(AND($Q$1=TRUE,$S$1=TRUE,$S$4=TRUE)=TRUE,IF(OR($Q$4=TRUE,$Q$5=TRUE,$S$2=TRUE),VLOOKUP($G376,'KO Calc'!$H:$AW,17,FALSE),VLOOKUP($G376,'KO Calc'!$H382:$AW382,17,FALSE)),IF(AND($Q$1=TRUE,$S$4=TRUE),IF(OR($Q$4=TRUE,$Q$5=TRUE,$S$2=TRUE),VLOOKUP($G376,'KO Calc'!$H:$AW,7,FALSE),VLOOKUP($G376,'KO Calc'!$H382:$AW382,7,FALSE)),
IF(AND($S$3=TRUE,$S$1=TRUE,$S$4=FALSE)=TRUE,IF(OR($Q$4=TRUE,$Q$5=TRUE,$S$2=TRUE),VLOOKUP($G376,'KO Calc'!$H:$AW,32,FALSE),VLOOKUP($G376,'KO Calc'!$H382:$AW382,32,FALSE)),IF(AND($S$3=TRUE,$S$4=FALSE),IF(OR($Q$4=TRUE,$Q$5=TRUE,$S$2=TRUE),VLOOKUP($G376,'KO Calc'!$H:$AW,22,FALSE),VLOOKUP($G376,'KO Calc'!$H382:$AW382,22,FALSE)),
IF(AND($S$3=TRUE,$S$1=TRUE,$S$4=TRUE)=TRUE,IF(OR($Q$4=TRUE,$Q$5=TRUE,$S$2=TRUE),VLOOKUP($G376,'KO Calc'!$H:$AW,37,FALSE),VLOOKUP($G376,'KO Calc'!$H382:$AW382,37,FALSE)),IF(AND($S$3=TRUE,$S$4=TRUE),IF(OR($Q$4=TRUE,$Q$5=TRUE,$S$2=TRUE),VLOOKUP($G376,'KO Calc'!$H:$AW,27,FALSE),VLOOKUP($G376,'KO Calc'!$H382:$AW382,27,FALSE)))))))))))))</f>
        <v>-</v>
      </c>
      <c r="I376" s="36" t="str">
        <f>IF(AND($Q$1=FALSE,$S$3=FALSE),"-",IF(AND($Q$1=TRUE,$S$3=TRUE),"-",IF(AND($Q$1=FALSE,$S$3=FALSE),"-",IF(AND($Q$1=TRUE,$S$1=TRUE,$S$4=FALSE)=TRUE,IF(OR($Q$4=TRUE,$Q$5=TRUE,$S$2=TRUE),VLOOKUP($G376,'KO Calc'!$H:$AW,13,FALSE),VLOOKUP($G376,'KO Calc'!$H382:$AW382,13,FALSE)),IF(AND($Q$1=TRUE,$S$4=FALSE),IF(OR($Q$4=TRUE,$Q$5=TRUE,$S$2=TRUE),VLOOKUP($G376,'KO Calc'!$H:$AW,3,FALSE),VLOOKUP($G376,'KO Calc'!$H382:$AW382,3,FALSE)),
IF(AND($Q$1=TRUE,$S$1=TRUE,$S$4=TRUE)=TRUE,IF(OR($Q$4=TRUE,$Q$5=TRUE,$S$2=TRUE),VLOOKUP($G376,'KO Calc'!$H:$AW,18,FALSE),VLOOKUP($G376,'KO Calc'!$H382:$AW382,18,FALSE)),IF(AND($Q$1=TRUE,$S$4=TRUE),IF(OR($Q$4=TRUE,$Q$5=TRUE,$S$2=TRUE),VLOOKUP($G376,'KO Calc'!$H:$AW,8,FALSE),VLOOKUP($G376,'KO Calc'!$H382:$AW382,8,FALSE)),
IF(AND($S$3=TRUE,$S$1=TRUE,$S$4=FALSE)=TRUE,IF(OR($Q$4=TRUE,$Q$5=TRUE,$S$2=TRUE),VLOOKUP($G376,'KO Calc'!$H:$AW,33,FALSE),VLOOKUP($G376,'KO Calc'!$H382:$AW382,33,FALSE)),IF(AND($S$3=TRUE,$S$4=FALSE),IF(OR($Q$4=TRUE,$Q$5=TRUE,$S$2=TRUE),VLOOKUP($G376,'KO Calc'!$H:$AW,23,FALSE),VLOOKUP($G376,'KO Calc'!$H382:$AW382,23,FALSE)),
IF(AND($S$3=TRUE,$S$1=TRUE,$S$4=TRUE)=TRUE,IF(OR($Q$4=TRUE,$Q$5=TRUE,$S$2=TRUE),VLOOKUP($G376,'KO Calc'!$H:$AW,38,FALSE),VLOOKUP($G376,'KO Calc'!$H382:$AW382,38,FALSE)),IF(AND($S$3=TRUE,$S$4=TRUE),IF(OR($Q$4=TRUE,$Q$5=TRUE,$S$2=TRUE),VLOOKUP($G376,'KO Calc'!$H:$AW,28,FALSE),VLOOKUP($G376,'KO Calc'!$H382:$AW382,28,FALSE)))))))))))))</f>
        <v>-</v>
      </c>
      <c r="J376" s="36" t="str">
        <f>IF(AND($Q$1=FALSE,$S$3=FALSE),"-",IF(AND($Q$1=TRUE,$S$3=TRUE),"-",IF(AND($Q$1=FALSE,$S$3=FALSE),"-",IF(AND($Q$1=TRUE,$S$1=TRUE,$S$4=FALSE)=TRUE,IF(OR($Q$4=TRUE,$Q$5=TRUE,$S$2=TRUE),VLOOKUP($G376,'KO Calc'!$H:$AW,FALSE),VLOOKUP($G376,'KO Calc'!$H382:$AW382,14,FALSE)),IF(AND($Q$1=TRUE,$S$4=FALSE),IF(OR($Q$4=TRUE,$Q$5=TRUE,$S$2=TRUE),VLOOKUP($G376,'KO Calc'!$H:$AW,4,FALSE),VLOOKUP($G376,'KO Calc'!$H382:$AW382,4,FALSE)),
IF(AND($Q$1=TRUE,$S$1=TRUE,$S$4=TRUE)=TRUE,IF(OR($Q$4=TRUE,$Q$5=TRUE,$S$2=TRUE),VLOOKUP($G376,'KO Calc'!$H:$AW,19,FALSE),VLOOKUP($G376,'KO Calc'!$H382:$AW382,19,FALSE)),IF(AND($Q$1=TRUE,$S$4=TRUE),IF(OR($Q$4=TRUE,$Q$5=TRUE,$S$2=TRUE),VLOOKUP($G376,'KO Calc'!$H:$AW,9,FALSE),VLOOKUP($G376,'KO Calc'!$H382:$AW382,9,FALSE)),
IF(AND($S$3=TRUE,$S$1=TRUE,$S$4=FALSE)=TRUE,IF(OR($Q$4=TRUE,$Q$5=TRUE,$S$2=TRUE),VLOOKUP($G376,'KO Calc'!$H:$AW,34,FALSE),VLOOKUP($G376,'KO Calc'!$H382:$AW382,34,FALSE)),IF(AND($S$3=TRUE,$S$4=FALSE),IF(OR($Q$4=TRUE,$Q$5=TRUE,$S$2=TRUE),VLOOKUP($G376,'KO Calc'!$H:$AW,24,FALSE),VLOOKUP($G376,'KO Calc'!$H382:$AW382,24,FALSE)),
IF(AND($S$3=TRUE,$S$1=TRUE,$S$4=TRUE)=TRUE,IF(OR($Q$4=TRUE,$Q$5=TRUE,$S$2=TRUE),VLOOKUP($G376,'KO Calc'!$H:$AW,39,FALSE),VLOOKUP($G376,'KO Calc'!$H382:$AW382,39,FALSE)),IF(AND($S$3=TRUE,$S$4=TRUE),IF(OR($Q$4=TRUE,$Q$5=TRUE,$S$2=TRUE),VLOOKUP($G376,'KO Calc'!$H:$AW,29,FALSE),VLOOKUP($G376,'KO Calc'!$H382:$AW382,29,FALSE)))))))))))))</f>
        <v>-</v>
      </c>
      <c r="K376" s="36" t="str">
        <f>IF(AND($Q$1=FALSE,$S$3=FALSE),"-",IF(AND($Q$1=TRUE,$S$3=TRUE),"-",IF(AND($Q$1=FALSE,$S$3=FALSE),"-",IF(AND($Q$1=TRUE,$S$1=TRUE,$S$4=FALSE)=TRUE,IF(OR($Q$4=TRUE,$Q$5=TRUE,$S$2=TRUE),VLOOKUP($G376,'KO Calc'!$H:$AW,15,FALSE),VLOOKUP($G376,'KO Calc'!$H382:$AW382,15,FALSE)),IF(AND($Q$1=TRUE,$S$4=FALSE),IF(OR($Q$4=TRUE,$Q$5=TRUE,$S$2=TRUE),VLOOKUP($G376,'KO Calc'!$H:$AW,5,FALSE),VLOOKUP($G376,'KO Calc'!$H382:$AW382,5,FALSE)),
IF(AND($Q$1=TRUE,$S$1=TRUE,$S$4=TRUE)=TRUE,IF(OR($Q$4=TRUE,$Q$5=TRUE,$S$2=TRUE),VLOOKUP($G376,'KO Calc'!$H:$AW,20,FALSE),VLOOKUP($G376,'KO Calc'!$H382:$AW382,20,FALSE)),IF(AND($Q$1=TRUE,$S$4=TRUE),IF(OR($Q$4=TRUE,$Q$5=TRUE,$S$2=TRUE),VLOOKUP($G376,'KO Calc'!$H:$AW,10,FALSE),VLOOKUP($G376,'KO Calc'!$H382:$AW382,10,FALSE)),
IF(AND($S$3=TRUE,$S$1=TRUE,$S$4=FALSE)=TRUE,IF(OR($Q$4=TRUE,$Q$5=TRUE,$S$2=TRUE),VLOOKUP($G376,'KO Calc'!$H:$AW,35,FALSE),VLOOKUP($G376,'KO Calc'!$H382:$AW382,35,FALSE)),IF(AND($S$3=TRUE,$S$4=FALSE),IF(OR($Q$4=TRUE,$Q$5=TRUE,$S$2=TRUE),VLOOKUP($G376,'KO Calc'!$H:$AW,25,FALSE),VLOOKUP($G376,'KO Calc'!$H382:$AW382,25,FALSE)),
IF(AND($S$3=TRUE,$S$1=TRUE,$S$4=TRUE)=TRUE,IF(OR($Q$4=TRUE,$Q$5=TRUE,$S$2=TRUE),VLOOKUP($G376,'KO Calc'!$H:$AW,40,FALSE),VLOOKUP($G376,'KO Calc'!$H382:$AW382,40,FALSE)),IF(AND($S$3=TRUE,$S$4=TRUE),IF(OR($Q$4=TRUE,$Q$5=TRUE,$S$2=TRUE),VLOOKUP($G376,'KO Calc'!$H:$AW,30,FALSE),VLOOKUP($G376,'KO Calc'!$H382:$AW382,30,FALSE)))))))))))))</f>
        <v>-</v>
      </c>
      <c r="L376" s="36" t="str">
        <f>IFERROR(VLOOKUP($E376,'Status Thresholds'!$E:$AS,41,FALSE),"-")</f>
        <v>-</v>
      </c>
    </row>
    <row r="377" spans="1:14" x14ac:dyDescent="0.25">
      <c r="B377" s="64" t="str">
        <f>VLOOKUP(C377,'Status Thresholds'!B:C,2,FALSE)</f>
        <v>MHGen</v>
      </c>
      <c r="C377" s="46" t="str">
        <f>IF(ISBLANK('KO Calc'!C373)=TRUE,"",'KO Calc'!C373)</f>
        <v>Gore Magala (Shagaru)</v>
      </c>
      <c r="D377" s="78"/>
      <c r="E377" s="62"/>
      <c r="G377" s="36"/>
      <c r="L377" s="36" t="str">
        <f>IFERROR(VLOOKUP($E377,'Status Thresholds'!$E:$AS,41,FALSE),"-")</f>
        <v>-</v>
      </c>
    </row>
    <row r="378" spans="1:14" s="36" customFormat="1" x14ac:dyDescent="0.25">
      <c r="B378" s="64" t="str">
        <f>VLOOKUP(C378,'Status Thresholds'!B:C,2,FALSE)</f>
        <v>MHGen</v>
      </c>
      <c r="C378" s="46" t="str">
        <f>IF(ISBLANK('KO Calc'!C374)=TRUE,"",'KO Calc'!C374)</f>
        <v>Gravious</v>
      </c>
      <c r="D378" s="65" t="s">
        <v>0</v>
      </c>
      <c r="E378" s="62" t="str">
        <f t="shared" si="11"/>
        <v>GraviousPara</v>
      </c>
      <c r="F378" s="36" t="s">
        <v>2</v>
      </c>
      <c r="G378" s="36" t="str">
        <f t="shared" si="12"/>
        <v>GraviousPara lvl 2</v>
      </c>
      <c r="H378" s="36" t="str">
        <f>IFERROR(ROUNDUP(IF(AND($Q$1=FALSE,$S$3=FALSE),"-",IF(AND($Q$1=TRUE,$S$3=TRUE),"-",IF(AND($Q$1=TRUE,$S$1=TRUE,$S$4=FALSE),VLOOKUP($E378,'Status Thresholds'!$E:$AS,12,FALSE),IF(AND($Q$1=TRUE,$S$4=FALSE),VLOOKUP($E378,'Status Thresholds'!$E:$AS,2,FALSE), IF(AND($Q$1=TRUE,$S$1=TRUE,$S$4=TRUE),VLOOKUP($E378,'Status Thresholds'!$E:$AS,17,FALSE),IF(AND($Q$1=TRUE,$S$4=TRUE),VLOOKUP($E378,'Status Thresholds'!$E:$AS,7,FALSE),IF(AND($S$3=TRUE,$S$1=TRUE,$S$4=FALSE),VLOOKUP($E378,'Status Thresholds'!$E:$AS,32,FALSE),IF(AND($S$3=TRUE,$S$4=FALSE),VLOOKUP($E378,'Status Thresholds'!$E:$AS,22,FALSE),IF(AND($S$3=TRUE,$S$1=TRUE,$S$4=TRUE),VLOOKUP($E378,'Status Thresholds'!$E:$AS,37,FALSE),IF(AND($S$3=TRUE,$S$4=TRUE),VLOOKUP($E378,'Status Thresholds'!$E:$AS,27,FALSE),""))))))))/IF(OR($Q$3=TRUE,AND($Q$2=TRUE,$Q$7=TRUE),AND($Q$3=TRUE,$Q$7=TRUE))=TRUE,'Shots and Status'!$F$5,IF((OR($Q$2,$Q$7)=TRUE),'Shots and Status'!$D$5,'Shots and Status'!$C$5)))),0),"-")</f>
        <v>-</v>
      </c>
      <c r="I378" s="36" t="str">
        <f>IFERROR(ROUNDUP(IF(AND($Q$1=FALSE,$S$3=FALSE),"-",IF(AND($Q$1=TRUE,$S$3=TRUE),"-",IF(AND($Q$1=TRUE,$S$1=TRUE,$S$4=FALSE),VLOOKUP($E378,'Status Thresholds'!$E:$AS,13,FALSE),IF(AND($Q$1=TRUE,$S$4=FALSE),VLOOKUP($E378,'Status Thresholds'!$E:$AS,3,FALSE), IF(AND($Q$1=TRUE,$S$1=TRUE,$S$4=TRUE),VLOOKUP($E378,'Status Thresholds'!$E:$AS,18,FALSE),IF(AND($Q$1=TRUE,$S$4=TRUE),VLOOKUP($E378,'Status Thresholds'!$E:$AS,8,FALSE),IF(AND($S$3=TRUE,$S$1=TRUE,$S$4=FALSE),VLOOKUP($E378,'Status Thresholds'!$E:$AS,33,FALSE),IF(AND($S$3=TRUE,$S$4=FALSE),VLOOKUP($E378,'Status Thresholds'!$E:$AS,23,FALSE),IF(AND($S$3=TRUE,$S$1=TRUE,$S$4=TRUE),VLOOKUP($E378,'Status Thresholds'!$E:$AS,38,FALSE),IF(AND($S$3=TRUE,$S$4=TRUE),VLOOKUP($E378,'Status Thresholds'!$E:$AS,28,FALSE),""))))))))/IF(OR($Q$3=TRUE,AND($Q$2=TRUE,$Q$7=TRUE),AND($Q$3=TRUE,$Q$7=TRUE))=TRUE,'Shots and Status'!$F$5,IF((OR($Q$2,$Q$7)=TRUE),'Shots and Status'!$D$5,'Shots and Status'!$C$5)))),0),"-")</f>
        <v>-</v>
      </c>
      <c r="J378" s="36" t="str">
        <f>IFERROR(ROUNDUP(IF(AND($Q$1=FALSE,$S$3=FALSE),"-",IF(AND($Q$1=TRUE,$S$3=TRUE),"-",IF(AND($Q$1=TRUE,$S$1=TRUE,$S$4=FALSE),VLOOKUP($E378,'Status Thresholds'!$E:$AS,14,FALSE),IF(AND($Q$1=TRUE,$S$4=FALSE),VLOOKUP($E378,'Status Thresholds'!$E:$AS,4,FALSE), IF(AND($Q$1=TRUE,$S$1=TRUE,$S$4=TRUE),VLOOKUP($E378,'Status Thresholds'!$E:$AS,19,FALSE),IF(AND($Q$1=TRUE,$S$4=TRUE),VLOOKUP($E378,'Status Thresholds'!$E:$AS,9,FALSE),IF(AND($S$3=TRUE,$S$1=TRUE,$S$4=FALSE),VLOOKUP($E378,'Status Thresholds'!$E:$AS,34,FALSE),IF(AND($S$3=TRUE,$S$4=FALSE),VLOOKUP($E378,'Status Thresholds'!$E:$AS,24,FALSE),IF(AND($S$3=TRUE,$S$1=TRUE,$S$4=TRUE),VLOOKUP($E378,'Status Thresholds'!$E:$AS,39,FALSE),IF(AND($S$3=TRUE,$S$4=TRUE),VLOOKUP($E378,'Status Thresholds'!$E:$AS,29,FALSE),""))))))))/IF(OR($Q$3=TRUE,AND($Q$2=TRUE,$Q$7=TRUE),AND($Q$3=TRUE,$Q$7=TRUE))=TRUE,'Shots and Status'!$F$5,IF((OR($Q$2,$Q$7)=TRUE),'Shots and Status'!$D$5,'Shots and Status'!$C$5)))),0),"-")</f>
        <v>-</v>
      </c>
      <c r="K378" s="36" t="str">
        <f>IFERROR(ROUNDUP(IF(AND($Q$1=FALSE,$S$3=FALSE),"-",IF(AND($Q$1=TRUE,$S$3=TRUE),"-",IF(AND($Q$1=TRUE,$S$1=TRUE,$S$4=FALSE),VLOOKUP($E378,'Status Thresholds'!$E:$AS,15,FALSE),IF(AND($Q$1=TRUE,$S$4=FALSE),VLOOKUP($E378,'Status Thresholds'!$E:$AS,5,FALSE), IF(AND($Q$1=TRUE,$S$1=TRUE,$S$4=TRUE),VLOOKUP($E378,'Status Thresholds'!$E:$AS,20,FALSE),IF(AND($Q$1=TRUE,$S$4=TRUE),VLOOKUP($E378,'Status Thresholds'!$E:$AS,10,FALSE),IF(AND($S$3=TRUE,$S$1=TRUE,$S$4=FALSE),VLOOKUP($E378,'Status Thresholds'!$E:$AS,35,FALSE),IF(AND($S$3=TRUE,$S$4=FALSE),VLOOKUP($E378,'Status Thresholds'!$E:$AS,25,FALSE),IF(AND($S$3=TRUE,$S$1=TRUE,$S$4=TRUE),VLOOKUP($E378,'Status Thresholds'!$E:$AS,40,FALSE),IF(AND($S$3=TRUE,$S$4=TRUE),VLOOKUP($E378,'Status Thresholds'!$E:$AS,30,FALSE),""))))))))/IF(OR($Q$3=TRUE,AND($Q$2=TRUE,$Q$7=TRUE),AND($Q$3=TRUE,$Q$7=TRUE))=TRUE,'Shots and Status'!$F$5,IF((OR($Q$2,$Q$7)=TRUE),'Shots and Status'!$D$5,'Shots and Status'!$C$5)))),0),"-")</f>
        <v>-</v>
      </c>
      <c r="L378" s="36" t="str">
        <f>IFERROR(IF(AND($Q$1=FALSE,$S$3=FALSE),"-",VLOOKUP($E378,'Status Thresholds'!$E:$AU,41,FALSE)),"-")</f>
        <v>-</v>
      </c>
      <c r="M378" s="36" t="str">
        <f>IFERROR(IF(AND($Q$1=FALSE,$S$3=FALSE),"-",VLOOKUP($E378,'Status Thresholds'!$E:$AU,42,FALSE)),"-")</f>
        <v>-</v>
      </c>
      <c r="N378" s="36" t="str">
        <f>IFERROR(IF(AND($Q$1=FALSE,$S$3=FALSE),"-",VLOOKUP($E378,'Status Thresholds'!$E:$AU,43,FALSE)),"-")</f>
        <v>-</v>
      </c>
    </row>
    <row r="379" spans="1:14" s="59" customFormat="1" x14ac:dyDescent="0.25">
      <c r="A379" s="46"/>
      <c r="B379" s="64" t="str">
        <f>VLOOKUP(C379,'Status Thresholds'!B:C,2,FALSE)</f>
        <v>MHGen</v>
      </c>
      <c r="C379" s="46" t="str">
        <f>IF(ISBLANK('KO Calc'!C375)=TRUE,"",'KO Calc'!C375)</f>
        <v>Gravious</v>
      </c>
      <c r="D379" s="60" t="s">
        <v>32</v>
      </c>
      <c r="E379" s="62" t="str">
        <f t="shared" si="11"/>
        <v>GraviousSleep</v>
      </c>
      <c r="F379" s="59" t="s">
        <v>5</v>
      </c>
      <c r="G379" s="36" t="str">
        <f t="shared" si="12"/>
        <v>GraviousSleep lvl 2</v>
      </c>
      <c r="H379" s="36" t="str">
        <f>IFERROR(ROUNDUP(IF(AND($Q$1=FALSE,$S$3=FALSE),"-",IF(AND($Q$1=TRUE,$S$3=TRUE),"-",IF(AND($Q$1=TRUE,$S$1=TRUE,$S$4=FALSE),VLOOKUP($E379,'Status Thresholds'!$E:$AS,12,FALSE),IF(AND($Q$1=TRUE,$S$4=FALSE),VLOOKUP($E379,'Status Thresholds'!$E:$AS,2,FALSE), IF(AND($Q$1=TRUE,$S$1=TRUE,$S$4=TRUE),VLOOKUP($E379,'Status Thresholds'!$E:$AS,17,FALSE),IF(AND($Q$1=TRUE,$S$4=TRUE),VLOOKUP($E379,'Status Thresholds'!$E:$AS,7,FALSE),IF(AND($S$3=TRUE,$S$1=TRUE,$S$4=FALSE),VLOOKUP($E379,'Status Thresholds'!$E:$AS,32,FALSE),IF(AND($S$3=TRUE,$S$4=FALSE),VLOOKUP($E379,'Status Thresholds'!$E:$AS,22,FALSE),IF(AND($S$3=TRUE,$S$1=TRUE,$S$4=TRUE),VLOOKUP($E379,'Status Thresholds'!$E:$AS,37,FALSE),IF(AND($S$3=TRUE,$S$4=TRUE),VLOOKUP($E379,'Status Thresholds'!$E:$AS,27,FALSE),""))))))))/IF(OR($Q$3=TRUE,AND($Q$2=TRUE,$Q$7=TRUE),AND($Q$3=TRUE,$Q$7=TRUE))=TRUE,'Shots and Status'!$F$5,IF((OR($Q$2,$Q$7)=TRUE),'Shots and Status'!$D$5,'Shots and Status'!$C$5)))),0),"-")</f>
        <v>-</v>
      </c>
      <c r="I379" s="36" t="str">
        <f>IFERROR(ROUNDUP(IF(AND($Q$1=FALSE,$S$3=FALSE),"-",IF(AND($Q$1=TRUE,$S$3=TRUE),"-",IF(AND($Q$1=TRUE,$S$1=TRUE,$S$4=FALSE),VLOOKUP($E379,'Status Thresholds'!$E:$AS,13,FALSE),IF(AND($Q$1=TRUE,$S$4=FALSE),VLOOKUP($E379,'Status Thresholds'!$E:$AS,3,FALSE), IF(AND($Q$1=TRUE,$S$1=TRUE,$S$4=TRUE),VLOOKUP($E379,'Status Thresholds'!$E:$AS,18,FALSE),IF(AND($Q$1=TRUE,$S$4=TRUE),VLOOKUP($E379,'Status Thresholds'!$E:$AS,8,FALSE),IF(AND($S$3=TRUE,$S$1=TRUE,$S$4=FALSE),VLOOKUP($E379,'Status Thresholds'!$E:$AS,33,FALSE),IF(AND($S$3=TRUE,$S$4=FALSE),VLOOKUP($E379,'Status Thresholds'!$E:$AS,23,FALSE),IF(AND($S$3=TRUE,$S$1=TRUE,$S$4=TRUE),VLOOKUP($E379,'Status Thresholds'!$E:$AS,38,FALSE),IF(AND($S$3=TRUE,$S$4=TRUE),VLOOKUP($E379,'Status Thresholds'!$E:$AS,28,FALSE),""))))))))/IF(OR($Q$3=TRUE,AND($Q$2=TRUE,$Q$7=TRUE),AND($Q$3=TRUE,$Q$7=TRUE))=TRUE,'Shots and Status'!$F$5,IF((OR($Q$2,$Q$7)=TRUE),'Shots and Status'!$D$5,'Shots and Status'!$C$5)))),0),"-")</f>
        <v>-</v>
      </c>
      <c r="J379" s="36" t="str">
        <f>IFERROR(ROUNDUP(IF(AND($Q$1=FALSE,$S$3=FALSE),"-",IF(AND($Q$1=TRUE,$S$3=TRUE),"-",IF(AND($Q$1=TRUE,$S$1=TRUE,$S$4=FALSE),VLOOKUP($E379,'Status Thresholds'!$E:$AS,14,FALSE),IF(AND($Q$1=TRUE,$S$4=FALSE),VLOOKUP($E379,'Status Thresholds'!$E:$AS,4,FALSE), IF(AND($Q$1=TRUE,$S$1=TRUE,$S$4=TRUE),VLOOKUP($E379,'Status Thresholds'!$E:$AS,19,FALSE),IF(AND($Q$1=TRUE,$S$4=TRUE),VLOOKUP($E379,'Status Thresholds'!$E:$AS,9,FALSE),IF(AND($S$3=TRUE,$S$1=TRUE,$S$4=FALSE),VLOOKUP($E379,'Status Thresholds'!$E:$AS,34,FALSE),IF(AND($S$3=TRUE,$S$4=FALSE),VLOOKUP($E379,'Status Thresholds'!$E:$AS,24,FALSE),IF(AND($S$3=TRUE,$S$1=TRUE,$S$4=TRUE),VLOOKUP($E379,'Status Thresholds'!$E:$AS,39,FALSE),IF(AND($S$3=TRUE,$S$4=TRUE),VLOOKUP($E379,'Status Thresholds'!$E:$AS,29,FALSE),""))))))))/IF(OR($Q$3=TRUE,AND($Q$2=TRUE,$Q$7=TRUE),AND($Q$3=TRUE,$Q$7=TRUE))=TRUE,'Shots and Status'!$F$5,IF((OR($Q$2,$Q$7)=TRUE),'Shots and Status'!$D$5,'Shots and Status'!$C$5)))),0),"-")</f>
        <v>-</v>
      </c>
      <c r="K379" s="36" t="str">
        <f>IFERROR(ROUNDUP(IF(AND($Q$1=FALSE,$S$3=FALSE),"-",IF(AND($Q$1=TRUE,$S$3=TRUE),"-",IF(AND($Q$1=TRUE,$S$1=TRUE,$S$4=FALSE),VLOOKUP($E379,'Status Thresholds'!$E:$AS,15,FALSE),IF(AND($Q$1=TRUE,$S$4=FALSE),VLOOKUP($E379,'Status Thresholds'!$E:$AS,5,FALSE), IF(AND($Q$1=TRUE,$S$1=TRUE,$S$4=TRUE),VLOOKUP($E379,'Status Thresholds'!$E:$AS,20,FALSE),IF(AND($Q$1=TRUE,$S$4=TRUE),VLOOKUP($E379,'Status Thresholds'!$E:$AS,10,FALSE),IF(AND($S$3=TRUE,$S$1=TRUE,$S$4=FALSE),VLOOKUP($E379,'Status Thresholds'!$E:$AS,35,FALSE),IF(AND($S$3=TRUE,$S$4=FALSE),VLOOKUP($E379,'Status Thresholds'!$E:$AS,25,FALSE),IF(AND($S$3=TRUE,$S$1=TRUE,$S$4=TRUE),VLOOKUP($E379,'Status Thresholds'!$E:$AS,40,FALSE),IF(AND($S$3=TRUE,$S$4=TRUE),VLOOKUP($E379,'Status Thresholds'!$E:$AS,30,FALSE),""))))))))/IF(OR($Q$3=TRUE,AND($Q$2=TRUE,$Q$7=TRUE),AND($Q$3=TRUE,$Q$7=TRUE))=TRUE,'Shots and Status'!$F$5,IF((OR($Q$2,$Q$7)=TRUE),'Shots and Status'!$D$5,'Shots and Status'!$C$5)))),0),"-")</f>
        <v>-</v>
      </c>
      <c r="L379" s="36" t="str">
        <f>IFERROR(IF(AND($Q$1=FALSE,$S$3=FALSE),"-",VLOOKUP($E379,'Status Thresholds'!$E:$AU,41,FALSE)),"-")</f>
        <v>-</v>
      </c>
      <c r="M379" s="36" t="str">
        <f>IFERROR(IF(AND($Q$1=FALSE,$S$3=FALSE),"-",VLOOKUP($E379,'Status Thresholds'!$E:$AU,42,FALSE)),"-")</f>
        <v>-</v>
      </c>
      <c r="N379" s="36" t="str">
        <f>IFERROR(IF(AND($Q$1=FALSE,$S$3=FALSE),"-",VLOOKUP($E379,'Status Thresholds'!$E:$AU,43,FALSE)),"-")</f>
        <v>-</v>
      </c>
    </row>
    <row r="380" spans="1:14" s="59" customFormat="1" x14ac:dyDescent="0.25">
      <c r="A380" s="46"/>
      <c r="B380" s="64" t="str">
        <f>VLOOKUP(C380,'Status Thresholds'!B:C,2,FALSE)</f>
        <v>MHGen</v>
      </c>
      <c r="C380" s="46" t="str">
        <f>IF(ISBLANK('KO Calc'!C376)=TRUE,"",'KO Calc'!C376)</f>
        <v>Gravious</v>
      </c>
      <c r="D380" s="58" t="s">
        <v>33</v>
      </c>
      <c r="E380" s="62" t="str">
        <f t="shared" si="11"/>
        <v>GraviousPoison</v>
      </c>
      <c r="F380" s="59" t="s">
        <v>6</v>
      </c>
      <c r="G380" s="36" t="str">
        <f t="shared" si="12"/>
        <v>GraviousPoison lvl 2</v>
      </c>
      <c r="H380" s="36" t="str">
        <f>IFERROR(ROUNDUP(IF(AND($Q$1=FALSE,$S$3=FALSE),"-",IF(AND($Q$1=TRUE,$S$3=TRUE),"-",IF(AND($Q$1=TRUE,$S$1=TRUE,$S$4=FALSE),VLOOKUP($E380,'Status Thresholds'!$E:$AS,12,FALSE),IF(AND($Q$1=TRUE,$S$4=FALSE),VLOOKUP($E380,'Status Thresholds'!$E:$AS,2,FALSE), IF(AND($Q$1=TRUE,$S$1=TRUE,$S$4=TRUE),VLOOKUP($E380,'Status Thresholds'!$E:$AS,17,FALSE),IF(AND($Q$1=TRUE,$S$4=TRUE),VLOOKUP($E380,'Status Thresholds'!$E:$AS,7,FALSE),IF(AND($S$3=TRUE,$S$1=TRUE,$S$4=FALSE),VLOOKUP($E380,'Status Thresholds'!$E:$AS,32,FALSE),IF(AND($S$3=TRUE,$S$4=FALSE),VLOOKUP($E380,'Status Thresholds'!$E:$AS,22,FALSE),IF(AND($S$3=TRUE,$S$1=TRUE,$S$4=TRUE),VLOOKUP($E380,'Status Thresholds'!$E:$AS,37,FALSE),IF(AND($S$3=TRUE,$S$4=TRUE),VLOOKUP($E380,'Status Thresholds'!$E:$AS,27,FALSE),""))))))))/IF(OR($Q$3=TRUE,AND($Q$2=TRUE,$Q$7=TRUE),AND($Q$3=TRUE,$Q$7=TRUE))=TRUE,'Shots and Status'!$F$5,IF((OR($Q$2,$Q$7)=TRUE),'Shots and Status'!$D$5,'Shots and Status'!$C$5)))),0),"-")</f>
        <v>-</v>
      </c>
      <c r="I380" s="36" t="str">
        <f>IFERROR(ROUNDUP(IF(AND($Q$1=FALSE,$S$3=FALSE),"-",IF(AND($Q$1=TRUE,$S$3=TRUE),"-",IF(AND($Q$1=TRUE,$S$1=TRUE,$S$4=FALSE),VLOOKUP($E380,'Status Thresholds'!$E:$AS,13,FALSE),IF(AND($Q$1=TRUE,$S$4=FALSE),VLOOKUP($E380,'Status Thresholds'!$E:$AS,3,FALSE), IF(AND($Q$1=TRUE,$S$1=TRUE,$S$4=TRUE),VLOOKUP($E380,'Status Thresholds'!$E:$AS,18,FALSE),IF(AND($Q$1=TRUE,$S$4=TRUE),VLOOKUP($E380,'Status Thresholds'!$E:$AS,8,FALSE),IF(AND($S$3=TRUE,$S$1=TRUE,$S$4=FALSE),VLOOKUP($E380,'Status Thresholds'!$E:$AS,33,FALSE),IF(AND($S$3=TRUE,$S$4=FALSE),VLOOKUP($E380,'Status Thresholds'!$E:$AS,23,FALSE),IF(AND($S$3=TRUE,$S$1=TRUE,$S$4=TRUE),VLOOKUP($E380,'Status Thresholds'!$E:$AS,38,FALSE),IF(AND($S$3=TRUE,$S$4=TRUE),VLOOKUP($E380,'Status Thresholds'!$E:$AS,28,FALSE),""))))))))/IF(OR($Q$3=TRUE,AND($Q$2=TRUE,$Q$7=TRUE),AND($Q$3=TRUE,$Q$7=TRUE))=TRUE,'Shots and Status'!$F$5,IF((OR($Q$2,$Q$7)=TRUE),'Shots and Status'!$D$5,'Shots and Status'!$C$5)))),0),"-")</f>
        <v>-</v>
      </c>
      <c r="J380" s="36" t="str">
        <f>IFERROR(ROUNDUP(IF(AND($Q$1=FALSE,$S$3=FALSE),"-",IF(AND($Q$1=TRUE,$S$3=TRUE),"-",IF(AND($Q$1=TRUE,$S$1=TRUE,$S$4=FALSE),VLOOKUP($E380,'Status Thresholds'!$E:$AS,14,FALSE),IF(AND($Q$1=TRUE,$S$4=FALSE),VLOOKUP($E380,'Status Thresholds'!$E:$AS,4,FALSE), IF(AND($Q$1=TRUE,$S$1=TRUE,$S$4=TRUE),VLOOKUP($E380,'Status Thresholds'!$E:$AS,19,FALSE),IF(AND($Q$1=TRUE,$S$4=TRUE),VLOOKUP($E380,'Status Thresholds'!$E:$AS,9,FALSE),IF(AND($S$3=TRUE,$S$1=TRUE,$S$4=FALSE),VLOOKUP($E380,'Status Thresholds'!$E:$AS,34,FALSE),IF(AND($S$3=TRUE,$S$4=FALSE),VLOOKUP($E380,'Status Thresholds'!$E:$AS,24,FALSE),IF(AND($S$3=TRUE,$S$1=TRUE,$S$4=TRUE),VLOOKUP($E380,'Status Thresholds'!$E:$AS,39,FALSE),IF(AND($S$3=TRUE,$S$4=TRUE),VLOOKUP($E380,'Status Thresholds'!$E:$AS,29,FALSE),""))))))))/IF(OR($Q$3=TRUE,AND($Q$2=TRUE,$Q$7=TRUE),AND($Q$3=TRUE,$Q$7=TRUE))=TRUE,'Shots and Status'!$F$5,IF((OR($Q$2,$Q$7)=TRUE),'Shots and Status'!$D$5,'Shots and Status'!$C$5)))),0),"-")</f>
        <v>-</v>
      </c>
      <c r="K380" s="36" t="str">
        <f>IFERROR(ROUNDUP(IF(AND($Q$1=FALSE,$S$3=FALSE),"-",IF(AND($Q$1=TRUE,$S$3=TRUE),"-",IF(AND($Q$1=TRUE,$S$1=TRUE,$S$4=FALSE),VLOOKUP($E380,'Status Thresholds'!$E:$AS,15,FALSE),IF(AND($Q$1=TRUE,$S$4=FALSE),VLOOKUP($E380,'Status Thresholds'!$E:$AS,5,FALSE), IF(AND($Q$1=TRUE,$S$1=TRUE,$S$4=TRUE),VLOOKUP($E380,'Status Thresholds'!$E:$AS,20,FALSE),IF(AND($Q$1=TRUE,$S$4=TRUE),VLOOKUP($E380,'Status Thresholds'!$E:$AS,10,FALSE),IF(AND($S$3=TRUE,$S$1=TRUE,$S$4=FALSE),VLOOKUP($E380,'Status Thresholds'!$E:$AS,35,FALSE),IF(AND($S$3=TRUE,$S$4=FALSE),VLOOKUP($E380,'Status Thresholds'!$E:$AS,25,FALSE),IF(AND($S$3=TRUE,$S$1=TRUE,$S$4=TRUE),VLOOKUP($E380,'Status Thresholds'!$E:$AS,40,FALSE),IF(AND($S$3=TRUE,$S$4=TRUE),VLOOKUP($E380,'Status Thresholds'!$E:$AS,30,FALSE),""))))))))/IF(OR($Q$3=TRUE,AND($Q$2=TRUE,$Q$7=TRUE),AND($Q$3=TRUE,$Q$7=TRUE))=TRUE,'Shots and Status'!$F$5,IF((OR($Q$2,$Q$7)=TRUE),'Shots and Status'!$D$5,'Shots and Status'!$C$5)))),0),"-")</f>
        <v>-</v>
      </c>
      <c r="L380" s="36" t="str">
        <f>IFERROR(IF(AND($Q$1=FALSE,$S$3=FALSE),"-",VLOOKUP($E380,'Status Thresholds'!$E:$AU,41,FALSE)),"-")</f>
        <v>-</v>
      </c>
      <c r="M380" s="36" t="str">
        <f>IFERROR(IF(AND($Q$1=FALSE,$S$3=FALSE),"-",VLOOKUP($E380,'Status Thresholds'!$E:$AU,42,FALSE)),"-")</f>
        <v>-</v>
      </c>
      <c r="N380" s="36" t="str">
        <f>IFERROR(IF(AND($Q$1=FALSE,$S$3=FALSE),"-",VLOOKUP($E380,'Status Thresholds'!$E:$AU,43,FALSE)),"-")</f>
        <v>-</v>
      </c>
    </row>
    <row r="381" spans="1:14" s="36" customFormat="1" x14ac:dyDescent="0.25">
      <c r="A381" s="46"/>
      <c r="B381" s="64" t="str">
        <f>VLOOKUP(C381,'Status Thresholds'!B:C,2,FALSE)</f>
        <v>MHGen</v>
      </c>
      <c r="C381" s="46" t="str">
        <f>IF(ISBLANK('KO Calc'!C377)=TRUE,"",'KO Calc'!C377)</f>
        <v>Gravious</v>
      </c>
      <c r="D381" s="57" t="s">
        <v>22</v>
      </c>
      <c r="E381" s="62" t="str">
        <f t="shared" si="11"/>
        <v>GraviousExhaust</v>
      </c>
      <c r="F381" s="36" t="s">
        <v>8</v>
      </c>
      <c r="G381" s="36" t="str">
        <f t="shared" si="12"/>
        <v>GraviousExhaust lvl 2</v>
      </c>
      <c r="H381" s="36" t="str">
        <f>IFERROR(ROUNDUP(IF(AND($Q$1=FALSE,$S$3=FALSE),"-",IF(AND($Q$1=TRUE,$S$3=TRUE),"-",IF(AND($Q$1=TRUE,$S$1=TRUE,$S$4=FALSE),VLOOKUP($E381,'Status Thresholds'!$E:$AS,12,FALSE),IF(AND($Q$1=TRUE,$S$4=FALSE),VLOOKUP($E381,'Status Thresholds'!$E:$AS,2,FALSE), IF(AND($Q$1=TRUE,$S$1=TRUE,$S$4=TRUE),VLOOKUP($E381,'Status Thresholds'!$E:$AS,17,FALSE),IF(AND($Q$1=TRUE,$S$4=TRUE),VLOOKUP($E381,'Status Thresholds'!$E:$AS,7,FALSE),IF(AND($S$3=TRUE,$S$1=TRUE,$S$4=FALSE),VLOOKUP($E381,'Status Thresholds'!$E:$AS,32,FALSE),IF(AND($S$3=TRUE,$S$4=FALSE),VLOOKUP($E381,'Status Thresholds'!$E:$AS,22,FALSE),IF(AND($S$3=TRUE,$S$1=TRUE,$S$4=TRUE),VLOOKUP($E381,'Status Thresholds'!$E:$AS,37,FALSE),IF(AND($S$3=TRUE,$S$4=TRUE),VLOOKUP($E381,'Status Thresholds'!$E:$AS,27,FALSE),""))))))))/IF(OR($Q$3=TRUE,AND($Q$2=TRUE,$Q$7=TRUE),AND($Q$3=TRUE,$Q$7=TRUE))=TRUE,'Shots and Status'!$F$5,IF((OR($Q$2,$Q$7)=TRUE),'Shots and Status'!$D$5,'Shots and Status'!$C$5)))),0),"-")</f>
        <v>-</v>
      </c>
      <c r="I381" s="36" t="str">
        <f>IFERROR(ROUNDUP(IF(AND($Q$1=FALSE,$S$3=FALSE),"-",IF(AND($Q$1=TRUE,$S$3=TRUE),"-",IF(AND($Q$1=TRUE,$S$1=TRUE,$S$4=FALSE),VLOOKUP($E381,'Status Thresholds'!$E:$AS,13,FALSE),IF(AND($Q$1=TRUE,$S$4=FALSE),VLOOKUP($E381,'Status Thresholds'!$E:$AS,3,FALSE), IF(AND($Q$1=TRUE,$S$1=TRUE,$S$4=TRUE),VLOOKUP($E381,'Status Thresholds'!$E:$AS,18,FALSE),IF(AND($Q$1=TRUE,$S$4=TRUE),VLOOKUP($E381,'Status Thresholds'!$E:$AS,8,FALSE),IF(AND($S$3=TRUE,$S$1=TRUE,$S$4=FALSE),VLOOKUP($E381,'Status Thresholds'!$E:$AS,33,FALSE),IF(AND($S$3=TRUE,$S$4=FALSE),VLOOKUP($E381,'Status Thresholds'!$E:$AS,23,FALSE),IF(AND($S$3=TRUE,$S$1=TRUE,$S$4=TRUE),VLOOKUP($E381,'Status Thresholds'!$E:$AS,38,FALSE),IF(AND($S$3=TRUE,$S$4=TRUE),VLOOKUP($E381,'Status Thresholds'!$E:$AS,28,FALSE),""))))))))/IF(OR($Q$3=TRUE,AND($Q$2=TRUE,$Q$7=TRUE),AND($Q$3=TRUE,$Q$7=TRUE))=TRUE,'Shots and Status'!$F$5,IF((OR($Q$2,$Q$7)=TRUE),'Shots and Status'!$D$5,'Shots and Status'!$C$5)))),0),"-")</f>
        <v>-</v>
      </c>
      <c r="J381" s="36" t="str">
        <f>IFERROR(ROUNDUP(IF(AND($Q$1=FALSE,$S$3=FALSE),"-",IF(AND($Q$1=TRUE,$S$3=TRUE),"-",IF(AND($Q$1=TRUE,$S$1=TRUE,$S$4=FALSE),VLOOKUP($E381,'Status Thresholds'!$E:$AS,14,FALSE),IF(AND($Q$1=TRUE,$S$4=FALSE),VLOOKUP($E381,'Status Thresholds'!$E:$AS,4,FALSE), IF(AND($Q$1=TRUE,$S$1=TRUE,$S$4=TRUE),VLOOKUP($E381,'Status Thresholds'!$E:$AS,19,FALSE),IF(AND($Q$1=TRUE,$S$4=TRUE),VLOOKUP($E381,'Status Thresholds'!$E:$AS,9,FALSE),IF(AND($S$3=TRUE,$S$1=TRUE,$S$4=FALSE),VLOOKUP($E381,'Status Thresholds'!$E:$AS,34,FALSE),IF(AND($S$3=TRUE,$S$4=FALSE),VLOOKUP($E381,'Status Thresholds'!$E:$AS,24,FALSE),IF(AND($S$3=TRUE,$S$1=TRUE,$S$4=TRUE),VLOOKUP($E381,'Status Thresholds'!$E:$AS,39,FALSE),IF(AND($S$3=TRUE,$S$4=TRUE),VLOOKUP($E381,'Status Thresholds'!$E:$AS,29,FALSE),""))))))))/IF(OR($Q$3=TRUE,AND($Q$2=TRUE,$Q$7=TRUE),AND($Q$3=TRUE,$Q$7=TRUE))=TRUE,'Shots and Status'!$F$5,IF((OR($Q$2,$Q$7)=TRUE),'Shots and Status'!$D$5,'Shots and Status'!$C$5)))),0),"-")</f>
        <v>-</v>
      </c>
      <c r="K381" s="36" t="str">
        <f>IFERROR(ROUNDUP(IF(AND($Q$1=FALSE,$S$3=FALSE),"-",IF(AND($Q$1=TRUE,$S$3=TRUE),"-",IF(AND($Q$1=TRUE,$S$1=TRUE,$S$4=FALSE),VLOOKUP($E381,'Status Thresholds'!$E:$AS,15,FALSE),IF(AND($Q$1=TRUE,$S$4=FALSE),VLOOKUP($E381,'Status Thresholds'!$E:$AS,5,FALSE), IF(AND($Q$1=TRUE,$S$1=TRUE,$S$4=TRUE),VLOOKUP($E381,'Status Thresholds'!$E:$AS,20,FALSE),IF(AND($Q$1=TRUE,$S$4=TRUE),VLOOKUP($E381,'Status Thresholds'!$E:$AS,10,FALSE),IF(AND($S$3=TRUE,$S$1=TRUE,$S$4=FALSE),VLOOKUP($E381,'Status Thresholds'!$E:$AS,35,FALSE),IF(AND($S$3=TRUE,$S$4=FALSE),VLOOKUP($E381,'Status Thresholds'!$E:$AS,25,FALSE),IF(AND($S$3=TRUE,$S$1=TRUE,$S$4=TRUE),VLOOKUP($E381,'Status Thresholds'!$E:$AS,40,FALSE),IF(AND($S$3=TRUE,$S$4=TRUE),VLOOKUP($E381,'Status Thresholds'!$E:$AS,30,FALSE),""))))))))/IF(OR($Q$3=TRUE,AND($Q$2=TRUE,$Q$7=TRUE),AND($Q$3=TRUE,$Q$7=TRUE))=TRUE,'Shots and Status'!$F$5,IF((OR($Q$2,$Q$7)=TRUE),'Shots and Status'!$D$5,'Shots and Status'!$C$5)))),0),"-")</f>
        <v>-</v>
      </c>
      <c r="L381" s="36" t="str">
        <f>IFERROR(IF(AND($Q$1=FALSE,$S$3=FALSE),"-",VLOOKUP($E381,'Status Thresholds'!$E:$AU,41,FALSE)),"-")</f>
        <v>-</v>
      </c>
      <c r="M381" s="36" t="str">
        <f>IFERROR(IF(AND($Q$1=FALSE,$S$3=FALSE),"-",VLOOKUP($E381,'Status Thresholds'!$E:$AU,42,FALSE)),"-")</f>
        <v>-</v>
      </c>
      <c r="N381" s="36" t="str">
        <f>IFERROR(IF(AND($Q$1=FALSE,$S$3=FALSE),"-",VLOOKUP($E381,'Status Thresholds'!$E:$AU,43,FALSE)),"-")</f>
        <v>-</v>
      </c>
    </row>
    <row r="382" spans="1:14" s="36" customFormat="1" x14ac:dyDescent="0.25">
      <c r="A382" s="46"/>
      <c r="B382" s="64" t="str">
        <f>VLOOKUP(C382,'Status Thresholds'!B:C,2,FALSE)</f>
        <v>MHGen</v>
      </c>
      <c r="C382" s="46" t="str">
        <f>IF(ISBLANK('KO Calc'!C378)=TRUE,"",'KO Calc'!C378)</f>
        <v>Gravious</v>
      </c>
      <c r="D382" s="67" t="s">
        <v>14</v>
      </c>
      <c r="E382" s="62" t="str">
        <f t="shared" si="11"/>
        <v>GraviousKO</v>
      </c>
      <c r="F382" s="36" t="s">
        <v>21</v>
      </c>
      <c r="G382" s="36" t="str">
        <f t="shared" si="12"/>
        <v>GraviousTriblast</v>
      </c>
      <c r="H382" s="36" t="str">
        <f>IF(AND($Q$1=FALSE,$S$3=FALSE),"-",IF(AND($Q$1=TRUE,$S$3=TRUE),"-",IF(AND($Q$1=FALSE,$S$3=FALSE),"-",IF(AND($Q$1=TRUE,$S$1=TRUE,$S$4=FALSE)=TRUE,IF(OR($Q$4=TRUE,$Q$5=TRUE,$S$2=TRUE),VLOOKUP($G382,'KO Calc'!$H:$AW,12,FALSE),VLOOKUP($G382,'KO Calc'!$H388:$AW388,12,FALSE)),IF(AND($Q$1=TRUE,$S$4=FALSE),IF(OR($Q$4=TRUE,$Q$5=TRUE,$S$2=TRUE),VLOOKUP($G382,'KO Calc'!$H:$AW,2,FALSE),VLOOKUP($G382,'KO Calc'!$H388:$AW388,2,FALSE)),
IF(AND($Q$1=TRUE,$S$1=TRUE,$S$4=TRUE)=TRUE,IF(OR($Q$4=TRUE,$Q$5=TRUE,$S$2=TRUE),VLOOKUP($G382,'KO Calc'!$H:$AW,17,FALSE),VLOOKUP($G382,'KO Calc'!$H388:$AW388,17,FALSE)),IF(AND($Q$1=TRUE,$S$4=TRUE),IF(OR($Q$4=TRUE,$Q$5=TRUE,$S$2=TRUE),VLOOKUP($G382,'KO Calc'!$H:$AW,7,FALSE),VLOOKUP($G382,'KO Calc'!$H388:$AW388,7,FALSE)),
IF(AND($S$3=TRUE,$S$1=TRUE,$S$4=FALSE)=TRUE,IF(OR($Q$4=TRUE,$Q$5=TRUE,$S$2=TRUE),VLOOKUP($G382,'KO Calc'!$H:$AW,32,FALSE),VLOOKUP($G382,'KO Calc'!$H388:$AW388,32,FALSE)),IF(AND($S$3=TRUE,$S$4=FALSE),IF(OR($Q$4=TRUE,$Q$5=TRUE,$S$2=TRUE),VLOOKUP($G382,'KO Calc'!$H:$AW,22,FALSE),VLOOKUP($G382,'KO Calc'!$H388:$AW388,22,FALSE)),
IF(AND($S$3=TRUE,$S$1=TRUE,$S$4=TRUE)=TRUE,IF(OR($Q$4=TRUE,$Q$5=TRUE,$S$2=TRUE),VLOOKUP($G382,'KO Calc'!$H:$AW,37,FALSE),VLOOKUP($G382,'KO Calc'!$H388:$AW388,37,FALSE)),IF(AND($S$3=TRUE,$S$4=TRUE),IF(OR($Q$4=TRUE,$Q$5=TRUE,$S$2=TRUE),VLOOKUP($G382,'KO Calc'!$H:$AW,27,FALSE),VLOOKUP($G382,'KO Calc'!$H388:$AW388,27,FALSE)))))))))))))</f>
        <v>-</v>
      </c>
      <c r="I382" s="36" t="str">
        <f>IF(AND($Q$1=FALSE,$S$3=FALSE),"-",IF(AND($Q$1=TRUE,$S$3=TRUE),"-",IF(AND($Q$1=FALSE,$S$3=FALSE),"-",IF(AND($Q$1=TRUE,$S$1=TRUE,$S$4=FALSE)=TRUE,IF(OR($Q$4=TRUE,$Q$5=TRUE,$S$2=TRUE),VLOOKUP($G382,'KO Calc'!$H:$AW,13,FALSE),VLOOKUP($G382,'KO Calc'!$H388:$AW388,13,FALSE)),IF(AND($Q$1=TRUE,$S$4=FALSE),IF(OR($Q$4=TRUE,$Q$5=TRUE,$S$2=TRUE),VLOOKUP($G382,'KO Calc'!$H:$AW,3,FALSE),VLOOKUP($G382,'KO Calc'!$H388:$AW388,3,FALSE)),
IF(AND($Q$1=TRUE,$S$1=TRUE,$S$4=TRUE)=TRUE,IF(OR($Q$4=TRUE,$Q$5=TRUE,$S$2=TRUE),VLOOKUP($G382,'KO Calc'!$H:$AW,18,FALSE),VLOOKUP($G382,'KO Calc'!$H388:$AW388,18,FALSE)),IF(AND($Q$1=TRUE,$S$4=TRUE),IF(OR($Q$4=TRUE,$Q$5=TRUE,$S$2=TRUE),VLOOKUP($G382,'KO Calc'!$H:$AW,8,FALSE),VLOOKUP($G382,'KO Calc'!$H388:$AW388,8,FALSE)),
IF(AND($S$3=TRUE,$S$1=TRUE,$S$4=FALSE)=TRUE,IF(OR($Q$4=TRUE,$Q$5=TRUE,$S$2=TRUE),VLOOKUP($G382,'KO Calc'!$H:$AW,33,FALSE),VLOOKUP($G382,'KO Calc'!$H388:$AW388,33,FALSE)),IF(AND($S$3=TRUE,$S$4=FALSE),IF(OR($Q$4=TRUE,$Q$5=TRUE,$S$2=TRUE),VLOOKUP($G382,'KO Calc'!$H:$AW,23,FALSE),VLOOKUP($G382,'KO Calc'!$H388:$AW388,23,FALSE)),
IF(AND($S$3=TRUE,$S$1=TRUE,$S$4=TRUE)=TRUE,IF(OR($Q$4=TRUE,$Q$5=TRUE,$S$2=TRUE),VLOOKUP($G382,'KO Calc'!$H:$AW,38,FALSE),VLOOKUP($G382,'KO Calc'!$H388:$AW388,38,FALSE)),IF(AND($S$3=TRUE,$S$4=TRUE),IF(OR($Q$4=TRUE,$Q$5=TRUE,$S$2=TRUE),VLOOKUP($G382,'KO Calc'!$H:$AW,28,FALSE),VLOOKUP($G382,'KO Calc'!$H388:$AW388,28,FALSE)))))))))))))</f>
        <v>-</v>
      </c>
      <c r="J382" s="36" t="str">
        <f>IF(AND($Q$1=FALSE,$S$3=FALSE),"-",IF(AND($Q$1=TRUE,$S$3=TRUE),"-",IF(AND($Q$1=FALSE,$S$3=FALSE),"-",IF(AND($Q$1=TRUE,$S$1=TRUE,$S$4=FALSE)=TRUE,IF(OR($Q$4=TRUE,$Q$5=TRUE,$S$2=TRUE),VLOOKUP($G382,'KO Calc'!$H:$AW,FALSE),VLOOKUP($G382,'KO Calc'!$H388:$AW388,14,FALSE)),IF(AND($Q$1=TRUE,$S$4=FALSE),IF(OR($Q$4=TRUE,$Q$5=TRUE,$S$2=TRUE),VLOOKUP($G382,'KO Calc'!$H:$AW,4,FALSE),VLOOKUP($G382,'KO Calc'!$H388:$AW388,4,FALSE)),
IF(AND($Q$1=TRUE,$S$1=TRUE,$S$4=TRUE)=TRUE,IF(OR($Q$4=TRUE,$Q$5=TRUE,$S$2=TRUE),VLOOKUP($G382,'KO Calc'!$H:$AW,19,FALSE),VLOOKUP($G382,'KO Calc'!$H388:$AW388,19,FALSE)),IF(AND($Q$1=TRUE,$S$4=TRUE),IF(OR($Q$4=TRUE,$Q$5=TRUE,$S$2=TRUE),VLOOKUP($G382,'KO Calc'!$H:$AW,9,FALSE),VLOOKUP($G382,'KO Calc'!$H388:$AW388,9,FALSE)),
IF(AND($S$3=TRUE,$S$1=TRUE,$S$4=FALSE)=TRUE,IF(OR($Q$4=TRUE,$Q$5=TRUE,$S$2=TRUE),VLOOKUP($G382,'KO Calc'!$H:$AW,34,FALSE),VLOOKUP($G382,'KO Calc'!$H388:$AW388,34,FALSE)),IF(AND($S$3=TRUE,$S$4=FALSE),IF(OR($Q$4=TRUE,$Q$5=TRUE,$S$2=TRUE),VLOOKUP($G382,'KO Calc'!$H:$AW,24,FALSE),VLOOKUP($G382,'KO Calc'!$H388:$AW388,24,FALSE)),
IF(AND($S$3=TRUE,$S$1=TRUE,$S$4=TRUE)=TRUE,IF(OR($Q$4=TRUE,$Q$5=TRUE,$S$2=TRUE),VLOOKUP($G382,'KO Calc'!$H:$AW,39,FALSE),VLOOKUP($G382,'KO Calc'!$H388:$AW388,39,FALSE)),IF(AND($S$3=TRUE,$S$4=TRUE),IF(OR($Q$4=TRUE,$Q$5=TRUE,$S$2=TRUE),VLOOKUP($G382,'KO Calc'!$H:$AW,29,FALSE),VLOOKUP($G382,'KO Calc'!$H388:$AW388,29,FALSE)))))))))))))</f>
        <v>-</v>
      </c>
      <c r="K382" s="36" t="str">
        <f>IF(AND($Q$1=FALSE,$S$3=FALSE),"-",IF(AND($Q$1=TRUE,$S$3=TRUE),"-",IF(AND($Q$1=FALSE,$S$3=FALSE),"-",IF(AND($Q$1=TRUE,$S$1=TRUE,$S$4=FALSE)=TRUE,IF(OR($Q$4=TRUE,$Q$5=TRUE,$S$2=TRUE),VLOOKUP($G382,'KO Calc'!$H:$AW,15,FALSE),VLOOKUP($G382,'KO Calc'!$H388:$AW388,15,FALSE)),IF(AND($Q$1=TRUE,$S$4=FALSE),IF(OR($Q$4=TRUE,$Q$5=TRUE,$S$2=TRUE),VLOOKUP($G382,'KO Calc'!$H:$AW,5,FALSE),VLOOKUP($G382,'KO Calc'!$H388:$AW388,5,FALSE)),
IF(AND($Q$1=TRUE,$S$1=TRUE,$S$4=TRUE)=TRUE,IF(OR($Q$4=TRUE,$Q$5=TRUE,$S$2=TRUE),VLOOKUP($G382,'KO Calc'!$H:$AW,20,FALSE),VLOOKUP($G382,'KO Calc'!$H388:$AW388,20,FALSE)),IF(AND($Q$1=TRUE,$S$4=TRUE),IF(OR($Q$4=TRUE,$Q$5=TRUE,$S$2=TRUE),VLOOKUP($G382,'KO Calc'!$H:$AW,10,FALSE),VLOOKUP($G382,'KO Calc'!$H388:$AW388,10,FALSE)),
IF(AND($S$3=TRUE,$S$1=TRUE,$S$4=FALSE)=TRUE,IF(OR($Q$4=TRUE,$Q$5=TRUE,$S$2=TRUE),VLOOKUP($G382,'KO Calc'!$H:$AW,35,FALSE),VLOOKUP($G382,'KO Calc'!$H388:$AW388,35,FALSE)),IF(AND($S$3=TRUE,$S$4=FALSE),IF(OR($Q$4=TRUE,$Q$5=TRUE,$S$2=TRUE),VLOOKUP($G382,'KO Calc'!$H:$AW,25,FALSE),VLOOKUP($G382,'KO Calc'!$H388:$AW388,25,FALSE)),
IF(AND($S$3=TRUE,$S$1=TRUE,$S$4=TRUE)=TRUE,IF(OR($Q$4=TRUE,$Q$5=TRUE,$S$2=TRUE),VLOOKUP($G382,'KO Calc'!$H:$AW,40,FALSE),VLOOKUP($G382,'KO Calc'!$H388:$AW388,40,FALSE)),IF(AND($S$3=TRUE,$S$4=TRUE),IF(OR($Q$4=TRUE,$Q$5=TRUE,$S$2=TRUE),VLOOKUP($G382,'KO Calc'!$H:$AW,30,FALSE),VLOOKUP($G382,'KO Calc'!$H388:$AW388,30,FALSE)))))))))))))</f>
        <v>-</v>
      </c>
      <c r="L382" s="36" t="str">
        <f>IFERROR(IF(AND($Q$1=FALSE,$S$3=FALSE),"-",VLOOKUP($E382,'Status Thresholds'!$E:$AU,41,FALSE)),"-")</f>
        <v>-</v>
      </c>
      <c r="M382" s="36" t="str">
        <f>IFERROR(IF(AND($Q$1=FALSE,$S$3=FALSE),"-",VLOOKUP($E382,'Status Thresholds'!$E:$AU,42,FALSE)),"-")</f>
        <v>-</v>
      </c>
      <c r="N382" s="36" t="str">
        <f>IFERROR(IF(AND($Q$1=FALSE,$S$3=FALSE),"-",VLOOKUP($E382,'Status Thresholds'!$E:$AU,43,FALSE)),"-")</f>
        <v>-</v>
      </c>
    </row>
    <row r="383" spans="1:14" x14ac:dyDescent="0.25">
      <c r="B383" s="64" t="str">
        <f>VLOOKUP(C383,'Status Thresholds'!B:C,2,FALSE)</f>
        <v>MHGen</v>
      </c>
      <c r="C383" s="46" t="str">
        <f>IF(ISBLANK('KO Calc'!C379)=TRUE,"",'KO Calc'!C379)</f>
        <v>Gravious</v>
      </c>
      <c r="D383" s="78" t="s">
        <v>207</v>
      </c>
      <c r="E383" s="62" t="str">
        <f t="shared" si="11"/>
        <v>GraviousShock Trap</v>
      </c>
      <c r="F383" t="s">
        <v>13</v>
      </c>
      <c r="G383" s="36" t="str">
        <f t="shared" si="12"/>
        <v>GraviousCrag 3</v>
      </c>
      <c r="H383" s="36" t="str">
        <f>IF(AND($Q$1=FALSE,$S$3=FALSE),"-",IF(AND($Q$1=TRUE,$S$3=TRUE),"-",IF(AND($Q$1=FALSE,$S$3=FALSE),"-",IF(AND($Q$1=TRUE,$S$1=TRUE,$S$4=FALSE)=TRUE,IF(OR($Q$4=TRUE,$Q$5=TRUE,$S$2=TRUE),VLOOKUP($G383,'KO Calc'!$H:$AW,12,FALSE),VLOOKUP($G383,'KO Calc'!$H389:$AW389,12,FALSE)),IF(AND($Q$1=TRUE,$S$4=FALSE),IF(OR($Q$4=TRUE,$Q$5=TRUE,$S$2=TRUE),VLOOKUP($G383,'KO Calc'!$H:$AW,2,FALSE),VLOOKUP($G383,'KO Calc'!$H389:$AW389,2,FALSE)),
IF(AND($Q$1=TRUE,$S$1=TRUE,$S$4=TRUE)=TRUE,IF(OR($Q$4=TRUE,$Q$5=TRUE,$S$2=TRUE),VLOOKUP($G383,'KO Calc'!$H:$AW,17,FALSE),VLOOKUP($G383,'KO Calc'!$H389:$AW389,17,FALSE)),IF(AND($Q$1=TRUE,$S$4=TRUE),IF(OR($Q$4=TRUE,$Q$5=TRUE,$S$2=TRUE),VLOOKUP($G383,'KO Calc'!$H:$AW,7,FALSE),VLOOKUP($G383,'KO Calc'!$H389:$AW389,7,FALSE)),
IF(AND($S$3=TRUE,$S$1=TRUE,$S$4=FALSE)=TRUE,IF(OR($Q$4=TRUE,$Q$5=TRUE,$S$2=TRUE),VLOOKUP($G383,'KO Calc'!$H:$AW,32,FALSE),VLOOKUP($G383,'KO Calc'!$H389:$AW389,32,FALSE)),IF(AND($S$3=TRUE,$S$4=FALSE),IF(OR($Q$4=TRUE,$Q$5=TRUE,$S$2=TRUE),VLOOKUP($G383,'KO Calc'!$H:$AW,22,FALSE),VLOOKUP($G383,'KO Calc'!$H389:$AW389,22,FALSE)),
IF(AND($S$3=TRUE,$S$1=TRUE,$S$4=TRUE)=TRUE,IF(OR($Q$4=TRUE,$Q$5=TRUE,$S$2=TRUE),VLOOKUP($G383,'KO Calc'!$H:$AW,37,FALSE),VLOOKUP($G383,'KO Calc'!$H389:$AW389,37,FALSE)),IF(AND($S$3=TRUE,$S$4=TRUE),IF(OR($Q$4=TRUE,$Q$5=TRUE,$S$2=TRUE),VLOOKUP($G383,'KO Calc'!$H:$AW,27,FALSE),VLOOKUP($G383,'KO Calc'!$H389:$AW389,27,FALSE)))))))))))))</f>
        <v>-</v>
      </c>
      <c r="I383" s="36" t="str">
        <f>IF(AND($Q$1=FALSE,$S$3=FALSE),"-",IF(AND($Q$1=TRUE,$S$3=TRUE),"-",IF(AND($Q$1=FALSE,$S$3=FALSE),"-",IF(AND($Q$1=TRUE,$S$1=TRUE,$S$4=FALSE)=TRUE,IF(OR($Q$4=TRUE,$Q$5=TRUE,$S$2=TRUE),VLOOKUP($G383,'KO Calc'!$H:$AW,13,FALSE),VLOOKUP($G383,'KO Calc'!$H389:$AW389,13,FALSE)),IF(AND($Q$1=TRUE,$S$4=FALSE),IF(OR($Q$4=TRUE,$Q$5=TRUE,$S$2=TRUE),VLOOKUP($G383,'KO Calc'!$H:$AW,3,FALSE),VLOOKUP($G383,'KO Calc'!$H389:$AW389,3,FALSE)),
IF(AND($Q$1=TRUE,$S$1=TRUE,$S$4=TRUE)=TRUE,IF(OR($Q$4=TRUE,$Q$5=TRUE,$S$2=TRUE),VLOOKUP($G383,'KO Calc'!$H:$AW,18,FALSE),VLOOKUP($G383,'KO Calc'!$H389:$AW389,18,FALSE)),IF(AND($Q$1=TRUE,$S$4=TRUE),IF(OR($Q$4=TRUE,$Q$5=TRUE,$S$2=TRUE),VLOOKUP($G383,'KO Calc'!$H:$AW,8,FALSE),VLOOKUP($G383,'KO Calc'!$H389:$AW389,8,FALSE)),
IF(AND($S$3=TRUE,$S$1=TRUE,$S$4=FALSE)=TRUE,IF(OR($Q$4=TRUE,$Q$5=TRUE,$S$2=TRUE),VLOOKUP($G383,'KO Calc'!$H:$AW,33,FALSE),VLOOKUP($G383,'KO Calc'!$H389:$AW389,33,FALSE)),IF(AND($S$3=TRUE,$S$4=FALSE),IF(OR($Q$4=TRUE,$Q$5=TRUE,$S$2=TRUE),VLOOKUP($G383,'KO Calc'!$H:$AW,23,FALSE),VLOOKUP($G383,'KO Calc'!$H389:$AW389,23,FALSE)),
IF(AND($S$3=TRUE,$S$1=TRUE,$S$4=TRUE)=TRUE,IF(OR($Q$4=TRUE,$Q$5=TRUE,$S$2=TRUE),VLOOKUP($G383,'KO Calc'!$H:$AW,38,FALSE),VLOOKUP($G383,'KO Calc'!$H389:$AW389,38,FALSE)),IF(AND($S$3=TRUE,$S$4=TRUE),IF(OR($Q$4=TRUE,$Q$5=TRUE,$S$2=TRUE),VLOOKUP($G383,'KO Calc'!$H:$AW,28,FALSE),VLOOKUP($G383,'KO Calc'!$H389:$AW389,28,FALSE)))))))))))))</f>
        <v>-</v>
      </c>
      <c r="J383" s="36" t="str">
        <f>IF(AND($Q$1=FALSE,$S$3=FALSE),"-",IF(AND($Q$1=TRUE,$S$3=TRUE),"-",IF(AND($Q$1=FALSE,$S$3=FALSE),"-",IF(AND($Q$1=TRUE,$S$1=TRUE,$S$4=FALSE)=TRUE,IF(OR($Q$4=TRUE,$Q$5=TRUE,$S$2=TRUE),VLOOKUP($G383,'KO Calc'!$H:$AW,FALSE),VLOOKUP($G383,'KO Calc'!$H389:$AW389,14,FALSE)),IF(AND($Q$1=TRUE,$S$4=FALSE),IF(OR($Q$4=TRUE,$Q$5=TRUE,$S$2=TRUE),VLOOKUP($G383,'KO Calc'!$H:$AW,4,FALSE),VLOOKUP($G383,'KO Calc'!$H389:$AW389,4,FALSE)),
IF(AND($Q$1=TRUE,$S$1=TRUE,$S$4=TRUE)=TRUE,IF(OR($Q$4=TRUE,$Q$5=TRUE,$S$2=TRUE),VLOOKUP($G383,'KO Calc'!$H:$AW,19,FALSE),VLOOKUP($G383,'KO Calc'!$H389:$AW389,19,FALSE)),IF(AND($Q$1=TRUE,$S$4=TRUE),IF(OR($Q$4=TRUE,$Q$5=TRUE,$S$2=TRUE),VLOOKUP($G383,'KO Calc'!$H:$AW,9,FALSE),VLOOKUP($G383,'KO Calc'!$H389:$AW389,9,FALSE)),
IF(AND($S$3=TRUE,$S$1=TRUE,$S$4=FALSE)=TRUE,IF(OR($Q$4=TRUE,$Q$5=TRUE,$S$2=TRUE),VLOOKUP($G383,'KO Calc'!$H:$AW,34,FALSE),VLOOKUP($G383,'KO Calc'!$H389:$AW389,34,FALSE)),IF(AND($S$3=TRUE,$S$4=FALSE),IF(OR($Q$4=TRUE,$Q$5=TRUE,$S$2=TRUE),VLOOKUP($G383,'KO Calc'!$H:$AW,24,FALSE),VLOOKUP($G383,'KO Calc'!$H389:$AW389,24,FALSE)),
IF(AND($S$3=TRUE,$S$1=TRUE,$S$4=TRUE)=TRUE,IF(OR($Q$4=TRUE,$Q$5=TRUE,$S$2=TRUE),VLOOKUP($G383,'KO Calc'!$H:$AW,39,FALSE),VLOOKUP($G383,'KO Calc'!$H389:$AW389,39,FALSE)),IF(AND($S$3=TRUE,$S$4=TRUE),IF(OR($Q$4=TRUE,$Q$5=TRUE,$S$2=TRUE),VLOOKUP($G383,'KO Calc'!$H:$AW,29,FALSE),VLOOKUP($G383,'KO Calc'!$H389:$AW389,29,FALSE)))))))))))))</f>
        <v>-</v>
      </c>
      <c r="K383" s="36" t="str">
        <f>IF(AND($Q$1=FALSE,$S$3=FALSE),"-",IF(AND($Q$1=TRUE,$S$3=TRUE),"-",IF(AND($Q$1=FALSE,$S$3=FALSE),"-",IF(AND($Q$1=TRUE,$S$1=TRUE,$S$4=FALSE)=TRUE,IF(OR($Q$4=TRUE,$Q$5=TRUE,$S$2=TRUE),VLOOKUP($G383,'KO Calc'!$H:$AW,15,FALSE),VLOOKUP($G383,'KO Calc'!$H389:$AW389,15,FALSE)),IF(AND($Q$1=TRUE,$S$4=FALSE),IF(OR($Q$4=TRUE,$Q$5=TRUE,$S$2=TRUE),VLOOKUP($G383,'KO Calc'!$H:$AW,5,FALSE),VLOOKUP($G383,'KO Calc'!$H389:$AW389,5,FALSE)),
IF(AND($Q$1=TRUE,$S$1=TRUE,$S$4=TRUE)=TRUE,IF(OR($Q$4=TRUE,$Q$5=TRUE,$S$2=TRUE),VLOOKUP($G383,'KO Calc'!$H:$AW,20,FALSE),VLOOKUP($G383,'KO Calc'!$H389:$AW389,20,FALSE)),IF(AND($Q$1=TRUE,$S$4=TRUE),IF(OR($Q$4=TRUE,$Q$5=TRUE,$S$2=TRUE),VLOOKUP($G383,'KO Calc'!$H:$AW,10,FALSE),VLOOKUP($G383,'KO Calc'!$H389:$AW389,10,FALSE)),
IF(AND($S$3=TRUE,$S$1=TRUE,$S$4=FALSE)=TRUE,IF(OR($Q$4=TRUE,$Q$5=TRUE,$S$2=TRUE),VLOOKUP($G383,'KO Calc'!$H:$AW,35,FALSE),VLOOKUP($G383,'KO Calc'!$H389:$AW389,35,FALSE)),IF(AND($S$3=TRUE,$S$4=FALSE),IF(OR($Q$4=TRUE,$Q$5=TRUE,$S$2=TRUE),VLOOKUP($G383,'KO Calc'!$H:$AW,25,FALSE),VLOOKUP($G383,'KO Calc'!$H389:$AW389,25,FALSE)),
IF(AND($S$3=TRUE,$S$1=TRUE,$S$4=TRUE)=TRUE,IF(OR($Q$4=TRUE,$Q$5=TRUE,$S$2=TRUE),VLOOKUP($G383,'KO Calc'!$H:$AW,40,FALSE),VLOOKUP($G383,'KO Calc'!$H389:$AW389,40,FALSE)),IF(AND($S$3=TRUE,$S$4=TRUE),IF(OR($Q$4=TRUE,$Q$5=TRUE,$S$2=TRUE),VLOOKUP($G383,'KO Calc'!$H:$AW,30,FALSE),VLOOKUP($G383,'KO Calc'!$H389:$AW389,30,FALSE)))))))))))))</f>
        <v>-</v>
      </c>
      <c r="L383" s="36" t="str">
        <f>IFERROR(IF(AND($Q$1=FALSE,$S$3=FALSE),"-",VLOOKUP($E383,'Status Thresholds'!$E:$AU,43,FALSE)),"-")</f>
        <v>-</v>
      </c>
      <c r="M383" s="36" t="str">
        <f>IFERROR(IF(AND($Q$1=FALSE,$S$3=FALSE),"-",VLOOKUP($E383,'Status Thresholds'!$E:$AU,41,FALSE)),"-")</f>
        <v>-</v>
      </c>
      <c r="N383" s="36" t="str">
        <f>IFERROR(IF(AND($Q$1=FALSE,$S$3=FALSE),"-",VLOOKUP($E383,'Status Thresholds'!$E:$AU,42,FALSE)),"-")</f>
        <v>-</v>
      </c>
    </row>
    <row r="384" spans="1:14" x14ac:dyDescent="0.25">
      <c r="B384" s="64" t="str">
        <f>VLOOKUP(C384,'Status Thresholds'!B:C,2,FALSE)</f>
        <v>MHGen</v>
      </c>
      <c r="C384" s="46" t="str">
        <f>IF(ISBLANK('KO Calc'!C380)=TRUE,"",'KO Calc'!C380)</f>
        <v>Gravious</v>
      </c>
      <c r="D384" s="78" t="s">
        <v>213</v>
      </c>
      <c r="E384" s="62" t="str">
        <f t="shared" si="11"/>
        <v>GraviousPitfall Trap</v>
      </c>
      <c r="F384" t="s">
        <v>12</v>
      </c>
      <c r="G384" s="36" t="str">
        <f t="shared" si="12"/>
        <v>GraviousCrag 2</v>
      </c>
      <c r="H384" s="36" t="str">
        <f>IF(AND($Q$1=FALSE,$S$3=FALSE),"-",IF(AND($Q$1=TRUE,$S$3=TRUE),"-",IF(AND($Q$1=FALSE,$S$3=FALSE),"-",IF(AND($Q$1=TRUE,$S$1=TRUE,$S$4=FALSE)=TRUE,IF(OR($Q$4=TRUE,$Q$5=TRUE,$S$2=TRUE),VLOOKUP($G384,'KO Calc'!$H:$AW,12,FALSE),VLOOKUP($G384,'KO Calc'!$H390:$AW390,12,FALSE)),IF(AND($Q$1=TRUE,$S$4=FALSE),IF(OR($Q$4=TRUE,$Q$5=TRUE,$S$2=TRUE),VLOOKUP($G384,'KO Calc'!$H:$AW,2,FALSE),VLOOKUP($G384,'KO Calc'!$H390:$AW390,2,FALSE)),
IF(AND($Q$1=TRUE,$S$1=TRUE,$S$4=TRUE)=TRUE,IF(OR($Q$4=TRUE,$Q$5=TRUE,$S$2=TRUE),VLOOKUP($G384,'KO Calc'!$H:$AW,17,FALSE),VLOOKUP($G384,'KO Calc'!$H390:$AW390,17,FALSE)),IF(AND($Q$1=TRUE,$S$4=TRUE),IF(OR($Q$4=TRUE,$Q$5=TRUE,$S$2=TRUE),VLOOKUP($G384,'KO Calc'!$H:$AW,7,FALSE),VLOOKUP($G384,'KO Calc'!$H390:$AW390,7,FALSE)),
IF(AND($S$3=TRUE,$S$1=TRUE,$S$4=FALSE)=TRUE,IF(OR($Q$4=TRUE,$Q$5=TRUE,$S$2=TRUE),VLOOKUP($G384,'KO Calc'!$H:$AW,32,FALSE),VLOOKUP($G384,'KO Calc'!$H390:$AW390,32,FALSE)),IF(AND($S$3=TRUE,$S$4=FALSE),IF(OR($Q$4=TRUE,$Q$5=TRUE,$S$2=TRUE),VLOOKUP($G384,'KO Calc'!$H:$AW,22,FALSE),VLOOKUP($G384,'KO Calc'!$H390:$AW390,22,FALSE)),
IF(AND($S$3=TRUE,$S$1=TRUE,$S$4=TRUE)=TRUE,IF(OR($Q$4=TRUE,$Q$5=TRUE,$S$2=TRUE),VLOOKUP($G384,'KO Calc'!$H:$AW,37,FALSE),VLOOKUP($G384,'KO Calc'!$H390:$AW390,37,FALSE)),IF(AND($S$3=TRUE,$S$4=TRUE),IF(OR($Q$4=TRUE,$Q$5=TRUE,$S$2=TRUE),VLOOKUP($G384,'KO Calc'!$H:$AW,27,FALSE),VLOOKUP($G384,'KO Calc'!$H390:$AW390,27,FALSE)))))))))))))</f>
        <v>-</v>
      </c>
      <c r="I384" s="36" t="str">
        <f>IF(AND($Q$1=FALSE,$S$3=FALSE),"-",IF(AND($Q$1=TRUE,$S$3=TRUE),"-",IF(AND($Q$1=FALSE,$S$3=FALSE),"-",IF(AND($Q$1=TRUE,$S$1=TRUE,$S$4=FALSE)=TRUE,IF(OR($Q$4=TRUE,$Q$5=TRUE,$S$2=TRUE),VLOOKUP($G384,'KO Calc'!$H:$AW,13,FALSE),VLOOKUP($G384,'KO Calc'!$H390:$AW390,13,FALSE)),IF(AND($Q$1=TRUE,$S$4=FALSE),IF(OR($Q$4=TRUE,$Q$5=TRUE,$S$2=TRUE),VLOOKUP($G384,'KO Calc'!$H:$AW,3,FALSE),VLOOKUP($G384,'KO Calc'!$H390:$AW390,3,FALSE)),
IF(AND($Q$1=TRUE,$S$1=TRUE,$S$4=TRUE)=TRUE,IF(OR($Q$4=TRUE,$Q$5=TRUE,$S$2=TRUE),VLOOKUP($G384,'KO Calc'!$H:$AW,18,FALSE),VLOOKUP($G384,'KO Calc'!$H390:$AW390,18,FALSE)),IF(AND($Q$1=TRUE,$S$4=TRUE),IF(OR($Q$4=TRUE,$Q$5=TRUE,$S$2=TRUE),VLOOKUP($G384,'KO Calc'!$H:$AW,8,FALSE),VLOOKUP($G384,'KO Calc'!$H390:$AW390,8,FALSE)),
IF(AND($S$3=TRUE,$S$1=TRUE,$S$4=FALSE)=TRUE,IF(OR($Q$4=TRUE,$Q$5=TRUE,$S$2=TRUE),VLOOKUP($G384,'KO Calc'!$H:$AW,33,FALSE),VLOOKUP($G384,'KO Calc'!$H390:$AW390,33,FALSE)),IF(AND($S$3=TRUE,$S$4=FALSE),IF(OR($Q$4=TRUE,$Q$5=TRUE,$S$2=TRUE),VLOOKUP($G384,'KO Calc'!$H:$AW,23,FALSE),VLOOKUP($G384,'KO Calc'!$H390:$AW390,23,FALSE)),
IF(AND($S$3=TRUE,$S$1=TRUE,$S$4=TRUE)=TRUE,IF(OR($Q$4=TRUE,$Q$5=TRUE,$S$2=TRUE),VLOOKUP($G384,'KO Calc'!$H:$AW,38,FALSE),VLOOKUP($G384,'KO Calc'!$H390:$AW390,38,FALSE)),IF(AND($S$3=TRUE,$S$4=TRUE),IF(OR($Q$4=TRUE,$Q$5=TRUE,$S$2=TRUE),VLOOKUP($G384,'KO Calc'!$H:$AW,28,FALSE),VLOOKUP($G384,'KO Calc'!$H390:$AW390,28,FALSE)))))))))))))</f>
        <v>-</v>
      </c>
      <c r="J384" s="36" t="str">
        <f>IF(AND($Q$1=FALSE,$S$3=FALSE),"-",IF(AND($Q$1=TRUE,$S$3=TRUE),"-",IF(AND($Q$1=FALSE,$S$3=FALSE),"-",IF(AND($Q$1=TRUE,$S$1=TRUE,$S$4=FALSE)=TRUE,IF(OR($Q$4=TRUE,$Q$5=TRUE,$S$2=TRUE),VLOOKUP($G384,'KO Calc'!$H:$AW,FALSE),VLOOKUP($G384,'KO Calc'!$H390:$AW390,14,FALSE)),IF(AND($Q$1=TRUE,$S$4=FALSE),IF(OR($Q$4=TRUE,$Q$5=TRUE,$S$2=TRUE),VLOOKUP($G384,'KO Calc'!$H:$AW,4,FALSE),VLOOKUP($G384,'KO Calc'!$H390:$AW390,4,FALSE)),
IF(AND($Q$1=TRUE,$S$1=TRUE,$S$4=TRUE)=TRUE,IF(OR($Q$4=TRUE,$Q$5=TRUE,$S$2=TRUE),VLOOKUP($G384,'KO Calc'!$H:$AW,19,FALSE),VLOOKUP($G384,'KO Calc'!$H390:$AW390,19,FALSE)),IF(AND($Q$1=TRUE,$S$4=TRUE),IF(OR($Q$4=TRUE,$Q$5=TRUE,$S$2=TRUE),VLOOKUP($G384,'KO Calc'!$H:$AW,9,FALSE),VLOOKUP($G384,'KO Calc'!$H390:$AW390,9,FALSE)),
IF(AND($S$3=TRUE,$S$1=TRUE,$S$4=FALSE)=TRUE,IF(OR($Q$4=TRUE,$Q$5=TRUE,$S$2=TRUE),VLOOKUP($G384,'KO Calc'!$H:$AW,34,FALSE),VLOOKUP($G384,'KO Calc'!$H390:$AW390,34,FALSE)),IF(AND($S$3=TRUE,$S$4=FALSE),IF(OR($Q$4=TRUE,$Q$5=TRUE,$S$2=TRUE),VLOOKUP($G384,'KO Calc'!$H:$AW,24,FALSE),VLOOKUP($G384,'KO Calc'!$H390:$AW390,24,FALSE)),
IF(AND($S$3=TRUE,$S$1=TRUE,$S$4=TRUE)=TRUE,IF(OR($Q$4=TRUE,$Q$5=TRUE,$S$2=TRUE),VLOOKUP($G384,'KO Calc'!$H:$AW,39,FALSE),VLOOKUP($G384,'KO Calc'!$H390:$AW390,39,FALSE)),IF(AND($S$3=TRUE,$S$4=TRUE),IF(OR($Q$4=TRUE,$Q$5=TRUE,$S$2=TRUE),VLOOKUP($G384,'KO Calc'!$H:$AW,29,FALSE),VLOOKUP($G384,'KO Calc'!$H390:$AW390,29,FALSE)))))))))))))</f>
        <v>-</v>
      </c>
      <c r="K384" s="36" t="str">
        <f>IF(AND($Q$1=FALSE,$S$3=FALSE),"-",IF(AND($Q$1=TRUE,$S$3=TRUE),"-",IF(AND($Q$1=FALSE,$S$3=FALSE),"-",IF(AND($Q$1=TRUE,$S$1=TRUE,$S$4=FALSE)=TRUE,IF(OR($Q$4=TRUE,$Q$5=TRUE,$S$2=TRUE),VLOOKUP($G384,'KO Calc'!$H:$AW,15,FALSE),VLOOKUP($G384,'KO Calc'!$H390:$AW390,15,FALSE)),IF(AND($Q$1=TRUE,$S$4=FALSE),IF(OR($Q$4=TRUE,$Q$5=TRUE,$S$2=TRUE),VLOOKUP($G384,'KO Calc'!$H:$AW,5,FALSE),VLOOKUP($G384,'KO Calc'!$H390:$AW390,5,FALSE)),
IF(AND($Q$1=TRUE,$S$1=TRUE,$S$4=TRUE)=TRUE,IF(OR($Q$4=TRUE,$Q$5=TRUE,$S$2=TRUE),VLOOKUP($G384,'KO Calc'!$H:$AW,20,FALSE),VLOOKUP($G384,'KO Calc'!$H390:$AW390,20,FALSE)),IF(AND($Q$1=TRUE,$S$4=TRUE),IF(OR($Q$4=TRUE,$Q$5=TRUE,$S$2=TRUE),VLOOKUP($G384,'KO Calc'!$H:$AW,10,FALSE),VLOOKUP($G384,'KO Calc'!$H390:$AW390,10,FALSE)),
IF(AND($S$3=TRUE,$S$1=TRUE,$S$4=FALSE)=TRUE,IF(OR($Q$4=TRUE,$Q$5=TRUE,$S$2=TRUE),VLOOKUP($G384,'KO Calc'!$H:$AW,35,FALSE),VLOOKUP($G384,'KO Calc'!$H390:$AW390,35,FALSE)),IF(AND($S$3=TRUE,$S$4=FALSE),IF(OR($Q$4=TRUE,$Q$5=TRUE,$S$2=TRUE),VLOOKUP($G384,'KO Calc'!$H:$AW,25,FALSE),VLOOKUP($G384,'KO Calc'!$H390:$AW390,25,FALSE)),
IF(AND($S$3=TRUE,$S$1=TRUE,$S$4=TRUE)=TRUE,IF(OR($Q$4=TRUE,$Q$5=TRUE,$S$2=TRUE),VLOOKUP($G384,'KO Calc'!$H:$AW,40,FALSE),VLOOKUP($G384,'KO Calc'!$H390:$AW390,40,FALSE)),IF(AND($S$3=TRUE,$S$4=TRUE),IF(OR($Q$4=TRUE,$Q$5=TRUE,$S$2=TRUE),VLOOKUP($G384,'KO Calc'!$H:$AW,30,FALSE),VLOOKUP($G384,'KO Calc'!$H390:$AW390,30,FALSE)))))))))))))</f>
        <v>-</v>
      </c>
      <c r="L384" s="36" t="str">
        <f>IFERROR(IF(AND($Q$1=FALSE,$S$3=FALSE),"-",VLOOKUP($E384,'Status Thresholds'!$E:$AU,43,FALSE)),"-")</f>
        <v>-</v>
      </c>
      <c r="M384" s="36" t="str">
        <f>IFERROR(IF(AND($Q$1=FALSE,$S$3=FALSE),"-",VLOOKUP($E384,'Status Thresholds'!$E:$AU,41,FALSE)),"-")</f>
        <v>-</v>
      </c>
      <c r="N384" s="36" t="str">
        <f>IFERROR(IF(AND($Q$1=FALSE,$S$3=FALSE),"-",VLOOKUP($E384,'Status Thresholds'!$E:$AU,42,FALSE)),"-")</f>
        <v>-</v>
      </c>
    </row>
    <row r="385" spans="1:14" x14ac:dyDescent="0.25">
      <c r="B385" s="64" t="str">
        <f>VLOOKUP(C385,'Status Thresholds'!B:C,2,FALSE)</f>
        <v>MHGen</v>
      </c>
      <c r="C385" s="46" t="str">
        <f>IF(ISBLANK('KO Calc'!C381)=TRUE,"",'KO Calc'!C381)</f>
        <v>Gravious</v>
      </c>
      <c r="D385" s="78"/>
      <c r="E385" s="62" t="str">
        <f t="shared" si="11"/>
        <v>Gravious</v>
      </c>
      <c r="F385" t="s">
        <v>11</v>
      </c>
      <c r="G385" s="36" t="str">
        <f t="shared" si="12"/>
        <v>GraviousCrag 1</v>
      </c>
      <c r="H385" s="36" t="str">
        <f>IF(AND($Q$1=FALSE,$S$3=FALSE),"-",IF(AND($Q$1=TRUE,$S$3=TRUE),"-",IF(AND($Q$1=FALSE,$S$3=FALSE),"-",IF(AND($Q$1=TRUE,$S$1=TRUE,$S$4=FALSE)=TRUE,IF(OR($Q$4=TRUE,$Q$5=TRUE,$S$2=TRUE),VLOOKUP($G385,'KO Calc'!$H:$AW,12,FALSE),VLOOKUP($G385,'KO Calc'!$H391:$AW391,12,FALSE)),IF(AND($Q$1=TRUE,$S$4=FALSE),IF(OR($Q$4=TRUE,$Q$5=TRUE,$S$2=TRUE),VLOOKUP($G385,'KO Calc'!$H:$AW,2,FALSE),VLOOKUP($G385,'KO Calc'!$H391:$AW391,2,FALSE)),
IF(AND($Q$1=TRUE,$S$1=TRUE,$S$4=TRUE)=TRUE,IF(OR($Q$4=TRUE,$Q$5=TRUE,$S$2=TRUE),VLOOKUP($G385,'KO Calc'!$H:$AW,17,FALSE),VLOOKUP($G385,'KO Calc'!$H391:$AW391,17,FALSE)),IF(AND($Q$1=TRUE,$S$4=TRUE),IF(OR($Q$4=TRUE,$Q$5=TRUE,$S$2=TRUE),VLOOKUP($G385,'KO Calc'!$H:$AW,7,FALSE),VLOOKUP($G385,'KO Calc'!$H391:$AW391,7,FALSE)),
IF(AND($S$3=TRUE,$S$1=TRUE,$S$4=FALSE)=TRUE,IF(OR($Q$4=TRUE,$Q$5=TRUE,$S$2=TRUE),VLOOKUP($G385,'KO Calc'!$H:$AW,32,FALSE),VLOOKUP($G385,'KO Calc'!$H391:$AW391,32,FALSE)),IF(AND($S$3=TRUE,$S$4=FALSE),IF(OR($Q$4=TRUE,$Q$5=TRUE,$S$2=TRUE),VLOOKUP($G385,'KO Calc'!$H:$AW,22,FALSE),VLOOKUP($G385,'KO Calc'!$H391:$AW391,22,FALSE)),
IF(AND($S$3=TRUE,$S$1=TRUE,$S$4=TRUE)=TRUE,IF(OR($Q$4=TRUE,$Q$5=TRUE,$S$2=TRUE),VLOOKUP($G385,'KO Calc'!$H:$AW,37,FALSE),VLOOKUP($G385,'KO Calc'!$H391:$AW391,37,FALSE)),IF(AND($S$3=TRUE,$S$4=TRUE),IF(OR($Q$4=TRUE,$Q$5=TRUE,$S$2=TRUE),VLOOKUP($G385,'KO Calc'!$H:$AW,27,FALSE),VLOOKUP($G385,'KO Calc'!$H391:$AW391,27,FALSE)))))))))))))</f>
        <v>-</v>
      </c>
      <c r="I385" s="36" t="str">
        <f>IF(AND($Q$1=FALSE,$S$3=FALSE),"-",IF(AND($Q$1=TRUE,$S$3=TRUE),"-",IF(AND($Q$1=FALSE,$S$3=FALSE),"-",IF(AND($Q$1=TRUE,$S$1=TRUE,$S$4=FALSE)=TRUE,IF(OR($Q$4=TRUE,$Q$5=TRUE,$S$2=TRUE),VLOOKUP($G385,'KO Calc'!$H:$AW,13,FALSE),VLOOKUP($G385,'KO Calc'!$H391:$AW391,13,FALSE)),IF(AND($Q$1=TRUE,$S$4=FALSE),IF(OR($Q$4=TRUE,$Q$5=TRUE,$S$2=TRUE),VLOOKUP($G385,'KO Calc'!$H:$AW,3,FALSE),VLOOKUP($G385,'KO Calc'!$H391:$AW391,3,FALSE)),
IF(AND($Q$1=TRUE,$S$1=TRUE,$S$4=TRUE)=TRUE,IF(OR($Q$4=TRUE,$Q$5=TRUE,$S$2=TRUE),VLOOKUP($G385,'KO Calc'!$H:$AW,18,FALSE),VLOOKUP($G385,'KO Calc'!$H391:$AW391,18,FALSE)),IF(AND($Q$1=TRUE,$S$4=TRUE),IF(OR($Q$4=TRUE,$Q$5=TRUE,$S$2=TRUE),VLOOKUP($G385,'KO Calc'!$H:$AW,8,FALSE),VLOOKUP($G385,'KO Calc'!$H391:$AW391,8,FALSE)),
IF(AND($S$3=TRUE,$S$1=TRUE,$S$4=FALSE)=TRUE,IF(OR($Q$4=TRUE,$Q$5=TRUE,$S$2=TRUE),VLOOKUP($G385,'KO Calc'!$H:$AW,33,FALSE),VLOOKUP($G385,'KO Calc'!$H391:$AW391,33,FALSE)),IF(AND($S$3=TRUE,$S$4=FALSE),IF(OR($Q$4=TRUE,$Q$5=TRUE,$S$2=TRUE),VLOOKUP($G385,'KO Calc'!$H:$AW,23,FALSE),VLOOKUP($G385,'KO Calc'!$H391:$AW391,23,FALSE)),
IF(AND($S$3=TRUE,$S$1=TRUE,$S$4=TRUE)=TRUE,IF(OR($Q$4=TRUE,$Q$5=TRUE,$S$2=TRUE),VLOOKUP($G385,'KO Calc'!$H:$AW,38,FALSE),VLOOKUP($G385,'KO Calc'!$H391:$AW391,38,FALSE)),IF(AND($S$3=TRUE,$S$4=TRUE),IF(OR($Q$4=TRUE,$Q$5=TRUE,$S$2=TRUE),VLOOKUP($G385,'KO Calc'!$H:$AW,28,FALSE),VLOOKUP($G385,'KO Calc'!$H391:$AW391,28,FALSE)))))))))))))</f>
        <v>-</v>
      </c>
      <c r="J385" s="36" t="str">
        <f>IF(AND($Q$1=FALSE,$S$3=FALSE),"-",IF(AND($Q$1=TRUE,$S$3=TRUE),"-",IF(AND($Q$1=FALSE,$S$3=FALSE),"-",IF(AND($Q$1=TRUE,$S$1=TRUE,$S$4=FALSE)=TRUE,IF(OR($Q$4=TRUE,$Q$5=TRUE,$S$2=TRUE),VLOOKUP($G385,'KO Calc'!$H:$AW,FALSE),VLOOKUP($G385,'KO Calc'!$H391:$AW391,14,FALSE)),IF(AND($Q$1=TRUE,$S$4=FALSE),IF(OR($Q$4=TRUE,$Q$5=TRUE,$S$2=TRUE),VLOOKUP($G385,'KO Calc'!$H:$AW,4,FALSE),VLOOKUP($G385,'KO Calc'!$H391:$AW391,4,FALSE)),
IF(AND($Q$1=TRUE,$S$1=TRUE,$S$4=TRUE)=TRUE,IF(OR($Q$4=TRUE,$Q$5=TRUE,$S$2=TRUE),VLOOKUP($G385,'KO Calc'!$H:$AW,19,FALSE),VLOOKUP($G385,'KO Calc'!$H391:$AW391,19,FALSE)),IF(AND($Q$1=TRUE,$S$4=TRUE),IF(OR($Q$4=TRUE,$Q$5=TRUE,$S$2=TRUE),VLOOKUP($G385,'KO Calc'!$H:$AW,9,FALSE),VLOOKUP($G385,'KO Calc'!$H391:$AW391,9,FALSE)),
IF(AND($S$3=TRUE,$S$1=TRUE,$S$4=FALSE)=TRUE,IF(OR($Q$4=TRUE,$Q$5=TRUE,$S$2=TRUE),VLOOKUP($G385,'KO Calc'!$H:$AW,34,FALSE),VLOOKUP($G385,'KO Calc'!$H391:$AW391,34,FALSE)),IF(AND($S$3=TRUE,$S$4=FALSE),IF(OR($Q$4=TRUE,$Q$5=TRUE,$S$2=TRUE),VLOOKUP($G385,'KO Calc'!$H:$AW,24,FALSE),VLOOKUP($G385,'KO Calc'!$H391:$AW391,24,FALSE)),
IF(AND($S$3=TRUE,$S$1=TRUE,$S$4=TRUE)=TRUE,IF(OR($Q$4=TRUE,$Q$5=TRUE,$S$2=TRUE),VLOOKUP($G385,'KO Calc'!$H:$AW,39,FALSE),VLOOKUP($G385,'KO Calc'!$H391:$AW391,39,FALSE)),IF(AND($S$3=TRUE,$S$4=TRUE),IF(OR($Q$4=TRUE,$Q$5=TRUE,$S$2=TRUE),VLOOKUP($G385,'KO Calc'!$H:$AW,29,FALSE),VLOOKUP($G385,'KO Calc'!$H391:$AW391,29,FALSE)))))))))))))</f>
        <v>-</v>
      </c>
      <c r="K385" s="36" t="str">
        <f>IF(AND($Q$1=FALSE,$S$3=FALSE),"-",IF(AND($Q$1=TRUE,$S$3=TRUE),"-",IF(AND($Q$1=FALSE,$S$3=FALSE),"-",IF(AND($Q$1=TRUE,$S$1=TRUE,$S$4=FALSE)=TRUE,IF(OR($Q$4=TRUE,$Q$5=TRUE,$S$2=TRUE),VLOOKUP($G385,'KO Calc'!$H:$AW,15,FALSE),VLOOKUP($G385,'KO Calc'!$H391:$AW391,15,FALSE)),IF(AND($Q$1=TRUE,$S$4=FALSE),IF(OR($Q$4=TRUE,$Q$5=TRUE,$S$2=TRUE),VLOOKUP($G385,'KO Calc'!$H:$AW,5,FALSE),VLOOKUP($G385,'KO Calc'!$H391:$AW391,5,FALSE)),
IF(AND($Q$1=TRUE,$S$1=TRUE,$S$4=TRUE)=TRUE,IF(OR($Q$4=TRUE,$Q$5=TRUE,$S$2=TRUE),VLOOKUP($G385,'KO Calc'!$H:$AW,20,FALSE),VLOOKUP($G385,'KO Calc'!$H391:$AW391,20,FALSE)),IF(AND($Q$1=TRUE,$S$4=TRUE),IF(OR($Q$4=TRUE,$Q$5=TRUE,$S$2=TRUE),VLOOKUP($G385,'KO Calc'!$H:$AW,10,FALSE),VLOOKUP($G385,'KO Calc'!$H391:$AW391,10,FALSE)),
IF(AND($S$3=TRUE,$S$1=TRUE,$S$4=FALSE)=TRUE,IF(OR($Q$4=TRUE,$Q$5=TRUE,$S$2=TRUE),VLOOKUP($G385,'KO Calc'!$H:$AW,35,FALSE),VLOOKUP($G385,'KO Calc'!$H391:$AW391,35,FALSE)),IF(AND($S$3=TRUE,$S$4=FALSE),IF(OR($Q$4=TRUE,$Q$5=TRUE,$S$2=TRUE),VLOOKUP($G385,'KO Calc'!$H:$AW,25,FALSE),VLOOKUP($G385,'KO Calc'!$H391:$AW391,25,FALSE)),
IF(AND($S$3=TRUE,$S$1=TRUE,$S$4=TRUE)=TRUE,IF(OR($Q$4=TRUE,$Q$5=TRUE,$S$2=TRUE),VLOOKUP($G385,'KO Calc'!$H:$AW,40,FALSE),VLOOKUP($G385,'KO Calc'!$H391:$AW391,40,FALSE)),IF(AND($S$3=TRUE,$S$4=TRUE),IF(OR($Q$4=TRUE,$Q$5=TRUE,$S$2=TRUE),VLOOKUP($G385,'KO Calc'!$H:$AW,30,FALSE),VLOOKUP($G385,'KO Calc'!$H391:$AW391,30,FALSE)))))))))))))</f>
        <v>-</v>
      </c>
      <c r="L385" s="36" t="str">
        <f>IFERROR(VLOOKUP($E385,'Status Thresholds'!$E:$AS,41,FALSE),"-")</f>
        <v>-</v>
      </c>
    </row>
    <row r="386" spans="1:14" x14ac:dyDescent="0.25">
      <c r="B386" s="64" t="str">
        <f>VLOOKUP(C386,'Status Thresholds'!B:C,2,FALSE)</f>
        <v>MHGen</v>
      </c>
      <c r="C386" s="46" t="str">
        <f>IF(ISBLANK('KO Calc'!C382)=TRUE,"",'KO Calc'!C382)</f>
        <v>Gravious</v>
      </c>
      <c r="D386" s="78"/>
      <c r="E386" s="62"/>
      <c r="G386" s="36"/>
      <c r="L386" s="36" t="str">
        <f>IFERROR(VLOOKUP($E386,'Status Thresholds'!$E:$AS,41,FALSE),"-")</f>
        <v>-</v>
      </c>
    </row>
    <row r="387" spans="1:14" s="36" customFormat="1" x14ac:dyDescent="0.25">
      <c r="B387" s="64" t="str">
        <f>VLOOKUP(C387,'Status Thresholds'!B:C,2,FALSE)</f>
        <v>MHGen</v>
      </c>
      <c r="C387" s="46" t="str">
        <f>IF(ISBLANK('KO Calc'!C383)=TRUE,"",'KO Calc'!C383)</f>
        <v>Great Maccao</v>
      </c>
      <c r="D387" s="65" t="s">
        <v>0</v>
      </c>
      <c r="E387" s="62" t="str">
        <f t="shared" si="11"/>
        <v>Great MaccaoPara</v>
      </c>
      <c r="F387" s="36" t="s">
        <v>2</v>
      </c>
      <c r="G387" s="36" t="str">
        <f t="shared" si="12"/>
        <v>Great MaccaoPara lvl 2</v>
      </c>
      <c r="H387" s="36" t="str">
        <f>IFERROR(ROUNDUP(IF(AND($Q$1=FALSE,$S$3=FALSE),"-",IF(AND($Q$1=TRUE,$S$3=TRUE),"-",IF(AND($Q$1=TRUE,$S$1=TRUE,$S$4=FALSE),VLOOKUP($E387,'Status Thresholds'!$E:$AS,12,FALSE),IF(AND($Q$1=TRUE,$S$4=FALSE),VLOOKUP($E387,'Status Thresholds'!$E:$AS,2,FALSE), IF(AND($Q$1=TRUE,$S$1=TRUE,$S$4=TRUE),VLOOKUP($E387,'Status Thresholds'!$E:$AS,17,FALSE),IF(AND($Q$1=TRUE,$S$4=TRUE),VLOOKUP($E387,'Status Thresholds'!$E:$AS,7,FALSE),IF(AND($S$3=TRUE,$S$1=TRUE,$S$4=FALSE),VLOOKUP($E387,'Status Thresholds'!$E:$AS,32,FALSE),IF(AND($S$3=TRUE,$S$4=FALSE),VLOOKUP($E387,'Status Thresholds'!$E:$AS,22,FALSE),IF(AND($S$3=TRUE,$S$1=TRUE,$S$4=TRUE),VLOOKUP($E387,'Status Thresholds'!$E:$AS,37,FALSE),IF(AND($S$3=TRUE,$S$4=TRUE),VLOOKUP($E387,'Status Thresholds'!$E:$AS,27,FALSE),""))))))))/IF(OR($Q$3=TRUE,AND($Q$2=TRUE,$Q$7=TRUE),AND($Q$3=TRUE,$Q$7=TRUE))=TRUE,'Shots and Status'!$F$5,IF((OR($Q$2,$Q$7)=TRUE),'Shots and Status'!$D$5,'Shots and Status'!$C$5)))),0),"-")</f>
        <v>-</v>
      </c>
      <c r="I387" s="36" t="str">
        <f>IFERROR(ROUNDUP(IF(AND($Q$1=FALSE,$S$3=FALSE),"-",IF(AND($Q$1=TRUE,$S$3=TRUE),"-",IF(AND($Q$1=TRUE,$S$1=TRUE,$S$4=FALSE),VLOOKUP($E387,'Status Thresholds'!$E:$AS,13,FALSE),IF(AND($Q$1=TRUE,$S$4=FALSE),VLOOKUP($E387,'Status Thresholds'!$E:$AS,3,FALSE), IF(AND($Q$1=TRUE,$S$1=TRUE,$S$4=TRUE),VLOOKUP($E387,'Status Thresholds'!$E:$AS,18,FALSE),IF(AND($Q$1=TRUE,$S$4=TRUE),VLOOKUP($E387,'Status Thresholds'!$E:$AS,8,FALSE),IF(AND($S$3=TRUE,$S$1=TRUE,$S$4=FALSE),VLOOKUP($E387,'Status Thresholds'!$E:$AS,33,FALSE),IF(AND($S$3=TRUE,$S$4=FALSE),VLOOKUP($E387,'Status Thresholds'!$E:$AS,23,FALSE),IF(AND($S$3=TRUE,$S$1=TRUE,$S$4=TRUE),VLOOKUP($E387,'Status Thresholds'!$E:$AS,38,FALSE),IF(AND($S$3=TRUE,$S$4=TRUE),VLOOKUP($E387,'Status Thresholds'!$E:$AS,28,FALSE),""))))))))/IF(OR($Q$3=TRUE,AND($Q$2=TRUE,$Q$7=TRUE),AND($Q$3=TRUE,$Q$7=TRUE))=TRUE,'Shots and Status'!$F$5,IF((OR($Q$2,$Q$7)=TRUE),'Shots and Status'!$D$5,'Shots and Status'!$C$5)))),0),"-")</f>
        <v>-</v>
      </c>
      <c r="J387" s="36" t="str">
        <f>IFERROR(ROUNDUP(IF(AND($Q$1=FALSE,$S$3=FALSE),"-",IF(AND($Q$1=TRUE,$S$3=TRUE),"-",IF(AND($Q$1=TRUE,$S$1=TRUE,$S$4=FALSE),VLOOKUP($E387,'Status Thresholds'!$E:$AS,14,FALSE),IF(AND($Q$1=TRUE,$S$4=FALSE),VLOOKUP($E387,'Status Thresholds'!$E:$AS,4,FALSE), IF(AND($Q$1=TRUE,$S$1=TRUE,$S$4=TRUE),VLOOKUP($E387,'Status Thresholds'!$E:$AS,19,FALSE),IF(AND($Q$1=TRUE,$S$4=TRUE),VLOOKUP($E387,'Status Thresholds'!$E:$AS,9,FALSE),IF(AND($S$3=TRUE,$S$1=TRUE,$S$4=FALSE),VLOOKUP($E387,'Status Thresholds'!$E:$AS,34,FALSE),IF(AND($S$3=TRUE,$S$4=FALSE),VLOOKUP($E387,'Status Thresholds'!$E:$AS,24,FALSE),IF(AND($S$3=TRUE,$S$1=TRUE,$S$4=TRUE),VLOOKUP($E387,'Status Thresholds'!$E:$AS,39,FALSE),IF(AND($S$3=TRUE,$S$4=TRUE),VLOOKUP($E387,'Status Thresholds'!$E:$AS,29,FALSE),""))))))))/IF(OR($Q$3=TRUE,AND($Q$2=TRUE,$Q$7=TRUE),AND($Q$3=TRUE,$Q$7=TRUE))=TRUE,'Shots and Status'!$F$5,IF((OR($Q$2,$Q$7)=TRUE),'Shots and Status'!$D$5,'Shots and Status'!$C$5)))),0),"-")</f>
        <v>-</v>
      </c>
      <c r="K387" s="36" t="str">
        <f>IFERROR(ROUNDUP(IF(AND($Q$1=FALSE,$S$3=FALSE),"-",IF(AND($Q$1=TRUE,$S$3=TRUE),"-",IF(AND($Q$1=TRUE,$S$1=TRUE,$S$4=FALSE),VLOOKUP($E387,'Status Thresholds'!$E:$AS,15,FALSE),IF(AND($Q$1=TRUE,$S$4=FALSE),VLOOKUP($E387,'Status Thresholds'!$E:$AS,5,FALSE), IF(AND($Q$1=TRUE,$S$1=TRUE,$S$4=TRUE),VLOOKUP($E387,'Status Thresholds'!$E:$AS,20,FALSE),IF(AND($Q$1=TRUE,$S$4=TRUE),VLOOKUP($E387,'Status Thresholds'!$E:$AS,10,FALSE),IF(AND($S$3=TRUE,$S$1=TRUE,$S$4=FALSE),VLOOKUP($E387,'Status Thresholds'!$E:$AS,35,FALSE),IF(AND($S$3=TRUE,$S$4=FALSE),VLOOKUP($E387,'Status Thresholds'!$E:$AS,25,FALSE),IF(AND($S$3=TRUE,$S$1=TRUE,$S$4=TRUE),VLOOKUP($E387,'Status Thresholds'!$E:$AS,40,FALSE),IF(AND($S$3=TRUE,$S$4=TRUE),VLOOKUP($E387,'Status Thresholds'!$E:$AS,30,FALSE),""))))))))/IF(OR($Q$3=TRUE,AND($Q$2=TRUE,$Q$7=TRUE),AND($Q$3=TRUE,$Q$7=TRUE))=TRUE,'Shots and Status'!$F$5,IF((OR($Q$2,$Q$7)=TRUE),'Shots and Status'!$D$5,'Shots and Status'!$C$5)))),0),"-")</f>
        <v>-</v>
      </c>
      <c r="L387" s="36" t="str">
        <f>IFERROR(IF(AND($Q$1=FALSE,$S$3=FALSE),"-",VLOOKUP($E387,'Status Thresholds'!$E:$AU,41,FALSE)),"-")</f>
        <v>-</v>
      </c>
      <c r="M387" s="36" t="str">
        <f>IFERROR(IF(AND($Q$1=FALSE,$S$3=FALSE),"-",VLOOKUP($E387,'Status Thresholds'!$E:$AU,42,FALSE)),"-")</f>
        <v>-</v>
      </c>
      <c r="N387" s="36" t="str">
        <f>IFERROR(IF(AND($Q$1=FALSE,$S$3=FALSE),"-",VLOOKUP($E387,'Status Thresholds'!$E:$AU,43,FALSE)),"-")</f>
        <v>-</v>
      </c>
    </row>
    <row r="388" spans="1:14" s="59" customFormat="1" x14ac:dyDescent="0.25">
      <c r="A388" s="46"/>
      <c r="B388" s="64" t="str">
        <f>VLOOKUP(C388,'Status Thresholds'!B:C,2,FALSE)</f>
        <v>MHGen</v>
      </c>
      <c r="C388" s="46" t="str">
        <f>IF(ISBLANK('KO Calc'!C384)=TRUE,"",'KO Calc'!C384)</f>
        <v>Great Maccao</v>
      </c>
      <c r="D388" s="60" t="s">
        <v>32</v>
      </c>
      <c r="E388" s="62" t="str">
        <f t="shared" si="11"/>
        <v>Great MaccaoSleep</v>
      </c>
      <c r="F388" s="59" t="s">
        <v>5</v>
      </c>
      <c r="G388" s="36" t="str">
        <f t="shared" si="12"/>
        <v>Great MaccaoSleep lvl 2</v>
      </c>
      <c r="H388" s="36" t="str">
        <f>IFERROR(ROUNDUP(IF(AND($Q$1=FALSE,$S$3=FALSE),"-",IF(AND($Q$1=TRUE,$S$3=TRUE),"-",IF(AND($Q$1=TRUE,$S$1=TRUE,$S$4=FALSE),VLOOKUP($E388,'Status Thresholds'!$E:$AS,12,FALSE),IF(AND($Q$1=TRUE,$S$4=FALSE),VLOOKUP($E388,'Status Thresholds'!$E:$AS,2,FALSE), IF(AND($Q$1=TRUE,$S$1=TRUE,$S$4=TRUE),VLOOKUP($E388,'Status Thresholds'!$E:$AS,17,FALSE),IF(AND($Q$1=TRUE,$S$4=TRUE),VLOOKUP($E388,'Status Thresholds'!$E:$AS,7,FALSE),IF(AND($S$3=TRUE,$S$1=TRUE,$S$4=FALSE),VLOOKUP($E388,'Status Thresholds'!$E:$AS,32,FALSE),IF(AND($S$3=TRUE,$S$4=FALSE),VLOOKUP($E388,'Status Thresholds'!$E:$AS,22,FALSE),IF(AND($S$3=TRUE,$S$1=TRUE,$S$4=TRUE),VLOOKUP($E388,'Status Thresholds'!$E:$AS,37,FALSE),IF(AND($S$3=TRUE,$S$4=TRUE),VLOOKUP($E388,'Status Thresholds'!$E:$AS,27,FALSE),""))))))))/IF(OR($Q$3=TRUE,AND($Q$2=TRUE,$Q$7=TRUE),AND($Q$3=TRUE,$Q$7=TRUE))=TRUE,'Shots and Status'!$F$5,IF((OR($Q$2,$Q$7)=TRUE),'Shots and Status'!$D$5,'Shots and Status'!$C$5)))),0),"-")</f>
        <v>-</v>
      </c>
      <c r="I388" s="36" t="str">
        <f>IFERROR(ROUNDUP(IF(AND($Q$1=FALSE,$S$3=FALSE),"-",IF(AND($Q$1=TRUE,$S$3=TRUE),"-",IF(AND($Q$1=TRUE,$S$1=TRUE,$S$4=FALSE),VLOOKUP($E388,'Status Thresholds'!$E:$AS,13,FALSE),IF(AND($Q$1=TRUE,$S$4=FALSE),VLOOKUP($E388,'Status Thresholds'!$E:$AS,3,FALSE), IF(AND($Q$1=TRUE,$S$1=TRUE,$S$4=TRUE),VLOOKUP($E388,'Status Thresholds'!$E:$AS,18,FALSE),IF(AND($Q$1=TRUE,$S$4=TRUE),VLOOKUP($E388,'Status Thresholds'!$E:$AS,8,FALSE),IF(AND($S$3=TRUE,$S$1=TRUE,$S$4=FALSE),VLOOKUP($E388,'Status Thresholds'!$E:$AS,33,FALSE),IF(AND($S$3=TRUE,$S$4=FALSE),VLOOKUP($E388,'Status Thresholds'!$E:$AS,23,FALSE),IF(AND($S$3=TRUE,$S$1=TRUE,$S$4=TRUE),VLOOKUP($E388,'Status Thresholds'!$E:$AS,38,FALSE),IF(AND($S$3=TRUE,$S$4=TRUE),VLOOKUP($E388,'Status Thresholds'!$E:$AS,28,FALSE),""))))))))/IF(OR($Q$3=TRUE,AND($Q$2=TRUE,$Q$7=TRUE),AND($Q$3=TRUE,$Q$7=TRUE))=TRUE,'Shots and Status'!$F$5,IF((OR($Q$2,$Q$7)=TRUE),'Shots and Status'!$D$5,'Shots and Status'!$C$5)))),0),"-")</f>
        <v>-</v>
      </c>
      <c r="J388" s="36" t="str">
        <f>IFERROR(ROUNDUP(IF(AND($Q$1=FALSE,$S$3=FALSE),"-",IF(AND($Q$1=TRUE,$S$3=TRUE),"-",IF(AND($Q$1=TRUE,$S$1=TRUE,$S$4=FALSE),VLOOKUP($E388,'Status Thresholds'!$E:$AS,14,FALSE),IF(AND($Q$1=TRUE,$S$4=FALSE),VLOOKUP($E388,'Status Thresholds'!$E:$AS,4,FALSE), IF(AND($Q$1=TRUE,$S$1=TRUE,$S$4=TRUE),VLOOKUP($E388,'Status Thresholds'!$E:$AS,19,FALSE),IF(AND($Q$1=TRUE,$S$4=TRUE),VLOOKUP($E388,'Status Thresholds'!$E:$AS,9,FALSE),IF(AND($S$3=TRUE,$S$1=TRUE,$S$4=FALSE),VLOOKUP($E388,'Status Thresholds'!$E:$AS,34,FALSE),IF(AND($S$3=TRUE,$S$4=FALSE),VLOOKUP($E388,'Status Thresholds'!$E:$AS,24,FALSE),IF(AND($S$3=TRUE,$S$1=TRUE,$S$4=TRUE),VLOOKUP($E388,'Status Thresholds'!$E:$AS,39,FALSE),IF(AND($S$3=TRUE,$S$4=TRUE),VLOOKUP($E388,'Status Thresholds'!$E:$AS,29,FALSE),""))))))))/IF(OR($Q$3=TRUE,AND($Q$2=TRUE,$Q$7=TRUE),AND($Q$3=TRUE,$Q$7=TRUE))=TRUE,'Shots and Status'!$F$5,IF((OR($Q$2,$Q$7)=TRUE),'Shots and Status'!$D$5,'Shots and Status'!$C$5)))),0),"-")</f>
        <v>-</v>
      </c>
      <c r="K388" s="36" t="str">
        <f>IFERROR(ROUNDUP(IF(AND($Q$1=FALSE,$S$3=FALSE),"-",IF(AND($Q$1=TRUE,$S$3=TRUE),"-",IF(AND($Q$1=TRUE,$S$1=TRUE,$S$4=FALSE),VLOOKUP($E388,'Status Thresholds'!$E:$AS,15,FALSE),IF(AND($Q$1=TRUE,$S$4=FALSE),VLOOKUP($E388,'Status Thresholds'!$E:$AS,5,FALSE), IF(AND($Q$1=TRUE,$S$1=TRUE,$S$4=TRUE),VLOOKUP($E388,'Status Thresholds'!$E:$AS,20,FALSE),IF(AND($Q$1=TRUE,$S$4=TRUE),VLOOKUP($E388,'Status Thresholds'!$E:$AS,10,FALSE),IF(AND($S$3=TRUE,$S$1=TRUE,$S$4=FALSE),VLOOKUP($E388,'Status Thresholds'!$E:$AS,35,FALSE),IF(AND($S$3=TRUE,$S$4=FALSE),VLOOKUP($E388,'Status Thresholds'!$E:$AS,25,FALSE),IF(AND($S$3=TRUE,$S$1=TRUE,$S$4=TRUE),VLOOKUP($E388,'Status Thresholds'!$E:$AS,40,FALSE),IF(AND($S$3=TRUE,$S$4=TRUE),VLOOKUP($E388,'Status Thresholds'!$E:$AS,30,FALSE),""))))))))/IF(OR($Q$3=TRUE,AND($Q$2=TRUE,$Q$7=TRUE),AND($Q$3=TRUE,$Q$7=TRUE))=TRUE,'Shots and Status'!$F$5,IF((OR($Q$2,$Q$7)=TRUE),'Shots and Status'!$D$5,'Shots and Status'!$C$5)))),0),"-")</f>
        <v>-</v>
      </c>
      <c r="L388" s="36" t="str">
        <f>IFERROR(IF(AND($Q$1=FALSE,$S$3=FALSE),"-",VLOOKUP($E388,'Status Thresholds'!$E:$AU,41,FALSE)),"-")</f>
        <v>-</v>
      </c>
      <c r="M388" s="36" t="str">
        <f>IFERROR(IF(AND($Q$1=FALSE,$S$3=FALSE),"-",VLOOKUP($E388,'Status Thresholds'!$E:$AU,42,FALSE)),"-")</f>
        <v>-</v>
      </c>
      <c r="N388" s="36" t="str">
        <f>IFERROR(IF(AND($Q$1=FALSE,$S$3=FALSE),"-",VLOOKUP($E388,'Status Thresholds'!$E:$AU,43,FALSE)),"-")</f>
        <v>-</v>
      </c>
    </row>
    <row r="389" spans="1:14" s="59" customFormat="1" x14ac:dyDescent="0.25">
      <c r="A389" s="46"/>
      <c r="B389" s="64" t="str">
        <f>VLOOKUP(C389,'Status Thresholds'!B:C,2,FALSE)</f>
        <v>MHGen</v>
      </c>
      <c r="C389" s="46" t="str">
        <f>IF(ISBLANK('KO Calc'!C385)=TRUE,"",'KO Calc'!C385)</f>
        <v>Great Maccao</v>
      </c>
      <c r="D389" s="58" t="s">
        <v>33</v>
      </c>
      <c r="E389" s="62" t="str">
        <f t="shared" si="11"/>
        <v>Great MaccaoPoison</v>
      </c>
      <c r="F389" s="59" t="s">
        <v>6</v>
      </c>
      <c r="G389" s="36" t="str">
        <f t="shared" si="12"/>
        <v>Great MaccaoPoison lvl 2</v>
      </c>
      <c r="H389" s="36" t="str">
        <f>IFERROR(ROUNDUP(IF(AND($Q$1=FALSE,$S$3=FALSE),"-",IF(AND($Q$1=TRUE,$S$3=TRUE),"-",IF(AND($Q$1=TRUE,$S$1=TRUE,$S$4=FALSE),VLOOKUP($E389,'Status Thresholds'!$E:$AS,12,FALSE),IF(AND($Q$1=TRUE,$S$4=FALSE),VLOOKUP($E389,'Status Thresholds'!$E:$AS,2,FALSE), IF(AND($Q$1=TRUE,$S$1=TRUE,$S$4=TRUE),VLOOKUP($E389,'Status Thresholds'!$E:$AS,17,FALSE),IF(AND($Q$1=TRUE,$S$4=TRUE),VLOOKUP($E389,'Status Thresholds'!$E:$AS,7,FALSE),IF(AND($S$3=TRUE,$S$1=TRUE,$S$4=FALSE),VLOOKUP($E389,'Status Thresholds'!$E:$AS,32,FALSE),IF(AND($S$3=TRUE,$S$4=FALSE),VLOOKUP($E389,'Status Thresholds'!$E:$AS,22,FALSE),IF(AND($S$3=TRUE,$S$1=TRUE,$S$4=TRUE),VLOOKUP($E389,'Status Thresholds'!$E:$AS,37,FALSE),IF(AND($S$3=TRUE,$S$4=TRUE),VLOOKUP($E389,'Status Thresholds'!$E:$AS,27,FALSE),""))))))))/IF(OR($Q$3=TRUE,AND($Q$2=TRUE,$Q$7=TRUE),AND($Q$3=TRUE,$Q$7=TRUE))=TRUE,'Shots and Status'!$F$5,IF((OR($Q$2,$Q$7)=TRUE),'Shots and Status'!$D$5,'Shots and Status'!$C$5)))),0),"-")</f>
        <v>-</v>
      </c>
      <c r="I389" s="36" t="str">
        <f>IFERROR(ROUNDUP(IF(AND($Q$1=FALSE,$S$3=FALSE),"-",IF(AND($Q$1=TRUE,$S$3=TRUE),"-",IF(AND($Q$1=TRUE,$S$1=TRUE,$S$4=FALSE),VLOOKUP($E389,'Status Thresholds'!$E:$AS,13,FALSE),IF(AND($Q$1=TRUE,$S$4=FALSE),VLOOKUP($E389,'Status Thresholds'!$E:$AS,3,FALSE), IF(AND($Q$1=TRUE,$S$1=TRUE,$S$4=TRUE),VLOOKUP($E389,'Status Thresholds'!$E:$AS,18,FALSE),IF(AND($Q$1=TRUE,$S$4=TRUE),VLOOKUP($E389,'Status Thresholds'!$E:$AS,8,FALSE),IF(AND($S$3=TRUE,$S$1=TRUE,$S$4=FALSE),VLOOKUP($E389,'Status Thresholds'!$E:$AS,33,FALSE),IF(AND($S$3=TRUE,$S$4=FALSE),VLOOKUP($E389,'Status Thresholds'!$E:$AS,23,FALSE),IF(AND($S$3=TRUE,$S$1=TRUE,$S$4=TRUE),VLOOKUP($E389,'Status Thresholds'!$E:$AS,38,FALSE),IF(AND($S$3=TRUE,$S$4=TRUE),VLOOKUP($E389,'Status Thresholds'!$E:$AS,28,FALSE),""))))))))/IF(OR($Q$3=TRUE,AND($Q$2=TRUE,$Q$7=TRUE),AND($Q$3=TRUE,$Q$7=TRUE))=TRUE,'Shots and Status'!$F$5,IF((OR($Q$2,$Q$7)=TRUE),'Shots and Status'!$D$5,'Shots and Status'!$C$5)))),0),"-")</f>
        <v>-</v>
      </c>
      <c r="J389" s="36" t="str">
        <f>IFERROR(ROUNDUP(IF(AND($Q$1=FALSE,$S$3=FALSE),"-",IF(AND($Q$1=TRUE,$S$3=TRUE),"-",IF(AND($Q$1=TRUE,$S$1=TRUE,$S$4=FALSE),VLOOKUP($E389,'Status Thresholds'!$E:$AS,14,FALSE),IF(AND($Q$1=TRUE,$S$4=FALSE),VLOOKUP($E389,'Status Thresholds'!$E:$AS,4,FALSE), IF(AND($Q$1=TRUE,$S$1=TRUE,$S$4=TRUE),VLOOKUP($E389,'Status Thresholds'!$E:$AS,19,FALSE),IF(AND($Q$1=TRUE,$S$4=TRUE),VLOOKUP($E389,'Status Thresholds'!$E:$AS,9,FALSE),IF(AND($S$3=TRUE,$S$1=TRUE,$S$4=FALSE),VLOOKUP($E389,'Status Thresholds'!$E:$AS,34,FALSE),IF(AND($S$3=TRUE,$S$4=FALSE),VLOOKUP($E389,'Status Thresholds'!$E:$AS,24,FALSE),IF(AND($S$3=TRUE,$S$1=TRUE,$S$4=TRUE),VLOOKUP($E389,'Status Thresholds'!$E:$AS,39,FALSE),IF(AND($S$3=TRUE,$S$4=TRUE),VLOOKUP($E389,'Status Thresholds'!$E:$AS,29,FALSE),""))))))))/IF(OR($Q$3=TRUE,AND($Q$2=TRUE,$Q$7=TRUE),AND($Q$3=TRUE,$Q$7=TRUE))=TRUE,'Shots and Status'!$F$5,IF((OR($Q$2,$Q$7)=TRUE),'Shots and Status'!$D$5,'Shots and Status'!$C$5)))),0),"-")</f>
        <v>-</v>
      </c>
      <c r="K389" s="36" t="str">
        <f>IFERROR(ROUNDUP(IF(AND($Q$1=FALSE,$S$3=FALSE),"-",IF(AND($Q$1=TRUE,$S$3=TRUE),"-",IF(AND($Q$1=TRUE,$S$1=TRUE,$S$4=FALSE),VLOOKUP($E389,'Status Thresholds'!$E:$AS,15,FALSE),IF(AND($Q$1=TRUE,$S$4=FALSE),VLOOKUP($E389,'Status Thresholds'!$E:$AS,5,FALSE), IF(AND($Q$1=TRUE,$S$1=TRUE,$S$4=TRUE),VLOOKUP($E389,'Status Thresholds'!$E:$AS,20,FALSE),IF(AND($Q$1=TRUE,$S$4=TRUE),VLOOKUP($E389,'Status Thresholds'!$E:$AS,10,FALSE),IF(AND($S$3=TRUE,$S$1=TRUE,$S$4=FALSE),VLOOKUP($E389,'Status Thresholds'!$E:$AS,35,FALSE),IF(AND($S$3=TRUE,$S$4=FALSE),VLOOKUP($E389,'Status Thresholds'!$E:$AS,25,FALSE),IF(AND($S$3=TRUE,$S$1=TRUE,$S$4=TRUE),VLOOKUP($E389,'Status Thresholds'!$E:$AS,40,FALSE),IF(AND($S$3=TRUE,$S$4=TRUE),VLOOKUP($E389,'Status Thresholds'!$E:$AS,30,FALSE),""))))))))/IF(OR($Q$3=TRUE,AND($Q$2=TRUE,$Q$7=TRUE),AND($Q$3=TRUE,$Q$7=TRUE))=TRUE,'Shots and Status'!$F$5,IF((OR($Q$2,$Q$7)=TRUE),'Shots and Status'!$D$5,'Shots and Status'!$C$5)))),0),"-")</f>
        <v>-</v>
      </c>
      <c r="L389" s="36" t="str">
        <f>IFERROR(IF(AND($Q$1=FALSE,$S$3=FALSE),"-",VLOOKUP($E389,'Status Thresholds'!$E:$AU,41,FALSE)),"-")</f>
        <v>-</v>
      </c>
      <c r="M389" s="36" t="str">
        <f>IFERROR(IF(AND($Q$1=FALSE,$S$3=FALSE),"-",VLOOKUP($E389,'Status Thresholds'!$E:$AU,42,FALSE)),"-")</f>
        <v>-</v>
      </c>
      <c r="N389" s="36" t="str">
        <f>IFERROR(IF(AND($Q$1=FALSE,$S$3=FALSE),"-",VLOOKUP($E389,'Status Thresholds'!$E:$AU,43,FALSE)),"-")</f>
        <v>-</v>
      </c>
    </row>
    <row r="390" spans="1:14" s="36" customFormat="1" x14ac:dyDescent="0.25">
      <c r="A390" s="46"/>
      <c r="B390" s="64" t="str">
        <f>VLOOKUP(C390,'Status Thresholds'!B:C,2,FALSE)</f>
        <v>MHGen</v>
      </c>
      <c r="C390" s="46" t="str">
        <f>IF(ISBLANK('KO Calc'!C386)=TRUE,"",'KO Calc'!C386)</f>
        <v>Great Maccao</v>
      </c>
      <c r="D390" s="57" t="s">
        <v>22</v>
      </c>
      <c r="E390" s="62" t="str">
        <f t="shared" si="11"/>
        <v>Great MaccaoExhaust</v>
      </c>
      <c r="F390" s="36" t="s">
        <v>8</v>
      </c>
      <c r="G390" s="36" t="str">
        <f t="shared" si="12"/>
        <v>Great MaccaoExhaust lvl 2</v>
      </c>
      <c r="H390" s="36" t="str">
        <f>IFERROR(ROUNDUP(IF(AND($Q$1=FALSE,$S$3=FALSE),"-",IF(AND($Q$1=TRUE,$S$3=TRUE),"-",IF(AND($Q$1=TRUE,$S$1=TRUE,$S$4=FALSE),VLOOKUP($E390,'Status Thresholds'!$E:$AS,12,FALSE),IF(AND($Q$1=TRUE,$S$4=FALSE),VLOOKUP($E390,'Status Thresholds'!$E:$AS,2,FALSE), IF(AND($Q$1=TRUE,$S$1=TRUE,$S$4=TRUE),VLOOKUP($E390,'Status Thresholds'!$E:$AS,17,FALSE),IF(AND($Q$1=TRUE,$S$4=TRUE),VLOOKUP($E390,'Status Thresholds'!$E:$AS,7,FALSE),IF(AND($S$3=TRUE,$S$1=TRUE,$S$4=FALSE),VLOOKUP($E390,'Status Thresholds'!$E:$AS,32,FALSE),IF(AND($S$3=TRUE,$S$4=FALSE),VLOOKUP($E390,'Status Thresholds'!$E:$AS,22,FALSE),IF(AND($S$3=TRUE,$S$1=TRUE,$S$4=TRUE),VLOOKUP($E390,'Status Thresholds'!$E:$AS,37,FALSE),IF(AND($S$3=TRUE,$S$4=TRUE),VLOOKUP($E390,'Status Thresholds'!$E:$AS,27,FALSE),""))))))))/IF(OR($Q$3=TRUE,AND($Q$2=TRUE,$Q$7=TRUE),AND($Q$3=TRUE,$Q$7=TRUE))=TRUE,'Shots and Status'!$F$5,IF((OR($Q$2,$Q$7)=TRUE),'Shots and Status'!$D$5,'Shots and Status'!$C$5)))),0),"-")</f>
        <v>-</v>
      </c>
      <c r="I390" s="36" t="str">
        <f>IFERROR(ROUNDUP(IF(AND($Q$1=FALSE,$S$3=FALSE),"-",IF(AND($Q$1=TRUE,$S$3=TRUE),"-",IF(AND($Q$1=TRUE,$S$1=TRUE,$S$4=FALSE),VLOOKUP($E390,'Status Thresholds'!$E:$AS,13,FALSE),IF(AND($Q$1=TRUE,$S$4=FALSE),VLOOKUP($E390,'Status Thresholds'!$E:$AS,3,FALSE), IF(AND($Q$1=TRUE,$S$1=TRUE,$S$4=TRUE),VLOOKUP($E390,'Status Thresholds'!$E:$AS,18,FALSE),IF(AND($Q$1=TRUE,$S$4=TRUE),VLOOKUP($E390,'Status Thresholds'!$E:$AS,8,FALSE),IF(AND($S$3=TRUE,$S$1=TRUE,$S$4=FALSE),VLOOKUP($E390,'Status Thresholds'!$E:$AS,33,FALSE),IF(AND($S$3=TRUE,$S$4=FALSE),VLOOKUP($E390,'Status Thresholds'!$E:$AS,23,FALSE),IF(AND($S$3=TRUE,$S$1=TRUE,$S$4=TRUE),VLOOKUP($E390,'Status Thresholds'!$E:$AS,38,FALSE),IF(AND($S$3=TRUE,$S$4=TRUE),VLOOKUP($E390,'Status Thresholds'!$E:$AS,28,FALSE),""))))))))/IF(OR($Q$3=TRUE,AND($Q$2=TRUE,$Q$7=TRUE),AND($Q$3=TRUE,$Q$7=TRUE))=TRUE,'Shots and Status'!$F$5,IF((OR($Q$2,$Q$7)=TRUE),'Shots and Status'!$D$5,'Shots and Status'!$C$5)))),0),"-")</f>
        <v>-</v>
      </c>
      <c r="J390" s="36" t="str">
        <f>IFERROR(ROUNDUP(IF(AND($Q$1=FALSE,$S$3=FALSE),"-",IF(AND($Q$1=TRUE,$S$3=TRUE),"-",IF(AND($Q$1=TRUE,$S$1=TRUE,$S$4=FALSE),VLOOKUP($E390,'Status Thresholds'!$E:$AS,14,FALSE),IF(AND($Q$1=TRUE,$S$4=FALSE),VLOOKUP($E390,'Status Thresholds'!$E:$AS,4,FALSE), IF(AND($Q$1=TRUE,$S$1=TRUE,$S$4=TRUE),VLOOKUP($E390,'Status Thresholds'!$E:$AS,19,FALSE),IF(AND($Q$1=TRUE,$S$4=TRUE),VLOOKUP($E390,'Status Thresholds'!$E:$AS,9,FALSE),IF(AND($S$3=TRUE,$S$1=TRUE,$S$4=FALSE),VLOOKUP($E390,'Status Thresholds'!$E:$AS,34,FALSE),IF(AND($S$3=TRUE,$S$4=FALSE),VLOOKUP($E390,'Status Thresholds'!$E:$AS,24,FALSE),IF(AND($S$3=TRUE,$S$1=TRUE,$S$4=TRUE),VLOOKUP($E390,'Status Thresholds'!$E:$AS,39,FALSE),IF(AND($S$3=TRUE,$S$4=TRUE),VLOOKUP($E390,'Status Thresholds'!$E:$AS,29,FALSE),""))))))))/IF(OR($Q$3=TRUE,AND($Q$2=TRUE,$Q$7=TRUE),AND($Q$3=TRUE,$Q$7=TRUE))=TRUE,'Shots and Status'!$F$5,IF((OR($Q$2,$Q$7)=TRUE),'Shots and Status'!$D$5,'Shots and Status'!$C$5)))),0),"-")</f>
        <v>-</v>
      </c>
      <c r="K390" s="36" t="str">
        <f>IFERROR(ROUNDUP(IF(AND($Q$1=FALSE,$S$3=FALSE),"-",IF(AND($Q$1=TRUE,$S$3=TRUE),"-",IF(AND($Q$1=TRUE,$S$1=TRUE,$S$4=FALSE),VLOOKUP($E390,'Status Thresholds'!$E:$AS,15,FALSE),IF(AND($Q$1=TRUE,$S$4=FALSE),VLOOKUP($E390,'Status Thresholds'!$E:$AS,5,FALSE), IF(AND($Q$1=TRUE,$S$1=TRUE,$S$4=TRUE),VLOOKUP($E390,'Status Thresholds'!$E:$AS,20,FALSE),IF(AND($Q$1=TRUE,$S$4=TRUE),VLOOKUP($E390,'Status Thresholds'!$E:$AS,10,FALSE),IF(AND($S$3=TRUE,$S$1=TRUE,$S$4=FALSE),VLOOKUP($E390,'Status Thresholds'!$E:$AS,35,FALSE),IF(AND($S$3=TRUE,$S$4=FALSE),VLOOKUP($E390,'Status Thresholds'!$E:$AS,25,FALSE),IF(AND($S$3=TRUE,$S$1=TRUE,$S$4=TRUE),VLOOKUP($E390,'Status Thresholds'!$E:$AS,40,FALSE),IF(AND($S$3=TRUE,$S$4=TRUE),VLOOKUP($E390,'Status Thresholds'!$E:$AS,30,FALSE),""))))))))/IF(OR($Q$3=TRUE,AND($Q$2=TRUE,$Q$7=TRUE),AND($Q$3=TRUE,$Q$7=TRUE))=TRUE,'Shots and Status'!$F$5,IF((OR($Q$2,$Q$7)=TRUE),'Shots and Status'!$D$5,'Shots and Status'!$C$5)))),0),"-")</f>
        <v>-</v>
      </c>
      <c r="L390" s="36" t="str">
        <f>IFERROR(IF(AND($Q$1=FALSE,$S$3=FALSE),"-",VLOOKUP($E390,'Status Thresholds'!$E:$AU,41,FALSE)),"-")</f>
        <v>-</v>
      </c>
      <c r="M390" s="36" t="str">
        <f>IFERROR(IF(AND($Q$1=FALSE,$S$3=FALSE),"-",VLOOKUP($E390,'Status Thresholds'!$E:$AU,42,FALSE)),"-")</f>
        <v>-</v>
      </c>
      <c r="N390" s="36" t="str">
        <f>IFERROR(IF(AND($Q$1=FALSE,$S$3=FALSE),"-",VLOOKUP($E390,'Status Thresholds'!$E:$AU,43,FALSE)),"-")</f>
        <v>-</v>
      </c>
    </row>
    <row r="391" spans="1:14" s="36" customFormat="1" x14ac:dyDescent="0.25">
      <c r="A391" s="46"/>
      <c r="B391" s="64" t="str">
        <f>VLOOKUP(C391,'Status Thresholds'!B:C,2,FALSE)</f>
        <v>MHGen</v>
      </c>
      <c r="C391" s="46" t="str">
        <f>IF(ISBLANK('KO Calc'!C387)=TRUE,"",'KO Calc'!C387)</f>
        <v>Great Maccao</v>
      </c>
      <c r="D391" s="67" t="s">
        <v>14</v>
      </c>
      <c r="E391" s="62" t="str">
        <f t="shared" si="11"/>
        <v>Great MaccaoKO</v>
      </c>
      <c r="F391" s="36" t="s">
        <v>21</v>
      </c>
      <c r="G391" s="36" t="str">
        <f t="shared" si="12"/>
        <v>Great MaccaoTriblast</v>
      </c>
      <c r="H391" s="36" t="str">
        <f>IF(AND($Q$1=FALSE,$S$3=FALSE),"-",IF(AND($Q$1=TRUE,$S$3=TRUE),"-",IF(AND($Q$1=FALSE,$S$3=FALSE),"-",IF(AND($Q$1=TRUE,$S$1=TRUE,$S$4=FALSE)=TRUE,IF(OR($Q$4=TRUE,$Q$5=TRUE,$S$2=TRUE),VLOOKUP($G391,'KO Calc'!$H:$AW,12,FALSE),VLOOKUP($G391,'KO Calc'!$H397:$AW397,12,FALSE)),IF(AND($Q$1=TRUE,$S$4=FALSE),IF(OR($Q$4=TRUE,$Q$5=TRUE,$S$2=TRUE),VLOOKUP($G391,'KO Calc'!$H:$AW,2,FALSE),VLOOKUP($G391,'KO Calc'!$H397:$AW397,2,FALSE)),
IF(AND($Q$1=TRUE,$S$1=TRUE,$S$4=TRUE)=TRUE,IF(OR($Q$4=TRUE,$Q$5=TRUE,$S$2=TRUE),VLOOKUP($G391,'KO Calc'!$H:$AW,17,FALSE),VLOOKUP($G391,'KO Calc'!$H397:$AW397,17,FALSE)),IF(AND($Q$1=TRUE,$S$4=TRUE),IF(OR($Q$4=TRUE,$Q$5=TRUE,$S$2=TRUE),VLOOKUP($G391,'KO Calc'!$H:$AW,7,FALSE),VLOOKUP($G391,'KO Calc'!$H397:$AW397,7,FALSE)),
IF(AND($S$3=TRUE,$S$1=TRUE,$S$4=FALSE)=TRUE,IF(OR($Q$4=TRUE,$Q$5=TRUE,$S$2=TRUE),VLOOKUP($G391,'KO Calc'!$H:$AW,32,FALSE),VLOOKUP($G391,'KO Calc'!$H397:$AW397,32,FALSE)),IF(AND($S$3=TRUE,$S$4=FALSE),IF(OR($Q$4=TRUE,$Q$5=TRUE,$S$2=TRUE),VLOOKUP($G391,'KO Calc'!$H:$AW,22,FALSE),VLOOKUP($G391,'KO Calc'!$H397:$AW397,22,FALSE)),
IF(AND($S$3=TRUE,$S$1=TRUE,$S$4=TRUE)=TRUE,IF(OR($Q$4=TRUE,$Q$5=TRUE,$S$2=TRUE),VLOOKUP($G391,'KO Calc'!$H:$AW,37,FALSE),VLOOKUP($G391,'KO Calc'!$H397:$AW397,37,FALSE)),IF(AND($S$3=TRUE,$S$4=TRUE),IF(OR($Q$4=TRUE,$Q$5=TRUE,$S$2=TRUE),VLOOKUP($G391,'KO Calc'!$H:$AW,27,FALSE),VLOOKUP($G391,'KO Calc'!$H397:$AW397,27,FALSE)))))))))))))</f>
        <v>-</v>
      </c>
      <c r="I391" s="36" t="str">
        <f>IF(AND($Q$1=FALSE,$S$3=FALSE),"-",IF(AND($Q$1=TRUE,$S$3=TRUE),"-",IF(AND($Q$1=FALSE,$S$3=FALSE),"-",IF(AND($Q$1=TRUE,$S$1=TRUE,$S$4=FALSE)=TRUE,IF(OR($Q$4=TRUE,$Q$5=TRUE,$S$2=TRUE),VLOOKUP($G391,'KO Calc'!$H:$AW,13,FALSE),VLOOKUP($G391,'KO Calc'!$H397:$AW397,13,FALSE)),IF(AND($Q$1=TRUE,$S$4=FALSE),IF(OR($Q$4=TRUE,$Q$5=TRUE,$S$2=TRUE),VLOOKUP($G391,'KO Calc'!$H:$AW,3,FALSE),VLOOKUP($G391,'KO Calc'!$H397:$AW397,3,FALSE)),
IF(AND($Q$1=TRUE,$S$1=TRUE,$S$4=TRUE)=TRUE,IF(OR($Q$4=TRUE,$Q$5=TRUE,$S$2=TRUE),VLOOKUP($G391,'KO Calc'!$H:$AW,18,FALSE),VLOOKUP($G391,'KO Calc'!$H397:$AW397,18,FALSE)),IF(AND($Q$1=TRUE,$S$4=TRUE),IF(OR($Q$4=TRUE,$Q$5=TRUE,$S$2=TRUE),VLOOKUP($G391,'KO Calc'!$H:$AW,8,FALSE),VLOOKUP($G391,'KO Calc'!$H397:$AW397,8,FALSE)),
IF(AND($S$3=TRUE,$S$1=TRUE,$S$4=FALSE)=TRUE,IF(OR($Q$4=TRUE,$Q$5=TRUE,$S$2=TRUE),VLOOKUP($G391,'KO Calc'!$H:$AW,33,FALSE),VLOOKUP($G391,'KO Calc'!$H397:$AW397,33,FALSE)),IF(AND($S$3=TRUE,$S$4=FALSE),IF(OR($Q$4=TRUE,$Q$5=TRUE,$S$2=TRUE),VLOOKUP($G391,'KO Calc'!$H:$AW,23,FALSE),VLOOKUP($G391,'KO Calc'!$H397:$AW397,23,FALSE)),
IF(AND($S$3=TRUE,$S$1=TRUE,$S$4=TRUE)=TRUE,IF(OR($Q$4=TRUE,$Q$5=TRUE,$S$2=TRUE),VLOOKUP($G391,'KO Calc'!$H:$AW,38,FALSE),VLOOKUP($G391,'KO Calc'!$H397:$AW397,38,FALSE)),IF(AND($S$3=TRUE,$S$4=TRUE),IF(OR($Q$4=TRUE,$Q$5=TRUE,$S$2=TRUE),VLOOKUP($G391,'KO Calc'!$H:$AW,28,FALSE),VLOOKUP($G391,'KO Calc'!$H397:$AW397,28,FALSE)))))))))))))</f>
        <v>-</v>
      </c>
      <c r="J391" s="36" t="str">
        <f>IF(AND($Q$1=FALSE,$S$3=FALSE),"-",IF(AND($Q$1=TRUE,$S$3=TRUE),"-",IF(AND($Q$1=FALSE,$S$3=FALSE),"-",IF(AND($Q$1=TRUE,$S$1=TRUE,$S$4=FALSE)=TRUE,IF(OR($Q$4=TRUE,$Q$5=TRUE,$S$2=TRUE),VLOOKUP($G391,'KO Calc'!$H:$AW,FALSE),VLOOKUP($G391,'KO Calc'!$H397:$AW397,14,FALSE)),IF(AND($Q$1=TRUE,$S$4=FALSE),IF(OR($Q$4=TRUE,$Q$5=TRUE,$S$2=TRUE),VLOOKUP($G391,'KO Calc'!$H:$AW,4,FALSE),VLOOKUP($G391,'KO Calc'!$H397:$AW397,4,FALSE)),
IF(AND($Q$1=TRUE,$S$1=TRUE,$S$4=TRUE)=TRUE,IF(OR($Q$4=TRUE,$Q$5=TRUE,$S$2=TRUE),VLOOKUP($G391,'KO Calc'!$H:$AW,19,FALSE),VLOOKUP($G391,'KO Calc'!$H397:$AW397,19,FALSE)),IF(AND($Q$1=TRUE,$S$4=TRUE),IF(OR($Q$4=TRUE,$Q$5=TRUE,$S$2=TRUE),VLOOKUP($G391,'KO Calc'!$H:$AW,9,FALSE),VLOOKUP($G391,'KO Calc'!$H397:$AW397,9,FALSE)),
IF(AND($S$3=TRUE,$S$1=TRUE,$S$4=FALSE)=TRUE,IF(OR($Q$4=TRUE,$Q$5=TRUE,$S$2=TRUE),VLOOKUP($G391,'KO Calc'!$H:$AW,34,FALSE),VLOOKUP($G391,'KO Calc'!$H397:$AW397,34,FALSE)),IF(AND($S$3=TRUE,$S$4=FALSE),IF(OR($Q$4=TRUE,$Q$5=TRUE,$S$2=TRUE),VLOOKUP($G391,'KO Calc'!$H:$AW,24,FALSE),VLOOKUP($G391,'KO Calc'!$H397:$AW397,24,FALSE)),
IF(AND($S$3=TRUE,$S$1=TRUE,$S$4=TRUE)=TRUE,IF(OR($Q$4=TRUE,$Q$5=TRUE,$S$2=TRUE),VLOOKUP($G391,'KO Calc'!$H:$AW,39,FALSE),VLOOKUP($G391,'KO Calc'!$H397:$AW397,39,FALSE)),IF(AND($S$3=TRUE,$S$4=TRUE),IF(OR($Q$4=TRUE,$Q$5=TRUE,$S$2=TRUE),VLOOKUP($G391,'KO Calc'!$H:$AW,29,FALSE),VLOOKUP($G391,'KO Calc'!$H397:$AW397,29,FALSE)))))))))))))</f>
        <v>-</v>
      </c>
      <c r="K391" s="36" t="str">
        <f>IF(AND($Q$1=FALSE,$S$3=FALSE),"-",IF(AND($Q$1=TRUE,$S$3=TRUE),"-",IF(AND($Q$1=FALSE,$S$3=FALSE),"-",IF(AND($Q$1=TRUE,$S$1=TRUE,$S$4=FALSE)=TRUE,IF(OR($Q$4=TRUE,$Q$5=TRUE,$S$2=TRUE),VLOOKUP($G391,'KO Calc'!$H:$AW,15,FALSE),VLOOKUP($G391,'KO Calc'!$H397:$AW397,15,FALSE)),IF(AND($Q$1=TRUE,$S$4=FALSE),IF(OR($Q$4=TRUE,$Q$5=TRUE,$S$2=TRUE),VLOOKUP($G391,'KO Calc'!$H:$AW,5,FALSE),VLOOKUP($G391,'KO Calc'!$H397:$AW397,5,FALSE)),
IF(AND($Q$1=TRUE,$S$1=TRUE,$S$4=TRUE)=TRUE,IF(OR($Q$4=TRUE,$Q$5=TRUE,$S$2=TRUE),VLOOKUP($G391,'KO Calc'!$H:$AW,20,FALSE),VLOOKUP($G391,'KO Calc'!$H397:$AW397,20,FALSE)),IF(AND($Q$1=TRUE,$S$4=TRUE),IF(OR($Q$4=TRUE,$Q$5=TRUE,$S$2=TRUE),VLOOKUP($G391,'KO Calc'!$H:$AW,10,FALSE),VLOOKUP($G391,'KO Calc'!$H397:$AW397,10,FALSE)),
IF(AND($S$3=TRUE,$S$1=TRUE,$S$4=FALSE)=TRUE,IF(OR($Q$4=TRUE,$Q$5=TRUE,$S$2=TRUE),VLOOKUP($G391,'KO Calc'!$H:$AW,35,FALSE),VLOOKUP($G391,'KO Calc'!$H397:$AW397,35,FALSE)),IF(AND($S$3=TRUE,$S$4=FALSE),IF(OR($Q$4=TRUE,$Q$5=TRUE,$S$2=TRUE),VLOOKUP($G391,'KO Calc'!$H:$AW,25,FALSE),VLOOKUP($G391,'KO Calc'!$H397:$AW397,25,FALSE)),
IF(AND($S$3=TRUE,$S$1=TRUE,$S$4=TRUE)=TRUE,IF(OR($Q$4=TRUE,$Q$5=TRUE,$S$2=TRUE),VLOOKUP($G391,'KO Calc'!$H:$AW,40,FALSE),VLOOKUP($G391,'KO Calc'!$H397:$AW397,40,FALSE)),IF(AND($S$3=TRUE,$S$4=TRUE),IF(OR($Q$4=TRUE,$Q$5=TRUE,$S$2=TRUE),VLOOKUP($G391,'KO Calc'!$H:$AW,30,FALSE),VLOOKUP($G391,'KO Calc'!$H397:$AW397,30,FALSE)))))))))))))</f>
        <v>-</v>
      </c>
      <c r="L391" s="36" t="str">
        <f>IFERROR(IF(AND($Q$1=FALSE,$S$3=FALSE),"-",VLOOKUP($E391,'Status Thresholds'!$E:$AU,41,FALSE)),"-")</f>
        <v>-</v>
      </c>
      <c r="M391" s="36" t="str">
        <f>IFERROR(IF(AND($Q$1=FALSE,$S$3=FALSE),"-",VLOOKUP($E391,'Status Thresholds'!$E:$AU,42,FALSE)),"-")</f>
        <v>-</v>
      </c>
      <c r="N391" s="36" t="str">
        <f>IFERROR(IF(AND($Q$1=FALSE,$S$3=FALSE),"-",VLOOKUP($E391,'Status Thresholds'!$E:$AU,43,FALSE)),"-")</f>
        <v>-</v>
      </c>
    </row>
    <row r="392" spans="1:14" x14ac:dyDescent="0.25">
      <c r="B392" s="64" t="str">
        <f>VLOOKUP(C392,'Status Thresholds'!B:C,2,FALSE)</f>
        <v>MHGen</v>
      </c>
      <c r="C392" s="46" t="str">
        <f>IF(ISBLANK('KO Calc'!C388)=TRUE,"",'KO Calc'!C388)</f>
        <v>Great Maccao</v>
      </c>
      <c r="D392" s="78" t="s">
        <v>207</v>
      </c>
      <c r="E392" s="62" t="str">
        <f t="shared" si="11"/>
        <v>Great MaccaoShock Trap</v>
      </c>
      <c r="F392" t="s">
        <v>13</v>
      </c>
      <c r="G392" s="36" t="str">
        <f t="shared" si="12"/>
        <v>Great MaccaoCrag 3</v>
      </c>
      <c r="H392" s="36" t="str">
        <f>IF(AND($Q$1=FALSE,$S$3=FALSE),"-",IF(AND($Q$1=TRUE,$S$3=TRUE),"-",IF(AND($Q$1=FALSE,$S$3=FALSE),"-",IF(AND($Q$1=TRUE,$S$1=TRUE,$S$4=FALSE)=TRUE,IF(OR($Q$4=TRUE,$Q$5=TRUE,$S$2=TRUE),VLOOKUP($G392,'KO Calc'!$H:$AW,12,FALSE),VLOOKUP($G392,'KO Calc'!$H398:$AW398,12,FALSE)),IF(AND($Q$1=TRUE,$S$4=FALSE),IF(OR($Q$4=TRUE,$Q$5=TRUE,$S$2=TRUE),VLOOKUP($G392,'KO Calc'!$H:$AW,2,FALSE),VLOOKUP($G392,'KO Calc'!$H398:$AW398,2,FALSE)),
IF(AND($Q$1=TRUE,$S$1=TRUE,$S$4=TRUE)=TRUE,IF(OR($Q$4=TRUE,$Q$5=TRUE,$S$2=TRUE),VLOOKUP($G392,'KO Calc'!$H:$AW,17,FALSE),VLOOKUP($G392,'KO Calc'!$H398:$AW398,17,FALSE)),IF(AND($Q$1=TRUE,$S$4=TRUE),IF(OR($Q$4=TRUE,$Q$5=TRUE,$S$2=TRUE),VLOOKUP($G392,'KO Calc'!$H:$AW,7,FALSE),VLOOKUP($G392,'KO Calc'!$H398:$AW398,7,FALSE)),
IF(AND($S$3=TRUE,$S$1=TRUE,$S$4=FALSE)=TRUE,IF(OR($Q$4=TRUE,$Q$5=TRUE,$S$2=TRUE),VLOOKUP($G392,'KO Calc'!$H:$AW,32,FALSE),VLOOKUP($G392,'KO Calc'!$H398:$AW398,32,FALSE)),IF(AND($S$3=TRUE,$S$4=FALSE),IF(OR($Q$4=TRUE,$Q$5=TRUE,$S$2=TRUE),VLOOKUP($G392,'KO Calc'!$H:$AW,22,FALSE),VLOOKUP($G392,'KO Calc'!$H398:$AW398,22,FALSE)),
IF(AND($S$3=TRUE,$S$1=TRUE,$S$4=TRUE)=TRUE,IF(OR($Q$4=TRUE,$Q$5=TRUE,$S$2=TRUE),VLOOKUP($G392,'KO Calc'!$H:$AW,37,FALSE),VLOOKUP($G392,'KO Calc'!$H398:$AW398,37,FALSE)),IF(AND($S$3=TRUE,$S$4=TRUE),IF(OR($Q$4=TRUE,$Q$5=TRUE,$S$2=TRUE),VLOOKUP($G392,'KO Calc'!$H:$AW,27,FALSE),VLOOKUP($G392,'KO Calc'!$H398:$AW398,27,FALSE)))))))))))))</f>
        <v>-</v>
      </c>
      <c r="I392" s="36" t="str">
        <f>IF(AND($Q$1=FALSE,$S$3=FALSE),"-",IF(AND($Q$1=TRUE,$S$3=TRUE),"-",IF(AND($Q$1=FALSE,$S$3=FALSE),"-",IF(AND($Q$1=TRUE,$S$1=TRUE,$S$4=FALSE)=TRUE,IF(OR($Q$4=TRUE,$Q$5=TRUE,$S$2=TRUE),VLOOKUP($G392,'KO Calc'!$H:$AW,13,FALSE),VLOOKUP($G392,'KO Calc'!$H398:$AW398,13,FALSE)),IF(AND($Q$1=TRUE,$S$4=FALSE),IF(OR($Q$4=TRUE,$Q$5=TRUE,$S$2=TRUE),VLOOKUP($G392,'KO Calc'!$H:$AW,3,FALSE),VLOOKUP($G392,'KO Calc'!$H398:$AW398,3,FALSE)),
IF(AND($Q$1=TRUE,$S$1=TRUE,$S$4=TRUE)=TRUE,IF(OR($Q$4=TRUE,$Q$5=TRUE,$S$2=TRUE),VLOOKUP($G392,'KO Calc'!$H:$AW,18,FALSE),VLOOKUP($G392,'KO Calc'!$H398:$AW398,18,FALSE)),IF(AND($Q$1=TRUE,$S$4=TRUE),IF(OR($Q$4=TRUE,$Q$5=TRUE,$S$2=TRUE),VLOOKUP($G392,'KO Calc'!$H:$AW,8,FALSE),VLOOKUP($G392,'KO Calc'!$H398:$AW398,8,FALSE)),
IF(AND($S$3=TRUE,$S$1=TRUE,$S$4=FALSE)=TRUE,IF(OR($Q$4=TRUE,$Q$5=TRUE,$S$2=TRUE),VLOOKUP($G392,'KO Calc'!$H:$AW,33,FALSE),VLOOKUP($G392,'KO Calc'!$H398:$AW398,33,FALSE)),IF(AND($S$3=TRUE,$S$4=FALSE),IF(OR($Q$4=TRUE,$Q$5=TRUE,$S$2=TRUE),VLOOKUP($G392,'KO Calc'!$H:$AW,23,FALSE),VLOOKUP($G392,'KO Calc'!$H398:$AW398,23,FALSE)),
IF(AND($S$3=TRUE,$S$1=TRUE,$S$4=TRUE)=TRUE,IF(OR($Q$4=TRUE,$Q$5=TRUE,$S$2=TRUE),VLOOKUP($G392,'KO Calc'!$H:$AW,38,FALSE),VLOOKUP($G392,'KO Calc'!$H398:$AW398,38,FALSE)),IF(AND($S$3=TRUE,$S$4=TRUE),IF(OR($Q$4=TRUE,$Q$5=TRUE,$S$2=TRUE),VLOOKUP($G392,'KO Calc'!$H:$AW,28,FALSE),VLOOKUP($G392,'KO Calc'!$H398:$AW398,28,FALSE)))))))))))))</f>
        <v>-</v>
      </c>
      <c r="J392" s="36" t="str">
        <f>IF(AND($Q$1=FALSE,$S$3=FALSE),"-",IF(AND($Q$1=TRUE,$S$3=TRUE),"-",IF(AND($Q$1=FALSE,$S$3=FALSE),"-",IF(AND($Q$1=TRUE,$S$1=TRUE,$S$4=FALSE)=TRUE,IF(OR($Q$4=TRUE,$Q$5=TRUE,$S$2=TRUE),VLOOKUP($G392,'KO Calc'!$H:$AW,FALSE),VLOOKUP($G392,'KO Calc'!$H398:$AW398,14,FALSE)),IF(AND($Q$1=TRUE,$S$4=FALSE),IF(OR($Q$4=TRUE,$Q$5=TRUE,$S$2=TRUE),VLOOKUP($G392,'KO Calc'!$H:$AW,4,FALSE),VLOOKUP($G392,'KO Calc'!$H398:$AW398,4,FALSE)),
IF(AND($Q$1=TRUE,$S$1=TRUE,$S$4=TRUE)=TRUE,IF(OR($Q$4=TRUE,$Q$5=TRUE,$S$2=TRUE),VLOOKUP($G392,'KO Calc'!$H:$AW,19,FALSE),VLOOKUP($G392,'KO Calc'!$H398:$AW398,19,FALSE)),IF(AND($Q$1=TRUE,$S$4=TRUE),IF(OR($Q$4=TRUE,$Q$5=TRUE,$S$2=TRUE),VLOOKUP($G392,'KO Calc'!$H:$AW,9,FALSE),VLOOKUP($G392,'KO Calc'!$H398:$AW398,9,FALSE)),
IF(AND($S$3=TRUE,$S$1=TRUE,$S$4=FALSE)=TRUE,IF(OR($Q$4=TRUE,$Q$5=TRUE,$S$2=TRUE),VLOOKUP($G392,'KO Calc'!$H:$AW,34,FALSE),VLOOKUP($G392,'KO Calc'!$H398:$AW398,34,FALSE)),IF(AND($S$3=TRUE,$S$4=FALSE),IF(OR($Q$4=TRUE,$Q$5=TRUE,$S$2=TRUE),VLOOKUP($G392,'KO Calc'!$H:$AW,24,FALSE),VLOOKUP($G392,'KO Calc'!$H398:$AW398,24,FALSE)),
IF(AND($S$3=TRUE,$S$1=TRUE,$S$4=TRUE)=TRUE,IF(OR($Q$4=TRUE,$Q$5=TRUE,$S$2=TRUE),VLOOKUP($G392,'KO Calc'!$H:$AW,39,FALSE),VLOOKUP($G392,'KO Calc'!$H398:$AW398,39,FALSE)),IF(AND($S$3=TRUE,$S$4=TRUE),IF(OR($Q$4=TRUE,$Q$5=TRUE,$S$2=TRUE),VLOOKUP($G392,'KO Calc'!$H:$AW,29,FALSE),VLOOKUP($G392,'KO Calc'!$H398:$AW398,29,FALSE)))))))))))))</f>
        <v>-</v>
      </c>
      <c r="K392" s="36" t="str">
        <f>IF(AND($Q$1=FALSE,$S$3=FALSE),"-",IF(AND($Q$1=TRUE,$S$3=TRUE),"-",IF(AND($Q$1=FALSE,$S$3=FALSE),"-",IF(AND($Q$1=TRUE,$S$1=TRUE,$S$4=FALSE)=TRUE,IF(OR($Q$4=TRUE,$Q$5=TRUE,$S$2=TRUE),VLOOKUP($G392,'KO Calc'!$H:$AW,15,FALSE),VLOOKUP($G392,'KO Calc'!$H398:$AW398,15,FALSE)),IF(AND($Q$1=TRUE,$S$4=FALSE),IF(OR($Q$4=TRUE,$Q$5=TRUE,$S$2=TRUE),VLOOKUP($G392,'KO Calc'!$H:$AW,5,FALSE),VLOOKUP($G392,'KO Calc'!$H398:$AW398,5,FALSE)),
IF(AND($Q$1=TRUE,$S$1=TRUE,$S$4=TRUE)=TRUE,IF(OR($Q$4=TRUE,$Q$5=TRUE,$S$2=TRUE),VLOOKUP($G392,'KO Calc'!$H:$AW,20,FALSE),VLOOKUP($G392,'KO Calc'!$H398:$AW398,20,FALSE)),IF(AND($Q$1=TRUE,$S$4=TRUE),IF(OR($Q$4=TRUE,$Q$5=TRUE,$S$2=TRUE),VLOOKUP($G392,'KO Calc'!$H:$AW,10,FALSE),VLOOKUP($G392,'KO Calc'!$H398:$AW398,10,FALSE)),
IF(AND($S$3=TRUE,$S$1=TRUE,$S$4=FALSE)=TRUE,IF(OR($Q$4=TRUE,$Q$5=TRUE,$S$2=TRUE),VLOOKUP($G392,'KO Calc'!$H:$AW,35,FALSE),VLOOKUP($G392,'KO Calc'!$H398:$AW398,35,FALSE)),IF(AND($S$3=TRUE,$S$4=FALSE),IF(OR($Q$4=TRUE,$Q$5=TRUE,$S$2=TRUE),VLOOKUP($G392,'KO Calc'!$H:$AW,25,FALSE),VLOOKUP($G392,'KO Calc'!$H398:$AW398,25,FALSE)),
IF(AND($S$3=TRUE,$S$1=TRUE,$S$4=TRUE)=TRUE,IF(OR($Q$4=TRUE,$Q$5=TRUE,$S$2=TRUE),VLOOKUP($G392,'KO Calc'!$H:$AW,40,FALSE),VLOOKUP($G392,'KO Calc'!$H398:$AW398,40,FALSE)),IF(AND($S$3=TRUE,$S$4=TRUE),IF(OR($Q$4=TRUE,$Q$5=TRUE,$S$2=TRUE),VLOOKUP($G392,'KO Calc'!$H:$AW,30,FALSE),VLOOKUP($G392,'KO Calc'!$H398:$AW398,30,FALSE)))))))))))))</f>
        <v>-</v>
      </c>
      <c r="L392" s="36" t="str">
        <f>IFERROR(IF(AND($Q$1=FALSE,$S$3=FALSE),"-",VLOOKUP($E392,'Status Thresholds'!$E:$AU,43,FALSE)),"-")</f>
        <v>-</v>
      </c>
      <c r="M392" s="36" t="str">
        <f>IFERROR(IF(AND($Q$1=FALSE,$S$3=FALSE),"-",VLOOKUP($E392,'Status Thresholds'!$E:$AU,41,FALSE)),"-")</f>
        <v>-</v>
      </c>
      <c r="N392" s="36" t="str">
        <f>IFERROR(IF(AND($Q$1=FALSE,$S$3=FALSE),"-",VLOOKUP($E392,'Status Thresholds'!$E:$AU,42,FALSE)),"-")</f>
        <v>-</v>
      </c>
    </row>
    <row r="393" spans="1:14" x14ac:dyDescent="0.25">
      <c r="B393" s="64" t="str">
        <f>VLOOKUP(C393,'Status Thresholds'!B:C,2,FALSE)</f>
        <v>MHGen</v>
      </c>
      <c r="C393" s="46" t="str">
        <f>IF(ISBLANK('KO Calc'!C389)=TRUE,"",'KO Calc'!C389)</f>
        <v>Great Maccao</v>
      </c>
      <c r="D393" s="78" t="s">
        <v>213</v>
      </c>
      <c r="E393" s="62" t="str">
        <f t="shared" si="11"/>
        <v>Great MaccaoPitfall Trap</v>
      </c>
      <c r="F393" t="s">
        <v>12</v>
      </c>
      <c r="G393" s="36" t="str">
        <f t="shared" si="12"/>
        <v>Great MaccaoCrag 2</v>
      </c>
      <c r="H393" s="36" t="str">
        <f>IF(AND($Q$1=FALSE,$S$3=FALSE),"-",IF(AND($Q$1=TRUE,$S$3=TRUE),"-",IF(AND($Q$1=FALSE,$S$3=FALSE),"-",IF(AND($Q$1=TRUE,$S$1=TRUE,$S$4=FALSE)=TRUE,IF(OR($Q$4=TRUE,$Q$5=TRUE,$S$2=TRUE),VLOOKUP($G393,'KO Calc'!$H:$AW,12,FALSE),VLOOKUP($G393,'KO Calc'!$H399:$AW399,12,FALSE)),IF(AND($Q$1=TRUE,$S$4=FALSE),IF(OR($Q$4=TRUE,$Q$5=TRUE,$S$2=TRUE),VLOOKUP($G393,'KO Calc'!$H:$AW,2,FALSE),VLOOKUP($G393,'KO Calc'!$H399:$AW399,2,FALSE)),
IF(AND($Q$1=TRUE,$S$1=TRUE,$S$4=TRUE)=TRUE,IF(OR($Q$4=TRUE,$Q$5=TRUE,$S$2=TRUE),VLOOKUP($G393,'KO Calc'!$H:$AW,17,FALSE),VLOOKUP($G393,'KO Calc'!$H399:$AW399,17,FALSE)),IF(AND($Q$1=TRUE,$S$4=TRUE),IF(OR($Q$4=TRUE,$Q$5=TRUE,$S$2=TRUE),VLOOKUP($G393,'KO Calc'!$H:$AW,7,FALSE),VLOOKUP($G393,'KO Calc'!$H399:$AW399,7,FALSE)),
IF(AND($S$3=TRUE,$S$1=TRUE,$S$4=FALSE)=TRUE,IF(OR($Q$4=TRUE,$Q$5=TRUE,$S$2=TRUE),VLOOKUP($G393,'KO Calc'!$H:$AW,32,FALSE),VLOOKUP($G393,'KO Calc'!$H399:$AW399,32,FALSE)),IF(AND($S$3=TRUE,$S$4=FALSE),IF(OR($Q$4=TRUE,$Q$5=TRUE,$S$2=TRUE),VLOOKUP($G393,'KO Calc'!$H:$AW,22,FALSE),VLOOKUP($G393,'KO Calc'!$H399:$AW399,22,FALSE)),
IF(AND($S$3=TRUE,$S$1=TRUE,$S$4=TRUE)=TRUE,IF(OR($Q$4=TRUE,$Q$5=TRUE,$S$2=TRUE),VLOOKUP($G393,'KO Calc'!$H:$AW,37,FALSE),VLOOKUP($G393,'KO Calc'!$H399:$AW399,37,FALSE)),IF(AND($S$3=TRUE,$S$4=TRUE),IF(OR($Q$4=TRUE,$Q$5=TRUE,$S$2=TRUE),VLOOKUP($G393,'KO Calc'!$H:$AW,27,FALSE),VLOOKUP($G393,'KO Calc'!$H399:$AW399,27,FALSE)))))))))))))</f>
        <v>-</v>
      </c>
      <c r="I393" s="36" t="str">
        <f>IF(AND($Q$1=FALSE,$S$3=FALSE),"-",IF(AND($Q$1=TRUE,$S$3=TRUE),"-",IF(AND($Q$1=FALSE,$S$3=FALSE),"-",IF(AND($Q$1=TRUE,$S$1=TRUE,$S$4=FALSE)=TRUE,IF(OR($Q$4=TRUE,$Q$5=TRUE,$S$2=TRUE),VLOOKUP($G393,'KO Calc'!$H:$AW,13,FALSE),VLOOKUP($G393,'KO Calc'!$H399:$AW399,13,FALSE)),IF(AND($Q$1=TRUE,$S$4=FALSE),IF(OR($Q$4=TRUE,$Q$5=TRUE,$S$2=TRUE),VLOOKUP($G393,'KO Calc'!$H:$AW,3,FALSE),VLOOKUP($G393,'KO Calc'!$H399:$AW399,3,FALSE)),
IF(AND($Q$1=TRUE,$S$1=TRUE,$S$4=TRUE)=TRUE,IF(OR($Q$4=TRUE,$Q$5=TRUE,$S$2=TRUE),VLOOKUP($G393,'KO Calc'!$H:$AW,18,FALSE),VLOOKUP($G393,'KO Calc'!$H399:$AW399,18,FALSE)),IF(AND($Q$1=TRUE,$S$4=TRUE),IF(OR($Q$4=TRUE,$Q$5=TRUE,$S$2=TRUE),VLOOKUP($G393,'KO Calc'!$H:$AW,8,FALSE),VLOOKUP($G393,'KO Calc'!$H399:$AW399,8,FALSE)),
IF(AND($S$3=TRUE,$S$1=TRUE,$S$4=FALSE)=TRUE,IF(OR($Q$4=TRUE,$Q$5=TRUE,$S$2=TRUE),VLOOKUP($G393,'KO Calc'!$H:$AW,33,FALSE),VLOOKUP($G393,'KO Calc'!$H399:$AW399,33,FALSE)),IF(AND($S$3=TRUE,$S$4=FALSE),IF(OR($Q$4=TRUE,$Q$5=TRUE,$S$2=TRUE),VLOOKUP($G393,'KO Calc'!$H:$AW,23,FALSE),VLOOKUP($G393,'KO Calc'!$H399:$AW399,23,FALSE)),
IF(AND($S$3=TRUE,$S$1=TRUE,$S$4=TRUE)=TRUE,IF(OR($Q$4=TRUE,$Q$5=TRUE,$S$2=TRUE),VLOOKUP($G393,'KO Calc'!$H:$AW,38,FALSE),VLOOKUP($G393,'KO Calc'!$H399:$AW399,38,FALSE)),IF(AND($S$3=TRUE,$S$4=TRUE),IF(OR($Q$4=TRUE,$Q$5=TRUE,$S$2=TRUE),VLOOKUP($G393,'KO Calc'!$H:$AW,28,FALSE),VLOOKUP($G393,'KO Calc'!$H399:$AW399,28,FALSE)))))))))))))</f>
        <v>-</v>
      </c>
      <c r="J393" s="36" t="str">
        <f>IF(AND($Q$1=FALSE,$S$3=FALSE),"-",IF(AND($Q$1=TRUE,$S$3=TRUE),"-",IF(AND($Q$1=FALSE,$S$3=FALSE),"-",IF(AND($Q$1=TRUE,$S$1=TRUE,$S$4=FALSE)=TRUE,IF(OR($Q$4=TRUE,$Q$5=TRUE,$S$2=TRUE),VLOOKUP($G393,'KO Calc'!$H:$AW,FALSE),VLOOKUP($G393,'KO Calc'!$H399:$AW399,14,FALSE)),IF(AND($Q$1=TRUE,$S$4=FALSE),IF(OR($Q$4=TRUE,$Q$5=TRUE,$S$2=TRUE),VLOOKUP($G393,'KO Calc'!$H:$AW,4,FALSE),VLOOKUP($G393,'KO Calc'!$H399:$AW399,4,FALSE)),
IF(AND($Q$1=TRUE,$S$1=TRUE,$S$4=TRUE)=TRUE,IF(OR($Q$4=TRUE,$Q$5=TRUE,$S$2=TRUE),VLOOKUP($G393,'KO Calc'!$H:$AW,19,FALSE),VLOOKUP($G393,'KO Calc'!$H399:$AW399,19,FALSE)),IF(AND($Q$1=TRUE,$S$4=TRUE),IF(OR($Q$4=TRUE,$Q$5=TRUE,$S$2=TRUE),VLOOKUP($G393,'KO Calc'!$H:$AW,9,FALSE),VLOOKUP($G393,'KO Calc'!$H399:$AW399,9,FALSE)),
IF(AND($S$3=TRUE,$S$1=TRUE,$S$4=FALSE)=TRUE,IF(OR($Q$4=TRUE,$Q$5=TRUE,$S$2=TRUE),VLOOKUP($G393,'KO Calc'!$H:$AW,34,FALSE),VLOOKUP($G393,'KO Calc'!$H399:$AW399,34,FALSE)),IF(AND($S$3=TRUE,$S$4=FALSE),IF(OR($Q$4=TRUE,$Q$5=TRUE,$S$2=TRUE),VLOOKUP($G393,'KO Calc'!$H:$AW,24,FALSE),VLOOKUP($G393,'KO Calc'!$H399:$AW399,24,FALSE)),
IF(AND($S$3=TRUE,$S$1=TRUE,$S$4=TRUE)=TRUE,IF(OR($Q$4=TRUE,$Q$5=TRUE,$S$2=TRUE),VLOOKUP($G393,'KO Calc'!$H:$AW,39,FALSE),VLOOKUP($G393,'KO Calc'!$H399:$AW399,39,FALSE)),IF(AND($S$3=TRUE,$S$4=TRUE),IF(OR($Q$4=TRUE,$Q$5=TRUE,$S$2=TRUE),VLOOKUP($G393,'KO Calc'!$H:$AW,29,FALSE),VLOOKUP($G393,'KO Calc'!$H399:$AW399,29,FALSE)))))))))))))</f>
        <v>-</v>
      </c>
      <c r="K393" s="36" t="str">
        <f>IF(AND($Q$1=FALSE,$S$3=FALSE),"-",IF(AND($Q$1=TRUE,$S$3=TRUE),"-",IF(AND($Q$1=FALSE,$S$3=FALSE),"-",IF(AND($Q$1=TRUE,$S$1=TRUE,$S$4=FALSE)=TRUE,IF(OR($Q$4=TRUE,$Q$5=TRUE,$S$2=TRUE),VLOOKUP($G393,'KO Calc'!$H:$AW,15,FALSE),VLOOKUP($G393,'KO Calc'!$H399:$AW399,15,FALSE)),IF(AND($Q$1=TRUE,$S$4=FALSE),IF(OR($Q$4=TRUE,$Q$5=TRUE,$S$2=TRUE),VLOOKUP($G393,'KO Calc'!$H:$AW,5,FALSE),VLOOKUP($G393,'KO Calc'!$H399:$AW399,5,FALSE)),
IF(AND($Q$1=TRUE,$S$1=TRUE,$S$4=TRUE)=TRUE,IF(OR($Q$4=TRUE,$Q$5=TRUE,$S$2=TRUE),VLOOKUP($G393,'KO Calc'!$H:$AW,20,FALSE),VLOOKUP($G393,'KO Calc'!$H399:$AW399,20,FALSE)),IF(AND($Q$1=TRUE,$S$4=TRUE),IF(OR($Q$4=TRUE,$Q$5=TRUE,$S$2=TRUE),VLOOKUP($G393,'KO Calc'!$H:$AW,10,FALSE),VLOOKUP($G393,'KO Calc'!$H399:$AW399,10,FALSE)),
IF(AND($S$3=TRUE,$S$1=TRUE,$S$4=FALSE)=TRUE,IF(OR($Q$4=TRUE,$Q$5=TRUE,$S$2=TRUE),VLOOKUP($G393,'KO Calc'!$H:$AW,35,FALSE),VLOOKUP($G393,'KO Calc'!$H399:$AW399,35,FALSE)),IF(AND($S$3=TRUE,$S$4=FALSE),IF(OR($Q$4=TRUE,$Q$5=TRUE,$S$2=TRUE),VLOOKUP($G393,'KO Calc'!$H:$AW,25,FALSE),VLOOKUP($G393,'KO Calc'!$H399:$AW399,25,FALSE)),
IF(AND($S$3=TRUE,$S$1=TRUE,$S$4=TRUE)=TRUE,IF(OR($Q$4=TRUE,$Q$5=TRUE,$S$2=TRUE),VLOOKUP($G393,'KO Calc'!$H:$AW,40,FALSE),VLOOKUP($G393,'KO Calc'!$H399:$AW399,40,FALSE)),IF(AND($S$3=TRUE,$S$4=TRUE),IF(OR($Q$4=TRUE,$Q$5=TRUE,$S$2=TRUE),VLOOKUP($G393,'KO Calc'!$H:$AW,30,FALSE),VLOOKUP($G393,'KO Calc'!$H399:$AW399,30,FALSE)))))))))))))</f>
        <v>-</v>
      </c>
      <c r="L393" s="36" t="str">
        <f>IFERROR(IF(AND($Q$1=FALSE,$S$3=FALSE),"-",VLOOKUP($E393,'Status Thresholds'!$E:$AU,43,FALSE)),"-")</f>
        <v>-</v>
      </c>
      <c r="M393" s="36" t="str">
        <f>IFERROR(IF(AND($Q$1=FALSE,$S$3=FALSE),"-",VLOOKUP($E393,'Status Thresholds'!$E:$AU,41,FALSE)),"-")</f>
        <v>-</v>
      </c>
      <c r="N393" s="36" t="str">
        <f>IFERROR(IF(AND($Q$1=FALSE,$S$3=FALSE),"-",VLOOKUP($E393,'Status Thresholds'!$E:$AU,42,FALSE)),"-")</f>
        <v>-</v>
      </c>
    </row>
    <row r="394" spans="1:14" x14ac:dyDescent="0.25">
      <c r="B394" s="64" t="str">
        <f>VLOOKUP(C394,'Status Thresholds'!B:C,2,FALSE)</f>
        <v>MHGen</v>
      </c>
      <c r="C394" s="46" t="str">
        <f>IF(ISBLANK('KO Calc'!C390)=TRUE,"",'KO Calc'!C390)</f>
        <v>Great Maccao</v>
      </c>
      <c r="D394" s="78"/>
      <c r="E394" s="62" t="str">
        <f t="shared" si="11"/>
        <v>Great Maccao</v>
      </c>
      <c r="F394" t="s">
        <v>11</v>
      </c>
      <c r="G394" s="36" t="str">
        <f t="shared" si="12"/>
        <v>Great MaccaoCrag 1</v>
      </c>
      <c r="H394" s="36" t="str">
        <f>IF(AND($Q$1=FALSE,$S$3=FALSE),"-",IF(AND($Q$1=TRUE,$S$3=TRUE),"-",IF(AND($Q$1=FALSE,$S$3=FALSE),"-",IF(AND($Q$1=TRUE,$S$1=TRUE,$S$4=FALSE)=TRUE,IF(OR($Q$4=TRUE,$Q$5=TRUE,$S$2=TRUE),VLOOKUP($G394,'KO Calc'!$H:$AW,12,FALSE),VLOOKUP($G394,'KO Calc'!$H400:$AW400,12,FALSE)),IF(AND($Q$1=TRUE,$S$4=FALSE),IF(OR($Q$4=TRUE,$Q$5=TRUE,$S$2=TRUE),VLOOKUP($G394,'KO Calc'!$H:$AW,2,FALSE),VLOOKUP($G394,'KO Calc'!$H400:$AW400,2,FALSE)),
IF(AND($Q$1=TRUE,$S$1=TRUE,$S$4=TRUE)=TRUE,IF(OR($Q$4=TRUE,$Q$5=TRUE,$S$2=TRUE),VLOOKUP($G394,'KO Calc'!$H:$AW,17,FALSE),VLOOKUP($G394,'KO Calc'!$H400:$AW400,17,FALSE)),IF(AND($Q$1=TRUE,$S$4=TRUE),IF(OR($Q$4=TRUE,$Q$5=TRUE,$S$2=TRUE),VLOOKUP($G394,'KO Calc'!$H:$AW,7,FALSE),VLOOKUP($G394,'KO Calc'!$H400:$AW400,7,FALSE)),
IF(AND($S$3=TRUE,$S$1=TRUE,$S$4=FALSE)=TRUE,IF(OR($Q$4=TRUE,$Q$5=TRUE,$S$2=TRUE),VLOOKUP($G394,'KO Calc'!$H:$AW,32,FALSE),VLOOKUP($G394,'KO Calc'!$H400:$AW400,32,FALSE)),IF(AND($S$3=TRUE,$S$4=FALSE),IF(OR($Q$4=TRUE,$Q$5=TRUE,$S$2=TRUE),VLOOKUP($G394,'KO Calc'!$H:$AW,22,FALSE),VLOOKUP($G394,'KO Calc'!$H400:$AW400,22,FALSE)),
IF(AND($S$3=TRUE,$S$1=TRUE,$S$4=TRUE)=TRUE,IF(OR($Q$4=TRUE,$Q$5=TRUE,$S$2=TRUE),VLOOKUP($G394,'KO Calc'!$H:$AW,37,FALSE),VLOOKUP($G394,'KO Calc'!$H400:$AW400,37,FALSE)),IF(AND($S$3=TRUE,$S$4=TRUE),IF(OR($Q$4=TRUE,$Q$5=TRUE,$S$2=TRUE),VLOOKUP($G394,'KO Calc'!$H:$AW,27,FALSE),VLOOKUP($G394,'KO Calc'!$H400:$AW400,27,FALSE)))))))))))))</f>
        <v>-</v>
      </c>
      <c r="I394" s="36" t="str">
        <f>IF(AND($Q$1=FALSE,$S$3=FALSE),"-",IF(AND($Q$1=TRUE,$S$3=TRUE),"-",IF(AND($Q$1=FALSE,$S$3=FALSE),"-",IF(AND($Q$1=TRUE,$S$1=TRUE,$S$4=FALSE)=TRUE,IF(OR($Q$4=TRUE,$Q$5=TRUE,$S$2=TRUE),VLOOKUP($G394,'KO Calc'!$H:$AW,13,FALSE),VLOOKUP($G394,'KO Calc'!$H400:$AW400,13,FALSE)),IF(AND($Q$1=TRUE,$S$4=FALSE),IF(OR($Q$4=TRUE,$Q$5=TRUE,$S$2=TRUE),VLOOKUP($G394,'KO Calc'!$H:$AW,3,FALSE),VLOOKUP($G394,'KO Calc'!$H400:$AW400,3,FALSE)),
IF(AND($Q$1=TRUE,$S$1=TRUE,$S$4=TRUE)=TRUE,IF(OR($Q$4=TRUE,$Q$5=TRUE,$S$2=TRUE),VLOOKUP($G394,'KO Calc'!$H:$AW,18,FALSE),VLOOKUP($G394,'KO Calc'!$H400:$AW400,18,FALSE)),IF(AND($Q$1=TRUE,$S$4=TRUE),IF(OR($Q$4=TRUE,$Q$5=TRUE,$S$2=TRUE),VLOOKUP($G394,'KO Calc'!$H:$AW,8,FALSE),VLOOKUP($G394,'KO Calc'!$H400:$AW400,8,FALSE)),
IF(AND($S$3=TRUE,$S$1=TRUE,$S$4=FALSE)=TRUE,IF(OR($Q$4=TRUE,$Q$5=TRUE,$S$2=TRUE),VLOOKUP($G394,'KO Calc'!$H:$AW,33,FALSE),VLOOKUP($G394,'KO Calc'!$H400:$AW400,33,FALSE)),IF(AND($S$3=TRUE,$S$4=FALSE),IF(OR($Q$4=TRUE,$Q$5=TRUE,$S$2=TRUE),VLOOKUP($G394,'KO Calc'!$H:$AW,23,FALSE),VLOOKUP($G394,'KO Calc'!$H400:$AW400,23,FALSE)),
IF(AND($S$3=TRUE,$S$1=TRUE,$S$4=TRUE)=TRUE,IF(OR($Q$4=TRUE,$Q$5=TRUE,$S$2=TRUE),VLOOKUP($G394,'KO Calc'!$H:$AW,38,FALSE),VLOOKUP($G394,'KO Calc'!$H400:$AW400,38,FALSE)),IF(AND($S$3=TRUE,$S$4=TRUE),IF(OR($Q$4=TRUE,$Q$5=TRUE,$S$2=TRUE),VLOOKUP($G394,'KO Calc'!$H:$AW,28,FALSE),VLOOKUP($G394,'KO Calc'!$H400:$AW400,28,FALSE)))))))))))))</f>
        <v>-</v>
      </c>
      <c r="J394" s="36" t="str">
        <f>IF(AND($Q$1=FALSE,$S$3=FALSE),"-",IF(AND($Q$1=TRUE,$S$3=TRUE),"-",IF(AND($Q$1=FALSE,$S$3=FALSE),"-",IF(AND($Q$1=TRUE,$S$1=TRUE,$S$4=FALSE)=TRUE,IF(OR($Q$4=TRUE,$Q$5=TRUE,$S$2=TRUE),VLOOKUP($G394,'KO Calc'!$H:$AW,FALSE),VLOOKUP($G394,'KO Calc'!$H400:$AW400,14,FALSE)),IF(AND($Q$1=TRUE,$S$4=FALSE),IF(OR($Q$4=TRUE,$Q$5=TRUE,$S$2=TRUE),VLOOKUP($G394,'KO Calc'!$H:$AW,4,FALSE),VLOOKUP($G394,'KO Calc'!$H400:$AW400,4,FALSE)),
IF(AND($Q$1=TRUE,$S$1=TRUE,$S$4=TRUE)=TRUE,IF(OR($Q$4=TRUE,$Q$5=TRUE,$S$2=TRUE),VLOOKUP($G394,'KO Calc'!$H:$AW,19,FALSE),VLOOKUP($G394,'KO Calc'!$H400:$AW400,19,FALSE)),IF(AND($Q$1=TRUE,$S$4=TRUE),IF(OR($Q$4=TRUE,$Q$5=TRUE,$S$2=TRUE),VLOOKUP($G394,'KO Calc'!$H:$AW,9,FALSE),VLOOKUP($G394,'KO Calc'!$H400:$AW400,9,FALSE)),
IF(AND($S$3=TRUE,$S$1=TRUE,$S$4=FALSE)=TRUE,IF(OR($Q$4=TRUE,$Q$5=TRUE,$S$2=TRUE),VLOOKUP($G394,'KO Calc'!$H:$AW,34,FALSE),VLOOKUP($G394,'KO Calc'!$H400:$AW400,34,FALSE)),IF(AND($S$3=TRUE,$S$4=FALSE),IF(OR($Q$4=TRUE,$Q$5=TRUE,$S$2=TRUE),VLOOKUP($G394,'KO Calc'!$H:$AW,24,FALSE),VLOOKUP($G394,'KO Calc'!$H400:$AW400,24,FALSE)),
IF(AND($S$3=TRUE,$S$1=TRUE,$S$4=TRUE)=TRUE,IF(OR($Q$4=TRUE,$Q$5=TRUE,$S$2=TRUE),VLOOKUP($G394,'KO Calc'!$H:$AW,39,FALSE),VLOOKUP($G394,'KO Calc'!$H400:$AW400,39,FALSE)),IF(AND($S$3=TRUE,$S$4=TRUE),IF(OR($Q$4=TRUE,$Q$5=TRUE,$S$2=TRUE),VLOOKUP($G394,'KO Calc'!$H:$AW,29,FALSE),VLOOKUP($G394,'KO Calc'!$H400:$AW400,29,FALSE)))))))))))))</f>
        <v>-</v>
      </c>
      <c r="K394" s="36" t="str">
        <f>IF(AND($Q$1=FALSE,$S$3=FALSE),"-",IF(AND($Q$1=TRUE,$S$3=TRUE),"-",IF(AND($Q$1=FALSE,$S$3=FALSE),"-",IF(AND($Q$1=TRUE,$S$1=TRUE,$S$4=FALSE)=TRUE,IF(OR($Q$4=TRUE,$Q$5=TRUE,$S$2=TRUE),VLOOKUP($G394,'KO Calc'!$H:$AW,15,FALSE),VLOOKUP($G394,'KO Calc'!$H400:$AW400,15,FALSE)),IF(AND($Q$1=TRUE,$S$4=FALSE),IF(OR($Q$4=TRUE,$Q$5=TRUE,$S$2=TRUE),VLOOKUP($G394,'KO Calc'!$H:$AW,5,FALSE),VLOOKUP($G394,'KO Calc'!$H400:$AW400,5,FALSE)),
IF(AND($Q$1=TRUE,$S$1=TRUE,$S$4=TRUE)=TRUE,IF(OR($Q$4=TRUE,$Q$5=TRUE,$S$2=TRUE),VLOOKUP($G394,'KO Calc'!$H:$AW,20,FALSE),VLOOKUP($G394,'KO Calc'!$H400:$AW400,20,FALSE)),IF(AND($Q$1=TRUE,$S$4=TRUE),IF(OR($Q$4=TRUE,$Q$5=TRUE,$S$2=TRUE),VLOOKUP($G394,'KO Calc'!$H:$AW,10,FALSE),VLOOKUP($G394,'KO Calc'!$H400:$AW400,10,FALSE)),
IF(AND($S$3=TRUE,$S$1=TRUE,$S$4=FALSE)=TRUE,IF(OR($Q$4=TRUE,$Q$5=TRUE,$S$2=TRUE),VLOOKUP($G394,'KO Calc'!$H:$AW,35,FALSE),VLOOKUP($G394,'KO Calc'!$H400:$AW400,35,FALSE)),IF(AND($S$3=TRUE,$S$4=FALSE),IF(OR($Q$4=TRUE,$Q$5=TRUE,$S$2=TRUE),VLOOKUP($G394,'KO Calc'!$H:$AW,25,FALSE),VLOOKUP($G394,'KO Calc'!$H400:$AW400,25,FALSE)),
IF(AND($S$3=TRUE,$S$1=TRUE,$S$4=TRUE)=TRUE,IF(OR($Q$4=TRUE,$Q$5=TRUE,$S$2=TRUE),VLOOKUP($G394,'KO Calc'!$H:$AW,40,FALSE),VLOOKUP($G394,'KO Calc'!$H400:$AW400,40,FALSE)),IF(AND($S$3=TRUE,$S$4=TRUE),IF(OR($Q$4=TRUE,$Q$5=TRUE,$S$2=TRUE),VLOOKUP($G394,'KO Calc'!$H:$AW,30,FALSE),VLOOKUP($G394,'KO Calc'!$H400:$AW400,30,FALSE)))))))))))))</f>
        <v>-</v>
      </c>
      <c r="L394" s="36" t="str">
        <f>IFERROR(VLOOKUP($E394,'Status Thresholds'!$E:$AS,41,FALSE),"-")</f>
        <v>-</v>
      </c>
    </row>
    <row r="395" spans="1:14" x14ac:dyDescent="0.25">
      <c r="B395" s="64" t="str">
        <f>VLOOKUP(C395,'Status Thresholds'!B:C,2,FALSE)</f>
        <v>MHGen</v>
      </c>
      <c r="C395" s="46" t="str">
        <f>IF(ISBLANK('KO Calc'!C391)=TRUE,"",'KO Calc'!C391)</f>
        <v>Great Maccao</v>
      </c>
      <c r="D395" s="78"/>
      <c r="E395" s="62"/>
      <c r="G395" s="36"/>
      <c r="L395" s="36" t="str">
        <f>IFERROR(VLOOKUP($E395,'Status Thresholds'!$E:$AS,41,FALSE),"-")</f>
        <v>-</v>
      </c>
    </row>
    <row r="396" spans="1:14" s="36" customFormat="1" x14ac:dyDescent="0.25">
      <c r="B396" s="64" t="str">
        <f>VLOOKUP(C396,'Status Thresholds'!B:C,2,FALSE)</f>
        <v>Deviant</v>
      </c>
      <c r="C396" s="46" t="str">
        <f>IF(ISBLANK('KO Calc'!C392)=TRUE,"",'KO Calc'!C392)</f>
        <v>Grimclaw Tigrex</v>
      </c>
      <c r="D396" s="65" t="s">
        <v>0</v>
      </c>
      <c r="E396" s="62" t="str">
        <f t="shared" si="11"/>
        <v>Grimclaw TigrexPara</v>
      </c>
      <c r="F396" s="36" t="s">
        <v>2</v>
      </c>
      <c r="G396" s="36" t="str">
        <f t="shared" si="12"/>
        <v>Grimclaw TigrexPara lvl 2</v>
      </c>
      <c r="H396" s="36" t="str">
        <f>IFERROR(ROUNDUP(IF(AND($Q$1=FALSE,$S$3=FALSE),"-",IF(AND($Q$1=TRUE,$S$3=TRUE),"-",IF(AND($Q$1=TRUE,$S$1=TRUE,$S$4=FALSE),VLOOKUP($E396,'Status Thresholds'!$E:$AS,12,FALSE),IF(AND($Q$1=TRUE,$S$4=FALSE),VLOOKUP($E396,'Status Thresholds'!$E:$AS,2,FALSE), IF(AND($Q$1=TRUE,$S$1=TRUE,$S$4=TRUE),VLOOKUP($E396,'Status Thresholds'!$E:$AS,17,FALSE),IF(AND($Q$1=TRUE,$S$4=TRUE),VLOOKUP($E396,'Status Thresholds'!$E:$AS,7,FALSE),IF(AND($S$3=TRUE,$S$1=TRUE,$S$4=FALSE),VLOOKUP($E396,'Status Thresholds'!$E:$AS,32,FALSE),IF(AND($S$3=TRUE,$S$4=FALSE),VLOOKUP($E396,'Status Thresholds'!$E:$AS,22,FALSE),IF(AND($S$3=TRUE,$S$1=TRUE,$S$4=TRUE),VLOOKUP($E396,'Status Thresholds'!$E:$AS,37,FALSE),IF(AND($S$3=TRUE,$S$4=TRUE),VLOOKUP($E396,'Status Thresholds'!$E:$AS,27,FALSE),""))))))))/IF(OR($Q$3=TRUE,AND($Q$2=TRUE,$Q$7=TRUE),AND($Q$3=TRUE,$Q$7=TRUE))=TRUE,'Shots and Status'!$F$5,IF((OR($Q$2,$Q$7)=TRUE),'Shots and Status'!$D$5,'Shots and Status'!$C$5)))),0),"-")</f>
        <v>-</v>
      </c>
      <c r="I396" s="36" t="str">
        <f>IFERROR(ROUNDUP(IF(AND($Q$1=FALSE,$S$3=FALSE),"-",IF(AND($Q$1=TRUE,$S$3=TRUE),"-",IF(AND($Q$1=TRUE,$S$1=TRUE,$S$4=FALSE),VLOOKUP($E396,'Status Thresholds'!$E:$AS,13,FALSE),IF(AND($Q$1=TRUE,$S$4=FALSE),VLOOKUP($E396,'Status Thresholds'!$E:$AS,3,FALSE), IF(AND($Q$1=TRUE,$S$1=TRUE,$S$4=TRUE),VLOOKUP($E396,'Status Thresholds'!$E:$AS,18,FALSE),IF(AND($Q$1=TRUE,$S$4=TRUE),VLOOKUP($E396,'Status Thresholds'!$E:$AS,8,FALSE),IF(AND($S$3=TRUE,$S$1=TRUE,$S$4=FALSE),VLOOKUP($E396,'Status Thresholds'!$E:$AS,33,FALSE),IF(AND($S$3=TRUE,$S$4=FALSE),VLOOKUP($E396,'Status Thresholds'!$E:$AS,23,FALSE),IF(AND($S$3=TRUE,$S$1=TRUE,$S$4=TRUE),VLOOKUP($E396,'Status Thresholds'!$E:$AS,38,FALSE),IF(AND($S$3=TRUE,$S$4=TRUE),VLOOKUP($E396,'Status Thresholds'!$E:$AS,28,FALSE),""))))))))/IF(OR($Q$3=TRUE,AND($Q$2=TRUE,$Q$7=TRUE),AND($Q$3=TRUE,$Q$7=TRUE))=TRUE,'Shots and Status'!$F$5,IF((OR($Q$2,$Q$7)=TRUE),'Shots and Status'!$D$5,'Shots and Status'!$C$5)))),0),"-")</f>
        <v>-</v>
      </c>
      <c r="J396" s="36" t="str">
        <f>IFERROR(ROUNDUP(IF(AND($Q$1=FALSE,$S$3=FALSE),"-",IF(AND($Q$1=TRUE,$S$3=TRUE),"-",IF(AND($Q$1=TRUE,$S$1=TRUE,$S$4=FALSE),VLOOKUP($E396,'Status Thresholds'!$E:$AS,14,FALSE),IF(AND($Q$1=TRUE,$S$4=FALSE),VLOOKUP($E396,'Status Thresholds'!$E:$AS,4,FALSE), IF(AND($Q$1=TRUE,$S$1=TRUE,$S$4=TRUE),VLOOKUP($E396,'Status Thresholds'!$E:$AS,19,FALSE),IF(AND($Q$1=TRUE,$S$4=TRUE),VLOOKUP($E396,'Status Thresholds'!$E:$AS,9,FALSE),IF(AND($S$3=TRUE,$S$1=TRUE,$S$4=FALSE),VLOOKUP($E396,'Status Thresholds'!$E:$AS,34,FALSE),IF(AND($S$3=TRUE,$S$4=FALSE),VLOOKUP($E396,'Status Thresholds'!$E:$AS,24,FALSE),IF(AND($S$3=TRUE,$S$1=TRUE,$S$4=TRUE),VLOOKUP($E396,'Status Thresholds'!$E:$AS,39,FALSE),IF(AND($S$3=TRUE,$S$4=TRUE),VLOOKUP($E396,'Status Thresholds'!$E:$AS,29,FALSE),""))))))))/IF(OR($Q$3=TRUE,AND($Q$2=TRUE,$Q$7=TRUE),AND($Q$3=TRUE,$Q$7=TRUE))=TRUE,'Shots and Status'!$F$5,IF((OR($Q$2,$Q$7)=TRUE),'Shots and Status'!$D$5,'Shots and Status'!$C$5)))),0),"-")</f>
        <v>-</v>
      </c>
      <c r="K396" s="36" t="str">
        <f>IFERROR(ROUNDUP(IF(AND($Q$1=FALSE,$S$3=FALSE),"-",IF(AND($Q$1=TRUE,$S$3=TRUE),"-",IF(AND($Q$1=TRUE,$S$1=TRUE,$S$4=FALSE),VLOOKUP($E396,'Status Thresholds'!$E:$AS,15,FALSE),IF(AND($Q$1=TRUE,$S$4=FALSE),VLOOKUP($E396,'Status Thresholds'!$E:$AS,5,FALSE), IF(AND($Q$1=TRUE,$S$1=TRUE,$S$4=TRUE),VLOOKUP($E396,'Status Thresholds'!$E:$AS,20,FALSE),IF(AND($Q$1=TRUE,$S$4=TRUE),VLOOKUP($E396,'Status Thresholds'!$E:$AS,10,FALSE),IF(AND($S$3=TRUE,$S$1=TRUE,$S$4=FALSE),VLOOKUP($E396,'Status Thresholds'!$E:$AS,35,FALSE),IF(AND($S$3=TRUE,$S$4=FALSE),VLOOKUP($E396,'Status Thresholds'!$E:$AS,25,FALSE),IF(AND($S$3=TRUE,$S$1=TRUE,$S$4=TRUE),VLOOKUP($E396,'Status Thresholds'!$E:$AS,40,FALSE),IF(AND($S$3=TRUE,$S$4=TRUE),VLOOKUP($E396,'Status Thresholds'!$E:$AS,30,FALSE),""))))))))/IF(OR($Q$3=TRUE,AND($Q$2=TRUE,$Q$7=TRUE),AND($Q$3=TRUE,$Q$7=TRUE))=TRUE,'Shots and Status'!$F$5,IF((OR($Q$2,$Q$7)=TRUE),'Shots and Status'!$D$5,'Shots and Status'!$C$5)))),0),"-")</f>
        <v>-</v>
      </c>
      <c r="L396" s="36" t="str">
        <f>IFERROR(IF(AND($Q$1=FALSE,$S$3=FALSE),"-",VLOOKUP($E396,'Status Thresholds'!$E:$AU,41,FALSE)),"-")</f>
        <v>-</v>
      </c>
      <c r="M396" s="36" t="str">
        <f>IFERROR(IF(AND($Q$1=FALSE,$S$3=FALSE),"-",VLOOKUP($E396,'Status Thresholds'!$E:$AU,42,FALSE)),"-")</f>
        <v>-</v>
      </c>
      <c r="N396" s="36" t="str">
        <f>IFERROR(IF(AND($Q$1=FALSE,$S$3=FALSE),"-",VLOOKUP($E396,'Status Thresholds'!$E:$AU,43,FALSE)),"-")</f>
        <v>-</v>
      </c>
    </row>
    <row r="397" spans="1:14" s="59" customFormat="1" x14ac:dyDescent="0.25">
      <c r="A397" s="46"/>
      <c r="B397" s="64" t="str">
        <f>VLOOKUP(C397,'Status Thresholds'!B:C,2,FALSE)</f>
        <v>Deviant</v>
      </c>
      <c r="C397" s="46" t="str">
        <f>IF(ISBLANK('KO Calc'!C393)=TRUE,"",'KO Calc'!C393)</f>
        <v>Grimclaw Tigrex</v>
      </c>
      <c r="D397" s="60" t="s">
        <v>32</v>
      </c>
      <c r="E397" s="62" t="str">
        <f t="shared" si="11"/>
        <v>Grimclaw TigrexSleep</v>
      </c>
      <c r="F397" s="59" t="s">
        <v>5</v>
      </c>
      <c r="G397" s="36" t="str">
        <f t="shared" si="12"/>
        <v>Grimclaw TigrexSleep lvl 2</v>
      </c>
      <c r="H397" s="36" t="str">
        <f>IFERROR(ROUNDUP(IF(AND($Q$1=FALSE,$S$3=FALSE),"-",IF(AND($Q$1=TRUE,$S$3=TRUE),"-",IF(AND($Q$1=TRUE,$S$1=TRUE,$S$4=FALSE),VLOOKUP($E397,'Status Thresholds'!$E:$AS,12,FALSE),IF(AND($Q$1=TRUE,$S$4=FALSE),VLOOKUP($E397,'Status Thresholds'!$E:$AS,2,FALSE), IF(AND($Q$1=TRUE,$S$1=TRUE,$S$4=TRUE),VLOOKUP($E397,'Status Thresholds'!$E:$AS,17,FALSE),IF(AND($Q$1=TRUE,$S$4=TRUE),VLOOKUP($E397,'Status Thresholds'!$E:$AS,7,FALSE),IF(AND($S$3=TRUE,$S$1=TRUE,$S$4=FALSE),VLOOKUP($E397,'Status Thresholds'!$E:$AS,32,FALSE),IF(AND($S$3=TRUE,$S$4=FALSE),VLOOKUP($E397,'Status Thresholds'!$E:$AS,22,FALSE),IF(AND($S$3=TRUE,$S$1=TRUE,$S$4=TRUE),VLOOKUP($E397,'Status Thresholds'!$E:$AS,37,FALSE),IF(AND($S$3=TRUE,$S$4=TRUE),VLOOKUP($E397,'Status Thresholds'!$E:$AS,27,FALSE),""))))))))/IF(OR($Q$3=TRUE,AND($Q$2=TRUE,$Q$7=TRUE),AND($Q$3=TRUE,$Q$7=TRUE))=TRUE,'Shots and Status'!$F$5,IF((OR($Q$2,$Q$7)=TRUE),'Shots and Status'!$D$5,'Shots and Status'!$C$5)))),0),"-")</f>
        <v>-</v>
      </c>
      <c r="I397" s="36" t="str">
        <f>IFERROR(ROUNDUP(IF(AND($Q$1=FALSE,$S$3=FALSE),"-",IF(AND($Q$1=TRUE,$S$3=TRUE),"-",IF(AND($Q$1=TRUE,$S$1=TRUE,$S$4=FALSE),VLOOKUP($E397,'Status Thresholds'!$E:$AS,13,FALSE),IF(AND($Q$1=TRUE,$S$4=FALSE),VLOOKUP($E397,'Status Thresholds'!$E:$AS,3,FALSE), IF(AND($Q$1=TRUE,$S$1=TRUE,$S$4=TRUE),VLOOKUP($E397,'Status Thresholds'!$E:$AS,18,FALSE),IF(AND($Q$1=TRUE,$S$4=TRUE),VLOOKUP($E397,'Status Thresholds'!$E:$AS,8,FALSE),IF(AND($S$3=TRUE,$S$1=TRUE,$S$4=FALSE),VLOOKUP($E397,'Status Thresholds'!$E:$AS,33,FALSE),IF(AND($S$3=TRUE,$S$4=FALSE),VLOOKUP($E397,'Status Thresholds'!$E:$AS,23,FALSE),IF(AND($S$3=TRUE,$S$1=TRUE,$S$4=TRUE),VLOOKUP($E397,'Status Thresholds'!$E:$AS,38,FALSE),IF(AND($S$3=TRUE,$S$4=TRUE),VLOOKUP($E397,'Status Thresholds'!$E:$AS,28,FALSE),""))))))))/IF(OR($Q$3=TRUE,AND($Q$2=TRUE,$Q$7=TRUE),AND($Q$3=TRUE,$Q$7=TRUE))=TRUE,'Shots and Status'!$F$5,IF((OR($Q$2,$Q$7)=TRUE),'Shots and Status'!$D$5,'Shots and Status'!$C$5)))),0),"-")</f>
        <v>-</v>
      </c>
      <c r="J397" s="36" t="str">
        <f>IFERROR(ROUNDUP(IF(AND($Q$1=FALSE,$S$3=FALSE),"-",IF(AND($Q$1=TRUE,$S$3=TRUE),"-",IF(AND($Q$1=TRUE,$S$1=TRUE,$S$4=FALSE),VLOOKUP($E397,'Status Thresholds'!$E:$AS,14,FALSE),IF(AND($Q$1=TRUE,$S$4=FALSE),VLOOKUP($E397,'Status Thresholds'!$E:$AS,4,FALSE), IF(AND($Q$1=TRUE,$S$1=TRUE,$S$4=TRUE),VLOOKUP($E397,'Status Thresholds'!$E:$AS,19,FALSE),IF(AND($Q$1=TRUE,$S$4=TRUE),VLOOKUP($E397,'Status Thresholds'!$E:$AS,9,FALSE),IF(AND($S$3=TRUE,$S$1=TRUE,$S$4=FALSE),VLOOKUP($E397,'Status Thresholds'!$E:$AS,34,FALSE),IF(AND($S$3=TRUE,$S$4=FALSE),VLOOKUP($E397,'Status Thresholds'!$E:$AS,24,FALSE),IF(AND($S$3=TRUE,$S$1=TRUE,$S$4=TRUE),VLOOKUP($E397,'Status Thresholds'!$E:$AS,39,FALSE),IF(AND($S$3=TRUE,$S$4=TRUE),VLOOKUP($E397,'Status Thresholds'!$E:$AS,29,FALSE),""))))))))/IF(OR($Q$3=TRUE,AND($Q$2=TRUE,$Q$7=TRUE),AND($Q$3=TRUE,$Q$7=TRUE))=TRUE,'Shots and Status'!$F$5,IF((OR($Q$2,$Q$7)=TRUE),'Shots and Status'!$D$5,'Shots and Status'!$C$5)))),0),"-")</f>
        <v>-</v>
      </c>
      <c r="K397" s="36" t="str">
        <f>IFERROR(ROUNDUP(IF(AND($Q$1=FALSE,$S$3=FALSE),"-",IF(AND($Q$1=TRUE,$S$3=TRUE),"-",IF(AND($Q$1=TRUE,$S$1=TRUE,$S$4=FALSE),VLOOKUP($E397,'Status Thresholds'!$E:$AS,15,FALSE),IF(AND($Q$1=TRUE,$S$4=FALSE),VLOOKUP($E397,'Status Thresholds'!$E:$AS,5,FALSE), IF(AND($Q$1=TRUE,$S$1=TRUE,$S$4=TRUE),VLOOKUP($E397,'Status Thresholds'!$E:$AS,20,FALSE),IF(AND($Q$1=TRUE,$S$4=TRUE),VLOOKUP($E397,'Status Thresholds'!$E:$AS,10,FALSE),IF(AND($S$3=TRUE,$S$1=TRUE,$S$4=FALSE),VLOOKUP($E397,'Status Thresholds'!$E:$AS,35,FALSE),IF(AND($S$3=TRUE,$S$4=FALSE),VLOOKUP($E397,'Status Thresholds'!$E:$AS,25,FALSE),IF(AND($S$3=TRUE,$S$1=TRUE,$S$4=TRUE),VLOOKUP($E397,'Status Thresholds'!$E:$AS,40,FALSE),IF(AND($S$3=TRUE,$S$4=TRUE),VLOOKUP($E397,'Status Thresholds'!$E:$AS,30,FALSE),""))))))))/IF(OR($Q$3=TRUE,AND($Q$2=TRUE,$Q$7=TRUE),AND($Q$3=TRUE,$Q$7=TRUE))=TRUE,'Shots and Status'!$F$5,IF((OR($Q$2,$Q$7)=TRUE),'Shots and Status'!$D$5,'Shots and Status'!$C$5)))),0),"-")</f>
        <v>-</v>
      </c>
      <c r="L397" s="36" t="str">
        <f>IFERROR(IF(AND($Q$1=FALSE,$S$3=FALSE),"-",VLOOKUP($E397,'Status Thresholds'!$E:$AU,41,FALSE)),"-")</f>
        <v>-</v>
      </c>
      <c r="M397" s="36" t="str">
        <f>IFERROR(IF(AND($Q$1=FALSE,$S$3=FALSE),"-",VLOOKUP($E397,'Status Thresholds'!$E:$AU,42,FALSE)),"-")</f>
        <v>-</v>
      </c>
      <c r="N397" s="36" t="str">
        <f>IFERROR(IF(AND($Q$1=FALSE,$S$3=FALSE),"-",VLOOKUP($E397,'Status Thresholds'!$E:$AU,43,FALSE)),"-")</f>
        <v>-</v>
      </c>
    </row>
    <row r="398" spans="1:14" s="59" customFormat="1" x14ac:dyDescent="0.25">
      <c r="A398" s="46"/>
      <c r="B398" s="64" t="str">
        <f>VLOOKUP(C398,'Status Thresholds'!B:C,2,FALSE)</f>
        <v>Deviant</v>
      </c>
      <c r="C398" s="46" t="str">
        <f>IF(ISBLANK('KO Calc'!C394)=TRUE,"",'KO Calc'!C394)</f>
        <v>Grimclaw Tigrex</v>
      </c>
      <c r="D398" s="58" t="s">
        <v>33</v>
      </c>
      <c r="E398" s="62" t="str">
        <f t="shared" si="11"/>
        <v>Grimclaw TigrexPoison</v>
      </c>
      <c r="F398" s="59" t="s">
        <v>6</v>
      </c>
      <c r="G398" s="36" t="str">
        <f t="shared" si="12"/>
        <v>Grimclaw TigrexPoison lvl 2</v>
      </c>
      <c r="H398" s="36" t="str">
        <f>IFERROR(ROUNDUP(IF(AND($Q$1=FALSE,$S$3=FALSE),"-",IF(AND($Q$1=TRUE,$S$3=TRUE),"-",IF(AND($Q$1=TRUE,$S$1=TRUE,$S$4=FALSE),VLOOKUP($E398,'Status Thresholds'!$E:$AS,12,FALSE),IF(AND($Q$1=TRUE,$S$4=FALSE),VLOOKUP($E398,'Status Thresholds'!$E:$AS,2,FALSE), IF(AND($Q$1=TRUE,$S$1=TRUE,$S$4=TRUE),VLOOKUP($E398,'Status Thresholds'!$E:$AS,17,FALSE),IF(AND($Q$1=TRUE,$S$4=TRUE),VLOOKUP($E398,'Status Thresholds'!$E:$AS,7,FALSE),IF(AND($S$3=TRUE,$S$1=TRUE,$S$4=FALSE),VLOOKUP($E398,'Status Thresholds'!$E:$AS,32,FALSE),IF(AND($S$3=TRUE,$S$4=FALSE),VLOOKUP($E398,'Status Thresholds'!$E:$AS,22,FALSE),IF(AND($S$3=TRUE,$S$1=TRUE,$S$4=TRUE),VLOOKUP($E398,'Status Thresholds'!$E:$AS,37,FALSE),IF(AND($S$3=TRUE,$S$4=TRUE),VLOOKUP($E398,'Status Thresholds'!$E:$AS,27,FALSE),""))))))))/IF(OR($Q$3=TRUE,AND($Q$2=TRUE,$Q$7=TRUE),AND($Q$3=TRUE,$Q$7=TRUE))=TRUE,'Shots and Status'!$F$5,IF((OR($Q$2,$Q$7)=TRUE),'Shots and Status'!$D$5,'Shots and Status'!$C$5)))),0),"-")</f>
        <v>-</v>
      </c>
      <c r="I398" s="36" t="str">
        <f>IFERROR(ROUNDUP(IF(AND($Q$1=FALSE,$S$3=FALSE),"-",IF(AND($Q$1=TRUE,$S$3=TRUE),"-",IF(AND($Q$1=TRUE,$S$1=TRUE,$S$4=FALSE),VLOOKUP($E398,'Status Thresholds'!$E:$AS,13,FALSE),IF(AND($Q$1=TRUE,$S$4=FALSE),VLOOKUP($E398,'Status Thresholds'!$E:$AS,3,FALSE), IF(AND($Q$1=TRUE,$S$1=TRUE,$S$4=TRUE),VLOOKUP($E398,'Status Thresholds'!$E:$AS,18,FALSE),IF(AND($Q$1=TRUE,$S$4=TRUE),VLOOKUP($E398,'Status Thresholds'!$E:$AS,8,FALSE),IF(AND($S$3=TRUE,$S$1=TRUE,$S$4=FALSE),VLOOKUP($E398,'Status Thresholds'!$E:$AS,33,FALSE),IF(AND($S$3=TRUE,$S$4=FALSE),VLOOKUP($E398,'Status Thresholds'!$E:$AS,23,FALSE),IF(AND($S$3=TRUE,$S$1=TRUE,$S$4=TRUE),VLOOKUP($E398,'Status Thresholds'!$E:$AS,38,FALSE),IF(AND($S$3=TRUE,$S$4=TRUE),VLOOKUP($E398,'Status Thresholds'!$E:$AS,28,FALSE),""))))))))/IF(OR($Q$3=TRUE,AND($Q$2=TRUE,$Q$7=TRUE),AND($Q$3=TRUE,$Q$7=TRUE))=TRUE,'Shots and Status'!$F$5,IF((OR($Q$2,$Q$7)=TRUE),'Shots and Status'!$D$5,'Shots and Status'!$C$5)))),0),"-")</f>
        <v>-</v>
      </c>
      <c r="J398" s="36" t="str">
        <f>IFERROR(ROUNDUP(IF(AND($Q$1=FALSE,$S$3=FALSE),"-",IF(AND($Q$1=TRUE,$S$3=TRUE),"-",IF(AND($Q$1=TRUE,$S$1=TRUE,$S$4=FALSE),VLOOKUP($E398,'Status Thresholds'!$E:$AS,14,FALSE),IF(AND($Q$1=TRUE,$S$4=FALSE),VLOOKUP($E398,'Status Thresholds'!$E:$AS,4,FALSE), IF(AND($Q$1=TRUE,$S$1=TRUE,$S$4=TRUE),VLOOKUP($E398,'Status Thresholds'!$E:$AS,19,FALSE),IF(AND($Q$1=TRUE,$S$4=TRUE),VLOOKUP($E398,'Status Thresholds'!$E:$AS,9,FALSE),IF(AND($S$3=TRUE,$S$1=TRUE,$S$4=FALSE),VLOOKUP($E398,'Status Thresholds'!$E:$AS,34,FALSE),IF(AND($S$3=TRUE,$S$4=FALSE),VLOOKUP($E398,'Status Thresholds'!$E:$AS,24,FALSE),IF(AND($S$3=TRUE,$S$1=TRUE,$S$4=TRUE),VLOOKUP($E398,'Status Thresholds'!$E:$AS,39,FALSE),IF(AND($S$3=TRUE,$S$4=TRUE),VLOOKUP($E398,'Status Thresholds'!$E:$AS,29,FALSE),""))))))))/IF(OR($Q$3=TRUE,AND($Q$2=TRUE,$Q$7=TRUE),AND($Q$3=TRUE,$Q$7=TRUE))=TRUE,'Shots and Status'!$F$5,IF((OR($Q$2,$Q$7)=TRUE),'Shots and Status'!$D$5,'Shots and Status'!$C$5)))),0),"-")</f>
        <v>-</v>
      </c>
      <c r="K398" s="36" t="str">
        <f>IFERROR(ROUNDUP(IF(AND($Q$1=FALSE,$S$3=FALSE),"-",IF(AND($Q$1=TRUE,$S$3=TRUE),"-",IF(AND($Q$1=TRUE,$S$1=TRUE,$S$4=FALSE),VLOOKUP($E398,'Status Thresholds'!$E:$AS,15,FALSE),IF(AND($Q$1=TRUE,$S$4=FALSE),VLOOKUP($E398,'Status Thresholds'!$E:$AS,5,FALSE), IF(AND($Q$1=TRUE,$S$1=TRUE,$S$4=TRUE),VLOOKUP($E398,'Status Thresholds'!$E:$AS,20,FALSE),IF(AND($Q$1=TRUE,$S$4=TRUE),VLOOKUP($E398,'Status Thresholds'!$E:$AS,10,FALSE),IF(AND($S$3=TRUE,$S$1=TRUE,$S$4=FALSE),VLOOKUP($E398,'Status Thresholds'!$E:$AS,35,FALSE),IF(AND($S$3=TRUE,$S$4=FALSE),VLOOKUP($E398,'Status Thresholds'!$E:$AS,25,FALSE),IF(AND($S$3=TRUE,$S$1=TRUE,$S$4=TRUE),VLOOKUP($E398,'Status Thresholds'!$E:$AS,40,FALSE),IF(AND($S$3=TRUE,$S$4=TRUE),VLOOKUP($E398,'Status Thresholds'!$E:$AS,30,FALSE),""))))))))/IF(OR($Q$3=TRUE,AND($Q$2=TRUE,$Q$7=TRUE),AND($Q$3=TRUE,$Q$7=TRUE))=TRUE,'Shots and Status'!$F$5,IF((OR($Q$2,$Q$7)=TRUE),'Shots and Status'!$D$5,'Shots and Status'!$C$5)))),0),"-")</f>
        <v>-</v>
      </c>
      <c r="L398" s="36" t="str">
        <f>IFERROR(IF(AND($Q$1=FALSE,$S$3=FALSE),"-",VLOOKUP($E398,'Status Thresholds'!$E:$AU,41,FALSE)),"-")</f>
        <v>-</v>
      </c>
      <c r="M398" s="36" t="str">
        <f>IFERROR(IF(AND($Q$1=FALSE,$S$3=FALSE),"-",VLOOKUP($E398,'Status Thresholds'!$E:$AU,42,FALSE)),"-")</f>
        <v>-</v>
      </c>
      <c r="N398" s="36" t="str">
        <f>IFERROR(IF(AND($Q$1=FALSE,$S$3=FALSE),"-",VLOOKUP($E398,'Status Thresholds'!$E:$AU,43,FALSE)),"-")</f>
        <v>-</v>
      </c>
    </row>
    <row r="399" spans="1:14" s="36" customFormat="1" x14ac:dyDescent="0.25">
      <c r="A399" s="46"/>
      <c r="B399" s="64" t="str">
        <f>VLOOKUP(C399,'Status Thresholds'!B:C,2,FALSE)</f>
        <v>Deviant</v>
      </c>
      <c r="C399" s="46" t="str">
        <f>IF(ISBLANK('KO Calc'!C395)=TRUE,"",'KO Calc'!C395)</f>
        <v>Grimclaw Tigrex</v>
      </c>
      <c r="D399" s="57" t="s">
        <v>22</v>
      </c>
      <c r="E399" s="62" t="str">
        <f t="shared" si="11"/>
        <v>Grimclaw TigrexExhaust</v>
      </c>
      <c r="F399" s="36" t="s">
        <v>8</v>
      </c>
      <c r="G399" s="36" t="str">
        <f t="shared" si="12"/>
        <v>Grimclaw TigrexExhaust lvl 2</v>
      </c>
      <c r="H399" s="36" t="str">
        <f>IFERROR(ROUNDUP(IF(AND($Q$1=FALSE,$S$3=FALSE),"-",IF(AND($Q$1=TRUE,$S$3=TRUE),"-",IF(AND($Q$1=TRUE,$S$1=TRUE,$S$4=FALSE),VLOOKUP($E399,'Status Thresholds'!$E:$AS,12,FALSE),IF(AND($Q$1=TRUE,$S$4=FALSE),VLOOKUP($E399,'Status Thresholds'!$E:$AS,2,FALSE), IF(AND($Q$1=TRUE,$S$1=TRUE,$S$4=TRUE),VLOOKUP($E399,'Status Thresholds'!$E:$AS,17,FALSE),IF(AND($Q$1=TRUE,$S$4=TRUE),VLOOKUP($E399,'Status Thresholds'!$E:$AS,7,FALSE),IF(AND($S$3=TRUE,$S$1=TRUE,$S$4=FALSE),VLOOKUP($E399,'Status Thresholds'!$E:$AS,32,FALSE),IF(AND($S$3=TRUE,$S$4=FALSE),VLOOKUP($E399,'Status Thresholds'!$E:$AS,22,FALSE),IF(AND($S$3=TRUE,$S$1=TRUE,$S$4=TRUE),VLOOKUP($E399,'Status Thresholds'!$E:$AS,37,FALSE),IF(AND($S$3=TRUE,$S$4=TRUE),VLOOKUP($E399,'Status Thresholds'!$E:$AS,27,FALSE),""))))))))/IF(OR($Q$3=TRUE,AND($Q$2=TRUE,$Q$7=TRUE),AND($Q$3=TRUE,$Q$7=TRUE))=TRUE,'Shots and Status'!$F$5,IF((OR($Q$2,$Q$7)=TRUE),'Shots and Status'!$D$5,'Shots and Status'!$C$5)))),0),"-")</f>
        <v>-</v>
      </c>
      <c r="I399" s="36" t="str">
        <f>IFERROR(ROUNDUP(IF(AND($Q$1=FALSE,$S$3=FALSE),"-",IF(AND($Q$1=TRUE,$S$3=TRUE),"-",IF(AND($Q$1=TRUE,$S$1=TRUE,$S$4=FALSE),VLOOKUP($E399,'Status Thresholds'!$E:$AS,13,FALSE),IF(AND($Q$1=TRUE,$S$4=FALSE),VLOOKUP($E399,'Status Thresholds'!$E:$AS,3,FALSE), IF(AND($Q$1=TRUE,$S$1=TRUE,$S$4=TRUE),VLOOKUP($E399,'Status Thresholds'!$E:$AS,18,FALSE),IF(AND($Q$1=TRUE,$S$4=TRUE),VLOOKUP($E399,'Status Thresholds'!$E:$AS,8,FALSE),IF(AND($S$3=TRUE,$S$1=TRUE,$S$4=FALSE),VLOOKUP($E399,'Status Thresholds'!$E:$AS,33,FALSE),IF(AND($S$3=TRUE,$S$4=FALSE),VLOOKUP($E399,'Status Thresholds'!$E:$AS,23,FALSE),IF(AND($S$3=TRUE,$S$1=TRUE,$S$4=TRUE),VLOOKUP($E399,'Status Thresholds'!$E:$AS,38,FALSE),IF(AND($S$3=TRUE,$S$4=TRUE),VLOOKUP($E399,'Status Thresholds'!$E:$AS,28,FALSE),""))))))))/IF(OR($Q$3=TRUE,AND($Q$2=TRUE,$Q$7=TRUE),AND($Q$3=TRUE,$Q$7=TRUE))=TRUE,'Shots and Status'!$F$5,IF((OR($Q$2,$Q$7)=TRUE),'Shots and Status'!$D$5,'Shots and Status'!$C$5)))),0),"-")</f>
        <v>-</v>
      </c>
      <c r="J399" s="36" t="str">
        <f>IFERROR(ROUNDUP(IF(AND($Q$1=FALSE,$S$3=FALSE),"-",IF(AND($Q$1=TRUE,$S$3=TRUE),"-",IF(AND($Q$1=TRUE,$S$1=TRUE,$S$4=FALSE),VLOOKUP($E399,'Status Thresholds'!$E:$AS,14,FALSE),IF(AND($Q$1=TRUE,$S$4=FALSE),VLOOKUP($E399,'Status Thresholds'!$E:$AS,4,FALSE), IF(AND($Q$1=TRUE,$S$1=TRUE,$S$4=TRUE),VLOOKUP($E399,'Status Thresholds'!$E:$AS,19,FALSE),IF(AND($Q$1=TRUE,$S$4=TRUE),VLOOKUP($E399,'Status Thresholds'!$E:$AS,9,FALSE),IF(AND($S$3=TRUE,$S$1=TRUE,$S$4=FALSE),VLOOKUP($E399,'Status Thresholds'!$E:$AS,34,FALSE),IF(AND($S$3=TRUE,$S$4=FALSE),VLOOKUP($E399,'Status Thresholds'!$E:$AS,24,FALSE),IF(AND($S$3=TRUE,$S$1=TRUE,$S$4=TRUE),VLOOKUP($E399,'Status Thresholds'!$E:$AS,39,FALSE),IF(AND($S$3=TRUE,$S$4=TRUE),VLOOKUP($E399,'Status Thresholds'!$E:$AS,29,FALSE),""))))))))/IF(OR($Q$3=TRUE,AND($Q$2=TRUE,$Q$7=TRUE),AND($Q$3=TRUE,$Q$7=TRUE))=TRUE,'Shots and Status'!$F$5,IF((OR($Q$2,$Q$7)=TRUE),'Shots and Status'!$D$5,'Shots and Status'!$C$5)))),0),"-")</f>
        <v>-</v>
      </c>
      <c r="K399" s="36" t="str">
        <f>IFERROR(ROUNDUP(IF(AND($Q$1=FALSE,$S$3=FALSE),"-",IF(AND($Q$1=TRUE,$S$3=TRUE),"-",IF(AND($Q$1=TRUE,$S$1=TRUE,$S$4=FALSE),VLOOKUP($E399,'Status Thresholds'!$E:$AS,15,FALSE),IF(AND($Q$1=TRUE,$S$4=FALSE),VLOOKUP($E399,'Status Thresholds'!$E:$AS,5,FALSE), IF(AND($Q$1=TRUE,$S$1=TRUE,$S$4=TRUE),VLOOKUP($E399,'Status Thresholds'!$E:$AS,20,FALSE),IF(AND($Q$1=TRUE,$S$4=TRUE),VLOOKUP($E399,'Status Thresholds'!$E:$AS,10,FALSE),IF(AND($S$3=TRUE,$S$1=TRUE,$S$4=FALSE),VLOOKUP($E399,'Status Thresholds'!$E:$AS,35,FALSE),IF(AND($S$3=TRUE,$S$4=FALSE),VLOOKUP($E399,'Status Thresholds'!$E:$AS,25,FALSE),IF(AND($S$3=TRUE,$S$1=TRUE,$S$4=TRUE),VLOOKUP($E399,'Status Thresholds'!$E:$AS,40,FALSE),IF(AND($S$3=TRUE,$S$4=TRUE),VLOOKUP($E399,'Status Thresholds'!$E:$AS,30,FALSE),""))))))))/IF(OR($Q$3=TRUE,AND($Q$2=TRUE,$Q$7=TRUE),AND($Q$3=TRUE,$Q$7=TRUE))=TRUE,'Shots and Status'!$F$5,IF((OR($Q$2,$Q$7)=TRUE),'Shots and Status'!$D$5,'Shots and Status'!$C$5)))),0),"-")</f>
        <v>-</v>
      </c>
      <c r="L399" s="36" t="str">
        <f>IFERROR(IF(AND($Q$1=FALSE,$S$3=FALSE),"-",VLOOKUP($E399,'Status Thresholds'!$E:$AU,41,FALSE)),"-")</f>
        <v>-</v>
      </c>
      <c r="M399" s="36" t="str">
        <f>IFERROR(IF(AND($Q$1=FALSE,$S$3=FALSE),"-",VLOOKUP($E399,'Status Thresholds'!$E:$AU,42,FALSE)),"-")</f>
        <v>-</v>
      </c>
      <c r="N399" s="36" t="str">
        <f>IFERROR(IF(AND($Q$1=FALSE,$S$3=FALSE),"-",VLOOKUP($E399,'Status Thresholds'!$E:$AU,43,FALSE)),"-")</f>
        <v>-</v>
      </c>
    </row>
    <row r="400" spans="1:14" s="36" customFormat="1" x14ac:dyDescent="0.25">
      <c r="A400" s="46"/>
      <c r="B400" s="64" t="str">
        <f>VLOOKUP(C400,'Status Thresholds'!B:C,2,FALSE)</f>
        <v>Deviant</v>
      </c>
      <c r="C400" s="46" t="str">
        <f>IF(ISBLANK('KO Calc'!C396)=TRUE,"",'KO Calc'!C396)</f>
        <v>Grimclaw Tigrex</v>
      </c>
      <c r="D400" s="67" t="s">
        <v>14</v>
      </c>
      <c r="E400" s="62" t="str">
        <f t="shared" si="11"/>
        <v>Grimclaw TigrexKO</v>
      </c>
      <c r="F400" s="36" t="s">
        <v>21</v>
      </c>
      <c r="G400" s="36" t="str">
        <f t="shared" si="12"/>
        <v>Grimclaw TigrexTriblast</v>
      </c>
      <c r="H400" s="36" t="str">
        <f>IF(AND($Q$1=FALSE,$S$3=FALSE),"-",IF(AND($Q$1=TRUE,$S$3=TRUE),"-",IF(AND($Q$1=FALSE,$S$3=FALSE),"-",IF(AND($Q$1=TRUE,$S$1=TRUE,$S$4=FALSE)=TRUE,IF(OR($Q$4=TRUE,$Q$5=TRUE,$S$2=TRUE),VLOOKUP($G400,'KO Calc'!$H:$AW,12,FALSE),VLOOKUP($G400,'KO Calc'!$H406:$AW406,12,FALSE)),IF(AND($Q$1=TRUE,$S$4=FALSE),IF(OR($Q$4=TRUE,$Q$5=TRUE,$S$2=TRUE),VLOOKUP($G400,'KO Calc'!$H:$AW,2,FALSE),VLOOKUP($G400,'KO Calc'!$H406:$AW406,2,FALSE)),
IF(AND($Q$1=TRUE,$S$1=TRUE,$S$4=TRUE)=TRUE,IF(OR($Q$4=TRUE,$Q$5=TRUE,$S$2=TRUE),VLOOKUP($G400,'KO Calc'!$H:$AW,17,FALSE),VLOOKUP($G400,'KO Calc'!$H406:$AW406,17,FALSE)),IF(AND($Q$1=TRUE,$S$4=TRUE),IF(OR($Q$4=TRUE,$Q$5=TRUE,$S$2=TRUE),VLOOKUP($G400,'KO Calc'!$H:$AW,7,FALSE),VLOOKUP($G400,'KO Calc'!$H406:$AW406,7,FALSE)),
IF(AND($S$3=TRUE,$S$1=TRUE,$S$4=FALSE)=TRUE,IF(OR($Q$4=TRUE,$Q$5=TRUE,$S$2=TRUE),VLOOKUP($G400,'KO Calc'!$H:$AW,32,FALSE),VLOOKUP($G400,'KO Calc'!$H406:$AW406,32,FALSE)),IF(AND($S$3=TRUE,$S$4=FALSE),IF(OR($Q$4=TRUE,$Q$5=TRUE,$S$2=TRUE),VLOOKUP($G400,'KO Calc'!$H:$AW,22,FALSE),VLOOKUP($G400,'KO Calc'!$H406:$AW406,22,FALSE)),
IF(AND($S$3=TRUE,$S$1=TRUE,$S$4=TRUE)=TRUE,IF(OR($Q$4=TRUE,$Q$5=TRUE,$S$2=TRUE),VLOOKUP($G400,'KO Calc'!$H:$AW,37,FALSE),VLOOKUP($G400,'KO Calc'!$H406:$AW406,37,FALSE)),IF(AND($S$3=TRUE,$S$4=TRUE),IF(OR($Q$4=TRUE,$Q$5=TRUE,$S$2=TRUE),VLOOKUP($G400,'KO Calc'!$H:$AW,27,FALSE),VLOOKUP($G400,'KO Calc'!$H406:$AW406,27,FALSE)))))))))))))</f>
        <v>-</v>
      </c>
      <c r="I400" s="36" t="str">
        <f>IF(AND($Q$1=FALSE,$S$3=FALSE),"-",IF(AND($Q$1=TRUE,$S$3=TRUE),"-",IF(AND($Q$1=FALSE,$S$3=FALSE),"-",IF(AND($Q$1=TRUE,$S$1=TRUE,$S$4=FALSE)=TRUE,IF(OR($Q$4=TRUE,$Q$5=TRUE,$S$2=TRUE),VLOOKUP($G400,'KO Calc'!$H:$AW,13,FALSE),VLOOKUP($G400,'KO Calc'!$H406:$AW406,13,FALSE)),IF(AND($Q$1=TRUE,$S$4=FALSE),IF(OR($Q$4=TRUE,$Q$5=TRUE,$S$2=TRUE),VLOOKUP($G400,'KO Calc'!$H:$AW,3,FALSE),VLOOKUP($G400,'KO Calc'!$H406:$AW406,3,FALSE)),
IF(AND($Q$1=TRUE,$S$1=TRUE,$S$4=TRUE)=TRUE,IF(OR($Q$4=TRUE,$Q$5=TRUE,$S$2=TRUE),VLOOKUP($G400,'KO Calc'!$H:$AW,18,FALSE),VLOOKUP($G400,'KO Calc'!$H406:$AW406,18,FALSE)),IF(AND($Q$1=TRUE,$S$4=TRUE),IF(OR($Q$4=TRUE,$Q$5=TRUE,$S$2=TRUE),VLOOKUP($G400,'KO Calc'!$H:$AW,8,FALSE),VLOOKUP($G400,'KO Calc'!$H406:$AW406,8,FALSE)),
IF(AND($S$3=TRUE,$S$1=TRUE,$S$4=FALSE)=TRUE,IF(OR($Q$4=TRUE,$Q$5=TRUE,$S$2=TRUE),VLOOKUP($G400,'KO Calc'!$H:$AW,33,FALSE),VLOOKUP($G400,'KO Calc'!$H406:$AW406,33,FALSE)),IF(AND($S$3=TRUE,$S$4=FALSE),IF(OR($Q$4=TRUE,$Q$5=TRUE,$S$2=TRUE),VLOOKUP($G400,'KO Calc'!$H:$AW,23,FALSE),VLOOKUP($G400,'KO Calc'!$H406:$AW406,23,FALSE)),
IF(AND($S$3=TRUE,$S$1=TRUE,$S$4=TRUE)=TRUE,IF(OR($Q$4=TRUE,$Q$5=TRUE,$S$2=TRUE),VLOOKUP($G400,'KO Calc'!$H:$AW,38,FALSE),VLOOKUP($G400,'KO Calc'!$H406:$AW406,38,FALSE)),IF(AND($S$3=TRUE,$S$4=TRUE),IF(OR($Q$4=TRUE,$Q$5=TRUE,$S$2=TRUE),VLOOKUP($G400,'KO Calc'!$H:$AW,28,FALSE),VLOOKUP($G400,'KO Calc'!$H406:$AW406,28,FALSE)))))))))))))</f>
        <v>-</v>
      </c>
      <c r="J400" s="36" t="str">
        <f>IF(AND($Q$1=FALSE,$S$3=FALSE),"-",IF(AND($Q$1=TRUE,$S$3=TRUE),"-",IF(AND($Q$1=FALSE,$S$3=FALSE),"-",IF(AND($Q$1=TRUE,$S$1=TRUE,$S$4=FALSE)=TRUE,IF(OR($Q$4=TRUE,$Q$5=TRUE,$S$2=TRUE),VLOOKUP($G400,'KO Calc'!$H:$AW,FALSE),VLOOKUP($G400,'KO Calc'!$H406:$AW406,14,FALSE)),IF(AND($Q$1=TRUE,$S$4=FALSE),IF(OR($Q$4=TRUE,$Q$5=TRUE,$S$2=TRUE),VLOOKUP($G400,'KO Calc'!$H:$AW,4,FALSE),VLOOKUP($G400,'KO Calc'!$H406:$AW406,4,FALSE)),
IF(AND($Q$1=TRUE,$S$1=TRUE,$S$4=TRUE)=TRUE,IF(OR($Q$4=TRUE,$Q$5=TRUE,$S$2=TRUE),VLOOKUP($G400,'KO Calc'!$H:$AW,19,FALSE),VLOOKUP($G400,'KO Calc'!$H406:$AW406,19,FALSE)),IF(AND($Q$1=TRUE,$S$4=TRUE),IF(OR($Q$4=TRUE,$Q$5=TRUE,$S$2=TRUE),VLOOKUP($G400,'KO Calc'!$H:$AW,9,FALSE),VLOOKUP($G400,'KO Calc'!$H406:$AW406,9,FALSE)),
IF(AND($S$3=TRUE,$S$1=TRUE,$S$4=FALSE)=TRUE,IF(OR($Q$4=TRUE,$Q$5=TRUE,$S$2=TRUE),VLOOKUP($G400,'KO Calc'!$H:$AW,34,FALSE),VLOOKUP($G400,'KO Calc'!$H406:$AW406,34,FALSE)),IF(AND($S$3=TRUE,$S$4=FALSE),IF(OR($Q$4=TRUE,$Q$5=TRUE,$S$2=TRUE),VLOOKUP($G400,'KO Calc'!$H:$AW,24,FALSE),VLOOKUP($G400,'KO Calc'!$H406:$AW406,24,FALSE)),
IF(AND($S$3=TRUE,$S$1=TRUE,$S$4=TRUE)=TRUE,IF(OR($Q$4=TRUE,$Q$5=TRUE,$S$2=TRUE),VLOOKUP($G400,'KO Calc'!$H:$AW,39,FALSE),VLOOKUP($G400,'KO Calc'!$H406:$AW406,39,FALSE)),IF(AND($S$3=TRUE,$S$4=TRUE),IF(OR($Q$4=TRUE,$Q$5=TRUE,$S$2=TRUE),VLOOKUP($G400,'KO Calc'!$H:$AW,29,FALSE),VLOOKUP($G400,'KO Calc'!$H406:$AW406,29,FALSE)))))))))))))</f>
        <v>-</v>
      </c>
      <c r="K400" s="36" t="str">
        <f>IF(AND($Q$1=FALSE,$S$3=FALSE),"-",IF(AND($Q$1=TRUE,$S$3=TRUE),"-",IF(AND($Q$1=FALSE,$S$3=FALSE),"-",IF(AND($Q$1=TRUE,$S$1=TRUE,$S$4=FALSE)=TRUE,IF(OR($Q$4=TRUE,$Q$5=TRUE,$S$2=TRUE),VLOOKUP($G400,'KO Calc'!$H:$AW,15,FALSE),VLOOKUP($G400,'KO Calc'!$H406:$AW406,15,FALSE)),IF(AND($Q$1=TRUE,$S$4=FALSE),IF(OR($Q$4=TRUE,$Q$5=TRUE,$S$2=TRUE),VLOOKUP($G400,'KO Calc'!$H:$AW,5,FALSE),VLOOKUP($G400,'KO Calc'!$H406:$AW406,5,FALSE)),
IF(AND($Q$1=TRUE,$S$1=TRUE,$S$4=TRUE)=TRUE,IF(OR($Q$4=TRUE,$Q$5=TRUE,$S$2=TRUE),VLOOKUP($G400,'KO Calc'!$H:$AW,20,FALSE),VLOOKUP($G400,'KO Calc'!$H406:$AW406,20,FALSE)),IF(AND($Q$1=TRUE,$S$4=TRUE),IF(OR($Q$4=TRUE,$Q$5=TRUE,$S$2=TRUE),VLOOKUP($G400,'KO Calc'!$H:$AW,10,FALSE),VLOOKUP($G400,'KO Calc'!$H406:$AW406,10,FALSE)),
IF(AND($S$3=TRUE,$S$1=TRUE,$S$4=FALSE)=TRUE,IF(OR($Q$4=TRUE,$Q$5=TRUE,$S$2=TRUE),VLOOKUP($G400,'KO Calc'!$H:$AW,35,FALSE),VLOOKUP($G400,'KO Calc'!$H406:$AW406,35,FALSE)),IF(AND($S$3=TRUE,$S$4=FALSE),IF(OR($Q$4=TRUE,$Q$5=TRUE,$S$2=TRUE),VLOOKUP($G400,'KO Calc'!$H:$AW,25,FALSE),VLOOKUP($G400,'KO Calc'!$H406:$AW406,25,FALSE)),
IF(AND($S$3=TRUE,$S$1=TRUE,$S$4=TRUE)=TRUE,IF(OR($Q$4=TRUE,$Q$5=TRUE,$S$2=TRUE),VLOOKUP($G400,'KO Calc'!$H:$AW,40,FALSE),VLOOKUP($G400,'KO Calc'!$H406:$AW406,40,FALSE)),IF(AND($S$3=TRUE,$S$4=TRUE),IF(OR($Q$4=TRUE,$Q$5=TRUE,$S$2=TRUE),VLOOKUP($G400,'KO Calc'!$H:$AW,30,FALSE),VLOOKUP($G400,'KO Calc'!$H406:$AW406,30,FALSE)))))))))))))</f>
        <v>-</v>
      </c>
      <c r="L400" s="36" t="str">
        <f>IFERROR(IF(AND($Q$1=FALSE,$S$3=FALSE),"-",VLOOKUP($E400,'Status Thresholds'!$E:$AU,41,FALSE)),"-")</f>
        <v>-</v>
      </c>
      <c r="M400" s="36" t="str">
        <f>IFERROR(IF(AND($Q$1=FALSE,$S$3=FALSE),"-",VLOOKUP($E400,'Status Thresholds'!$E:$AU,42,FALSE)),"-")</f>
        <v>-</v>
      </c>
      <c r="N400" s="36" t="str">
        <f>IFERROR(IF(AND($Q$1=FALSE,$S$3=FALSE),"-",VLOOKUP($E400,'Status Thresholds'!$E:$AU,43,FALSE)),"-")</f>
        <v>-</v>
      </c>
    </row>
    <row r="401" spans="1:14" x14ac:dyDescent="0.25">
      <c r="B401" s="64" t="str">
        <f>VLOOKUP(C401,'Status Thresholds'!B:C,2,FALSE)</f>
        <v>Deviant</v>
      </c>
      <c r="C401" s="46" t="str">
        <f>IF(ISBLANK('KO Calc'!C397)=TRUE,"",'KO Calc'!C397)</f>
        <v>Grimclaw Tigrex</v>
      </c>
      <c r="D401" s="78" t="s">
        <v>207</v>
      </c>
      <c r="E401" s="62" t="str">
        <f t="shared" si="11"/>
        <v>Grimclaw TigrexShock Trap</v>
      </c>
      <c r="F401" t="s">
        <v>13</v>
      </c>
      <c r="G401" s="36" t="str">
        <f t="shared" si="12"/>
        <v>Grimclaw TigrexCrag 3</v>
      </c>
      <c r="H401" s="36" t="str">
        <f>IF(AND($Q$1=FALSE,$S$3=FALSE),"-",IF(AND($Q$1=TRUE,$S$3=TRUE),"-",IF(AND($Q$1=FALSE,$S$3=FALSE),"-",IF(AND($Q$1=TRUE,$S$1=TRUE,$S$4=FALSE)=TRUE,IF(OR($Q$4=TRUE,$Q$5=TRUE,$S$2=TRUE),VLOOKUP($G401,'KO Calc'!$H:$AW,12,FALSE),VLOOKUP($G401,'KO Calc'!$H407:$AW407,12,FALSE)),IF(AND($Q$1=TRUE,$S$4=FALSE),IF(OR($Q$4=TRUE,$Q$5=TRUE,$S$2=TRUE),VLOOKUP($G401,'KO Calc'!$H:$AW,2,FALSE),VLOOKUP($G401,'KO Calc'!$H407:$AW407,2,FALSE)),
IF(AND($Q$1=TRUE,$S$1=TRUE,$S$4=TRUE)=TRUE,IF(OR($Q$4=TRUE,$Q$5=TRUE,$S$2=TRUE),VLOOKUP($G401,'KO Calc'!$H:$AW,17,FALSE),VLOOKUP($G401,'KO Calc'!$H407:$AW407,17,FALSE)),IF(AND($Q$1=TRUE,$S$4=TRUE),IF(OR($Q$4=TRUE,$Q$5=TRUE,$S$2=TRUE),VLOOKUP($G401,'KO Calc'!$H:$AW,7,FALSE),VLOOKUP($G401,'KO Calc'!$H407:$AW407,7,FALSE)),
IF(AND($S$3=TRUE,$S$1=TRUE,$S$4=FALSE)=TRUE,IF(OR($Q$4=TRUE,$Q$5=TRUE,$S$2=TRUE),VLOOKUP($G401,'KO Calc'!$H:$AW,32,FALSE),VLOOKUP($G401,'KO Calc'!$H407:$AW407,32,FALSE)),IF(AND($S$3=TRUE,$S$4=FALSE),IF(OR($Q$4=TRUE,$Q$5=TRUE,$S$2=TRUE),VLOOKUP($G401,'KO Calc'!$H:$AW,22,FALSE),VLOOKUP($G401,'KO Calc'!$H407:$AW407,22,FALSE)),
IF(AND($S$3=TRUE,$S$1=TRUE,$S$4=TRUE)=TRUE,IF(OR($Q$4=TRUE,$Q$5=TRUE,$S$2=TRUE),VLOOKUP($G401,'KO Calc'!$H:$AW,37,FALSE),VLOOKUP($G401,'KO Calc'!$H407:$AW407,37,FALSE)),IF(AND($S$3=TRUE,$S$4=TRUE),IF(OR($Q$4=TRUE,$Q$5=TRUE,$S$2=TRUE),VLOOKUP($G401,'KO Calc'!$H:$AW,27,FALSE),VLOOKUP($G401,'KO Calc'!$H407:$AW407,27,FALSE)))))))))))))</f>
        <v>-</v>
      </c>
      <c r="I401" s="36" t="str">
        <f>IF(AND($Q$1=FALSE,$S$3=FALSE),"-",IF(AND($Q$1=TRUE,$S$3=TRUE),"-",IF(AND($Q$1=FALSE,$S$3=FALSE),"-",IF(AND($Q$1=TRUE,$S$1=TRUE,$S$4=FALSE)=TRUE,IF(OR($Q$4=TRUE,$Q$5=TRUE,$S$2=TRUE),VLOOKUP($G401,'KO Calc'!$H:$AW,13,FALSE),VLOOKUP($G401,'KO Calc'!$H407:$AW407,13,FALSE)),IF(AND($Q$1=TRUE,$S$4=FALSE),IF(OR($Q$4=TRUE,$Q$5=TRUE,$S$2=TRUE),VLOOKUP($G401,'KO Calc'!$H:$AW,3,FALSE),VLOOKUP($G401,'KO Calc'!$H407:$AW407,3,FALSE)),
IF(AND($Q$1=TRUE,$S$1=TRUE,$S$4=TRUE)=TRUE,IF(OR($Q$4=TRUE,$Q$5=TRUE,$S$2=TRUE),VLOOKUP($G401,'KO Calc'!$H:$AW,18,FALSE),VLOOKUP($G401,'KO Calc'!$H407:$AW407,18,FALSE)),IF(AND($Q$1=TRUE,$S$4=TRUE),IF(OR($Q$4=TRUE,$Q$5=TRUE,$S$2=TRUE),VLOOKUP($G401,'KO Calc'!$H:$AW,8,FALSE),VLOOKUP($G401,'KO Calc'!$H407:$AW407,8,FALSE)),
IF(AND($S$3=TRUE,$S$1=TRUE,$S$4=FALSE)=TRUE,IF(OR($Q$4=TRUE,$Q$5=TRUE,$S$2=TRUE),VLOOKUP($G401,'KO Calc'!$H:$AW,33,FALSE),VLOOKUP($G401,'KO Calc'!$H407:$AW407,33,FALSE)),IF(AND($S$3=TRUE,$S$4=FALSE),IF(OR($Q$4=TRUE,$Q$5=TRUE,$S$2=TRUE),VLOOKUP($G401,'KO Calc'!$H:$AW,23,FALSE),VLOOKUP($G401,'KO Calc'!$H407:$AW407,23,FALSE)),
IF(AND($S$3=TRUE,$S$1=TRUE,$S$4=TRUE)=TRUE,IF(OR($Q$4=TRUE,$Q$5=TRUE,$S$2=TRUE),VLOOKUP($G401,'KO Calc'!$H:$AW,38,FALSE),VLOOKUP($G401,'KO Calc'!$H407:$AW407,38,FALSE)),IF(AND($S$3=TRUE,$S$4=TRUE),IF(OR($Q$4=TRUE,$Q$5=TRUE,$S$2=TRUE),VLOOKUP($G401,'KO Calc'!$H:$AW,28,FALSE),VLOOKUP($G401,'KO Calc'!$H407:$AW407,28,FALSE)))))))))))))</f>
        <v>-</v>
      </c>
      <c r="J401" s="36" t="str">
        <f>IF(AND($Q$1=FALSE,$S$3=FALSE),"-",IF(AND($Q$1=TRUE,$S$3=TRUE),"-",IF(AND($Q$1=FALSE,$S$3=FALSE),"-",IF(AND($Q$1=TRUE,$S$1=TRUE,$S$4=FALSE)=TRUE,IF(OR($Q$4=TRUE,$Q$5=TRUE,$S$2=TRUE),VLOOKUP($G401,'KO Calc'!$H:$AW,FALSE),VLOOKUP($G401,'KO Calc'!$H407:$AW407,14,FALSE)),IF(AND($Q$1=TRUE,$S$4=FALSE),IF(OR($Q$4=TRUE,$Q$5=TRUE,$S$2=TRUE),VLOOKUP($G401,'KO Calc'!$H:$AW,4,FALSE),VLOOKUP($G401,'KO Calc'!$H407:$AW407,4,FALSE)),
IF(AND($Q$1=TRUE,$S$1=TRUE,$S$4=TRUE)=TRUE,IF(OR($Q$4=TRUE,$Q$5=TRUE,$S$2=TRUE),VLOOKUP($G401,'KO Calc'!$H:$AW,19,FALSE),VLOOKUP($G401,'KO Calc'!$H407:$AW407,19,FALSE)),IF(AND($Q$1=TRUE,$S$4=TRUE),IF(OR($Q$4=TRUE,$Q$5=TRUE,$S$2=TRUE),VLOOKUP($G401,'KO Calc'!$H:$AW,9,FALSE),VLOOKUP($G401,'KO Calc'!$H407:$AW407,9,FALSE)),
IF(AND($S$3=TRUE,$S$1=TRUE,$S$4=FALSE)=TRUE,IF(OR($Q$4=TRUE,$Q$5=TRUE,$S$2=TRUE),VLOOKUP($G401,'KO Calc'!$H:$AW,34,FALSE),VLOOKUP($G401,'KO Calc'!$H407:$AW407,34,FALSE)),IF(AND($S$3=TRUE,$S$4=FALSE),IF(OR($Q$4=TRUE,$Q$5=TRUE,$S$2=TRUE),VLOOKUP($G401,'KO Calc'!$H:$AW,24,FALSE),VLOOKUP($G401,'KO Calc'!$H407:$AW407,24,FALSE)),
IF(AND($S$3=TRUE,$S$1=TRUE,$S$4=TRUE)=TRUE,IF(OR($Q$4=TRUE,$Q$5=TRUE,$S$2=TRUE),VLOOKUP($G401,'KO Calc'!$H:$AW,39,FALSE),VLOOKUP($G401,'KO Calc'!$H407:$AW407,39,FALSE)),IF(AND($S$3=TRUE,$S$4=TRUE),IF(OR($Q$4=TRUE,$Q$5=TRUE,$S$2=TRUE),VLOOKUP($G401,'KO Calc'!$H:$AW,29,FALSE),VLOOKUP($G401,'KO Calc'!$H407:$AW407,29,FALSE)))))))))))))</f>
        <v>-</v>
      </c>
      <c r="K401" s="36" t="str">
        <f>IF(AND($Q$1=FALSE,$S$3=FALSE),"-",IF(AND($Q$1=TRUE,$S$3=TRUE),"-",IF(AND($Q$1=FALSE,$S$3=FALSE),"-",IF(AND($Q$1=TRUE,$S$1=TRUE,$S$4=FALSE)=TRUE,IF(OR($Q$4=TRUE,$Q$5=TRUE,$S$2=TRUE),VLOOKUP($G401,'KO Calc'!$H:$AW,15,FALSE),VLOOKUP($G401,'KO Calc'!$H407:$AW407,15,FALSE)),IF(AND($Q$1=TRUE,$S$4=FALSE),IF(OR($Q$4=TRUE,$Q$5=TRUE,$S$2=TRUE),VLOOKUP($G401,'KO Calc'!$H:$AW,5,FALSE),VLOOKUP($G401,'KO Calc'!$H407:$AW407,5,FALSE)),
IF(AND($Q$1=TRUE,$S$1=TRUE,$S$4=TRUE)=TRUE,IF(OR($Q$4=TRUE,$Q$5=TRUE,$S$2=TRUE),VLOOKUP($G401,'KO Calc'!$H:$AW,20,FALSE),VLOOKUP($G401,'KO Calc'!$H407:$AW407,20,FALSE)),IF(AND($Q$1=TRUE,$S$4=TRUE),IF(OR($Q$4=TRUE,$Q$5=TRUE,$S$2=TRUE),VLOOKUP($G401,'KO Calc'!$H:$AW,10,FALSE),VLOOKUP($G401,'KO Calc'!$H407:$AW407,10,FALSE)),
IF(AND($S$3=TRUE,$S$1=TRUE,$S$4=FALSE)=TRUE,IF(OR($Q$4=TRUE,$Q$5=TRUE,$S$2=TRUE),VLOOKUP($G401,'KO Calc'!$H:$AW,35,FALSE),VLOOKUP($G401,'KO Calc'!$H407:$AW407,35,FALSE)),IF(AND($S$3=TRUE,$S$4=FALSE),IF(OR($Q$4=TRUE,$Q$5=TRUE,$S$2=TRUE),VLOOKUP($G401,'KO Calc'!$H:$AW,25,FALSE),VLOOKUP($G401,'KO Calc'!$H407:$AW407,25,FALSE)),
IF(AND($S$3=TRUE,$S$1=TRUE,$S$4=TRUE)=TRUE,IF(OR($Q$4=TRUE,$Q$5=TRUE,$S$2=TRUE),VLOOKUP($G401,'KO Calc'!$H:$AW,40,FALSE),VLOOKUP($G401,'KO Calc'!$H407:$AW407,40,FALSE)),IF(AND($S$3=TRUE,$S$4=TRUE),IF(OR($Q$4=TRUE,$Q$5=TRUE,$S$2=TRUE),VLOOKUP($G401,'KO Calc'!$H:$AW,30,FALSE),VLOOKUP($G401,'KO Calc'!$H407:$AW407,30,FALSE)))))))))))))</f>
        <v>-</v>
      </c>
      <c r="L401" s="36" t="str">
        <f>IFERROR(IF(AND($Q$1=FALSE,$S$3=FALSE),"-",VLOOKUP($E401,'Status Thresholds'!$E:$AU,43,FALSE)),"-")</f>
        <v>-</v>
      </c>
      <c r="M401" s="36" t="str">
        <f>IFERROR(IF(AND($Q$1=FALSE,$S$3=FALSE),"-",VLOOKUP($E401,'Status Thresholds'!$E:$AU,41,FALSE)),"-")</f>
        <v>-</v>
      </c>
      <c r="N401" s="36" t="str">
        <f>IFERROR(IF(AND($Q$1=FALSE,$S$3=FALSE),"-",VLOOKUP($E401,'Status Thresholds'!$E:$AU,42,FALSE)),"-")</f>
        <v>-</v>
      </c>
    </row>
    <row r="402" spans="1:14" x14ac:dyDescent="0.25">
      <c r="B402" s="64" t="str">
        <f>VLOOKUP(C402,'Status Thresholds'!B:C,2,FALSE)</f>
        <v>Deviant</v>
      </c>
      <c r="C402" s="46" t="str">
        <f>IF(ISBLANK('KO Calc'!C398)=TRUE,"",'KO Calc'!C398)</f>
        <v>Grimclaw Tigrex</v>
      </c>
      <c r="D402" s="78" t="s">
        <v>213</v>
      </c>
      <c r="E402" s="62" t="str">
        <f t="shared" si="11"/>
        <v>Grimclaw TigrexPitfall Trap</v>
      </c>
      <c r="F402" t="s">
        <v>12</v>
      </c>
      <c r="G402" s="36" t="str">
        <f t="shared" si="12"/>
        <v>Grimclaw TigrexCrag 2</v>
      </c>
      <c r="H402" s="36" t="str">
        <f>IF(AND($Q$1=FALSE,$S$3=FALSE),"-",IF(AND($Q$1=TRUE,$S$3=TRUE),"-",IF(AND($Q$1=FALSE,$S$3=FALSE),"-",IF(AND($Q$1=TRUE,$S$1=TRUE,$S$4=FALSE)=TRUE,IF(OR($Q$4=TRUE,$Q$5=TRUE,$S$2=TRUE),VLOOKUP($G402,'KO Calc'!$H:$AW,12,FALSE),VLOOKUP($G402,'KO Calc'!$H408:$AW408,12,FALSE)),IF(AND($Q$1=TRUE,$S$4=FALSE),IF(OR($Q$4=TRUE,$Q$5=TRUE,$S$2=TRUE),VLOOKUP($G402,'KO Calc'!$H:$AW,2,FALSE),VLOOKUP($G402,'KO Calc'!$H408:$AW408,2,FALSE)),
IF(AND($Q$1=TRUE,$S$1=TRUE,$S$4=TRUE)=TRUE,IF(OR($Q$4=TRUE,$Q$5=TRUE,$S$2=TRUE),VLOOKUP($G402,'KO Calc'!$H:$AW,17,FALSE),VLOOKUP($G402,'KO Calc'!$H408:$AW408,17,FALSE)),IF(AND($Q$1=TRUE,$S$4=TRUE),IF(OR($Q$4=TRUE,$Q$5=TRUE,$S$2=TRUE),VLOOKUP($G402,'KO Calc'!$H:$AW,7,FALSE),VLOOKUP($G402,'KO Calc'!$H408:$AW408,7,FALSE)),
IF(AND($S$3=TRUE,$S$1=TRUE,$S$4=FALSE)=TRUE,IF(OR($Q$4=TRUE,$Q$5=TRUE,$S$2=TRUE),VLOOKUP($G402,'KO Calc'!$H:$AW,32,FALSE),VLOOKUP($G402,'KO Calc'!$H408:$AW408,32,FALSE)),IF(AND($S$3=TRUE,$S$4=FALSE),IF(OR($Q$4=TRUE,$Q$5=TRUE,$S$2=TRUE),VLOOKUP($G402,'KO Calc'!$H:$AW,22,FALSE),VLOOKUP($G402,'KO Calc'!$H408:$AW408,22,FALSE)),
IF(AND($S$3=TRUE,$S$1=TRUE,$S$4=TRUE)=TRUE,IF(OR($Q$4=TRUE,$Q$5=TRUE,$S$2=TRUE),VLOOKUP($G402,'KO Calc'!$H:$AW,37,FALSE),VLOOKUP($G402,'KO Calc'!$H408:$AW408,37,FALSE)),IF(AND($S$3=TRUE,$S$4=TRUE),IF(OR($Q$4=TRUE,$Q$5=TRUE,$S$2=TRUE),VLOOKUP($G402,'KO Calc'!$H:$AW,27,FALSE),VLOOKUP($G402,'KO Calc'!$H408:$AW408,27,FALSE)))))))))))))</f>
        <v>-</v>
      </c>
      <c r="I402" s="36" t="str">
        <f>IF(AND($Q$1=FALSE,$S$3=FALSE),"-",IF(AND($Q$1=TRUE,$S$3=TRUE),"-",IF(AND($Q$1=FALSE,$S$3=FALSE),"-",IF(AND($Q$1=TRUE,$S$1=TRUE,$S$4=FALSE)=TRUE,IF(OR($Q$4=TRUE,$Q$5=TRUE,$S$2=TRUE),VLOOKUP($G402,'KO Calc'!$H:$AW,13,FALSE),VLOOKUP($G402,'KO Calc'!$H408:$AW408,13,FALSE)),IF(AND($Q$1=TRUE,$S$4=FALSE),IF(OR($Q$4=TRUE,$Q$5=TRUE,$S$2=TRUE),VLOOKUP($G402,'KO Calc'!$H:$AW,3,FALSE),VLOOKUP($G402,'KO Calc'!$H408:$AW408,3,FALSE)),
IF(AND($Q$1=TRUE,$S$1=TRUE,$S$4=TRUE)=TRUE,IF(OR($Q$4=TRUE,$Q$5=TRUE,$S$2=TRUE),VLOOKUP($G402,'KO Calc'!$H:$AW,18,FALSE),VLOOKUP($G402,'KO Calc'!$H408:$AW408,18,FALSE)),IF(AND($Q$1=TRUE,$S$4=TRUE),IF(OR($Q$4=TRUE,$Q$5=TRUE,$S$2=TRUE),VLOOKUP($G402,'KO Calc'!$H:$AW,8,FALSE),VLOOKUP($G402,'KO Calc'!$H408:$AW408,8,FALSE)),
IF(AND($S$3=TRUE,$S$1=TRUE,$S$4=FALSE)=TRUE,IF(OR($Q$4=TRUE,$Q$5=TRUE,$S$2=TRUE),VLOOKUP($G402,'KO Calc'!$H:$AW,33,FALSE),VLOOKUP($G402,'KO Calc'!$H408:$AW408,33,FALSE)),IF(AND($S$3=TRUE,$S$4=FALSE),IF(OR($Q$4=TRUE,$Q$5=TRUE,$S$2=TRUE),VLOOKUP($G402,'KO Calc'!$H:$AW,23,FALSE),VLOOKUP($G402,'KO Calc'!$H408:$AW408,23,FALSE)),
IF(AND($S$3=TRUE,$S$1=TRUE,$S$4=TRUE)=TRUE,IF(OR($Q$4=TRUE,$Q$5=TRUE,$S$2=TRUE),VLOOKUP($G402,'KO Calc'!$H:$AW,38,FALSE),VLOOKUP($G402,'KO Calc'!$H408:$AW408,38,FALSE)),IF(AND($S$3=TRUE,$S$4=TRUE),IF(OR($Q$4=TRUE,$Q$5=TRUE,$S$2=TRUE),VLOOKUP($G402,'KO Calc'!$H:$AW,28,FALSE),VLOOKUP($G402,'KO Calc'!$H408:$AW408,28,FALSE)))))))))))))</f>
        <v>-</v>
      </c>
      <c r="J402" s="36" t="str">
        <f>IF(AND($Q$1=FALSE,$S$3=FALSE),"-",IF(AND($Q$1=TRUE,$S$3=TRUE),"-",IF(AND($Q$1=FALSE,$S$3=FALSE),"-",IF(AND($Q$1=TRUE,$S$1=TRUE,$S$4=FALSE)=TRUE,IF(OR($Q$4=TRUE,$Q$5=TRUE,$S$2=TRUE),VLOOKUP($G402,'KO Calc'!$H:$AW,FALSE),VLOOKUP($G402,'KO Calc'!$H408:$AW408,14,FALSE)),IF(AND($Q$1=TRUE,$S$4=FALSE),IF(OR($Q$4=TRUE,$Q$5=TRUE,$S$2=TRUE),VLOOKUP($G402,'KO Calc'!$H:$AW,4,FALSE),VLOOKUP($G402,'KO Calc'!$H408:$AW408,4,FALSE)),
IF(AND($Q$1=TRUE,$S$1=TRUE,$S$4=TRUE)=TRUE,IF(OR($Q$4=TRUE,$Q$5=TRUE,$S$2=TRUE),VLOOKUP($G402,'KO Calc'!$H:$AW,19,FALSE),VLOOKUP($G402,'KO Calc'!$H408:$AW408,19,FALSE)),IF(AND($Q$1=TRUE,$S$4=TRUE),IF(OR($Q$4=TRUE,$Q$5=TRUE,$S$2=TRUE),VLOOKUP($G402,'KO Calc'!$H:$AW,9,FALSE),VLOOKUP($G402,'KO Calc'!$H408:$AW408,9,FALSE)),
IF(AND($S$3=TRUE,$S$1=TRUE,$S$4=FALSE)=TRUE,IF(OR($Q$4=TRUE,$Q$5=TRUE,$S$2=TRUE),VLOOKUP($G402,'KO Calc'!$H:$AW,34,FALSE),VLOOKUP($G402,'KO Calc'!$H408:$AW408,34,FALSE)),IF(AND($S$3=TRUE,$S$4=FALSE),IF(OR($Q$4=TRUE,$Q$5=TRUE,$S$2=TRUE),VLOOKUP($G402,'KO Calc'!$H:$AW,24,FALSE),VLOOKUP($G402,'KO Calc'!$H408:$AW408,24,FALSE)),
IF(AND($S$3=TRUE,$S$1=TRUE,$S$4=TRUE)=TRUE,IF(OR($Q$4=TRUE,$Q$5=TRUE,$S$2=TRUE),VLOOKUP($G402,'KO Calc'!$H:$AW,39,FALSE),VLOOKUP($G402,'KO Calc'!$H408:$AW408,39,FALSE)),IF(AND($S$3=TRUE,$S$4=TRUE),IF(OR($Q$4=TRUE,$Q$5=TRUE,$S$2=TRUE),VLOOKUP($G402,'KO Calc'!$H:$AW,29,FALSE),VLOOKUP($G402,'KO Calc'!$H408:$AW408,29,FALSE)))))))))))))</f>
        <v>-</v>
      </c>
      <c r="K402" s="36" t="str">
        <f>IF(AND($Q$1=FALSE,$S$3=FALSE),"-",IF(AND($Q$1=TRUE,$S$3=TRUE),"-",IF(AND($Q$1=FALSE,$S$3=FALSE),"-",IF(AND($Q$1=TRUE,$S$1=TRUE,$S$4=FALSE)=TRUE,IF(OR($Q$4=TRUE,$Q$5=TRUE,$S$2=TRUE),VLOOKUP($G402,'KO Calc'!$H:$AW,15,FALSE),VLOOKUP($G402,'KO Calc'!$H408:$AW408,15,FALSE)),IF(AND($Q$1=TRUE,$S$4=FALSE),IF(OR($Q$4=TRUE,$Q$5=TRUE,$S$2=TRUE),VLOOKUP($G402,'KO Calc'!$H:$AW,5,FALSE),VLOOKUP($G402,'KO Calc'!$H408:$AW408,5,FALSE)),
IF(AND($Q$1=TRUE,$S$1=TRUE,$S$4=TRUE)=TRUE,IF(OR($Q$4=TRUE,$Q$5=TRUE,$S$2=TRUE),VLOOKUP($G402,'KO Calc'!$H:$AW,20,FALSE),VLOOKUP($G402,'KO Calc'!$H408:$AW408,20,FALSE)),IF(AND($Q$1=TRUE,$S$4=TRUE),IF(OR($Q$4=TRUE,$Q$5=TRUE,$S$2=TRUE),VLOOKUP($G402,'KO Calc'!$H:$AW,10,FALSE),VLOOKUP($G402,'KO Calc'!$H408:$AW408,10,FALSE)),
IF(AND($S$3=TRUE,$S$1=TRUE,$S$4=FALSE)=TRUE,IF(OR($Q$4=TRUE,$Q$5=TRUE,$S$2=TRUE),VLOOKUP($G402,'KO Calc'!$H:$AW,35,FALSE),VLOOKUP($G402,'KO Calc'!$H408:$AW408,35,FALSE)),IF(AND($S$3=TRUE,$S$4=FALSE),IF(OR($Q$4=TRUE,$Q$5=TRUE,$S$2=TRUE),VLOOKUP($G402,'KO Calc'!$H:$AW,25,FALSE),VLOOKUP($G402,'KO Calc'!$H408:$AW408,25,FALSE)),
IF(AND($S$3=TRUE,$S$1=TRUE,$S$4=TRUE)=TRUE,IF(OR($Q$4=TRUE,$Q$5=TRUE,$S$2=TRUE),VLOOKUP($G402,'KO Calc'!$H:$AW,40,FALSE),VLOOKUP($G402,'KO Calc'!$H408:$AW408,40,FALSE)),IF(AND($S$3=TRUE,$S$4=TRUE),IF(OR($Q$4=TRUE,$Q$5=TRUE,$S$2=TRUE),VLOOKUP($G402,'KO Calc'!$H:$AW,30,FALSE),VLOOKUP($G402,'KO Calc'!$H408:$AW408,30,FALSE)))))))))))))</f>
        <v>-</v>
      </c>
      <c r="L402" s="36" t="str">
        <f>IFERROR(IF(AND($Q$1=FALSE,$S$3=FALSE),"-",VLOOKUP($E402,'Status Thresholds'!$E:$AU,43,FALSE)),"-")</f>
        <v>-</v>
      </c>
      <c r="M402" s="36" t="str">
        <f>IFERROR(IF(AND($Q$1=FALSE,$S$3=FALSE),"-",VLOOKUP($E402,'Status Thresholds'!$E:$AU,41,FALSE)),"-")</f>
        <v>-</v>
      </c>
      <c r="N402" s="36" t="str">
        <f>IFERROR(IF(AND($Q$1=FALSE,$S$3=FALSE),"-",VLOOKUP($E402,'Status Thresholds'!$E:$AU,42,FALSE)),"-")</f>
        <v>-</v>
      </c>
    </row>
    <row r="403" spans="1:14" x14ac:dyDescent="0.25">
      <c r="B403" s="64" t="str">
        <f>VLOOKUP(C403,'Status Thresholds'!B:C,2,FALSE)</f>
        <v>Deviant</v>
      </c>
      <c r="C403" s="46" t="str">
        <f>IF(ISBLANK('KO Calc'!C399)=TRUE,"",'KO Calc'!C399)</f>
        <v>Grimclaw Tigrex</v>
      </c>
      <c r="D403" s="78"/>
      <c r="E403" s="62" t="str">
        <f t="shared" si="11"/>
        <v>Grimclaw Tigrex</v>
      </c>
      <c r="F403" t="s">
        <v>11</v>
      </c>
      <c r="G403" s="36" t="str">
        <f t="shared" si="12"/>
        <v>Grimclaw TigrexCrag 1</v>
      </c>
      <c r="H403" s="36" t="str">
        <f>IF(AND($Q$1=FALSE,$S$3=FALSE),"-",IF(AND($Q$1=TRUE,$S$3=TRUE),"-",IF(AND($Q$1=FALSE,$S$3=FALSE),"-",IF(AND($Q$1=TRUE,$S$1=TRUE,$S$4=FALSE)=TRUE,IF(OR($Q$4=TRUE,$Q$5=TRUE,$S$2=TRUE),VLOOKUP($G403,'KO Calc'!$H:$AW,12,FALSE),VLOOKUP($G403,'KO Calc'!$H409:$AW409,12,FALSE)),IF(AND($Q$1=TRUE,$S$4=FALSE),IF(OR($Q$4=TRUE,$Q$5=TRUE,$S$2=TRUE),VLOOKUP($G403,'KO Calc'!$H:$AW,2,FALSE),VLOOKUP($G403,'KO Calc'!$H409:$AW409,2,FALSE)),
IF(AND($Q$1=TRUE,$S$1=TRUE,$S$4=TRUE)=TRUE,IF(OR($Q$4=TRUE,$Q$5=TRUE,$S$2=TRUE),VLOOKUP($G403,'KO Calc'!$H:$AW,17,FALSE),VLOOKUP($G403,'KO Calc'!$H409:$AW409,17,FALSE)),IF(AND($Q$1=TRUE,$S$4=TRUE),IF(OR($Q$4=TRUE,$Q$5=TRUE,$S$2=TRUE),VLOOKUP($G403,'KO Calc'!$H:$AW,7,FALSE),VLOOKUP($G403,'KO Calc'!$H409:$AW409,7,FALSE)),
IF(AND($S$3=TRUE,$S$1=TRUE,$S$4=FALSE)=TRUE,IF(OR($Q$4=TRUE,$Q$5=TRUE,$S$2=TRUE),VLOOKUP($G403,'KO Calc'!$H:$AW,32,FALSE),VLOOKUP($G403,'KO Calc'!$H409:$AW409,32,FALSE)),IF(AND($S$3=TRUE,$S$4=FALSE),IF(OR($Q$4=TRUE,$Q$5=TRUE,$S$2=TRUE),VLOOKUP($G403,'KO Calc'!$H:$AW,22,FALSE),VLOOKUP($G403,'KO Calc'!$H409:$AW409,22,FALSE)),
IF(AND($S$3=TRUE,$S$1=TRUE,$S$4=TRUE)=TRUE,IF(OR($Q$4=TRUE,$Q$5=TRUE,$S$2=TRUE),VLOOKUP($G403,'KO Calc'!$H:$AW,37,FALSE),VLOOKUP($G403,'KO Calc'!$H409:$AW409,37,FALSE)),IF(AND($S$3=TRUE,$S$4=TRUE),IF(OR($Q$4=TRUE,$Q$5=TRUE,$S$2=TRUE),VLOOKUP($G403,'KO Calc'!$H:$AW,27,FALSE),VLOOKUP($G403,'KO Calc'!$H409:$AW409,27,FALSE)))))))))))))</f>
        <v>-</v>
      </c>
      <c r="I403" s="36" t="str">
        <f>IF(AND($Q$1=FALSE,$S$3=FALSE),"-",IF(AND($Q$1=TRUE,$S$3=TRUE),"-",IF(AND($Q$1=FALSE,$S$3=FALSE),"-",IF(AND($Q$1=TRUE,$S$1=TRUE,$S$4=FALSE)=TRUE,IF(OR($Q$4=TRUE,$Q$5=TRUE,$S$2=TRUE),VLOOKUP($G403,'KO Calc'!$H:$AW,13,FALSE),VLOOKUP($G403,'KO Calc'!$H409:$AW409,13,FALSE)),IF(AND($Q$1=TRUE,$S$4=FALSE),IF(OR($Q$4=TRUE,$Q$5=TRUE,$S$2=TRUE),VLOOKUP($G403,'KO Calc'!$H:$AW,3,FALSE),VLOOKUP($G403,'KO Calc'!$H409:$AW409,3,FALSE)),
IF(AND($Q$1=TRUE,$S$1=TRUE,$S$4=TRUE)=TRUE,IF(OR($Q$4=TRUE,$Q$5=TRUE,$S$2=TRUE),VLOOKUP($G403,'KO Calc'!$H:$AW,18,FALSE),VLOOKUP($G403,'KO Calc'!$H409:$AW409,18,FALSE)),IF(AND($Q$1=TRUE,$S$4=TRUE),IF(OR($Q$4=TRUE,$Q$5=TRUE,$S$2=TRUE),VLOOKUP($G403,'KO Calc'!$H:$AW,8,FALSE),VLOOKUP($G403,'KO Calc'!$H409:$AW409,8,FALSE)),
IF(AND($S$3=TRUE,$S$1=TRUE,$S$4=FALSE)=TRUE,IF(OR($Q$4=TRUE,$Q$5=TRUE,$S$2=TRUE),VLOOKUP($G403,'KO Calc'!$H:$AW,33,FALSE),VLOOKUP($G403,'KO Calc'!$H409:$AW409,33,FALSE)),IF(AND($S$3=TRUE,$S$4=FALSE),IF(OR($Q$4=TRUE,$Q$5=TRUE,$S$2=TRUE),VLOOKUP($G403,'KO Calc'!$H:$AW,23,FALSE),VLOOKUP($G403,'KO Calc'!$H409:$AW409,23,FALSE)),
IF(AND($S$3=TRUE,$S$1=TRUE,$S$4=TRUE)=TRUE,IF(OR($Q$4=TRUE,$Q$5=TRUE,$S$2=TRUE),VLOOKUP($G403,'KO Calc'!$H:$AW,38,FALSE),VLOOKUP($G403,'KO Calc'!$H409:$AW409,38,FALSE)),IF(AND($S$3=TRUE,$S$4=TRUE),IF(OR($Q$4=TRUE,$Q$5=TRUE,$S$2=TRUE),VLOOKUP($G403,'KO Calc'!$H:$AW,28,FALSE),VLOOKUP($G403,'KO Calc'!$H409:$AW409,28,FALSE)))))))))))))</f>
        <v>-</v>
      </c>
      <c r="J403" s="36" t="str">
        <f>IF(AND($Q$1=FALSE,$S$3=FALSE),"-",IF(AND($Q$1=TRUE,$S$3=TRUE),"-",IF(AND($Q$1=FALSE,$S$3=FALSE),"-",IF(AND($Q$1=TRUE,$S$1=TRUE,$S$4=FALSE)=TRUE,IF(OR($Q$4=TRUE,$Q$5=TRUE,$S$2=TRUE),VLOOKUP($G403,'KO Calc'!$H:$AW,FALSE),VLOOKUP($G403,'KO Calc'!$H409:$AW409,14,FALSE)),IF(AND($Q$1=TRUE,$S$4=FALSE),IF(OR($Q$4=TRUE,$Q$5=TRUE,$S$2=TRUE),VLOOKUP($G403,'KO Calc'!$H:$AW,4,FALSE),VLOOKUP($G403,'KO Calc'!$H409:$AW409,4,FALSE)),
IF(AND($Q$1=TRUE,$S$1=TRUE,$S$4=TRUE)=TRUE,IF(OR($Q$4=TRUE,$Q$5=TRUE,$S$2=TRUE),VLOOKUP($G403,'KO Calc'!$H:$AW,19,FALSE),VLOOKUP($G403,'KO Calc'!$H409:$AW409,19,FALSE)),IF(AND($Q$1=TRUE,$S$4=TRUE),IF(OR($Q$4=TRUE,$Q$5=TRUE,$S$2=TRUE),VLOOKUP($G403,'KO Calc'!$H:$AW,9,FALSE),VLOOKUP($G403,'KO Calc'!$H409:$AW409,9,FALSE)),
IF(AND($S$3=TRUE,$S$1=TRUE,$S$4=FALSE)=TRUE,IF(OR($Q$4=TRUE,$Q$5=TRUE,$S$2=TRUE),VLOOKUP($G403,'KO Calc'!$H:$AW,34,FALSE),VLOOKUP($G403,'KO Calc'!$H409:$AW409,34,FALSE)),IF(AND($S$3=TRUE,$S$4=FALSE),IF(OR($Q$4=TRUE,$Q$5=TRUE,$S$2=TRUE),VLOOKUP($G403,'KO Calc'!$H:$AW,24,FALSE),VLOOKUP($G403,'KO Calc'!$H409:$AW409,24,FALSE)),
IF(AND($S$3=TRUE,$S$1=TRUE,$S$4=TRUE)=TRUE,IF(OR($Q$4=TRUE,$Q$5=TRUE,$S$2=TRUE),VLOOKUP($G403,'KO Calc'!$H:$AW,39,FALSE),VLOOKUP($G403,'KO Calc'!$H409:$AW409,39,FALSE)),IF(AND($S$3=TRUE,$S$4=TRUE),IF(OR($Q$4=TRUE,$Q$5=TRUE,$S$2=TRUE),VLOOKUP($G403,'KO Calc'!$H:$AW,29,FALSE),VLOOKUP($G403,'KO Calc'!$H409:$AW409,29,FALSE)))))))))))))</f>
        <v>-</v>
      </c>
      <c r="K403" s="36" t="str">
        <f>IF(AND($Q$1=FALSE,$S$3=FALSE),"-",IF(AND($Q$1=TRUE,$S$3=TRUE),"-",IF(AND($Q$1=FALSE,$S$3=FALSE),"-",IF(AND($Q$1=TRUE,$S$1=TRUE,$S$4=FALSE)=TRUE,IF(OR($Q$4=TRUE,$Q$5=TRUE,$S$2=TRUE),VLOOKUP($G403,'KO Calc'!$H:$AW,15,FALSE),VLOOKUP($G403,'KO Calc'!$H409:$AW409,15,FALSE)),IF(AND($Q$1=TRUE,$S$4=FALSE),IF(OR($Q$4=TRUE,$Q$5=TRUE,$S$2=TRUE),VLOOKUP($G403,'KO Calc'!$H:$AW,5,FALSE),VLOOKUP($G403,'KO Calc'!$H409:$AW409,5,FALSE)),
IF(AND($Q$1=TRUE,$S$1=TRUE,$S$4=TRUE)=TRUE,IF(OR($Q$4=TRUE,$Q$5=TRUE,$S$2=TRUE),VLOOKUP($G403,'KO Calc'!$H:$AW,20,FALSE),VLOOKUP($G403,'KO Calc'!$H409:$AW409,20,FALSE)),IF(AND($Q$1=TRUE,$S$4=TRUE),IF(OR($Q$4=TRUE,$Q$5=TRUE,$S$2=TRUE),VLOOKUP($G403,'KO Calc'!$H:$AW,10,FALSE),VLOOKUP($G403,'KO Calc'!$H409:$AW409,10,FALSE)),
IF(AND($S$3=TRUE,$S$1=TRUE,$S$4=FALSE)=TRUE,IF(OR($Q$4=TRUE,$Q$5=TRUE,$S$2=TRUE),VLOOKUP($G403,'KO Calc'!$H:$AW,35,FALSE),VLOOKUP($G403,'KO Calc'!$H409:$AW409,35,FALSE)),IF(AND($S$3=TRUE,$S$4=FALSE),IF(OR($Q$4=TRUE,$Q$5=TRUE,$S$2=TRUE),VLOOKUP($G403,'KO Calc'!$H:$AW,25,FALSE),VLOOKUP($G403,'KO Calc'!$H409:$AW409,25,FALSE)),
IF(AND($S$3=TRUE,$S$1=TRUE,$S$4=TRUE)=TRUE,IF(OR($Q$4=TRUE,$Q$5=TRUE,$S$2=TRUE),VLOOKUP($G403,'KO Calc'!$H:$AW,40,FALSE),VLOOKUP($G403,'KO Calc'!$H409:$AW409,40,FALSE)),IF(AND($S$3=TRUE,$S$4=TRUE),IF(OR($Q$4=TRUE,$Q$5=TRUE,$S$2=TRUE),VLOOKUP($G403,'KO Calc'!$H:$AW,30,FALSE),VLOOKUP($G403,'KO Calc'!$H409:$AW409,30,FALSE)))))))))))))</f>
        <v>-</v>
      </c>
      <c r="L403" s="36" t="str">
        <f>IFERROR(VLOOKUP($E403,'Status Thresholds'!$E:$AS,41,FALSE),"-")</f>
        <v>-</v>
      </c>
    </row>
    <row r="404" spans="1:14" x14ac:dyDescent="0.25">
      <c r="B404" s="64" t="str">
        <f>VLOOKUP(C404,'Status Thresholds'!B:C,2,FALSE)</f>
        <v>Deviant</v>
      </c>
      <c r="C404" s="46" t="str">
        <f>IF(ISBLANK('KO Calc'!C400)=TRUE,"",'KO Calc'!C400)</f>
        <v>Grimclaw Tigrex</v>
      </c>
      <c r="D404" s="78"/>
      <c r="E404" s="62"/>
      <c r="G404" s="36"/>
      <c r="L404" s="36" t="str">
        <f>IFERROR(VLOOKUP($E404,'Status Thresholds'!$E:$AS,41,FALSE),"-")</f>
        <v>-</v>
      </c>
    </row>
    <row r="405" spans="1:14" s="36" customFormat="1" x14ac:dyDescent="0.25">
      <c r="B405" s="64" t="str">
        <f>VLOOKUP(C405,'Status Thresholds'!B:C,2,FALSE)</f>
        <v>MHGen</v>
      </c>
      <c r="C405" s="46" t="str">
        <f>IF(ISBLANK('KO Calc'!C401)=TRUE,"",'KO Calc'!C401)</f>
        <v>Gypceros</v>
      </c>
      <c r="D405" s="65" t="s">
        <v>0</v>
      </c>
      <c r="E405" s="62" t="str">
        <f t="shared" si="11"/>
        <v>GypcerosPara</v>
      </c>
      <c r="F405" s="36" t="s">
        <v>2</v>
      </c>
      <c r="G405" s="36" t="str">
        <f t="shared" si="12"/>
        <v>GypcerosPara lvl 2</v>
      </c>
      <c r="H405" s="36" t="str">
        <f>IFERROR(ROUNDUP(IF(AND($Q$1=FALSE,$S$3=FALSE),"-",IF(AND($Q$1=TRUE,$S$3=TRUE),"-",IF(AND($Q$1=TRUE,$S$1=TRUE,$S$4=FALSE),VLOOKUP($E405,'Status Thresholds'!$E:$AS,12,FALSE),IF(AND($Q$1=TRUE,$S$4=FALSE),VLOOKUP($E405,'Status Thresholds'!$E:$AS,2,FALSE), IF(AND($Q$1=TRUE,$S$1=TRUE,$S$4=TRUE),VLOOKUP($E405,'Status Thresholds'!$E:$AS,17,FALSE),IF(AND($Q$1=TRUE,$S$4=TRUE),VLOOKUP($E405,'Status Thresholds'!$E:$AS,7,FALSE),IF(AND($S$3=TRUE,$S$1=TRUE,$S$4=FALSE),VLOOKUP($E405,'Status Thresholds'!$E:$AS,32,FALSE),IF(AND($S$3=TRUE,$S$4=FALSE),VLOOKUP($E405,'Status Thresholds'!$E:$AS,22,FALSE),IF(AND($S$3=TRUE,$S$1=TRUE,$S$4=TRUE),VLOOKUP($E405,'Status Thresholds'!$E:$AS,37,FALSE),IF(AND($S$3=TRUE,$S$4=TRUE),VLOOKUP($E405,'Status Thresholds'!$E:$AS,27,FALSE),""))))))))/IF(OR($Q$3=TRUE,AND($Q$2=TRUE,$Q$7=TRUE),AND($Q$3=TRUE,$Q$7=TRUE))=TRUE,'Shots and Status'!$F$5,IF((OR($Q$2,$Q$7)=TRUE),'Shots and Status'!$D$5,'Shots and Status'!$C$5)))),0),"-")</f>
        <v>-</v>
      </c>
      <c r="I405" s="36" t="str">
        <f>IFERROR(ROUNDUP(IF(AND($Q$1=FALSE,$S$3=FALSE),"-",IF(AND($Q$1=TRUE,$S$3=TRUE),"-",IF(AND($Q$1=TRUE,$S$1=TRUE,$S$4=FALSE),VLOOKUP($E405,'Status Thresholds'!$E:$AS,13,FALSE),IF(AND($Q$1=TRUE,$S$4=FALSE),VLOOKUP($E405,'Status Thresholds'!$E:$AS,3,FALSE), IF(AND($Q$1=TRUE,$S$1=TRUE,$S$4=TRUE),VLOOKUP($E405,'Status Thresholds'!$E:$AS,18,FALSE),IF(AND($Q$1=TRUE,$S$4=TRUE),VLOOKUP($E405,'Status Thresholds'!$E:$AS,8,FALSE),IF(AND($S$3=TRUE,$S$1=TRUE,$S$4=FALSE),VLOOKUP($E405,'Status Thresholds'!$E:$AS,33,FALSE),IF(AND($S$3=TRUE,$S$4=FALSE),VLOOKUP($E405,'Status Thresholds'!$E:$AS,23,FALSE),IF(AND($S$3=TRUE,$S$1=TRUE,$S$4=TRUE),VLOOKUP($E405,'Status Thresholds'!$E:$AS,38,FALSE),IF(AND($S$3=TRUE,$S$4=TRUE),VLOOKUP($E405,'Status Thresholds'!$E:$AS,28,FALSE),""))))))))/IF(OR($Q$3=TRUE,AND($Q$2=TRUE,$Q$7=TRUE),AND($Q$3=TRUE,$Q$7=TRUE))=TRUE,'Shots and Status'!$F$5,IF((OR($Q$2,$Q$7)=TRUE),'Shots and Status'!$D$5,'Shots and Status'!$C$5)))),0),"-")</f>
        <v>-</v>
      </c>
      <c r="J405" s="36" t="str">
        <f>IFERROR(ROUNDUP(IF(AND($Q$1=FALSE,$S$3=FALSE),"-",IF(AND($Q$1=TRUE,$S$3=TRUE),"-",IF(AND($Q$1=TRUE,$S$1=TRUE,$S$4=FALSE),VLOOKUP($E405,'Status Thresholds'!$E:$AS,14,FALSE),IF(AND($Q$1=TRUE,$S$4=FALSE),VLOOKUP($E405,'Status Thresholds'!$E:$AS,4,FALSE), IF(AND($Q$1=TRUE,$S$1=TRUE,$S$4=TRUE),VLOOKUP($E405,'Status Thresholds'!$E:$AS,19,FALSE),IF(AND($Q$1=TRUE,$S$4=TRUE),VLOOKUP($E405,'Status Thresholds'!$E:$AS,9,FALSE),IF(AND($S$3=TRUE,$S$1=TRUE,$S$4=FALSE),VLOOKUP($E405,'Status Thresholds'!$E:$AS,34,FALSE),IF(AND($S$3=TRUE,$S$4=FALSE),VLOOKUP($E405,'Status Thresholds'!$E:$AS,24,FALSE),IF(AND($S$3=TRUE,$S$1=TRUE,$S$4=TRUE),VLOOKUP($E405,'Status Thresholds'!$E:$AS,39,FALSE),IF(AND($S$3=TRUE,$S$4=TRUE),VLOOKUP($E405,'Status Thresholds'!$E:$AS,29,FALSE),""))))))))/IF(OR($Q$3=TRUE,AND($Q$2=TRUE,$Q$7=TRUE),AND($Q$3=TRUE,$Q$7=TRUE))=TRUE,'Shots and Status'!$F$5,IF((OR($Q$2,$Q$7)=TRUE),'Shots and Status'!$D$5,'Shots and Status'!$C$5)))),0),"-")</f>
        <v>-</v>
      </c>
      <c r="K405" s="36" t="str">
        <f>IFERROR(ROUNDUP(IF(AND($Q$1=FALSE,$S$3=FALSE),"-",IF(AND($Q$1=TRUE,$S$3=TRUE),"-",IF(AND($Q$1=TRUE,$S$1=TRUE,$S$4=FALSE),VLOOKUP($E405,'Status Thresholds'!$E:$AS,15,FALSE),IF(AND($Q$1=TRUE,$S$4=FALSE),VLOOKUP($E405,'Status Thresholds'!$E:$AS,5,FALSE), IF(AND($Q$1=TRUE,$S$1=TRUE,$S$4=TRUE),VLOOKUP($E405,'Status Thresholds'!$E:$AS,20,FALSE),IF(AND($Q$1=TRUE,$S$4=TRUE),VLOOKUP($E405,'Status Thresholds'!$E:$AS,10,FALSE),IF(AND($S$3=TRUE,$S$1=TRUE,$S$4=FALSE),VLOOKUP($E405,'Status Thresholds'!$E:$AS,35,FALSE),IF(AND($S$3=TRUE,$S$4=FALSE),VLOOKUP($E405,'Status Thresholds'!$E:$AS,25,FALSE),IF(AND($S$3=TRUE,$S$1=TRUE,$S$4=TRUE),VLOOKUP($E405,'Status Thresholds'!$E:$AS,40,FALSE),IF(AND($S$3=TRUE,$S$4=TRUE),VLOOKUP($E405,'Status Thresholds'!$E:$AS,30,FALSE),""))))))))/IF(OR($Q$3=TRUE,AND($Q$2=TRUE,$Q$7=TRUE),AND($Q$3=TRUE,$Q$7=TRUE))=TRUE,'Shots and Status'!$F$5,IF((OR($Q$2,$Q$7)=TRUE),'Shots and Status'!$D$5,'Shots and Status'!$C$5)))),0),"-")</f>
        <v>-</v>
      </c>
      <c r="L405" s="36" t="str">
        <f>IFERROR(IF(AND($Q$1=FALSE,$S$3=FALSE),"-",VLOOKUP($E405,'Status Thresholds'!$E:$AU,41,FALSE)),"-")</f>
        <v>-</v>
      </c>
      <c r="M405" s="36" t="str">
        <f>IFERROR(IF(AND($Q$1=FALSE,$S$3=FALSE),"-",VLOOKUP($E405,'Status Thresholds'!$E:$AU,42,FALSE)),"-")</f>
        <v>-</v>
      </c>
      <c r="N405" s="36" t="str">
        <f>IFERROR(IF(AND($Q$1=FALSE,$S$3=FALSE),"-",VLOOKUP($E405,'Status Thresholds'!$E:$AU,43,FALSE)),"-")</f>
        <v>-</v>
      </c>
    </row>
    <row r="406" spans="1:14" s="59" customFormat="1" x14ac:dyDescent="0.25">
      <c r="A406" s="46"/>
      <c r="B406" s="64" t="str">
        <f>VLOOKUP(C406,'Status Thresholds'!B:C,2,FALSE)</f>
        <v>MHGen</v>
      </c>
      <c r="C406" s="46" t="str">
        <f>IF(ISBLANK('KO Calc'!C402)=TRUE,"",'KO Calc'!C402)</f>
        <v>Gypceros</v>
      </c>
      <c r="D406" s="60" t="s">
        <v>32</v>
      </c>
      <c r="E406" s="62" t="str">
        <f t="shared" si="11"/>
        <v>GypcerosSleep</v>
      </c>
      <c r="F406" s="59" t="s">
        <v>5</v>
      </c>
      <c r="G406" s="36" t="str">
        <f t="shared" si="12"/>
        <v>GypcerosSleep lvl 2</v>
      </c>
      <c r="H406" s="36" t="str">
        <f>IFERROR(ROUNDUP(IF(AND($Q$1=FALSE,$S$3=FALSE),"-",IF(AND($Q$1=TRUE,$S$3=TRUE),"-",IF(AND($Q$1=TRUE,$S$1=TRUE,$S$4=FALSE),VLOOKUP($E406,'Status Thresholds'!$E:$AS,12,FALSE),IF(AND($Q$1=TRUE,$S$4=FALSE),VLOOKUP($E406,'Status Thresholds'!$E:$AS,2,FALSE), IF(AND($Q$1=TRUE,$S$1=TRUE,$S$4=TRUE),VLOOKUP($E406,'Status Thresholds'!$E:$AS,17,FALSE),IF(AND($Q$1=TRUE,$S$4=TRUE),VLOOKUP($E406,'Status Thresholds'!$E:$AS,7,FALSE),IF(AND($S$3=TRUE,$S$1=TRUE,$S$4=FALSE),VLOOKUP($E406,'Status Thresholds'!$E:$AS,32,FALSE),IF(AND($S$3=TRUE,$S$4=FALSE),VLOOKUP($E406,'Status Thresholds'!$E:$AS,22,FALSE),IF(AND($S$3=TRUE,$S$1=TRUE,$S$4=TRUE),VLOOKUP($E406,'Status Thresholds'!$E:$AS,37,FALSE),IF(AND($S$3=TRUE,$S$4=TRUE),VLOOKUP($E406,'Status Thresholds'!$E:$AS,27,FALSE),""))))))))/IF(OR($Q$3=TRUE,AND($Q$2=TRUE,$Q$7=TRUE),AND($Q$3=TRUE,$Q$7=TRUE))=TRUE,'Shots and Status'!$F$5,IF((OR($Q$2,$Q$7)=TRUE),'Shots and Status'!$D$5,'Shots and Status'!$C$5)))),0),"-")</f>
        <v>-</v>
      </c>
      <c r="I406" s="36" t="str">
        <f>IFERROR(ROUNDUP(IF(AND($Q$1=FALSE,$S$3=FALSE),"-",IF(AND($Q$1=TRUE,$S$3=TRUE),"-",IF(AND($Q$1=TRUE,$S$1=TRUE,$S$4=FALSE),VLOOKUP($E406,'Status Thresholds'!$E:$AS,13,FALSE),IF(AND($Q$1=TRUE,$S$4=FALSE),VLOOKUP($E406,'Status Thresholds'!$E:$AS,3,FALSE), IF(AND($Q$1=TRUE,$S$1=TRUE,$S$4=TRUE),VLOOKUP($E406,'Status Thresholds'!$E:$AS,18,FALSE),IF(AND($Q$1=TRUE,$S$4=TRUE),VLOOKUP($E406,'Status Thresholds'!$E:$AS,8,FALSE),IF(AND($S$3=TRUE,$S$1=TRUE,$S$4=FALSE),VLOOKUP($E406,'Status Thresholds'!$E:$AS,33,FALSE),IF(AND($S$3=TRUE,$S$4=FALSE),VLOOKUP($E406,'Status Thresholds'!$E:$AS,23,FALSE),IF(AND($S$3=TRUE,$S$1=TRUE,$S$4=TRUE),VLOOKUP($E406,'Status Thresholds'!$E:$AS,38,FALSE),IF(AND($S$3=TRUE,$S$4=TRUE),VLOOKUP($E406,'Status Thresholds'!$E:$AS,28,FALSE),""))))))))/IF(OR($Q$3=TRUE,AND($Q$2=TRUE,$Q$7=TRUE),AND($Q$3=TRUE,$Q$7=TRUE))=TRUE,'Shots and Status'!$F$5,IF((OR($Q$2,$Q$7)=TRUE),'Shots and Status'!$D$5,'Shots and Status'!$C$5)))),0),"-")</f>
        <v>-</v>
      </c>
      <c r="J406" s="36" t="str">
        <f>IFERROR(ROUNDUP(IF(AND($Q$1=FALSE,$S$3=FALSE),"-",IF(AND($Q$1=TRUE,$S$3=TRUE),"-",IF(AND($Q$1=TRUE,$S$1=TRUE,$S$4=FALSE),VLOOKUP($E406,'Status Thresholds'!$E:$AS,14,FALSE),IF(AND($Q$1=TRUE,$S$4=FALSE),VLOOKUP($E406,'Status Thresholds'!$E:$AS,4,FALSE), IF(AND($Q$1=TRUE,$S$1=TRUE,$S$4=TRUE),VLOOKUP($E406,'Status Thresholds'!$E:$AS,19,FALSE),IF(AND($Q$1=TRUE,$S$4=TRUE),VLOOKUP($E406,'Status Thresholds'!$E:$AS,9,FALSE),IF(AND($S$3=TRUE,$S$1=TRUE,$S$4=FALSE),VLOOKUP($E406,'Status Thresholds'!$E:$AS,34,FALSE),IF(AND($S$3=TRUE,$S$4=FALSE),VLOOKUP($E406,'Status Thresholds'!$E:$AS,24,FALSE),IF(AND($S$3=TRUE,$S$1=TRUE,$S$4=TRUE),VLOOKUP($E406,'Status Thresholds'!$E:$AS,39,FALSE),IF(AND($S$3=TRUE,$S$4=TRUE),VLOOKUP($E406,'Status Thresholds'!$E:$AS,29,FALSE),""))))))))/IF(OR($Q$3=TRUE,AND($Q$2=TRUE,$Q$7=TRUE),AND($Q$3=TRUE,$Q$7=TRUE))=TRUE,'Shots and Status'!$F$5,IF((OR($Q$2,$Q$7)=TRUE),'Shots and Status'!$D$5,'Shots and Status'!$C$5)))),0),"-")</f>
        <v>-</v>
      </c>
      <c r="K406" s="36" t="str">
        <f>IFERROR(ROUNDUP(IF(AND($Q$1=FALSE,$S$3=FALSE),"-",IF(AND($Q$1=TRUE,$S$3=TRUE),"-",IF(AND($Q$1=TRUE,$S$1=TRUE,$S$4=FALSE),VLOOKUP($E406,'Status Thresholds'!$E:$AS,15,FALSE),IF(AND($Q$1=TRUE,$S$4=FALSE),VLOOKUP($E406,'Status Thresholds'!$E:$AS,5,FALSE), IF(AND($Q$1=TRUE,$S$1=TRUE,$S$4=TRUE),VLOOKUP($E406,'Status Thresholds'!$E:$AS,20,FALSE),IF(AND($Q$1=TRUE,$S$4=TRUE),VLOOKUP($E406,'Status Thresholds'!$E:$AS,10,FALSE),IF(AND($S$3=TRUE,$S$1=TRUE,$S$4=FALSE),VLOOKUP($E406,'Status Thresholds'!$E:$AS,35,FALSE),IF(AND($S$3=TRUE,$S$4=FALSE),VLOOKUP($E406,'Status Thresholds'!$E:$AS,25,FALSE),IF(AND($S$3=TRUE,$S$1=TRUE,$S$4=TRUE),VLOOKUP($E406,'Status Thresholds'!$E:$AS,40,FALSE),IF(AND($S$3=TRUE,$S$4=TRUE),VLOOKUP($E406,'Status Thresholds'!$E:$AS,30,FALSE),""))))))))/IF(OR($Q$3=TRUE,AND($Q$2=TRUE,$Q$7=TRUE),AND($Q$3=TRUE,$Q$7=TRUE))=TRUE,'Shots and Status'!$F$5,IF((OR($Q$2,$Q$7)=TRUE),'Shots and Status'!$D$5,'Shots and Status'!$C$5)))),0),"-")</f>
        <v>-</v>
      </c>
      <c r="L406" s="36" t="str">
        <f>IFERROR(IF(AND($Q$1=FALSE,$S$3=FALSE),"-",VLOOKUP($E406,'Status Thresholds'!$E:$AU,41,FALSE)),"-")</f>
        <v>-</v>
      </c>
      <c r="M406" s="36" t="str">
        <f>IFERROR(IF(AND($Q$1=FALSE,$S$3=FALSE),"-",VLOOKUP($E406,'Status Thresholds'!$E:$AU,42,FALSE)),"-")</f>
        <v>-</v>
      </c>
      <c r="N406" s="36" t="str">
        <f>IFERROR(IF(AND($Q$1=FALSE,$S$3=FALSE),"-",VLOOKUP($E406,'Status Thresholds'!$E:$AU,43,FALSE)),"-")</f>
        <v>-</v>
      </c>
    </row>
    <row r="407" spans="1:14" s="59" customFormat="1" x14ac:dyDescent="0.25">
      <c r="A407" s="46"/>
      <c r="B407" s="64" t="str">
        <f>VLOOKUP(C407,'Status Thresholds'!B:C,2,FALSE)</f>
        <v>MHGen</v>
      </c>
      <c r="C407" s="46" t="str">
        <f>IF(ISBLANK('KO Calc'!C403)=TRUE,"",'KO Calc'!C403)</f>
        <v>Gypceros</v>
      </c>
      <c r="D407" s="58" t="s">
        <v>33</v>
      </c>
      <c r="E407" s="62" t="str">
        <f t="shared" si="11"/>
        <v>GypcerosPoison</v>
      </c>
      <c r="F407" s="59" t="s">
        <v>6</v>
      </c>
      <c r="G407" s="36" t="str">
        <f t="shared" si="12"/>
        <v>GypcerosPoison lvl 2</v>
      </c>
      <c r="H407" s="36" t="str">
        <f>IFERROR(ROUNDUP(IF(AND($Q$1=FALSE,$S$3=FALSE),"-",IF(AND($Q$1=TRUE,$S$3=TRUE),"-",IF(AND($Q$1=TRUE,$S$1=TRUE,$S$4=FALSE),VLOOKUP($E407,'Status Thresholds'!$E:$AS,12,FALSE),IF(AND($Q$1=TRUE,$S$4=FALSE),VLOOKUP($E407,'Status Thresholds'!$E:$AS,2,FALSE), IF(AND($Q$1=TRUE,$S$1=TRUE,$S$4=TRUE),VLOOKUP($E407,'Status Thresholds'!$E:$AS,17,FALSE),IF(AND($Q$1=TRUE,$S$4=TRUE),VLOOKUP($E407,'Status Thresholds'!$E:$AS,7,FALSE),IF(AND($S$3=TRUE,$S$1=TRUE,$S$4=FALSE),VLOOKUP($E407,'Status Thresholds'!$E:$AS,32,FALSE),IF(AND($S$3=TRUE,$S$4=FALSE),VLOOKUP($E407,'Status Thresholds'!$E:$AS,22,FALSE),IF(AND($S$3=TRUE,$S$1=TRUE,$S$4=TRUE),VLOOKUP($E407,'Status Thresholds'!$E:$AS,37,FALSE),IF(AND($S$3=TRUE,$S$4=TRUE),VLOOKUP($E407,'Status Thresholds'!$E:$AS,27,FALSE),""))))))))/IF(OR($Q$3=TRUE,AND($Q$2=TRUE,$Q$7=TRUE),AND($Q$3=TRUE,$Q$7=TRUE))=TRUE,'Shots and Status'!$F$5,IF((OR($Q$2,$Q$7)=TRUE),'Shots and Status'!$D$5,'Shots and Status'!$C$5)))),0),"-")</f>
        <v>-</v>
      </c>
      <c r="I407" s="36" t="str">
        <f>IFERROR(ROUNDUP(IF(AND($Q$1=FALSE,$S$3=FALSE),"-",IF(AND($Q$1=TRUE,$S$3=TRUE),"-",IF(AND($Q$1=TRUE,$S$1=TRUE,$S$4=FALSE),VLOOKUP($E407,'Status Thresholds'!$E:$AS,13,FALSE),IF(AND($Q$1=TRUE,$S$4=FALSE),VLOOKUP($E407,'Status Thresholds'!$E:$AS,3,FALSE), IF(AND($Q$1=TRUE,$S$1=TRUE,$S$4=TRUE),VLOOKUP($E407,'Status Thresholds'!$E:$AS,18,FALSE),IF(AND($Q$1=TRUE,$S$4=TRUE),VLOOKUP($E407,'Status Thresholds'!$E:$AS,8,FALSE),IF(AND($S$3=TRUE,$S$1=TRUE,$S$4=FALSE),VLOOKUP($E407,'Status Thresholds'!$E:$AS,33,FALSE),IF(AND($S$3=TRUE,$S$4=FALSE),VLOOKUP($E407,'Status Thresholds'!$E:$AS,23,FALSE),IF(AND($S$3=TRUE,$S$1=TRUE,$S$4=TRUE),VLOOKUP($E407,'Status Thresholds'!$E:$AS,38,FALSE),IF(AND($S$3=TRUE,$S$4=TRUE),VLOOKUP($E407,'Status Thresholds'!$E:$AS,28,FALSE),""))))))))/IF(OR($Q$3=TRUE,AND($Q$2=TRUE,$Q$7=TRUE),AND($Q$3=TRUE,$Q$7=TRUE))=TRUE,'Shots and Status'!$F$5,IF((OR($Q$2,$Q$7)=TRUE),'Shots and Status'!$D$5,'Shots and Status'!$C$5)))),0),"-")</f>
        <v>-</v>
      </c>
      <c r="J407" s="36" t="str">
        <f>IFERROR(ROUNDUP(IF(AND($Q$1=FALSE,$S$3=FALSE),"-",IF(AND($Q$1=TRUE,$S$3=TRUE),"-",IF(AND($Q$1=TRUE,$S$1=TRUE,$S$4=FALSE),VLOOKUP($E407,'Status Thresholds'!$E:$AS,14,FALSE),IF(AND($Q$1=TRUE,$S$4=FALSE),VLOOKUP($E407,'Status Thresholds'!$E:$AS,4,FALSE), IF(AND($Q$1=TRUE,$S$1=TRUE,$S$4=TRUE),VLOOKUP($E407,'Status Thresholds'!$E:$AS,19,FALSE),IF(AND($Q$1=TRUE,$S$4=TRUE),VLOOKUP($E407,'Status Thresholds'!$E:$AS,9,FALSE),IF(AND($S$3=TRUE,$S$1=TRUE,$S$4=FALSE),VLOOKUP($E407,'Status Thresholds'!$E:$AS,34,FALSE),IF(AND($S$3=TRUE,$S$4=FALSE),VLOOKUP($E407,'Status Thresholds'!$E:$AS,24,FALSE),IF(AND($S$3=TRUE,$S$1=TRUE,$S$4=TRUE),VLOOKUP($E407,'Status Thresholds'!$E:$AS,39,FALSE),IF(AND($S$3=TRUE,$S$4=TRUE),VLOOKUP($E407,'Status Thresholds'!$E:$AS,29,FALSE),""))))))))/IF(OR($Q$3=TRUE,AND($Q$2=TRUE,$Q$7=TRUE),AND($Q$3=TRUE,$Q$7=TRUE))=TRUE,'Shots and Status'!$F$5,IF((OR($Q$2,$Q$7)=TRUE),'Shots and Status'!$D$5,'Shots and Status'!$C$5)))),0),"-")</f>
        <v>-</v>
      </c>
      <c r="K407" s="36" t="str">
        <f>IFERROR(ROUNDUP(IF(AND($Q$1=FALSE,$S$3=FALSE),"-",IF(AND($Q$1=TRUE,$S$3=TRUE),"-",IF(AND($Q$1=TRUE,$S$1=TRUE,$S$4=FALSE),VLOOKUP($E407,'Status Thresholds'!$E:$AS,15,FALSE),IF(AND($Q$1=TRUE,$S$4=FALSE),VLOOKUP($E407,'Status Thresholds'!$E:$AS,5,FALSE), IF(AND($Q$1=TRUE,$S$1=TRUE,$S$4=TRUE),VLOOKUP($E407,'Status Thresholds'!$E:$AS,20,FALSE),IF(AND($Q$1=TRUE,$S$4=TRUE),VLOOKUP($E407,'Status Thresholds'!$E:$AS,10,FALSE),IF(AND($S$3=TRUE,$S$1=TRUE,$S$4=FALSE),VLOOKUP($E407,'Status Thresholds'!$E:$AS,35,FALSE),IF(AND($S$3=TRUE,$S$4=FALSE),VLOOKUP($E407,'Status Thresholds'!$E:$AS,25,FALSE),IF(AND($S$3=TRUE,$S$1=TRUE,$S$4=TRUE),VLOOKUP($E407,'Status Thresholds'!$E:$AS,40,FALSE),IF(AND($S$3=TRUE,$S$4=TRUE),VLOOKUP($E407,'Status Thresholds'!$E:$AS,30,FALSE),""))))))))/IF(OR($Q$3=TRUE,AND($Q$2=TRUE,$Q$7=TRUE),AND($Q$3=TRUE,$Q$7=TRUE))=TRUE,'Shots and Status'!$F$5,IF((OR($Q$2,$Q$7)=TRUE),'Shots and Status'!$D$5,'Shots and Status'!$C$5)))),0),"-")</f>
        <v>-</v>
      </c>
      <c r="L407" s="36" t="str">
        <f>IFERROR(IF(AND($Q$1=FALSE,$S$3=FALSE),"-",VLOOKUP($E407,'Status Thresholds'!$E:$AU,41,FALSE)),"-")</f>
        <v>-</v>
      </c>
      <c r="M407" s="36" t="str">
        <f>IFERROR(IF(AND($Q$1=FALSE,$S$3=FALSE),"-",VLOOKUP($E407,'Status Thresholds'!$E:$AU,42,FALSE)),"-")</f>
        <v>-</v>
      </c>
      <c r="N407" s="36" t="str">
        <f>IFERROR(IF(AND($Q$1=FALSE,$S$3=FALSE),"-",VLOOKUP($E407,'Status Thresholds'!$E:$AU,43,FALSE)),"-")</f>
        <v>-</v>
      </c>
    </row>
    <row r="408" spans="1:14" s="36" customFormat="1" x14ac:dyDescent="0.25">
      <c r="A408" s="46"/>
      <c r="B408" s="64" t="str">
        <f>VLOOKUP(C408,'Status Thresholds'!B:C,2,FALSE)</f>
        <v>MHGen</v>
      </c>
      <c r="C408" s="46" t="str">
        <f>IF(ISBLANK('KO Calc'!C404)=TRUE,"",'KO Calc'!C404)</f>
        <v>Gypceros</v>
      </c>
      <c r="D408" s="57" t="s">
        <v>22</v>
      </c>
      <c r="E408" s="62" t="str">
        <f t="shared" si="11"/>
        <v>GypcerosExhaust</v>
      </c>
      <c r="F408" s="36" t="s">
        <v>8</v>
      </c>
      <c r="G408" s="36" t="str">
        <f t="shared" si="12"/>
        <v>GypcerosExhaust lvl 2</v>
      </c>
      <c r="H408" s="36" t="str">
        <f>IFERROR(ROUNDUP(IF(AND($Q$1=FALSE,$S$3=FALSE),"-",IF(AND($Q$1=TRUE,$S$3=TRUE),"-",IF(AND($Q$1=TRUE,$S$1=TRUE,$S$4=FALSE),VLOOKUP($E408,'Status Thresholds'!$E:$AS,12,FALSE),IF(AND($Q$1=TRUE,$S$4=FALSE),VLOOKUP($E408,'Status Thresholds'!$E:$AS,2,FALSE), IF(AND($Q$1=TRUE,$S$1=TRUE,$S$4=TRUE),VLOOKUP($E408,'Status Thresholds'!$E:$AS,17,FALSE),IF(AND($Q$1=TRUE,$S$4=TRUE),VLOOKUP($E408,'Status Thresholds'!$E:$AS,7,FALSE),IF(AND($S$3=TRUE,$S$1=TRUE,$S$4=FALSE),VLOOKUP($E408,'Status Thresholds'!$E:$AS,32,FALSE),IF(AND($S$3=TRUE,$S$4=FALSE),VLOOKUP($E408,'Status Thresholds'!$E:$AS,22,FALSE),IF(AND($S$3=TRUE,$S$1=TRUE,$S$4=TRUE),VLOOKUP($E408,'Status Thresholds'!$E:$AS,37,FALSE),IF(AND($S$3=TRUE,$S$4=TRUE),VLOOKUP($E408,'Status Thresholds'!$E:$AS,27,FALSE),""))))))))/IF(OR($Q$3=TRUE,AND($Q$2=TRUE,$Q$7=TRUE),AND($Q$3=TRUE,$Q$7=TRUE))=TRUE,'Shots and Status'!$F$5,IF((OR($Q$2,$Q$7)=TRUE),'Shots and Status'!$D$5,'Shots and Status'!$C$5)))),0),"-")</f>
        <v>-</v>
      </c>
      <c r="I408" s="36" t="str">
        <f>IFERROR(ROUNDUP(IF(AND($Q$1=FALSE,$S$3=FALSE),"-",IF(AND($Q$1=TRUE,$S$3=TRUE),"-",IF(AND($Q$1=TRUE,$S$1=TRUE,$S$4=FALSE),VLOOKUP($E408,'Status Thresholds'!$E:$AS,13,FALSE),IF(AND($Q$1=TRUE,$S$4=FALSE),VLOOKUP($E408,'Status Thresholds'!$E:$AS,3,FALSE), IF(AND($Q$1=TRUE,$S$1=TRUE,$S$4=TRUE),VLOOKUP($E408,'Status Thresholds'!$E:$AS,18,FALSE),IF(AND($Q$1=TRUE,$S$4=TRUE),VLOOKUP($E408,'Status Thresholds'!$E:$AS,8,FALSE),IF(AND($S$3=TRUE,$S$1=TRUE,$S$4=FALSE),VLOOKUP($E408,'Status Thresholds'!$E:$AS,33,FALSE),IF(AND($S$3=TRUE,$S$4=FALSE),VLOOKUP($E408,'Status Thresholds'!$E:$AS,23,FALSE),IF(AND($S$3=TRUE,$S$1=TRUE,$S$4=TRUE),VLOOKUP($E408,'Status Thresholds'!$E:$AS,38,FALSE),IF(AND($S$3=TRUE,$S$4=TRUE),VLOOKUP($E408,'Status Thresholds'!$E:$AS,28,FALSE),""))))))))/IF(OR($Q$3=TRUE,AND($Q$2=TRUE,$Q$7=TRUE),AND($Q$3=TRUE,$Q$7=TRUE))=TRUE,'Shots and Status'!$F$5,IF((OR($Q$2,$Q$7)=TRUE),'Shots and Status'!$D$5,'Shots and Status'!$C$5)))),0),"-")</f>
        <v>-</v>
      </c>
      <c r="J408" s="36" t="str">
        <f>IFERROR(ROUNDUP(IF(AND($Q$1=FALSE,$S$3=FALSE),"-",IF(AND($Q$1=TRUE,$S$3=TRUE),"-",IF(AND($Q$1=TRUE,$S$1=TRUE,$S$4=FALSE),VLOOKUP($E408,'Status Thresholds'!$E:$AS,14,FALSE),IF(AND($Q$1=TRUE,$S$4=FALSE),VLOOKUP($E408,'Status Thresholds'!$E:$AS,4,FALSE), IF(AND($Q$1=TRUE,$S$1=TRUE,$S$4=TRUE),VLOOKUP($E408,'Status Thresholds'!$E:$AS,19,FALSE),IF(AND($Q$1=TRUE,$S$4=TRUE),VLOOKUP($E408,'Status Thresholds'!$E:$AS,9,FALSE),IF(AND($S$3=TRUE,$S$1=TRUE,$S$4=FALSE),VLOOKUP($E408,'Status Thresholds'!$E:$AS,34,FALSE),IF(AND($S$3=TRUE,$S$4=FALSE),VLOOKUP($E408,'Status Thresholds'!$E:$AS,24,FALSE),IF(AND($S$3=TRUE,$S$1=TRUE,$S$4=TRUE),VLOOKUP($E408,'Status Thresholds'!$E:$AS,39,FALSE),IF(AND($S$3=TRUE,$S$4=TRUE),VLOOKUP($E408,'Status Thresholds'!$E:$AS,29,FALSE),""))))))))/IF(OR($Q$3=TRUE,AND($Q$2=TRUE,$Q$7=TRUE),AND($Q$3=TRUE,$Q$7=TRUE))=TRUE,'Shots and Status'!$F$5,IF((OR($Q$2,$Q$7)=TRUE),'Shots and Status'!$D$5,'Shots and Status'!$C$5)))),0),"-")</f>
        <v>-</v>
      </c>
      <c r="K408" s="36" t="str">
        <f>IFERROR(ROUNDUP(IF(AND($Q$1=FALSE,$S$3=FALSE),"-",IF(AND($Q$1=TRUE,$S$3=TRUE),"-",IF(AND($Q$1=TRUE,$S$1=TRUE,$S$4=FALSE),VLOOKUP($E408,'Status Thresholds'!$E:$AS,15,FALSE),IF(AND($Q$1=TRUE,$S$4=FALSE),VLOOKUP($E408,'Status Thresholds'!$E:$AS,5,FALSE), IF(AND($Q$1=TRUE,$S$1=TRUE,$S$4=TRUE),VLOOKUP($E408,'Status Thresholds'!$E:$AS,20,FALSE),IF(AND($Q$1=TRUE,$S$4=TRUE),VLOOKUP($E408,'Status Thresholds'!$E:$AS,10,FALSE),IF(AND($S$3=TRUE,$S$1=TRUE,$S$4=FALSE),VLOOKUP($E408,'Status Thresholds'!$E:$AS,35,FALSE),IF(AND($S$3=TRUE,$S$4=FALSE),VLOOKUP($E408,'Status Thresholds'!$E:$AS,25,FALSE),IF(AND($S$3=TRUE,$S$1=TRUE,$S$4=TRUE),VLOOKUP($E408,'Status Thresholds'!$E:$AS,40,FALSE),IF(AND($S$3=TRUE,$S$4=TRUE),VLOOKUP($E408,'Status Thresholds'!$E:$AS,30,FALSE),""))))))))/IF(OR($Q$3=TRUE,AND($Q$2=TRUE,$Q$7=TRUE),AND($Q$3=TRUE,$Q$7=TRUE))=TRUE,'Shots and Status'!$F$5,IF((OR($Q$2,$Q$7)=TRUE),'Shots and Status'!$D$5,'Shots and Status'!$C$5)))),0),"-")</f>
        <v>-</v>
      </c>
      <c r="L408" s="36" t="str">
        <f>IFERROR(IF(AND($Q$1=FALSE,$S$3=FALSE),"-",VLOOKUP($E408,'Status Thresholds'!$E:$AU,41,FALSE)),"-")</f>
        <v>-</v>
      </c>
      <c r="M408" s="36" t="str">
        <f>IFERROR(IF(AND($Q$1=FALSE,$S$3=FALSE),"-",VLOOKUP($E408,'Status Thresholds'!$E:$AU,42,FALSE)),"-")</f>
        <v>-</v>
      </c>
      <c r="N408" s="36" t="str">
        <f>IFERROR(IF(AND($Q$1=FALSE,$S$3=FALSE),"-",VLOOKUP($E408,'Status Thresholds'!$E:$AU,43,FALSE)),"-")</f>
        <v>-</v>
      </c>
    </row>
    <row r="409" spans="1:14" s="36" customFormat="1" x14ac:dyDescent="0.25">
      <c r="A409" s="46"/>
      <c r="B409" s="64" t="str">
        <f>VLOOKUP(C409,'Status Thresholds'!B:C,2,FALSE)</f>
        <v>MHGen</v>
      </c>
      <c r="C409" s="46" t="str">
        <f>IF(ISBLANK('KO Calc'!C405)=TRUE,"",'KO Calc'!C405)</f>
        <v>Gypceros</v>
      </c>
      <c r="D409" s="67" t="s">
        <v>14</v>
      </c>
      <c r="E409" s="62" t="str">
        <f t="shared" si="11"/>
        <v>GypcerosKO</v>
      </c>
      <c r="F409" s="36" t="s">
        <v>21</v>
      </c>
      <c r="G409" s="36" t="str">
        <f t="shared" si="12"/>
        <v>GypcerosTriblast</v>
      </c>
      <c r="H409" s="36" t="str">
        <f>IF(AND($Q$1=FALSE,$S$3=FALSE),"-",IF(AND($Q$1=TRUE,$S$3=TRUE),"-",IF(AND($Q$1=FALSE,$S$3=FALSE),"-",IF(AND($Q$1=TRUE,$S$1=TRUE,$S$4=FALSE)=TRUE,IF(OR($Q$4=TRUE,$Q$5=TRUE,$S$2=TRUE),VLOOKUP($G409,'KO Calc'!$H:$AW,12,FALSE),VLOOKUP($G409,'KO Calc'!$H415:$AW415,12,FALSE)),IF(AND($Q$1=TRUE,$S$4=FALSE),IF(OR($Q$4=TRUE,$Q$5=TRUE,$S$2=TRUE),VLOOKUP($G409,'KO Calc'!$H:$AW,2,FALSE),VLOOKUP($G409,'KO Calc'!$H415:$AW415,2,FALSE)),
IF(AND($Q$1=TRUE,$S$1=TRUE,$S$4=TRUE)=TRUE,IF(OR($Q$4=TRUE,$Q$5=TRUE,$S$2=TRUE),VLOOKUP($G409,'KO Calc'!$H:$AW,17,FALSE),VLOOKUP($G409,'KO Calc'!$H415:$AW415,17,FALSE)),IF(AND($Q$1=TRUE,$S$4=TRUE),IF(OR($Q$4=TRUE,$Q$5=TRUE,$S$2=TRUE),VLOOKUP($G409,'KO Calc'!$H:$AW,7,FALSE),VLOOKUP($G409,'KO Calc'!$H415:$AW415,7,FALSE)),
IF(AND($S$3=TRUE,$S$1=TRUE,$S$4=FALSE)=TRUE,IF(OR($Q$4=TRUE,$Q$5=TRUE,$S$2=TRUE),VLOOKUP($G409,'KO Calc'!$H:$AW,32,FALSE),VLOOKUP($G409,'KO Calc'!$H415:$AW415,32,FALSE)),IF(AND($S$3=TRUE,$S$4=FALSE),IF(OR($Q$4=TRUE,$Q$5=TRUE,$S$2=TRUE),VLOOKUP($G409,'KO Calc'!$H:$AW,22,FALSE),VLOOKUP($G409,'KO Calc'!$H415:$AW415,22,FALSE)),
IF(AND($S$3=TRUE,$S$1=TRUE,$S$4=TRUE)=TRUE,IF(OR($Q$4=TRUE,$Q$5=TRUE,$S$2=TRUE),VLOOKUP($G409,'KO Calc'!$H:$AW,37,FALSE),VLOOKUP($G409,'KO Calc'!$H415:$AW415,37,FALSE)),IF(AND($S$3=TRUE,$S$4=TRUE),IF(OR($Q$4=TRUE,$Q$5=TRUE,$S$2=TRUE),VLOOKUP($G409,'KO Calc'!$H:$AW,27,FALSE),VLOOKUP($G409,'KO Calc'!$H415:$AW415,27,FALSE)))))))))))))</f>
        <v>-</v>
      </c>
      <c r="I409" s="36" t="str">
        <f>IF(AND($Q$1=FALSE,$S$3=FALSE),"-",IF(AND($Q$1=TRUE,$S$3=TRUE),"-",IF(AND($Q$1=FALSE,$S$3=FALSE),"-",IF(AND($Q$1=TRUE,$S$1=TRUE,$S$4=FALSE)=TRUE,IF(OR($Q$4=TRUE,$Q$5=TRUE,$S$2=TRUE),VLOOKUP($G409,'KO Calc'!$H:$AW,13,FALSE),VLOOKUP($G409,'KO Calc'!$H415:$AW415,13,FALSE)),IF(AND($Q$1=TRUE,$S$4=FALSE),IF(OR($Q$4=TRUE,$Q$5=TRUE,$S$2=TRUE),VLOOKUP($G409,'KO Calc'!$H:$AW,3,FALSE),VLOOKUP($G409,'KO Calc'!$H415:$AW415,3,FALSE)),
IF(AND($Q$1=TRUE,$S$1=TRUE,$S$4=TRUE)=TRUE,IF(OR($Q$4=TRUE,$Q$5=TRUE,$S$2=TRUE),VLOOKUP($G409,'KO Calc'!$H:$AW,18,FALSE),VLOOKUP($G409,'KO Calc'!$H415:$AW415,18,FALSE)),IF(AND($Q$1=TRUE,$S$4=TRUE),IF(OR($Q$4=TRUE,$Q$5=TRUE,$S$2=TRUE),VLOOKUP($G409,'KO Calc'!$H:$AW,8,FALSE),VLOOKUP($G409,'KO Calc'!$H415:$AW415,8,FALSE)),
IF(AND($S$3=TRUE,$S$1=TRUE,$S$4=FALSE)=TRUE,IF(OR($Q$4=TRUE,$Q$5=TRUE,$S$2=TRUE),VLOOKUP($G409,'KO Calc'!$H:$AW,33,FALSE),VLOOKUP($G409,'KO Calc'!$H415:$AW415,33,FALSE)),IF(AND($S$3=TRUE,$S$4=FALSE),IF(OR($Q$4=TRUE,$Q$5=TRUE,$S$2=TRUE),VLOOKUP($G409,'KO Calc'!$H:$AW,23,FALSE),VLOOKUP($G409,'KO Calc'!$H415:$AW415,23,FALSE)),
IF(AND($S$3=TRUE,$S$1=TRUE,$S$4=TRUE)=TRUE,IF(OR($Q$4=TRUE,$Q$5=TRUE,$S$2=TRUE),VLOOKUP($G409,'KO Calc'!$H:$AW,38,FALSE),VLOOKUP($G409,'KO Calc'!$H415:$AW415,38,FALSE)),IF(AND($S$3=TRUE,$S$4=TRUE),IF(OR($Q$4=TRUE,$Q$5=TRUE,$S$2=TRUE),VLOOKUP($G409,'KO Calc'!$H:$AW,28,FALSE),VLOOKUP($G409,'KO Calc'!$H415:$AW415,28,FALSE)))))))))))))</f>
        <v>-</v>
      </c>
      <c r="J409" s="36" t="str">
        <f>IF(AND($Q$1=FALSE,$S$3=FALSE),"-",IF(AND($Q$1=TRUE,$S$3=TRUE),"-",IF(AND($Q$1=FALSE,$S$3=FALSE),"-",IF(AND($Q$1=TRUE,$S$1=TRUE,$S$4=FALSE)=TRUE,IF(OR($Q$4=TRUE,$Q$5=TRUE,$S$2=TRUE),VLOOKUP($G409,'KO Calc'!$H:$AW,FALSE),VLOOKUP($G409,'KO Calc'!$H415:$AW415,14,FALSE)),IF(AND($Q$1=TRUE,$S$4=FALSE),IF(OR($Q$4=TRUE,$Q$5=TRUE,$S$2=TRUE),VLOOKUP($G409,'KO Calc'!$H:$AW,4,FALSE),VLOOKUP($G409,'KO Calc'!$H415:$AW415,4,FALSE)),
IF(AND($Q$1=TRUE,$S$1=TRUE,$S$4=TRUE)=TRUE,IF(OR($Q$4=TRUE,$Q$5=TRUE,$S$2=TRUE),VLOOKUP($G409,'KO Calc'!$H:$AW,19,FALSE),VLOOKUP($G409,'KO Calc'!$H415:$AW415,19,FALSE)),IF(AND($Q$1=TRUE,$S$4=TRUE),IF(OR($Q$4=TRUE,$Q$5=TRUE,$S$2=TRUE),VLOOKUP($G409,'KO Calc'!$H:$AW,9,FALSE),VLOOKUP($G409,'KO Calc'!$H415:$AW415,9,FALSE)),
IF(AND($S$3=TRUE,$S$1=TRUE,$S$4=FALSE)=TRUE,IF(OR($Q$4=TRUE,$Q$5=TRUE,$S$2=TRUE),VLOOKUP($G409,'KO Calc'!$H:$AW,34,FALSE),VLOOKUP($G409,'KO Calc'!$H415:$AW415,34,FALSE)),IF(AND($S$3=TRUE,$S$4=FALSE),IF(OR($Q$4=TRUE,$Q$5=TRUE,$S$2=TRUE),VLOOKUP($G409,'KO Calc'!$H:$AW,24,FALSE),VLOOKUP($G409,'KO Calc'!$H415:$AW415,24,FALSE)),
IF(AND($S$3=TRUE,$S$1=TRUE,$S$4=TRUE)=TRUE,IF(OR($Q$4=TRUE,$Q$5=TRUE,$S$2=TRUE),VLOOKUP($G409,'KO Calc'!$H:$AW,39,FALSE),VLOOKUP($G409,'KO Calc'!$H415:$AW415,39,FALSE)),IF(AND($S$3=TRUE,$S$4=TRUE),IF(OR($Q$4=TRUE,$Q$5=TRUE,$S$2=TRUE),VLOOKUP($G409,'KO Calc'!$H:$AW,29,FALSE),VLOOKUP($G409,'KO Calc'!$H415:$AW415,29,FALSE)))))))))))))</f>
        <v>-</v>
      </c>
      <c r="K409" s="36" t="str">
        <f>IF(AND($Q$1=FALSE,$S$3=FALSE),"-",IF(AND($Q$1=TRUE,$S$3=TRUE),"-",IF(AND($Q$1=FALSE,$S$3=FALSE),"-",IF(AND($Q$1=TRUE,$S$1=TRUE,$S$4=FALSE)=TRUE,IF(OR($Q$4=TRUE,$Q$5=TRUE,$S$2=TRUE),VLOOKUP($G409,'KO Calc'!$H:$AW,15,FALSE),VLOOKUP($G409,'KO Calc'!$H415:$AW415,15,FALSE)),IF(AND($Q$1=TRUE,$S$4=FALSE),IF(OR($Q$4=TRUE,$Q$5=TRUE,$S$2=TRUE),VLOOKUP($G409,'KO Calc'!$H:$AW,5,FALSE),VLOOKUP($G409,'KO Calc'!$H415:$AW415,5,FALSE)),
IF(AND($Q$1=TRUE,$S$1=TRUE,$S$4=TRUE)=TRUE,IF(OR($Q$4=TRUE,$Q$5=TRUE,$S$2=TRUE),VLOOKUP($G409,'KO Calc'!$H:$AW,20,FALSE),VLOOKUP($G409,'KO Calc'!$H415:$AW415,20,FALSE)),IF(AND($Q$1=TRUE,$S$4=TRUE),IF(OR($Q$4=TRUE,$Q$5=TRUE,$S$2=TRUE),VLOOKUP($G409,'KO Calc'!$H:$AW,10,FALSE),VLOOKUP($G409,'KO Calc'!$H415:$AW415,10,FALSE)),
IF(AND($S$3=TRUE,$S$1=TRUE,$S$4=FALSE)=TRUE,IF(OR($Q$4=TRUE,$Q$5=TRUE,$S$2=TRUE),VLOOKUP($G409,'KO Calc'!$H:$AW,35,FALSE),VLOOKUP($G409,'KO Calc'!$H415:$AW415,35,FALSE)),IF(AND($S$3=TRUE,$S$4=FALSE),IF(OR($Q$4=TRUE,$Q$5=TRUE,$S$2=TRUE),VLOOKUP($G409,'KO Calc'!$H:$AW,25,FALSE),VLOOKUP($G409,'KO Calc'!$H415:$AW415,25,FALSE)),
IF(AND($S$3=TRUE,$S$1=TRUE,$S$4=TRUE)=TRUE,IF(OR($Q$4=TRUE,$Q$5=TRUE,$S$2=TRUE),VLOOKUP($G409,'KO Calc'!$H:$AW,40,FALSE),VLOOKUP($G409,'KO Calc'!$H415:$AW415,40,FALSE)),IF(AND($S$3=TRUE,$S$4=TRUE),IF(OR($Q$4=TRUE,$Q$5=TRUE,$S$2=TRUE),VLOOKUP($G409,'KO Calc'!$H:$AW,30,FALSE),VLOOKUP($G409,'KO Calc'!$H415:$AW415,30,FALSE)))))))))))))</f>
        <v>-</v>
      </c>
      <c r="L409" s="36" t="str">
        <f>IFERROR(IF(AND($Q$1=FALSE,$S$3=FALSE),"-",VLOOKUP($E409,'Status Thresholds'!$E:$AU,41,FALSE)),"-")</f>
        <v>-</v>
      </c>
      <c r="M409" s="36" t="str">
        <f>IFERROR(IF(AND($Q$1=FALSE,$S$3=FALSE),"-",VLOOKUP($E409,'Status Thresholds'!$E:$AU,42,FALSE)),"-")</f>
        <v>-</v>
      </c>
      <c r="N409" s="36" t="str">
        <f>IFERROR(IF(AND($Q$1=FALSE,$S$3=FALSE),"-",VLOOKUP($E409,'Status Thresholds'!$E:$AU,43,FALSE)),"-")</f>
        <v>-</v>
      </c>
    </row>
    <row r="410" spans="1:14" x14ac:dyDescent="0.25">
      <c r="B410" s="64" t="str">
        <f>VLOOKUP(C410,'Status Thresholds'!B:C,2,FALSE)</f>
        <v>MHGen</v>
      </c>
      <c r="C410" s="46" t="str">
        <f>IF(ISBLANK('KO Calc'!C406)=TRUE,"",'KO Calc'!C406)</f>
        <v>Gypceros</v>
      </c>
      <c r="D410" s="78" t="s">
        <v>207</v>
      </c>
      <c r="E410" s="62" t="str">
        <f t="shared" si="11"/>
        <v>GypcerosShock Trap</v>
      </c>
      <c r="F410" t="s">
        <v>13</v>
      </c>
      <c r="G410" s="36" t="str">
        <f t="shared" si="12"/>
        <v>GypcerosCrag 3</v>
      </c>
      <c r="H410" s="36" t="str">
        <f>IF(AND($Q$1=FALSE,$S$3=FALSE),"-",IF(AND($Q$1=TRUE,$S$3=TRUE),"-",IF(AND($Q$1=FALSE,$S$3=FALSE),"-",IF(AND($Q$1=TRUE,$S$1=TRUE,$S$4=FALSE)=TRUE,IF(OR($Q$4=TRUE,$Q$5=TRUE,$S$2=TRUE),VLOOKUP($G410,'KO Calc'!$H:$AW,12,FALSE),VLOOKUP($G410,'KO Calc'!$H416:$AW416,12,FALSE)),IF(AND($Q$1=TRUE,$S$4=FALSE),IF(OR($Q$4=TRUE,$Q$5=TRUE,$S$2=TRUE),VLOOKUP($G410,'KO Calc'!$H:$AW,2,FALSE),VLOOKUP($G410,'KO Calc'!$H416:$AW416,2,FALSE)),
IF(AND($Q$1=TRUE,$S$1=TRUE,$S$4=TRUE)=TRUE,IF(OR($Q$4=TRUE,$Q$5=TRUE,$S$2=TRUE),VLOOKUP($G410,'KO Calc'!$H:$AW,17,FALSE),VLOOKUP($G410,'KO Calc'!$H416:$AW416,17,FALSE)),IF(AND($Q$1=TRUE,$S$4=TRUE),IF(OR($Q$4=TRUE,$Q$5=TRUE,$S$2=TRUE),VLOOKUP($G410,'KO Calc'!$H:$AW,7,FALSE),VLOOKUP($G410,'KO Calc'!$H416:$AW416,7,FALSE)),
IF(AND($S$3=TRUE,$S$1=TRUE,$S$4=FALSE)=TRUE,IF(OR($Q$4=TRUE,$Q$5=TRUE,$S$2=TRUE),VLOOKUP($G410,'KO Calc'!$H:$AW,32,FALSE),VLOOKUP($G410,'KO Calc'!$H416:$AW416,32,FALSE)),IF(AND($S$3=TRUE,$S$4=FALSE),IF(OR($Q$4=TRUE,$Q$5=TRUE,$S$2=TRUE),VLOOKUP($G410,'KO Calc'!$H:$AW,22,FALSE),VLOOKUP($G410,'KO Calc'!$H416:$AW416,22,FALSE)),
IF(AND($S$3=TRUE,$S$1=TRUE,$S$4=TRUE)=TRUE,IF(OR($Q$4=TRUE,$Q$5=TRUE,$S$2=TRUE),VLOOKUP($G410,'KO Calc'!$H:$AW,37,FALSE),VLOOKUP($G410,'KO Calc'!$H416:$AW416,37,FALSE)),IF(AND($S$3=TRUE,$S$4=TRUE),IF(OR($Q$4=TRUE,$Q$5=TRUE,$S$2=TRUE),VLOOKUP($G410,'KO Calc'!$H:$AW,27,FALSE),VLOOKUP($G410,'KO Calc'!$H416:$AW416,27,FALSE)))))))))))))</f>
        <v>-</v>
      </c>
      <c r="I410" s="36" t="str">
        <f>IF(AND($Q$1=FALSE,$S$3=FALSE),"-",IF(AND($Q$1=TRUE,$S$3=TRUE),"-",IF(AND($Q$1=FALSE,$S$3=FALSE),"-",IF(AND($Q$1=TRUE,$S$1=TRUE,$S$4=FALSE)=TRUE,IF(OR($Q$4=TRUE,$Q$5=TRUE,$S$2=TRUE),VLOOKUP($G410,'KO Calc'!$H:$AW,13,FALSE),VLOOKUP($G410,'KO Calc'!$H416:$AW416,13,FALSE)),IF(AND($Q$1=TRUE,$S$4=FALSE),IF(OR($Q$4=TRUE,$Q$5=TRUE,$S$2=TRUE),VLOOKUP($G410,'KO Calc'!$H:$AW,3,FALSE),VLOOKUP($G410,'KO Calc'!$H416:$AW416,3,FALSE)),
IF(AND($Q$1=TRUE,$S$1=TRUE,$S$4=TRUE)=TRUE,IF(OR($Q$4=TRUE,$Q$5=TRUE,$S$2=TRUE),VLOOKUP($G410,'KO Calc'!$H:$AW,18,FALSE),VLOOKUP($G410,'KO Calc'!$H416:$AW416,18,FALSE)),IF(AND($Q$1=TRUE,$S$4=TRUE),IF(OR($Q$4=TRUE,$Q$5=TRUE,$S$2=TRUE),VLOOKUP($G410,'KO Calc'!$H:$AW,8,FALSE),VLOOKUP($G410,'KO Calc'!$H416:$AW416,8,FALSE)),
IF(AND($S$3=TRUE,$S$1=TRUE,$S$4=FALSE)=TRUE,IF(OR($Q$4=TRUE,$Q$5=TRUE,$S$2=TRUE),VLOOKUP($G410,'KO Calc'!$H:$AW,33,FALSE),VLOOKUP($G410,'KO Calc'!$H416:$AW416,33,FALSE)),IF(AND($S$3=TRUE,$S$4=FALSE),IF(OR($Q$4=TRUE,$Q$5=TRUE,$S$2=TRUE),VLOOKUP($G410,'KO Calc'!$H:$AW,23,FALSE),VLOOKUP($G410,'KO Calc'!$H416:$AW416,23,FALSE)),
IF(AND($S$3=TRUE,$S$1=TRUE,$S$4=TRUE)=TRUE,IF(OR($Q$4=TRUE,$Q$5=TRUE,$S$2=TRUE),VLOOKUP($G410,'KO Calc'!$H:$AW,38,FALSE),VLOOKUP($G410,'KO Calc'!$H416:$AW416,38,FALSE)),IF(AND($S$3=TRUE,$S$4=TRUE),IF(OR($Q$4=TRUE,$Q$5=TRUE,$S$2=TRUE),VLOOKUP($G410,'KO Calc'!$H:$AW,28,FALSE),VLOOKUP($G410,'KO Calc'!$H416:$AW416,28,FALSE)))))))))))))</f>
        <v>-</v>
      </c>
      <c r="J410" s="36" t="str">
        <f>IF(AND($Q$1=FALSE,$S$3=FALSE),"-",IF(AND($Q$1=TRUE,$S$3=TRUE),"-",IF(AND($Q$1=FALSE,$S$3=FALSE),"-",IF(AND($Q$1=TRUE,$S$1=TRUE,$S$4=FALSE)=TRUE,IF(OR($Q$4=TRUE,$Q$5=TRUE,$S$2=TRUE),VLOOKUP($G410,'KO Calc'!$H:$AW,FALSE),VLOOKUP($G410,'KO Calc'!$H416:$AW416,14,FALSE)),IF(AND($Q$1=TRUE,$S$4=FALSE),IF(OR($Q$4=TRUE,$Q$5=TRUE,$S$2=TRUE),VLOOKUP($G410,'KO Calc'!$H:$AW,4,FALSE),VLOOKUP($G410,'KO Calc'!$H416:$AW416,4,FALSE)),
IF(AND($Q$1=TRUE,$S$1=TRUE,$S$4=TRUE)=TRUE,IF(OR($Q$4=TRUE,$Q$5=TRUE,$S$2=TRUE),VLOOKUP($G410,'KO Calc'!$H:$AW,19,FALSE),VLOOKUP($G410,'KO Calc'!$H416:$AW416,19,FALSE)),IF(AND($Q$1=TRUE,$S$4=TRUE),IF(OR($Q$4=TRUE,$Q$5=TRUE,$S$2=TRUE),VLOOKUP($G410,'KO Calc'!$H:$AW,9,FALSE),VLOOKUP($G410,'KO Calc'!$H416:$AW416,9,FALSE)),
IF(AND($S$3=TRUE,$S$1=TRUE,$S$4=FALSE)=TRUE,IF(OR($Q$4=TRUE,$Q$5=TRUE,$S$2=TRUE),VLOOKUP($G410,'KO Calc'!$H:$AW,34,FALSE),VLOOKUP($G410,'KO Calc'!$H416:$AW416,34,FALSE)),IF(AND($S$3=TRUE,$S$4=FALSE),IF(OR($Q$4=TRUE,$Q$5=TRUE,$S$2=TRUE),VLOOKUP($G410,'KO Calc'!$H:$AW,24,FALSE),VLOOKUP($G410,'KO Calc'!$H416:$AW416,24,FALSE)),
IF(AND($S$3=TRUE,$S$1=TRUE,$S$4=TRUE)=TRUE,IF(OR($Q$4=TRUE,$Q$5=TRUE,$S$2=TRUE),VLOOKUP($G410,'KO Calc'!$H:$AW,39,FALSE),VLOOKUP($G410,'KO Calc'!$H416:$AW416,39,FALSE)),IF(AND($S$3=TRUE,$S$4=TRUE),IF(OR($Q$4=TRUE,$Q$5=TRUE,$S$2=TRUE),VLOOKUP($G410,'KO Calc'!$H:$AW,29,FALSE),VLOOKUP($G410,'KO Calc'!$H416:$AW416,29,FALSE)))))))))))))</f>
        <v>-</v>
      </c>
      <c r="K410" s="36" t="str">
        <f>IF(AND($Q$1=FALSE,$S$3=FALSE),"-",IF(AND($Q$1=TRUE,$S$3=TRUE),"-",IF(AND($Q$1=FALSE,$S$3=FALSE),"-",IF(AND($Q$1=TRUE,$S$1=TRUE,$S$4=FALSE)=TRUE,IF(OR($Q$4=TRUE,$Q$5=TRUE,$S$2=TRUE),VLOOKUP($G410,'KO Calc'!$H:$AW,15,FALSE),VLOOKUP($G410,'KO Calc'!$H416:$AW416,15,FALSE)),IF(AND($Q$1=TRUE,$S$4=FALSE),IF(OR($Q$4=TRUE,$Q$5=TRUE,$S$2=TRUE),VLOOKUP($G410,'KO Calc'!$H:$AW,5,FALSE),VLOOKUP($G410,'KO Calc'!$H416:$AW416,5,FALSE)),
IF(AND($Q$1=TRUE,$S$1=TRUE,$S$4=TRUE)=TRUE,IF(OR($Q$4=TRUE,$Q$5=TRUE,$S$2=TRUE),VLOOKUP($G410,'KO Calc'!$H:$AW,20,FALSE),VLOOKUP($G410,'KO Calc'!$H416:$AW416,20,FALSE)),IF(AND($Q$1=TRUE,$S$4=TRUE),IF(OR($Q$4=TRUE,$Q$5=TRUE,$S$2=TRUE),VLOOKUP($G410,'KO Calc'!$H:$AW,10,FALSE),VLOOKUP($G410,'KO Calc'!$H416:$AW416,10,FALSE)),
IF(AND($S$3=TRUE,$S$1=TRUE,$S$4=FALSE)=TRUE,IF(OR($Q$4=TRUE,$Q$5=TRUE,$S$2=TRUE),VLOOKUP($G410,'KO Calc'!$H:$AW,35,FALSE),VLOOKUP($G410,'KO Calc'!$H416:$AW416,35,FALSE)),IF(AND($S$3=TRUE,$S$4=FALSE),IF(OR($Q$4=TRUE,$Q$5=TRUE,$S$2=TRUE),VLOOKUP($G410,'KO Calc'!$H:$AW,25,FALSE),VLOOKUP($G410,'KO Calc'!$H416:$AW416,25,FALSE)),
IF(AND($S$3=TRUE,$S$1=TRUE,$S$4=TRUE)=TRUE,IF(OR($Q$4=TRUE,$Q$5=TRUE,$S$2=TRUE),VLOOKUP($G410,'KO Calc'!$H:$AW,40,FALSE),VLOOKUP($G410,'KO Calc'!$H416:$AW416,40,FALSE)),IF(AND($S$3=TRUE,$S$4=TRUE),IF(OR($Q$4=TRUE,$Q$5=TRUE,$S$2=TRUE),VLOOKUP($G410,'KO Calc'!$H:$AW,30,FALSE),VLOOKUP($G410,'KO Calc'!$H416:$AW416,30,FALSE)))))))))))))</f>
        <v>-</v>
      </c>
      <c r="L410" s="36" t="str">
        <f>IFERROR(IF(AND($Q$1=FALSE,$S$3=FALSE),"-",VLOOKUP($E410,'Status Thresholds'!$E:$AU,43,FALSE)),"-")</f>
        <v>-</v>
      </c>
      <c r="M410" s="36" t="str">
        <f>IFERROR(IF(AND($Q$1=FALSE,$S$3=FALSE),"-",VLOOKUP($E410,'Status Thresholds'!$E:$AU,41,FALSE)),"-")</f>
        <v>-</v>
      </c>
      <c r="N410" s="36" t="str">
        <f>IFERROR(IF(AND($Q$1=FALSE,$S$3=FALSE),"-",VLOOKUP($E410,'Status Thresholds'!$E:$AU,42,FALSE)),"-")</f>
        <v>-</v>
      </c>
    </row>
    <row r="411" spans="1:14" x14ac:dyDescent="0.25">
      <c r="B411" s="64" t="str">
        <f>VLOOKUP(C411,'Status Thresholds'!B:C,2,FALSE)</f>
        <v>MHGen</v>
      </c>
      <c r="C411" s="46" t="str">
        <f>IF(ISBLANK('KO Calc'!C407)=TRUE,"",'KO Calc'!C407)</f>
        <v>Gypceros</v>
      </c>
      <c r="D411" s="78" t="s">
        <v>213</v>
      </c>
      <c r="E411" s="62" t="str">
        <f t="shared" si="11"/>
        <v>GypcerosPitfall Trap</v>
      </c>
      <c r="F411" t="s">
        <v>12</v>
      </c>
      <c r="G411" s="36" t="str">
        <f t="shared" si="12"/>
        <v>GypcerosCrag 2</v>
      </c>
      <c r="H411" s="36" t="str">
        <f>IF(AND($Q$1=FALSE,$S$3=FALSE),"-",IF(AND($Q$1=TRUE,$S$3=TRUE),"-",IF(AND($Q$1=FALSE,$S$3=FALSE),"-",IF(AND($Q$1=TRUE,$S$1=TRUE,$S$4=FALSE)=TRUE,IF(OR($Q$4=TRUE,$Q$5=TRUE,$S$2=TRUE),VLOOKUP($G411,'KO Calc'!$H:$AW,12,FALSE),VLOOKUP($G411,'KO Calc'!$H417:$AW417,12,FALSE)),IF(AND($Q$1=TRUE,$S$4=FALSE),IF(OR($Q$4=TRUE,$Q$5=TRUE,$S$2=TRUE),VLOOKUP($G411,'KO Calc'!$H:$AW,2,FALSE),VLOOKUP($G411,'KO Calc'!$H417:$AW417,2,FALSE)),
IF(AND($Q$1=TRUE,$S$1=TRUE,$S$4=TRUE)=TRUE,IF(OR($Q$4=TRUE,$Q$5=TRUE,$S$2=TRUE),VLOOKUP($G411,'KO Calc'!$H:$AW,17,FALSE),VLOOKUP($G411,'KO Calc'!$H417:$AW417,17,FALSE)),IF(AND($Q$1=TRUE,$S$4=TRUE),IF(OR($Q$4=TRUE,$Q$5=TRUE,$S$2=TRUE),VLOOKUP($G411,'KO Calc'!$H:$AW,7,FALSE),VLOOKUP($G411,'KO Calc'!$H417:$AW417,7,FALSE)),
IF(AND($S$3=TRUE,$S$1=TRUE,$S$4=FALSE)=TRUE,IF(OR($Q$4=TRUE,$Q$5=TRUE,$S$2=TRUE),VLOOKUP($G411,'KO Calc'!$H:$AW,32,FALSE),VLOOKUP($G411,'KO Calc'!$H417:$AW417,32,FALSE)),IF(AND($S$3=TRUE,$S$4=FALSE),IF(OR($Q$4=TRUE,$Q$5=TRUE,$S$2=TRUE),VLOOKUP($G411,'KO Calc'!$H:$AW,22,FALSE),VLOOKUP($G411,'KO Calc'!$H417:$AW417,22,FALSE)),
IF(AND($S$3=TRUE,$S$1=TRUE,$S$4=TRUE)=TRUE,IF(OR($Q$4=TRUE,$Q$5=TRUE,$S$2=TRUE),VLOOKUP($G411,'KO Calc'!$H:$AW,37,FALSE),VLOOKUP($G411,'KO Calc'!$H417:$AW417,37,FALSE)),IF(AND($S$3=TRUE,$S$4=TRUE),IF(OR($Q$4=TRUE,$Q$5=TRUE,$S$2=TRUE),VLOOKUP($G411,'KO Calc'!$H:$AW,27,FALSE),VLOOKUP($G411,'KO Calc'!$H417:$AW417,27,FALSE)))))))))))))</f>
        <v>-</v>
      </c>
      <c r="I411" s="36" t="str">
        <f>IF(AND($Q$1=FALSE,$S$3=FALSE),"-",IF(AND($Q$1=TRUE,$S$3=TRUE),"-",IF(AND($Q$1=FALSE,$S$3=FALSE),"-",IF(AND($Q$1=TRUE,$S$1=TRUE,$S$4=FALSE)=TRUE,IF(OR($Q$4=TRUE,$Q$5=TRUE,$S$2=TRUE),VLOOKUP($G411,'KO Calc'!$H:$AW,13,FALSE),VLOOKUP($G411,'KO Calc'!$H417:$AW417,13,FALSE)),IF(AND($Q$1=TRUE,$S$4=FALSE),IF(OR($Q$4=TRUE,$Q$5=TRUE,$S$2=TRUE),VLOOKUP($G411,'KO Calc'!$H:$AW,3,FALSE),VLOOKUP($G411,'KO Calc'!$H417:$AW417,3,FALSE)),
IF(AND($Q$1=TRUE,$S$1=TRUE,$S$4=TRUE)=TRUE,IF(OR($Q$4=TRUE,$Q$5=TRUE,$S$2=TRUE),VLOOKUP($G411,'KO Calc'!$H:$AW,18,FALSE),VLOOKUP($G411,'KO Calc'!$H417:$AW417,18,FALSE)),IF(AND($Q$1=TRUE,$S$4=TRUE),IF(OR($Q$4=TRUE,$Q$5=TRUE,$S$2=TRUE),VLOOKUP($G411,'KO Calc'!$H:$AW,8,FALSE),VLOOKUP($G411,'KO Calc'!$H417:$AW417,8,FALSE)),
IF(AND($S$3=TRUE,$S$1=TRUE,$S$4=FALSE)=TRUE,IF(OR($Q$4=TRUE,$Q$5=TRUE,$S$2=TRUE),VLOOKUP($G411,'KO Calc'!$H:$AW,33,FALSE),VLOOKUP($G411,'KO Calc'!$H417:$AW417,33,FALSE)),IF(AND($S$3=TRUE,$S$4=FALSE),IF(OR($Q$4=TRUE,$Q$5=TRUE,$S$2=TRUE),VLOOKUP($G411,'KO Calc'!$H:$AW,23,FALSE),VLOOKUP($G411,'KO Calc'!$H417:$AW417,23,FALSE)),
IF(AND($S$3=TRUE,$S$1=TRUE,$S$4=TRUE)=TRUE,IF(OR($Q$4=TRUE,$Q$5=TRUE,$S$2=TRUE),VLOOKUP($G411,'KO Calc'!$H:$AW,38,FALSE),VLOOKUP($G411,'KO Calc'!$H417:$AW417,38,FALSE)),IF(AND($S$3=TRUE,$S$4=TRUE),IF(OR($Q$4=TRUE,$Q$5=TRUE,$S$2=TRUE),VLOOKUP($G411,'KO Calc'!$H:$AW,28,FALSE),VLOOKUP($G411,'KO Calc'!$H417:$AW417,28,FALSE)))))))))))))</f>
        <v>-</v>
      </c>
      <c r="J411" s="36" t="str">
        <f>IF(AND($Q$1=FALSE,$S$3=FALSE),"-",IF(AND($Q$1=TRUE,$S$3=TRUE),"-",IF(AND($Q$1=FALSE,$S$3=FALSE),"-",IF(AND($Q$1=TRUE,$S$1=TRUE,$S$4=FALSE)=TRUE,IF(OR($Q$4=TRUE,$Q$5=TRUE,$S$2=TRUE),VLOOKUP($G411,'KO Calc'!$H:$AW,FALSE),VLOOKUP($G411,'KO Calc'!$H417:$AW417,14,FALSE)),IF(AND($Q$1=TRUE,$S$4=FALSE),IF(OR($Q$4=TRUE,$Q$5=TRUE,$S$2=TRUE),VLOOKUP($G411,'KO Calc'!$H:$AW,4,FALSE),VLOOKUP($G411,'KO Calc'!$H417:$AW417,4,FALSE)),
IF(AND($Q$1=TRUE,$S$1=TRUE,$S$4=TRUE)=TRUE,IF(OR($Q$4=TRUE,$Q$5=TRUE,$S$2=TRUE),VLOOKUP($G411,'KO Calc'!$H:$AW,19,FALSE),VLOOKUP($G411,'KO Calc'!$H417:$AW417,19,FALSE)),IF(AND($Q$1=TRUE,$S$4=TRUE),IF(OR($Q$4=TRUE,$Q$5=TRUE,$S$2=TRUE),VLOOKUP($G411,'KO Calc'!$H:$AW,9,FALSE),VLOOKUP($G411,'KO Calc'!$H417:$AW417,9,FALSE)),
IF(AND($S$3=TRUE,$S$1=TRUE,$S$4=FALSE)=TRUE,IF(OR($Q$4=TRUE,$Q$5=TRUE,$S$2=TRUE),VLOOKUP($G411,'KO Calc'!$H:$AW,34,FALSE),VLOOKUP($G411,'KO Calc'!$H417:$AW417,34,FALSE)),IF(AND($S$3=TRUE,$S$4=FALSE),IF(OR($Q$4=TRUE,$Q$5=TRUE,$S$2=TRUE),VLOOKUP($G411,'KO Calc'!$H:$AW,24,FALSE),VLOOKUP($G411,'KO Calc'!$H417:$AW417,24,FALSE)),
IF(AND($S$3=TRUE,$S$1=TRUE,$S$4=TRUE)=TRUE,IF(OR($Q$4=TRUE,$Q$5=TRUE,$S$2=TRUE),VLOOKUP($G411,'KO Calc'!$H:$AW,39,FALSE),VLOOKUP($G411,'KO Calc'!$H417:$AW417,39,FALSE)),IF(AND($S$3=TRUE,$S$4=TRUE),IF(OR($Q$4=TRUE,$Q$5=TRUE,$S$2=TRUE),VLOOKUP($G411,'KO Calc'!$H:$AW,29,FALSE),VLOOKUP($G411,'KO Calc'!$H417:$AW417,29,FALSE)))))))))))))</f>
        <v>-</v>
      </c>
      <c r="K411" s="36" t="str">
        <f>IF(AND($Q$1=FALSE,$S$3=FALSE),"-",IF(AND($Q$1=TRUE,$S$3=TRUE),"-",IF(AND($Q$1=FALSE,$S$3=FALSE),"-",IF(AND($Q$1=TRUE,$S$1=TRUE,$S$4=FALSE)=TRUE,IF(OR($Q$4=TRUE,$Q$5=TRUE,$S$2=TRUE),VLOOKUP($G411,'KO Calc'!$H:$AW,15,FALSE),VLOOKUP($G411,'KO Calc'!$H417:$AW417,15,FALSE)),IF(AND($Q$1=TRUE,$S$4=FALSE),IF(OR($Q$4=TRUE,$Q$5=TRUE,$S$2=TRUE),VLOOKUP($G411,'KO Calc'!$H:$AW,5,FALSE),VLOOKUP($G411,'KO Calc'!$H417:$AW417,5,FALSE)),
IF(AND($Q$1=TRUE,$S$1=TRUE,$S$4=TRUE)=TRUE,IF(OR($Q$4=TRUE,$Q$5=TRUE,$S$2=TRUE),VLOOKUP($G411,'KO Calc'!$H:$AW,20,FALSE),VLOOKUP($G411,'KO Calc'!$H417:$AW417,20,FALSE)),IF(AND($Q$1=TRUE,$S$4=TRUE),IF(OR($Q$4=TRUE,$Q$5=TRUE,$S$2=TRUE),VLOOKUP($G411,'KO Calc'!$H:$AW,10,FALSE),VLOOKUP($G411,'KO Calc'!$H417:$AW417,10,FALSE)),
IF(AND($S$3=TRUE,$S$1=TRUE,$S$4=FALSE)=TRUE,IF(OR($Q$4=TRUE,$Q$5=TRUE,$S$2=TRUE),VLOOKUP($G411,'KO Calc'!$H:$AW,35,FALSE),VLOOKUP($G411,'KO Calc'!$H417:$AW417,35,FALSE)),IF(AND($S$3=TRUE,$S$4=FALSE),IF(OR($Q$4=TRUE,$Q$5=TRUE,$S$2=TRUE),VLOOKUP($G411,'KO Calc'!$H:$AW,25,FALSE),VLOOKUP($G411,'KO Calc'!$H417:$AW417,25,FALSE)),
IF(AND($S$3=TRUE,$S$1=TRUE,$S$4=TRUE)=TRUE,IF(OR($Q$4=TRUE,$Q$5=TRUE,$S$2=TRUE),VLOOKUP($G411,'KO Calc'!$H:$AW,40,FALSE),VLOOKUP($G411,'KO Calc'!$H417:$AW417,40,FALSE)),IF(AND($S$3=TRUE,$S$4=TRUE),IF(OR($Q$4=TRUE,$Q$5=TRUE,$S$2=TRUE),VLOOKUP($G411,'KO Calc'!$H:$AW,30,FALSE),VLOOKUP($G411,'KO Calc'!$H417:$AW417,30,FALSE)))))))))))))</f>
        <v>-</v>
      </c>
      <c r="L411" s="36" t="str">
        <f>IFERROR(IF(AND($Q$1=FALSE,$S$3=FALSE),"-",VLOOKUP($E411,'Status Thresholds'!$E:$AU,43,FALSE)),"-")</f>
        <v>-</v>
      </c>
      <c r="M411" s="36" t="str">
        <f>IFERROR(IF(AND($Q$1=FALSE,$S$3=FALSE),"-",VLOOKUP($E411,'Status Thresholds'!$E:$AU,41,FALSE)),"-")</f>
        <v>-</v>
      </c>
      <c r="N411" s="36" t="str">
        <f>IFERROR(IF(AND($Q$1=FALSE,$S$3=FALSE),"-",VLOOKUP($E411,'Status Thresholds'!$E:$AU,42,FALSE)),"-")</f>
        <v>-</v>
      </c>
    </row>
    <row r="412" spans="1:14" x14ac:dyDescent="0.25">
      <c r="B412" s="64" t="str">
        <f>VLOOKUP(C412,'Status Thresholds'!B:C,2,FALSE)</f>
        <v>MHGen</v>
      </c>
      <c r="C412" s="46" t="str">
        <f>IF(ISBLANK('KO Calc'!C408)=TRUE,"",'KO Calc'!C408)</f>
        <v>Gypceros</v>
      </c>
      <c r="D412" s="78"/>
      <c r="E412" s="62" t="str">
        <f t="shared" si="11"/>
        <v>Gypceros</v>
      </c>
      <c r="F412" t="s">
        <v>11</v>
      </c>
      <c r="G412" s="36" t="str">
        <f t="shared" si="12"/>
        <v>GypcerosCrag 1</v>
      </c>
      <c r="H412" s="36" t="str">
        <f>IF(AND($Q$1=FALSE,$S$3=FALSE),"-",IF(AND($Q$1=TRUE,$S$3=TRUE),"-",IF(AND($Q$1=FALSE,$S$3=FALSE),"-",IF(AND($Q$1=TRUE,$S$1=TRUE,$S$4=FALSE)=TRUE,IF(OR($Q$4=TRUE,$Q$5=TRUE,$S$2=TRUE),VLOOKUP($G412,'KO Calc'!$H:$AW,12,FALSE),VLOOKUP($G412,'KO Calc'!$H418:$AW418,12,FALSE)),IF(AND($Q$1=TRUE,$S$4=FALSE),IF(OR($Q$4=TRUE,$Q$5=TRUE,$S$2=TRUE),VLOOKUP($G412,'KO Calc'!$H:$AW,2,FALSE),VLOOKUP($G412,'KO Calc'!$H418:$AW418,2,FALSE)),
IF(AND($Q$1=TRUE,$S$1=TRUE,$S$4=TRUE)=TRUE,IF(OR($Q$4=TRUE,$Q$5=TRUE,$S$2=TRUE),VLOOKUP($G412,'KO Calc'!$H:$AW,17,FALSE),VLOOKUP($G412,'KO Calc'!$H418:$AW418,17,FALSE)),IF(AND($Q$1=TRUE,$S$4=TRUE),IF(OR($Q$4=TRUE,$Q$5=TRUE,$S$2=TRUE),VLOOKUP($G412,'KO Calc'!$H:$AW,7,FALSE),VLOOKUP($G412,'KO Calc'!$H418:$AW418,7,FALSE)),
IF(AND($S$3=TRUE,$S$1=TRUE,$S$4=FALSE)=TRUE,IF(OR($Q$4=TRUE,$Q$5=TRUE,$S$2=TRUE),VLOOKUP($G412,'KO Calc'!$H:$AW,32,FALSE),VLOOKUP($G412,'KO Calc'!$H418:$AW418,32,FALSE)),IF(AND($S$3=TRUE,$S$4=FALSE),IF(OR($Q$4=TRUE,$Q$5=TRUE,$S$2=TRUE),VLOOKUP($G412,'KO Calc'!$H:$AW,22,FALSE),VLOOKUP($G412,'KO Calc'!$H418:$AW418,22,FALSE)),
IF(AND($S$3=TRUE,$S$1=TRUE,$S$4=TRUE)=TRUE,IF(OR($Q$4=TRUE,$Q$5=TRUE,$S$2=TRUE),VLOOKUP($G412,'KO Calc'!$H:$AW,37,FALSE),VLOOKUP($G412,'KO Calc'!$H418:$AW418,37,FALSE)),IF(AND($S$3=TRUE,$S$4=TRUE),IF(OR($Q$4=TRUE,$Q$5=TRUE,$S$2=TRUE),VLOOKUP($G412,'KO Calc'!$H:$AW,27,FALSE),VLOOKUP($G412,'KO Calc'!$H418:$AW418,27,FALSE)))))))))))))</f>
        <v>-</v>
      </c>
      <c r="I412" s="36" t="str">
        <f>IF(AND($Q$1=FALSE,$S$3=FALSE),"-",IF(AND($Q$1=TRUE,$S$3=TRUE),"-",IF(AND($Q$1=FALSE,$S$3=FALSE),"-",IF(AND($Q$1=TRUE,$S$1=TRUE,$S$4=FALSE)=TRUE,IF(OR($Q$4=TRUE,$Q$5=TRUE,$S$2=TRUE),VLOOKUP($G412,'KO Calc'!$H:$AW,13,FALSE),VLOOKUP($G412,'KO Calc'!$H418:$AW418,13,FALSE)),IF(AND($Q$1=TRUE,$S$4=FALSE),IF(OR($Q$4=TRUE,$Q$5=TRUE,$S$2=TRUE),VLOOKUP($G412,'KO Calc'!$H:$AW,3,FALSE),VLOOKUP($G412,'KO Calc'!$H418:$AW418,3,FALSE)),
IF(AND($Q$1=TRUE,$S$1=TRUE,$S$4=TRUE)=TRUE,IF(OR($Q$4=TRUE,$Q$5=TRUE,$S$2=TRUE),VLOOKUP($G412,'KO Calc'!$H:$AW,18,FALSE),VLOOKUP($G412,'KO Calc'!$H418:$AW418,18,FALSE)),IF(AND($Q$1=TRUE,$S$4=TRUE),IF(OR($Q$4=TRUE,$Q$5=TRUE,$S$2=TRUE),VLOOKUP($G412,'KO Calc'!$H:$AW,8,FALSE),VLOOKUP($G412,'KO Calc'!$H418:$AW418,8,FALSE)),
IF(AND($S$3=TRUE,$S$1=TRUE,$S$4=FALSE)=TRUE,IF(OR($Q$4=TRUE,$Q$5=TRUE,$S$2=TRUE),VLOOKUP($G412,'KO Calc'!$H:$AW,33,FALSE),VLOOKUP($G412,'KO Calc'!$H418:$AW418,33,FALSE)),IF(AND($S$3=TRUE,$S$4=FALSE),IF(OR($Q$4=TRUE,$Q$5=TRUE,$S$2=TRUE),VLOOKUP($G412,'KO Calc'!$H:$AW,23,FALSE),VLOOKUP($G412,'KO Calc'!$H418:$AW418,23,FALSE)),
IF(AND($S$3=TRUE,$S$1=TRUE,$S$4=TRUE)=TRUE,IF(OR($Q$4=TRUE,$Q$5=TRUE,$S$2=TRUE),VLOOKUP($G412,'KO Calc'!$H:$AW,38,FALSE),VLOOKUP($G412,'KO Calc'!$H418:$AW418,38,FALSE)),IF(AND($S$3=TRUE,$S$4=TRUE),IF(OR($Q$4=TRUE,$Q$5=TRUE,$S$2=TRUE),VLOOKUP($G412,'KO Calc'!$H:$AW,28,FALSE),VLOOKUP($G412,'KO Calc'!$H418:$AW418,28,FALSE)))))))))))))</f>
        <v>-</v>
      </c>
      <c r="J412" s="36" t="str">
        <f>IF(AND($Q$1=FALSE,$S$3=FALSE),"-",IF(AND($Q$1=TRUE,$S$3=TRUE),"-",IF(AND($Q$1=FALSE,$S$3=FALSE),"-",IF(AND($Q$1=TRUE,$S$1=TRUE,$S$4=FALSE)=TRUE,IF(OR($Q$4=TRUE,$Q$5=TRUE,$S$2=TRUE),VLOOKUP($G412,'KO Calc'!$H:$AW,FALSE),VLOOKUP($G412,'KO Calc'!$H418:$AW418,14,FALSE)),IF(AND($Q$1=TRUE,$S$4=FALSE),IF(OR($Q$4=TRUE,$Q$5=TRUE,$S$2=TRUE),VLOOKUP($G412,'KO Calc'!$H:$AW,4,FALSE),VLOOKUP($G412,'KO Calc'!$H418:$AW418,4,FALSE)),
IF(AND($Q$1=TRUE,$S$1=TRUE,$S$4=TRUE)=TRUE,IF(OR($Q$4=TRUE,$Q$5=TRUE,$S$2=TRUE),VLOOKUP($G412,'KO Calc'!$H:$AW,19,FALSE),VLOOKUP($G412,'KO Calc'!$H418:$AW418,19,FALSE)),IF(AND($Q$1=TRUE,$S$4=TRUE),IF(OR($Q$4=TRUE,$Q$5=TRUE,$S$2=TRUE),VLOOKUP($G412,'KO Calc'!$H:$AW,9,FALSE),VLOOKUP($G412,'KO Calc'!$H418:$AW418,9,FALSE)),
IF(AND($S$3=TRUE,$S$1=TRUE,$S$4=FALSE)=TRUE,IF(OR($Q$4=TRUE,$Q$5=TRUE,$S$2=TRUE),VLOOKUP($G412,'KO Calc'!$H:$AW,34,FALSE),VLOOKUP($G412,'KO Calc'!$H418:$AW418,34,FALSE)),IF(AND($S$3=TRUE,$S$4=FALSE),IF(OR($Q$4=TRUE,$Q$5=TRUE,$S$2=TRUE),VLOOKUP($G412,'KO Calc'!$H:$AW,24,FALSE),VLOOKUP($G412,'KO Calc'!$H418:$AW418,24,FALSE)),
IF(AND($S$3=TRUE,$S$1=TRUE,$S$4=TRUE)=TRUE,IF(OR($Q$4=TRUE,$Q$5=TRUE,$S$2=TRUE),VLOOKUP($G412,'KO Calc'!$H:$AW,39,FALSE),VLOOKUP($G412,'KO Calc'!$H418:$AW418,39,FALSE)),IF(AND($S$3=TRUE,$S$4=TRUE),IF(OR($Q$4=TRUE,$Q$5=TRUE,$S$2=TRUE),VLOOKUP($G412,'KO Calc'!$H:$AW,29,FALSE),VLOOKUP($G412,'KO Calc'!$H418:$AW418,29,FALSE)))))))))))))</f>
        <v>-</v>
      </c>
      <c r="K412" s="36" t="str">
        <f>IF(AND($Q$1=FALSE,$S$3=FALSE),"-",IF(AND($Q$1=TRUE,$S$3=TRUE),"-",IF(AND($Q$1=FALSE,$S$3=FALSE),"-",IF(AND($Q$1=TRUE,$S$1=TRUE,$S$4=FALSE)=TRUE,IF(OR($Q$4=TRUE,$Q$5=TRUE,$S$2=TRUE),VLOOKUP($G412,'KO Calc'!$H:$AW,15,FALSE),VLOOKUP($G412,'KO Calc'!$H418:$AW418,15,FALSE)),IF(AND($Q$1=TRUE,$S$4=FALSE),IF(OR($Q$4=TRUE,$Q$5=TRUE,$S$2=TRUE),VLOOKUP($G412,'KO Calc'!$H:$AW,5,FALSE),VLOOKUP($G412,'KO Calc'!$H418:$AW418,5,FALSE)),
IF(AND($Q$1=TRUE,$S$1=TRUE,$S$4=TRUE)=TRUE,IF(OR($Q$4=TRUE,$Q$5=TRUE,$S$2=TRUE),VLOOKUP($G412,'KO Calc'!$H:$AW,20,FALSE),VLOOKUP($G412,'KO Calc'!$H418:$AW418,20,FALSE)),IF(AND($Q$1=TRUE,$S$4=TRUE),IF(OR($Q$4=TRUE,$Q$5=TRUE,$S$2=TRUE),VLOOKUP($G412,'KO Calc'!$H:$AW,10,FALSE),VLOOKUP($G412,'KO Calc'!$H418:$AW418,10,FALSE)),
IF(AND($S$3=TRUE,$S$1=TRUE,$S$4=FALSE)=TRUE,IF(OR($Q$4=TRUE,$Q$5=TRUE,$S$2=TRUE),VLOOKUP($G412,'KO Calc'!$H:$AW,35,FALSE),VLOOKUP($G412,'KO Calc'!$H418:$AW418,35,FALSE)),IF(AND($S$3=TRUE,$S$4=FALSE),IF(OR($Q$4=TRUE,$Q$5=TRUE,$S$2=TRUE),VLOOKUP($G412,'KO Calc'!$H:$AW,25,FALSE),VLOOKUP($G412,'KO Calc'!$H418:$AW418,25,FALSE)),
IF(AND($S$3=TRUE,$S$1=TRUE,$S$4=TRUE)=TRUE,IF(OR($Q$4=TRUE,$Q$5=TRUE,$S$2=TRUE),VLOOKUP($G412,'KO Calc'!$H:$AW,40,FALSE),VLOOKUP($G412,'KO Calc'!$H418:$AW418,40,FALSE)),IF(AND($S$3=TRUE,$S$4=TRUE),IF(OR($Q$4=TRUE,$Q$5=TRUE,$S$2=TRUE),VLOOKUP($G412,'KO Calc'!$H:$AW,30,FALSE),VLOOKUP($G412,'KO Calc'!$H418:$AW418,30,FALSE)))))))))))))</f>
        <v>-</v>
      </c>
      <c r="L412" s="36" t="str">
        <f>IFERROR(VLOOKUP($E412,'Status Thresholds'!$E:$AS,41,FALSE),"-")</f>
        <v>-</v>
      </c>
    </row>
    <row r="413" spans="1:14" x14ac:dyDescent="0.25">
      <c r="B413" s="64" t="str">
        <f>VLOOKUP(C413,'Status Thresholds'!B:C,2,FALSE)</f>
        <v>MHGen</v>
      </c>
      <c r="C413" s="46" t="str">
        <f>IF(ISBLANK('KO Calc'!C409)=TRUE,"",'KO Calc'!C409)</f>
        <v>Gypceros</v>
      </c>
      <c r="D413" s="78"/>
      <c r="E413" s="62"/>
      <c r="G413" s="36"/>
      <c r="L413" s="36" t="str">
        <f>IFERROR(VLOOKUP($E413,'Status Thresholds'!$E:$AS,41,FALSE),"-")</f>
        <v>-</v>
      </c>
    </row>
    <row r="414" spans="1:14" s="36" customFormat="1" x14ac:dyDescent="0.25">
      <c r="B414" s="64" t="str">
        <f>VLOOKUP(C414,'Status Thresholds'!B:C,2,FALSE)</f>
        <v>Deviant</v>
      </c>
      <c r="C414" s="46" t="str">
        <f>IF(ISBLANK('KO Calc'!C410)=TRUE,"",'KO Calc'!C410)</f>
        <v>Hellblade Glavenus</v>
      </c>
      <c r="D414" s="65" t="s">
        <v>0</v>
      </c>
      <c r="E414" s="62" t="str">
        <f t="shared" si="11"/>
        <v>Hellblade GlavenusPara</v>
      </c>
      <c r="F414" s="36" t="s">
        <v>2</v>
      </c>
      <c r="G414" s="36" t="str">
        <f t="shared" si="12"/>
        <v>Hellblade GlavenusPara lvl 2</v>
      </c>
      <c r="H414" s="36" t="str">
        <f>IFERROR(ROUNDUP(IF(AND($Q$1=FALSE,$S$3=FALSE),"-",IF(AND($Q$1=TRUE,$S$3=TRUE),"-",IF(AND($Q$1=TRUE,$S$1=TRUE,$S$4=FALSE),VLOOKUP($E414,'Status Thresholds'!$E:$AS,12,FALSE),IF(AND($Q$1=TRUE,$S$4=FALSE),VLOOKUP($E414,'Status Thresholds'!$E:$AS,2,FALSE), IF(AND($Q$1=TRUE,$S$1=TRUE,$S$4=TRUE),VLOOKUP($E414,'Status Thresholds'!$E:$AS,17,FALSE),IF(AND($Q$1=TRUE,$S$4=TRUE),VLOOKUP($E414,'Status Thresholds'!$E:$AS,7,FALSE),IF(AND($S$3=TRUE,$S$1=TRUE,$S$4=FALSE),VLOOKUP($E414,'Status Thresholds'!$E:$AS,32,FALSE),IF(AND($S$3=TRUE,$S$4=FALSE),VLOOKUP($E414,'Status Thresholds'!$E:$AS,22,FALSE),IF(AND($S$3=TRUE,$S$1=TRUE,$S$4=TRUE),VLOOKUP($E414,'Status Thresholds'!$E:$AS,37,FALSE),IF(AND($S$3=TRUE,$S$4=TRUE),VLOOKUP($E414,'Status Thresholds'!$E:$AS,27,FALSE),""))))))))/IF(OR($Q$3=TRUE,AND($Q$2=TRUE,$Q$7=TRUE),AND($Q$3=TRUE,$Q$7=TRUE))=TRUE,'Shots and Status'!$F$5,IF((OR($Q$2,$Q$7)=TRUE),'Shots and Status'!$D$5,'Shots and Status'!$C$5)))),0),"-")</f>
        <v>-</v>
      </c>
      <c r="I414" s="36" t="str">
        <f>IFERROR(ROUNDUP(IF(AND($Q$1=FALSE,$S$3=FALSE),"-",IF(AND($Q$1=TRUE,$S$3=TRUE),"-",IF(AND($Q$1=TRUE,$S$1=TRUE,$S$4=FALSE),VLOOKUP($E414,'Status Thresholds'!$E:$AS,13,FALSE),IF(AND($Q$1=TRUE,$S$4=FALSE),VLOOKUP($E414,'Status Thresholds'!$E:$AS,3,FALSE), IF(AND($Q$1=TRUE,$S$1=TRUE,$S$4=TRUE),VLOOKUP($E414,'Status Thresholds'!$E:$AS,18,FALSE),IF(AND($Q$1=TRUE,$S$4=TRUE),VLOOKUP($E414,'Status Thresholds'!$E:$AS,8,FALSE),IF(AND($S$3=TRUE,$S$1=TRUE,$S$4=FALSE),VLOOKUP($E414,'Status Thresholds'!$E:$AS,33,FALSE),IF(AND($S$3=TRUE,$S$4=FALSE),VLOOKUP($E414,'Status Thresholds'!$E:$AS,23,FALSE),IF(AND($S$3=TRUE,$S$1=TRUE,$S$4=TRUE),VLOOKUP($E414,'Status Thresholds'!$E:$AS,38,FALSE),IF(AND($S$3=TRUE,$S$4=TRUE),VLOOKUP($E414,'Status Thresholds'!$E:$AS,28,FALSE),""))))))))/IF(OR($Q$3=TRUE,AND($Q$2=TRUE,$Q$7=TRUE),AND($Q$3=TRUE,$Q$7=TRUE))=TRUE,'Shots and Status'!$F$5,IF((OR($Q$2,$Q$7)=TRUE),'Shots and Status'!$D$5,'Shots and Status'!$C$5)))),0),"-")</f>
        <v>-</v>
      </c>
      <c r="J414" s="36" t="str">
        <f>IFERROR(ROUNDUP(IF(AND($Q$1=FALSE,$S$3=FALSE),"-",IF(AND($Q$1=TRUE,$S$3=TRUE),"-",IF(AND($Q$1=TRUE,$S$1=TRUE,$S$4=FALSE),VLOOKUP($E414,'Status Thresholds'!$E:$AS,14,FALSE),IF(AND($Q$1=TRUE,$S$4=FALSE),VLOOKUP($E414,'Status Thresholds'!$E:$AS,4,FALSE), IF(AND($Q$1=TRUE,$S$1=TRUE,$S$4=TRUE),VLOOKUP($E414,'Status Thresholds'!$E:$AS,19,FALSE),IF(AND($Q$1=TRUE,$S$4=TRUE),VLOOKUP($E414,'Status Thresholds'!$E:$AS,9,FALSE),IF(AND($S$3=TRUE,$S$1=TRUE,$S$4=FALSE),VLOOKUP($E414,'Status Thresholds'!$E:$AS,34,FALSE),IF(AND($S$3=TRUE,$S$4=FALSE),VLOOKUP($E414,'Status Thresholds'!$E:$AS,24,FALSE),IF(AND($S$3=TRUE,$S$1=TRUE,$S$4=TRUE),VLOOKUP($E414,'Status Thresholds'!$E:$AS,39,FALSE),IF(AND($S$3=TRUE,$S$4=TRUE),VLOOKUP($E414,'Status Thresholds'!$E:$AS,29,FALSE),""))))))))/IF(OR($Q$3=TRUE,AND($Q$2=TRUE,$Q$7=TRUE),AND($Q$3=TRUE,$Q$7=TRUE))=TRUE,'Shots and Status'!$F$5,IF((OR($Q$2,$Q$7)=TRUE),'Shots and Status'!$D$5,'Shots and Status'!$C$5)))),0),"-")</f>
        <v>-</v>
      </c>
      <c r="K414" s="36" t="str">
        <f>IFERROR(ROUNDUP(IF(AND($Q$1=FALSE,$S$3=FALSE),"-",IF(AND($Q$1=TRUE,$S$3=TRUE),"-",IF(AND($Q$1=TRUE,$S$1=TRUE,$S$4=FALSE),VLOOKUP($E414,'Status Thresholds'!$E:$AS,15,FALSE),IF(AND($Q$1=TRUE,$S$4=FALSE),VLOOKUP($E414,'Status Thresholds'!$E:$AS,5,FALSE), IF(AND($Q$1=TRUE,$S$1=TRUE,$S$4=TRUE),VLOOKUP($E414,'Status Thresholds'!$E:$AS,20,FALSE),IF(AND($Q$1=TRUE,$S$4=TRUE),VLOOKUP($E414,'Status Thresholds'!$E:$AS,10,FALSE),IF(AND($S$3=TRUE,$S$1=TRUE,$S$4=FALSE),VLOOKUP($E414,'Status Thresholds'!$E:$AS,35,FALSE),IF(AND($S$3=TRUE,$S$4=FALSE),VLOOKUP($E414,'Status Thresholds'!$E:$AS,25,FALSE),IF(AND($S$3=TRUE,$S$1=TRUE,$S$4=TRUE),VLOOKUP($E414,'Status Thresholds'!$E:$AS,40,FALSE),IF(AND($S$3=TRUE,$S$4=TRUE),VLOOKUP($E414,'Status Thresholds'!$E:$AS,30,FALSE),""))))))))/IF(OR($Q$3=TRUE,AND($Q$2=TRUE,$Q$7=TRUE),AND($Q$3=TRUE,$Q$7=TRUE))=TRUE,'Shots and Status'!$F$5,IF((OR($Q$2,$Q$7)=TRUE),'Shots and Status'!$D$5,'Shots and Status'!$C$5)))),0),"-")</f>
        <v>-</v>
      </c>
      <c r="L414" s="36" t="str">
        <f>IFERROR(IF(AND($Q$1=FALSE,$S$3=FALSE),"-",VLOOKUP($E414,'Status Thresholds'!$E:$AU,41,FALSE)),"-")</f>
        <v>-</v>
      </c>
      <c r="M414" s="36" t="str">
        <f>IFERROR(IF(AND($Q$1=FALSE,$S$3=FALSE),"-",VLOOKUP($E414,'Status Thresholds'!$E:$AU,42,FALSE)),"-")</f>
        <v>-</v>
      </c>
      <c r="N414" s="36" t="str">
        <f>IFERROR(IF(AND($Q$1=FALSE,$S$3=FALSE),"-",VLOOKUP($E414,'Status Thresholds'!$E:$AU,43,FALSE)),"-")</f>
        <v>-</v>
      </c>
    </row>
    <row r="415" spans="1:14" s="59" customFormat="1" x14ac:dyDescent="0.25">
      <c r="A415" s="46"/>
      <c r="B415" s="64" t="str">
        <f>VLOOKUP(C415,'Status Thresholds'!B:C,2,FALSE)</f>
        <v>Deviant</v>
      </c>
      <c r="C415" s="46" t="str">
        <f>IF(ISBLANK('KO Calc'!C411)=TRUE,"",'KO Calc'!C411)</f>
        <v>Hellblade Glavenus</v>
      </c>
      <c r="D415" s="60" t="s">
        <v>32</v>
      </c>
      <c r="E415" s="62" t="str">
        <f t="shared" si="11"/>
        <v>Hellblade GlavenusSleep</v>
      </c>
      <c r="F415" s="59" t="s">
        <v>5</v>
      </c>
      <c r="G415" s="36" t="str">
        <f t="shared" si="12"/>
        <v>Hellblade GlavenusSleep lvl 2</v>
      </c>
      <c r="H415" s="36" t="str">
        <f>IFERROR(ROUNDUP(IF(AND($Q$1=FALSE,$S$3=FALSE),"-",IF(AND($Q$1=TRUE,$S$3=TRUE),"-",IF(AND($Q$1=TRUE,$S$1=TRUE,$S$4=FALSE),VLOOKUP($E415,'Status Thresholds'!$E:$AS,12,FALSE),IF(AND($Q$1=TRUE,$S$4=FALSE),VLOOKUP($E415,'Status Thresholds'!$E:$AS,2,FALSE), IF(AND($Q$1=TRUE,$S$1=TRUE,$S$4=TRUE),VLOOKUP($E415,'Status Thresholds'!$E:$AS,17,FALSE),IF(AND($Q$1=TRUE,$S$4=TRUE),VLOOKUP($E415,'Status Thresholds'!$E:$AS,7,FALSE),IF(AND($S$3=TRUE,$S$1=TRUE,$S$4=FALSE),VLOOKUP($E415,'Status Thresholds'!$E:$AS,32,FALSE),IF(AND($S$3=TRUE,$S$4=FALSE),VLOOKUP($E415,'Status Thresholds'!$E:$AS,22,FALSE),IF(AND($S$3=TRUE,$S$1=TRUE,$S$4=TRUE),VLOOKUP($E415,'Status Thresholds'!$E:$AS,37,FALSE),IF(AND($S$3=TRUE,$S$4=TRUE),VLOOKUP($E415,'Status Thresholds'!$E:$AS,27,FALSE),""))))))))/IF(OR($Q$3=TRUE,AND($Q$2=TRUE,$Q$7=TRUE),AND($Q$3=TRUE,$Q$7=TRUE))=TRUE,'Shots and Status'!$F$5,IF((OR($Q$2,$Q$7)=TRUE),'Shots and Status'!$D$5,'Shots and Status'!$C$5)))),0),"-")</f>
        <v>-</v>
      </c>
      <c r="I415" s="36" t="str">
        <f>IFERROR(ROUNDUP(IF(AND($Q$1=FALSE,$S$3=FALSE),"-",IF(AND($Q$1=TRUE,$S$3=TRUE),"-",IF(AND($Q$1=TRUE,$S$1=TRUE,$S$4=FALSE),VLOOKUP($E415,'Status Thresholds'!$E:$AS,13,FALSE),IF(AND($Q$1=TRUE,$S$4=FALSE),VLOOKUP($E415,'Status Thresholds'!$E:$AS,3,FALSE), IF(AND($Q$1=TRUE,$S$1=TRUE,$S$4=TRUE),VLOOKUP($E415,'Status Thresholds'!$E:$AS,18,FALSE),IF(AND($Q$1=TRUE,$S$4=TRUE),VLOOKUP($E415,'Status Thresholds'!$E:$AS,8,FALSE),IF(AND($S$3=TRUE,$S$1=TRUE,$S$4=FALSE),VLOOKUP($E415,'Status Thresholds'!$E:$AS,33,FALSE),IF(AND($S$3=TRUE,$S$4=FALSE),VLOOKUP($E415,'Status Thresholds'!$E:$AS,23,FALSE),IF(AND($S$3=TRUE,$S$1=TRUE,$S$4=TRUE),VLOOKUP($E415,'Status Thresholds'!$E:$AS,38,FALSE),IF(AND($S$3=TRUE,$S$4=TRUE),VLOOKUP($E415,'Status Thresholds'!$E:$AS,28,FALSE),""))))))))/IF(OR($Q$3=TRUE,AND($Q$2=TRUE,$Q$7=TRUE),AND($Q$3=TRUE,$Q$7=TRUE))=TRUE,'Shots and Status'!$F$5,IF((OR($Q$2,$Q$7)=TRUE),'Shots and Status'!$D$5,'Shots and Status'!$C$5)))),0),"-")</f>
        <v>-</v>
      </c>
      <c r="J415" s="36" t="str">
        <f>IFERROR(ROUNDUP(IF(AND($Q$1=FALSE,$S$3=FALSE),"-",IF(AND($Q$1=TRUE,$S$3=TRUE),"-",IF(AND($Q$1=TRUE,$S$1=TRUE,$S$4=FALSE),VLOOKUP($E415,'Status Thresholds'!$E:$AS,14,FALSE),IF(AND($Q$1=TRUE,$S$4=FALSE),VLOOKUP($E415,'Status Thresholds'!$E:$AS,4,FALSE), IF(AND($Q$1=TRUE,$S$1=TRUE,$S$4=TRUE),VLOOKUP($E415,'Status Thresholds'!$E:$AS,19,FALSE),IF(AND($Q$1=TRUE,$S$4=TRUE),VLOOKUP($E415,'Status Thresholds'!$E:$AS,9,FALSE),IF(AND($S$3=TRUE,$S$1=TRUE,$S$4=FALSE),VLOOKUP($E415,'Status Thresholds'!$E:$AS,34,FALSE),IF(AND($S$3=TRUE,$S$4=FALSE),VLOOKUP($E415,'Status Thresholds'!$E:$AS,24,FALSE),IF(AND($S$3=TRUE,$S$1=TRUE,$S$4=TRUE),VLOOKUP($E415,'Status Thresholds'!$E:$AS,39,FALSE),IF(AND($S$3=TRUE,$S$4=TRUE),VLOOKUP($E415,'Status Thresholds'!$E:$AS,29,FALSE),""))))))))/IF(OR($Q$3=TRUE,AND($Q$2=TRUE,$Q$7=TRUE),AND($Q$3=TRUE,$Q$7=TRUE))=TRUE,'Shots and Status'!$F$5,IF((OR($Q$2,$Q$7)=TRUE),'Shots and Status'!$D$5,'Shots and Status'!$C$5)))),0),"-")</f>
        <v>-</v>
      </c>
      <c r="K415" s="36" t="str">
        <f>IFERROR(ROUNDUP(IF(AND($Q$1=FALSE,$S$3=FALSE),"-",IF(AND($Q$1=TRUE,$S$3=TRUE),"-",IF(AND($Q$1=TRUE,$S$1=TRUE,$S$4=FALSE),VLOOKUP($E415,'Status Thresholds'!$E:$AS,15,FALSE),IF(AND($Q$1=TRUE,$S$4=FALSE),VLOOKUP($E415,'Status Thresholds'!$E:$AS,5,FALSE), IF(AND($Q$1=TRUE,$S$1=TRUE,$S$4=TRUE),VLOOKUP($E415,'Status Thresholds'!$E:$AS,20,FALSE),IF(AND($Q$1=TRUE,$S$4=TRUE),VLOOKUP($E415,'Status Thresholds'!$E:$AS,10,FALSE),IF(AND($S$3=TRUE,$S$1=TRUE,$S$4=FALSE),VLOOKUP($E415,'Status Thresholds'!$E:$AS,35,FALSE),IF(AND($S$3=TRUE,$S$4=FALSE),VLOOKUP($E415,'Status Thresholds'!$E:$AS,25,FALSE),IF(AND($S$3=TRUE,$S$1=TRUE,$S$4=TRUE),VLOOKUP($E415,'Status Thresholds'!$E:$AS,40,FALSE),IF(AND($S$3=TRUE,$S$4=TRUE),VLOOKUP($E415,'Status Thresholds'!$E:$AS,30,FALSE),""))))))))/IF(OR($Q$3=TRUE,AND($Q$2=TRUE,$Q$7=TRUE),AND($Q$3=TRUE,$Q$7=TRUE))=TRUE,'Shots and Status'!$F$5,IF((OR($Q$2,$Q$7)=TRUE),'Shots and Status'!$D$5,'Shots and Status'!$C$5)))),0),"-")</f>
        <v>-</v>
      </c>
      <c r="L415" s="36" t="str">
        <f>IFERROR(IF(AND($Q$1=FALSE,$S$3=FALSE),"-",VLOOKUP($E415,'Status Thresholds'!$E:$AU,41,FALSE)),"-")</f>
        <v>-</v>
      </c>
      <c r="M415" s="36" t="str">
        <f>IFERROR(IF(AND($Q$1=FALSE,$S$3=FALSE),"-",VLOOKUP($E415,'Status Thresholds'!$E:$AU,42,FALSE)),"-")</f>
        <v>-</v>
      </c>
      <c r="N415" s="36" t="str">
        <f>IFERROR(IF(AND($Q$1=FALSE,$S$3=FALSE),"-",VLOOKUP($E415,'Status Thresholds'!$E:$AU,43,FALSE)),"-")</f>
        <v>-</v>
      </c>
    </row>
    <row r="416" spans="1:14" s="59" customFormat="1" x14ac:dyDescent="0.25">
      <c r="A416" s="46"/>
      <c r="B416" s="64" t="str">
        <f>VLOOKUP(C416,'Status Thresholds'!B:C,2,FALSE)</f>
        <v>Deviant</v>
      </c>
      <c r="C416" s="46" t="str">
        <f>IF(ISBLANK('KO Calc'!C412)=TRUE,"",'KO Calc'!C412)</f>
        <v>Hellblade Glavenus</v>
      </c>
      <c r="D416" s="58" t="s">
        <v>33</v>
      </c>
      <c r="E416" s="62" t="str">
        <f t="shared" si="11"/>
        <v>Hellblade GlavenusPoison</v>
      </c>
      <c r="F416" s="59" t="s">
        <v>6</v>
      </c>
      <c r="G416" s="36" t="str">
        <f t="shared" si="12"/>
        <v>Hellblade GlavenusPoison lvl 2</v>
      </c>
      <c r="H416" s="36" t="str">
        <f>IFERROR(ROUNDUP(IF(AND($Q$1=FALSE,$S$3=FALSE),"-",IF(AND($Q$1=TRUE,$S$3=TRUE),"-",IF(AND($Q$1=TRUE,$S$1=TRUE,$S$4=FALSE),VLOOKUP($E416,'Status Thresholds'!$E:$AS,12,FALSE),IF(AND($Q$1=TRUE,$S$4=FALSE),VLOOKUP($E416,'Status Thresholds'!$E:$AS,2,FALSE), IF(AND($Q$1=TRUE,$S$1=TRUE,$S$4=TRUE),VLOOKUP($E416,'Status Thresholds'!$E:$AS,17,FALSE),IF(AND($Q$1=TRUE,$S$4=TRUE),VLOOKUP($E416,'Status Thresholds'!$E:$AS,7,FALSE),IF(AND($S$3=TRUE,$S$1=TRUE,$S$4=FALSE),VLOOKUP($E416,'Status Thresholds'!$E:$AS,32,FALSE),IF(AND($S$3=TRUE,$S$4=FALSE),VLOOKUP($E416,'Status Thresholds'!$E:$AS,22,FALSE),IF(AND($S$3=TRUE,$S$1=TRUE,$S$4=TRUE),VLOOKUP($E416,'Status Thresholds'!$E:$AS,37,FALSE),IF(AND($S$3=TRUE,$S$4=TRUE),VLOOKUP($E416,'Status Thresholds'!$E:$AS,27,FALSE),""))))))))/IF(OR($Q$3=TRUE,AND($Q$2=TRUE,$Q$7=TRUE),AND($Q$3=TRUE,$Q$7=TRUE))=TRUE,'Shots and Status'!$F$5,IF((OR($Q$2,$Q$7)=TRUE),'Shots and Status'!$D$5,'Shots and Status'!$C$5)))),0),"-")</f>
        <v>-</v>
      </c>
      <c r="I416" s="36" t="str">
        <f>IFERROR(ROUNDUP(IF(AND($Q$1=FALSE,$S$3=FALSE),"-",IF(AND($Q$1=TRUE,$S$3=TRUE),"-",IF(AND($Q$1=TRUE,$S$1=TRUE,$S$4=FALSE),VLOOKUP($E416,'Status Thresholds'!$E:$AS,13,FALSE),IF(AND($Q$1=TRUE,$S$4=FALSE),VLOOKUP($E416,'Status Thresholds'!$E:$AS,3,FALSE), IF(AND($Q$1=TRUE,$S$1=TRUE,$S$4=TRUE),VLOOKUP($E416,'Status Thresholds'!$E:$AS,18,FALSE),IF(AND($Q$1=TRUE,$S$4=TRUE),VLOOKUP($E416,'Status Thresholds'!$E:$AS,8,FALSE),IF(AND($S$3=TRUE,$S$1=TRUE,$S$4=FALSE),VLOOKUP($E416,'Status Thresholds'!$E:$AS,33,FALSE),IF(AND($S$3=TRUE,$S$4=FALSE),VLOOKUP($E416,'Status Thresholds'!$E:$AS,23,FALSE),IF(AND($S$3=TRUE,$S$1=TRUE,$S$4=TRUE),VLOOKUP($E416,'Status Thresholds'!$E:$AS,38,FALSE),IF(AND($S$3=TRUE,$S$4=TRUE),VLOOKUP($E416,'Status Thresholds'!$E:$AS,28,FALSE),""))))))))/IF(OR($Q$3=TRUE,AND($Q$2=TRUE,$Q$7=TRUE),AND($Q$3=TRUE,$Q$7=TRUE))=TRUE,'Shots and Status'!$F$5,IF((OR($Q$2,$Q$7)=TRUE),'Shots and Status'!$D$5,'Shots and Status'!$C$5)))),0),"-")</f>
        <v>-</v>
      </c>
      <c r="J416" s="36" t="str">
        <f>IFERROR(ROUNDUP(IF(AND($Q$1=FALSE,$S$3=FALSE),"-",IF(AND($Q$1=TRUE,$S$3=TRUE),"-",IF(AND($Q$1=TRUE,$S$1=TRUE,$S$4=FALSE),VLOOKUP($E416,'Status Thresholds'!$E:$AS,14,FALSE),IF(AND($Q$1=TRUE,$S$4=FALSE),VLOOKUP($E416,'Status Thresholds'!$E:$AS,4,FALSE), IF(AND($Q$1=TRUE,$S$1=TRUE,$S$4=TRUE),VLOOKUP($E416,'Status Thresholds'!$E:$AS,19,FALSE),IF(AND($Q$1=TRUE,$S$4=TRUE),VLOOKUP($E416,'Status Thresholds'!$E:$AS,9,FALSE),IF(AND($S$3=TRUE,$S$1=TRUE,$S$4=FALSE),VLOOKUP($E416,'Status Thresholds'!$E:$AS,34,FALSE),IF(AND($S$3=TRUE,$S$4=FALSE),VLOOKUP($E416,'Status Thresholds'!$E:$AS,24,FALSE),IF(AND($S$3=TRUE,$S$1=TRUE,$S$4=TRUE),VLOOKUP($E416,'Status Thresholds'!$E:$AS,39,FALSE),IF(AND($S$3=TRUE,$S$4=TRUE),VLOOKUP($E416,'Status Thresholds'!$E:$AS,29,FALSE),""))))))))/IF(OR($Q$3=TRUE,AND($Q$2=TRUE,$Q$7=TRUE),AND($Q$3=TRUE,$Q$7=TRUE))=TRUE,'Shots and Status'!$F$5,IF((OR($Q$2,$Q$7)=TRUE),'Shots and Status'!$D$5,'Shots and Status'!$C$5)))),0),"-")</f>
        <v>-</v>
      </c>
      <c r="K416" s="36" t="str">
        <f>IFERROR(ROUNDUP(IF(AND($Q$1=FALSE,$S$3=FALSE),"-",IF(AND($Q$1=TRUE,$S$3=TRUE),"-",IF(AND($Q$1=TRUE,$S$1=TRUE,$S$4=FALSE),VLOOKUP($E416,'Status Thresholds'!$E:$AS,15,FALSE),IF(AND($Q$1=TRUE,$S$4=FALSE),VLOOKUP($E416,'Status Thresholds'!$E:$AS,5,FALSE), IF(AND($Q$1=TRUE,$S$1=TRUE,$S$4=TRUE),VLOOKUP($E416,'Status Thresholds'!$E:$AS,20,FALSE),IF(AND($Q$1=TRUE,$S$4=TRUE),VLOOKUP($E416,'Status Thresholds'!$E:$AS,10,FALSE),IF(AND($S$3=TRUE,$S$1=TRUE,$S$4=FALSE),VLOOKUP($E416,'Status Thresholds'!$E:$AS,35,FALSE),IF(AND($S$3=TRUE,$S$4=FALSE),VLOOKUP($E416,'Status Thresholds'!$E:$AS,25,FALSE),IF(AND($S$3=TRUE,$S$1=TRUE,$S$4=TRUE),VLOOKUP($E416,'Status Thresholds'!$E:$AS,40,FALSE),IF(AND($S$3=TRUE,$S$4=TRUE),VLOOKUP($E416,'Status Thresholds'!$E:$AS,30,FALSE),""))))))))/IF(OR($Q$3=TRUE,AND($Q$2=TRUE,$Q$7=TRUE),AND($Q$3=TRUE,$Q$7=TRUE))=TRUE,'Shots and Status'!$F$5,IF((OR($Q$2,$Q$7)=TRUE),'Shots and Status'!$D$5,'Shots and Status'!$C$5)))),0),"-")</f>
        <v>-</v>
      </c>
      <c r="L416" s="36" t="str">
        <f>IFERROR(IF(AND($Q$1=FALSE,$S$3=FALSE),"-",VLOOKUP($E416,'Status Thresholds'!$E:$AU,41,FALSE)),"-")</f>
        <v>-</v>
      </c>
      <c r="M416" s="36" t="str">
        <f>IFERROR(IF(AND($Q$1=FALSE,$S$3=FALSE),"-",VLOOKUP($E416,'Status Thresholds'!$E:$AU,42,FALSE)),"-")</f>
        <v>-</v>
      </c>
      <c r="N416" s="36" t="str">
        <f>IFERROR(IF(AND($Q$1=FALSE,$S$3=FALSE),"-",VLOOKUP($E416,'Status Thresholds'!$E:$AU,43,FALSE)),"-")</f>
        <v>-</v>
      </c>
    </row>
    <row r="417" spans="1:14" s="36" customFormat="1" x14ac:dyDescent="0.25">
      <c r="A417" s="46"/>
      <c r="B417" s="64" t="str">
        <f>VLOOKUP(C417,'Status Thresholds'!B:C,2,FALSE)</f>
        <v>Deviant</v>
      </c>
      <c r="C417" s="46" t="str">
        <f>IF(ISBLANK('KO Calc'!C413)=TRUE,"",'KO Calc'!C413)</f>
        <v>Hellblade Glavenus</v>
      </c>
      <c r="D417" s="57" t="s">
        <v>22</v>
      </c>
      <c r="E417" s="62" t="str">
        <f t="shared" si="11"/>
        <v>Hellblade GlavenusExhaust</v>
      </c>
      <c r="F417" s="36" t="s">
        <v>8</v>
      </c>
      <c r="G417" s="36" t="str">
        <f t="shared" si="12"/>
        <v>Hellblade GlavenusExhaust lvl 2</v>
      </c>
      <c r="H417" s="36" t="str">
        <f>IFERROR(ROUNDUP(IF(AND($Q$1=FALSE,$S$3=FALSE),"-",IF(AND($Q$1=TRUE,$S$3=TRUE),"-",IF(AND($Q$1=TRUE,$S$1=TRUE,$S$4=FALSE),VLOOKUP($E417,'Status Thresholds'!$E:$AS,12,FALSE),IF(AND($Q$1=TRUE,$S$4=FALSE),VLOOKUP($E417,'Status Thresholds'!$E:$AS,2,FALSE), IF(AND($Q$1=TRUE,$S$1=TRUE,$S$4=TRUE),VLOOKUP($E417,'Status Thresholds'!$E:$AS,17,FALSE),IF(AND($Q$1=TRUE,$S$4=TRUE),VLOOKUP($E417,'Status Thresholds'!$E:$AS,7,FALSE),IF(AND($S$3=TRUE,$S$1=TRUE,$S$4=FALSE),VLOOKUP($E417,'Status Thresholds'!$E:$AS,32,FALSE),IF(AND($S$3=TRUE,$S$4=FALSE),VLOOKUP($E417,'Status Thresholds'!$E:$AS,22,FALSE),IF(AND($S$3=TRUE,$S$1=TRUE,$S$4=TRUE),VLOOKUP($E417,'Status Thresholds'!$E:$AS,37,FALSE),IF(AND($S$3=TRUE,$S$4=TRUE),VLOOKUP($E417,'Status Thresholds'!$E:$AS,27,FALSE),""))))))))/IF(OR($Q$3=TRUE,AND($Q$2=TRUE,$Q$7=TRUE),AND($Q$3=TRUE,$Q$7=TRUE))=TRUE,'Shots and Status'!$F$5,IF((OR($Q$2,$Q$7)=TRUE),'Shots and Status'!$D$5,'Shots and Status'!$C$5)))),0),"-")</f>
        <v>-</v>
      </c>
      <c r="I417" s="36" t="str">
        <f>IFERROR(ROUNDUP(IF(AND($Q$1=FALSE,$S$3=FALSE),"-",IF(AND($Q$1=TRUE,$S$3=TRUE),"-",IF(AND($Q$1=TRUE,$S$1=TRUE,$S$4=FALSE),VLOOKUP($E417,'Status Thresholds'!$E:$AS,13,FALSE),IF(AND($Q$1=TRUE,$S$4=FALSE),VLOOKUP($E417,'Status Thresholds'!$E:$AS,3,FALSE), IF(AND($Q$1=TRUE,$S$1=TRUE,$S$4=TRUE),VLOOKUP($E417,'Status Thresholds'!$E:$AS,18,FALSE),IF(AND($Q$1=TRUE,$S$4=TRUE),VLOOKUP($E417,'Status Thresholds'!$E:$AS,8,FALSE),IF(AND($S$3=TRUE,$S$1=TRUE,$S$4=FALSE),VLOOKUP($E417,'Status Thresholds'!$E:$AS,33,FALSE),IF(AND($S$3=TRUE,$S$4=FALSE),VLOOKUP($E417,'Status Thresholds'!$E:$AS,23,FALSE),IF(AND($S$3=TRUE,$S$1=TRUE,$S$4=TRUE),VLOOKUP($E417,'Status Thresholds'!$E:$AS,38,FALSE),IF(AND($S$3=TRUE,$S$4=TRUE),VLOOKUP($E417,'Status Thresholds'!$E:$AS,28,FALSE),""))))))))/IF(OR($Q$3=TRUE,AND($Q$2=TRUE,$Q$7=TRUE),AND($Q$3=TRUE,$Q$7=TRUE))=TRUE,'Shots and Status'!$F$5,IF((OR($Q$2,$Q$7)=TRUE),'Shots and Status'!$D$5,'Shots and Status'!$C$5)))),0),"-")</f>
        <v>-</v>
      </c>
      <c r="J417" s="36" t="str">
        <f>IFERROR(ROUNDUP(IF(AND($Q$1=FALSE,$S$3=FALSE),"-",IF(AND($Q$1=TRUE,$S$3=TRUE),"-",IF(AND($Q$1=TRUE,$S$1=TRUE,$S$4=FALSE),VLOOKUP($E417,'Status Thresholds'!$E:$AS,14,FALSE),IF(AND($Q$1=TRUE,$S$4=FALSE),VLOOKUP($E417,'Status Thresholds'!$E:$AS,4,FALSE), IF(AND($Q$1=TRUE,$S$1=TRUE,$S$4=TRUE),VLOOKUP($E417,'Status Thresholds'!$E:$AS,19,FALSE),IF(AND($Q$1=TRUE,$S$4=TRUE),VLOOKUP($E417,'Status Thresholds'!$E:$AS,9,FALSE),IF(AND($S$3=TRUE,$S$1=TRUE,$S$4=FALSE),VLOOKUP($E417,'Status Thresholds'!$E:$AS,34,FALSE),IF(AND($S$3=TRUE,$S$4=FALSE),VLOOKUP($E417,'Status Thresholds'!$E:$AS,24,FALSE),IF(AND($S$3=TRUE,$S$1=TRUE,$S$4=TRUE),VLOOKUP($E417,'Status Thresholds'!$E:$AS,39,FALSE),IF(AND($S$3=TRUE,$S$4=TRUE),VLOOKUP($E417,'Status Thresholds'!$E:$AS,29,FALSE),""))))))))/IF(OR($Q$3=TRUE,AND($Q$2=TRUE,$Q$7=TRUE),AND($Q$3=TRUE,$Q$7=TRUE))=TRUE,'Shots and Status'!$F$5,IF((OR($Q$2,$Q$7)=TRUE),'Shots and Status'!$D$5,'Shots and Status'!$C$5)))),0),"-")</f>
        <v>-</v>
      </c>
      <c r="K417" s="36" t="str">
        <f>IFERROR(ROUNDUP(IF(AND($Q$1=FALSE,$S$3=FALSE),"-",IF(AND($Q$1=TRUE,$S$3=TRUE),"-",IF(AND($Q$1=TRUE,$S$1=TRUE,$S$4=FALSE),VLOOKUP($E417,'Status Thresholds'!$E:$AS,15,FALSE),IF(AND($Q$1=TRUE,$S$4=FALSE),VLOOKUP($E417,'Status Thresholds'!$E:$AS,5,FALSE), IF(AND($Q$1=TRUE,$S$1=TRUE,$S$4=TRUE),VLOOKUP($E417,'Status Thresholds'!$E:$AS,20,FALSE),IF(AND($Q$1=TRUE,$S$4=TRUE),VLOOKUP($E417,'Status Thresholds'!$E:$AS,10,FALSE),IF(AND($S$3=TRUE,$S$1=TRUE,$S$4=FALSE),VLOOKUP($E417,'Status Thresholds'!$E:$AS,35,FALSE),IF(AND($S$3=TRUE,$S$4=FALSE),VLOOKUP($E417,'Status Thresholds'!$E:$AS,25,FALSE),IF(AND($S$3=TRUE,$S$1=TRUE,$S$4=TRUE),VLOOKUP($E417,'Status Thresholds'!$E:$AS,40,FALSE),IF(AND($S$3=TRUE,$S$4=TRUE),VLOOKUP($E417,'Status Thresholds'!$E:$AS,30,FALSE),""))))))))/IF(OR($Q$3=TRUE,AND($Q$2=TRUE,$Q$7=TRUE),AND($Q$3=TRUE,$Q$7=TRUE))=TRUE,'Shots and Status'!$F$5,IF((OR($Q$2,$Q$7)=TRUE),'Shots and Status'!$D$5,'Shots and Status'!$C$5)))),0),"-")</f>
        <v>-</v>
      </c>
      <c r="L417" s="36" t="str">
        <f>IFERROR(IF(AND($Q$1=FALSE,$S$3=FALSE),"-",VLOOKUP($E417,'Status Thresholds'!$E:$AU,41,FALSE)),"-")</f>
        <v>-</v>
      </c>
      <c r="M417" s="36" t="str">
        <f>IFERROR(IF(AND($Q$1=FALSE,$S$3=FALSE),"-",VLOOKUP($E417,'Status Thresholds'!$E:$AU,42,FALSE)),"-")</f>
        <v>-</v>
      </c>
      <c r="N417" s="36" t="str">
        <f>IFERROR(IF(AND($Q$1=FALSE,$S$3=FALSE),"-",VLOOKUP($E417,'Status Thresholds'!$E:$AU,43,FALSE)),"-")</f>
        <v>-</v>
      </c>
    </row>
    <row r="418" spans="1:14" s="36" customFormat="1" x14ac:dyDescent="0.25">
      <c r="A418" s="46"/>
      <c r="B418" s="64" t="str">
        <f>VLOOKUP(C418,'Status Thresholds'!B:C,2,FALSE)</f>
        <v>Deviant</v>
      </c>
      <c r="C418" s="46" t="str">
        <f>IF(ISBLANK('KO Calc'!C414)=TRUE,"",'KO Calc'!C414)</f>
        <v>Hellblade Glavenus</v>
      </c>
      <c r="D418" s="67" t="s">
        <v>14</v>
      </c>
      <c r="E418" s="62" t="str">
        <f t="shared" si="11"/>
        <v>Hellblade GlavenusKO</v>
      </c>
      <c r="F418" s="36" t="s">
        <v>21</v>
      </c>
      <c r="G418" s="36" t="str">
        <f t="shared" si="12"/>
        <v>Hellblade GlavenusTriblast</v>
      </c>
      <c r="H418" s="36" t="str">
        <f>IF(AND($Q$1=FALSE,$S$3=FALSE),"-",IF(AND($Q$1=TRUE,$S$3=TRUE),"-",IF(AND($Q$1=FALSE,$S$3=FALSE),"-",IF(AND($Q$1=TRUE,$S$1=TRUE,$S$4=FALSE)=TRUE,IF(OR($Q$4=TRUE,$Q$5=TRUE,$S$2=TRUE),VLOOKUP($G418,'KO Calc'!$H:$AW,12,FALSE),VLOOKUP($G418,'KO Calc'!$H424:$AW424,12,FALSE)),IF(AND($Q$1=TRUE,$S$4=FALSE),IF(OR($Q$4=TRUE,$Q$5=TRUE,$S$2=TRUE),VLOOKUP($G418,'KO Calc'!$H:$AW,2,FALSE),VLOOKUP($G418,'KO Calc'!$H424:$AW424,2,FALSE)),
IF(AND($Q$1=TRUE,$S$1=TRUE,$S$4=TRUE)=TRUE,IF(OR($Q$4=TRUE,$Q$5=TRUE,$S$2=TRUE),VLOOKUP($G418,'KO Calc'!$H:$AW,17,FALSE),VLOOKUP($G418,'KO Calc'!$H424:$AW424,17,FALSE)),IF(AND($Q$1=TRUE,$S$4=TRUE),IF(OR($Q$4=TRUE,$Q$5=TRUE,$S$2=TRUE),VLOOKUP($G418,'KO Calc'!$H:$AW,7,FALSE),VLOOKUP($G418,'KO Calc'!$H424:$AW424,7,FALSE)),
IF(AND($S$3=TRUE,$S$1=TRUE,$S$4=FALSE)=TRUE,IF(OR($Q$4=TRUE,$Q$5=TRUE,$S$2=TRUE),VLOOKUP($G418,'KO Calc'!$H:$AW,32,FALSE),VLOOKUP($G418,'KO Calc'!$H424:$AW424,32,FALSE)),IF(AND($S$3=TRUE,$S$4=FALSE),IF(OR($Q$4=TRUE,$Q$5=TRUE,$S$2=TRUE),VLOOKUP($G418,'KO Calc'!$H:$AW,22,FALSE),VLOOKUP($G418,'KO Calc'!$H424:$AW424,22,FALSE)),
IF(AND($S$3=TRUE,$S$1=TRUE,$S$4=TRUE)=TRUE,IF(OR($Q$4=TRUE,$Q$5=TRUE,$S$2=TRUE),VLOOKUP($G418,'KO Calc'!$H:$AW,37,FALSE),VLOOKUP($G418,'KO Calc'!$H424:$AW424,37,FALSE)),IF(AND($S$3=TRUE,$S$4=TRUE),IF(OR($Q$4=TRUE,$Q$5=TRUE,$S$2=TRUE),VLOOKUP($G418,'KO Calc'!$H:$AW,27,FALSE),VLOOKUP($G418,'KO Calc'!$H424:$AW424,27,FALSE)))))))))))))</f>
        <v>-</v>
      </c>
      <c r="I418" s="36" t="str">
        <f>IF(AND($Q$1=FALSE,$S$3=FALSE),"-",IF(AND($Q$1=TRUE,$S$3=TRUE),"-",IF(AND($Q$1=FALSE,$S$3=FALSE),"-",IF(AND($Q$1=TRUE,$S$1=TRUE,$S$4=FALSE)=TRUE,IF(OR($Q$4=TRUE,$Q$5=TRUE,$S$2=TRUE),VLOOKUP($G418,'KO Calc'!$H:$AW,13,FALSE),VLOOKUP($G418,'KO Calc'!$H424:$AW424,13,FALSE)),IF(AND($Q$1=TRUE,$S$4=FALSE),IF(OR($Q$4=TRUE,$Q$5=TRUE,$S$2=TRUE),VLOOKUP($G418,'KO Calc'!$H:$AW,3,FALSE),VLOOKUP($G418,'KO Calc'!$H424:$AW424,3,FALSE)),
IF(AND($Q$1=TRUE,$S$1=TRUE,$S$4=TRUE)=TRUE,IF(OR($Q$4=TRUE,$Q$5=TRUE,$S$2=TRUE),VLOOKUP($G418,'KO Calc'!$H:$AW,18,FALSE),VLOOKUP($G418,'KO Calc'!$H424:$AW424,18,FALSE)),IF(AND($Q$1=TRUE,$S$4=TRUE),IF(OR($Q$4=TRUE,$Q$5=TRUE,$S$2=TRUE),VLOOKUP($G418,'KO Calc'!$H:$AW,8,FALSE),VLOOKUP($G418,'KO Calc'!$H424:$AW424,8,FALSE)),
IF(AND($S$3=TRUE,$S$1=TRUE,$S$4=FALSE)=TRUE,IF(OR($Q$4=TRUE,$Q$5=TRUE,$S$2=TRUE),VLOOKUP($G418,'KO Calc'!$H:$AW,33,FALSE),VLOOKUP($G418,'KO Calc'!$H424:$AW424,33,FALSE)),IF(AND($S$3=TRUE,$S$4=FALSE),IF(OR($Q$4=TRUE,$Q$5=TRUE,$S$2=TRUE),VLOOKUP($G418,'KO Calc'!$H:$AW,23,FALSE),VLOOKUP($G418,'KO Calc'!$H424:$AW424,23,FALSE)),
IF(AND($S$3=TRUE,$S$1=TRUE,$S$4=TRUE)=TRUE,IF(OR($Q$4=TRUE,$Q$5=TRUE,$S$2=TRUE),VLOOKUP($G418,'KO Calc'!$H:$AW,38,FALSE),VLOOKUP($G418,'KO Calc'!$H424:$AW424,38,FALSE)),IF(AND($S$3=TRUE,$S$4=TRUE),IF(OR($Q$4=TRUE,$Q$5=TRUE,$S$2=TRUE),VLOOKUP($G418,'KO Calc'!$H:$AW,28,FALSE),VLOOKUP($G418,'KO Calc'!$H424:$AW424,28,FALSE)))))))))))))</f>
        <v>-</v>
      </c>
      <c r="J418" s="36" t="str">
        <f>IF(AND($Q$1=FALSE,$S$3=FALSE),"-",IF(AND($Q$1=TRUE,$S$3=TRUE),"-",IF(AND($Q$1=FALSE,$S$3=FALSE),"-",IF(AND($Q$1=TRUE,$S$1=TRUE,$S$4=FALSE)=TRUE,IF(OR($Q$4=TRUE,$Q$5=TRUE,$S$2=TRUE),VLOOKUP($G418,'KO Calc'!$H:$AW,FALSE),VLOOKUP($G418,'KO Calc'!$H424:$AW424,14,FALSE)),IF(AND($Q$1=TRUE,$S$4=FALSE),IF(OR($Q$4=TRUE,$Q$5=TRUE,$S$2=TRUE),VLOOKUP($G418,'KO Calc'!$H:$AW,4,FALSE),VLOOKUP($G418,'KO Calc'!$H424:$AW424,4,FALSE)),
IF(AND($Q$1=TRUE,$S$1=TRUE,$S$4=TRUE)=TRUE,IF(OR($Q$4=TRUE,$Q$5=TRUE,$S$2=TRUE),VLOOKUP($G418,'KO Calc'!$H:$AW,19,FALSE),VLOOKUP($G418,'KO Calc'!$H424:$AW424,19,FALSE)),IF(AND($Q$1=TRUE,$S$4=TRUE),IF(OR($Q$4=TRUE,$Q$5=TRUE,$S$2=TRUE),VLOOKUP($G418,'KO Calc'!$H:$AW,9,FALSE),VLOOKUP($G418,'KO Calc'!$H424:$AW424,9,FALSE)),
IF(AND($S$3=TRUE,$S$1=TRUE,$S$4=FALSE)=TRUE,IF(OR($Q$4=TRUE,$Q$5=TRUE,$S$2=TRUE),VLOOKUP($G418,'KO Calc'!$H:$AW,34,FALSE),VLOOKUP($G418,'KO Calc'!$H424:$AW424,34,FALSE)),IF(AND($S$3=TRUE,$S$4=FALSE),IF(OR($Q$4=TRUE,$Q$5=TRUE,$S$2=TRUE),VLOOKUP($G418,'KO Calc'!$H:$AW,24,FALSE),VLOOKUP($G418,'KO Calc'!$H424:$AW424,24,FALSE)),
IF(AND($S$3=TRUE,$S$1=TRUE,$S$4=TRUE)=TRUE,IF(OR($Q$4=TRUE,$Q$5=TRUE,$S$2=TRUE),VLOOKUP($G418,'KO Calc'!$H:$AW,39,FALSE),VLOOKUP($G418,'KO Calc'!$H424:$AW424,39,FALSE)),IF(AND($S$3=TRUE,$S$4=TRUE),IF(OR($Q$4=TRUE,$Q$5=TRUE,$S$2=TRUE),VLOOKUP($G418,'KO Calc'!$H:$AW,29,FALSE),VLOOKUP($G418,'KO Calc'!$H424:$AW424,29,FALSE)))))))))))))</f>
        <v>-</v>
      </c>
      <c r="K418" s="36" t="str">
        <f>IF(AND($Q$1=FALSE,$S$3=FALSE),"-",IF(AND($Q$1=TRUE,$S$3=TRUE),"-",IF(AND($Q$1=FALSE,$S$3=FALSE),"-",IF(AND($Q$1=TRUE,$S$1=TRUE,$S$4=FALSE)=TRUE,IF(OR($Q$4=TRUE,$Q$5=TRUE,$S$2=TRUE),VLOOKUP($G418,'KO Calc'!$H:$AW,15,FALSE),VLOOKUP($G418,'KO Calc'!$H424:$AW424,15,FALSE)),IF(AND($Q$1=TRUE,$S$4=FALSE),IF(OR($Q$4=TRUE,$Q$5=TRUE,$S$2=TRUE),VLOOKUP($G418,'KO Calc'!$H:$AW,5,FALSE),VLOOKUP($G418,'KO Calc'!$H424:$AW424,5,FALSE)),
IF(AND($Q$1=TRUE,$S$1=TRUE,$S$4=TRUE)=TRUE,IF(OR($Q$4=TRUE,$Q$5=TRUE,$S$2=TRUE),VLOOKUP($G418,'KO Calc'!$H:$AW,20,FALSE),VLOOKUP($G418,'KO Calc'!$H424:$AW424,20,FALSE)),IF(AND($Q$1=TRUE,$S$4=TRUE),IF(OR($Q$4=TRUE,$Q$5=TRUE,$S$2=TRUE),VLOOKUP($G418,'KO Calc'!$H:$AW,10,FALSE),VLOOKUP($G418,'KO Calc'!$H424:$AW424,10,FALSE)),
IF(AND($S$3=TRUE,$S$1=TRUE,$S$4=FALSE)=TRUE,IF(OR($Q$4=TRUE,$Q$5=TRUE,$S$2=TRUE),VLOOKUP($G418,'KO Calc'!$H:$AW,35,FALSE),VLOOKUP($G418,'KO Calc'!$H424:$AW424,35,FALSE)),IF(AND($S$3=TRUE,$S$4=FALSE),IF(OR($Q$4=TRUE,$Q$5=TRUE,$S$2=TRUE),VLOOKUP($G418,'KO Calc'!$H:$AW,25,FALSE),VLOOKUP($G418,'KO Calc'!$H424:$AW424,25,FALSE)),
IF(AND($S$3=TRUE,$S$1=TRUE,$S$4=TRUE)=TRUE,IF(OR($Q$4=TRUE,$Q$5=TRUE,$S$2=TRUE),VLOOKUP($G418,'KO Calc'!$H:$AW,40,FALSE),VLOOKUP($G418,'KO Calc'!$H424:$AW424,40,FALSE)),IF(AND($S$3=TRUE,$S$4=TRUE),IF(OR($Q$4=TRUE,$Q$5=TRUE,$S$2=TRUE),VLOOKUP($G418,'KO Calc'!$H:$AW,30,FALSE),VLOOKUP($G418,'KO Calc'!$H424:$AW424,30,FALSE)))))))))))))</f>
        <v>-</v>
      </c>
      <c r="L418" s="36" t="str">
        <f>IFERROR(IF(AND($Q$1=FALSE,$S$3=FALSE),"-",VLOOKUP($E418,'Status Thresholds'!$E:$AU,41,FALSE)),"-")</f>
        <v>-</v>
      </c>
      <c r="M418" s="36" t="str">
        <f>IFERROR(IF(AND($Q$1=FALSE,$S$3=FALSE),"-",VLOOKUP($E418,'Status Thresholds'!$E:$AU,42,FALSE)),"-")</f>
        <v>-</v>
      </c>
      <c r="N418" s="36" t="str">
        <f>IFERROR(IF(AND($Q$1=FALSE,$S$3=FALSE),"-",VLOOKUP($E418,'Status Thresholds'!$E:$AU,43,FALSE)),"-")</f>
        <v>-</v>
      </c>
    </row>
    <row r="419" spans="1:14" x14ac:dyDescent="0.25">
      <c r="B419" s="64" t="str">
        <f>VLOOKUP(C419,'Status Thresholds'!B:C,2,FALSE)</f>
        <v>Deviant</v>
      </c>
      <c r="C419" s="46" t="str">
        <f>IF(ISBLANK('KO Calc'!C415)=TRUE,"",'KO Calc'!C415)</f>
        <v>Hellblade Glavenus</v>
      </c>
      <c r="D419" s="78" t="s">
        <v>207</v>
      </c>
      <c r="E419" s="62" t="str">
        <f t="shared" si="11"/>
        <v>Hellblade GlavenusShock Trap</v>
      </c>
      <c r="F419" t="s">
        <v>13</v>
      </c>
      <c r="G419" s="36" t="str">
        <f t="shared" si="12"/>
        <v>Hellblade GlavenusCrag 3</v>
      </c>
      <c r="H419" s="36" t="str">
        <f>IF(AND($Q$1=FALSE,$S$3=FALSE),"-",IF(AND($Q$1=TRUE,$S$3=TRUE),"-",IF(AND($Q$1=FALSE,$S$3=FALSE),"-",IF(AND($Q$1=TRUE,$S$1=TRUE,$S$4=FALSE)=TRUE,IF(OR($Q$4=TRUE,$Q$5=TRUE,$S$2=TRUE),VLOOKUP($G419,'KO Calc'!$H:$AW,12,FALSE),VLOOKUP($G419,'KO Calc'!$H425:$AW425,12,FALSE)),IF(AND($Q$1=TRUE,$S$4=FALSE),IF(OR($Q$4=TRUE,$Q$5=TRUE,$S$2=TRUE),VLOOKUP($G419,'KO Calc'!$H:$AW,2,FALSE),VLOOKUP($G419,'KO Calc'!$H425:$AW425,2,FALSE)),
IF(AND($Q$1=TRUE,$S$1=TRUE,$S$4=TRUE)=TRUE,IF(OR($Q$4=TRUE,$Q$5=TRUE,$S$2=TRUE),VLOOKUP($G419,'KO Calc'!$H:$AW,17,FALSE),VLOOKUP($G419,'KO Calc'!$H425:$AW425,17,FALSE)),IF(AND($Q$1=TRUE,$S$4=TRUE),IF(OR($Q$4=TRUE,$Q$5=TRUE,$S$2=TRUE),VLOOKUP($G419,'KO Calc'!$H:$AW,7,FALSE),VLOOKUP($G419,'KO Calc'!$H425:$AW425,7,FALSE)),
IF(AND($S$3=TRUE,$S$1=TRUE,$S$4=FALSE)=TRUE,IF(OR($Q$4=TRUE,$Q$5=TRUE,$S$2=TRUE),VLOOKUP($G419,'KO Calc'!$H:$AW,32,FALSE),VLOOKUP($G419,'KO Calc'!$H425:$AW425,32,FALSE)),IF(AND($S$3=TRUE,$S$4=FALSE),IF(OR($Q$4=TRUE,$Q$5=TRUE,$S$2=TRUE),VLOOKUP($G419,'KO Calc'!$H:$AW,22,FALSE),VLOOKUP($G419,'KO Calc'!$H425:$AW425,22,FALSE)),
IF(AND($S$3=TRUE,$S$1=TRUE,$S$4=TRUE)=TRUE,IF(OR($Q$4=TRUE,$Q$5=TRUE,$S$2=TRUE),VLOOKUP($G419,'KO Calc'!$H:$AW,37,FALSE),VLOOKUP($G419,'KO Calc'!$H425:$AW425,37,FALSE)),IF(AND($S$3=TRUE,$S$4=TRUE),IF(OR($Q$4=TRUE,$Q$5=TRUE,$S$2=TRUE),VLOOKUP($G419,'KO Calc'!$H:$AW,27,FALSE),VLOOKUP($G419,'KO Calc'!$H425:$AW425,27,FALSE)))))))))))))</f>
        <v>-</v>
      </c>
      <c r="I419" s="36" t="str">
        <f>IF(AND($Q$1=FALSE,$S$3=FALSE),"-",IF(AND($Q$1=TRUE,$S$3=TRUE),"-",IF(AND($Q$1=FALSE,$S$3=FALSE),"-",IF(AND($Q$1=TRUE,$S$1=TRUE,$S$4=FALSE)=TRUE,IF(OR($Q$4=TRUE,$Q$5=TRUE,$S$2=TRUE),VLOOKUP($G419,'KO Calc'!$H:$AW,13,FALSE),VLOOKUP($G419,'KO Calc'!$H425:$AW425,13,FALSE)),IF(AND($Q$1=TRUE,$S$4=FALSE),IF(OR($Q$4=TRUE,$Q$5=TRUE,$S$2=TRUE),VLOOKUP($G419,'KO Calc'!$H:$AW,3,FALSE),VLOOKUP($G419,'KO Calc'!$H425:$AW425,3,FALSE)),
IF(AND($Q$1=TRUE,$S$1=TRUE,$S$4=TRUE)=TRUE,IF(OR($Q$4=TRUE,$Q$5=TRUE,$S$2=TRUE),VLOOKUP($G419,'KO Calc'!$H:$AW,18,FALSE),VLOOKUP($G419,'KO Calc'!$H425:$AW425,18,FALSE)),IF(AND($Q$1=TRUE,$S$4=TRUE),IF(OR($Q$4=TRUE,$Q$5=TRUE,$S$2=TRUE),VLOOKUP($G419,'KO Calc'!$H:$AW,8,FALSE),VLOOKUP($G419,'KO Calc'!$H425:$AW425,8,FALSE)),
IF(AND($S$3=TRUE,$S$1=TRUE,$S$4=FALSE)=TRUE,IF(OR($Q$4=TRUE,$Q$5=TRUE,$S$2=TRUE),VLOOKUP($G419,'KO Calc'!$H:$AW,33,FALSE),VLOOKUP($G419,'KO Calc'!$H425:$AW425,33,FALSE)),IF(AND($S$3=TRUE,$S$4=FALSE),IF(OR($Q$4=TRUE,$Q$5=TRUE,$S$2=TRUE),VLOOKUP($G419,'KO Calc'!$H:$AW,23,FALSE),VLOOKUP($G419,'KO Calc'!$H425:$AW425,23,FALSE)),
IF(AND($S$3=TRUE,$S$1=TRUE,$S$4=TRUE)=TRUE,IF(OR($Q$4=TRUE,$Q$5=TRUE,$S$2=TRUE),VLOOKUP($G419,'KO Calc'!$H:$AW,38,FALSE),VLOOKUP($G419,'KO Calc'!$H425:$AW425,38,FALSE)),IF(AND($S$3=TRUE,$S$4=TRUE),IF(OR($Q$4=TRUE,$Q$5=TRUE,$S$2=TRUE),VLOOKUP($G419,'KO Calc'!$H:$AW,28,FALSE),VLOOKUP($G419,'KO Calc'!$H425:$AW425,28,FALSE)))))))))))))</f>
        <v>-</v>
      </c>
      <c r="J419" s="36" t="str">
        <f>IF(AND($Q$1=FALSE,$S$3=FALSE),"-",IF(AND($Q$1=TRUE,$S$3=TRUE),"-",IF(AND($Q$1=FALSE,$S$3=FALSE),"-",IF(AND($Q$1=TRUE,$S$1=TRUE,$S$4=FALSE)=TRUE,IF(OR($Q$4=TRUE,$Q$5=TRUE,$S$2=TRUE),VLOOKUP($G419,'KO Calc'!$H:$AW,FALSE),VLOOKUP($G419,'KO Calc'!$H425:$AW425,14,FALSE)),IF(AND($Q$1=TRUE,$S$4=FALSE),IF(OR($Q$4=TRUE,$Q$5=TRUE,$S$2=TRUE),VLOOKUP($G419,'KO Calc'!$H:$AW,4,FALSE),VLOOKUP($G419,'KO Calc'!$H425:$AW425,4,FALSE)),
IF(AND($Q$1=TRUE,$S$1=TRUE,$S$4=TRUE)=TRUE,IF(OR($Q$4=TRUE,$Q$5=TRUE,$S$2=TRUE),VLOOKUP($G419,'KO Calc'!$H:$AW,19,FALSE),VLOOKUP($G419,'KO Calc'!$H425:$AW425,19,FALSE)),IF(AND($Q$1=TRUE,$S$4=TRUE),IF(OR($Q$4=TRUE,$Q$5=TRUE,$S$2=TRUE),VLOOKUP($G419,'KO Calc'!$H:$AW,9,FALSE),VLOOKUP($G419,'KO Calc'!$H425:$AW425,9,FALSE)),
IF(AND($S$3=TRUE,$S$1=TRUE,$S$4=FALSE)=TRUE,IF(OR($Q$4=TRUE,$Q$5=TRUE,$S$2=TRUE),VLOOKUP($G419,'KO Calc'!$H:$AW,34,FALSE),VLOOKUP($G419,'KO Calc'!$H425:$AW425,34,FALSE)),IF(AND($S$3=TRUE,$S$4=FALSE),IF(OR($Q$4=TRUE,$Q$5=TRUE,$S$2=TRUE),VLOOKUP($G419,'KO Calc'!$H:$AW,24,FALSE),VLOOKUP($G419,'KO Calc'!$H425:$AW425,24,FALSE)),
IF(AND($S$3=TRUE,$S$1=TRUE,$S$4=TRUE)=TRUE,IF(OR($Q$4=TRUE,$Q$5=TRUE,$S$2=TRUE),VLOOKUP($G419,'KO Calc'!$H:$AW,39,FALSE),VLOOKUP($G419,'KO Calc'!$H425:$AW425,39,FALSE)),IF(AND($S$3=TRUE,$S$4=TRUE),IF(OR($Q$4=TRUE,$Q$5=TRUE,$S$2=TRUE),VLOOKUP($G419,'KO Calc'!$H:$AW,29,FALSE),VLOOKUP($G419,'KO Calc'!$H425:$AW425,29,FALSE)))))))))))))</f>
        <v>-</v>
      </c>
      <c r="K419" s="36" t="str">
        <f>IF(AND($Q$1=FALSE,$S$3=FALSE),"-",IF(AND($Q$1=TRUE,$S$3=TRUE),"-",IF(AND($Q$1=FALSE,$S$3=FALSE),"-",IF(AND($Q$1=TRUE,$S$1=TRUE,$S$4=FALSE)=TRUE,IF(OR($Q$4=TRUE,$Q$5=TRUE,$S$2=TRUE),VLOOKUP($G419,'KO Calc'!$H:$AW,15,FALSE),VLOOKUP($G419,'KO Calc'!$H425:$AW425,15,FALSE)),IF(AND($Q$1=TRUE,$S$4=FALSE),IF(OR($Q$4=TRUE,$Q$5=TRUE,$S$2=TRUE),VLOOKUP($G419,'KO Calc'!$H:$AW,5,FALSE),VLOOKUP($G419,'KO Calc'!$H425:$AW425,5,FALSE)),
IF(AND($Q$1=TRUE,$S$1=TRUE,$S$4=TRUE)=TRUE,IF(OR($Q$4=TRUE,$Q$5=TRUE,$S$2=TRUE),VLOOKUP($G419,'KO Calc'!$H:$AW,20,FALSE),VLOOKUP($G419,'KO Calc'!$H425:$AW425,20,FALSE)),IF(AND($Q$1=TRUE,$S$4=TRUE),IF(OR($Q$4=TRUE,$Q$5=TRUE,$S$2=TRUE),VLOOKUP($G419,'KO Calc'!$H:$AW,10,FALSE),VLOOKUP($G419,'KO Calc'!$H425:$AW425,10,FALSE)),
IF(AND($S$3=TRUE,$S$1=TRUE,$S$4=FALSE)=TRUE,IF(OR($Q$4=TRUE,$Q$5=TRUE,$S$2=TRUE),VLOOKUP($G419,'KO Calc'!$H:$AW,35,FALSE),VLOOKUP($G419,'KO Calc'!$H425:$AW425,35,FALSE)),IF(AND($S$3=TRUE,$S$4=FALSE),IF(OR($Q$4=TRUE,$Q$5=TRUE,$S$2=TRUE),VLOOKUP($G419,'KO Calc'!$H:$AW,25,FALSE),VLOOKUP($G419,'KO Calc'!$H425:$AW425,25,FALSE)),
IF(AND($S$3=TRUE,$S$1=TRUE,$S$4=TRUE)=TRUE,IF(OR($Q$4=TRUE,$Q$5=TRUE,$S$2=TRUE),VLOOKUP($G419,'KO Calc'!$H:$AW,40,FALSE),VLOOKUP($G419,'KO Calc'!$H425:$AW425,40,FALSE)),IF(AND($S$3=TRUE,$S$4=TRUE),IF(OR($Q$4=TRUE,$Q$5=TRUE,$S$2=TRUE),VLOOKUP($G419,'KO Calc'!$H:$AW,30,FALSE),VLOOKUP($G419,'KO Calc'!$H425:$AW425,30,FALSE)))))))))))))</f>
        <v>-</v>
      </c>
      <c r="L419" s="36" t="str">
        <f>IFERROR(IF(AND($Q$1=FALSE,$S$3=FALSE),"-",VLOOKUP($E419,'Status Thresholds'!$E:$AU,43,FALSE)),"-")</f>
        <v>-</v>
      </c>
      <c r="M419" s="36" t="str">
        <f>IFERROR(IF(AND($Q$1=FALSE,$S$3=FALSE),"-",VLOOKUP($E419,'Status Thresholds'!$E:$AU,41,FALSE)),"-")</f>
        <v>-</v>
      </c>
      <c r="N419" s="36" t="str">
        <f>IFERROR(IF(AND($Q$1=FALSE,$S$3=FALSE),"-",VLOOKUP($E419,'Status Thresholds'!$E:$AU,42,FALSE)),"-")</f>
        <v>-</v>
      </c>
    </row>
    <row r="420" spans="1:14" x14ac:dyDescent="0.25">
      <c r="B420" s="64" t="str">
        <f>VLOOKUP(C420,'Status Thresholds'!B:C,2,FALSE)</f>
        <v>Deviant</v>
      </c>
      <c r="C420" s="46" t="str">
        <f>IF(ISBLANK('KO Calc'!C416)=TRUE,"",'KO Calc'!C416)</f>
        <v>Hellblade Glavenus</v>
      </c>
      <c r="D420" s="78" t="s">
        <v>213</v>
      </c>
      <c r="E420" s="62" t="str">
        <f t="shared" si="11"/>
        <v>Hellblade GlavenusPitfall Trap</v>
      </c>
      <c r="F420" t="s">
        <v>12</v>
      </c>
      <c r="G420" s="36" t="str">
        <f t="shared" si="12"/>
        <v>Hellblade GlavenusCrag 2</v>
      </c>
      <c r="H420" s="36" t="str">
        <f>IF(AND($Q$1=FALSE,$S$3=FALSE),"-",IF(AND($Q$1=TRUE,$S$3=TRUE),"-",IF(AND($Q$1=FALSE,$S$3=FALSE),"-",IF(AND($Q$1=TRUE,$S$1=TRUE,$S$4=FALSE)=TRUE,IF(OR($Q$4=TRUE,$Q$5=TRUE,$S$2=TRUE),VLOOKUP($G420,'KO Calc'!$H:$AW,12,FALSE),VLOOKUP($G420,'KO Calc'!$H426:$AW426,12,FALSE)),IF(AND($Q$1=TRUE,$S$4=FALSE),IF(OR($Q$4=TRUE,$Q$5=TRUE,$S$2=TRUE),VLOOKUP($G420,'KO Calc'!$H:$AW,2,FALSE),VLOOKUP($G420,'KO Calc'!$H426:$AW426,2,FALSE)),
IF(AND($Q$1=TRUE,$S$1=TRUE,$S$4=TRUE)=TRUE,IF(OR($Q$4=TRUE,$Q$5=TRUE,$S$2=TRUE),VLOOKUP($G420,'KO Calc'!$H:$AW,17,FALSE),VLOOKUP($G420,'KO Calc'!$H426:$AW426,17,FALSE)),IF(AND($Q$1=TRUE,$S$4=TRUE),IF(OR($Q$4=TRUE,$Q$5=TRUE,$S$2=TRUE),VLOOKUP($G420,'KO Calc'!$H:$AW,7,FALSE),VLOOKUP($G420,'KO Calc'!$H426:$AW426,7,FALSE)),
IF(AND($S$3=TRUE,$S$1=TRUE,$S$4=FALSE)=TRUE,IF(OR($Q$4=TRUE,$Q$5=TRUE,$S$2=TRUE),VLOOKUP($G420,'KO Calc'!$H:$AW,32,FALSE),VLOOKUP($G420,'KO Calc'!$H426:$AW426,32,FALSE)),IF(AND($S$3=TRUE,$S$4=FALSE),IF(OR($Q$4=TRUE,$Q$5=TRUE,$S$2=TRUE),VLOOKUP($G420,'KO Calc'!$H:$AW,22,FALSE),VLOOKUP($G420,'KO Calc'!$H426:$AW426,22,FALSE)),
IF(AND($S$3=TRUE,$S$1=TRUE,$S$4=TRUE)=TRUE,IF(OR($Q$4=TRUE,$Q$5=TRUE,$S$2=TRUE),VLOOKUP($G420,'KO Calc'!$H:$AW,37,FALSE),VLOOKUP($G420,'KO Calc'!$H426:$AW426,37,FALSE)),IF(AND($S$3=TRUE,$S$4=TRUE),IF(OR($Q$4=TRUE,$Q$5=TRUE,$S$2=TRUE),VLOOKUP($G420,'KO Calc'!$H:$AW,27,FALSE),VLOOKUP($G420,'KO Calc'!$H426:$AW426,27,FALSE)))))))))))))</f>
        <v>-</v>
      </c>
      <c r="I420" s="36" t="str">
        <f>IF(AND($Q$1=FALSE,$S$3=FALSE),"-",IF(AND($Q$1=TRUE,$S$3=TRUE),"-",IF(AND($Q$1=FALSE,$S$3=FALSE),"-",IF(AND($Q$1=TRUE,$S$1=TRUE,$S$4=FALSE)=TRUE,IF(OR($Q$4=TRUE,$Q$5=TRUE,$S$2=TRUE),VLOOKUP($G420,'KO Calc'!$H:$AW,13,FALSE),VLOOKUP($G420,'KO Calc'!$H426:$AW426,13,FALSE)),IF(AND($Q$1=TRUE,$S$4=FALSE),IF(OR($Q$4=TRUE,$Q$5=TRUE,$S$2=TRUE),VLOOKUP($G420,'KO Calc'!$H:$AW,3,FALSE),VLOOKUP($G420,'KO Calc'!$H426:$AW426,3,FALSE)),
IF(AND($Q$1=TRUE,$S$1=TRUE,$S$4=TRUE)=TRUE,IF(OR($Q$4=TRUE,$Q$5=TRUE,$S$2=TRUE),VLOOKUP($G420,'KO Calc'!$H:$AW,18,FALSE),VLOOKUP($G420,'KO Calc'!$H426:$AW426,18,FALSE)),IF(AND($Q$1=TRUE,$S$4=TRUE),IF(OR($Q$4=TRUE,$Q$5=TRUE,$S$2=TRUE),VLOOKUP($G420,'KO Calc'!$H:$AW,8,FALSE),VLOOKUP($G420,'KO Calc'!$H426:$AW426,8,FALSE)),
IF(AND($S$3=TRUE,$S$1=TRUE,$S$4=FALSE)=TRUE,IF(OR($Q$4=TRUE,$Q$5=TRUE,$S$2=TRUE),VLOOKUP($G420,'KO Calc'!$H:$AW,33,FALSE),VLOOKUP($G420,'KO Calc'!$H426:$AW426,33,FALSE)),IF(AND($S$3=TRUE,$S$4=FALSE),IF(OR($Q$4=TRUE,$Q$5=TRUE,$S$2=TRUE),VLOOKUP($G420,'KO Calc'!$H:$AW,23,FALSE),VLOOKUP($G420,'KO Calc'!$H426:$AW426,23,FALSE)),
IF(AND($S$3=TRUE,$S$1=TRUE,$S$4=TRUE)=TRUE,IF(OR($Q$4=TRUE,$Q$5=TRUE,$S$2=TRUE),VLOOKUP($G420,'KO Calc'!$H:$AW,38,FALSE),VLOOKUP($G420,'KO Calc'!$H426:$AW426,38,FALSE)),IF(AND($S$3=TRUE,$S$4=TRUE),IF(OR($Q$4=TRUE,$Q$5=TRUE,$S$2=TRUE),VLOOKUP($G420,'KO Calc'!$H:$AW,28,FALSE),VLOOKUP($G420,'KO Calc'!$H426:$AW426,28,FALSE)))))))))))))</f>
        <v>-</v>
      </c>
      <c r="J420" s="36" t="str">
        <f>IF(AND($Q$1=FALSE,$S$3=FALSE),"-",IF(AND($Q$1=TRUE,$S$3=TRUE),"-",IF(AND($Q$1=FALSE,$S$3=FALSE),"-",IF(AND($Q$1=TRUE,$S$1=TRUE,$S$4=FALSE)=TRUE,IF(OR($Q$4=TRUE,$Q$5=TRUE,$S$2=TRUE),VLOOKUP($G420,'KO Calc'!$H:$AW,FALSE),VLOOKUP($G420,'KO Calc'!$H426:$AW426,14,FALSE)),IF(AND($Q$1=TRUE,$S$4=FALSE),IF(OR($Q$4=TRUE,$Q$5=TRUE,$S$2=TRUE),VLOOKUP($G420,'KO Calc'!$H:$AW,4,FALSE),VLOOKUP($G420,'KO Calc'!$H426:$AW426,4,FALSE)),
IF(AND($Q$1=TRUE,$S$1=TRUE,$S$4=TRUE)=TRUE,IF(OR($Q$4=TRUE,$Q$5=TRUE,$S$2=TRUE),VLOOKUP($G420,'KO Calc'!$H:$AW,19,FALSE),VLOOKUP($G420,'KO Calc'!$H426:$AW426,19,FALSE)),IF(AND($Q$1=TRUE,$S$4=TRUE),IF(OR($Q$4=TRUE,$Q$5=TRUE,$S$2=TRUE),VLOOKUP($G420,'KO Calc'!$H:$AW,9,FALSE),VLOOKUP($G420,'KO Calc'!$H426:$AW426,9,FALSE)),
IF(AND($S$3=TRUE,$S$1=TRUE,$S$4=FALSE)=TRUE,IF(OR($Q$4=TRUE,$Q$5=TRUE,$S$2=TRUE),VLOOKUP($G420,'KO Calc'!$H:$AW,34,FALSE),VLOOKUP($G420,'KO Calc'!$H426:$AW426,34,FALSE)),IF(AND($S$3=TRUE,$S$4=FALSE),IF(OR($Q$4=TRUE,$Q$5=TRUE,$S$2=TRUE),VLOOKUP($G420,'KO Calc'!$H:$AW,24,FALSE),VLOOKUP($G420,'KO Calc'!$H426:$AW426,24,FALSE)),
IF(AND($S$3=TRUE,$S$1=TRUE,$S$4=TRUE)=TRUE,IF(OR($Q$4=TRUE,$Q$5=TRUE,$S$2=TRUE),VLOOKUP($G420,'KO Calc'!$H:$AW,39,FALSE),VLOOKUP($G420,'KO Calc'!$H426:$AW426,39,FALSE)),IF(AND($S$3=TRUE,$S$4=TRUE),IF(OR($Q$4=TRUE,$Q$5=TRUE,$S$2=TRUE),VLOOKUP($G420,'KO Calc'!$H:$AW,29,FALSE),VLOOKUP($G420,'KO Calc'!$H426:$AW426,29,FALSE)))))))))))))</f>
        <v>-</v>
      </c>
      <c r="K420" s="36" t="str">
        <f>IF(AND($Q$1=FALSE,$S$3=FALSE),"-",IF(AND($Q$1=TRUE,$S$3=TRUE),"-",IF(AND($Q$1=FALSE,$S$3=FALSE),"-",IF(AND($Q$1=TRUE,$S$1=TRUE,$S$4=FALSE)=TRUE,IF(OR($Q$4=TRUE,$Q$5=TRUE,$S$2=TRUE),VLOOKUP($G420,'KO Calc'!$H:$AW,15,FALSE),VLOOKUP($G420,'KO Calc'!$H426:$AW426,15,FALSE)),IF(AND($Q$1=TRUE,$S$4=FALSE),IF(OR($Q$4=TRUE,$Q$5=TRUE,$S$2=TRUE),VLOOKUP($G420,'KO Calc'!$H:$AW,5,FALSE),VLOOKUP($G420,'KO Calc'!$H426:$AW426,5,FALSE)),
IF(AND($Q$1=TRUE,$S$1=TRUE,$S$4=TRUE)=TRUE,IF(OR($Q$4=TRUE,$Q$5=TRUE,$S$2=TRUE),VLOOKUP($G420,'KO Calc'!$H:$AW,20,FALSE),VLOOKUP($G420,'KO Calc'!$H426:$AW426,20,FALSE)),IF(AND($Q$1=TRUE,$S$4=TRUE),IF(OR($Q$4=TRUE,$Q$5=TRUE,$S$2=TRUE),VLOOKUP($G420,'KO Calc'!$H:$AW,10,FALSE),VLOOKUP($G420,'KO Calc'!$H426:$AW426,10,FALSE)),
IF(AND($S$3=TRUE,$S$1=TRUE,$S$4=FALSE)=TRUE,IF(OR($Q$4=TRUE,$Q$5=TRUE,$S$2=TRUE),VLOOKUP($G420,'KO Calc'!$H:$AW,35,FALSE),VLOOKUP($G420,'KO Calc'!$H426:$AW426,35,FALSE)),IF(AND($S$3=TRUE,$S$4=FALSE),IF(OR($Q$4=TRUE,$Q$5=TRUE,$S$2=TRUE),VLOOKUP($G420,'KO Calc'!$H:$AW,25,FALSE),VLOOKUP($G420,'KO Calc'!$H426:$AW426,25,FALSE)),
IF(AND($S$3=TRUE,$S$1=TRUE,$S$4=TRUE)=TRUE,IF(OR($Q$4=TRUE,$Q$5=TRUE,$S$2=TRUE),VLOOKUP($G420,'KO Calc'!$H:$AW,40,FALSE),VLOOKUP($G420,'KO Calc'!$H426:$AW426,40,FALSE)),IF(AND($S$3=TRUE,$S$4=TRUE),IF(OR($Q$4=TRUE,$Q$5=TRUE,$S$2=TRUE),VLOOKUP($G420,'KO Calc'!$H:$AW,30,FALSE),VLOOKUP($G420,'KO Calc'!$H426:$AW426,30,FALSE)))))))))))))</f>
        <v>-</v>
      </c>
      <c r="L420" s="36" t="str">
        <f>IFERROR(IF(AND($Q$1=FALSE,$S$3=FALSE),"-",VLOOKUP($E420,'Status Thresholds'!$E:$AU,43,FALSE)),"-")</f>
        <v>-</v>
      </c>
      <c r="M420" s="36" t="str">
        <f>IFERROR(IF(AND($Q$1=FALSE,$S$3=FALSE),"-",VLOOKUP($E420,'Status Thresholds'!$E:$AU,41,FALSE)),"-")</f>
        <v>-</v>
      </c>
      <c r="N420" s="36" t="str">
        <f>IFERROR(IF(AND($Q$1=FALSE,$S$3=FALSE),"-",VLOOKUP($E420,'Status Thresholds'!$E:$AU,42,FALSE)),"-")</f>
        <v>-</v>
      </c>
    </row>
    <row r="421" spans="1:14" x14ac:dyDescent="0.25">
      <c r="B421" s="64" t="str">
        <f>VLOOKUP(C421,'Status Thresholds'!B:C,2,FALSE)</f>
        <v>Deviant</v>
      </c>
      <c r="C421" s="46" t="str">
        <f>IF(ISBLANK('KO Calc'!C417)=TRUE,"",'KO Calc'!C417)</f>
        <v>Hellblade Glavenus</v>
      </c>
      <c r="D421" s="78"/>
      <c r="E421" s="62" t="str">
        <f t="shared" si="11"/>
        <v>Hellblade Glavenus</v>
      </c>
      <c r="F421" t="s">
        <v>11</v>
      </c>
      <c r="G421" s="36" t="str">
        <f t="shared" si="12"/>
        <v>Hellblade GlavenusCrag 1</v>
      </c>
      <c r="H421" s="36" t="str">
        <f>IF(AND($Q$1=FALSE,$S$3=FALSE),"-",IF(AND($Q$1=TRUE,$S$3=TRUE),"-",IF(AND($Q$1=FALSE,$S$3=FALSE),"-",IF(AND($Q$1=TRUE,$S$1=TRUE,$S$4=FALSE)=TRUE,IF(OR($Q$4=TRUE,$Q$5=TRUE,$S$2=TRUE),VLOOKUP($G421,'KO Calc'!$H:$AW,12,FALSE),VLOOKUP($G421,'KO Calc'!$H427:$AW427,12,FALSE)),IF(AND($Q$1=TRUE,$S$4=FALSE),IF(OR($Q$4=TRUE,$Q$5=TRUE,$S$2=TRUE),VLOOKUP($G421,'KO Calc'!$H:$AW,2,FALSE),VLOOKUP($G421,'KO Calc'!$H427:$AW427,2,FALSE)),
IF(AND($Q$1=TRUE,$S$1=TRUE,$S$4=TRUE)=TRUE,IF(OR($Q$4=TRUE,$Q$5=TRUE,$S$2=TRUE),VLOOKUP($G421,'KO Calc'!$H:$AW,17,FALSE),VLOOKUP($G421,'KO Calc'!$H427:$AW427,17,FALSE)),IF(AND($Q$1=TRUE,$S$4=TRUE),IF(OR($Q$4=TRUE,$Q$5=TRUE,$S$2=TRUE),VLOOKUP($G421,'KO Calc'!$H:$AW,7,FALSE),VLOOKUP($G421,'KO Calc'!$H427:$AW427,7,FALSE)),
IF(AND($S$3=TRUE,$S$1=TRUE,$S$4=FALSE)=TRUE,IF(OR($Q$4=TRUE,$Q$5=TRUE,$S$2=TRUE),VLOOKUP($G421,'KO Calc'!$H:$AW,32,FALSE),VLOOKUP($G421,'KO Calc'!$H427:$AW427,32,FALSE)),IF(AND($S$3=TRUE,$S$4=FALSE),IF(OR($Q$4=TRUE,$Q$5=TRUE,$S$2=TRUE),VLOOKUP($G421,'KO Calc'!$H:$AW,22,FALSE),VLOOKUP($G421,'KO Calc'!$H427:$AW427,22,FALSE)),
IF(AND($S$3=TRUE,$S$1=TRUE,$S$4=TRUE)=TRUE,IF(OR($Q$4=TRUE,$Q$5=TRUE,$S$2=TRUE),VLOOKUP($G421,'KO Calc'!$H:$AW,37,FALSE),VLOOKUP($G421,'KO Calc'!$H427:$AW427,37,FALSE)),IF(AND($S$3=TRUE,$S$4=TRUE),IF(OR($Q$4=TRUE,$Q$5=TRUE,$S$2=TRUE),VLOOKUP($G421,'KO Calc'!$H:$AW,27,FALSE),VLOOKUP($G421,'KO Calc'!$H427:$AW427,27,FALSE)))))))))))))</f>
        <v>-</v>
      </c>
      <c r="I421" s="36" t="str">
        <f>IF(AND($Q$1=FALSE,$S$3=FALSE),"-",IF(AND($Q$1=TRUE,$S$3=TRUE),"-",IF(AND($Q$1=FALSE,$S$3=FALSE),"-",IF(AND($Q$1=TRUE,$S$1=TRUE,$S$4=FALSE)=TRUE,IF(OR($Q$4=TRUE,$Q$5=TRUE,$S$2=TRUE),VLOOKUP($G421,'KO Calc'!$H:$AW,13,FALSE),VLOOKUP($G421,'KO Calc'!$H427:$AW427,13,FALSE)),IF(AND($Q$1=TRUE,$S$4=FALSE),IF(OR($Q$4=TRUE,$Q$5=TRUE,$S$2=TRUE),VLOOKUP($G421,'KO Calc'!$H:$AW,3,FALSE),VLOOKUP($G421,'KO Calc'!$H427:$AW427,3,FALSE)),
IF(AND($Q$1=TRUE,$S$1=TRUE,$S$4=TRUE)=TRUE,IF(OR($Q$4=TRUE,$Q$5=TRUE,$S$2=TRUE),VLOOKUP($G421,'KO Calc'!$H:$AW,18,FALSE),VLOOKUP($G421,'KO Calc'!$H427:$AW427,18,FALSE)),IF(AND($Q$1=TRUE,$S$4=TRUE),IF(OR($Q$4=TRUE,$Q$5=TRUE,$S$2=TRUE),VLOOKUP($G421,'KO Calc'!$H:$AW,8,FALSE),VLOOKUP($G421,'KO Calc'!$H427:$AW427,8,FALSE)),
IF(AND($S$3=TRUE,$S$1=TRUE,$S$4=FALSE)=TRUE,IF(OR($Q$4=TRUE,$Q$5=TRUE,$S$2=TRUE),VLOOKUP($G421,'KO Calc'!$H:$AW,33,FALSE),VLOOKUP($G421,'KO Calc'!$H427:$AW427,33,FALSE)),IF(AND($S$3=TRUE,$S$4=FALSE),IF(OR($Q$4=TRUE,$Q$5=TRUE,$S$2=TRUE),VLOOKUP($G421,'KO Calc'!$H:$AW,23,FALSE),VLOOKUP($G421,'KO Calc'!$H427:$AW427,23,FALSE)),
IF(AND($S$3=TRUE,$S$1=TRUE,$S$4=TRUE)=TRUE,IF(OR($Q$4=TRUE,$Q$5=TRUE,$S$2=TRUE),VLOOKUP($G421,'KO Calc'!$H:$AW,38,FALSE),VLOOKUP($G421,'KO Calc'!$H427:$AW427,38,FALSE)),IF(AND($S$3=TRUE,$S$4=TRUE),IF(OR($Q$4=TRUE,$Q$5=TRUE,$S$2=TRUE),VLOOKUP($G421,'KO Calc'!$H:$AW,28,FALSE),VLOOKUP($G421,'KO Calc'!$H427:$AW427,28,FALSE)))))))))))))</f>
        <v>-</v>
      </c>
      <c r="J421" s="36" t="str">
        <f>IF(AND($Q$1=FALSE,$S$3=FALSE),"-",IF(AND($Q$1=TRUE,$S$3=TRUE),"-",IF(AND($Q$1=FALSE,$S$3=FALSE),"-",IF(AND($Q$1=TRUE,$S$1=TRUE,$S$4=FALSE)=TRUE,IF(OR($Q$4=TRUE,$Q$5=TRUE,$S$2=TRUE),VLOOKUP($G421,'KO Calc'!$H:$AW,FALSE),VLOOKUP($G421,'KO Calc'!$H427:$AW427,14,FALSE)),IF(AND($Q$1=TRUE,$S$4=FALSE),IF(OR($Q$4=TRUE,$Q$5=TRUE,$S$2=TRUE),VLOOKUP($G421,'KO Calc'!$H:$AW,4,FALSE),VLOOKUP($G421,'KO Calc'!$H427:$AW427,4,FALSE)),
IF(AND($Q$1=TRUE,$S$1=TRUE,$S$4=TRUE)=TRUE,IF(OR($Q$4=TRUE,$Q$5=TRUE,$S$2=TRUE),VLOOKUP($G421,'KO Calc'!$H:$AW,19,FALSE),VLOOKUP($G421,'KO Calc'!$H427:$AW427,19,FALSE)),IF(AND($Q$1=TRUE,$S$4=TRUE),IF(OR($Q$4=TRUE,$Q$5=TRUE,$S$2=TRUE),VLOOKUP($G421,'KO Calc'!$H:$AW,9,FALSE),VLOOKUP($G421,'KO Calc'!$H427:$AW427,9,FALSE)),
IF(AND($S$3=TRUE,$S$1=TRUE,$S$4=FALSE)=TRUE,IF(OR($Q$4=TRUE,$Q$5=TRUE,$S$2=TRUE),VLOOKUP($G421,'KO Calc'!$H:$AW,34,FALSE),VLOOKUP($G421,'KO Calc'!$H427:$AW427,34,FALSE)),IF(AND($S$3=TRUE,$S$4=FALSE),IF(OR($Q$4=TRUE,$Q$5=TRUE,$S$2=TRUE),VLOOKUP($G421,'KO Calc'!$H:$AW,24,FALSE),VLOOKUP($G421,'KO Calc'!$H427:$AW427,24,FALSE)),
IF(AND($S$3=TRUE,$S$1=TRUE,$S$4=TRUE)=TRUE,IF(OR($Q$4=TRUE,$Q$5=TRUE,$S$2=TRUE),VLOOKUP($G421,'KO Calc'!$H:$AW,39,FALSE),VLOOKUP($G421,'KO Calc'!$H427:$AW427,39,FALSE)),IF(AND($S$3=TRUE,$S$4=TRUE),IF(OR($Q$4=TRUE,$Q$5=TRUE,$S$2=TRUE),VLOOKUP($G421,'KO Calc'!$H:$AW,29,FALSE),VLOOKUP($G421,'KO Calc'!$H427:$AW427,29,FALSE)))))))))))))</f>
        <v>-</v>
      </c>
      <c r="K421" s="36" t="str">
        <f>IF(AND($Q$1=FALSE,$S$3=FALSE),"-",IF(AND($Q$1=TRUE,$S$3=TRUE),"-",IF(AND($Q$1=FALSE,$S$3=FALSE),"-",IF(AND($Q$1=TRUE,$S$1=TRUE,$S$4=FALSE)=TRUE,IF(OR($Q$4=TRUE,$Q$5=TRUE,$S$2=TRUE),VLOOKUP($G421,'KO Calc'!$H:$AW,15,FALSE),VLOOKUP($G421,'KO Calc'!$H427:$AW427,15,FALSE)),IF(AND($Q$1=TRUE,$S$4=FALSE),IF(OR($Q$4=TRUE,$Q$5=TRUE,$S$2=TRUE),VLOOKUP($G421,'KO Calc'!$H:$AW,5,FALSE),VLOOKUP($G421,'KO Calc'!$H427:$AW427,5,FALSE)),
IF(AND($Q$1=TRUE,$S$1=TRUE,$S$4=TRUE)=TRUE,IF(OR($Q$4=TRUE,$Q$5=TRUE,$S$2=TRUE),VLOOKUP($G421,'KO Calc'!$H:$AW,20,FALSE),VLOOKUP($G421,'KO Calc'!$H427:$AW427,20,FALSE)),IF(AND($Q$1=TRUE,$S$4=TRUE),IF(OR($Q$4=TRUE,$Q$5=TRUE,$S$2=TRUE),VLOOKUP($G421,'KO Calc'!$H:$AW,10,FALSE),VLOOKUP($G421,'KO Calc'!$H427:$AW427,10,FALSE)),
IF(AND($S$3=TRUE,$S$1=TRUE,$S$4=FALSE)=TRUE,IF(OR($Q$4=TRUE,$Q$5=TRUE,$S$2=TRUE),VLOOKUP($G421,'KO Calc'!$H:$AW,35,FALSE),VLOOKUP($G421,'KO Calc'!$H427:$AW427,35,FALSE)),IF(AND($S$3=TRUE,$S$4=FALSE),IF(OR($Q$4=TRUE,$Q$5=TRUE,$S$2=TRUE),VLOOKUP($G421,'KO Calc'!$H:$AW,25,FALSE),VLOOKUP($G421,'KO Calc'!$H427:$AW427,25,FALSE)),
IF(AND($S$3=TRUE,$S$1=TRUE,$S$4=TRUE)=TRUE,IF(OR($Q$4=TRUE,$Q$5=TRUE,$S$2=TRUE),VLOOKUP($G421,'KO Calc'!$H:$AW,40,FALSE),VLOOKUP($G421,'KO Calc'!$H427:$AW427,40,FALSE)),IF(AND($S$3=TRUE,$S$4=TRUE),IF(OR($Q$4=TRUE,$Q$5=TRUE,$S$2=TRUE),VLOOKUP($G421,'KO Calc'!$H:$AW,30,FALSE),VLOOKUP($G421,'KO Calc'!$H427:$AW427,30,FALSE)))))))))))))</f>
        <v>-</v>
      </c>
      <c r="L421" s="36" t="str">
        <f>IFERROR(VLOOKUP($E421,'Status Thresholds'!$E:$AS,41,FALSE),"-")</f>
        <v>-</v>
      </c>
    </row>
    <row r="422" spans="1:14" x14ac:dyDescent="0.25">
      <c r="B422" s="64" t="str">
        <f>VLOOKUP(C422,'Status Thresholds'!B:C,2,FALSE)</f>
        <v>Deviant</v>
      </c>
      <c r="C422" s="46" t="str">
        <f>IF(ISBLANK('KO Calc'!C418)=TRUE,"",'KO Calc'!C418)</f>
        <v>Hellblade Glavenus</v>
      </c>
      <c r="D422" s="78"/>
      <c r="E422" s="62"/>
      <c r="G422" s="36"/>
      <c r="L422" s="36" t="str">
        <f>IFERROR(VLOOKUP($E422,'Status Thresholds'!$E:$AS,41,FALSE),"-")</f>
        <v>-</v>
      </c>
    </row>
    <row r="423" spans="1:14" s="36" customFormat="1" x14ac:dyDescent="0.25">
      <c r="B423" s="64" t="str">
        <f>VLOOKUP(C423,'Status Thresholds'!B:C,2,FALSE)</f>
        <v>MHGen</v>
      </c>
      <c r="C423" s="46" t="str">
        <f>IF(ISBLANK('KO Calc'!C419)=TRUE,"",'KO Calc'!C419)</f>
        <v>Iodrome</v>
      </c>
      <c r="D423" s="65" t="s">
        <v>0</v>
      </c>
      <c r="E423" s="62" t="str">
        <f t="shared" si="11"/>
        <v>IodromePara</v>
      </c>
      <c r="F423" s="36" t="s">
        <v>2</v>
      </c>
      <c r="G423" s="36" t="str">
        <f t="shared" si="12"/>
        <v>IodromePara lvl 2</v>
      </c>
      <c r="H423" s="36" t="str">
        <f>IFERROR(ROUNDUP(IF(AND($Q$1=FALSE,$S$3=FALSE),"-",IF(AND($Q$1=TRUE,$S$3=TRUE),"-",IF(AND($Q$1=TRUE,$S$1=TRUE,$S$4=FALSE),VLOOKUP($E423,'Status Thresholds'!$E:$AS,12,FALSE),IF(AND($Q$1=TRUE,$S$4=FALSE),VLOOKUP($E423,'Status Thresholds'!$E:$AS,2,FALSE), IF(AND($Q$1=TRUE,$S$1=TRUE,$S$4=TRUE),VLOOKUP($E423,'Status Thresholds'!$E:$AS,17,FALSE),IF(AND($Q$1=TRUE,$S$4=TRUE),VLOOKUP($E423,'Status Thresholds'!$E:$AS,7,FALSE),IF(AND($S$3=TRUE,$S$1=TRUE,$S$4=FALSE),VLOOKUP($E423,'Status Thresholds'!$E:$AS,32,FALSE),IF(AND($S$3=TRUE,$S$4=FALSE),VLOOKUP($E423,'Status Thresholds'!$E:$AS,22,FALSE),IF(AND($S$3=TRUE,$S$1=TRUE,$S$4=TRUE),VLOOKUP($E423,'Status Thresholds'!$E:$AS,37,FALSE),IF(AND($S$3=TRUE,$S$4=TRUE),VLOOKUP($E423,'Status Thresholds'!$E:$AS,27,FALSE),""))))))))/IF(OR($Q$3=TRUE,AND($Q$2=TRUE,$Q$7=TRUE),AND($Q$3=TRUE,$Q$7=TRUE))=TRUE,'Shots and Status'!$F$5,IF((OR($Q$2,$Q$7)=TRUE),'Shots and Status'!$D$5,'Shots and Status'!$C$5)))),0),"-")</f>
        <v>-</v>
      </c>
      <c r="I423" s="36" t="str">
        <f>IFERROR(ROUNDUP(IF(AND($Q$1=FALSE,$S$3=FALSE),"-",IF(AND($Q$1=TRUE,$S$3=TRUE),"-",IF(AND($Q$1=TRUE,$S$1=TRUE,$S$4=FALSE),VLOOKUP($E423,'Status Thresholds'!$E:$AS,13,FALSE),IF(AND($Q$1=TRUE,$S$4=FALSE),VLOOKUP($E423,'Status Thresholds'!$E:$AS,3,FALSE), IF(AND($Q$1=TRUE,$S$1=TRUE,$S$4=TRUE),VLOOKUP($E423,'Status Thresholds'!$E:$AS,18,FALSE),IF(AND($Q$1=TRUE,$S$4=TRUE),VLOOKUP($E423,'Status Thresholds'!$E:$AS,8,FALSE),IF(AND($S$3=TRUE,$S$1=TRUE,$S$4=FALSE),VLOOKUP($E423,'Status Thresholds'!$E:$AS,33,FALSE),IF(AND($S$3=TRUE,$S$4=FALSE),VLOOKUP($E423,'Status Thresholds'!$E:$AS,23,FALSE),IF(AND($S$3=TRUE,$S$1=TRUE,$S$4=TRUE),VLOOKUP($E423,'Status Thresholds'!$E:$AS,38,FALSE),IF(AND($S$3=TRUE,$S$4=TRUE),VLOOKUP($E423,'Status Thresholds'!$E:$AS,28,FALSE),""))))))))/IF(OR($Q$3=TRUE,AND($Q$2=TRUE,$Q$7=TRUE),AND($Q$3=TRUE,$Q$7=TRUE))=TRUE,'Shots and Status'!$F$5,IF((OR($Q$2,$Q$7)=TRUE),'Shots and Status'!$D$5,'Shots and Status'!$C$5)))),0),"-")</f>
        <v>-</v>
      </c>
      <c r="J423" s="36" t="str">
        <f>IFERROR(ROUNDUP(IF(AND($Q$1=FALSE,$S$3=FALSE),"-",IF(AND($Q$1=TRUE,$S$3=TRUE),"-",IF(AND($Q$1=TRUE,$S$1=TRUE,$S$4=FALSE),VLOOKUP($E423,'Status Thresholds'!$E:$AS,14,FALSE),IF(AND($Q$1=TRUE,$S$4=FALSE),VLOOKUP($E423,'Status Thresholds'!$E:$AS,4,FALSE), IF(AND($Q$1=TRUE,$S$1=TRUE,$S$4=TRUE),VLOOKUP($E423,'Status Thresholds'!$E:$AS,19,FALSE),IF(AND($Q$1=TRUE,$S$4=TRUE),VLOOKUP($E423,'Status Thresholds'!$E:$AS,9,FALSE),IF(AND($S$3=TRUE,$S$1=TRUE,$S$4=FALSE),VLOOKUP($E423,'Status Thresholds'!$E:$AS,34,FALSE),IF(AND($S$3=TRUE,$S$4=FALSE),VLOOKUP($E423,'Status Thresholds'!$E:$AS,24,FALSE),IF(AND($S$3=TRUE,$S$1=TRUE,$S$4=TRUE),VLOOKUP($E423,'Status Thresholds'!$E:$AS,39,FALSE),IF(AND($S$3=TRUE,$S$4=TRUE),VLOOKUP($E423,'Status Thresholds'!$E:$AS,29,FALSE),""))))))))/IF(OR($Q$3=TRUE,AND($Q$2=TRUE,$Q$7=TRUE),AND($Q$3=TRUE,$Q$7=TRUE))=TRUE,'Shots and Status'!$F$5,IF((OR($Q$2,$Q$7)=TRUE),'Shots and Status'!$D$5,'Shots and Status'!$C$5)))),0),"-")</f>
        <v>-</v>
      </c>
      <c r="K423" s="36" t="str">
        <f>IFERROR(ROUNDUP(IF(AND($Q$1=FALSE,$S$3=FALSE),"-",IF(AND($Q$1=TRUE,$S$3=TRUE),"-",IF(AND($Q$1=TRUE,$S$1=TRUE,$S$4=FALSE),VLOOKUP($E423,'Status Thresholds'!$E:$AS,15,FALSE),IF(AND($Q$1=TRUE,$S$4=FALSE),VLOOKUP($E423,'Status Thresholds'!$E:$AS,5,FALSE), IF(AND($Q$1=TRUE,$S$1=TRUE,$S$4=TRUE),VLOOKUP($E423,'Status Thresholds'!$E:$AS,20,FALSE),IF(AND($Q$1=TRUE,$S$4=TRUE),VLOOKUP($E423,'Status Thresholds'!$E:$AS,10,FALSE),IF(AND($S$3=TRUE,$S$1=TRUE,$S$4=FALSE),VLOOKUP($E423,'Status Thresholds'!$E:$AS,35,FALSE),IF(AND($S$3=TRUE,$S$4=FALSE),VLOOKUP($E423,'Status Thresholds'!$E:$AS,25,FALSE),IF(AND($S$3=TRUE,$S$1=TRUE,$S$4=TRUE),VLOOKUP($E423,'Status Thresholds'!$E:$AS,40,FALSE),IF(AND($S$3=TRUE,$S$4=TRUE),VLOOKUP($E423,'Status Thresholds'!$E:$AS,30,FALSE),""))))))))/IF(OR($Q$3=TRUE,AND($Q$2=TRUE,$Q$7=TRUE),AND($Q$3=TRUE,$Q$7=TRUE))=TRUE,'Shots and Status'!$F$5,IF((OR($Q$2,$Q$7)=TRUE),'Shots and Status'!$D$5,'Shots and Status'!$C$5)))),0),"-")</f>
        <v>-</v>
      </c>
      <c r="L423" s="36" t="str">
        <f>IFERROR(IF(AND($Q$1=FALSE,$S$3=FALSE),"-",VLOOKUP($E423,'Status Thresholds'!$E:$AU,41,FALSE)),"-")</f>
        <v>-</v>
      </c>
      <c r="M423" s="36" t="str">
        <f>IFERROR(IF(AND($Q$1=FALSE,$S$3=FALSE),"-",VLOOKUP($E423,'Status Thresholds'!$E:$AU,42,FALSE)),"-")</f>
        <v>-</v>
      </c>
      <c r="N423" s="36" t="str">
        <f>IFERROR(IF(AND($Q$1=FALSE,$S$3=FALSE),"-",VLOOKUP($E423,'Status Thresholds'!$E:$AU,43,FALSE)),"-")</f>
        <v>-</v>
      </c>
    </row>
    <row r="424" spans="1:14" s="59" customFormat="1" x14ac:dyDescent="0.25">
      <c r="A424" s="46"/>
      <c r="B424" s="64" t="str">
        <f>VLOOKUP(C424,'Status Thresholds'!B:C,2,FALSE)</f>
        <v>MHGen</v>
      </c>
      <c r="C424" s="46" t="str">
        <f>IF(ISBLANK('KO Calc'!C420)=TRUE,"",'KO Calc'!C420)</f>
        <v>Iodrome</v>
      </c>
      <c r="D424" s="60" t="s">
        <v>32</v>
      </c>
      <c r="E424" s="62" t="str">
        <f t="shared" si="11"/>
        <v>IodromeSleep</v>
      </c>
      <c r="F424" s="59" t="s">
        <v>5</v>
      </c>
      <c r="G424" s="36" t="str">
        <f t="shared" si="12"/>
        <v>IodromeSleep lvl 2</v>
      </c>
      <c r="H424" s="36" t="str">
        <f>IFERROR(ROUNDUP(IF(AND($Q$1=FALSE,$S$3=FALSE),"-",IF(AND($Q$1=TRUE,$S$3=TRUE),"-",IF(AND($Q$1=TRUE,$S$1=TRUE,$S$4=FALSE),VLOOKUP($E424,'Status Thresholds'!$E:$AS,12,FALSE),IF(AND($Q$1=TRUE,$S$4=FALSE),VLOOKUP($E424,'Status Thresholds'!$E:$AS,2,FALSE), IF(AND($Q$1=TRUE,$S$1=TRUE,$S$4=TRUE),VLOOKUP($E424,'Status Thresholds'!$E:$AS,17,FALSE),IF(AND($Q$1=TRUE,$S$4=TRUE),VLOOKUP($E424,'Status Thresholds'!$E:$AS,7,FALSE),IF(AND($S$3=TRUE,$S$1=TRUE,$S$4=FALSE),VLOOKUP($E424,'Status Thresholds'!$E:$AS,32,FALSE),IF(AND($S$3=TRUE,$S$4=FALSE),VLOOKUP($E424,'Status Thresholds'!$E:$AS,22,FALSE),IF(AND($S$3=TRUE,$S$1=TRUE,$S$4=TRUE),VLOOKUP($E424,'Status Thresholds'!$E:$AS,37,FALSE),IF(AND($S$3=TRUE,$S$4=TRUE),VLOOKUP($E424,'Status Thresholds'!$E:$AS,27,FALSE),""))))))))/IF(OR($Q$3=TRUE,AND($Q$2=TRUE,$Q$7=TRUE),AND($Q$3=TRUE,$Q$7=TRUE))=TRUE,'Shots and Status'!$F$5,IF((OR($Q$2,$Q$7)=TRUE),'Shots and Status'!$D$5,'Shots and Status'!$C$5)))),0),"-")</f>
        <v>-</v>
      </c>
      <c r="I424" s="36" t="str">
        <f>IFERROR(ROUNDUP(IF(AND($Q$1=FALSE,$S$3=FALSE),"-",IF(AND($Q$1=TRUE,$S$3=TRUE),"-",IF(AND($Q$1=TRUE,$S$1=TRUE,$S$4=FALSE),VLOOKUP($E424,'Status Thresholds'!$E:$AS,13,FALSE),IF(AND($Q$1=TRUE,$S$4=FALSE),VLOOKUP($E424,'Status Thresholds'!$E:$AS,3,FALSE), IF(AND($Q$1=TRUE,$S$1=TRUE,$S$4=TRUE),VLOOKUP($E424,'Status Thresholds'!$E:$AS,18,FALSE),IF(AND($Q$1=TRUE,$S$4=TRUE),VLOOKUP($E424,'Status Thresholds'!$E:$AS,8,FALSE),IF(AND($S$3=TRUE,$S$1=TRUE,$S$4=FALSE),VLOOKUP($E424,'Status Thresholds'!$E:$AS,33,FALSE),IF(AND($S$3=TRUE,$S$4=FALSE),VLOOKUP($E424,'Status Thresholds'!$E:$AS,23,FALSE),IF(AND($S$3=TRUE,$S$1=TRUE,$S$4=TRUE),VLOOKUP($E424,'Status Thresholds'!$E:$AS,38,FALSE),IF(AND($S$3=TRUE,$S$4=TRUE),VLOOKUP($E424,'Status Thresholds'!$E:$AS,28,FALSE),""))))))))/IF(OR($Q$3=TRUE,AND($Q$2=TRUE,$Q$7=TRUE),AND($Q$3=TRUE,$Q$7=TRUE))=TRUE,'Shots and Status'!$F$5,IF((OR($Q$2,$Q$7)=TRUE),'Shots and Status'!$D$5,'Shots and Status'!$C$5)))),0),"-")</f>
        <v>-</v>
      </c>
      <c r="J424" s="36" t="str">
        <f>IFERROR(ROUNDUP(IF(AND($Q$1=FALSE,$S$3=FALSE),"-",IF(AND($Q$1=TRUE,$S$3=TRUE),"-",IF(AND($Q$1=TRUE,$S$1=TRUE,$S$4=FALSE),VLOOKUP($E424,'Status Thresholds'!$E:$AS,14,FALSE),IF(AND($Q$1=TRUE,$S$4=FALSE),VLOOKUP($E424,'Status Thresholds'!$E:$AS,4,FALSE), IF(AND($Q$1=TRUE,$S$1=TRUE,$S$4=TRUE),VLOOKUP($E424,'Status Thresholds'!$E:$AS,19,FALSE),IF(AND($Q$1=TRUE,$S$4=TRUE),VLOOKUP($E424,'Status Thresholds'!$E:$AS,9,FALSE),IF(AND($S$3=TRUE,$S$1=TRUE,$S$4=FALSE),VLOOKUP($E424,'Status Thresholds'!$E:$AS,34,FALSE),IF(AND($S$3=TRUE,$S$4=FALSE),VLOOKUP($E424,'Status Thresholds'!$E:$AS,24,FALSE),IF(AND($S$3=TRUE,$S$1=TRUE,$S$4=TRUE),VLOOKUP($E424,'Status Thresholds'!$E:$AS,39,FALSE),IF(AND($S$3=TRUE,$S$4=TRUE),VLOOKUP($E424,'Status Thresholds'!$E:$AS,29,FALSE),""))))))))/IF(OR($Q$3=TRUE,AND($Q$2=TRUE,$Q$7=TRUE),AND($Q$3=TRUE,$Q$7=TRUE))=TRUE,'Shots and Status'!$F$5,IF((OR($Q$2,$Q$7)=TRUE),'Shots and Status'!$D$5,'Shots and Status'!$C$5)))),0),"-")</f>
        <v>-</v>
      </c>
      <c r="K424" s="36" t="str">
        <f>IFERROR(ROUNDUP(IF(AND($Q$1=FALSE,$S$3=FALSE),"-",IF(AND($Q$1=TRUE,$S$3=TRUE),"-",IF(AND($Q$1=TRUE,$S$1=TRUE,$S$4=FALSE),VLOOKUP($E424,'Status Thresholds'!$E:$AS,15,FALSE),IF(AND($Q$1=TRUE,$S$4=FALSE),VLOOKUP($E424,'Status Thresholds'!$E:$AS,5,FALSE), IF(AND($Q$1=TRUE,$S$1=TRUE,$S$4=TRUE),VLOOKUP($E424,'Status Thresholds'!$E:$AS,20,FALSE),IF(AND($Q$1=TRUE,$S$4=TRUE),VLOOKUP($E424,'Status Thresholds'!$E:$AS,10,FALSE),IF(AND($S$3=TRUE,$S$1=TRUE,$S$4=FALSE),VLOOKUP($E424,'Status Thresholds'!$E:$AS,35,FALSE),IF(AND($S$3=TRUE,$S$4=FALSE),VLOOKUP($E424,'Status Thresholds'!$E:$AS,25,FALSE),IF(AND($S$3=TRUE,$S$1=TRUE,$S$4=TRUE),VLOOKUP($E424,'Status Thresholds'!$E:$AS,40,FALSE),IF(AND($S$3=TRUE,$S$4=TRUE),VLOOKUP($E424,'Status Thresholds'!$E:$AS,30,FALSE),""))))))))/IF(OR($Q$3=TRUE,AND($Q$2=TRUE,$Q$7=TRUE),AND($Q$3=TRUE,$Q$7=TRUE))=TRUE,'Shots and Status'!$F$5,IF((OR($Q$2,$Q$7)=TRUE),'Shots and Status'!$D$5,'Shots and Status'!$C$5)))),0),"-")</f>
        <v>-</v>
      </c>
      <c r="L424" s="36" t="str">
        <f>IFERROR(IF(AND($Q$1=FALSE,$S$3=FALSE),"-",VLOOKUP($E424,'Status Thresholds'!$E:$AU,41,FALSE)),"-")</f>
        <v>-</v>
      </c>
      <c r="M424" s="36" t="str">
        <f>IFERROR(IF(AND($Q$1=FALSE,$S$3=FALSE),"-",VLOOKUP($E424,'Status Thresholds'!$E:$AU,42,FALSE)),"-")</f>
        <v>-</v>
      </c>
      <c r="N424" s="36" t="str">
        <f>IFERROR(IF(AND($Q$1=FALSE,$S$3=FALSE),"-",VLOOKUP($E424,'Status Thresholds'!$E:$AU,43,FALSE)),"-")</f>
        <v>-</v>
      </c>
    </row>
    <row r="425" spans="1:14" s="59" customFormat="1" x14ac:dyDescent="0.25">
      <c r="A425" s="46"/>
      <c r="B425" s="64" t="str">
        <f>VLOOKUP(C425,'Status Thresholds'!B:C,2,FALSE)</f>
        <v>MHGen</v>
      </c>
      <c r="C425" s="46" t="str">
        <f>IF(ISBLANK('KO Calc'!C421)=TRUE,"",'KO Calc'!C421)</f>
        <v>Iodrome</v>
      </c>
      <c r="D425" s="58" t="s">
        <v>33</v>
      </c>
      <c r="E425" s="62" t="str">
        <f t="shared" si="11"/>
        <v>IodromePoison</v>
      </c>
      <c r="F425" s="59" t="s">
        <v>6</v>
      </c>
      <c r="G425" s="36" t="str">
        <f t="shared" si="12"/>
        <v>IodromePoison lvl 2</v>
      </c>
      <c r="H425" s="36" t="str">
        <f>IFERROR(ROUNDUP(IF(AND($Q$1=FALSE,$S$3=FALSE),"-",IF(AND($Q$1=TRUE,$S$3=TRUE),"-",IF(AND($Q$1=TRUE,$S$1=TRUE,$S$4=FALSE),VLOOKUP($E425,'Status Thresholds'!$E:$AS,12,FALSE),IF(AND($Q$1=TRUE,$S$4=FALSE),VLOOKUP($E425,'Status Thresholds'!$E:$AS,2,FALSE), IF(AND($Q$1=TRUE,$S$1=TRUE,$S$4=TRUE),VLOOKUP($E425,'Status Thresholds'!$E:$AS,17,FALSE),IF(AND($Q$1=TRUE,$S$4=TRUE),VLOOKUP($E425,'Status Thresholds'!$E:$AS,7,FALSE),IF(AND($S$3=TRUE,$S$1=TRUE,$S$4=FALSE),VLOOKUP($E425,'Status Thresholds'!$E:$AS,32,FALSE),IF(AND($S$3=TRUE,$S$4=FALSE),VLOOKUP($E425,'Status Thresholds'!$E:$AS,22,FALSE),IF(AND($S$3=TRUE,$S$1=TRUE,$S$4=TRUE),VLOOKUP($E425,'Status Thresholds'!$E:$AS,37,FALSE),IF(AND($S$3=TRUE,$S$4=TRUE),VLOOKUP($E425,'Status Thresholds'!$E:$AS,27,FALSE),""))))))))/IF(OR($Q$3=TRUE,AND($Q$2=TRUE,$Q$7=TRUE),AND($Q$3=TRUE,$Q$7=TRUE))=TRUE,'Shots and Status'!$F$5,IF((OR($Q$2,$Q$7)=TRUE),'Shots and Status'!$D$5,'Shots and Status'!$C$5)))),0),"-")</f>
        <v>-</v>
      </c>
      <c r="I425" s="36" t="str">
        <f>IFERROR(ROUNDUP(IF(AND($Q$1=FALSE,$S$3=FALSE),"-",IF(AND($Q$1=TRUE,$S$3=TRUE),"-",IF(AND($Q$1=TRUE,$S$1=TRUE,$S$4=FALSE),VLOOKUP($E425,'Status Thresholds'!$E:$AS,13,FALSE),IF(AND($Q$1=TRUE,$S$4=FALSE),VLOOKUP($E425,'Status Thresholds'!$E:$AS,3,FALSE), IF(AND($Q$1=TRUE,$S$1=TRUE,$S$4=TRUE),VLOOKUP($E425,'Status Thresholds'!$E:$AS,18,FALSE),IF(AND($Q$1=TRUE,$S$4=TRUE),VLOOKUP($E425,'Status Thresholds'!$E:$AS,8,FALSE),IF(AND($S$3=TRUE,$S$1=TRUE,$S$4=FALSE),VLOOKUP($E425,'Status Thresholds'!$E:$AS,33,FALSE),IF(AND($S$3=TRUE,$S$4=FALSE),VLOOKUP($E425,'Status Thresholds'!$E:$AS,23,FALSE),IF(AND($S$3=TRUE,$S$1=TRUE,$S$4=TRUE),VLOOKUP($E425,'Status Thresholds'!$E:$AS,38,FALSE),IF(AND($S$3=TRUE,$S$4=TRUE),VLOOKUP($E425,'Status Thresholds'!$E:$AS,28,FALSE),""))))))))/IF(OR($Q$3=TRUE,AND($Q$2=TRUE,$Q$7=TRUE),AND($Q$3=TRUE,$Q$7=TRUE))=TRUE,'Shots and Status'!$F$5,IF((OR($Q$2,$Q$7)=TRUE),'Shots and Status'!$D$5,'Shots and Status'!$C$5)))),0),"-")</f>
        <v>-</v>
      </c>
      <c r="J425" s="36" t="str">
        <f>IFERROR(ROUNDUP(IF(AND($Q$1=FALSE,$S$3=FALSE),"-",IF(AND($Q$1=TRUE,$S$3=TRUE),"-",IF(AND($Q$1=TRUE,$S$1=TRUE,$S$4=FALSE),VLOOKUP($E425,'Status Thresholds'!$E:$AS,14,FALSE),IF(AND($Q$1=TRUE,$S$4=FALSE),VLOOKUP($E425,'Status Thresholds'!$E:$AS,4,FALSE), IF(AND($Q$1=TRUE,$S$1=TRUE,$S$4=TRUE),VLOOKUP($E425,'Status Thresholds'!$E:$AS,19,FALSE),IF(AND($Q$1=TRUE,$S$4=TRUE),VLOOKUP($E425,'Status Thresholds'!$E:$AS,9,FALSE),IF(AND($S$3=TRUE,$S$1=TRUE,$S$4=FALSE),VLOOKUP($E425,'Status Thresholds'!$E:$AS,34,FALSE),IF(AND($S$3=TRUE,$S$4=FALSE),VLOOKUP($E425,'Status Thresholds'!$E:$AS,24,FALSE),IF(AND($S$3=TRUE,$S$1=TRUE,$S$4=TRUE),VLOOKUP($E425,'Status Thresholds'!$E:$AS,39,FALSE),IF(AND($S$3=TRUE,$S$4=TRUE),VLOOKUP($E425,'Status Thresholds'!$E:$AS,29,FALSE),""))))))))/IF(OR($Q$3=TRUE,AND($Q$2=TRUE,$Q$7=TRUE),AND($Q$3=TRUE,$Q$7=TRUE))=TRUE,'Shots and Status'!$F$5,IF((OR($Q$2,$Q$7)=TRUE),'Shots and Status'!$D$5,'Shots and Status'!$C$5)))),0),"-")</f>
        <v>-</v>
      </c>
      <c r="K425" s="36" t="str">
        <f>IFERROR(ROUNDUP(IF(AND($Q$1=FALSE,$S$3=FALSE),"-",IF(AND($Q$1=TRUE,$S$3=TRUE),"-",IF(AND($Q$1=TRUE,$S$1=TRUE,$S$4=FALSE),VLOOKUP($E425,'Status Thresholds'!$E:$AS,15,FALSE),IF(AND($Q$1=TRUE,$S$4=FALSE),VLOOKUP($E425,'Status Thresholds'!$E:$AS,5,FALSE), IF(AND($Q$1=TRUE,$S$1=TRUE,$S$4=TRUE),VLOOKUP($E425,'Status Thresholds'!$E:$AS,20,FALSE),IF(AND($Q$1=TRUE,$S$4=TRUE),VLOOKUP($E425,'Status Thresholds'!$E:$AS,10,FALSE),IF(AND($S$3=TRUE,$S$1=TRUE,$S$4=FALSE),VLOOKUP($E425,'Status Thresholds'!$E:$AS,35,FALSE),IF(AND($S$3=TRUE,$S$4=FALSE),VLOOKUP($E425,'Status Thresholds'!$E:$AS,25,FALSE),IF(AND($S$3=TRUE,$S$1=TRUE,$S$4=TRUE),VLOOKUP($E425,'Status Thresholds'!$E:$AS,40,FALSE),IF(AND($S$3=TRUE,$S$4=TRUE),VLOOKUP($E425,'Status Thresholds'!$E:$AS,30,FALSE),""))))))))/IF(OR($Q$3=TRUE,AND($Q$2=TRUE,$Q$7=TRUE),AND($Q$3=TRUE,$Q$7=TRUE))=TRUE,'Shots and Status'!$F$5,IF((OR($Q$2,$Q$7)=TRUE),'Shots and Status'!$D$5,'Shots and Status'!$C$5)))),0),"-")</f>
        <v>-</v>
      </c>
      <c r="L425" s="36" t="str">
        <f>IFERROR(IF(AND($Q$1=FALSE,$S$3=FALSE),"-",VLOOKUP($E425,'Status Thresholds'!$E:$AU,41,FALSE)),"-")</f>
        <v>-</v>
      </c>
      <c r="M425" s="36" t="str">
        <f>IFERROR(IF(AND($Q$1=FALSE,$S$3=FALSE),"-",VLOOKUP($E425,'Status Thresholds'!$E:$AU,42,FALSE)),"-")</f>
        <v>-</v>
      </c>
      <c r="N425" s="36" t="str">
        <f>IFERROR(IF(AND($Q$1=FALSE,$S$3=FALSE),"-",VLOOKUP($E425,'Status Thresholds'!$E:$AU,43,FALSE)),"-")</f>
        <v>-</v>
      </c>
    </row>
    <row r="426" spans="1:14" s="36" customFormat="1" x14ac:dyDescent="0.25">
      <c r="A426" s="46"/>
      <c r="B426" s="64" t="str">
        <f>VLOOKUP(C426,'Status Thresholds'!B:C,2,FALSE)</f>
        <v>MHGen</v>
      </c>
      <c r="C426" s="46" t="str">
        <f>IF(ISBLANK('KO Calc'!C422)=TRUE,"",'KO Calc'!C422)</f>
        <v>Iodrome</v>
      </c>
      <c r="D426" s="57" t="s">
        <v>22</v>
      </c>
      <c r="E426" s="62" t="str">
        <f t="shared" si="11"/>
        <v>IodromeExhaust</v>
      </c>
      <c r="F426" s="36" t="s">
        <v>8</v>
      </c>
      <c r="G426" s="36" t="str">
        <f t="shared" si="12"/>
        <v>IodromeExhaust lvl 2</v>
      </c>
      <c r="H426" s="36" t="str">
        <f>IFERROR(ROUNDUP(IF(AND($Q$1=FALSE,$S$3=FALSE),"-",IF(AND($Q$1=TRUE,$S$3=TRUE),"-",IF(AND($Q$1=TRUE,$S$1=TRUE,$S$4=FALSE),VLOOKUP($E426,'Status Thresholds'!$E:$AS,12,FALSE),IF(AND($Q$1=TRUE,$S$4=FALSE),VLOOKUP($E426,'Status Thresholds'!$E:$AS,2,FALSE), IF(AND($Q$1=TRUE,$S$1=TRUE,$S$4=TRUE),VLOOKUP($E426,'Status Thresholds'!$E:$AS,17,FALSE),IF(AND($Q$1=TRUE,$S$4=TRUE),VLOOKUP($E426,'Status Thresholds'!$E:$AS,7,FALSE),IF(AND($S$3=TRUE,$S$1=TRUE,$S$4=FALSE),VLOOKUP($E426,'Status Thresholds'!$E:$AS,32,FALSE),IF(AND($S$3=TRUE,$S$4=FALSE),VLOOKUP($E426,'Status Thresholds'!$E:$AS,22,FALSE),IF(AND($S$3=TRUE,$S$1=TRUE,$S$4=TRUE),VLOOKUP($E426,'Status Thresholds'!$E:$AS,37,FALSE),IF(AND($S$3=TRUE,$S$4=TRUE),VLOOKUP($E426,'Status Thresholds'!$E:$AS,27,FALSE),""))))))))/IF(OR($Q$3=TRUE,AND($Q$2=TRUE,$Q$7=TRUE),AND($Q$3=TRUE,$Q$7=TRUE))=TRUE,'Shots and Status'!$F$5,IF((OR($Q$2,$Q$7)=TRUE),'Shots and Status'!$D$5,'Shots and Status'!$C$5)))),0),"-")</f>
        <v>-</v>
      </c>
      <c r="I426" s="36" t="str">
        <f>IFERROR(ROUNDUP(IF(AND($Q$1=FALSE,$S$3=FALSE),"-",IF(AND($Q$1=TRUE,$S$3=TRUE),"-",IF(AND($Q$1=TRUE,$S$1=TRUE,$S$4=FALSE),VLOOKUP($E426,'Status Thresholds'!$E:$AS,13,FALSE),IF(AND($Q$1=TRUE,$S$4=FALSE),VLOOKUP($E426,'Status Thresholds'!$E:$AS,3,FALSE), IF(AND($Q$1=TRUE,$S$1=TRUE,$S$4=TRUE),VLOOKUP($E426,'Status Thresholds'!$E:$AS,18,FALSE),IF(AND($Q$1=TRUE,$S$4=TRUE),VLOOKUP($E426,'Status Thresholds'!$E:$AS,8,FALSE),IF(AND($S$3=TRUE,$S$1=TRUE,$S$4=FALSE),VLOOKUP($E426,'Status Thresholds'!$E:$AS,33,FALSE),IF(AND($S$3=TRUE,$S$4=FALSE),VLOOKUP($E426,'Status Thresholds'!$E:$AS,23,FALSE),IF(AND($S$3=TRUE,$S$1=TRUE,$S$4=TRUE),VLOOKUP($E426,'Status Thresholds'!$E:$AS,38,FALSE),IF(AND($S$3=TRUE,$S$4=TRUE),VLOOKUP($E426,'Status Thresholds'!$E:$AS,28,FALSE),""))))))))/IF(OR($Q$3=TRUE,AND($Q$2=TRUE,$Q$7=TRUE),AND($Q$3=TRUE,$Q$7=TRUE))=TRUE,'Shots and Status'!$F$5,IF((OR($Q$2,$Q$7)=TRUE),'Shots and Status'!$D$5,'Shots and Status'!$C$5)))),0),"-")</f>
        <v>-</v>
      </c>
      <c r="J426" s="36" t="str">
        <f>IFERROR(ROUNDUP(IF(AND($Q$1=FALSE,$S$3=FALSE),"-",IF(AND($Q$1=TRUE,$S$3=TRUE),"-",IF(AND($Q$1=TRUE,$S$1=TRUE,$S$4=FALSE),VLOOKUP($E426,'Status Thresholds'!$E:$AS,14,FALSE),IF(AND($Q$1=TRUE,$S$4=FALSE),VLOOKUP($E426,'Status Thresholds'!$E:$AS,4,FALSE), IF(AND($Q$1=TRUE,$S$1=TRUE,$S$4=TRUE),VLOOKUP($E426,'Status Thresholds'!$E:$AS,19,FALSE),IF(AND($Q$1=TRUE,$S$4=TRUE),VLOOKUP($E426,'Status Thresholds'!$E:$AS,9,FALSE),IF(AND($S$3=TRUE,$S$1=TRUE,$S$4=FALSE),VLOOKUP($E426,'Status Thresholds'!$E:$AS,34,FALSE),IF(AND($S$3=TRUE,$S$4=FALSE),VLOOKUP($E426,'Status Thresholds'!$E:$AS,24,FALSE),IF(AND($S$3=TRUE,$S$1=TRUE,$S$4=TRUE),VLOOKUP($E426,'Status Thresholds'!$E:$AS,39,FALSE),IF(AND($S$3=TRUE,$S$4=TRUE),VLOOKUP($E426,'Status Thresholds'!$E:$AS,29,FALSE),""))))))))/IF(OR($Q$3=TRUE,AND($Q$2=TRUE,$Q$7=TRUE),AND($Q$3=TRUE,$Q$7=TRUE))=TRUE,'Shots and Status'!$F$5,IF((OR($Q$2,$Q$7)=TRUE),'Shots and Status'!$D$5,'Shots and Status'!$C$5)))),0),"-")</f>
        <v>-</v>
      </c>
      <c r="K426" s="36" t="str">
        <f>IFERROR(ROUNDUP(IF(AND($Q$1=FALSE,$S$3=FALSE),"-",IF(AND($Q$1=TRUE,$S$3=TRUE),"-",IF(AND($Q$1=TRUE,$S$1=TRUE,$S$4=FALSE),VLOOKUP($E426,'Status Thresholds'!$E:$AS,15,FALSE),IF(AND($Q$1=TRUE,$S$4=FALSE),VLOOKUP($E426,'Status Thresholds'!$E:$AS,5,FALSE), IF(AND($Q$1=TRUE,$S$1=TRUE,$S$4=TRUE),VLOOKUP($E426,'Status Thresholds'!$E:$AS,20,FALSE),IF(AND($Q$1=TRUE,$S$4=TRUE),VLOOKUP($E426,'Status Thresholds'!$E:$AS,10,FALSE),IF(AND($S$3=TRUE,$S$1=TRUE,$S$4=FALSE),VLOOKUP($E426,'Status Thresholds'!$E:$AS,35,FALSE),IF(AND($S$3=TRUE,$S$4=FALSE),VLOOKUP($E426,'Status Thresholds'!$E:$AS,25,FALSE),IF(AND($S$3=TRUE,$S$1=TRUE,$S$4=TRUE),VLOOKUP($E426,'Status Thresholds'!$E:$AS,40,FALSE),IF(AND($S$3=TRUE,$S$4=TRUE),VLOOKUP($E426,'Status Thresholds'!$E:$AS,30,FALSE),""))))))))/IF(OR($Q$3=TRUE,AND($Q$2=TRUE,$Q$7=TRUE),AND($Q$3=TRUE,$Q$7=TRUE))=TRUE,'Shots and Status'!$F$5,IF((OR($Q$2,$Q$7)=TRUE),'Shots and Status'!$D$5,'Shots and Status'!$C$5)))),0),"-")</f>
        <v>-</v>
      </c>
      <c r="L426" s="36" t="str">
        <f>IFERROR(IF(AND($Q$1=FALSE,$S$3=FALSE),"-",VLOOKUP($E426,'Status Thresholds'!$E:$AU,41,FALSE)),"-")</f>
        <v>-</v>
      </c>
      <c r="M426" s="36" t="str">
        <f>IFERROR(IF(AND($Q$1=FALSE,$S$3=FALSE),"-",VLOOKUP($E426,'Status Thresholds'!$E:$AU,42,FALSE)),"-")</f>
        <v>-</v>
      </c>
      <c r="N426" s="36" t="str">
        <f>IFERROR(IF(AND($Q$1=FALSE,$S$3=FALSE),"-",VLOOKUP($E426,'Status Thresholds'!$E:$AU,43,FALSE)),"-")</f>
        <v>-</v>
      </c>
    </row>
    <row r="427" spans="1:14" s="36" customFormat="1" x14ac:dyDescent="0.25">
      <c r="A427" s="46"/>
      <c r="B427" s="64" t="str">
        <f>VLOOKUP(C427,'Status Thresholds'!B:C,2,FALSE)</f>
        <v>MHGen</v>
      </c>
      <c r="C427" s="46" t="str">
        <f>IF(ISBLANK('KO Calc'!C423)=TRUE,"",'KO Calc'!C423)</f>
        <v>Iodrome</v>
      </c>
      <c r="D427" s="67" t="s">
        <v>14</v>
      </c>
      <c r="E427" s="62" t="str">
        <f t="shared" si="11"/>
        <v>IodromeKO</v>
      </c>
      <c r="F427" s="36" t="s">
        <v>21</v>
      </c>
      <c r="G427" s="36" t="str">
        <f t="shared" si="12"/>
        <v>IodromeTriblast</v>
      </c>
      <c r="H427" s="36" t="str">
        <f>IF(AND($Q$1=FALSE,$S$3=FALSE),"-",IF(AND($Q$1=TRUE,$S$3=TRUE),"-",IF(AND($Q$1=FALSE,$S$3=FALSE),"-",IF(AND($Q$1=TRUE,$S$1=TRUE,$S$4=FALSE)=TRUE,IF(OR($Q$4=TRUE,$Q$5=TRUE,$S$2=TRUE),VLOOKUP($G427,'KO Calc'!$H:$AW,12,FALSE),VLOOKUP($G427,'KO Calc'!$H433:$AW433,12,FALSE)),IF(AND($Q$1=TRUE,$S$4=FALSE),IF(OR($Q$4=TRUE,$Q$5=TRUE,$S$2=TRUE),VLOOKUP($G427,'KO Calc'!$H:$AW,2,FALSE),VLOOKUP($G427,'KO Calc'!$H433:$AW433,2,FALSE)),
IF(AND($Q$1=TRUE,$S$1=TRUE,$S$4=TRUE)=TRUE,IF(OR($Q$4=TRUE,$Q$5=TRUE,$S$2=TRUE),VLOOKUP($G427,'KO Calc'!$H:$AW,17,FALSE),VLOOKUP($G427,'KO Calc'!$H433:$AW433,17,FALSE)),IF(AND($Q$1=TRUE,$S$4=TRUE),IF(OR($Q$4=TRUE,$Q$5=TRUE,$S$2=TRUE),VLOOKUP($G427,'KO Calc'!$H:$AW,7,FALSE),VLOOKUP($G427,'KO Calc'!$H433:$AW433,7,FALSE)),
IF(AND($S$3=TRUE,$S$1=TRUE,$S$4=FALSE)=TRUE,IF(OR($Q$4=TRUE,$Q$5=TRUE,$S$2=TRUE),VLOOKUP($G427,'KO Calc'!$H:$AW,32,FALSE),VLOOKUP($G427,'KO Calc'!$H433:$AW433,32,FALSE)),IF(AND($S$3=TRUE,$S$4=FALSE),IF(OR($Q$4=TRUE,$Q$5=TRUE,$S$2=TRUE),VLOOKUP($G427,'KO Calc'!$H:$AW,22,FALSE),VLOOKUP($G427,'KO Calc'!$H433:$AW433,22,FALSE)),
IF(AND($S$3=TRUE,$S$1=TRUE,$S$4=TRUE)=TRUE,IF(OR($Q$4=TRUE,$Q$5=TRUE,$S$2=TRUE),VLOOKUP($G427,'KO Calc'!$H:$AW,37,FALSE),VLOOKUP($G427,'KO Calc'!$H433:$AW433,37,FALSE)),IF(AND($S$3=TRUE,$S$4=TRUE),IF(OR($Q$4=TRUE,$Q$5=TRUE,$S$2=TRUE),VLOOKUP($G427,'KO Calc'!$H:$AW,27,FALSE),VLOOKUP($G427,'KO Calc'!$H433:$AW433,27,FALSE)))))))))))))</f>
        <v>-</v>
      </c>
      <c r="I427" s="36" t="str">
        <f>IF(AND($Q$1=FALSE,$S$3=FALSE),"-",IF(AND($Q$1=TRUE,$S$3=TRUE),"-",IF(AND($Q$1=FALSE,$S$3=FALSE),"-",IF(AND($Q$1=TRUE,$S$1=TRUE,$S$4=FALSE)=TRUE,IF(OR($Q$4=TRUE,$Q$5=TRUE,$S$2=TRUE),VLOOKUP($G427,'KO Calc'!$H:$AW,13,FALSE),VLOOKUP($G427,'KO Calc'!$H433:$AW433,13,FALSE)),IF(AND($Q$1=TRUE,$S$4=FALSE),IF(OR($Q$4=TRUE,$Q$5=TRUE,$S$2=TRUE),VLOOKUP($G427,'KO Calc'!$H:$AW,3,FALSE),VLOOKUP($G427,'KO Calc'!$H433:$AW433,3,FALSE)),
IF(AND($Q$1=TRUE,$S$1=TRUE,$S$4=TRUE)=TRUE,IF(OR($Q$4=TRUE,$Q$5=TRUE,$S$2=TRUE),VLOOKUP($G427,'KO Calc'!$H:$AW,18,FALSE),VLOOKUP($G427,'KO Calc'!$H433:$AW433,18,FALSE)),IF(AND($Q$1=TRUE,$S$4=TRUE),IF(OR($Q$4=TRUE,$Q$5=TRUE,$S$2=TRUE),VLOOKUP($G427,'KO Calc'!$H:$AW,8,FALSE),VLOOKUP($G427,'KO Calc'!$H433:$AW433,8,FALSE)),
IF(AND($S$3=TRUE,$S$1=TRUE,$S$4=FALSE)=TRUE,IF(OR($Q$4=TRUE,$Q$5=TRUE,$S$2=TRUE),VLOOKUP($G427,'KO Calc'!$H:$AW,33,FALSE),VLOOKUP($G427,'KO Calc'!$H433:$AW433,33,FALSE)),IF(AND($S$3=TRUE,$S$4=FALSE),IF(OR($Q$4=TRUE,$Q$5=TRUE,$S$2=TRUE),VLOOKUP($G427,'KO Calc'!$H:$AW,23,FALSE),VLOOKUP($G427,'KO Calc'!$H433:$AW433,23,FALSE)),
IF(AND($S$3=TRUE,$S$1=TRUE,$S$4=TRUE)=TRUE,IF(OR($Q$4=TRUE,$Q$5=TRUE,$S$2=TRUE),VLOOKUP($G427,'KO Calc'!$H:$AW,38,FALSE),VLOOKUP($G427,'KO Calc'!$H433:$AW433,38,FALSE)),IF(AND($S$3=TRUE,$S$4=TRUE),IF(OR($Q$4=TRUE,$Q$5=TRUE,$S$2=TRUE),VLOOKUP($G427,'KO Calc'!$H:$AW,28,FALSE),VLOOKUP($G427,'KO Calc'!$H433:$AW433,28,FALSE)))))))))))))</f>
        <v>-</v>
      </c>
      <c r="J427" s="36" t="str">
        <f>IF(AND($Q$1=FALSE,$S$3=FALSE),"-",IF(AND($Q$1=TRUE,$S$3=TRUE),"-",IF(AND($Q$1=FALSE,$S$3=FALSE),"-",IF(AND($Q$1=TRUE,$S$1=TRUE,$S$4=FALSE)=TRUE,IF(OR($Q$4=TRUE,$Q$5=TRUE,$S$2=TRUE),VLOOKUP($G427,'KO Calc'!$H:$AW,FALSE),VLOOKUP($G427,'KO Calc'!$H433:$AW433,14,FALSE)),IF(AND($Q$1=TRUE,$S$4=FALSE),IF(OR($Q$4=TRUE,$Q$5=TRUE,$S$2=TRUE),VLOOKUP($G427,'KO Calc'!$H:$AW,4,FALSE),VLOOKUP($G427,'KO Calc'!$H433:$AW433,4,FALSE)),
IF(AND($Q$1=TRUE,$S$1=TRUE,$S$4=TRUE)=TRUE,IF(OR($Q$4=TRUE,$Q$5=TRUE,$S$2=TRUE),VLOOKUP($G427,'KO Calc'!$H:$AW,19,FALSE),VLOOKUP($G427,'KO Calc'!$H433:$AW433,19,FALSE)),IF(AND($Q$1=TRUE,$S$4=TRUE),IF(OR($Q$4=TRUE,$Q$5=TRUE,$S$2=TRUE),VLOOKUP($G427,'KO Calc'!$H:$AW,9,FALSE),VLOOKUP($G427,'KO Calc'!$H433:$AW433,9,FALSE)),
IF(AND($S$3=TRUE,$S$1=TRUE,$S$4=FALSE)=TRUE,IF(OR($Q$4=TRUE,$Q$5=TRUE,$S$2=TRUE),VLOOKUP($G427,'KO Calc'!$H:$AW,34,FALSE),VLOOKUP($G427,'KO Calc'!$H433:$AW433,34,FALSE)),IF(AND($S$3=TRUE,$S$4=FALSE),IF(OR($Q$4=TRUE,$Q$5=TRUE,$S$2=TRUE),VLOOKUP($G427,'KO Calc'!$H:$AW,24,FALSE),VLOOKUP($G427,'KO Calc'!$H433:$AW433,24,FALSE)),
IF(AND($S$3=TRUE,$S$1=TRUE,$S$4=TRUE)=TRUE,IF(OR($Q$4=TRUE,$Q$5=TRUE,$S$2=TRUE),VLOOKUP($G427,'KO Calc'!$H:$AW,39,FALSE),VLOOKUP($G427,'KO Calc'!$H433:$AW433,39,FALSE)),IF(AND($S$3=TRUE,$S$4=TRUE),IF(OR($Q$4=TRUE,$Q$5=TRUE,$S$2=TRUE),VLOOKUP($G427,'KO Calc'!$H:$AW,29,FALSE),VLOOKUP($G427,'KO Calc'!$H433:$AW433,29,FALSE)))))))))))))</f>
        <v>-</v>
      </c>
      <c r="K427" s="36" t="str">
        <f>IF(AND($Q$1=FALSE,$S$3=FALSE),"-",IF(AND($Q$1=TRUE,$S$3=TRUE),"-",IF(AND($Q$1=FALSE,$S$3=FALSE),"-",IF(AND($Q$1=TRUE,$S$1=TRUE,$S$4=FALSE)=TRUE,IF(OR($Q$4=TRUE,$Q$5=TRUE,$S$2=TRUE),VLOOKUP($G427,'KO Calc'!$H:$AW,15,FALSE),VLOOKUP($G427,'KO Calc'!$H433:$AW433,15,FALSE)),IF(AND($Q$1=TRUE,$S$4=FALSE),IF(OR($Q$4=TRUE,$Q$5=TRUE,$S$2=TRUE),VLOOKUP($G427,'KO Calc'!$H:$AW,5,FALSE),VLOOKUP($G427,'KO Calc'!$H433:$AW433,5,FALSE)),
IF(AND($Q$1=TRUE,$S$1=TRUE,$S$4=TRUE)=TRUE,IF(OR($Q$4=TRUE,$Q$5=TRUE,$S$2=TRUE),VLOOKUP($G427,'KO Calc'!$H:$AW,20,FALSE),VLOOKUP($G427,'KO Calc'!$H433:$AW433,20,FALSE)),IF(AND($Q$1=TRUE,$S$4=TRUE),IF(OR($Q$4=TRUE,$Q$5=TRUE,$S$2=TRUE),VLOOKUP($G427,'KO Calc'!$H:$AW,10,FALSE),VLOOKUP($G427,'KO Calc'!$H433:$AW433,10,FALSE)),
IF(AND($S$3=TRUE,$S$1=TRUE,$S$4=FALSE)=TRUE,IF(OR($Q$4=TRUE,$Q$5=TRUE,$S$2=TRUE),VLOOKUP($G427,'KO Calc'!$H:$AW,35,FALSE),VLOOKUP($G427,'KO Calc'!$H433:$AW433,35,FALSE)),IF(AND($S$3=TRUE,$S$4=FALSE),IF(OR($Q$4=TRUE,$Q$5=TRUE,$S$2=TRUE),VLOOKUP($G427,'KO Calc'!$H:$AW,25,FALSE),VLOOKUP($G427,'KO Calc'!$H433:$AW433,25,FALSE)),
IF(AND($S$3=TRUE,$S$1=TRUE,$S$4=TRUE)=TRUE,IF(OR($Q$4=TRUE,$Q$5=TRUE,$S$2=TRUE),VLOOKUP($G427,'KO Calc'!$H:$AW,40,FALSE),VLOOKUP($G427,'KO Calc'!$H433:$AW433,40,FALSE)),IF(AND($S$3=TRUE,$S$4=TRUE),IF(OR($Q$4=TRUE,$Q$5=TRUE,$S$2=TRUE),VLOOKUP($G427,'KO Calc'!$H:$AW,30,FALSE),VLOOKUP($G427,'KO Calc'!$H433:$AW433,30,FALSE)))))))))))))</f>
        <v>-</v>
      </c>
      <c r="L427" s="36" t="str">
        <f>IFERROR(IF(AND($Q$1=FALSE,$S$3=FALSE),"-",VLOOKUP($E427,'Status Thresholds'!$E:$AU,41,FALSE)),"-")</f>
        <v>-</v>
      </c>
      <c r="M427" s="36" t="str">
        <f>IFERROR(IF(AND($Q$1=FALSE,$S$3=FALSE),"-",VLOOKUP($E427,'Status Thresholds'!$E:$AU,42,FALSE)),"-")</f>
        <v>-</v>
      </c>
      <c r="N427" s="36" t="str">
        <f>IFERROR(IF(AND($Q$1=FALSE,$S$3=FALSE),"-",VLOOKUP($E427,'Status Thresholds'!$E:$AU,43,FALSE)),"-")</f>
        <v>-</v>
      </c>
    </row>
    <row r="428" spans="1:14" x14ac:dyDescent="0.25">
      <c r="B428" s="64" t="str">
        <f>VLOOKUP(C428,'Status Thresholds'!B:C,2,FALSE)</f>
        <v>MHGen</v>
      </c>
      <c r="C428" s="46" t="str">
        <f>IF(ISBLANK('KO Calc'!C424)=TRUE,"",'KO Calc'!C424)</f>
        <v>Iodrome</v>
      </c>
      <c r="D428" s="78" t="s">
        <v>207</v>
      </c>
      <c r="E428" s="62" t="str">
        <f t="shared" si="11"/>
        <v>IodromeShock Trap</v>
      </c>
      <c r="F428" t="s">
        <v>13</v>
      </c>
      <c r="G428" s="36" t="str">
        <f t="shared" si="12"/>
        <v>IodromeCrag 3</v>
      </c>
      <c r="H428" s="36" t="str">
        <f>IF(AND($Q$1=FALSE,$S$3=FALSE),"-",IF(AND($Q$1=TRUE,$S$3=TRUE),"-",IF(AND($Q$1=FALSE,$S$3=FALSE),"-",IF(AND($Q$1=TRUE,$S$1=TRUE,$S$4=FALSE)=TRUE,IF(OR($Q$4=TRUE,$Q$5=TRUE,$S$2=TRUE),VLOOKUP($G428,'KO Calc'!$H:$AW,12,FALSE),VLOOKUP($G428,'KO Calc'!$H434:$AW434,12,FALSE)),IF(AND($Q$1=TRUE,$S$4=FALSE),IF(OR($Q$4=TRUE,$Q$5=TRUE,$S$2=TRUE),VLOOKUP($G428,'KO Calc'!$H:$AW,2,FALSE),VLOOKUP($G428,'KO Calc'!$H434:$AW434,2,FALSE)),
IF(AND($Q$1=TRUE,$S$1=TRUE,$S$4=TRUE)=TRUE,IF(OR($Q$4=TRUE,$Q$5=TRUE,$S$2=TRUE),VLOOKUP($G428,'KO Calc'!$H:$AW,17,FALSE),VLOOKUP($G428,'KO Calc'!$H434:$AW434,17,FALSE)),IF(AND($Q$1=TRUE,$S$4=TRUE),IF(OR($Q$4=TRUE,$Q$5=TRUE,$S$2=TRUE),VLOOKUP($G428,'KO Calc'!$H:$AW,7,FALSE),VLOOKUP($G428,'KO Calc'!$H434:$AW434,7,FALSE)),
IF(AND($S$3=TRUE,$S$1=TRUE,$S$4=FALSE)=TRUE,IF(OR($Q$4=TRUE,$Q$5=TRUE,$S$2=TRUE),VLOOKUP($G428,'KO Calc'!$H:$AW,32,FALSE),VLOOKUP($G428,'KO Calc'!$H434:$AW434,32,FALSE)),IF(AND($S$3=TRUE,$S$4=FALSE),IF(OR($Q$4=TRUE,$Q$5=TRUE,$S$2=TRUE),VLOOKUP($G428,'KO Calc'!$H:$AW,22,FALSE),VLOOKUP($G428,'KO Calc'!$H434:$AW434,22,FALSE)),
IF(AND($S$3=TRUE,$S$1=TRUE,$S$4=TRUE)=TRUE,IF(OR($Q$4=TRUE,$Q$5=TRUE,$S$2=TRUE),VLOOKUP($G428,'KO Calc'!$H:$AW,37,FALSE),VLOOKUP($G428,'KO Calc'!$H434:$AW434,37,FALSE)),IF(AND($S$3=TRUE,$S$4=TRUE),IF(OR($Q$4=TRUE,$Q$5=TRUE,$S$2=TRUE),VLOOKUP($G428,'KO Calc'!$H:$AW,27,FALSE),VLOOKUP($G428,'KO Calc'!$H434:$AW434,27,FALSE)))))))))))))</f>
        <v>-</v>
      </c>
      <c r="I428" s="36" t="str">
        <f>IF(AND($Q$1=FALSE,$S$3=FALSE),"-",IF(AND($Q$1=TRUE,$S$3=TRUE),"-",IF(AND($Q$1=FALSE,$S$3=FALSE),"-",IF(AND($Q$1=TRUE,$S$1=TRUE,$S$4=FALSE)=TRUE,IF(OR($Q$4=TRUE,$Q$5=TRUE,$S$2=TRUE),VLOOKUP($G428,'KO Calc'!$H:$AW,13,FALSE),VLOOKUP($G428,'KO Calc'!$H434:$AW434,13,FALSE)),IF(AND($Q$1=TRUE,$S$4=FALSE),IF(OR($Q$4=TRUE,$Q$5=TRUE,$S$2=TRUE),VLOOKUP($G428,'KO Calc'!$H:$AW,3,FALSE),VLOOKUP($G428,'KO Calc'!$H434:$AW434,3,FALSE)),
IF(AND($Q$1=TRUE,$S$1=TRUE,$S$4=TRUE)=TRUE,IF(OR($Q$4=TRUE,$Q$5=TRUE,$S$2=TRUE),VLOOKUP($G428,'KO Calc'!$H:$AW,18,FALSE),VLOOKUP($G428,'KO Calc'!$H434:$AW434,18,FALSE)),IF(AND($Q$1=TRUE,$S$4=TRUE),IF(OR($Q$4=TRUE,$Q$5=TRUE,$S$2=TRUE),VLOOKUP($G428,'KO Calc'!$H:$AW,8,FALSE),VLOOKUP($G428,'KO Calc'!$H434:$AW434,8,FALSE)),
IF(AND($S$3=TRUE,$S$1=TRUE,$S$4=FALSE)=TRUE,IF(OR($Q$4=TRUE,$Q$5=TRUE,$S$2=TRUE),VLOOKUP($G428,'KO Calc'!$H:$AW,33,FALSE),VLOOKUP($G428,'KO Calc'!$H434:$AW434,33,FALSE)),IF(AND($S$3=TRUE,$S$4=FALSE),IF(OR($Q$4=TRUE,$Q$5=TRUE,$S$2=TRUE),VLOOKUP($G428,'KO Calc'!$H:$AW,23,FALSE),VLOOKUP($G428,'KO Calc'!$H434:$AW434,23,FALSE)),
IF(AND($S$3=TRUE,$S$1=TRUE,$S$4=TRUE)=TRUE,IF(OR($Q$4=TRUE,$Q$5=TRUE,$S$2=TRUE),VLOOKUP($G428,'KO Calc'!$H:$AW,38,FALSE),VLOOKUP($G428,'KO Calc'!$H434:$AW434,38,FALSE)),IF(AND($S$3=TRUE,$S$4=TRUE),IF(OR($Q$4=TRUE,$Q$5=TRUE,$S$2=TRUE),VLOOKUP($G428,'KO Calc'!$H:$AW,28,FALSE),VLOOKUP($G428,'KO Calc'!$H434:$AW434,28,FALSE)))))))))))))</f>
        <v>-</v>
      </c>
      <c r="J428" s="36" t="str">
        <f>IF(AND($Q$1=FALSE,$S$3=FALSE),"-",IF(AND($Q$1=TRUE,$S$3=TRUE),"-",IF(AND($Q$1=FALSE,$S$3=FALSE),"-",IF(AND($Q$1=TRUE,$S$1=TRUE,$S$4=FALSE)=TRUE,IF(OR($Q$4=TRUE,$Q$5=TRUE,$S$2=TRUE),VLOOKUP($G428,'KO Calc'!$H:$AW,FALSE),VLOOKUP($G428,'KO Calc'!$H434:$AW434,14,FALSE)),IF(AND($Q$1=TRUE,$S$4=FALSE),IF(OR($Q$4=TRUE,$Q$5=TRUE,$S$2=TRUE),VLOOKUP($G428,'KO Calc'!$H:$AW,4,FALSE),VLOOKUP($G428,'KO Calc'!$H434:$AW434,4,FALSE)),
IF(AND($Q$1=TRUE,$S$1=TRUE,$S$4=TRUE)=TRUE,IF(OR($Q$4=TRUE,$Q$5=TRUE,$S$2=TRUE),VLOOKUP($G428,'KO Calc'!$H:$AW,19,FALSE),VLOOKUP($G428,'KO Calc'!$H434:$AW434,19,FALSE)),IF(AND($Q$1=TRUE,$S$4=TRUE),IF(OR($Q$4=TRUE,$Q$5=TRUE,$S$2=TRUE),VLOOKUP($G428,'KO Calc'!$H:$AW,9,FALSE),VLOOKUP($G428,'KO Calc'!$H434:$AW434,9,FALSE)),
IF(AND($S$3=TRUE,$S$1=TRUE,$S$4=FALSE)=TRUE,IF(OR($Q$4=TRUE,$Q$5=TRUE,$S$2=TRUE),VLOOKUP($G428,'KO Calc'!$H:$AW,34,FALSE),VLOOKUP($G428,'KO Calc'!$H434:$AW434,34,FALSE)),IF(AND($S$3=TRUE,$S$4=FALSE),IF(OR($Q$4=TRUE,$Q$5=TRUE,$S$2=TRUE),VLOOKUP($G428,'KO Calc'!$H:$AW,24,FALSE),VLOOKUP($G428,'KO Calc'!$H434:$AW434,24,FALSE)),
IF(AND($S$3=TRUE,$S$1=TRUE,$S$4=TRUE)=TRUE,IF(OR($Q$4=TRUE,$Q$5=TRUE,$S$2=TRUE),VLOOKUP($G428,'KO Calc'!$H:$AW,39,FALSE),VLOOKUP($G428,'KO Calc'!$H434:$AW434,39,FALSE)),IF(AND($S$3=TRUE,$S$4=TRUE),IF(OR($Q$4=TRUE,$Q$5=TRUE,$S$2=TRUE),VLOOKUP($G428,'KO Calc'!$H:$AW,29,FALSE),VLOOKUP($G428,'KO Calc'!$H434:$AW434,29,FALSE)))))))))))))</f>
        <v>-</v>
      </c>
      <c r="K428" s="36" t="str">
        <f>IF(AND($Q$1=FALSE,$S$3=FALSE),"-",IF(AND($Q$1=TRUE,$S$3=TRUE),"-",IF(AND($Q$1=FALSE,$S$3=FALSE),"-",IF(AND($Q$1=TRUE,$S$1=TRUE,$S$4=FALSE)=TRUE,IF(OR($Q$4=TRUE,$Q$5=TRUE,$S$2=TRUE),VLOOKUP($G428,'KO Calc'!$H:$AW,15,FALSE),VLOOKUP($G428,'KO Calc'!$H434:$AW434,15,FALSE)),IF(AND($Q$1=TRUE,$S$4=FALSE),IF(OR($Q$4=TRUE,$Q$5=TRUE,$S$2=TRUE),VLOOKUP($G428,'KO Calc'!$H:$AW,5,FALSE),VLOOKUP($G428,'KO Calc'!$H434:$AW434,5,FALSE)),
IF(AND($Q$1=TRUE,$S$1=TRUE,$S$4=TRUE)=TRUE,IF(OR($Q$4=TRUE,$Q$5=TRUE,$S$2=TRUE),VLOOKUP($G428,'KO Calc'!$H:$AW,20,FALSE),VLOOKUP($G428,'KO Calc'!$H434:$AW434,20,FALSE)),IF(AND($Q$1=TRUE,$S$4=TRUE),IF(OR($Q$4=TRUE,$Q$5=TRUE,$S$2=TRUE),VLOOKUP($G428,'KO Calc'!$H:$AW,10,FALSE),VLOOKUP($G428,'KO Calc'!$H434:$AW434,10,FALSE)),
IF(AND($S$3=TRUE,$S$1=TRUE,$S$4=FALSE)=TRUE,IF(OR($Q$4=TRUE,$Q$5=TRUE,$S$2=TRUE),VLOOKUP($G428,'KO Calc'!$H:$AW,35,FALSE),VLOOKUP($G428,'KO Calc'!$H434:$AW434,35,FALSE)),IF(AND($S$3=TRUE,$S$4=FALSE),IF(OR($Q$4=TRUE,$Q$5=TRUE,$S$2=TRUE),VLOOKUP($G428,'KO Calc'!$H:$AW,25,FALSE),VLOOKUP($G428,'KO Calc'!$H434:$AW434,25,FALSE)),
IF(AND($S$3=TRUE,$S$1=TRUE,$S$4=TRUE)=TRUE,IF(OR($Q$4=TRUE,$Q$5=TRUE,$S$2=TRUE),VLOOKUP($G428,'KO Calc'!$H:$AW,40,FALSE),VLOOKUP($G428,'KO Calc'!$H434:$AW434,40,FALSE)),IF(AND($S$3=TRUE,$S$4=TRUE),IF(OR($Q$4=TRUE,$Q$5=TRUE,$S$2=TRUE),VLOOKUP($G428,'KO Calc'!$H:$AW,30,FALSE),VLOOKUP($G428,'KO Calc'!$H434:$AW434,30,FALSE)))))))))))))</f>
        <v>-</v>
      </c>
      <c r="L428" s="36" t="str">
        <f>IFERROR(IF(AND($Q$1=FALSE,$S$3=FALSE),"-",VLOOKUP($E428,'Status Thresholds'!$E:$AU,43,FALSE)),"-")</f>
        <v>-</v>
      </c>
      <c r="M428" s="36" t="str">
        <f>IFERROR(IF(AND($Q$1=FALSE,$S$3=FALSE),"-",VLOOKUP($E428,'Status Thresholds'!$E:$AU,41,FALSE)),"-")</f>
        <v>-</v>
      </c>
      <c r="N428" s="36" t="str">
        <f>IFERROR(IF(AND($Q$1=FALSE,$S$3=FALSE),"-",VLOOKUP($E428,'Status Thresholds'!$E:$AU,42,FALSE)),"-")</f>
        <v>-</v>
      </c>
    </row>
    <row r="429" spans="1:14" x14ac:dyDescent="0.25">
      <c r="B429" s="64" t="str">
        <f>VLOOKUP(C429,'Status Thresholds'!B:C,2,FALSE)</f>
        <v>MHGen</v>
      </c>
      <c r="C429" s="46" t="str">
        <f>IF(ISBLANK('KO Calc'!C425)=TRUE,"",'KO Calc'!C425)</f>
        <v>Iodrome</v>
      </c>
      <c r="D429" s="78" t="s">
        <v>213</v>
      </c>
      <c r="E429" s="62" t="str">
        <f t="shared" si="11"/>
        <v>IodromePitfall Trap</v>
      </c>
      <c r="F429" t="s">
        <v>12</v>
      </c>
      <c r="G429" s="36" t="str">
        <f t="shared" si="12"/>
        <v>IodromeCrag 2</v>
      </c>
      <c r="H429" s="36" t="str">
        <f>IF(AND($Q$1=FALSE,$S$3=FALSE),"-",IF(AND($Q$1=TRUE,$S$3=TRUE),"-",IF(AND($Q$1=FALSE,$S$3=FALSE),"-",IF(AND($Q$1=TRUE,$S$1=TRUE,$S$4=FALSE)=TRUE,IF(OR($Q$4=TRUE,$Q$5=TRUE,$S$2=TRUE),VLOOKUP($G429,'KO Calc'!$H:$AW,12,FALSE),VLOOKUP($G429,'KO Calc'!$H435:$AW435,12,FALSE)),IF(AND($Q$1=TRUE,$S$4=FALSE),IF(OR($Q$4=TRUE,$Q$5=TRUE,$S$2=TRUE),VLOOKUP($G429,'KO Calc'!$H:$AW,2,FALSE),VLOOKUP($G429,'KO Calc'!$H435:$AW435,2,FALSE)),
IF(AND($Q$1=TRUE,$S$1=TRUE,$S$4=TRUE)=TRUE,IF(OR($Q$4=TRUE,$Q$5=TRUE,$S$2=TRUE),VLOOKUP($G429,'KO Calc'!$H:$AW,17,FALSE),VLOOKUP($G429,'KO Calc'!$H435:$AW435,17,FALSE)),IF(AND($Q$1=TRUE,$S$4=TRUE),IF(OR($Q$4=TRUE,$Q$5=TRUE,$S$2=TRUE),VLOOKUP($G429,'KO Calc'!$H:$AW,7,FALSE),VLOOKUP($G429,'KO Calc'!$H435:$AW435,7,FALSE)),
IF(AND($S$3=TRUE,$S$1=TRUE,$S$4=FALSE)=TRUE,IF(OR($Q$4=TRUE,$Q$5=TRUE,$S$2=TRUE),VLOOKUP($G429,'KO Calc'!$H:$AW,32,FALSE),VLOOKUP($G429,'KO Calc'!$H435:$AW435,32,FALSE)),IF(AND($S$3=TRUE,$S$4=FALSE),IF(OR($Q$4=TRUE,$Q$5=TRUE,$S$2=TRUE),VLOOKUP($G429,'KO Calc'!$H:$AW,22,FALSE),VLOOKUP($G429,'KO Calc'!$H435:$AW435,22,FALSE)),
IF(AND($S$3=TRUE,$S$1=TRUE,$S$4=TRUE)=TRUE,IF(OR($Q$4=TRUE,$Q$5=TRUE,$S$2=TRUE),VLOOKUP($G429,'KO Calc'!$H:$AW,37,FALSE),VLOOKUP($G429,'KO Calc'!$H435:$AW435,37,FALSE)),IF(AND($S$3=TRUE,$S$4=TRUE),IF(OR($Q$4=TRUE,$Q$5=TRUE,$S$2=TRUE),VLOOKUP($G429,'KO Calc'!$H:$AW,27,FALSE),VLOOKUP($G429,'KO Calc'!$H435:$AW435,27,FALSE)))))))))))))</f>
        <v>-</v>
      </c>
      <c r="I429" s="36" t="str">
        <f>IF(AND($Q$1=FALSE,$S$3=FALSE),"-",IF(AND($Q$1=TRUE,$S$3=TRUE),"-",IF(AND($Q$1=FALSE,$S$3=FALSE),"-",IF(AND($Q$1=TRUE,$S$1=TRUE,$S$4=FALSE)=TRUE,IF(OR($Q$4=TRUE,$Q$5=TRUE,$S$2=TRUE),VLOOKUP($G429,'KO Calc'!$H:$AW,13,FALSE),VLOOKUP($G429,'KO Calc'!$H435:$AW435,13,FALSE)),IF(AND($Q$1=TRUE,$S$4=FALSE),IF(OR($Q$4=TRUE,$Q$5=TRUE,$S$2=TRUE),VLOOKUP($G429,'KO Calc'!$H:$AW,3,FALSE),VLOOKUP($G429,'KO Calc'!$H435:$AW435,3,FALSE)),
IF(AND($Q$1=TRUE,$S$1=TRUE,$S$4=TRUE)=TRUE,IF(OR($Q$4=TRUE,$Q$5=TRUE,$S$2=TRUE),VLOOKUP($G429,'KO Calc'!$H:$AW,18,FALSE),VLOOKUP($G429,'KO Calc'!$H435:$AW435,18,FALSE)),IF(AND($Q$1=TRUE,$S$4=TRUE),IF(OR($Q$4=TRUE,$Q$5=TRUE,$S$2=TRUE),VLOOKUP($G429,'KO Calc'!$H:$AW,8,FALSE),VLOOKUP($G429,'KO Calc'!$H435:$AW435,8,FALSE)),
IF(AND($S$3=TRUE,$S$1=TRUE,$S$4=FALSE)=TRUE,IF(OR($Q$4=TRUE,$Q$5=TRUE,$S$2=TRUE),VLOOKUP($G429,'KO Calc'!$H:$AW,33,FALSE),VLOOKUP($G429,'KO Calc'!$H435:$AW435,33,FALSE)),IF(AND($S$3=TRUE,$S$4=FALSE),IF(OR($Q$4=TRUE,$Q$5=TRUE,$S$2=TRUE),VLOOKUP($G429,'KO Calc'!$H:$AW,23,FALSE),VLOOKUP($G429,'KO Calc'!$H435:$AW435,23,FALSE)),
IF(AND($S$3=TRUE,$S$1=TRUE,$S$4=TRUE)=TRUE,IF(OR($Q$4=TRUE,$Q$5=TRUE,$S$2=TRUE),VLOOKUP($G429,'KO Calc'!$H:$AW,38,FALSE),VLOOKUP($G429,'KO Calc'!$H435:$AW435,38,FALSE)),IF(AND($S$3=TRUE,$S$4=TRUE),IF(OR($Q$4=TRUE,$Q$5=TRUE,$S$2=TRUE),VLOOKUP($G429,'KO Calc'!$H:$AW,28,FALSE),VLOOKUP($G429,'KO Calc'!$H435:$AW435,28,FALSE)))))))))))))</f>
        <v>-</v>
      </c>
      <c r="J429" s="36" t="str">
        <f>IF(AND($Q$1=FALSE,$S$3=FALSE),"-",IF(AND($Q$1=TRUE,$S$3=TRUE),"-",IF(AND($Q$1=FALSE,$S$3=FALSE),"-",IF(AND($Q$1=TRUE,$S$1=TRUE,$S$4=FALSE)=TRUE,IF(OR($Q$4=TRUE,$Q$5=TRUE,$S$2=TRUE),VLOOKUP($G429,'KO Calc'!$H:$AW,FALSE),VLOOKUP($G429,'KO Calc'!$H435:$AW435,14,FALSE)),IF(AND($Q$1=TRUE,$S$4=FALSE),IF(OR($Q$4=TRUE,$Q$5=TRUE,$S$2=TRUE),VLOOKUP($G429,'KO Calc'!$H:$AW,4,FALSE),VLOOKUP($G429,'KO Calc'!$H435:$AW435,4,FALSE)),
IF(AND($Q$1=TRUE,$S$1=TRUE,$S$4=TRUE)=TRUE,IF(OR($Q$4=TRUE,$Q$5=TRUE,$S$2=TRUE),VLOOKUP($G429,'KO Calc'!$H:$AW,19,FALSE),VLOOKUP($G429,'KO Calc'!$H435:$AW435,19,FALSE)),IF(AND($Q$1=TRUE,$S$4=TRUE),IF(OR($Q$4=TRUE,$Q$5=TRUE,$S$2=TRUE),VLOOKUP($G429,'KO Calc'!$H:$AW,9,FALSE),VLOOKUP($G429,'KO Calc'!$H435:$AW435,9,FALSE)),
IF(AND($S$3=TRUE,$S$1=TRUE,$S$4=FALSE)=TRUE,IF(OR($Q$4=TRUE,$Q$5=TRUE,$S$2=TRUE),VLOOKUP($G429,'KO Calc'!$H:$AW,34,FALSE),VLOOKUP($G429,'KO Calc'!$H435:$AW435,34,FALSE)),IF(AND($S$3=TRUE,$S$4=FALSE),IF(OR($Q$4=TRUE,$Q$5=TRUE,$S$2=TRUE),VLOOKUP($G429,'KO Calc'!$H:$AW,24,FALSE),VLOOKUP($G429,'KO Calc'!$H435:$AW435,24,FALSE)),
IF(AND($S$3=TRUE,$S$1=TRUE,$S$4=TRUE)=TRUE,IF(OR($Q$4=TRUE,$Q$5=TRUE,$S$2=TRUE),VLOOKUP($G429,'KO Calc'!$H:$AW,39,FALSE),VLOOKUP($G429,'KO Calc'!$H435:$AW435,39,FALSE)),IF(AND($S$3=TRUE,$S$4=TRUE),IF(OR($Q$4=TRUE,$Q$5=TRUE,$S$2=TRUE),VLOOKUP($G429,'KO Calc'!$H:$AW,29,FALSE),VLOOKUP($G429,'KO Calc'!$H435:$AW435,29,FALSE)))))))))))))</f>
        <v>-</v>
      </c>
      <c r="K429" s="36" t="str">
        <f>IF(AND($Q$1=FALSE,$S$3=FALSE),"-",IF(AND($Q$1=TRUE,$S$3=TRUE),"-",IF(AND($Q$1=FALSE,$S$3=FALSE),"-",IF(AND($Q$1=TRUE,$S$1=TRUE,$S$4=FALSE)=TRUE,IF(OR($Q$4=TRUE,$Q$5=TRUE,$S$2=TRUE),VLOOKUP($G429,'KO Calc'!$H:$AW,15,FALSE),VLOOKUP($G429,'KO Calc'!$H435:$AW435,15,FALSE)),IF(AND($Q$1=TRUE,$S$4=FALSE),IF(OR($Q$4=TRUE,$Q$5=TRUE,$S$2=TRUE),VLOOKUP($G429,'KO Calc'!$H:$AW,5,FALSE),VLOOKUP($G429,'KO Calc'!$H435:$AW435,5,FALSE)),
IF(AND($Q$1=TRUE,$S$1=TRUE,$S$4=TRUE)=TRUE,IF(OR($Q$4=TRUE,$Q$5=TRUE,$S$2=TRUE),VLOOKUP($G429,'KO Calc'!$H:$AW,20,FALSE),VLOOKUP($G429,'KO Calc'!$H435:$AW435,20,FALSE)),IF(AND($Q$1=TRUE,$S$4=TRUE),IF(OR($Q$4=TRUE,$Q$5=TRUE,$S$2=TRUE),VLOOKUP($G429,'KO Calc'!$H:$AW,10,FALSE),VLOOKUP($G429,'KO Calc'!$H435:$AW435,10,FALSE)),
IF(AND($S$3=TRUE,$S$1=TRUE,$S$4=FALSE)=TRUE,IF(OR($Q$4=TRUE,$Q$5=TRUE,$S$2=TRUE),VLOOKUP($G429,'KO Calc'!$H:$AW,35,FALSE),VLOOKUP($G429,'KO Calc'!$H435:$AW435,35,FALSE)),IF(AND($S$3=TRUE,$S$4=FALSE),IF(OR($Q$4=TRUE,$Q$5=TRUE,$S$2=TRUE),VLOOKUP($G429,'KO Calc'!$H:$AW,25,FALSE),VLOOKUP($G429,'KO Calc'!$H435:$AW435,25,FALSE)),
IF(AND($S$3=TRUE,$S$1=TRUE,$S$4=TRUE)=TRUE,IF(OR($Q$4=TRUE,$Q$5=TRUE,$S$2=TRUE),VLOOKUP($G429,'KO Calc'!$H:$AW,40,FALSE),VLOOKUP($G429,'KO Calc'!$H435:$AW435,40,FALSE)),IF(AND($S$3=TRUE,$S$4=TRUE),IF(OR($Q$4=TRUE,$Q$5=TRUE,$S$2=TRUE),VLOOKUP($G429,'KO Calc'!$H:$AW,30,FALSE),VLOOKUP($G429,'KO Calc'!$H435:$AW435,30,FALSE)))))))))))))</f>
        <v>-</v>
      </c>
      <c r="L429" s="36" t="str">
        <f>IFERROR(IF(AND($Q$1=FALSE,$S$3=FALSE),"-",VLOOKUP($E429,'Status Thresholds'!$E:$AU,43,FALSE)),"-")</f>
        <v>-</v>
      </c>
      <c r="M429" s="36" t="str">
        <f>IFERROR(IF(AND($Q$1=FALSE,$S$3=FALSE),"-",VLOOKUP($E429,'Status Thresholds'!$E:$AU,41,FALSE)),"-")</f>
        <v>-</v>
      </c>
      <c r="N429" s="36" t="str">
        <f>IFERROR(IF(AND($Q$1=FALSE,$S$3=FALSE),"-",VLOOKUP($E429,'Status Thresholds'!$E:$AU,42,FALSE)),"-")</f>
        <v>-</v>
      </c>
    </row>
    <row r="430" spans="1:14" x14ac:dyDescent="0.25">
      <c r="B430" s="64" t="str">
        <f>VLOOKUP(C430,'Status Thresholds'!B:C,2,FALSE)</f>
        <v>MHGen</v>
      </c>
      <c r="C430" s="46" t="str">
        <f>IF(ISBLANK('KO Calc'!C426)=TRUE,"",'KO Calc'!C426)</f>
        <v>Iodrome</v>
      </c>
      <c r="D430" s="78"/>
      <c r="E430" s="62" t="str">
        <f t="shared" si="11"/>
        <v>Iodrome</v>
      </c>
      <c r="F430" t="s">
        <v>11</v>
      </c>
      <c r="G430" s="36" t="str">
        <f t="shared" si="12"/>
        <v>IodromeCrag 1</v>
      </c>
      <c r="H430" s="36" t="str">
        <f>IF(AND($Q$1=FALSE,$S$3=FALSE),"-",IF(AND($Q$1=TRUE,$S$3=TRUE),"-",IF(AND($Q$1=FALSE,$S$3=FALSE),"-",IF(AND($Q$1=TRUE,$S$1=TRUE,$S$4=FALSE)=TRUE,IF(OR($Q$4=TRUE,$Q$5=TRUE,$S$2=TRUE),VLOOKUP($G430,'KO Calc'!$H:$AW,12,FALSE),VLOOKUP($G430,'KO Calc'!$H436:$AW436,12,FALSE)),IF(AND($Q$1=TRUE,$S$4=FALSE),IF(OR($Q$4=TRUE,$Q$5=TRUE,$S$2=TRUE),VLOOKUP($G430,'KO Calc'!$H:$AW,2,FALSE),VLOOKUP($G430,'KO Calc'!$H436:$AW436,2,FALSE)),
IF(AND($Q$1=TRUE,$S$1=TRUE,$S$4=TRUE)=TRUE,IF(OR($Q$4=TRUE,$Q$5=TRUE,$S$2=TRUE),VLOOKUP($G430,'KO Calc'!$H:$AW,17,FALSE),VLOOKUP($G430,'KO Calc'!$H436:$AW436,17,FALSE)),IF(AND($Q$1=TRUE,$S$4=TRUE),IF(OR($Q$4=TRUE,$Q$5=TRUE,$S$2=TRUE),VLOOKUP($G430,'KO Calc'!$H:$AW,7,FALSE),VLOOKUP($G430,'KO Calc'!$H436:$AW436,7,FALSE)),
IF(AND($S$3=TRUE,$S$1=TRUE,$S$4=FALSE)=TRUE,IF(OR($Q$4=TRUE,$Q$5=TRUE,$S$2=TRUE),VLOOKUP($G430,'KO Calc'!$H:$AW,32,FALSE),VLOOKUP($G430,'KO Calc'!$H436:$AW436,32,FALSE)),IF(AND($S$3=TRUE,$S$4=FALSE),IF(OR($Q$4=TRUE,$Q$5=TRUE,$S$2=TRUE),VLOOKUP($G430,'KO Calc'!$H:$AW,22,FALSE),VLOOKUP($G430,'KO Calc'!$H436:$AW436,22,FALSE)),
IF(AND($S$3=TRUE,$S$1=TRUE,$S$4=TRUE)=TRUE,IF(OR($Q$4=TRUE,$Q$5=TRUE,$S$2=TRUE),VLOOKUP($G430,'KO Calc'!$H:$AW,37,FALSE),VLOOKUP($G430,'KO Calc'!$H436:$AW436,37,FALSE)),IF(AND($S$3=TRUE,$S$4=TRUE),IF(OR($Q$4=TRUE,$Q$5=TRUE,$S$2=TRUE),VLOOKUP($G430,'KO Calc'!$H:$AW,27,FALSE),VLOOKUP($G430,'KO Calc'!$H436:$AW436,27,FALSE)))))))))))))</f>
        <v>-</v>
      </c>
      <c r="I430" s="36" t="str">
        <f>IF(AND($Q$1=FALSE,$S$3=FALSE),"-",IF(AND($Q$1=TRUE,$S$3=TRUE),"-",IF(AND($Q$1=FALSE,$S$3=FALSE),"-",IF(AND($Q$1=TRUE,$S$1=TRUE,$S$4=FALSE)=TRUE,IF(OR($Q$4=TRUE,$Q$5=TRUE,$S$2=TRUE),VLOOKUP($G430,'KO Calc'!$H:$AW,13,FALSE),VLOOKUP($G430,'KO Calc'!$H436:$AW436,13,FALSE)),IF(AND($Q$1=TRUE,$S$4=FALSE),IF(OR($Q$4=TRUE,$Q$5=TRUE,$S$2=TRUE),VLOOKUP($G430,'KO Calc'!$H:$AW,3,FALSE),VLOOKUP($G430,'KO Calc'!$H436:$AW436,3,FALSE)),
IF(AND($Q$1=TRUE,$S$1=TRUE,$S$4=TRUE)=TRUE,IF(OR($Q$4=TRUE,$Q$5=TRUE,$S$2=TRUE),VLOOKUP($G430,'KO Calc'!$H:$AW,18,FALSE),VLOOKUP($G430,'KO Calc'!$H436:$AW436,18,FALSE)),IF(AND($Q$1=TRUE,$S$4=TRUE),IF(OR($Q$4=TRUE,$Q$5=TRUE,$S$2=TRUE),VLOOKUP($G430,'KO Calc'!$H:$AW,8,FALSE),VLOOKUP($G430,'KO Calc'!$H436:$AW436,8,FALSE)),
IF(AND($S$3=TRUE,$S$1=TRUE,$S$4=FALSE)=TRUE,IF(OR($Q$4=TRUE,$Q$5=TRUE,$S$2=TRUE),VLOOKUP($G430,'KO Calc'!$H:$AW,33,FALSE),VLOOKUP($G430,'KO Calc'!$H436:$AW436,33,FALSE)),IF(AND($S$3=TRUE,$S$4=FALSE),IF(OR($Q$4=TRUE,$Q$5=TRUE,$S$2=TRUE),VLOOKUP($G430,'KO Calc'!$H:$AW,23,FALSE),VLOOKUP($G430,'KO Calc'!$H436:$AW436,23,FALSE)),
IF(AND($S$3=TRUE,$S$1=TRUE,$S$4=TRUE)=TRUE,IF(OR($Q$4=TRUE,$Q$5=TRUE,$S$2=TRUE),VLOOKUP($G430,'KO Calc'!$H:$AW,38,FALSE),VLOOKUP($G430,'KO Calc'!$H436:$AW436,38,FALSE)),IF(AND($S$3=TRUE,$S$4=TRUE),IF(OR($Q$4=TRUE,$Q$5=TRUE,$S$2=TRUE),VLOOKUP($G430,'KO Calc'!$H:$AW,28,FALSE),VLOOKUP($G430,'KO Calc'!$H436:$AW436,28,FALSE)))))))))))))</f>
        <v>-</v>
      </c>
      <c r="J430" s="36" t="str">
        <f>IF(AND($Q$1=FALSE,$S$3=FALSE),"-",IF(AND($Q$1=TRUE,$S$3=TRUE),"-",IF(AND($Q$1=FALSE,$S$3=FALSE),"-",IF(AND($Q$1=TRUE,$S$1=TRUE,$S$4=FALSE)=TRUE,IF(OR($Q$4=TRUE,$Q$5=TRUE,$S$2=TRUE),VLOOKUP($G430,'KO Calc'!$H:$AW,FALSE),VLOOKUP($G430,'KO Calc'!$H436:$AW436,14,FALSE)),IF(AND($Q$1=TRUE,$S$4=FALSE),IF(OR($Q$4=TRUE,$Q$5=TRUE,$S$2=TRUE),VLOOKUP($G430,'KO Calc'!$H:$AW,4,FALSE),VLOOKUP($G430,'KO Calc'!$H436:$AW436,4,FALSE)),
IF(AND($Q$1=TRUE,$S$1=TRUE,$S$4=TRUE)=TRUE,IF(OR($Q$4=TRUE,$Q$5=TRUE,$S$2=TRUE),VLOOKUP($G430,'KO Calc'!$H:$AW,19,FALSE),VLOOKUP($G430,'KO Calc'!$H436:$AW436,19,FALSE)),IF(AND($Q$1=TRUE,$S$4=TRUE),IF(OR($Q$4=TRUE,$Q$5=TRUE,$S$2=TRUE),VLOOKUP($G430,'KO Calc'!$H:$AW,9,FALSE),VLOOKUP($G430,'KO Calc'!$H436:$AW436,9,FALSE)),
IF(AND($S$3=TRUE,$S$1=TRUE,$S$4=FALSE)=TRUE,IF(OR($Q$4=TRUE,$Q$5=TRUE,$S$2=TRUE),VLOOKUP($G430,'KO Calc'!$H:$AW,34,FALSE),VLOOKUP($G430,'KO Calc'!$H436:$AW436,34,FALSE)),IF(AND($S$3=TRUE,$S$4=FALSE),IF(OR($Q$4=TRUE,$Q$5=TRUE,$S$2=TRUE),VLOOKUP($G430,'KO Calc'!$H:$AW,24,FALSE),VLOOKUP($G430,'KO Calc'!$H436:$AW436,24,FALSE)),
IF(AND($S$3=TRUE,$S$1=TRUE,$S$4=TRUE)=TRUE,IF(OR($Q$4=TRUE,$Q$5=TRUE,$S$2=TRUE),VLOOKUP($G430,'KO Calc'!$H:$AW,39,FALSE),VLOOKUP($G430,'KO Calc'!$H436:$AW436,39,FALSE)),IF(AND($S$3=TRUE,$S$4=TRUE),IF(OR($Q$4=TRUE,$Q$5=TRUE,$S$2=TRUE),VLOOKUP($G430,'KO Calc'!$H:$AW,29,FALSE),VLOOKUP($G430,'KO Calc'!$H436:$AW436,29,FALSE)))))))))))))</f>
        <v>-</v>
      </c>
      <c r="K430" s="36" t="str">
        <f>IF(AND($Q$1=FALSE,$S$3=FALSE),"-",IF(AND($Q$1=TRUE,$S$3=TRUE),"-",IF(AND($Q$1=FALSE,$S$3=FALSE),"-",IF(AND($Q$1=TRUE,$S$1=TRUE,$S$4=FALSE)=TRUE,IF(OR($Q$4=TRUE,$Q$5=TRUE,$S$2=TRUE),VLOOKUP($G430,'KO Calc'!$H:$AW,15,FALSE),VLOOKUP($G430,'KO Calc'!$H436:$AW436,15,FALSE)),IF(AND($Q$1=TRUE,$S$4=FALSE),IF(OR($Q$4=TRUE,$Q$5=TRUE,$S$2=TRUE),VLOOKUP($G430,'KO Calc'!$H:$AW,5,FALSE),VLOOKUP($G430,'KO Calc'!$H436:$AW436,5,FALSE)),
IF(AND($Q$1=TRUE,$S$1=TRUE,$S$4=TRUE)=TRUE,IF(OR($Q$4=TRUE,$Q$5=TRUE,$S$2=TRUE),VLOOKUP($G430,'KO Calc'!$H:$AW,20,FALSE),VLOOKUP($G430,'KO Calc'!$H436:$AW436,20,FALSE)),IF(AND($Q$1=TRUE,$S$4=TRUE),IF(OR($Q$4=TRUE,$Q$5=TRUE,$S$2=TRUE),VLOOKUP($G430,'KO Calc'!$H:$AW,10,FALSE),VLOOKUP($G430,'KO Calc'!$H436:$AW436,10,FALSE)),
IF(AND($S$3=TRUE,$S$1=TRUE,$S$4=FALSE)=TRUE,IF(OR($Q$4=TRUE,$Q$5=TRUE,$S$2=TRUE),VLOOKUP($G430,'KO Calc'!$H:$AW,35,FALSE),VLOOKUP($G430,'KO Calc'!$H436:$AW436,35,FALSE)),IF(AND($S$3=TRUE,$S$4=FALSE),IF(OR($Q$4=TRUE,$Q$5=TRUE,$S$2=TRUE),VLOOKUP($G430,'KO Calc'!$H:$AW,25,FALSE),VLOOKUP($G430,'KO Calc'!$H436:$AW436,25,FALSE)),
IF(AND($S$3=TRUE,$S$1=TRUE,$S$4=TRUE)=TRUE,IF(OR($Q$4=TRUE,$Q$5=TRUE,$S$2=TRUE),VLOOKUP($G430,'KO Calc'!$H:$AW,40,FALSE),VLOOKUP($G430,'KO Calc'!$H436:$AW436,40,FALSE)),IF(AND($S$3=TRUE,$S$4=TRUE),IF(OR($Q$4=TRUE,$Q$5=TRUE,$S$2=TRUE),VLOOKUP($G430,'KO Calc'!$H:$AW,30,FALSE),VLOOKUP($G430,'KO Calc'!$H436:$AW436,30,FALSE)))))))))))))</f>
        <v>-</v>
      </c>
      <c r="L430" s="36" t="str">
        <f>IFERROR(VLOOKUP($E430,'Status Thresholds'!$E:$AS,41,FALSE),"-")</f>
        <v>-</v>
      </c>
    </row>
    <row r="431" spans="1:14" x14ac:dyDescent="0.25">
      <c r="B431" s="64" t="str">
        <f>VLOOKUP(C431,'Status Thresholds'!B:C,2,FALSE)</f>
        <v>MHGen</v>
      </c>
      <c r="C431" s="46" t="str">
        <f>IF(ISBLANK('KO Calc'!C427)=TRUE,"",'KO Calc'!C427)</f>
        <v>Iodrome</v>
      </c>
      <c r="D431" s="78"/>
      <c r="E431" s="62"/>
      <c r="G431" s="36"/>
      <c r="L431" s="36" t="str">
        <f>IFERROR(VLOOKUP($E431,'Status Thresholds'!$E:$AS,41,FALSE),"-")</f>
        <v>-</v>
      </c>
    </row>
    <row r="432" spans="1:14" s="36" customFormat="1" x14ac:dyDescent="0.25">
      <c r="B432" s="64" t="str">
        <f>VLOOKUP(C432,'Status Thresholds'!B:C,2,FALSE)</f>
        <v>MHGen</v>
      </c>
      <c r="C432" s="46" t="str">
        <f>IF(ISBLANK('KO Calc'!C428)=TRUE,"",'KO Calc'!C428)</f>
        <v>Kecha Wacha</v>
      </c>
      <c r="D432" s="65" t="s">
        <v>0</v>
      </c>
      <c r="E432" s="62" t="str">
        <f t="shared" si="11"/>
        <v>Kecha WachaPara</v>
      </c>
      <c r="F432" s="36" t="s">
        <v>2</v>
      </c>
      <c r="G432" s="36" t="str">
        <f t="shared" si="12"/>
        <v>Kecha WachaPara lvl 2</v>
      </c>
      <c r="H432" s="36" t="str">
        <f>IFERROR(ROUNDUP(IF(AND($Q$1=FALSE,$S$3=FALSE),"-",IF(AND($Q$1=TRUE,$S$3=TRUE),"-",IF(AND($Q$1=TRUE,$S$1=TRUE,$S$4=FALSE),VLOOKUP($E432,'Status Thresholds'!$E:$AS,12,FALSE),IF(AND($Q$1=TRUE,$S$4=FALSE),VLOOKUP($E432,'Status Thresholds'!$E:$AS,2,FALSE), IF(AND($Q$1=TRUE,$S$1=TRUE,$S$4=TRUE),VLOOKUP($E432,'Status Thresholds'!$E:$AS,17,FALSE),IF(AND($Q$1=TRUE,$S$4=TRUE),VLOOKUP($E432,'Status Thresholds'!$E:$AS,7,FALSE),IF(AND($S$3=TRUE,$S$1=TRUE,$S$4=FALSE),VLOOKUP($E432,'Status Thresholds'!$E:$AS,32,FALSE),IF(AND($S$3=TRUE,$S$4=FALSE),VLOOKUP($E432,'Status Thresholds'!$E:$AS,22,FALSE),IF(AND($S$3=TRUE,$S$1=TRUE,$S$4=TRUE),VLOOKUP($E432,'Status Thresholds'!$E:$AS,37,FALSE),IF(AND($S$3=TRUE,$S$4=TRUE),VLOOKUP($E432,'Status Thresholds'!$E:$AS,27,FALSE),""))))))))/IF(OR($Q$3=TRUE,AND($Q$2=TRUE,$Q$7=TRUE),AND($Q$3=TRUE,$Q$7=TRUE))=TRUE,'Shots and Status'!$F$5,IF((OR($Q$2,$Q$7)=TRUE),'Shots and Status'!$D$5,'Shots and Status'!$C$5)))),0),"-")</f>
        <v>-</v>
      </c>
      <c r="I432" s="36" t="str">
        <f>IFERROR(ROUNDUP(IF(AND($Q$1=FALSE,$S$3=FALSE),"-",IF(AND($Q$1=TRUE,$S$3=TRUE),"-",IF(AND($Q$1=TRUE,$S$1=TRUE,$S$4=FALSE),VLOOKUP($E432,'Status Thresholds'!$E:$AS,13,FALSE),IF(AND($Q$1=TRUE,$S$4=FALSE),VLOOKUP($E432,'Status Thresholds'!$E:$AS,3,FALSE), IF(AND($Q$1=TRUE,$S$1=TRUE,$S$4=TRUE),VLOOKUP($E432,'Status Thresholds'!$E:$AS,18,FALSE),IF(AND($Q$1=TRUE,$S$4=TRUE),VLOOKUP($E432,'Status Thresholds'!$E:$AS,8,FALSE),IF(AND($S$3=TRUE,$S$1=TRUE,$S$4=FALSE),VLOOKUP($E432,'Status Thresholds'!$E:$AS,33,FALSE),IF(AND($S$3=TRUE,$S$4=FALSE),VLOOKUP($E432,'Status Thresholds'!$E:$AS,23,FALSE),IF(AND($S$3=TRUE,$S$1=TRUE,$S$4=TRUE),VLOOKUP($E432,'Status Thresholds'!$E:$AS,38,FALSE),IF(AND($S$3=TRUE,$S$4=TRUE),VLOOKUP($E432,'Status Thresholds'!$E:$AS,28,FALSE),""))))))))/IF(OR($Q$3=TRUE,AND($Q$2=TRUE,$Q$7=TRUE),AND($Q$3=TRUE,$Q$7=TRUE))=TRUE,'Shots and Status'!$F$5,IF((OR($Q$2,$Q$7)=TRUE),'Shots and Status'!$D$5,'Shots and Status'!$C$5)))),0),"-")</f>
        <v>-</v>
      </c>
      <c r="J432" s="36" t="str">
        <f>IFERROR(ROUNDUP(IF(AND($Q$1=FALSE,$S$3=FALSE),"-",IF(AND($Q$1=TRUE,$S$3=TRUE),"-",IF(AND($Q$1=TRUE,$S$1=TRUE,$S$4=FALSE),VLOOKUP($E432,'Status Thresholds'!$E:$AS,14,FALSE),IF(AND($Q$1=TRUE,$S$4=FALSE),VLOOKUP($E432,'Status Thresholds'!$E:$AS,4,FALSE), IF(AND($Q$1=TRUE,$S$1=TRUE,$S$4=TRUE),VLOOKUP($E432,'Status Thresholds'!$E:$AS,19,FALSE),IF(AND($Q$1=TRUE,$S$4=TRUE),VLOOKUP($E432,'Status Thresholds'!$E:$AS,9,FALSE),IF(AND($S$3=TRUE,$S$1=TRUE,$S$4=FALSE),VLOOKUP($E432,'Status Thresholds'!$E:$AS,34,FALSE),IF(AND($S$3=TRUE,$S$4=FALSE),VLOOKUP($E432,'Status Thresholds'!$E:$AS,24,FALSE),IF(AND($S$3=TRUE,$S$1=TRUE,$S$4=TRUE),VLOOKUP($E432,'Status Thresholds'!$E:$AS,39,FALSE),IF(AND($S$3=TRUE,$S$4=TRUE),VLOOKUP($E432,'Status Thresholds'!$E:$AS,29,FALSE),""))))))))/IF(OR($Q$3=TRUE,AND($Q$2=TRUE,$Q$7=TRUE),AND($Q$3=TRUE,$Q$7=TRUE))=TRUE,'Shots and Status'!$F$5,IF((OR($Q$2,$Q$7)=TRUE),'Shots and Status'!$D$5,'Shots and Status'!$C$5)))),0),"-")</f>
        <v>-</v>
      </c>
      <c r="K432" s="36" t="str">
        <f>IFERROR(ROUNDUP(IF(AND($Q$1=FALSE,$S$3=FALSE),"-",IF(AND($Q$1=TRUE,$S$3=TRUE),"-",IF(AND($Q$1=TRUE,$S$1=TRUE,$S$4=FALSE),VLOOKUP($E432,'Status Thresholds'!$E:$AS,15,FALSE),IF(AND($Q$1=TRUE,$S$4=FALSE),VLOOKUP($E432,'Status Thresholds'!$E:$AS,5,FALSE), IF(AND($Q$1=TRUE,$S$1=TRUE,$S$4=TRUE),VLOOKUP($E432,'Status Thresholds'!$E:$AS,20,FALSE),IF(AND($Q$1=TRUE,$S$4=TRUE),VLOOKUP($E432,'Status Thresholds'!$E:$AS,10,FALSE),IF(AND($S$3=TRUE,$S$1=TRUE,$S$4=FALSE),VLOOKUP($E432,'Status Thresholds'!$E:$AS,35,FALSE),IF(AND($S$3=TRUE,$S$4=FALSE),VLOOKUP($E432,'Status Thresholds'!$E:$AS,25,FALSE),IF(AND($S$3=TRUE,$S$1=TRUE,$S$4=TRUE),VLOOKUP($E432,'Status Thresholds'!$E:$AS,40,FALSE),IF(AND($S$3=TRUE,$S$4=TRUE),VLOOKUP($E432,'Status Thresholds'!$E:$AS,30,FALSE),""))))))))/IF(OR($Q$3=TRUE,AND($Q$2=TRUE,$Q$7=TRUE),AND($Q$3=TRUE,$Q$7=TRUE))=TRUE,'Shots and Status'!$F$5,IF((OR($Q$2,$Q$7)=TRUE),'Shots and Status'!$D$5,'Shots and Status'!$C$5)))),0),"-")</f>
        <v>-</v>
      </c>
      <c r="L432" s="36" t="str">
        <f>IFERROR(IF(AND($Q$1=FALSE,$S$3=FALSE),"-",VLOOKUP($E432,'Status Thresholds'!$E:$AU,41,FALSE)),"-")</f>
        <v>-</v>
      </c>
      <c r="M432" s="36" t="str">
        <f>IFERROR(IF(AND($Q$1=FALSE,$S$3=FALSE),"-",VLOOKUP($E432,'Status Thresholds'!$E:$AU,42,FALSE)),"-")</f>
        <v>-</v>
      </c>
      <c r="N432" s="36" t="str">
        <f>IFERROR(IF(AND($Q$1=FALSE,$S$3=FALSE),"-",VLOOKUP($E432,'Status Thresholds'!$E:$AU,43,FALSE)),"-")</f>
        <v>-</v>
      </c>
    </row>
    <row r="433" spans="1:14" s="59" customFormat="1" x14ac:dyDescent="0.25">
      <c r="A433" s="46"/>
      <c r="B433" s="64" t="str">
        <f>VLOOKUP(C433,'Status Thresholds'!B:C,2,FALSE)</f>
        <v>MHGen</v>
      </c>
      <c r="C433" s="46" t="str">
        <f>IF(ISBLANK('KO Calc'!C429)=TRUE,"",'KO Calc'!C429)</f>
        <v>Kecha Wacha</v>
      </c>
      <c r="D433" s="60" t="s">
        <v>32</v>
      </c>
      <c r="E433" s="62" t="str">
        <f t="shared" ref="E433:E504" si="13">C433&amp;D433</f>
        <v>Kecha WachaSleep</v>
      </c>
      <c r="F433" s="59" t="s">
        <v>5</v>
      </c>
      <c r="G433" s="36" t="str">
        <f t="shared" si="12"/>
        <v>Kecha WachaSleep lvl 2</v>
      </c>
      <c r="H433" s="36" t="str">
        <f>IFERROR(ROUNDUP(IF(AND($Q$1=FALSE,$S$3=FALSE),"-",IF(AND($Q$1=TRUE,$S$3=TRUE),"-",IF(AND($Q$1=TRUE,$S$1=TRUE,$S$4=FALSE),VLOOKUP($E433,'Status Thresholds'!$E:$AS,12,FALSE),IF(AND($Q$1=TRUE,$S$4=FALSE),VLOOKUP($E433,'Status Thresholds'!$E:$AS,2,FALSE), IF(AND($Q$1=TRUE,$S$1=TRUE,$S$4=TRUE),VLOOKUP($E433,'Status Thresholds'!$E:$AS,17,FALSE),IF(AND($Q$1=TRUE,$S$4=TRUE),VLOOKUP($E433,'Status Thresholds'!$E:$AS,7,FALSE),IF(AND($S$3=TRUE,$S$1=TRUE,$S$4=FALSE),VLOOKUP($E433,'Status Thresholds'!$E:$AS,32,FALSE),IF(AND($S$3=TRUE,$S$4=FALSE),VLOOKUP($E433,'Status Thresholds'!$E:$AS,22,FALSE),IF(AND($S$3=TRUE,$S$1=TRUE,$S$4=TRUE),VLOOKUP($E433,'Status Thresholds'!$E:$AS,37,FALSE),IF(AND($S$3=TRUE,$S$4=TRUE),VLOOKUP($E433,'Status Thresholds'!$E:$AS,27,FALSE),""))))))))/IF(OR($Q$3=TRUE,AND($Q$2=TRUE,$Q$7=TRUE),AND($Q$3=TRUE,$Q$7=TRUE))=TRUE,'Shots and Status'!$F$5,IF((OR($Q$2,$Q$7)=TRUE),'Shots and Status'!$D$5,'Shots and Status'!$C$5)))),0),"-")</f>
        <v>-</v>
      </c>
      <c r="I433" s="36" t="str">
        <f>IFERROR(ROUNDUP(IF(AND($Q$1=FALSE,$S$3=FALSE),"-",IF(AND($Q$1=TRUE,$S$3=TRUE),"-",IF(AND($Q$1=TRUE,$S$1=TRUE,$S$4=FALSE),VLOOKUP($E433,'Status Thresholds'!$E:$AS,13,FALSE),IF(AND($Q$1=TRUE,$S$4=FALSE),VLOOKUP($E433,'Status Thresholds'!$E:$AS,3,FALSE), IF(AND($Q$1=TRUE,$S$1=TRUE,$S$4=TRUE),VLOOKUP($E433,'Status Thresholds'!$E:$AS,18,FALSE),IF(AND($Q$1=TRUE,$S$4=TRUE),VLOOKUP($E433,'Status Thresholds'!$E:$AS,8,FALSE),IF(AND($S$3=TRUE,$S$1=TRUE,$S$4=FALSE),VLOOKUP($E433,'Status Thresholds'!$E:$AS,33,FALSE),IF(AND($S$3=TRUE,$S$4=FALSE),VLOOKUP($E433,'Status Thresholds'!$E:$AS,23,FALSE),IF(AND($S$3=TRUE,$S$1=TRUE,$S$4=TRUE),VLOOKUP($E433,'Status Thresholds'!$E:$AS,38,FALSE),IF(AND($S$3=TRUE,$S$4=TRUE),VLOOKUP($E433,'Status Thresholds'!$E:$AS,28,FALSE),""))))))))/IF(OR($Q$3=TRUE,AND($Q$2=TRUE,$Q$7=TRUE),AND($Q$3=TRUE,$Q$7=TRUE))=TRUE,'Shots and Status'!$F$5,IF((OR($Q$2,$Q$7)=TRUE),'Shots and Status'!$D$5,'Shots and Status'!$C$5)))),0),"-")</f>
        <v>-</v>
      </c>
      <c r="J433" s="36" t="str">
        <f>IFERROR(ROUNDUP(IF(AND($Q$1=FALSE,$S$3=FALSE),"-",IF(AND($Q$1=TRUE,$S$3=TRUE),"-",IF(AND($Q$1=TRUE,$S$1=TRUE,$S$4=FALSE),VLOOKUP($E433,'Status Thresholds'!$E:$AS,14,FALSE),IF(AND($Q$1=TRUE,$S$4=FALSE),VLOOKUP($E433,'Status Thresholds'!$E:$AS,4,FALSE), IF(AND($Q$1=TRUE,$S$1=TRUE,$S$4=TRUE),VLOOKUP($E433,'Status Thresholds'!$E:$AS,19,FALSE),IF(AND($Q$1=TRUE,$S$4=TRUE),VLOOKUP($E433,'Status Thresholds'!$E:$AS,9,FALSE),IF(AND($S$3=TRUE,$S$1=TRUE,$S$4=FALSE),VLOOKUP($E433,'Status Thresholds'!$E:$AS,34,FALSE),IF(AND($S$3=TRUE,$S$4=FALSE),VLOOKUP($E433,'Status Thresholds'!$E:$AS,24,FALSE),IF(AND($S$3=TRUE,$S$1=TRUE,$S$4=TRUE),VLOOKUP($E433,'Status Thresholds'!$E:$AS,39,FALSE),IF(AND($S$3=TRUE,$S$4=TRUE),VLOOKUP($E433,'Status Thresholds'!$E:$AS,29,FALSE),""))))))))/IF(OR($Q$3=TRUE,AND($Q$2=TRUE,$Q$7=TRUE),AND($Q$3=TRUE,$Q$7=TRUE))=TRUE,'Shots and Status'!$F$5,IF((OR($Q$2,$Q$7)=TRUE),'Shots and Status'!$D$5,'Shots and Status'!$C$5)))),0),"-")</f>
        <v>-</v>
      </c>
      <c r="K433" s="36" t="str">
        <f>IFERROR(ROUNDUP(IF(AND($Q$1=FALSE,$S$3=FALSE),"-",IF(AND($Q$1=TRUE,$S$3=TRUE),"-",IF(AND($Q$1=TRUE,$S$1=TRUE,$S$4=FALSE),VLOOKUP($E433,'Status Thresholds'!$E:$AS,15,FALSE),IF(AND($Q$1=TRUE,$S$4=FALSE),VLOOKUP($E433,'Status Thresholds'!$E:$AS,5,FALSE), IF(AND($Q$1=TRUE,$S$1=TRUE,$S$4=TRUE),VLOOKUP($E433,'Status Thresholds'!$E:$AS,20,FALSE),IF(AND($Q$1=TRUE,$S$4=TRUE),VLOOKUP($E433,'Status Thresholds'!$E:$AS,10,FALSE),IF(AND($S$3=TRUE,$S$1=TRUE,$S$4=FALSE),VLOOKUP($E433,'Status Thresholds'!$E:$AS,35,FALSE),IF(AND($S$3=TRUE,$S$4=FALSE),VLOOKUP($E433,'Status Thresholds'!$E:$AS,25,FALSE),IF(AND($S$3=TRUE,$S$1=TRUE,$S$4=TRUE),VLOOKUP($E433,'Status Thresholds'!$E:$AS,40,FALSE),IF(AND($S$3=TRUE,$S$4=TRUE),VLOOKUP($E433,'Status Thresholds'!$E:$AS,30,FALSE),""))))))))/IF(OR($Q$3=TRUE,AND($Q$2=TRUE,$Q$7=TRUE),AND($Q$3=TRUE,$Q$7=TRUE))=TRUE,'Shots and Status'!$F$5,IF((OR($Q$2,$Q$7)=TRUE),'Shots and Status'!$D$5,'Shots and Status'!$C$5)))),0),"-")</f>
        <v>-</v>
      </c>
      <c r="L433" s="36" t="str">
        <f>IFERROR(IF(AND($Q$1=FALSE,$S$3=FALSE),"-",VLOOKUP($E433,'Status Thresholds'!$E:$AU,41,FALSE)),"-")</f>
        <v>-</v>
      </c>
      <c r="M433" s="36" t="str">
        <f>IFERROR(IF(AND($Q$1=FALSE,$S$3=FALSE),"-",VLOOKUP($E433,'Status Thresholds'!$E:$AU,42,FALSE)),"-")</f>
        <v>-</v>
      </c>
      <c r="N433" s="36" t="str">
        <f>IFERROR(IF(AND($Q$1=FALSE,$S$3=FALSE),"-",VLOOKUP($E433,'Status Thresholds'!$E:$AU,43,FALSE)),"-")</f>
        <v>-</v>
      </c>
    </row>
    <row r="434" spans="1:14" s="59" customFormat="1" x14ac:dyDescent="0.25">
      <c r="A434" s="46"/>
      <c r="B434" s="64" t="str">
        <f>VLOOKUP(C434,'Status Thresholds'!B:C,2,FALSE)</f>
        <v>MHGen</v>
      </c>
      <c r="C434" s="46" t="str">
        <f>IF(ISBLANK('KO Calc'!C430)=TRUE,"",'KO Calc'!C430)</f>
        <v>Kecha Wacha</v>
      </c>
      <c r="D434" s="58" t="s">
        <v>33</v>
      </c>
      <c r="E434" s="62" t="str">
        <f t="shared" si="13"/>
        <v>Kecha WachaPoison</v>
      </c>
      <c r="F434" s="59" t="s">
        <v>6</v>
      </c>
      <c r="G434" s="36" t="str">
        <f t="shared" si="12"/>
        <v>Kecha WachaPoison lvl 2</v>
      </c>
      <c r="H434" s="36" t="str">
        <f>IFERROR(ROUNDUP(IF(AND($Q$1=FALSE,$S$3=FALSE),"-",IF(AND($Q$1=TRUE,$S$3=TRUE),"-",IF(AND($Q$1=TRUE,$S$1=TRUE,$S$4=FALSE),VLOOKUP($E434,'Status Thresholds'!$E:$AS,12,FALSE),IF(AND($Q$1=TRUE,$S$4=FALSE),VLOOKUP($E434,'Status Thresholds'!$E:$AS,2,FALSE), IF(AND($Q$1=TRUE,$S$1=TRUE,$S$4=TRUE),VLOOKUP($E434,'Status Thresholds'!$E:$AS,17,FALSE),IF(AND($Q$1=TRUE,$S$4=TRUE),VLOOKUP($E434,'Status Thresholds'!$E:$AS,7,FALSE),IF(AND($S$3=TRUE,$S$1=TRUE,$S$4=FALSE),VLOOKUP($E434,'Status Thresholds'!$E:$AS,32,FALSE),IF(AND($S$3=TRUE,$S$4=FALSE),VLOOKUP($E434,'Status Thresholds'!$E:$AS,22,FALSE),IF(AND($S$3=TRUE,$S$1=TRUE,$S$4=TRUE),VLOOKUP($E434,'Status Thresholds'!$E:$AS,37,FALSE),IF(AND($S$3=TRUE,$S$4=TRUE),VLOOKUP($E434,'Status Thresholds'!$E:$AS,27,FALSE),""))))))))/IF(OR($Q$3=TRUE,AND($Q$2=TRUE,$Q$7=TRUE),AND($Q$3=TRUE,$Q$7=TRUE))=TRUE,'Shots and Status'!$F$5,IF((OR($Q$2,$Q$7)=TRUE),'Shots and Status'!$D$5,'Shots and Status'!$C$5)))),0),"-")</f>
        <v>-</v>
      </c>
      <c r="I434" s="36" t="str">
        <f>IFERROR(ROUNDUP(IF(AND($Q$1=FALSE,$S$3=FALSE),"-",IF(AND($Q$1=TRUE,$S$3=TRUE),"-",IF(AND($Q$1=TRUE,$S$1=TRUE,$S$4=FALSE),VLOOKUP($E434,'Status Thresholds'!$E:$AS,13,FALSE),IF(AND($Q$1=TRUE,$S$4=FALSE),VLOOKUP($E434,'Status Thresholds'!$E:$AS,3,FALSE), IF(AND($Q$1=TRUE,$S$1=TRUE,$S$4=TRUE),VLOOKUP($E434,'Status Thresholds'!$E:$AS,18,FALSE),IF(AND($Q$1=TRUE,$S$4=TRUE),VLOOKUP($E434,'Status Thresholds'!$E:$AS,8,FALSE),IF(AND($S$3=TRUE,$S$1=TRUE,$S$4=FALSE),VLOOKUP($E434,'Status Thresholds'!$E:$AS,33,FALSE),IF(AND($S$3=TRUE,$S$4=FALSE),VLOOKUP($E434,'Status Thresholds'!$E:$AS,23,FALSE),IF(AND($S$3=TRUE,$S$1=TRUE,$S$4=TRUE),VLOOKUP($E434,'Status Thresholds'!$E:$AS,38,FALSE),IF(AND($S$3=TRUE,$S$4=TRUE),VLOOKUP($E434,'Status Thresholds'!$E:$AS,28,FALSE),""))))))))/IF(OR($Q$3=TRUE,AND($Q$2=TRUE,$Q$7=TRUE),AND($Q$3=TRUE,$Q$7=TRUE))=TRUE,'Shots and Status'!$F$5,IF((OR($Q$2,$Q$7)=TRUE),'Shots and Status'!$D$5,'Shots and Status'!$C$5)))),0),"-")</f>
        <v>-</v>
      </c>
      <c r="J434" s="36" t="str">
        <f>IFERROR(ROUNDUP(IF(AND($Q$1=FALSE,$S$3=FALSE),"-",IF(AND($Q$1=TRUE,$S$3=TRUE),"-",IF(AND($Q$1=TRUE,$S$1=TRUE,$S$4=FALSE),VLOOKUP($E434,'Status Thresholds'!$E:$AS,14,FALSE),IF(AND($Q$1=TRUE,$S$4=FALSE),VLOOKUP($E434,'Status Thresholds'!$E:$AS,4,FALSE), IF(AND($Q$1=TRUE,$S$1=TRUE,$S$4=TRUE),VLOOKUP($E434,'Status Thresholds'!$E:$AS,19,FALSE),IF(AND($Q$1=TRUE,$S$4=TRUE),VLOOKUP($E434,'Status Thresholds'!$E:$AS,9,FALSE),IF(AND($S$3=TRUE,$S$1=TRUE,$S$4=FALSE),VLOOKUP($E434,'Status Thresholds'!$E:$AS,34,FALSE),IF(AND($S$3=TRUE,$S$4=FALSE),VLOOKUP($E434,'Status Thresholds'!$E:$AS,24,FALSE),IF(AND($S$3=TRUE,$S$1=TRUE,$S$4=TRUE),VLOOKUP($E434,'Status Thresholds'!$E:$AS,39,FALSE),IF(AND($S$3=TRUE,$S$4=TRUE),VLOOKUP($E434,'Status Thresholds'!$E:$AS,29,FALSE),""))))))))/IF(OR($Q$3=TRUE,AND($Q$2=TRUE,$Q$7=TRUE),AND($Q$3=TRUE,$Q$7=TRUE))=TRUE,'Shots and Status'!$F$5,IF((OR($Q$2,$Q$7)=TRUE),'Shots and Status'!$D$5,'Shots and Status'!$C$5)))),0),"-")</f>
        <v>-</v>
      </c>
      <c r="K434" s="36" t="str">
        <f>IFERROR(ROUNDUP(IF(AND($Q$1=FALSE,$S$3=FALSE),"-",IF(AND($Q$1=TRUE,$S$3=TRUE),"-",IF(AND($Q$1=TRUE,$S$1=TRUE,$S$4=FALSE),VLOOKUP($E434,'Status Thresholds'!$E:$AS,15,FALSE),IF(AND($Q$1=TRUE,$S$4=FALSE),VLOOKUP($E434,'Status Thresholds'!$E:$AS,5,FALSE), IF(AND($Q$1=TRUE,$S$1=TRUE,$S$4=TRUE),VLOOKUP($E434,'Status Thresholds'!$E:$AS,20,FALSE),IF(AND($Q$1=TRUE,$S$4=TRUE),VLOOKUP($E434,'Status Thresholds'!$E:$AS,10,FALSE),IF(AND($S$3=TRUE,$S$1=TRUE,$S$4=FALSE),VLOOKUP($E434,'Status Thresholds'!$E:$AS,35,FALSE),IF(AND($S$3=TRUE,$S$4=FALSE),VLOOKUP($E434,'Status Thresholds'!$E:$AS,25,FALSE),IF(AND($S$3=TRUE,$S$1=TRUE,$S$4=TRUE),VLOOKUP($E434,'Status Thresholds'!$E:$AS,40,FALSE),IF(AND($S$3=TRUE,$S$4=TRUE),VLOOKUP($E434,'Status Thresholds'!$E:$AS,30,FALSE),""))))))))/IF(OR($Q$3=TRUE,AND($Q$2=TRUE,$Q$7=TRUE),AND($Q$3=TRUE,$Q$7=TRUE))=TRUE,'Shots and Status'!$F$5,IF((OR($Q$2,$Q$7)=TRUE),'Shots and Status'!$D$5,'Shots and Status'!$C$5)))),0),"-")</f>
        <v>-</v>
      </c>
      <c r="L434" s="36" t="str">
        <f>IFERROR(IF(AND($Q$1=FALSE,$S$3=FALSE),"-",VLOOKUP($E434,'Status Thresholds'!$E:$AU,41,FALSE)),"-")</f>
        <v>-</v>
      </c>
      <c r="M434" s="36" t="str">
        <f>IFERROR(IF(AND($Q$1=FALSE,$S$3=FALSE),"-",VLOOKUP($E434,'Status Thresholds'!$E:$AU,42,FALSE)),"-")</f>
        <v>-</v>
      </c>
      <c r="N434" s="36" t="str">
        <f>IFERROR(IF(AND($Q$1=FALSE,$S$3=FALSE),"-",VLOOKUP($E434,'Status Thresholds'!$E:$AU,43,FALSE)),"-")</f>
        <v>-</v>
      </c>
    </row>
    <row r="435" spans="1:14" s="36" customFormat="1" x14ac:dyDescent="0.25">
      <c r="A435" s="46"/>
      <c r="B435" s="64" t="str">
        <f>VLOOKUP(C435,'Status Thresholds'!B:C,2,FALSE)</f>
        <v>MHGen</v>
      </c>
      <c r="C435" s="46" t="str">
        <f>IF(ISBLANK('KO Calc'!C431)=TRUE,"",'KO Calc'!C431)</f>
        <v>Kecha Wacha</v>
      </c>
      <c r="D435" s="57" t="s">
        <v>22</v>
      </c>
      <c r="E435" s="62" t="str">
        <f t="shared" si="13"/>
        <v>Kecha WachaExhaust</v>
      </c>
      <c r="F435" s="36" t="s">
        <v>8</v>
      </c>
      <c r="G435" s="36" t="str">
        <f t="shared" si="12"/>
        <v>Kecha WachaExhaust lvl 2</v>
      </c>
      <c r="H435" s="36" t="str">
        <f>IFERROR(ROUNDUP(IF(AND($Q$1=FALSE,$S$3=FALSE),"-",IF(AND($Q$1=TRUE,$S$3=TRUE),"-",IF(AND($Q$1=TRUE,$S$1=TRUE,$S$4=FALSE),VLOOKUP($E435,'Status Thresholds'!$E:$AS,12,FALSE),IF(AND($Q$1=TRUE,$S$4=FALSE),VLOOKUP($E435,'Status Thresholds'!$E:$AS,2,FALSE), IF(AND($Q$1=TRUE,$S$1=TRUE,$S$4=TRUE),VLOOKUP($E435,'Status Thresholds'!$E:$AS,17,FALSE),IF(AND($Q$1=TRUE,$S$4=TRUE),VLOOKUP($E435,'Status Thresholds'!$E:$AS,7,FALSE),IF(AND($S$3=TRUE,$S$1=TRUE,$S$4=FALSE),VLOOKUP($E435,'Status Thresholds'!$E:$AS,32,FALSE),IF(AND($S$3=TRUE,$S$4=FALSE),VLOOKUP($E435,'Status Thresholds'!$E:$AS,22,FALSE),IF(AND($S$3=TRUE,$S$1=TRUE,$S$4=TRUE),VLOOKUP($E435,'Status Thresholds'!$E:$AS,37,FALSE),IF(AND($S$3=TRUE,$S$4=TRUE),VLOOKUP($E435,'Status Thresholds'!$E:$AS,27,FALSE),""))))))))/IF(OR($Q$3=TRUE,AND($Q$2=TRUE,$Q$7=TRUE),AND($Q$3=TRUE,$Q$7=TRUE))=TRUE,'Shots and Status'!$F$5,IF((OR($Q$2,$Q$7)=TRUE),'Shots and Status'!$D$5,'Shots and Status'!$C$5)))),0),"-")</f>
        <v>-</v>
      </c>
      <c r="I435" s="36" t="str">
        <f>IFERROR(ROUNDUP(IF(AND($Q$1=FALSE,$S$3=FALSE),"-",IF(AND($Q$1=TRUE,$S$3=TRUE),"-",IF(AND($Q$1=TRUE,$S$1=TRUE,$S$4=FALSE),VLOOKUP($E435,'Status Thresholds'!$E:$AS,13,FALSE),IF(AND($Q$1=TRUE,$S$4=FALSE),VLOOKUP($E435,'Status Thresholds'!$E:$AS,3,FALSE), IF(AND($Q$1=TRUE,$S$1=TRUE,$S$4=TRUE),VLOOKUP($E435,'Status Thresholds'!$E:$AS,18,FALSE),IF(AND($Q$1=TRUE,$S$4=TRUE),VLOOKUP($E435,'Status Thresholds'!$E:$AS,8,FALSE),IF(AND($S$3=TRUE,$S$1=TRUE,$S$4=FALSE),VLOOKUP($E435,'Status Thresholds'!$E:$AS,33,FALSE),IF(AND($S$3=TRUE,$S$4=FALSE),VLOOKUP($E435,'Status Thresholds'!$E:$AS,23,FALSE),IF(AND($S$3=TRUE,$S$1=TRUE,$S$4=TRUE),VLOOKUP($E435,'Status Thresholds'!$E:$AS,38,FALSE),IF(AND($S$3=TRUE,$S$4=TRUE),VLOOKUP($E435,'Status Thresholds'!$E:$AS,28,FALSE),""))))))))/IF(OR($Q$3=TRUE,AND($Q$2=TRUE,$Q$7=TRUE),AND($Q$3=TRUE,$Q$7=TRUE))=TRUE,'Shots and Status'!$F$5,IF((OR($Q$2,$Q$7)=TRUE),'Shots and Status'!$D$5,'Shots and Status'!$C$5)))),0),"-")</f>
        <v>-</v>
      </c>
      <c r="J435" s="36" t="str">
        <f>IFERROR(ROUNDUP(IF(AND($Q$1=FALSE,$S$3=FALSE),"-",IF(AND($Q$1=TRUE,$S$3=TRUE),"-",IF(AND($Q$1=TRUE,$S$1=TRUE,$S$4=FALSE),VLOOKUP($E435,'Status Thresholds'!$E:$AS,14,FALSE),IF(AND($Q$1=TRUE,$S$4=FALSE),VLOOKUP($E435,'Status Thresholds'!$E:$AS,4,FALSE), IF(AND($Q$1=TRUE,$S$1=TRUE,$S$4=TRUE),VLOOKUP($E435,'Status Thresholds'!$E:$AS,19,FALSE),IF(AND($Q$1=TRUE,$S$4=TRUE),VLOOKUP($E435,'Status Thresholds'!$E:$AS,9,FALSE),IF(AND($S$3=TRUE,$S$1=TRUE,$S$4=FALSE),VLOOKUP($E435,'Status Thresholds'!$E:$AS,34,FALSE),IF(AND($S$3=TRUE,$S$4=FALSE),VLOOKUP($E435,'Status Thresholds'!$E:$AS,24,FALSE),IF(AND($S$3=TRUE,$S$1=TRUE,$S$4=TRUE),VLOOKUP($E435,'Status Thresholds'!$E:$AS,39,FALSE),IF(AND($S$3=TRUE,$S$4=TRUE),VLOOKUP($E435,'Status Thresholds'!$E:$AS,29,FALSE),""))))))))/IF(OR($Q$3=TRUE,AND($Q$2=TRUE,$Q$7=TRUE),AND($Q$3=TRUE,$Q$7=TRUE))=TRUE,'Shots and Status'!$F$5,IF((OR($Q$2,$Q$7)=TRUE),'Shots and Status'!$D$5,'Shots and Status'!$C$5)))),0),"-")</f>
        <v>-</v>
      </c>
      <c r="K435" s="36" t="str">
        <f>IFERROR(ROUNDUP(IF(AND($Q$1=FALSE,$S$3=FALSE),"-",IF(AND($Q$1=TRUE,$S$3=TRUE),"-",IF(AND($Q$1=TRUE,$S$1=TRUE,$S$4=FALSE),VLOOKUP($E435,'Status Thresholds'!$E:$AS,15,FALSE),IF(AND($Q$1=TRUE,$S$4=FALSE),VLOOKUP($E435,'Status Thresholds'!$E:$AS,5,FALSE), IF(AND($Q$1=TRUE,$S$1=TRUE,$S$4=TRUE),VLOOKUP($E435,'Status Thresholds'!$E:$AS,20,FALSE),IF(AND($Q$1=TRUE,$S$4=TRUE),VLOOKUP($E435,'Status Thresholds'!$E:$AS,10,FALSE),IF(AND($S$3=TRUE,$S$1=TRUE,$S$4=FALSE),VLOOKUP($E435,'Status Thresholds'!$E:$AS,35,FALSE),IF(AND($S$3=TRUE,$S$4=FALSE),VLOOKUP($E435,'Status Thresholds'!$E:$AS,25,FALSE),IF(AND($S$3=TRUE,$S$1=TRUE,$S$4=TRUE),VLOOKUP($E435,'Status Thresholds'!$E:$AS,40,FALSE),IF(AND($S$3=TRUE,$S$4=TRUE),VLOOKUP($E435,'Status Thresholds'!$E:$AS,30,FALSE),""))))))))/IF(OR($Q$3=TRUE,AND($Q$2=TRUE,$Q$7=TRUE),AND($Q$3=TRUE,$Q$7=TRUE))=TRUE,'Shots and Status'!$F$5,IF((OR($Q$2,$Q$7)=TRUE),'Shots and Status'!$D$5,'Shots and Status'!$C$5)))),0),"-")</f>
        <v>-</v>
      </c>
      <c r="L435" s="36" t="str">
        <f>IFERROR(IF(AND($Q$1=FALSE,$S$3=FALSE),"-",VLOOKUP($E435,'Status Thresholds'!$E:$AU,41,FALSE)),"-")</f>
        <v>-</v>
      </c>
      <c r="M435" s="36" t="str">
        <f>IFERROR(IF(AND($Q$1=FALSE,$S$3=FALSE),"-",VLOOKUP($E435,'Status Thresholds'!$E:$AU,42,FALSE)),"-")</f>
        <v>-</v>
      </c>
      <c r="N435" s="36" t="str">
        <f>IFERROR(IF(AND($Q$1=FALSE,$S$3=FALSE),"-",VLOOKUP($E435,'Status Thresholds'!$E:$AU,43,FALSE)),"-")</f>
        <v>-</v>
      </c>
    </row>
    <row r="436" spans="1:14" s="36" customFormat="1" x14ac:dyDescent="0.25">
      <c r="A436" s="46"/>
      <c r="B436" s="64" t="str">
        <f>VLOOKUP(C436,'Status Thresholds'!B:C,2,FALSE)</f>
        <v>MHGen</v>
      </c>
      <c r="C436" s="46" t="str">
        <f>IF(ISBLANK('KO Calc'!C432)=TRUE,"",'KO Calc'!C432)</f>
        <v>Kecha Wacha</v>
      </c>
      <c r="D436" s="67" t="s">
        <v>14</v>
      </c>
      <c r="E436" s="62" t="str">
        <f t="shared" si="13"/>
        <v>Kecha WachaKO</v>
      </c>
      <c r="F436" s="36" t="s">
        <v>21</v>
      </c>
      <c r="G436" s="36" t="str">
        <f t="shared" si="12"/>
        <v>Kecha WachaTriblast</v>
      </c>
      <c r="H436" s="36" t="str">
        <f>IF(AND($Q$1=FALSE,$S$3=FALSE),"-",IF(AND($Q$1=TRUE,$S$3=TRUE),"-",IF(AND($Q$1=FALSE,$S$3=FALSE),"-",IF(AND($Q$1=TRUE,$S$1=TRUE,$S$4=FALSE)=TRUE,IF(OR($Q$4=TRUE,$Q$5=TRUE,$S$2=TRUE),VLOOKUP($G436,'KO Calc'!$H:$AW,12,FALSE),VLOOKUP($G436,'KO Calc'!$H442:$AW442,12,FALSE)),IF(AND($Q$1=TRUE,$S$4=FALSE),IF(OR($Q$4=TRUE,$Q$5=TRUE,$S$2=TRUE),VLOOKUP($G436,'KO Calc'!$H:$AW,2,FALSE),VLOOKUP($G436,'KO Calc'!$H442:$AW442,2,FALSE)),
IF(AND($Q$1=TRUE,$S$1=TRUE,$S$4=TRUE)=TRUE,IF(OR($Q$4=TRUE,$Q$5=TRUE,$S$2=TRUE),VLOOKUP($G436,'KO Calc'!$H:$AW,17,FALSE),VLOOKUP($G436,'KO Calc'!$H442:$AW442,17,FALSE)),IF(AND($Q$1=TRUE,$S$4=TRUE),IF(OR($Q$4=TRUE,$Q$5=TRUE,$S$2=TRUE),VLOOKUP($G436,'KO Calc'!$H:$AW,7,FALSE),VLOOKUP($G436,'KO Calc'!$H442:$AW442,7,FALSE)),
IF(AND($S$3=TRUE,$S$1=TRUE,$S$4=FALSE)=TRUE,IF(OR($Q$4=TRUE,$Q$5=TRUE,$S$2=TRUE),VLOOKUP($G436,'KO Calc'!$H:$AW,32,FALSE),VLOOKUP($G436,'KO Calc'!$H442:$AW442,32,FALSE)),IF(AND($S$3=TRUE,$S$4=FALSE),IF(OR($Q$4=TRUE,$Q$5=TRUE,$S$2=TRUE),VLOOKUP($G436,'KO Calc'!$H:$AW,22,FALSE),VLOOKUP($G436,'KO Calc'!$H442:$AW442,22,FALSE)),
IF(AND($S$3=TRUE,$S$1=TRUE,$S$4=TRUE)=TRUE,IF(OR($Q$4=TRUE,$Q$5=TRUE,$S$2=TRUE),VLOOKUP($G436,'KO Calc'!$H:$AW,37,FALSE),VLOOKUP($G436,'KO Calc'!$H442:$AW442,37,FALSE)),IF(AND($S$3=TRUE,$S$4=TRUE),IF(OR($Q$4=TRUE,$Q$5=TRUE,$S$2=TRUE),VLOOKUP($G436,'KO Calc'!$H:$AW,27,FALSE),VLOOKUP($G436,'KO Calc'!$H442:$AW442,27,FALSE)))))))))))))</f>
        <v>-</v>
      </c>
      <c r="I436" s="36" t="str">
        <f>IF(AND($Q$1=FALSE,$S$3=FALSE),"-",IF(AND($Q$1=TRUE,$S$3=TRUE),"-",IF(AND($Q$1=FALSE,$S$3=FALSE),"-",IF(AND($Q$1=TRUE,$S$1=TRUE,$S$4=FALSE)=TRUE,IF(OR($Q$4=TRUE,$Q$5=TRUE,$S$2=TRUE),VLOOKUP($G436,'KO Calc'!$H:$AW,13,FALSE),VLOOKUP($G436,'KO Calc'!$H442:$AW442,13,FALSE)),IF(AND($Q$1=TRUE,$S$4=FALSE),IF(OR($Q$4=TRUE,$Q$5=TRUE,$S$2=TRUE),VLOOKUP($G436,'KO Calc'!$H:$AW,3,FALSE),VLOOKUP($G436,'KO Calc'!$H442:$AW442,3,FALSE)),
IF(AND($Q$1=TRUE,$S$1=TRUE,$S$4=TRUE)=TRUE,IF(OR($Q$4=TRUE,$Q$5=TRUE,$S$2=TRUE),VLOOKUP($G436,'KO Calc'!$H:$AW,18,FALSE),VLOOKUP($G436,'KO Calc'!$H442:$AW442,18,FALSE)),IF(AND($Q$1=TRUE,$S$4=TRUE),IF(OR($Q$4=TRUE,$Q$5=TRUE,$S$2=TRUE),VLOOKUP($G436,'KO Calc'!$H:$AW,8,FALSE),VLOOKUP($G436,'KO Calc'!$H442:$AW442,8,FALSE)),
IF(AND($S$3=TRUE,$S$1=TRUE,$S$4=FALSE)=TRUE,IF(OR($Q$4=TRUE,$Q$5=TRUE,$S$2=TRUE),VLOOKUP($G436,'KO Calc'!$H:$AW,33,FALSE),VLOOKUP($G436,'KO Calc'!$H442:$AW442,33,FALSE)),IF(AND($S$3=TRUE,$S$4=FALSE),IF(OR($Q$4=TRUE,$Q$5=TRUE,$S$2=TRUE),VLOOKUP($G436,'KO Calc'!$H:$AW,23,FALSE),VLOOKUP($G436,'KO Calc'!$H442:$AW442,23,FALSE)),
IF(AND($S$3=TRUE,$S$1=TRUE,$S$4=TRUE)=TRUE,IF(OR($Q$4=TRUE,$Q$5=TRUE,$S$2=TRUE),VLOOKUP($G436,'KO Calc'!$H:$AW,38,FALSE),VLOOKUP($G436,'KO Calc'!$H442:$AW442,38,FALSE)),IF(AND($S$3=TRUE,$S$4=TRUE),IF(OR($Q$4=TRUE,$Q$5=TRUE,$S$2=TRUE),VLOOKUP($G436,'KO Calc'!$H:$AW,28,FALSE),VLOOKUP($G436,'KO Calc'!$H442:$AW442,28,FALSE)))))))))))))</f>
        <v>-</v>
      </c>
      <c r="J436" s="36" t="str">
        <f>IF(AND($Q$1=FALSE,$S$3=FALSE),"-",IF(AND($Q$1=TRUE,$S$3=TRUE),"-",IF(AND($Q$1=FALSE,$S$3=FALSE),"-",IF(AND($Q$1=TRUE,$S$1=TRUE,$S$4=FALSE)=TRUE,IF(OR($Q$4=TRUE,$Q$5=TRUE,$S$2=TRUE),VLOOKUP($G436,'KO Calc'!$H:$AW,FALSE),VLOOKUP($G436,'KO Calc'!$H442:$AW442,14,FALSE)),IF(AND($Q$1=TRUE,$S$4=FALSE),IF(OR($Q$4=TRUE,$Q$5=TRUE,$S$2=TRUE),VLOOKUP($G436,'KO Calc'!$H:$AW,4,FALSE),VLOOKUP($G436,'KO Calc'!$H442:$AW442,4,FALSE)),
IF(AND($Q$1=TRUE,$S$1=TRUE,$S$4=TRUE)=TRUE,IF(OR($Q$4=TRUE,$Q$5=TRUE,$S$2=TRUE),VLOOKUP($G436,'KO Calc'!$H:$AW,19,FALSE),VLOOKUP($G436,'KO Calc'!$H442:$AW442,19,FALSE)),IF(AND($Q$1=TRUE,$S$4=TRUE),IF(OR($Q$4=TRUE,$Q$5=TRUE,$S$2=TRUE),VLOOKUP($G436,'KO Calc'!$H:$AW,9,FALSE),VLOOKUP($G436,'KO Calc'!$H442:$AW442,9,FALSE)),
IF(AND($S$3=TRUE,$S$1=TRUE,$S$4=FALSE)=TRUE,IF(OR($Q$4=TRUE,$Q$5=TRUE,$S$2=TRUE),VLOOKUP($G436,'KO Calc'!$H:$AW,34,FALSE),VLOOKUP($G436,'KO Calc'!$H442:$AW442,34,FALSE)),IF(AND($S$3=TRUE,$S$4=FALSE),IF(OR($Q$4=TRUE,$Q$5=TRUE,$S$2=TRUE),VLOOKUP($G436,'KO Calc'!$H:$AW,24,FALSE),VLOOKUP($G436,'KO Calc'!$H442:$AW442,24,FALSE)),
IF(AND($S$3=TRUE,$S$1=TRUE,$S$4=TRUE)=TRUE,IF(OR($Q$4=TRUE,$Q$5=TRUE,$S$2=TRUE),VLOOKUP($G436,'KO Calc'!$H:$AW,39,FALSE),VLOOKUP($G436,'KO Calc'!$H442:$AW442,39,FALSE)),IF(AND($S$3=TRUE,$S$4=TRUE),IF(OR($Q$4=TRUE,$Q$5=TRUE,$S$2=TRUE),VLOOKUP($G436,'KO Calc'!$H:$AW,29,FALSE),VLOOKUP($G436,'KO Calc'!$H442:$AW442,29,FALSE)))))))))))))</f>
        <v>-</v>
      </c>
      <c r="K436" s="36" t="str">
        <f>IF(AND($Q$1=FALSE,$S$3=FALSE),"-",IF(AND($Q$1=TRUE,$S$3=TRUE),"-",IF(AND($Q$1=FALSE,$S$3=FALSE),"-",IF(AND($Q$1=TRUE,$S$1=TRUE,$S$4=FALSE)=TRUE,IF(OR($Q$4=TRUE,$Q$5=TRUE,$S$2=TRUE),VLOOKUP($G436,'KO Calc'!$H:$AW,15,FALSE),VLOOKUP($G436,'KO Calc'!$H442:$AW442,15,FALSE)),IF(AND($Q$1=TRUE,$S$4=FALSE),IF(OR($Q$4=TRUE,$Q$5=TRUE,$S$2=TRUE),VLOOKUP($G436,'KO Calc'!$H:$AW,5,FALSE),VLOOKUP($G436,'KO Calc'!$H442:$AW442,5,FALSE)),
IF(AND($Q$1=TRUE,$S$1=TRUE,$S$4=TRUE)=TRUE,IF(OR($Q$4=TRUE,$Q$5=TRUE,$S$2=TRUE),VLOOKUP($G436,'KO Calc'!$H:$AW,20,FALSE),VLOOKUP($G436,'KO Calc'!$H442:$AW442,20,FALSE)),IF(AND($Q$1=TRUE,$S$4=TRUE),IF(OR($Q$4=TRUE,$Q$5=TRUE,$S$2=TRUE),VLOOKUP($G436,'KO Calc'!$H:$AW,10,FALSE),VLOOKUP($G436,'KO Calc'!$H442:$AW442,10,FALSE)),
IF(AND($S$3=TRUE,$S$1=TRUE,$S$4=FALSE)=TRUE,IF(OR($Q$4=TRUE,$Q$5=TRUE,$S$2=TRUE),VLOOKUP($G436,'KO Calc'!$H:$AW,35,FALSE),VLOOKUP($G436,'KO Calc'!$H442:$AW442,35,FALSE)),IF(AND($S$3=TRUE,$S$4=FALSE),IF(OR($Q$4=TRUE,$Q$5=TRUE,$S$2=TRUE),VLOOKUP($G436,'KO Calc'!$H:$AW,25,FALSE),VLOOKUP($G436,'KO Calc'!$H442:$AW442,25,FALSE)),
IF(AND($S$3=TRUE,$S$1=TRUE,$S$4=TRUE)=TRUE,IF(OR($Q$4=TRUE,$Q$5=TRUE,$S$2=TRUE),VLOOKUP($G436,'KO Calc'!$H:$AW,40,FALSE),VLOOKUP($G436,'KO Calc'!$H442:$AW442,40,FALSE)),IF(AND($S$3=TRUE,$S$4=TRUE),IF(OR($Q$4=TRUE,$Q$5=TRUE,$S$2=TRUE),VLOOKUP($G436,'KO Calc'!$H:$AW,30,FALSE),VLOOKUP($G436,'KO Calc'!$H442:$AW442,30,FALSE)))))))))))))</f>
        <v>-</v>
      </c>
      <c r="L436" s="36" t="str">
        <f>IFERROR(IF(AND($Q$1=FALSE,$S$3=FALSE),"-",VLOOKUP($E436,'Status Thresholds'!$E:$AU,41,FALSE)),"-")</f>
        <v>-</v>
      </c>
      <c r="M436" s="36" t="str">
        <f>IFERROR(IF(AND($Q$1=FALSE,$S$3=FALSE),"-",VLOOKUP($E436,'Status Thresholds'!$E:$AU,42,FALSE)),"-")</f>
        <v>-</v>
      </c>
      <c r="N436" s="36" t="str">
        <f>IFERROR(IF(AND($Q$1=FALSE,$S$3=FALSE),"-",VLOOKUP($E436,'Status Thresholds'!$E:$AU,43,FALSE)),"-")</f>
        <v>-</v>
      </c>
    </row>
    <row r="437" spans="1:14" x14ac:dyDescent="0.25">
      <c r="B437" s="64" t="str">
        <f>VLOOKUP(C437,'Status Thresholds'!B:C,2,FALSE)</f>
        <v>MHGen</v>
      </c>
      <c r="C437" s="46" t="str">
        <f>IF(ISBLANK('KO Calc'!C433)=TRUE,"",'KO Calc'!C433)</f>
        <v>Kecha Wacha</v>
      </c>
      <c r="D437" s="78" t="s">
        <v>207</v>
      </c>
      <c r="E437" s="62" t="str">
        <f t="shared" si="13"/>
        <v>Kecha WachaShock Trap</v>
      </c>
      <c r="F437" t="s">
        <v>13</v>
      </c>
      <c r="G437" s="36" t="str">
        <f t="shared" ref="G437:G508" si="14">C437&amp;F437</f>
        <v>Kecha WachaCrag 3</v>
      </c>
      <c r="H437" s="36" t="str">
        <f>IF(AND($Q$1=FALSE,$S$3=FALSE),"-",IF(AND($Q$1=TRUE,$S$3=TRUE),"-",IF(AND($Q$1=FALSE,$S$3=FALSE),"-",IF(AND($Q$1=TRUE,$S$1=TRUE,$S$4=FALSE)=TRUE,IF(OR($Q$4=TRUE,$Q$5=TRUE,$S$2=TRUE),VLOOKUP($G437,'KO Calc'!$H:$AW,12,FALSE),VLOOKUP($G437,'KO Calc'!$H443:$AW443,12,FALSE)),IF(AND($Q$1=TRUE,$S$4=FALSE),IF(OR($Q$4=TRUE,$Q$5=TRUE,$S$2=TRUE),VLOOKUP($G437,'KO Calc'!$H:$AW,2,FALSE),VLOOKUP($G437,'KO Calc'!$H443:$AW443,2,FALSE)),
IF(AND($Q$1=TRUE,$S$1=TRUE,$S$4=TRUE)=TRUE,IF(OR($Q$4=TRUE,$Q$5=TRUE,$S$2=TRUE),VLOOKUP($G437,'KO Calc'!$H:$AW,17,FALSE),VLOOKUP($G437,'KO Calc'!$H443:$AW443,17,FALSE)),IF(AND($Q$1=TRUE,$S$4=TRUE),IF(OR($Q$4=TRUE,$Q$5=TRUE,$S$2=TRUE),VLOOKUP($G437,'KO Calc'!$H:$AW,7,FALSE),VLOOKUP($G437,'KO Calc'!$H443:$AW443,7,FALSE)),
IF(AND($S$3=TRUE,$S$1=TRUE,$S$4=FALSE)=TRUE,IF(OR($Q$4=TRUE,$Q$5=TRUE,$S$2=TRUE),VLOOKUP($G437,'KO Calc'!$H:$AW,32,FALSE),VLOOKUP($G437,'KO Calc'!$H443:$AW443,32,FALSE)),IF(AND($S$3=TRUE,$S$4=FALSE),IF(OR($Q$4=TRUE,$Q$5=TRUE,$S$2=TRUE),VLOOKUP($G437,'KO Calc'!$H:$AW,22,FALSE),VLOOKUP($G437,'KO Calc'!$H443:$AW443,22,FALSE)),
IF(AND($S$3=TRUE,$S$1=TRUE,$S$4=TRUE)=TRUE,IF(OR($Q$4=TRUE,$Q$5=TRUE,$S$2=TRUE),VLOOKUP($G437,'KO Calc'!$H:$AW,37,FALSE),VLOOKUP($G437,'KO Calc'!$H443:$AW443,37,FALSE)),IF(AND($S$3=TRUE,$S$4=TRUE),IF(OR($Q$4=TRUE,$Q$5=TRUE,$S$2=TRUE),VLOOKUP($G437,'KO Calc'!$H:$AW,27,FALSE),VLOOKUP($G437,'KO Calc'!$H443:$AW443,27,FALSE)))))))))))))</f>
        <v>-</v>
      </c>
      <c r="I437" s="36" t="str">
        <f>IF(AND($Q$1=FALSE,$S$3=FALSE),"-",IF(AND($Q$1=TRUE,$S$3=TRUE),"-",IF(AND($Q$1=FALSE,$S$3=FALSE),"-",IF(AND($Q$1=TRUE,$S$1=TRUE,$S$4=FALSE)=TRUE,IF(OR($Q$4=TRUE,$Q$5=TRUE,$S$2=TRUE),VLOOKUP($G437,'KO Calc'!$H:$AW,13,FALSE),VLOOKUP($G437,'KO Calc'!$H443:$AW443,13,FALSE)),IF(AND($Q$1=TRUE,$S$4=FALSE),IF(OR($Q$4=TRUE,$Q$5=TRUE,$S$2=TRUE),VLOOKUP($G437,'KO Calc'!$H:$AW,3,FALSE),VLOOKUP($G437,'KO Calc'!$H443:$AW443,3,FALSE)),
IF(AND($Q$1=TRUE,$S$1=TRUE,$S$4=TRUE)=TRUE,IF(OR($Q$4=TRUE,$Q$5=TRUE,$S$2=TRUE),VLOOKUP($G437,'KO Calc'!$H:$AW,18,FALSE),VLOOKUP($G437,'KO Calc'!$H443:$AW443,18,FALSE)),IF(AND($Q$1=TRUE,$S$4=TRUE),IF(OR($Q$4=TRUE,$Q$5=TRUE,$S$2=TRUE),VLOOKUP($G437,'KO Calc'!$H:$AW,8,FALSE),VLOOKUP($G437,'KO Calc'!$H443:$AW443,8,FALSE)),
IF(AND($S$3=TRUE,$S$1=TRUE,$S$4=FALSE)=TRUE,IF(OR($Q$4=TRUE,$Q$5=TRUE,$S$2=TRUE),VLOOKUP($G437,'KO Calc'!$H:$AW,33,FALSE),VLOOKUP($G437,'KO Calc'!$H443:$AW443,33,FALSE)),IF(AND($S$3=TRUE,$S$4=FALSE),IF(OR($Q$4=TRUE,$Q$5=TRUE,$S$2=TRUE),VLOOKUP($G437,'KO Calc'!$H:$AW,23,FALSE),VLOOKUP($G437,'KO Calc'!$H443:$AW443,23,FALSE)),
IF(AND($S$3=TRUE,$S$1=TRUE,$S$4=TRUE)=TRUE,IF(OR($Q$4=TRUE,$Q$5=TRUE,$S$2=TRUE),VLOOKUP($G437,'KO Calc'!$H:$AW,38,FALSE),VLOOKUP($G437,'KO Calc'!$H443:$AW443,38,FALSE)),IF(AND($S$3=TRUE,$S$4=TRUE),IF(OR($Q$4=TRUE,$Q$5=TRUE,$S$2=TRUE),VLOOKUP($G437,'KO Calc'!$H:$AW,28,FALSE),VLOOKUP($G437,'KO Calc'!$H443:$AW443,28,FALSE)))))))))))))</f>
        <v>-</v>
      </c>
      <c r="J437" s="36" t="str">
        <f>IF(AND($Q$1=FALSE,$S$3=FALSE),"-",IF(AND($Q$1=TRUE,$S$3=TRUE),"-",IF(AND($Q$1=FALSE,$S$3=FALSE),"-",IF(AND($Q$1=TRUE,$S$1=TRUE,$S$4=FALSE)=TRUE,IF(OR($Q$4=TRUE,$Q$5=TRUE,$S$2=TRUE),VLOOKUP($G437,'KO Calc'!$H:$AW,FALSE),VLOOKUP($G437,'KO Calc'!$H443:$AW443,14,FALSE)),IF(AND($Q$1=TRUE,$S$4=FALSE),IF(OR($Q$4=TRUE,$Q$5=TRUE,$S$2=TRUE),VLOOKUP($G437,'KO Calc'!$H:$AW,4,FALSE),VLOOKUP($G437,'KO Calc'!$H443:$AW443,4,FALSE)),
IF(AND($Q$1=TRUE,$S$1=TRUE,$S$4=TRUE)=TRUE,IF(OR($Q$4=TRUE,$Q$5=TRUE,$S$2=TRUE),VLOOKUP($G437,'KO Calc'!$H:$AW,19,FALSE),VLOOKUP($G437,'KO Calc'!$H443:$AW443,19,FALSE)),IF(AND($Q$1=TRUE,$S$4=TRUE),IF(OR($Q$4=TRUE,$Q$5=TRUE,$S$2=TRUE),VLOOKUP($G437,'KO Calc'!$H:$AW,9,FALSE),VLOOKUP($G437,'KO Calc'!$H443:$AW443,9,FALSE)),
IF(AND($S$3=TRUE,$S$1=TRUE,$S$4=FALSE)=TRUE,IF(OR($Q$4=TRUE,$Q$5=TRUE,$S$2=TRUE),VLOOKUP($G437,'KO Calc'!$H:$AW,34,FALSE),VLOOKUP($G437,'KO Calc'!$H443:$AW443,34,FALSE)),IF(AND($S$3=TRUE,$S$4=FALSE),IF(OR($Q$4=TRUE,$Q$5=TRUE,$S$2=TRUE),VLOOKUP($G437,'KO Calc'!$H:$AW,24,FALSE),VLOOKUP($G437,'KO Calc'!$H443:$AW443,24,FALSE)),
IF(AND($S$3=TRUE,$S$1=TRUE,$S$4=TRUE)=TRUE,IF(OR($Q$4=TRUE,$Q$5=TRUE,$S$2=TRUE),VLOOKUP($G437,'KO Calc'!$H:$AW,39,FALSE),VLOOKUP($G437,'KO Calc'!$H443:$AW443,39,FALSE)),IF(AND($S$3=TRUE,$S$4=TRUE),IF(OR($Q$4=TRUE,$Q$5=TRUE,$S$2=TRUE),VLOOKUP($G437,'KO Calc'!$H:$AW,29,FALSE),VLOOKUP($G437,'KO Calc'!$H443:$AW443,29,FALSE)))))))))))))</f>
        <v>-</v>
      </c>
      <c r="K437" s="36" t="str">
        <f>IF(AND($Q$1=FALSE,$S$3=FALSE),"-",IF(AND($Q$1=TRUE,$S$3=TRUE),"-",IF(AND($Q$1=FALSE,$S$3=FALSE),"-",IF(AND($Q$1=TRUE,$S$1=TRUE,$S$4=FALSE)=TRUE,IF(OR($Q$4=TRUE,$Q$5=TRUE,$S$2=TRUE),VLOOKUP($G437,'KO Calc'!$H:$AW,15,FALSE),VLOOKUP($G437,'KO Calc'!$H443:$AW443,15,FALSE)),IF(AND($Q$1=TRUE,$S$4=FALSE),IF(OR($Q$4=TRUE,$Q$5=TRUE,$S$2=TRUE),VLOOKUP($G437,'KO Calc'!$H:$AW,5,FALSE),VLOOKUP($G437,'KO Calc'!$H443:$AW443,5,FALSE)),
IF(AND($Q$1=TRUE,$S$1=TRUE,$S$4=TRUE)=TRUE,IF(OR($Q$4=TRUE,$Q$5=TRUE,$S$2=TRUE),VLOOKUP($G437,'KO Calc'!$H:$AW,20,FALSE),VLOOKUP($G437,'KO Calc'!$H443:$AW443,20,FALSE)),IF(AND($Q$1=TRUE,$S$4=TRUE),IF(OR($Q$4=TRUE,$Q$5=TRUE,$S$2=TRUE),VLOOKUP($G437,'KO Calc'!$H:$AW,10,FALSE),VLOOKUP($G437,'KO Calc'!$H443:$AW443,10,FALSE)),
IF(AND($S$3=TRUE,$S$1=TRUE,$S$4=FALSE)=TRUE,IF(OR($Q$4=TRUE,$Q$5=TRUE,$S$2=TRUE),VLOOKUP($G437,'KO Calc'!$H:$AW,35,FALSE),VLOOKUP($G437,'KO Calc'!$H443:$AW443,35,FALSE)),IF(AND($S$3=TRUE,$S$4=FALSE),IF(OR($Q$4=TRUE,$Q$5=TRUE,$S$2=TRUE),VLOOKUP($G437,'KO Calc'!$H:$AW,25,FALSE),VLOOKUP($G437,'KO Calc'!$H443:$AW443,25,FALSE)),
IF(AND($S$3=TRUE,$S$1=TRUE,$S$4=TRUE)=TRUE,IF(OR($Q$4=TRUE,$Q$5=TRUE,$S$2=TRUE),VLOOKUP($G437,'KO Calc'!$H:$AW,40,FALSE),VLOOKUP($G437,'KO Calc'!$H443:$AW443,40,FALSE)),IF(AND($S$3=TRUE,$S$4=TRUE),IF(OR($Q$4=TRUE,$Q$5=TRUE,$S$2=TRUE),VLOOKUP($G437,'KO Calc'!$H:$AW,30,FALSE),VLOOKUP($G437,'KO Calc'!$H443:$AW443,30,FALSE)))))))))))))</f>
        <v>-</v>
      </c>
      <c r="L437" s="36" t="str">
        <f>IFERROR(IF(AND($Q$1=FALSE,$S$3=FALSE),"-",VLOOKUP($E437,'Status Thresholds'!$E:$AU,43,FALSE)),"-")</f>
        <v>-</v>
      </c>
      <c r="M437" s="36" t="str">
        <f>IFERROR(IF(AND($Q$1=FALSE,$S$3=FALSE),"-",VLOOKUP($E437,'Status Thresholds'!$E:$AU,41,FALSE)),"-")</f>
        <v>-</v>
      </c>
      <c r="N437" s="36" t="str">
        <f>IFERROR(IF(AND($Q$1=FALSE,$S$3=FALSE),"-",VLOOKUP($E437,'Status Thresholds'!$E:$AU,42,FALSE)),"-")</f>
        <v>-</v>
      </c>
    </row>
    <row r="438" spans="1:14" x14ac:dyDescent="0.25">
      <c r="B438" s="64" t="str">
        <f>VLOOKUP(C438,'Status Thresholds'!B:C,2,FALSE)</f>
        <v>MHGen</v>
      </c>
      <c r="C438" s="46" t="str">
        <f>IF(ISBLANK('KO Calc'!C434)=TRUE,"",'KO Calc'!C434)</f>
        <v>Kecha Wacha</v>
      </c>
      <c r="D438" s="78" t="s">
        <v>213</v>
      </c>
      <c r="E438" s="62" t="str">
        <f t="shared" si="13"/>
        <v>Kecha WachaPitfall Trap</v>
      </c>
      <c r="F438" t="s">
        <v>12</v>
      </c>
      <c r="G438" s="36" t="str">
        <f t="shared" si="14"/>
        <v>Kecha WachaCrag 2</v>
      </c>
      <c r="H438" s="36" t="str">
        <f>IF(AND($Q$1=FALSE,$S$3=FALSE),"-",IF(AND($Q$1=TRUE,$S$3=TRUE),"-",IF(AND($Q$1=FALSE,$S$3=FALSE),"-",IF(AND($Q$1=TRUE,$S$1=TRUE,$S$4=FALSE)=TRUE,IF(OR($Q$4=TRUE,$Q$5=TRUE,$S$2=TRUE),VLOOKUP($G438,'KO Calc'!$H:$AW,12,FALSE),VLOOKUP($G438,'KO Calc'!$H444:$AW444,12,FALSE)),IF(AND($Q$1=TRUE,$S$4=FALSE),IF(OR($Q$4=TRUE,$Q$5=TRUE,$S$2=TRUE),VLOOKUP($G438,'KO Calc'!$H:$AW,2,FALSE),VLOOKUP($G438,'KO Calc'!$H444:$AW444,2,FALSE)),
IF(AND($Q$1=TRUE,$S$1=TRUE,$S$4=TRUE)=TRUE,IF(OR($Q$4=TRUE,$Q$5=TRUE,$S$2=TRUE),VLOOKUP($G438,'KO Calc'!$H:$AW,17,FALSE),VLOOKUP($G438,'KO Calc'!$H444:$AW444,17,FALSE)),IF(AND($Q$1=TRUE,$S$4=TRUE),IF(OR($Q$4=TRUE,$Q$5=TRUE,$S$2=TRUE),VLOOKUP($G438,'KO Calc'!$H:$AW,7,FALSE),VLOOKUP($G438,'KO Calc'!$H444:$AW444,7,FALSE)),
IF(AND($S$3=TRUE,$S$1=TRUE,$S$4=FALSE)=TRUE,IF(OR($Q$4=TRUE,$Q$5=TRUE,$S$2=TRUE),VLOOKUP($G438,'KO Calc'!$H:$AW,32,FALSE),VLOOKUP($G438,'KO Calc'!$H444:$AW444,32,FALSE)),IF(AND($S$3=TRUE,$S$4=FALSE),IF(OR($Q$4=TRUE,$Q$5=TRUE,$S$2=TRUE),VLOOKUP($G438,'KO Calc'!$H:$AW,22,FALSE),VLOOKUP($G438,'KO Calc'!$H444:$AW444,22,FALSE)),
IF(AND($S$3=TRUE,$S$1=TRUE,$S$4=TRUE)=TRUE,IF(OR($Q$4=TRUE,$Q$5=TRUE,$S$2=TRUE),VLOOKUP($G438,'KO Calc'!$H:$AW,37,FALSE),VLOOKUP($G438,'KO Calc'!$H444:$AW444,37,FALSE)),IF(AND($S$3=TRUE,$S$4=TRUE),IF(OR($Q$4=TRUE,$Q$5=TRUE,$S$2=TRUE),VLOOKUP($G438,'KO Calc'!$H:$AW,27,FALSE),VLOOKUP($G438,'KO Calc'!$H444:$AW444,27,FALSE)))))))))))))</f>
        <v>-</v>
      </c>
      <c r="I438" s="36" t="str">
        <f>IF(AND($Q$1=FALSE,$S$3=FALSE),"-",IF(AND($Q$1=TRUE,$S$3=TRUE),"-",IF(AND($Q$1=FALSE,$S$3=FALSE),"-",IF(AND($Q$1=TRUE,$S$1=TRUE,$S$4=FALSE)=TRUE,IF(OR($Q$4=TRUE,$Q$5=TRUE,$S$2=TRUE),VLOOKUP($G438,'KO Calc'!$H:$AW,13,FALSE),VLOOKUP($G438,'KO Calc'!$H444:$AW444,13,FALSE)),IF(AND($Q$1=TRUE,$S$4=FALSE),IF(OR($Q$4=TRUE,$Q$5=TRUE,$S$2=TRUE),VLOOKUP($G438,'KO Calc'!$H:$AW,3,FALSE),VLOOKUP($G438,'KO Calc'!$H444:$AW444,3,FALSE)),
IF(AND($Q$1=TRUE,$S$1=TRUE,$S$4=TRUE)=TRUE,IF(OR($Q$4=TRUE,$Q$5=TRUE,$S$2=TRUE),VLOOKUP($G438,'KO Calc'!$H:$AW,18,FALSE),VLOOKUP($G438,'KO Calc'!$H444:$AW444,18,FALSE)),IF(AND($Q$1=TRUE,$S$4=TRUE),IF(OR($Q$4=TRUE,$Q$5=TRUE,$S$2=TRUE),VLOOKUP($G438,'KO Calc'!$H:$AW,8,FALSE),VLOOKUP($G438,'KO Calc'!$H444:$AW444,8,FALSE)),
IF(AND($S$3=TRUE,$S$1=TRUE,$S$4=FALSE)=TRUE,IF(OR($Q$4=TRUE,$Q$5=TRUE,$S$2=TRUE),VLOOKUP($G438,'KO Calc'!$H:$AW,33,FALSE),VLOOKUP($G438,'KO Calc'!$H444:$AW444,33,FALSE)),IF(AND($S$3=TRUE,$S$4=FALSE),IF(OR($Q$4=TRUE,$Q$5=TRUE,$S$2=TRUE),VLOOKUP($G438,'KO Calc'!$H:$AW,23,FALSE),VLOOKUP($G438,'KO Calc'!$H444:$AW444,23,FALSE)),
IF(AND($S$3=TRUE,$S$1=TRUE,$S$4=TRUE)=TRUE,IF(OR($Q$4=TRUE,$Q$5=TRUE,$S$2=TRUE),VLOOKUP($G438,'KO Calc'!$H:$AW,38,FALSE),VLOOKUP($G438,'KO Calc'!$H444:$AW444,38,FALSE)),IF(AND($S$3=TRUE,$S$4=TRUE),IF(OR($Q$4=TRUE,$Q$5=TRUE,$S$2=TRUE),VLOOKUP($G438,'KO Calc'!$H:$AW,28,FALSE),VLOOKUP($G438,'KO Calc'!$H444:$AW444,28,FALSE)))))))))))))</f>
        <v>-</v>
      </c>
      <c r="J438" s="36" t="str">
        <f>IF(AND($Q$1=FALSE,$S$3=FALSE),"-",IF(AND($Q$1=TRUE,$S$3=TRUE),"-",IF(AND($Q$1=FALSE,$S$3=FALSE),"-",IF(AND($Q$1=TRUE,$S$1=TRUE,$S$4=FALSE)=TRUE,IF(OR($Q$4=TRUE,$Q$5=TRUE,$S$2=TRUE),VLOOKUP($G438,'KO Calc'!$H:$AW,FALSE),VLOOKUP($G438,'KO Calc'!$H444:$AW444,14,FALSE)),IF(AND($Q$1=TRUE,$S$4=FALSE),IF(OR($Q$4=TRUE,$Q$5=TRUE,$S$2=TRUE),VLOOKUP($G438,'KO Calc'!$H:$AW,4,FALSE),VLOOKUP($G438,'KO Calc'!$H444:$AW444,4,FALSE)),
IF(AND($Q$1=TRUE,$S$1=TRUE,$S$4=TRUE)=TRUE,IF(OR($Q$4=TRUE,$Q$5=TRUE,$S$2=TRUE),VLOOKUP($G438,'KO Calc'!$H:$AW,19,FALSE),VLOOKUP($G438,'KO Calc'!$H444:$AW444,19,FALSE)),IF(AND($Q$1=TRUE,$S$4=TRUE),IF(OR($Q$4=TRUE,$Q$5=TRUE,$S$2=TRUE),VLOOKUP($G438,'KO Calc'!$H:$AW,9,FALSE),VLOOKUP($G438,'KO Calc'!$H444:$AW444,9,FALSE)),
IF(AND($S$3=TRUE,$S$1=TRUE,$S$4=FALSE)=TRUE,IF(OR($Q$4=TRUE,$Q$5=TRUE,$S$2=TRUE),VLOOKUP($G438,'KO Calc'!$H:$AW,34,FALSE),VLOOKUP($G438,'KO Calc'!$H444:$AW444,34,FALSE)),IF(AND($S$3=TRUE,$S$4=FALSE),IF(OR($Q$4=TRUE,$Q$5=TRUE,$S$2=TRUE),VLOOKUP($G438,'KO Calc'!$H:$AW,24,FALSE),VLOOKUP($G438,'KO Calc'!$H444:$AW444,24,FALSE)),
IF(AND($S$3=TRUE,$S$1=TRUE,$S$4=TRUE)=TRUE,IF(OR($Q$4=TRUE,$Q$5=TRUE,$S$2=TRUE),VLOOKUP($G438,'KO Calc'!$H:$AW,39,FALSE),VLOOKUP($G438,'KO Calc'!$H444:$AW444,39,FALSE)),IF(AND($S$3=TRUE,$S$4=TRUE),IF(OR($Q$4=TRUE,$Q$5=TRUE,$S$2=TRUE),VLOOKUP($G438,'KO Calc'!$H:$AW,29,FALSE),VLOOKUP($G438,'KO Calc'!$H444:$AW444,29,FALSE)))))))))))))</f>
        <v>-</v>
      </c>
      <c r="K438" s="36" t="str">
        <f>IF(AND($Q$1=FALSE,$S$3=FALSE),"-",IF(AND($Q$1=TRUE,$S$3=TRUE),"-",IF(AND($Q$1=FALSE,$S$3=FALSE),"-",IF(AND($Q$1=TRUE,$S$1=TRUE,$S$4=FALSE)=TRUE,IF(OR($Q$4=TRUE,$Q$5=TRUE,$S$2=TRUE),VLOOKUP($G438,'KO Calc'!$H:$AW,15,FALSE),VLOOKUP($G438,'KO Calc'!$H444:$AW444,15,FALSE)),IF(AND($Q$1=TRUE,$S$4=FALSE),IF(OR($Q$4=TRUE,$Q$5=TRUE,$S$2=TRUE),VLOOKUP($G438,'KO Calc'!$H:$AW,5,FALSE),VLOOKUP($G438,'KO Calc'!$H444:$AW444,5,FALSE)),
IF(AND($Q$1=TRUE,$S$1=TRUE,$S$4=TRUE)=TRUE,IF(OR($Q$4=TRUE,$Q$5=TRUE,$S$2=TRUE),VLOOKUP($G438,'KO Calc'!$H:$AW,20,FALSE),VLOOKUP($G438,'KO Calc'!$H444:$AW444,20,FALSE)),IF(AND($Q$1=TRUE,$S$4=TRUE),IF(OR($Q$4=TRUE,$Q$5=TRUE,$S$2=TRUE),VLOOKUP($G438,'KO Calc'!$H:$AW,10,FALSE),VLOOKUP($G438,'KO Calc'!$H444:$AW444,10,FALSE)),
IF(AND($S$3=TRUE,$S$1=TRUE,$S$4=FALSE)=TRUE,IF(OR($Q$4=TRUE,$Q$5=TRUE,$S$2=TRUE),VLOOKUP($G438,'KO Calc'!$H:$AW,35,FALSE),VLOOKUP($G438,'KO Calc'!$H444:$AW444,35,FALSE)),IF(AND($S$3=TRUE,$S$4=FALSE),IF(OR($Q$4=TRUE,$Q$5=TRUE,$S$2=TRUE),VLOOKUP($G438,'KO Calc'!$H:$AW,25,FALSE),VLOOKUP($G438,'KO Calc'!$H444:$AW444,25,FALSE)),
IF(AND($S$3=TRUE,$S$1=TRUE,$S$4=TRUE)=TRUE,IF(OR($Q$4=TRUE,$Q$5=TRUE,$S$2=TRUE),VLOOKUP($G438,'KO Calc'!$H:$AW,40,FALSE),VLOOKUP($G438,'KO Calc'!$H444:$AW444,40,FALSE)),IF(AND($S$3=TRUE,$S$4=TRUE),IF(OR($Q$4=TRUE,$Q$5=TRUE,$S$2=TRUE),VLOOKUP($G438,'KO Calc'!$H:$AW,30,FALSE),VLOOKUP($G438,'KO Calc'!$H444:$AW444,30,FALSE)))))))))))))</f>
        <v>-</v>
      </c>
      <c r="L438" s="36" t="str">
        <f>IFERROR(IF(AND($Q$1=FALSE,$S$3=FALSE),"-",VLOOKUP($E438,'Status Thresholds'!$E:$AU,43,FALSE)),"-")</f>
        <v>-</v>
      </c>
      <c r="M438" s="36" t="str">
        <f>IFERROR(IF(AND($Q$1=FALSE,$S$3=FALSE),"-",VLOOKUP($E438,'Status Thresholds'!$E:$AU,41,FALSE)),"-")</f>
        <v>-</v>
      </c>
      <c r="N438" s="36" t="str">
        <f>IFERROR(IF(AND($Q$1=FALSE,$S$3=FALSE),"-",VLOOKUP($E438,'Status Thresholds'!$E:$AU,42,FALSE)),"-")</f>
        <v>-</v>
      </c>
    </row>
    <row r="439" spans="1:14" x14ac:dyDescent="0.25">
      <c r="B439" s="64" t="str">
        <f>VLOOKUP(C439,'Status Thresholds'!B:C,2,FALSE)</f>
        <v>MHGen</v>
      </c>
      <c r="C439" s="46" t="str">
        <f>IF(ISBLANK('KO Calc'!C435)=TRUE,"",'KO Calc'!C435)</f>
        <v>Kecha Wacha</v>
      </c>
      <c r="D439" s="78"/>
      <c r="E439" s="62" t="str">
        <f t="shared" si="13"/>
        <v>Kecha Wacha</v>
      </c>
      <c r="F439" t="s">
        <v>11</v>
      </c>
      <c r="G439" s="36" t="str">
        <f t="shared" si="14"/>
        <v>Kecha WachaCrag 1</v>
      </c>
      <c r="H439" s="36" t="str">
        <f>IF(AND($Q$1=FALSE,$S$3=FALSE),"-",IF(AND($Q$1=TRUE,$S$3=TRUE),"-",IF(AND($Q$1=FALSE,$S$3=FALSE),"-",IF(AND($Q$1=TRUE,$S$1=TRUE,$S$4=FALSE)=TRUE,IF(OR($Q$4=TRUE,$Q$5=TRUE,$S$2=TRUE),VLOOKUP($G439,'KO Calc'!$H:$AW,12,FALSE),VLOOKUP($G439,'KO Calc'!$H445:$AW445,12,FALSE)),IF(AND($Q$1=TRUE,$S$4=FALSE),IF(OR($Q$4=TRUE,$Q$5=TRUE,$S$2=TRUE),VLOOKUP($G439,'KO Calc'!$H:$AW,2,FALSE),VLOOKUP($G439,'KO Calc'!$H445:$AW445,2,FALSE)),
IF(AND($Q$1=TRUE,$S$1=TRUE,$S$4=TRUE)=TRUE,IF(OR($Q$4=TRUE,$Q$5=TRUE,$S$2=TRUE),VLOOKUP($G439,'KO Calc'!$H:$AW,17,FALSE),VLOOKUP($G439,'KO Calc'!$H445:$AW445,17,FALSE)),IF(AND($Q$1=TRUE,$S$4=TRUE),IF(OR($Q$4=TRUE,$Q$5=TRUE,$S$2=TRUE),VLOOKUP($G439,'KO Calc'!$H:$AW,7,FALSE),VLOOKUP($G439,'KO Calc'!$H445:$AW445,7,FALSE)),
IF(AND($S$3=TRUE,$S$1=TRUE,$S$4=FALSE)=TRUE,IF(OR($Q$4=TRUE,$Q$5=TRUE,$S$2=TRUE),VLOOKUP($G439,'KO Calc'!$H:$AW,32,FALSE),VLOOKUP($G439,'KO Calc'!$H445:$AW445,32,FALSE)),IF(AND($S$3=TRUE,$S$4=FALSE),IF(OR($Q$4=TRUE,$Q$5=TRUE,$S$2=TRUE),VLOOKUP($G439,'KO Calc'!$H:$AW,22,FALSE),VLOOKUP($G439,'KO Calc'!$H445:$AW445,22,FALSE)),
IF(AND($S$3=TRUE,$S$1=TRUE,$S$4=TRUE)=TRUE,IF(OR($Q$4=TRUE,$Q$5=TRUE,$S$2=TRUE),VLOOKUP($G439,'KO Calc'!$H:$AW,37,FALSE),VLOOKUP($G439,'KO Calc'!$H445:$AW445,37,FALSE)),IF(AND($S$3=TRUE,$S$4=TRUE),IF(OR($Q$4=TRUE,$Q$5=TRUE,$S$2=TRUE),VLOOKUP($G439,'KO Calc'!$H:$AW,27,FALSE),VLOOKUP($G439,'KO Calc'!$H445:$AW445,27,FALSE)))))))))))))</f>
        <v>-</v>
      </c>
      <c r="I439" s="36" t="str">
        <f>IF(AND($Q$1=FALSE,$S$3=FALSE),"-",IF(AND($Q$1=TRUE,$S$3=TRUE),"-",IF(AND($Q$1=FALSE,$S$3=FALSE),"-",IF(AND($Q$1=TRUE,$S$1=TRUE,$S$4=FALSE)=TRUE,IF(OR($Q$4=TRUE,$Q$5=TRUE,$S$2=TRUE),VLOOKUP($G439,'KO Calc'!$H:$AW,13,FALSE),VLOOKUP($G439,'KO Calc'!$H445:$AW445,13,FALSE)),IF(AND($Q$1=TRUE,$S$4=FALSE),IF(OR($Q$4=TRUE,$Q$5=TRUE,$S$2=TRUE),VLOOKUP($G439,'KO Calc'!$H:$AW,3,FALSE),VLOOKUP($G439,'KO Calc'!$H445:$AW445,3,FALSE)),
IF(AND($Q$1=TRUE,$S$1=TRUE,$S$4=TRUE)=TRUE,IF(OR($Q$4=TRUE,$Q$5=TRUE,$S$2=TRUE),VLOOKUP($G439,'KO Calc'!$H:$AW,18,FALSE),VLOOKUP($G439,'KO Calc'!$H445:$AW445,18,FALSE)),IF(AND($Q$1=TRUE,$S$4=TRUE),IF(OR($Q$4=TRUE,$Q$5=TRUE,$S$2=TRUE),VLOOKUP($G439,'KO Calc'!$H:$AW,8,FALSE),VLOOKUP($G439,'KO Calc'!$H445:$AW445,8,FALSE)),
IF(AND($S$3=TRUE,$S$1=TRUE,$S$4=FALSE)=TRUE,IF(OR($Q$4=TRUE,$Q$5=TRUE,$S$2=TRUE),VLOOKUP($G439,'KO Calc'!$H:$AW,33,FALSE),VLOOKUP($G439,'KO Calc'!$H445:$AW445,33,FALSE)),IF(AND($S$3=TRUE,$S$4=FALSE),IF(OR($Q$4=TRUE,$Q$5=TRUE,$S$2=TRUE),VLOOKUP($G439,'KO Calc'!$H:$AW,23,FALSE),VLOOKUP($G439,'KO Calc'!$H445:$AW445,23,FALSE)),
IF(AND($S$3=TRUE,$S$1=TRUE,$S$4=TRUE)=TRUE,IF(OR($Q$4=TRUE,$Q$5=TRUE,$S$2=TRUE),VLOOKUP($G439,'KO Calc'!$H:$AW,38,FALSE),VLOOKUP($G439,'KO Calc'!$H445:$AW445,38,FALSE)),IF(AND($S$3=TRUE,$S$4=TRUE),IF(OR($Q$4=TRUE,$Q$5=TRUE,$S$2=TRUE),VLOOKUP($G439,'KO Calc'!$H:$AW,28,FALSE),VLOOKUP($G439,'KO Calc'!$H445:$AW445,28,FALSE)))))))))))))</f>
        <v>-</v>
      </c>
      <c r="J439" s="36" t="str">
        <f>IF(AND($Q$1=FALSE,$S$3=FALSE),"-",IF(AND($Q$1=TRUE,$S$3=TRUE),"-",IF(AND($Q$1=FALSE,$S$3=FALSE),"-",IF(AND($Q$1=TRUE,$S$1=TRUE,$S$4=FALSE)=TRUE,IF(OR($Q$4=TRUE,$Q$5=TRUE,$S$2=TRUE),VLOOKUP($G439,'KO Calc'!$H:$AW,FALSE),VLOOKUP($G439,'KO Calc'!$H445:$AW445,14,FALSE)),IF(AND($Q$1=TRUE,$S$4=FALSE),IF(OR($Q$4=TRUE,$Q$5=TRUE,$S$2=TRUE),VLOOKUP($G439,'KO Calc'!$H:$AW,4,FALSE),VLOOKUP($G439,'KO Calc'!$H445:$AW445,4,FALSE)),
IF(AND($Q$1=TRUE,$S$1=TRUE,$S$4=TRUE)=TRUE,IF(OR($Q$4=TRUE,$Q$5=TRUE,$S$2=TRUE),VLOOKUP($G439,'KO Calc'!$H:$AW,19,FALSE),VLOOKUP($G439,'KO Calc'!$H445:$AW445,19,FALSE)),IF(AND($Q$1=TRUE,$S$4=TRUE),IF(OR($Q$4=TRUE,$Q$5=TRUE,$S$2=TRUE),VLOOKUP($G439,'KO Calc'!$H:$AW,9,FALSE),VLOOKUP($G439,'KO Calc'!$H445:$AW445,9,FALSE)),
IF(AND($S$3=TRUE,$S$1=TRUE,$S$4=FALSE)=TRUE,IF(OR($Q$4=TRUE,$Q$5=TRUE,$S$2=TRUE),VLOOKUP($G439,'KO Calc'!$H:$AW,34,FALSE),VLOOKUP($G439,'KO Calc'!$H445:$AW445,34,FALSE)),IF(AND($S$3=TRUE,$S$4=FALSE),IF(OR($Q$4=TRUE,$Q$5=TRUE,$S$2=TRUE),VLOOKUP($G439,'KO Calc'!$H:$AW,24,FALSE),VLOOKUP($G439,'KO Calc'!$H445:$AW445,24,FALSE)),
IF(AND($S$3=TRUE,$S$1=TRUE,$S$4=TRUE)=TRUE,IF(OR($Q$4=TRUE,$Q$5=TRUE,$S$2=TRUE),VLOOKUP($G439,'KO Calc'!$H:$AW,39,FALSE),VLOOKUP($G439,'KO Calc'!$H445:$AW445,39,FALSE)),IF(AND($S$3=TRUE,$S$4=TRUE),IF(OR($Q$4=TRUE,$Q$5=TRUE,$S$2=TRUE),VLOOKUP($G439,'KO Calc'!$H:$AW,29,FALSE),VLOOKUP($G439,'KO Calc'!$H445:$AW445,29,FALSE)))))))))))))</f>
        <v>-</v>
      </c>
      <c r="K439" s="36" t="str">
        <f>IF(AND($Q$1=FALSE,$S$3=FALSE),"-",IF(AND($Q$1=TRUE,$S$3=TRUE),"-",IF(AND($Q$1=FALSE,$S$3=FALSE),"-",IF(AND($Q$1=TRUE,$S$1=TRUE,$S$4=FALSE)=TRUE,IF(OR($Q$4=TRUE,$Q$5=TRUE,$S$2=TRUE),VLOOKUP($G439,'KO Calc'!$H:$AW,15,FALSE),VLOOKUP($G439,'KO Calc'!$H445:$AW445,15,FALSE)),IF(AND($Q$1=TRUE,$S$4=FALSE),IF(OR($Q$4=TRUE,$Q$5=TRUE,$S$2=TRUE),VLOOKUP($G439,'KO Calc'!$H:$AW,5,FALSE),VLOOKUP($G439,'KO Calc'!$H445:$AW445,5,FALSE)),
IF(AND($Q$1=TRUE,$S$1=TRUE,$S$4=TRUE)=TRUE,IF(OR($Q$4=TRUE,$Q$5=TRUE,$S$2=TRUE),VLOOKUP($G439,'KO Calc'!$H:$AW,20,FALSE),VLOOKUP($G439,'KO Calc'!$H445:$AW445,20,FALSE)),IF(AND($Q$1=TRUE,$S$4=TRUE),IF(OR($Q$4=TRUE,$Q$5=TRUE,$S$2=TRUE),VLOOKUP($G439,'KO Calc'!$H:$AW,10,FALSE),VLOOKUP($G439,'KO Calc'!$H445:$AW445,10,FALSE)),
IF(AND($S$3=TRUE,$S$1=TRUE,$S$4=FALSE)=TRUE,IF(OR($Q$4=TRUE,$Q$5=TRUE,$S$2=TRUE),VLOOKUP($G439,'KO Calc'!$H:$AW,35,FALSE),VLOOKUP($G439,'KO Calc'!$H445:$AW445,35,FALSE)),IF(AND($S$3=TRUE,$S$4=FALSE),IF(OR($Q$4=TRUE,$Q$5=TRUE,$S$2=TRUE),VLOOKUP($G439,'KO Calc'!$H:$AW,25,FALSE),VLOOKUP($G439,'KO Calc'!$H445:$AW445,25,FALSE)),
IF(AND($S$3=TRUE,$S$1=TRUE,$S$4=TRUE)=TRUE,IF(OR($Q$4=TRUE,$Q$5=TRUE,$S$2=TRUE),VLOOKUP($G439,'KO Calc'!$H:$AW,40,FALSE),VLOOKUP($G439,'KO Calc'!$H445:$AW445,40,FALSE)),IF(AND($S$3=TRUE,$S$4=TRUE),IF(OR($Q$4=TRUE,$Q$5=TRUE,$S$2=TRUE),VLOOKUP($G439,'KO Calc'!$H:$AW,30,FALSE),VLOOKUP($G439,'KO Calc'!$H445:$AW445,30,FALSE)))))))))))))</f>
        <v>-</v>
      </c>
      <c r="L439" s="36" t="str">
        <f>IFERROR(VLOOKUP($E439,'Status Thresholds'!$E:$AS,41,FALSE),"-")</f>
        <v>-</v>
      </c>
    </row>
    <row r="440" spans="1:14" x14ac:dyDescent="0.25">
      <c r="B440" s="64" t="str">
        <f>VLOOKUP(C440,'Status Thresholds'!B:C,2,FALSE)</f>
        <v>MHGen</v>
      </c>
      <c r="C440" s="46" t="str">
        <f>IF(ISBLANK('KO Calc'!C436)=TRUE,"",'KO Calc'!C436)</f>
        <v>Kecha Wacha</v>
      </c>
      <c r="D440" s="78"/>
      <c r="E440" s="62"/>
      <c r="G440" s="36"/>
      <c r="L440" s="36" t="str">
        <f>IFERROR(VLOOKUP($E440,'Status Thresholds'!$E:$AS,41,FALSE),"-")</f>
        <v>-</v>
      </c>
    </row>
    <row r="441" spans="1:14" s="36" customFormat="1" x14ac:dyDescent="0.25">
      <c r="B441" s="64" t="str">
        <f>VLOOKUP(C441,'Status Thresholds'!B:C,2,FALSE)</f>
        <v>MHGen</v>
      </c>
      <c r="C441" s="46" t="str">
        <f>IF(ISBLANK('KO Calc'!C437)=TRUE,"",'KO Calc'!C437)</f>
        <v>Khezu</v>
      </c>
      <c r="D441" s="65" t="s">
        <v>0</v>
      </c>
      <c r="E441" s="62" t="str">
        <f t="shared" si="13"/>
        <v>KhezuPara</v>
      </c>
      <c r="F441" s="36" t="s">
        <v>2</v>
      </c>
      <c r="G441" s="36" t="str">
        <f t="shared" si="14"/>
        <v>KhezuPara lvl 2</v>
      </c>
      <c r="H441" s="36" t="str">
        <f>IFERROR(ROUNDUP(IF(AND($Q$1=FALSE,$S$3=FALSE),"-",IF(AND($Q$1=TRUE,$S$3=TRUE),"-",IF(AND($Q$1=TRUE,$S$1=TRUE,$S$4=FALSE),VLOOKUP($E441,'Status Thresholds'!$E:$AS,12,FALSE),IF(AND($Q$1=TRUE,$S$4=FALSE),VLOOKUP($E441,'Status Thresholds'!$E:$AS,2,FALSE), IF(AND($Q$1=TRUE,$S$1=TRUE,$S$4=TRUE),VLOOKUP($E441,'Status Thresholds'!$E:$AS,17,FALSE),IF(AND($Q$1=TRUE,$S$4=TRUE),VLOOKUP($E441,'Status Thresholds'!$E:$AS,7,FALSE),IF(AND($S$3=TRUE,$S$1=TRUE,$S$4=FALSE),VLOOKUP($E441,'Status Thresholds'!$E:$AS,32,FALSE),IF(AND($S$3=TRUE,$S$4=FALSE),VLOOKUP($E441,'Status Thresholds'!$E:$AS,22,FALSE),IF(AND($S$3=TRUE,$S$1=TRUE,$S$4=TRUE),VLOOKUP($E441,'Status Thresholds'!$E:$AS,37,FALSE),IF(AND($S$3=TRUE,$S$4=TRUE),VLOOKUP($E441,'Status Thresholds'!$E:$AS,27,FALSE),""))))))))/IF(OR($Q$3=TRUE,AND($Q$2=TRUE,$Q$7=TRUE),AND($Q$3=TRUE,$Q$7=TRUE))=TRUE,'Shots and Status'!$F$5,IF((OR($Q$2,$Q$7)=TRUE),'Shots and Status'!$D$5,'Shots and Status'!$C$5)))),0),"-")</f>
        <v>-</v>
      </c>
      <c r="I441" s="36" t="str">
        <f>IFERROR(ROUNDUP(IF(AND($Q$1=FALSE,$S$3=FALSE),"-",IF(AND($Q$1=TRUE,$S$3=TRUE),"-",IF(AND($Q$1=TRUE,$S$1=TRUE,$S$4=FALSE),VLOOKUP($E441,'Status Thresholds'!$E:$AS,13,FALSE),IF(AND($Q$1=TRUE,$S$4=FALSE),VLOOKUP($E441,'Status Thresholds'!$E:$AS,3,FALSE), IF(AND($Q$1=TRUE,$S$1=TRUE,$S$4=TRUE),VLOOKUP($E441,'Status Thresholds'!$E:$AS,18,FALSE),IF(AND($Q$1=TRUE,$S$4=TRUE),VLOOKUP($E441,'Status Thresholds'!$E:$AS,8,FALSE),IF(AND($S$3=TRUE,$S$1=TRUE,$S$4=FALSE),VLOOKUP($E441,'Status Thresholds'!$E:$AS,33,FALSE),IF(AND($S$3=TRUE,$S$4=FALSE),VLOOKUP($E441,'Status Thresholds'!$E:$AS,23,FALSE),IF(AND($S$3=TRUE,$S$1=TRUE,$S$4=TRUE),VLOOKUP($E441,'Status Thresholds'!$E:$AS,38,FALSE),IF(AND($S$3=TRUE,$S$4=TRUE),VLOOKUP($E441,'Status Thresholds'!$E:$AS,28,FALSE),""))))))))/IF(OR($Q$3=TRUE,AND($Q$2=TRUE,$Q$7=TRUE),AND($Q$3=TRUE,$Q$7=TRUE))=TRUE,'Shots and Status'!$F$5,IF((OR($Q$2,$Q$7)=TRUE),'Shots and Status'!$D$5,'Shots and Status'!$C$5)))),0),"-")</f>
        <v>-</v>
      </c>
      <c r="J441" s="36" t="str">
        <f>IFERROR(ROUNDUP(IF(AND($Q$1=FALSE,$S$3=FALSE),"-",IF(AND($Q$1=TRUE,$S$3=TRUE),"-",IF(AND($Q$1=TRUE,$S$1=TRUE,$S$4=FALSE),VLOOKUP($E441,'Status Thresholds'!$E:$AS,14,FALSE),IF(AND($Q$1=TRUE,$S$4=FALSE),VLOOKUP($E441,'Status Thresholds'!$E:$AS,4,FALSE), IF(AND($Q$1=TRUE,$S$1=TRUE,$S$4=TRUE),VLOOKUP($E441,'Status Thresholds'!$E:$AS,19,FALSE),IF(AND($Q$1=TRUE,$S$4=TRUE),VLOOKUP($E441,'Status Thresholds'!$E:$AS,9,FALSE),IF(AND($S$3=TRUE,$S$1=TRUE,$S$4=FALSE),VLOOKUP($E441,'Status Thresholds'!$E:$AS,34,FALSE),IF(AND($S$3=TRUE,$S$4=FALSE),VLOOKUP($E441,'Status Thresholds'!$E:$AS,24,FALSE),IF(AND($S$3=TRUE,$S$1=TRUE,$S$4=TRUE),VLOOKUP($E441,'Status Thresholds'!$E:$AS,39,FALSE),IF(AND($S$3=TRUE,$S$4=TRUE),VLOOKUP($E441,'Status Thresholds'!$E:$AS,29,FALSE),""))))))))/IF(OR($Q$3=TRUE,AND($Q$2=TRUE,$Q$7=TRUE),AND($Q$3=TRUE,$Q$7=TRUE))=TRUE,'Shots and Status'!$F$5,IF((OR($Q$2,$Q$7)=TRUE),'Shots and Status'!$D$5,'Shots and Status'!$C$5)))),0),"-")</f>
        <v>-</v>
      </c>
      <c r="K441" s="36" t="str">
        <f>IFERROR(ROUNDUP(IF(AND($Q$1=FALSE,$S$3=FALSE),"-",IF(AND($Q$1=TRUE,$S$3=TRUE),"-",IF(AND($Q$1=TRUE,$S$1=TRUE,$S$4=FALSE),VLOOKUP($E441,'Status Thresholds'!$E:$AS,15,FALSE),IF(AND($Q$1=TRUE,$S$4=FALSE),VLOOKUP($E441,'Status Thresholds'!$E:$AS,5,FALSE), IF(AND($Q$1=TRUE,$S$1=TRUE,$S$4=TRUE),VLOOKUP($E441,'Status Thresholds'!$E:$AS,20,FALSE),IF(AND($Q$1=TRUE,$S$4=TRUE),VLOOKUP($E441,'Status Thresholds'!$E:$AS,10,FALSE),IF(AND($S$3=TRUE,$S$1=TRUE,$S$4=FALSE),VLOOKUP($E441,'Status Thresholds'!$E:$AS,35,FALSE),IF(AND($S$3=TRUE,$S$4=FALSE),VLOOKUP($E441,'Status Thresholds'!$E:$AS,25,FALSE),IF(AND($S$3=TRUE,$S$1=TRUE,$S$4=TRUE),VLOOKUP($E441,'Status Thresholds'!$E:$AS,40,FALSE),IF(AND($S$3=TRUE,$S$4=TRUE),VLOOKUP($E441,'Status Thresholds'!$E:$AS,30,FALSE),""))))))))/IF(OR($Q$3=TRUE,AND($Q$2=TRUE,$Q$7=TRUE),AND($Q$3=TRUE,$Q$7=TRUE))=TRUE,'Shots and Status'!$F$5,IF((OR($Q$2,$Q$7)=TRUE),'Shots and Status'!$D$5,'Shots and Status'!$C$5)))),0),"-")</f>
        <v>-</v>
      </c>
      <c r="L441" s="36" t="str">
        <f>IFERROR(IF(AND($Q$1=FALSE,$S$3=FALSE),"-",VLOOKUP($E441,'Status Thresholds'!$E:$AU,41,FALSE)),"-")</f>
        <v>-</v>
      </c>
      <c r="M441" s="36" t="str">
        <f>IFERROR(IF(AND($Q$1=FALSE,$S$3=FALSE),"-",VLOOKUP($E441,'Status Thresholds'!$E:$AU,42,FALSE)),"-")</f>
        <v>-</v>
      </c>
      <c r="N441" s="36" t="str">
        <f>IFERROR(IF(AND($Q$1=FALSE,$S$3=FALSE),"-",VLOOKUP($E441,'Status Thresholds'!$E:$AU,43,FALSE)),"-")</f>
        <v>-</v>
      </c>
    </row>
    <row r="442" spans="1:14" s="59" customFormat="1" x14ac:dyDescent="0.25">
      <c r="A442" s="46"/>
      <c r="B442" s="64" t="str">
        <f>VLOOKUP(C442,'Status Thresholds'!B:C,2,FALSE)</f>
        <v>MHGen</v>
      </c>
      <c r="C442" s="46" t="str">
        <f>IF(ISBLANK('KO Calc'!C438)=TRUE,"",'KO Calc'!C438)</f>
        <v>Khezu</v>
      </c>
      <c r="D442" s="60" t="s">
        <v>32</v>
      </c>
      <c r="E442" s="62" t="str">
        <f t="shared" si="13"/>
        <v>KhezuSleep</v>
      </c>
      <c r="F442" s="59" t="s">
        <v>5</v>
      </c>
      <c r="G442" s="36" t="str">
        <f t="shared" si="14"/>
        <v>KhezuSleep lvl 2</v>
      </c>
      <c r="H442" s="36" t="str">
        <f>IFERROR(ROUNDUP(IF(AND($Q$1=FALSE,$S$3=FALSE),"-",IF(AND($Q$1=TRUE,$S$3=TRUE),"-",IF(AND($Q$1=TRUE,$S$1=TRUE,$S$4=FALSE),VLOOKUP($E442,'Status Thresholds'!$E:$AS,12,FALSE),IF(AND($Q$1=TRUE,$S$4=FALSE),VLOOKUP($E442,'Status Thresholds'!$E:$AS,2,FALSE), IF(AND($Q$1=TRUE,$S$1=TRUE,$S$4=TRUE),VLOOKUP($E442,'Status Thresholds'!$E:$AS,17,FALSE),IF(AND($Q$1=TRUE,$S$4=TRUE),VLOOKUP($E442,'Status Thresholds'!$E:$AS,7,FALSE),IF(AND($S$3=TRUE,$S$1=TRUE,$S$4=FALSE),VLOOKUP($E442,'Status Thresholds'!$E:$AS,32,FALSE),IF(AND($S$3=TRUE,$S$4=FALSE),VLOOKUP($E442,'Status Thresholds'!$E:$AS,22,FALSE),IF(AND($S$3=TRUE,$S$1=TRUE,$S$4=TRUE),VLOOKUP($E442,'Status Thresholds'!$E:$AS,37,FALSE),IF(AND($S$3=TRUE,$S$4=TRUE),VLOOKUP($E442,'Status Thresholds'!$E:$AS,27,FALSE),""))))))))/IF(OR($Q$3=TRUE,AND($Q$2=TRUE,$Q$7=TRUE),AND($Q$3=TRUE,$Q$7=TRUE))=TRUE,'Shots and Status'!$F$5,IF((OR($Q$2,$Q$7)=TRUE),'Shots and Status'!$D$5,'Shots and Status'!$C$5)))),0),"-")</f>
        <v>-</v>
      </c>
      <c r="I442" s="36" t="str">
        <f>IFERROR(ROUNDUP(IF(AND($Q$1=FALSE,$S$3=FALSE),"-",IF(AND($Q$1=TRUE,$S$3=TRUE),"-",IF(AND($Q$1=TRUE,$S$1=TRUE,$S$4=FALSE),VLOOKUP($E442,'Status Thresholds'!$E:$AS,13,FALSE),IF(AND($Q$1=TRUE,$S$4=FALSE),VLOOKUP($E442,'Status Thresholds'!$E:$AS,3,FALSE), IF(AND($Q$1=TRUE,$S$1=TRUE,$S$4=TRUE),VLOOKUP($E442,'Status Thresholds'!$E:$AS,18,FALSE),IF(AND($Q$1=TRUE,$S$4=TRUE),VLOOKUP($E442,'Status Thresholds'!$E:$AS,8,FALSE),IF(AND($S$3=TRUE,$S$1=TRUE,$S$4=FALSE),VLOOKUP($E442,'Status Thresholds'!$E:$AS,33,FALSE),IF(AND($S$3=TRUE,$S$4=FALSE),VLOOKUP($E442,'Status Thresholds'!$E:$AS,23,FALSE),IF(AND($S$3=TRUE,$S$1=TRUE,$S$4=TRUE),VLOOKUP($E442,'Status Thresholds'!$E:$AS,38,FALSE),IF(AND($S$3=TRUE,$S$4=TRUE),VLOOKUP($E442,'Status Thresholds'!$E:$AS,28,FALSE),""))))))))/IF(OR($Q$3=TRUE,AND($Q$2=TRUE,$Q$7=TRUE),AND($Q$3=TRUE,$Q$7=TRUE))=TRUE,'Shots and Status'!$F$5,IF((OR($Q$2,$Q$7)=TRUE),'Shots and Status'!$D$5,'Shots and Status'!$C$5)))),0),"-")</f>
        <v>-</v>
      </c>
      <c r="J442" s="36" t="str">
        <f>IFERROR(ROUNDUP(IF(AND($Q$1=FALSE,$S$3=FALSE),"-",IF(AND($Q$1=TRUE,$S$3=TRUE),"-",IF(AND($Q$1=TRUE,$S$1=TRUE,$S$4=FALSE),VLOOKUP($E442,'Status Thresholds'!$E:$AS,14,FALSE),IF(AND($Q$1=TRUE,$S$4=FALSE),VLOOKUP($E442,'Status Thresholds'!$E:$AS,4,FALSE), IF(AND($Q$1=TRUE,$S$1=TRUE,$S$4=TRUE),VLOOKUP($E442,'Status Thresholds'!$E:$AS,19,FALSE),IF(AND($Q$1=TRUE,$S$4=TRUE),VLOOKUP($E442,'Status Thresholds'!$E:$AS,9,FALSE),IF(AND($S$3=TRUE,$S$1=TRUE,$S$4=FALSE),VLOOKUP($E442,'Status Thresholds'!$E:$AS,34,FALSE),IF(AND($S$3=TRUE,$S$4=FALSE),VLOOKUP($E442,'Status Thresholds'!$E:$AS,24,FALSE),IF(AND($S$3=TRUE,$S$1=TRUE,$S$4=TRUE),VLOOKUP($E442,'Status Thresholds'!$E:$AS,39,FALSE),IF(AND($S$3=TRUE,$S$4=TRUE),VLOOKUP($E442,'Status Thresholds'!$E:$AS,29,FALSE),""))))))))/IF(OR($Q$3=TRUE,AND($Q$2=TRUE,$Q$7=TRUE),AND($Q$3=TRUE,$Q$7=TRUE))=TRUE,'Shots and Status'!$F$5,IF((OR($Q$2,$Q$7)=TRUE),'Shots and Status'!$D$5,'Shots and Status'!$C$5)))),0),"-")</f>
        <v>-</v>
      </c>
      <c r="K442" s="36" t="str">
        <f>IFERROR(ROUNDUP(IF(AND($Q$1=FALSE,$S$3=FALSE),"-",IF(AND($Q$1=TRUE,$S$3=TRUE),"-",IF(AND($Q$1=TRUE,$S$1=TRUE,$S$4=FALSE),VLOOKUP($E442,'Status Thresholds'!$E:$AS,15,FALSE),IF(AND($Q$1=TRUE,$S$4=FALSE),VLOOKUP($E442,'Status Thresholds'!$E:$AS,5,FALSE), IF(AND($Q$1=TRUE,$S$1=TRUE,$S$4=TRUE),VLOOKUP($E442,'Status Thresholds'!$E:$AS,20,FALSE),IF(AND($Q$1=TRUE,$S$4=TRUE),VLOOKUP($E442,'Status Thresholds'!$E:$AS,10,FALSE),IF(AND($S$3=TRUE,$S$1=TRUE,$S$4=FALSE),VLOOKUP($E442,'Status Thresholds'!$E:$AS,35,FALSE),IF(AND($S$3=TRUE,$S$4=FALSE),VLOOKUP($E442,'Status Thresholds'!$E:$AS,25,FALSE),IF(AND($S$3=TRUE,$S$1=TRUE,$S$4=TRUE),VLOOKUP($E442,'Status Thresholds'!$E:$AS,40,FALSE),IF(AND($S$3=TRUE,$S$4=TRUE),VLOOKUP($E442,'Status Thresholds'!$E:$AS,30,FALSE),""))))))))/IF(OR($Q$3=TRUE,AND($Q$2=TRUE,$Q$7=TRUE),AND($Q$3=TRUE,$Q$7=TRUE))=TRUE,'Shots and Status'!$F$5,IF((OR($Q$2,$Q$7)=TRUE),'Shots and Status'!$D$5,'Shots and Status'!$C$5)))),0),"-")</f>
        <v>-</v>
      </c>
      <c r="L442" s="36" t="str">
        <f>IFERROR(IF(AND($Q$1=FALSE,$S$3=FALSE),"-",VLOOKUP($E442,'Status Thresholds'!$E:$AU,41,FALSE)),"-")</f>
        <v>-</v>
      </c>
      <c r="M442" s="36" t="str">
        <f>IFERROR(IF(AND($Q$1=FALSE,$S$3=FALSE),"-",VLOOKUP($E442,'Status Thresholds'!$E:$AU,42,FALSE)),"-")</f>
        <v>-</v>
      </c>
      <c r="N442" s="36" t="str">
        <f>IFERROR(IF(AND($Q$1=FALSE,$S$3=FALSE),"-",VLOOKUP($E442,'Status Thresholds'!$E:$AU,43,FALSE)),"-")</f>
        <v>-</v>
      </c>
    </row>
    <row r="443" spans="1:14" s="59" customFormat="1" x14ac:dyDescent="0.25">
      <c r="A443" s="46"/>
      <c r="B443" s="64" t="str">
        <f>VLOOKUP(C443,'Status Thresholds'!B:C,2,FALSE)</f>
        <v>MHGen</v>
      </c>
      <c r="C443" s="46" t="str">
        <f>IF(ISBLANK('KO Calc'!C439)=TRUE,"",'KO Calc'!C439)</f>
        <v>Khezu</v>
      </c>
      <c r="D443" s="58" t="s">
        <v>33</v>
      </c>
      <c r="E443" s="62" t="str">
        <f t="shared" si="13"/>
        <v>KhezuPoison</v>
      </c>
      <c r="F443" s="59" t="s">
        <v>6</v>
      </c>
      <c r="G443" s="36" t="str">
        <f t="shared" si="14"/>
        <v>KhezuPoison lvl 2</v>
      </c>
      <c r="H443" s="36" t="str">
        <f>IFERROR(ROUNDUP(IF(AND($Q$1=FALSE,$S$3=FALSE),"-",IF(AND($Q$1=TRUE,$S$3=TRUE),"-",IF(AND($Q$1=TRUE,$S$1=TRUE,$S$4=FALSE),VLOOKUP($E443,'Status Thresholds'!$E:$AS,12,FALSE),IF(AND($Q$1=TRUE,$S$4=FALSE),VLOOKUP($E443,'Status Thresholds'!$E:$AS,2,FALSE), IF(AND($Q$1=TRUE,$S$1=TRUE,$S$4=TRUE),VLOOKUP($E443,'Status Thresholds'!$E:$AS,17,FALSE),IF(AND($Q$1=TRUE,$S$4=TRUE),VLOOKUP($E443,'Status Thresholds'!$E:$AS,7,FALSE),IF(AND($S$3=TRUE,$S$1=TRUE,$S$4=FALSE),VLOOKUP($E443,'Status Thresholds'!$E:$AS,32,FALSE),IF(AND($S$3=TRUE,$S$4=FALSE),VLOOKUP($E443,'Status Thresholds'!$E:$AS,22,FALSE),IF(AND($S$3=TRUE,$S$1=TRUE,$S$4=TRUE),VLOOKUP($E443,'Status Thresholds'!$E:$AS,37,FALSE),IF(AND($S$3=TRUE,$S$4=TRUE),VLOOKUP($E443,'Status Thresholds'!$E:$AS,27,FALSE),""))))))))/IF(OR($Q$3=TRUE,AND($Q$2=TRUE,$Q$7=TRUE),AND($Q$3=TRUE,$Q$7=TRUE))=TRUE,'Shots and Status'!$F$5,IF((OR($Q$2,$Q$7)=TRUE),'Shots and Status'!$D$5,'Shots and Status'!$C$5)))),0),"-")</f>
        <v>-</v>
      </c>
      <c r="I443" s="36" t="str">
        <f>IFERROR(ROUNDUP(IF(AND($Q$1=FALSE,$S$3=FALSE),"-",IF(AND($Q$1=TRUE,$S$3=TRUE),"-",IF(AND($Q$1=TRUE,$S$1=TRUE,$S$4=FALSE),VLOOKUP($E443,'Status Thresholds'!$E:$AS,13,FALSE),IF(AND($Q$1=TRUE,$S$4=FALSE),VLOOKUP($E443,'Status Thresholds'!$E:$AS,3,FALSE), IF(AND($Q$1=TRUE,$S$1=TRUE,$S$4=TRUE),VLOOKUP($E443,'Status Thresholds'!$E:$AS,18,FALSE),IF(AND($Q$1=TRUE,$S$4=TRUE),VLOOKUP($E443,'Status Thresholds'!$E:$AS,8,FALSE),IF(AND($S$3=TRUE,$S$1=TRUE,$S$4=FALSE),VLOOKUP($E443,'Status Thresholds'!$E:$AS,33,FALSE),IF(AND($S$3=TRUE,$S$4=FALSE),VLOOKUP($E443,'Status Thresholds'!$E:$AS,23,FALSE),IF(AND($S$3=TRUE,$S$1=TRUE,$S$4=TRUE),VLOOKUP($E443,'Status Thresholds'!$E:$AS,38,FALSE),IF(AND($S$3=TRUE,$S$4=TRUE),VLOOKUP($E443,'Status Thresholds'!$E:$AS,28,FALSE),""))))))))/IF(OR($Q$3=TRUE,AND($Q$2=TRUE,$Q$7=TRUE),AND($Q$3=TRUE,$Q$7=TRUE))=TRUE,'Shots and Status'!$F$5,IF((OR($Q$2,$Q$7)=TRUE),'Shots and Status'!$D$5,'Shots and Status'!$C$5)))),0),"-")</f>
        <v>-</v>
      </c>
      <c r="J443" s="36" t="str">
        <f>IFERROR(ROUNDUP(IF(AND($Q$1=FALSE,$S$3=FALSE),"-",IF(AND($Q$1=TRUE,$S$3=TRUE),"-",IF(AND($Q$1=TRUE,$S$1=TRUE,$S$4=FALSE),VLOOKUP($E443,'Status Thresholds'!$E:$AS,14,FALSE),IF(AND($Q$1=TRUE,$S$4=FALSE),VLOOKUP($E443,'Status Thresholds'!$E:$AS,4,FALSE), IF(AND($Q$1=TRUE,$S$1=TRUE,$S$4=TRUE),VLOOKUP($E443,'Status Thresholds'!$E:$AS,19,FALSE),IF(AND($Q$1=TRUE,$S$4=TRUE),VLOOKUP($E443,'Status Thresholds'!$E:$AS,9,FALSE),IF(AND($S$3=TRUE,$S$1=TRUE,$S$4=FALSE),VLOOKUP($E443,'Status Thresholds'!$E:$AS,34,FALSE),IF(AND($S$3=TRUE,$S$4=FALSE),VLOOKUP($E443,'Status Thresholds'!$E:$AS,24,FALSE),IF(AND($S$3=TRUE,$S$1=TRUE,$S$4=TRUE),VLOOKUP($E443,'Status Thresholds'!$E:$AS,39,FALSE),IF(AND($S$3=TRUE,$S$4=TRUE),VLOOKUP($E443,'Status Thresholds'!$E:$AS,29,FALSE),""))))))))/IF(OR($Q$3=TRUE,AND($Q$2=TRUE,$Q$7=TRUE),AND($Q$3=TRUE,$Q$7=TRUE))=TRUE,'Shots and Status'!$F$5,IF((OR($Q$2,$Q$7)=TRUE),'Shots and Status'!$D$5,'Shots and Status'!$C$5)))),0),"-")</f>
        <v>-</v>
      </c>
      <c r="K443" s="36" t="str">
        <f>IFERROR(ROUNDUP(IF(AND($Q$1=FALSE,$S$3=FALSE),"-",IF(AND($Q$1=TRUE,$S$3=TRUE),"-",IF(AND($Q$1=TRUE,$S$1=TRUE,$S$4=FALSE),VLOOKUP($E443,'Status Thresholds'!$E:$AS,15,FALSE),IF(AND($Q$1=TRUE,$S$4=FALSE),VLOOKUP($E443,'Status Thresholds'!$E:$AS,5,FALSE), IF(AND($Q$1=TRUE,$S$1=TRUE,$S$4=TRUE),VLOOKUP($E443,'Status Thresholds'!$E:$AS,20,FALSE),IF(AND($Q$1=TRUE,$S$4=TRUE),VLOOKUP($E443,'Status Thresholds'!$E:$AS,10,FALSE),IF(AND($S$3=TRUE,$S$1=TRUE,$S$4=FALSE),VLOOKUP($E443,'Status Thresholds'!$E:$AS,35,FALSE),IF(AND($S$3=TRUE,$S$4=FALSE),VLOOKUP($E443,'Status Thresholds'!$E:$AS,25,FALSE),IF(AND($S$3=TRUE,$S$1=TRUE,$S$4=TRUE),VLOOKUP($E443,'Status Thresholds'!$E:$AS,40,FALSE),IF(AND($S$3=TRUE,$S$4=TRUE),VLOOKUP($E443,'Status Thresholds'!$E:$AS,30,FALSE),""))))))))/IF(OR($Q$3=TRUE,AND($Q$2=TRUE,$Q$7=TRUE),AND($Q$3=TRUE,$Q$7=TRUE))=TRUE,'Shots and Status'!$F$5,IF((OR($Q$2,$Q$7)=TRUE),'Shots and Status'!$D$5,'Shots and Status'!$C$5)))),0),"-")</f>
        <v>-</v>
      </c>
      <c r="L443" s="36" t="str">
        <f>IFERROR(IF(AND($Q$1=FALSE,$S$3=FALSE),"-",VLOOKUP($E443,'Status Thresholds'!$E:$AU,41,FALSE)),"-")</f>
        <v>-</v>
      </c>
      <c r="M443" s="36" t="str">
        <f>IFERROR(IF(AND($Q$1=FALSE,$S$3=FALSE),"-",VLOOKUP($E443,'Status Thresholds'!$E:$AU,42,FALSE)),"-")</f>
        <v>-</v>
      </c>
      <c r="N443" s="36" t="str">
        <f>IFERROR(IF(AND($Q$1=FALSE,$S$3=FALSE),"-",VLOOKUP($E443,'Status Thresholds'!$E:$AU,43,FALSE)),"-")</f>
        <v>-</v>
      </c>
    </row>
    <row r="444" spans="1:14" s="36" customFormat="1" x14ac:dyDescent="0.25">
      <c r="A444" s="46"/>
      <c r="B444" s="64" t="str">
        <f>VLOOKUP(C444,'Status Thresholds'!B:C,2,FALSE)</f>
        <v>MHGen</v>
      </c>
      <c r="C444" s="46" t="str">
        <f>IF(ISBLANK('KO Calc'!C440)=TRUE,"",'KO Calc'!C440)</f>
        <v>Khezu</v>
      </c>
      <c r="D444" s="57" t="s">
        <v>22</v>
      </c>
      <c r="E444" s="62" t="str">
        <f t="shared" si="13"/>
        <v>KhezuExhaust</v>
      </c>
      <c r="F444" s="36" t="s">
        <v>8</v>
      </c>
      <c r="G444" s="36" t="str">
        <f t="shared" si="14"/>
        <v>KhezuExhaust lvl 2</v>
      </c>
      <c r="H444" s="36" t="str">
        <f>IFERROR(ROUNDUP(IF(AND($Q$1=FALSE,$S$3=FALSE),"-",IF(AND($Q$1=TRUE,$S$3=TRUE),"-",IF(AND($Q$1=TRUE,$S$1=TRUE,$S$4=FALSE),VLOOKUP($E444,'Status Thresholds'!$E:$AS,12,FALSE),IF(AND($Q$1=TRUE,$S$4=FALSE),VLOOKUP($E444,'Status Thresholds'!$E:$AS,2,FALSE), IF(AND($Q$1=TRUE,$S$1=TRUE,$S$4=TRUE),VLOOKUP($E444,'Status Thresholds'!$E:$AS,17,FALSE),IF(AND($Q$1=TRUE,$S$4=TRUE),VLOOKUP($E444,'Status Thresholds'!$E:$AS,7,FALSE),IF(AND($S$3=TRUE,$S$1=TRUE,$S$4=FALSE),VLOOKUP($E444,'Status Thresholds'!$E:$AS,32,FALSE),IF(AND($S$3=TRUE,$S$4=FALSE),VLOOKUP($E444,'Status Thresholds'!$E:$AS,22,FALSE),IF(AND($S$3=TRUE,$S$1=TRUE,$S$4=TRUE),VLOOKUP($E444,'Status Thresholds'!$E:$AS,37,FALSE),IF(AND($S$3=TRUE,$S$4=TRUE),VLOOKUP($E444,'Status Thresholds'!$E:$AS,27,FALSE),""))))))))/IF(OR($Q$3=TRUE,AND($Q$2=TRUE,$Q$7=TRUE),AND($Q$3=TRUE,$Q$7=TRUE))=TRUE,'Shots and Status'!$F$5,IF((OR($Q$2,$Q$7)=TRUE),'Shots and Status'!$D$5,'Shots and Status'!$C$5)))),0),"-")</f>
        <v>-</v>
      </c>
      <c r="I444" s="36" t="str">
        <f>IFERROR(ROUNDUP(IF(AND($Q$1=FALSE,$S$3=FALSE),"-",IF(AND($Q$1=TRUE,$S$3=TRUE),"-",IF(AND($Q$1=TRUE,$S$1=TRUE,$S$4=FALSE),VLOOKUP($E444,'Status Thresholds'!$E:$AS,13,FALSE),IF(AND($Q$1=TRUE,$S$4=FALSE),VLOOKUP($E444,'Status Thresholds'!$E:$AS,3,FALSE), IF(AND($Q$1=TRUE,$S$1=TRUE,$S$4=TRUE),VLOOKUP($E444,'Status Thresholds'!$E:$AS,18,FALSE),IF(AND($Q$1=TRUE,$S$4=TRUE),VLOOKUP($E444,'Status Thresholds'!$E:$AS,8,FALSE),IF(AND($S$3=TRUE,$S$1=TRUE,$S$4=FALSE),VLOOKUP($E444,'Status Thresholds'!$E:$AS,33,FALSE),IF(AND($S$3=TRUE,$S$4=FALSE),VLOOKUP($E444,'Status Thresholds'!$E:$AS,23,FALSE),IF(AND($S$3=TRUE,$S$1=TRUE,$S$4=TRUE),VLOOKUP($E444,'Status Thresholds'!$E:$AS,38,FALSE),IF(AND($S$3=TRUE,$S$4=TRUE),VLOOKUP($E444,'Status Thresholds'!$E:$AS,28,FALSE),""))))))))/IF(OR($Q$3=TRUE,AND($Q$2=TRUE,$Q$7=TRUE),AND($Q$3=TRUE,$Q$7=TRUE))=TRUE,'Shots and Status'!$F$5,IF((OR($Q$2,$Q$7)=TRUE),'Shots and Status'!$D$5,'Shots and Status'!$C$5)))),0),"-")</f>
        <v>-</v>
      </c>
      <c r="J444" s="36" t="str">
        <f>IFERROR(ROUNDUP(IF(AND($Q$1=FALSE,$S$3=FALSE),"-",IF(AND($Q$1=TRUE,$S$3=TRUE),"-",IF(AND($Q$1=TRUE,$S$1=TRUE,$S$4=FALSE),VLOOKUP($E444,'Status Thresholds'!$E:$AS,14,FALSE),IF(AND($Q$1=TRUE,$S$4=FALSE),VLOOKUP($E444,'Status Thresholds'!$E:$AS,4,FALSE), IF(AND($Q$1=TRUE,$S$1=TRUE,$S$4=TRUE),VLOOKUP($E444,'Status Thresholds'!$E:$AS,19,FALSE),IF(AND($Q$1=TRUE,$S$4=TRUE),VLOOKUP($E444,'Status Thresholds'!$E:$AS,9,FALSE),IF(AND($S$3=TRUE,$S$1=TRUE,$S$4=FALSE),VLOOKUP($E444,'Status Thresholds'!$E:$AS,34,FALSE),IF(AND($S$3=TRUE,$S$4=FALSE),VLOOKUP($E444,'Status Thresholds'!$E:$AS,24,FALSE),IF(AND($S$3=TRUE,$S$1=TRUE,$S$4=TRUE),VLOOKUP($E444,'Status Thresholds'!$E:$AS,39,FALSE),IF(AND($S$3=TRUE,$S$4=TRUE),VLOOKUP($E444,'Status Thresholds'!$E:$AS,29,FALSE),""))))))))/IF(OR($Q$3=TRUE,AND($Q$2=TRUE,$Q$7=TRUE),AND($Q$3=TRUE,$Q$7=TRUE))=TRUE,'Shots and Status'!$F$5,IF((OR($Q$2,$Q$7)=TRUE),'Shots and Status'!$D$5,'Shots and Status'!$C$5)))),0),"-")</f>
        <v>-</v>
      </c>
      <c r="K444" s="36" t="str">
        <f>IFERROR(ROUNDUP(IF(AND($Q$1=FALSE,$S$3=FALSE),"-",IF(AND($Q$1=TRUE,$S$3=TRUE),"-",IF(AND($Q$1=TRUE,$S$1=TRUE,$S$4=FALSE),VLOOKUP($E444,'Status Thresholds'!$E:$AS,15,FALSE),IF(AND($Q$1=TRUE,$S$4=FALSE),VLOOKUP($E444,'Status Thresholds'!$E:$AS,5,FALSE), IF(AND($Q$1=TRUE,$S$1=TRUE,$S$4=TRUE),VLOOKUP($E444,'Status Thresholds'!$E:$AS,20,FALSE),IF(AND($Q$1=TRUE,$S$4=TRUE),VLOOKUP($E444,'Status Thresholds'!$E:$AS,10,FALSE),IF(AND($S$3=TRUE,$S$1=TRUE,$S$4=FALSE),VLOOKUP($E444,'Status Thresholds'!$E:$AS,35,FALSE),IF(AND($S$3=TRUE,$S$4=FALSE),VLOOKUP($E444,'Status Thresholds'!$E:$AS,25,FALSE),IF(AND($S$3=TRUE,$S$1=TRUE,$S$4=TRUE),VLOOKUP($E444,'Status Thresholds'!$E:$AS,40,FALSE),IF(AND($S$3=TRUE,$S$4=TRUE),VLOOKUP($E444,'Status Thresholds'!$E:$AS,30,FALSE),""))))))))/IF(OR($Q$3=TRUE,AND($Q$2=TRUE,$Q$7=TRUE),AND($Q$3=TRUE,$Q$7=TRUE))=TRUE,'Shots and Status'!$F$5,IF((OR($Q$2,$Q$7)=TRUE),'Shots and Status'!$D$5,'Shots and Status'!$C$5)))),0),"-")</f>
        <v>-</v>
      </c>
      <c r="L444" s="36" t="str">
        <f>IFERROR(IF(AND($Q$1=FALSE,$S$3=FALSE),"-",VLOOKUP($E444,'Status Thresholds'!$E:$AU,41,FALSE)),"-")</f>
        <v>-</v>
      </c>
      <c r="M444" s="36" t="str">
        <f>IFERROR(IF(AND($Q$1=FALSE,$S$3=FALSE),"-",VLOOKUP($E444,'Status Thresholds'!$E:$AU,42,FALSE)),"-")</f>
        <v>-</v>
      </c>
      <c r="N444" s="36" t="str">
        <f>IFERROR(IF(AND($Q$1=FALSE,$S$3=FALSE),"-",VLOOKUP($E444,'Status Thresholds'!$E:$AU,43,FALSE)),"-")</f>
        <v>-</v>
      </c>
    </row>
    <row r="445" spans="1:14" s="36" customFormat="1" x14ac:dyDescent="0.25">
      <c r="A445" s="46"/>
      <c r="B445" s="64" t="str">
        <f>VLOOKUP(C445,'Status Thresholds'!B:C,2,FALSE)</f>
        <v>MHGen</v>
      </c>
      <c r="C445" s="46" t="str">
        <f>IF(ISBLANK('KO Calc'!C441)=TRUE,"",'KO Calc'!C441)</f>
        <v>Khezu</v>
      </c>
      <c r="D445" s="67" t="s">
        <v>14</v>
      </c>
      <c r="E445" s="62" t="str">
        <f t="shared" si="13"/>
        <v>KhezuKO</v>
      </c>
      <c r="F445" s="36" t="s">
        <v>21</v>
      </c>
      <c r="G445" s="36" t="str">
        <f t="shared" si="14"/>
        <v>KhezuTriblast</v>
      </c>
      <c r="H445" s="36" t="str">
        <f>IF(AND($Q$1=FALSE,$S$3=FALSE),"-",IF(AND($Q$1=TRUE,$S$3=TRUE),"-",IF(AND($Q$1=FALSE,$S$3=FALSE),"-",IF(AND($Q$1=TRUE,$S$1=TRUE,$S$4=FALSE)=TRUE,IF(OR($Q$4=TRUE,$Q$5=TRUE,$S$2=TRUE),VLOOKUP($G445,'KO Calc'!$H:$AW,12,FALSE),VLOOKUP($G445,'KO Calc'!$H451:$AW451,12,FALSE)),IF(AND($Q$1=TRUE,$S$4=FALSE),IF(OR($Q$4=TRUE,$Q$5=TRUE,$S$2=TRUE),VLOOKUP($G445,'KO Calc'!$H:$AW,2,FALSE),VLOOKUP($G445,'KO Calc'!$H451:$AW451,2,FALSE)),
IF(AND($Q$1=TRUE,$S$1=TRUE,$S$4=TRUE)=TRUE,IF(OR($Q$4=TRUE,$Q$5=TRUE,$S$2=TRUE),VLOOKUP($G445,'KO Calc'!$H:$AW,17,FALSE),VLOOKUP($G445,'KO Calc'!$H451:$AW451,17,FALSE)),IF(AND($Q$1=TRUE,$S$4=TRUE),IF(OR($Q$4=TRUE,$Q$5=TRUE,$S$2=TRUE),VLOOKUP($G445,'KO Calc'!$H:$AW,7,FALSE),VLOOKUP($G445,'KO Calc'!$H451:$AW451,7,FALSE)),
IF(AND($S$3=TRUE,$S$1=TRUE,$S$4=FALSE)=TRUE,IF(OR($Q$4=TRUE,$Q$5=TRUE,$S$2=TRUE),VLOOKUP($G445,'KO Calc'!$H:$AW,32,FALSE),VLOOKUP($G445,'KO Calc'!$H451:$AW451,32,FALSE)),IF(AND($S$3=TRUE,$S$4=FALSE),IF(OR($Q$4=TRUE,$Q$5=TRUE,$S$2=TRUE),VLOOKUP($G445,'KO Calc'!$H:$AW,22,FALSE),VLOOKUP($G445,'KO Calc'!$H451:$AW451,22,FALSE)),
IF(AND($S$3=TRUE,$S$1=TRUE,$S$4=TRUE)=TRUE,IF(OR($Q$4=TRUE,$Q$5=TRUE,$S$2=TRUE),VLOOKUP($G445,'KO Calc'!$H:$AW,37,FALSE),VLOOKUP($G445,'KO Calc'!$H451:$AW451,37,FALSE)),IF(AND($S$3=TRUE,$S$4=TRUE),IF(OR($Q$4=TRUE,$Q$5=TRUE,$S$2=TRUE),VLOOKUP($G445,'KO Calc'!$H:$AW,27,FALSE),VLOOKUP($G445,'KO Calc'!$H451:$AW451,27,FALSE)))))))))))))</f>
        <v>-</v>
      </c>
      <c r="I445" s="36" t="str">
        <f>IF(AND($Q$1=FALSE,$S$3=FALSE),"-",IF(AND($Q$1=TRUE,$S$3=TRUE),"-",IF(AND($Q$1=FALSE,$S$3=FALSE),"-",IF(AND($Q$1=TRUE,$S$1=TRUE,$S$4=FALSE)=TRUE,IF(OR($Q$4=TRUE,$Q$5=TRUE,$S$2=TRUE),VLOOKUP($G445,'KO Calc'!$H:$AW,13,FALSE),VLOOKUP($G445,'KO Calc'!$H451:$AW451,13,FALSE)),IF(AND($Q$1=TRUE,$S$4=FALSE),IF(OR($Q$4=TRUE,$Q$5=TRUE,$S$2=TRUE),VLOOKUP($G445,'KO Calc'!$H:$AW,3,FALSE),VLOOKUP($G445,'KO Calc'!$H451:$AW451,3,FALSE)),
IF(AND($Q$1=TRUE,$S$1=TRUE,$S$4=TRUE)=TRUE,IF(OR($Q$4=TRUE,$Q$5=TRUE,$S$2=TRUE),VLOOKUP($G445,'KO Calc'!$H:$AW,18,FALSE),VLOOKUP($G445,'KO Calc'!$H451:$AW451,18,FALSE)),IF(AND($Q$1=TRUE,$S$4=TRUE),IF(OR($Q$4=TRUE,$Q$5=TRUE,$S$2=TRUE),VLOOKUP($G445,'KO Calc'!$H:$AW,8,FALSE),VLOOKUP($G445,'KO Calc'!$H451:$AW451,8,FALSE)),
IF(AND($S$3=TRUE,$S$1=TRUE,$S$4=FALSE)=TRUE,IF(OR($Q$4=TRUE,$Q$5=TRUE,$S$2=TRUE),VLOOKUP($G445,'KO Calc'!$H:$AW,33,FALSE),VLOOKUP($G445,'KO Calc'!$H451:$AW451,33,FALSE)),IF(AND($S$3=TRUE,$S$4=FALSE),IF(OR($Q$4=TRUE,$Q$5=TRUE,$S$2=TRUE),VLOOKUP($G445,'KO Calc'!$H:$AW,23,FALSE),VLOOKUP($G445,'KO Calc'!$H451:$AW451,23,FALSE)),
IF(AND($S$3=TRUE,$S$1=TRUE,$S$4=TRUE)=TRUE,IF(OR($Q$4=TRUE,$Q$5=TRUE,$S$2=TRUE),VLOOKUP($G445,'KO Calc'!$H:$AW,38,FALSE),VLOOKUP($G445,'KO Calc'!$H451:$AW451,38,FALSE)),IF(AND($S$3=TRUE,$S$4=TRUE),IF(OR($Q$4=TRUE,$Q$5=TRUE,$S$2=TRUE),VLOOKUP($G445,'KO Calc'!$H:$AW,28,FALSE),VLOOKUP($G445,'KO Calc'!$H451:$AW451,28,FALSE)))))))))))))</f>
        <v>-</v>
      </c>
      <c r="J445" s="36" t="str">
        <f>IF(AND($Q$1=FALSE,$S$3=FALSE),"-",IF(AND($Q$1=TRUE,$S$3=TRUE),"-",IF(AND($Q$1=FALSE,$S$3=FALSE),"-",IF(AND($Q$1=TRUE,$S$1=TRUE,$S$4=FALSE)=TRUE,IF(OR($Q$4=TRUE,$Q$5=TRUE,$S$2=TRUE),VLOOKUP($G445,'KO Calc'!$H:$AW,FALSE),VLOOKUP($G445,'KO Calc'!$H451:$AW451,14,FALSE)),IF(AND($Q$1=TRUE,$S$4=FALSE),IF(OR($Q$4=TRUE,$Q$5=TRUE,$S$2=TRUE),VLOOKUP($G445,'KO Calc'!$H:$AW,4,FALSE),VLOOKUP($G445,'KO Calc'!$H451:$AW451,4,FALSE)),
IF(AND($Q$1=TRUE,$S$1=TRUE,$S$4=TRUE)=TRUE,IF(OR($Q$4=TRUE,$Q$5=TRUE,$S$2=TRUE),VLOOKUP($G445,'KO Calc'!$H:$AW,19,FALSE),VLOOKUP($G445,'KO Calc'!$H451:$AW451,19,FALSE)),IF(AND($Q$1=TRUE,$S$4=TRUE),IF(OR($Q$4=TRUE,$Q$5=TRUE,$S$2=TRUE),VLOOKUP($G445,'KO Calc'!$H:$AW,9,FALSE),VLOOKUP($G445,'KO Calc'!$H451:$AW451,9,FALSE)),
IF(AND($S$3=TRUE,$S$1=TRUE,$S$4=FALSE)=TRUE,IF(OR($Q$4=TRUE,$Q$5=TRUE,$S$2=TRUE),VLOOKUP($G445,'KO Calc'!$H:$AW,34,FALSE),VLOOKUP($G445,'KO Calc'!$H451:$AW451,34,FALSE)),IF(AND($S$3=TRUE,$S$4=FALSE),IF(OR($Q$4=TRUE,$Q$5=TRUE,$S$2=TRUE),VLOOKUP($G445,'KO Calc'!$H:$AW,24,FALSE),VLOOKUP($G445,'KO Calc'!$H451:$AW451,24,FALSE)),
IF(AND($S$3=TRUE,$S$1=TRUE,$S$4=TRUE)=TRUE,IF(OR($Q$4=TRUE,$Q$5=TRUE,$S$2=TRUE),VLOOKUP($G445,'KO Calc'!$H:$AW,39,FALSE),VLOOKUP($G445,'KO Calc'!$H451:$AW451,39,FALSE)),IF(AND($S$3=TRUE,$S$4=TRUE),IF(OR($Q$4=TRUE,$Q$5=TRUE,$S$2=TRUE),VLOOKUP($G445,'KO Calc'!$H:$AW,29,FALSE),VLOOKUP($G445,'KO Calc'!$H451:$AW451,29,FALSE)))))))))))))</f>
        <v>-</v>
      </c>
      <c r="K445" s="36" t="str">
        <f>IF(AND($Q$1=FALSE,$S$3=FALSE),"-",IF(AND($Q$1=TRUE,$S$3=TRUE),"-",IF(AND($Q$1=FALSE,$S$3=FALSE),"-",IF(AND($Q$1=TRUE,$S$1=TRUE,$S$4=FALSE)=TRUE,IF(OR($Q$4=TRUE,$Q$5=TRUE,$S$2=TRUE),VLOOKUP($G445,'KO Calc'!$H:$AW,15,FALSE),VLOOKUP($G445,'KO Calc'!$H451:$AW451,15,FALSE)),IF(AND($Q$1=TRUE,$S$4=FALSE),IF(OR($Q$4=TRUE,$Q$5=TRUE,$S$2=TRUE),VLOOKUP($G445,'KO Calc'!$H:$AW,5,FALSE),VLOOKUP($G445,'KO Calc'!$H451:$AW451,5,FALSE)),
IF(AND($Q$1=TRUE,$S$1=TRUE,$S$4=TRUE)=TRUE,IF(OR($Q$4=TRUE,$Q$5=TRUE,$S$2=TRUE),VLOOKUP($G445,'KO Calc'!$H:$AW,20,FALSE),VLOOKUP($G445,'KO Calc'!$H451:$AW451,20,FALSE)),IF(AND($Q$1=TRUE,$S$4=TRUE),IF(OR($Q$4=TRUE,$Q$5=TRUE,$S$2=TRUE),VLOOKUP($G445,'KO Calc'!$H:$AW,10,FALSE),VLOOKUP($G445,'KO Calc'!$H451:$AW451,10,FALSE)),
IF(AND($S$3=TRUE,$S$1=TRUE,$S$4=FALSE)=TRUE,IF(OR($Q$4=TRUE,$Q$5=TRUE,$S$2=TRUE),VLOOKUP($G445,'KO Calc'!$H:$AW,35,FALSE),VLOOKUP($G445,'KO Calc'!$H451:$AW451,35,FALSE)),IF(AND($S$3=TRUE,$S$4=FALSE),IF(OR($Q$4=TRUE,$Q$5=TRUE,$S$2=TRUE),VLOOKUP($G445,'KO Calc'!$H:$AW,25,FALSE),VLOOKUP($G445,'KO Calc'!$H451:$AW451,25,FALSE)),
IF(AND($S$3=TRUE,$S$1=TRUE,$S$4=TRUE)=TRUE,IF(OR($Q$4=TRUE,$Q$5=TRUE,$S$2=TRUE),VLOOKUP($G445,'KO Calc'!$H:$AW,40,FALSE),VLOOKUP($G445,'KO Calc'!$H451:$AW451,40,FALSE)),IF(AND($S$3=TRUE,$S$4=TRUE),IF(OR($Q$4=TRUE,$Q$5=TRUE,$S$2=TRUE),VLOOKUP($G445,'KO Calc'!$H:$AW,30,FALSE),VLOOKUP($G445,'KO Calc'!$H451:$AW451,30,FALSE)))))))))))))</f>
        <v>-</v>
      </c>
      <c r="L445" s="36" t="str">
        <f>IFERROR(IF(AND($Q$1=FALSE,$S$3=FALSE),"-",VLOOKUP($E445,'Status Thresholds'!$E:$AU,41,FALSE)),"-")</f>
        <v>-</v>
      </c>
      <c r="M445" s="36" t="str">
        <f>IFERROR(IF(AND($Q$1=FALSE,$S$3=FALSE),"-",VLOOKUP($E445,'Status Thresholds'!$E:$AU,42,FALSE)),"-")</f>
        <v>-</v>
      </c>
      <c r="N445" s="36" t="str">
        <f>IFERROR(IF(AND($Q$1=FALSE,$S$3=FALSE),"-",VLOOKUP($E445,'Status Thresholds'!$E:$AU,43,FALSE)),"-")</f>
        <v>-</v>
      </c>
    </row>
    <row r="446" spans="1:14" x14ac:dyDescent="0.25">
      <c r="B446" s="64" t="str">
        <f>VLOOKUP(C446,'Status Thresholds'!B:C,2,FALSE)</f>
        <v>MHGen</v>
      </c>
      <c r="C446" s="46" t="str">
        <f>IF(ISBLANK('KO Calc'!C442)=TRUE,"",'KO Calc'!C442)</f>
        <v>Khezu</v>
      </c>
      <c r="D446" s="78" t="s">
        <v>207</v>
      </c>
      <c r="E446" s="62" t="str">
        <f t="shared" si="13"/>
        <v>KhezuShock Trap</v>
      </c>
      <c r="F446" t="s">
        <v>13</v>
      </c>
      <c r="G446" s="36" t="str">
        <f t="shared" si="14"/>
        <v>KhezuCrag 3</v>
      </c>
      <c r="H446" s="36" t="str">
        <f>IF(AND($Q$1=FALSE,$S$3=FALSE),"-",IF(AND($Q$1=TRUE,$S$3=TRUE),"-",IF(AND($Q$1=FALSE,$S$3=FALSE),"-",IF(AND($Q$1=TRUE,$S$1=TRUE,$S$4=FALSE)=TRUE,IF(OR($Q$4=TRUE,$Q$5=TRUE,$S$2=TRUE),VLOOKUP($G446,'KO Calc'!$H:$AW,12,FALSE),VLOOKUP($G446,'KO Calc'!$H452:$AW452,12,FALSE)),IF(AND($Q$1=TRUE,$S$4=FALSE),IF(OR($Q$4=TRUE,$Q$5=TRUE,$S$2=TRUE),VLOOKUP($G446,'KO Calc'!$H:$AW,2,FALSE),VLOOKUP($G446,'KO Calc'!$H452:$AW452,2,FALSE)),
IF(AND($Q$1=TRUE,$S$1=TRUE,$S$4=TRUE)=TRUE,IF(OR($Q$4=TRUE,$Q$5=TRUE,$S$2=TRUE),VLOOKUP($G446,'KO Calc'!$H:$AW,17,FALSE),VLOOKUP($G446,'KO Calc'!$H452:$AW452,17,FALSE)),IF(AND($Q$1=TRUE,$S$4=TRUE),IF(OR($Q$4=TRUE,$Q$5=TRUE,$S$2=TRUE),VLOOKUP($G446,'KO Calc'!$H:$AW,7,FALSE),VLOOKUP($G446,'KO Calc'!$H452:$AW452,7,FALSE)),
IF(AND($S$3=TRUE,$S$1=TRUE,$S$4=FALSE)=TRUE,IF(OR($Q$4=TRUE,$Q$5=TRUE,$S$2=TRUE),VLOOKUP($G446,'KO Calc'!$H:$AW,32,FALSE),VLOOKUP($G446,'KO Calc'!$H452:$AW452,32,FALSE)),IF(AND($S$3=TRUE,$S$4=FALSE),IF(OR($Q$4=TRUE,$Q$5=TRUE,$S$2=TRUE),VLOOKUP($G446,'KO Calc'!$H:$AW,22,FALSE),VLOOKUP($G446,'KO Calc'!$H452:$AW452,22,FALSE)),
IF(AND($S$3=TRUE,$S$1=TRUE,$S$4=TRUE)=TRUE,IF(OR($Q$4=TRUE,$Q$5=TRUE,$S$2=TRUE),VLOOKUP($G446,'KO Calc'!$H:$AW,37,FALSE),VLOOKUP($G446,'KO Calc'!$H452:$AW452,37,FALSE)),IF(AND($S$3=TRUE,$S$4=TRUE),IF(OR($Q$4=TRUE,$Q$5=TRUE,$S$2=TRUE),VLOOKUP($G446,'KO Calc'!$H:$AW,27,FALSE),VLOOKUP($G446,'KO Calc'!$H452:$AW452,27,FALSE)))))))))))))</f>
        <v>-</v>
      </c>
      <c r="I446" s="36" t="str">
        <f>IF(AND($Q$1=FALSE,$S$3=FALSE),"-",IF(AND($Q$1=TRUE,$S$3=TRUE),"-",IF(AND($Q$1=FALSE,$S$3=FALSE),"-",IF(AND($Q$1=TRUE,$S$1=TRUE,$S$4=FALSE)=TRUE,IF(OR($Q$4=TRUE,$Q$5=TRUE,$S$2=TRUE),VLOOKUP($G446,'KO Calc'!$H:$AW,13,FALSE),VLOOKUP($G446,'KO Calc'!$H452:$AW452,13,FALSE)),IF(AND($Q$1=TRUE,$S$4=FALSE),IF(OR($Q$4=TRUE,$Q$5=TRUE,$S$2=TRUE),VLOOKUP($G446,'KO Calc'!$H:$AW,3,FALSE),VLOOKUP($G446,'KO Calc'!$H452:$AW452,3,FALSE)),
IF(AND($Q$1=TRUE,$S$1=TRUE,$S$4=TRUE)=TRUE,IF(OR($Q$4=TRUE,$Q$5=TRUE,$S$2=TRUE),VLOOKUP($G446,'KO Calc'!$H:$AW,18,FALSE),VLOOKUP($G446,'KO Calc'!$H452:$AW452,18,FALSE)),IF(AND($Q$1=TRUE,$S$4=TRUE),IF(OR($Q$4=TRUE,$Q$5=TRUE,$S$2=TRUE),VLOOKUP($G446,'KO Calc'!$H:$AW,8,FALSE),VLOOKUP($G446,'KO Calc'!$H452:$AW452,8,FALSE)),
IF(AND($S$3=TRUE,$S$1=TRUE,$S$4=FALSE)=TRUE,IF(OR($Q$4=TRUE,$Q$5=TRUE,$S$2=TRUE),VLOOKUP($G446,'KO Calc'!$H:$AW,33,FALSE),VLOOKUP($G446,'KO Calc'!$H452:$AW452,33,FALSE)),IF(AND($S$3=TRUE,$S$4=FALSE),IF(OR($Q$4=TRUE,$Q$5=TRUE,$S$2=TRUE),VLOOKUP($G446,'KO Calc'!$H:$AW,23,FALSE),VLOOKUP($G446,'KO Calc'!$H452:$AW452,23,FALSE)),
IF(AND($S$3=TRUE,$S$1=TRUE,$S$4=TRUE)=TRUE,IF(OR($Q$4=TRUE,$Q$5=TRUE,$S$2=TRUE),VLOOKUP($G446,'KO Calc'!$H:$AW,38,FALSE),VLOOKUP($G446,'KO Calc'!$H452:$AW452,38,FALSE)),IF(AND($S$3=TRUE,$S$4=TRUE),IF(OR($Q$4=TRUE,$Q$5=TRUE,$S$2=TRUE),VLOOKUP($G446,'KO Calc'!$H:$AW,28,FALSE),VLOOKUP($G446,'KO Calc'!$H452:$AW452,28,FALSE)))))))))))))</f>
        <v>-</v>
      </c>
      <c r="J446" s="36" t="str">
        <f>IF(AND($Q$1=FALSE,$S$3=FALSE),"-",IF(AND($Q$1=TRUE,$S$3=TRUE),"-",IF(AND($Q$1=FALSE,$S$3=FALSE),"-",IF(AND($Q$1=TRUE,$S$1=TRUE,$S$4=FALSE)=TRUE,IF(OR($Q$4=TRUE,$Q$5=TRUE,$S$2=TRUE),VLOOKUP($G446,'KO Calc'!$H:$AW,FALSE),VLOOKUP($G446,'KO Calc'!$H452:$AW452,14,FALSE)),IF(AND($Q$1=TRUE,$S$4=FALSE),IF(OR($Q$4=TRUE,$Q$5=TRUE,$S$2=TRUE),VLOOKUP($G446,'KO Calc'!$H:$AW,4,FALSE),VLOOKUP($G446,'KO Calc'!$H452:$AW452,4,FALSE)),
IF(AND($Q$1=TRUE,$S$1=TRUE,$S$4=TRUE)=TRUE,IF(OR($Q$4=TRUE,$Q$5=TRUE,$S$2=TRUE),VLOOKUP($G446,'KO Calc'!$H:$AW,19,FALSE),VLOOKUP($G446,'KO Calc'!$H452:$AW452,19,FALSE)),IF(AND($Q$1=TRUE,$S$4=TRUE),IF(OR($Q$4=TRUE,$Q$5=TRUE,$S$2=TRUE),VLOOKUP($G446,'KO Calc'!$H:$AW,9,FALSE),VLOOKUP($G446,'KO Calc'!$H452:$AW452,9,FALSE)),
IF(AND($S$3=TRUE,$S$1=TRUE,$S$4=FALSE)=TRUE,IF(OR($Q$4=TRUE,$Q$5=TRUE,$S$2=TRUE),VLOOKUP($G446,'KO Calc'!$H:$AW,34,FALSE),VLOOKUP($G446,'KO Calc'!$H452:$AW452,34,FALSE)),IF(AND($S$3=TRUE,$S$4=FALSE),IF(OR($Q$4=TRUE,$Q$5=TRUE,$S$2=TRUE),VLOOKUP($G446,'KO Calc'!$H:$AW,24,FALSE),VLOOKUP($G446,'KO Calc'!$H452:$AW452,24,FALSE)),
IF(AND($S$3=TRUE,$S$1=TRUE,$S$4=TRUE)=TRUE,IF(OR($Q$4=TRUE,$Q$5=TRUE,$S$2=TRUE),VLOOKUP($G446,'KO Calc'!$H:$AW,39,FALSE),VLOOKUP($G446,'KO Calc'!$H452:$AW452,39,FALSE)),IF(AND($S$3=TRUE,$S$4=TRUE),IF(OR($Q$4=TRUE,$Q$5=TRUE,$S$2=TRUE),VLOOKUP($G446,'KO Calc'!$H:$AW,29,FALSE),VLOOKUP($G446,'KO Calc'!$H452:$AW452,29,FALSE)))))))))))))</f>
        <v>-</v>
      </c>
      <c r="K446" s="36" t="str">
        <f>IF(AND($Q$1=FALSE,$S$3=FALSE),"-",IF(AND($Q$1=TRUE,$S$3=TRUE),"-",IF(AND($Q$1=FALSE,$S$3=FALSE),"-",IF(AND($Q$1=TRUE,$S$1=TRUE,$S$4=FALSE)=TRUE,IF(OR($Q$4=TRUE,$Q$5=TRUE,$S$2=TRUE),VLOOKUP($G446,'KO Calc'!$H:$AW,15,FALSE),VLOOKUP($G446,'KO Calc'!$H452:$AW452,15,FALSE)),IF(AND($Q$1=TRUE,$S$4=FALSE),IF(OR($Q$4=TRUE,$Q$5=TRUE,$S$2=TRUE),VLOOKUP($G446,'KO Calc'!$H:$AW,5,FALSE),VLOOKUP($G446,'KO Calc'!$H452:$AW452,5,FALSE)),
IF(AND($Q$1=TRUE,$S$1=TRUE,$S$4=TRUE)=TRUE,IF(OR($Q$4=TRUE,$Q$5=TRUE,$S$2=TRUE),VLOOKUP($G446,'KO Calc'!$H:$AW,20,FALSE),VLOOKUP($G446,'KO Calc'!$H452:$AW452,20,FALSE)),IF(AND($Q$1=TRUE,$S$4=TRUE),IF(OR($Q$4=TRUE,$Q$5=TRUE,$S$2=TRUE),VLOOKUP($G446,'KO Calc'!$H:$AW,10,FALSE),VLOOKUP($G446,'KO Calc'!$H452:$AW452,10,FALSE)),
IF(AND($S$3=TRUE,$S$1=TRUE,$S$4=FALSE)=TRUE,IF(OR($Q$4=TRUE,$Q$5=TRUE,$S$2=TRUE),VLOOKUP($G446,'KO Calc'!$H:$AW,35,FALSE),VLOOKUP($G446,'KO Calc'!$H452:$AW452,35,FALSE)),IF(AND($S$3=TRUE,$S$4=FALSE),IF(OR($Q$4=TRUE,$Q$5=TRUE,$S$2=TRUE),VLOOKUP($G446,'KO Calc'!$H:$AW,25,FALSE),VLOOKUP($G446,'KO Calc'!$H452:$AW452,25,FALSE)),
IF(AND($S$3=TRUE,$S$1=TRUE,$S$4=TRUE)=TRUE,IF(OR($Q$4=TRUE,$Q$5=TRUE,$S$2=TRUE),VLOOKUP($G446,'KO Calc'!$H:$AW,40,FALSE),VLOOKUP($G446,'KO Calc'!$H452:$AW452,40,FALSE)),IF(AND($S$3=TRUE,$S$4=TRUE),IF(OR($Q$4=TRUE,$Q$5=TRUE,$S$2=TRUE),VLOOKUP($G446,'KO Calc'!$H:$AW,30,FALSE),VLOOKUP($G446,'KO Calc'!$H452:$AW452,30,FALSE)))))))))))))</f>
        <v>-</v>
      </c>
      <c r="L446" s="36" t="str">
        <f>IFERROR(IF(AND($Q$1=FALSE,$S$3=FALSE),"-",VLOOKUP($E446,'Status Thresholds'!$E:$AU,43,FALSE)),"-")</f>
        <v>-</v>
      </c>
      <c r="M446" s="36" t="str">
        <f>IFERROR(IF(AND($Q$1=FALSE,$S$3=FALSE),"-",VLOOKUP($E446,'Status Thresholds'!$E:$AU,41,FALSE)),"-")</f>
        <v>-</v>
      </c>
      <c r="N446" s="36" t="str">
        <f>IFERROR(IF(AND($Q$1=FALSE,$S$3=FALSE),"-",VLOOKUP($E446,'Status Thresholds'!$E:$AU,42,FALSE)),"-")</f>
        <v>-</v>
      </c>
    </row>
    <row r="447" spans="1:14" x14ac:dyDescent="0.25">
      <c r="B447" s="64" t="str">
        <f>VLOOKUP(C447,'Status Thresholds'!B:C,2,FALSE)</f>
        <v>MHGen</v>
      </c>
      <c r="C447" s="46" t="str">
        <f>IF(ISBLANK('KO Calc'!C443)=TRUE,"",'KO Calc'!C443)</f>
        <v>Khezu</v>
      </c>
      <c r="D447" s="78" t="s">
        <v>213</v>
      </c>
      <c r="E447" s="62" t="str">
        <f t="shared" si="13"/>
        <v>KhezuPitfall Trap</v>
      </c>
      <c r="F447" t="s">
        <v>12</v>
      </c>
      <c r="G447" s="36" t="str">
        <f t="shared" si="14"/>
        <v>KhezuCrag 2</v>
      </c>
      <c r="H447" s="36" t="str">
        <f>IF(AND($Q$1=FALSE,$S$3=FALSE),"-",IF(AND($Q$1=TRUE,$S$3=TRUE),"-",IF(AND($Q$1=FALSE,$S$3=FALSE),"-",IF(AND($Q$1=TRUE,$S$1=TRUE,$S$4=FALSE)=TRUE,IF(OR($Q$4=TRUE,$Q$5=TRUE,$S$2=TRUE),VLOOKUP($G447,'KO Calc'!$H:$AW,12,FALSE),VLOOKUP($G447,'KO Calc'!$H453:$AW453,12,FALSE)),IF(AND($Q$1=TRUE,$S$4=FALSE),IF(OR($Q$4=TRUE,$Q$5=TRUE,$S$2=TRUE),VLOOKUP($G447,'KO Calc'!$H:$AW,2,FALSE),VLOOKUP($G447,'KO Calc'!$H453:$AW453,2,FALSE)),
IF(AND($Q$1=TRUE,$S$1=TRUE,$S$4=TRUE)=TRUE,IF(OR($Q$4=TRUE,$Q$5=TRUE,$S$2=TRUE),VLOOKUP($G447,'KO Calc'!$H:$AW,17,FALSE),VLOOKUP($G447,'KO Calc'!$H453:$AW453,17,FALSE)),IF(AND($Q$1=TRUE,$S$4=TRUE),IF(OR($Q$4=TRUE,$Q$5=TRUE,$S$2=TRUE),VLOOKUP($G447,'KO Calc'!$H:$AW,7,FALSE),VLOOKUP($G447,'KO Calc'!$H453:$AW453,7,FALSE)),
IF(AND($S$3=TRUE,$S$1=TRUE,$S$4=FALSE)=TRUE,IF(OR($Q$4=TRUE,$Q$5=TRUE,$S$2=TRUE),VLOOKUP($G447,'KO Calc'!$H:$AW,32,FALSE),VLOOKUP($G447,'KO Calc'!$H453:$AW453,32,FALSE)),IF(AND($S$3=TRUE,$S$4=FALSE),IF(OR($Q$4=TRUE,$Q$5=TRUE,$S$2=TRUE),VLOOKUP($G447,'KO Calc'!$H:$AW,22,FALSE),VLOOKUP($G447,'KO Calc'!$H453:$AW453,22,FALSE)),
IF(AND($S$3=TRUE,$S$1=TRUE,$S$4=TRUE)=TRUE,IF(OR($Q$4=TRUE,$Q$5=TRUE,$S$2=TRUE),VLOOKUP($G447,'KO Calc'!$H:$AW,37,FALSE),VLOOKUP($G447,'KO Calc'!$H453:$AW453,37,FALSE)),IF(AND($S$3=TRUE,$S$4=TRUE),IF(OR($Q$4=TRUE,$Q$5=TRUE,$S$2=TRUE),VLOOKUP($G447,'KO Calc'!$H:$AW,27,FALSE),VLOOKUP($G447,'KO Calc'!$H453:$AW453,27,FALSE)))))))))))))</f>
        <v>-</v>
      </c>
      <c r="I447" s="36" t="str">
        <f>IF(AND($Q$1=FALSE,$S$3=FALSE),"-",IF(AND($Q$1=TRUE,$S$3=TRUE),"-",IF(AND($Q$1=FALSE,$S$3=FALSE),"-",IF(AND($Q$1=TRUE,$S$1=TRUE,$S$4=FALSE)=TRUE,IF(OR($Q$4=TRUE,$Q$5=TRUE,$S$2=TRUE),VLOOKUP($G447,'KO Calc'!$H:$AW,13,FALSE),VLOOKUP($G447,'KO Calc'!$H453:$AW453,13,FALSE)),IF(AND($Q$1=TRUE,$S$4=FALSE),IF(OR($Q$4=TRUE,$Q$5=TRUE,$S$2=TRUE),VLOOKUP($G447,'KO Calc'!$H:$AW,3,FALSE),VLOOKUP($G447,'KO Calc'!$H453:$AW453,3,FALSE)),
IF(AND($Q$1=TRUE,$S$1=TRUE,$S$4=TRUE)=TRUE,IF(OR($Q$4=TRUE,$Q$5=TRUE,$S$2=TRUE),VLOOKUP($G447,'KO Calc'!$H:$AW,18,FALSE),VLOOKUP($G447,'KO Calc'!$H453:$AW453,18,FALSE)),IF(AND($Q$1=TRUE,$S$4=TRUE),IF(OR($Q$4=TRUE,$Q$5=TRUE,$S$2=TRUE),VLOOKUP($G447,'KO Calc'!$H:$AW,8,FALSE),VLOOKUP($G447,'KO Calc'!$H453:$AW453,8,FALSE)),
IF(AND($S$3=TRUE,$S$1=TRUE,$S$4=FALSE)=TRUE,IF(OR($Q$4=TRUE,$Q$5=TRUE,$S$2=TRUE),VLOOKUP($G447,'KO Calc'!$H:$AW,33,FALSE),VLOOKUP($G447,'KO Calc'!$H453:$AW453,33,FALSE)),IF(AND($S$3=TRUE,$S$4=FALSE),IF(OR($Q$4=TRUE,$Q$5=TRUE,$S$2=TRUE),VLOOKUP($G447,'KO Calc'!$H:$AW,23,FALSE),VLOOKUP($G447,'KO Calc'!$H453:$AW453,23,FALSE)),
IF(AND($S$3=TRUE,$S$1=TRUE,$S$4=TRUE)=TRUE,IF(OR($Q$4=TRUE,$Q$5=TRUE,$S$2=TRUE),VLOOKUP($G447,'KO Calc'!$H:$AW,38,FALSE),VLOOKUP($G447,'KO Calc'!$H453:$AW453,38,FALSE)),IF(AND($S$3=TRUE,$S$4=TRUE),IF(OR($Q$4=TRUE,$Q$5=TRUE,$S$2=TRUE),VLOOKUP($G447,'KO Calc'!$H:$AW,28,FALSE),VLOOKUP($G447,'KO Calc'!$H453:$AW453,28,FALSE)))))))))))))</f>
        <v>-</v>
      </c>
      <c r="J447" s="36" t="str">
        <f>IF(AND($Q$1=FALSE,$S$3=FALSE),"-",IF(AND($Q$1=TRUE,$S$3=TRUE),"-",IF(AND($Q$1=FALSE,$S$3=FALSE),"-",IF(AND($Q$1=TRUE,$S$1=TRUE,$S$4=FALSE)=TRUE,IF(OR($Q$4=TRUE,$Q$5=TRUE,$S$2=TRUE),VLOOKUP($G447,'KO Calc'!$H:$AW,FALSE),VLOOKUP($G447,'KO Calc'!$H453:$AW453,14,FALSE)),IF(AND($Q$1=TRUE,$S$4=FALSE),IF(OR($Q$4=TRUE,$Q$5=TRUE,$S$2=TRUE),VLOOKUP($G447,'KO Calc'!$H:$AW,4,FALSE),VLOOKUP($G447,'KO Calc'!$H453:$AW453,4,FALSE)),
IF(AND($Q$1=TRUE,$S$1=TRUE,$S$4=TRUE)=TRUE,IF(OR($Q$4=TRUE,$Q$5=TRUE,$S$2=TRUE),VLOOKUP($G447,'KO Calc'!$H:$AW,19,FALSE),VLOOKUP($G447,'KO Calc'!$H453:$AW453,19,FALSE)),IF(AND($Q$1=TRUE,$S$4=TRUE),IF(OR($Q$4=TRUE,$Q$5=TRUE,$S$2=TRUE),VLOOKUP($G447,'KO Calc'!$H:$AW,9,FALSE),VLOOKUP($G447,'KO Calc'!$H453:$AW453,9,FALSE)),
IF(AND($S$3=TRUE,$S$1=TRUE,$S$4=FALSE)=TRUE,IF(OR($Q$4=TRUE,$Q$5=TRUE,$S$2=TRUE),VLOOKUP($G447,'KO Calc'!$H:$AW,34,FALSE),VLOOKUP($G447,'KO Calc'!$H453:$AW453,34,FALSE)),IF(AND($S$3=TRUE,$S$4=FALSE),IF(OR($Q$4=TRUE,$Q$5=TRUE,$S$2=TRUE),VLOOKUP($G447,'KO Calc'!$H:$AW,24,FALSE),VLOOKUP($G447,'KO Calc'!$H453:$AW453,24,FALSE)),
IF(AND($S$3=TRUE,$S$1=TRUE,$S$4=TRUE)=TRUE,IF(OR($Q$4=TRUE,$Q$5=TRUE,$S$2=TRUE),VLOOKUP($G447,'KO Calc'!$H:$AW,39,FALSE),VLOOKUP($G447,'KO Calc'!$H453:$AW453,39,FALSE)),IF(AND($S$3=TRUE,$S$4=TRUE),IF(OR($Q$4=TRUE,$Q$5=TRUE,$S$2=TRUE),VLOOKUP($G447,'KO Calc'!$H:$AW,29,FALSE),VLOOKUP($G447,'KO Calc'!$H453:$AW453,29,FALSE)))))))))))))</f>
        <v>-</v>
      </c>
      <c r="K447" s="36" t="str">
        <f>IF(AND($Q$1=FALSE,$S$3=FALSE),"-",IF(AND($Q$1=TRUE,$S$3=TRUE),"-",IF(AND($Q$1=FALSE,$S$3=FALSE),"-",IF(AND($Q$1=TRUE,$S$1=TRUE,$S$4=FALSE)=TRUE,IF(OR($Q$4=TRUE,$Q$5=TRUE,$S$2=TRUE),VLOOKUP($G447,'KO Calc'!$H:$AW,15,FALSE),VLOOKUP($G447,'KO Calc'!$H453:$AW453,15,FALSE)),IF(AND($Q$1=TRUE,$S$4=FALSE),IF(OR($Q$4=TRUE,$Q$5=TRUE,$S$2=TRUE),VLOOKUP($G447,'KO Calc'!$H:$AW,5,FALSE),VLOOKUP($G447,'KO Calc'!$H453:$AW453,5,FALSE)),
IF(AND($Q$1=TRUE,$S$1=TRUE,$S$4=TRUE)=TRUE,IF(OR($Q$4=TRUE,$Q$5=TRUE,$S$2=TRUE),VLOOKUP($G447,'KO Calc'!$H:$AW,20,FALSE),VLOOKUP($G447,'KO Calc'!$H453:$AW453,20,FALSE)),IF(AND($Q$1=TRUE,$S$4=TRUE),IF(OR($Q$4=TRUE,$Q$5=TRUE,$S$2=TRUE),VLOOKUP($G447,'KO Calc'!$H:$AW,10,FALSE),VLOOKUP($G447,'KO Calc'!$H453:$AW453,10,FALSE)),
IF(AND($S$3=TRUE,$S$1=TRUE,$S$4=FALSE)=TRUE,IF(OR($Q$4=TRUE,$Q$5=TRUE,$S$2=TRUE),VLOOKUP($G447,'KO Calc'!$H:$AW,35,FALSE),VLOOKUP($G447,'KO Calc'!$H453:$AW453,35,FALSE)),IF(AND($S$3=TRUE,$S$4=FALSE),IF(OR($Q$4=TRUE,$Q$5=TRUE,$S$2=TRUE),VLOOKUP($G447,'KO Calc'!$H:$AW,25,FALSE),VLOOKUP($G447,'KO Calc'!$H453:$AW453,25,FALSE)),
IF(AND($S$3=TRUE,$S$1=TRUE,$S$4=TRUE)=TRUE,IF(OR($Q$4=TRUE,$Q$5=TRUE,$S$2=TRUE),VLOOKUP($G447,'KO Calc'!$H:$AW,40,FALSE),VLOOKUP($G447,'KO Calc'!$H453:$AW453,40,FALSE)),IF(AND($S$3=TRUE,$S$4=TRUE),IF(OR($Q$4=TRUE,$Q$5=TRUE,$S$2=TRUE),VLOOKUP($G447,'KO Calc'!$H:$AW,30,FALSE),VLOOKUP($G447,'KO Calc'!$H453:$AW453,30,FALSE)))))))))))))</f>
        <v>-</v>
      </c>
      <c r="L447" s="36" t="str">
        <f>IFERROR(IF(AND($Q$1=FALSE,$S$3=FALSE),"-",VLOOKUP($E447,'Status Thresholds'!$E:$AU,43,FALSE)),"-")</f>
        <v>-</v>
      </c>
      <c r="M447" s="36" t="str">
        <f>IFERROR(IF(AND($Q$1=FALSE,$S$3=FALSE),"-",VLOOKUP($E447,'Status Thresholds'!$E:$AU,41,FALSE)),"-")</f>
        <v>-</v>
      </c>
      <c r="N447" s="36" t="str">
        <f>IFERROR(IF(AND($Q$1=FALSE,$S$3=FALSE),"-",VLOOKUP($E447,'Status Thresholds'!$E:$AU,42,FALSE)),"-")</f>
        <v>-</v>
      </c>
    </row>
    <row r="448" spans="1:14" x14ac:dyDescent="0.25">
      <c r="B448" s="64" t="str">
        <f>VLOOKUP(C448,'Status Thresholds'!B:C,2,FALSE)</f>
        <v>MHGen</v>
      </c>
      <c r="C448" s="46" t="str">
        <f>IF(ISBLANK('KO Calc'!C444)=TRUE,"",'KO Calc'!C444)</f>
        <v>Khezu</v>
      </c>
      <c r="D448" s="78"/>
      <c r="E448" s="62" t="str">
        <f t="shared" si="13"/>
        <v>Khezu</v>
      </c>
      <c r="F448" t="s">
        <v>11</v>
      </c>
      <c r="G448" s="36" t="str">
        <f t="shared" si="14"/>
        <v>KhezuCrag 1</v>
      </c>
      <c r="H448" s="36" t="str">
        <f>IF(AND($Q$1=FALSE,$S$3=FALSE),"-",IF(AND($Q$1=TRUE,$S$3=TRUE),"-",IF(AND($Q$1=FALSE,$S$3=FALSE),"-",IF(AND($Q$1=TRUE,$S$1=TRUE,$S$4=FALSE)=TRUE,IF(OR($Q$4=TRUE,$Q$5=TRUE,$S$2=TRUE),VLOOKUP($G448,'KO Calc'!$H:$AW,12,FALSE),VLOOKUP($G448,'KO Calc'!$H454:$AW454,12,FALSE)),IF(AND($Q$1=TRUE,$S$4=FALSE),IF(OR($Q$4=TRUE,$Q$5=TRUE,$S$2=TRUE),VLOOKUP($G448,'KO Calc'!$H:$AW,2,FALSE),VLOOKUP($G448,'KO Calc'!$H454:$AW454,2,FALSE)),
IF(AND($Q$1=TRUE,$S$1=TRUE,$S$4=TRUE)=TRUE,IF(OR($Q$4=TRUE,$Q$5=TRUE,$S$2=TRUE),VLOOKUP($G448,'KO Calc'!$H:$AW,17,FALSE),VLOOKUP($G448,'KO Calc'!$H454:$AW454,17,FALSE)),IF(AND($Q$1=TRUE,$S$4=TRUE),IF(OR($Q$4=TRUE,$Q$5=TRUE,$S$2=TRUE),VLOOKUP($G448,'KO Calc'!$H:$AW,7,FALSE),VLOOKUP($G448,'KO Calc'!$H454:$AW454,7,FALSE)),
IF(AND($S$3=TRUE,$S$1=TRUE,$S$4=FALSE)=TRUE,IF(OR($Q$4=TRUE,$Q$5=TRUE,$S$2=TRUE),VLOOKUP($G448,'KO Calc'!$H:$AW,32,FALSE),VLOOKUP($G448,'KO Calc'!$H454:$AW454,32,FALSE)),IF(AND($S$3=TRUE,$S$4=FALSE),IF(OR($Q$4=TRUE,$Q$5=TRUE,$S$2=TRUE),VLOOKUP($G448,'KO Calc'!$H:$AW,22,FALSE),VLOOKUP($G448,'KO Calc'!$H454:$AW454,22,FALSE)),
IF(AND($S$3=TRUE,$S$1=TRUE,$S$4=TRUE)=TRUE,IF(OR($Q$4=TRUE,$Q$5=TRUE,$S$2=TRUE),VLOOKUP($G448,'KO Calc'!$H:$AW,37,FALSE),VLOOKUP($G448,'KO Calc'!$H454:$AW454,37,FALSE)),IF(AND($S$3=TRUE,$S$4=TRUE),IF(OR($Q$4=TRUE,$Q$5=TRUE,$S$2=TRUE),VLOOKUP($G448,'KO Calc'!$H:$AW,27,FALSE),VLOOKUP($G448,'KO Calc'!$H454:$AW454,27,FALSE)))))))))))))</f>
        <v>-</v>
      </c>
      <c r="I448" s="36" t="str">
        <f>IF(AND($Q$1=FALSE,$S$3=FALSE),"-",IF(AND($Q$1=TRUE,$S$3=TRUE),"-",IF(AND($Q$1=FALSE,$S$3=FALSE),"-",IF(AND($Q$1=TRUE,$S$1=TRUE,$S$4=FALSE)=TRUE,IF(OR($Q$4=TRUE,$Q$5=TRUE,$S$2=TRUE),VLOOKUP($G448,'KO Calc'!$H:$AW,13,FALSE),VLOOKUP($G448,'KO Calc'!$H454:$AW454,13,FALSE)),IF(AND($Q$1=TRUE,$S$4=FALSE),IF(OR($Q$4=TRUE,$Q$5=TRUE,$S$2=TRUE),VLOOKUP($G448,'KO Calc'!$H:$AW,3,FALSE),VLOOKUP($G448,'KO Calc'!$H454:$AW454,3,FALSE)),
IF(AND($Q$1=TRUE,$S$1=TRUE,$S$4=TRUE)=TRUE,IF(OR($Q$4=TRUE,$Q$5=TRUE,$S$2=TRUE),VLOOKUP($G448,'KO Calc'!$H:$AW,18,FALSE),VLOOKUP($G448,'KO Calc'!$H454:$AW454,18,FALSE)),IF(AND($Q$1=TRUE,$S$4=TRUE),IF(OR($Q$4=TRUE,$Q$5=TRUE,$S$2=TRUE),VLOOKUP($G448,'KO Calc'!$H:$AW,8,FALSE),VLOOKUP($G448,'KO Calc'!$H454:$AW454,8,FALSE)),
IF(AND($S$3=TRUE,$S$1=TRUE,$S$4=FALSE)=TRUE,IF(OR($Q$4=TRUE,$Q$5=TRUE,$S$2=TRUE),VLOOKUP($G448,'KO Calc'!$H:$AW,33,FALSE),VLOOKUP($G448,'KO Calc'!$H454:$AW454,33,FALSE)),IF(AND($S$3=TRUE,$S$4=FALSE),IF(OR($Q$4=TRUE,$Q$5=TRUE,$S$2=TRUE),VLOOKUP($G448,'KO Calc'!$H:$AW,23,FALSE),VLOOKUP($G448,'KO Calc'!$H454:$AW454,23,FALSE)),
IF(AND($S$3=TRUE,$S$1=TRUE,$S$4=TRUE)=TRUE,IF(OR($Q$4=TRUE,$Q$5=TRUE,$S$2=TRUE),VLOOKUP($G448,'KO Calc'!$H:$AW,38,FALSE),VLOOKUP($G448,'KO Calc'!$H454:$AW454,38,FALSE)),IF(AND($S$3=TRUE,$S$4=TRUE),IF(OR($Q$4=TRUE,$Q$5=TRUE,$S$2=TRUE),VLOOKUP($G448,'KO Calc'!$H:$AW,28,FALSE),VLOOKUP($G448,'KO Calc'!$H454:$AW454,28,FALSE)))))))))))))</f>
        <v>-</v>
      </c>
      <c r="J448" s="36" t="str">
        <f>IF(AND($Q$1=FALSE,$S$3=FALSE),"-",IF(AND($Q$1=TRUE,$S$3=TRUE),"-",IF(AND($Q$1=FALSE,$S$3=FALSE),"-",IF(AND($Q$1=TRUE,$S$1=TRUE,$S$4=FALSE)=TRUE,IF(OR($Q$4=TRUE,$Q$5=TRUE,$S$2=TRUE),VLOOKUP($G448,'KO Calc'!$H:$AW,FALSE),VLOOKUP($G448,'KO Calc'!$H454:$AW454,14,FALSE)),IF(AND($Q$1=TRUE,$S$4=FALSE),IF(OR($Q$4=TRUE,$Q$5=TRUE,$S$2=TRUE),VLOOKUP($G448,'KO Calc'!$H:$AW,4,FALSE),VLOOKUP($G448,'KO Calc'!$H454:$AW454,4,FALSE)),
IF(AND($Q$1=TRUE,$S$1=TRUE,$S$4=TRUE)=TRUE,IF(OR($Q$4=TRUE,$Q$5=TRUE,$S$2=TRUE),VLOOKUP($G448,'KO Calc'!$H:$AW,19,FALSE),VLOOKUP($G448,'KO Calc'!$H454:$AW454,19,FALSE)),IF(AND($Q$1=TRUE,$S$4=TRUE),IF(OR($Q$4=TRUE,$Q$5=TRUE,$S$2=TRUE),VLOOKUP($G448,'KO Calc'!$H:$AW,9,FALSE),VLOOKUP($G448,'KO Calc'!$H454:$AW454,9,FALSE)),
IF(AND($S$3=TRUE,$S$1=TRUE,$S$4=FALSE)=TRUE,IF(OR($Q$4=TRUE,$Q$5=TRUE,$S$2=TRUE),VLOOKUP($G448,'KO Calc'!$H:$AW,34,FALSE),VLOOKUP($G448,'KO Calc'!$H454:$AW454,34,FALSE)),IF(AND($S$3=TRUE,$S$4=FALSE),IF(OR($Q$4=TRUE,$Q$5=TRUE,$S$2=TRUE),VLOOKUP($G448,'KO Calc'!$H:$AW,24,FALSE),VLOOKUP($G448,'KO Calc'!$H454:$AW454,24,FALSE)),
IF(AND($S$3=TRUE,$S$1=TRUE,$S$4=TRUE)=TRUE,IF(OR($Q$4=TRUE,$Q$5=TRUE,$S$2=TRUE),VLOOKUP($G448,'KO Calc'!$H:$AW,39,FALSE),VLOOKUP($G448,'KO Calc'!$H454:$AW454,39,FALSE)),IF(AND($S$3=TRUE,$S$4=TRUE),IF(OR($Q$4=TRUE,$Q$5=TRUE,$S$2=TRUE),VLOOKUP($G448,'KO Calc'!$H:$AW,29,FALSE),VLOOKUP($G448,'KO Calc'!$H454:$AW454,29,FALSE)))))))))))))</f>
        <v>-</v>
      </c>
      <c r="K448" s="36" t="str">
        <f>IF(AND($Q$1=FALSE,$S$3=FALSE),"-",IF(AND($Q$1=TRUE,$S$3=TRUE),"-",IF(AND($Q$1=FALSE,$S$3=FALSE),"-",IF(AND($Q$1=TRUE,$S$1=TRUE,$S$4=FALSE)=TRUE,IF(OR($Q$4=TRUE,$Q$5=TRUE,$S$2=TRUE),VLOOKUP($G448,'KO Calc'!$H:$AW,15,FALSE),VLOOKUP($G448,'KO Calc'!$H454:$AW454,15,FALSE)),IF(AND($Q$1=TRUE,$S$4=FALSE),IF(OR($Q$4=TRUE,$Q$5=TRUE,$S$2=TRUE),VLOOKUP($G448,'KO Calc'!$H:$AW,5,FALSE),VLOOKUP($G448,'KO Calc'!$H454:$AW454,5,FALSE)),
IF(AND($Q$1=TRUE,$S$1=TRUE,$S$4=TRUE)=TRUE,IF(OR($Q$4=TRUE,$Q$5=TRUE,$S$2=TRUE),VLOOKUP($G448,'KO Calc'!$H:$AW,20,FALSE),VLOOKUP($G448,'KO Calc'!$H454:$AW454,20,FALSE)),IF(AND($Q$1=TRUE,$S$4=TRUE),IF(OR($Q$4=TRUE,$Q$5=TRUE,$S$2=TRUE),VLOOKUP($G448,'KO Calc'!$H:$AW,10,FALSE),VLOOKUP($G448,'KO Calc'!$H454:$AW454,10,FALSE)),
IF(AND($S$3=TRUE,$S$1=TRUE,$S$4=FALSE)=TRUE,IF(OR($Q$4=TRUE,$Q$5=TRUE,$S$2=TRUE),VLOOKUP($G448,'KO Calc'!$H:$AW,35,FALSE),VLOOKUP($G448,'KO Calc'!$H454:$AW454,35,FALSE)),IF(AND($S$3=TRUE,$S$4=FALSE),IF(OR($Q$4=TRUE,$Q$5=TRUE,$S$2=TRUE),VLOOKUP($G448,'KO Calc'!$H:$AW,25,FALSE),VLOOKUP($G448,'KO Calc'!$H454:$AW454,25,FALSE)),
IF(AND($S$3=TRUE,$S$1=TRUE,$S$4=TRUE)=TRUE,IF(OR($Q$4=TRUE,$Q$5=TRUE,$S$2=TRUE),VLOOKUP($G448,'KO Calc'!$H:$AW,40,FALSE),VLOOKUP($G448,'KO Calc'!$H454:$AW454,40,FALSE)),IF(AND($S$3=TRUE,$S$4=TRUE),IF(OR($Q$4=TRUE,$Q$5=TRUE,$S$2=TRUE),VLOOKUP($G448,'KO Calc'!$H:$AW,30,FALSE),VLOOKUP($G448,'KO Calc'!$H454:$AW454,30,FALSE)))))))))))))</f>
        <v>-</v>
      </c>
      <c r="L448" s="36" t="str">
        <f>IFERROR(VLOOKUP($E448,'Status Thresholds'!$E:$AS,41,FALSE),"-")</f>
        <v>-</v>
      </c>
    </row>
    <row r="449" spans="1:14" x14ac:dyDescent="0.25">
      <c r="B449" s="64" t="str">
        <f>VLOOKUP(C449,'Status Thresholds'!B:C,2,FALSE)</f>
        <v>MHGen</v>
      </c>
      <c r="C449" s="46" t="str">
        <f>IF(ISBLANK('KO Calc'!C445)=TRUE,"",'KO Calc'!C445)</f>
        <v>Khezu</v>
      </c>
      <c r="D449" s="78"/>
      <c r="E449" s="62"/>
      <c r="G449" s="36"/>
      <c r="L449" s="36" t="str">
        <f>IFERROR(VLOOKUP($E449,'Status Thresholds'!$E:$AS,41,FALSE),"-")</f>
        <v>-</v>
      </c>
    </row>
    <row r="450" spans="1:14" s="36" customFormat="1" x14ac:dyDescent="0.25">
      <c r="B450" s="64" t="str">
        <f>VLOOKUP(C450,'Status Thresholds'!B:C,2,FALSE)</f>
        <v>MHGen</v>
      </c>
      <c r="C450" s="46" t="str">
        <f>IF(ISBLANK('KO Calc'!C446)=TRUE,"",'KO Calc'!C446)</f>
        <v>Kirin</v>
      </c>
      <c r="D450" s="65" t="s">
        <v>0</v>
      </c>
      <c r="E450" s="62" t="str">
        <f t="shared" si="13"/>
        <v>KirinPara</v>
      </c>
      <c r="F450" s="36" t="s">
        <v>2</v>
      </c>
      <c r="G450" s="36" t="str">
        <f t="shared" si="14"/>
        <v>KirinPara lvl 2</v>
      </c>
      <c r="H450" s="36" t="str">
        <f>IFERROR(ROUNDUP(IF(AND($Q$1=FALSE,$S$3=FALSE),"-",IF(AND($Q$1=TRUE,$S$3=TRUE),"-",IF(AND($Q$1=TRUE,$S$1=TRUE,$S$4=FALSE),VLOOKUP($E450,'Status Thresholds'!$E:$AS,12,FALSE),IF(AND($Q$1=TRUE,$S$4=FALSE),VLOOKUP($E450,'Status Thresholds'!$E:$AS,2,FALSE), IF(AND($Q$1=TRUE,$S$1=TRUE,$S$4=TRUE),VLOOKUP($E450,'Status Thresholds'!$E:$AS,17,FALSE),IF(AND($Q$1=TRUE,$S$4=TRUE),VLOOKUP($E450,'Status Thresholds'!$E:$AS,7,FALSE),IF(AND($S$3=TRUE,$S$1=TRUE,$S$4=FALSE),VLOOKUP($E450,'Status Thresholds'!$E:$AS,32,FALSE),IF(AND($S$3=TRUE,$S$4=FALSE),VLOOKUP($E450,'Status Thresholds'!$E:$AS,22,FALSE),IF(AND($S$3=TRUE,$S$1=TRUE,$S$4=TRUE),VLOOKUP($E450,'Status Thresholds'!$E:$AS,37,FALSE),IF(AND($S$3=TRUE,$S$4=TRUE),VLOOKUP($E450,'Status Thresholds'!$E:$AS,27,FALSE),""))))))))/IF(OR($Q$3=TRUE,AND($Q$2=TRUE,$Q$7=TRUE),AND($Q$3=TRUE,$Q$7=TRUE))=TRUE,'Shots and Status'!$F$5,IF((OR($Q$2,$Q$7)=TRUE),'Shots and Status'!$D$5,'Shots and Status'!$C$5)))),0),"-")</f>
        <v>-</v>
      </c>
      <c r="I450" s="36" t="str">
        <f>IFERROR(ROUNDUP(IF(AND($Q$1=FALSE,$S$3=FALSE),"-",IF(AND($Q$1=TRUE,$S$3=TRUE),"-",IF(AND($Q$1=TRUE,$S$1=TRUE,$S$4=FALSE),VLOOKUP($E450,'Status Thresholds'!$E:$AS,13,FALSE),IF(AND($Q$1=TRUE,$S$4=FALSE),VLOOKUP($E450,'Status Thresholds'!$E:$AS,3,FALSE), IF(AND($Q$1=TRUE,$S$1=TRUE,$S$4=TRUE),VLOOKUP($E450,'Status Thresholds'!$E:$AS,18,FALSE),IF(AND($Q$1=TRUE,$S$4=TRUE),VLOOKUP($E450,'Status Thresholds'!$E:$AS,8,FALSE),IF(AND($S$3=TRUE,$S$1=TRUE,$S$4=FALSE),VLOOKUP($E450,'Status Thresholds'!$E:$AS,33,FALSE),IF(AND($S$3=TRUE,$S$4=FALSE),VLOOKUP($E450,'Status Thresholds'!$E:$AS,23,FALSE),IF(AND($S$3=TRUE,$S$1=TRUE,$S$4=TRUE),VLOOKUP($E450,'Status Thresholds'!$E:$AS,38,FALSE),IF(AND($S$3=TRUE,$S$4=TRUE),VLOOKUP($E450,'Status Thresholds'!$E:$AS,28,FALSE),""))))))))/IF(OR($Q$3=TRUE,AND($Q$2=TRUE,$Q$7=TRUE),AND($Q$3=TRUE,$Q$7=TRUE))=TRUE,'Shots and Status'!$F$5,IF((OR($Q$2,$Q$7)=TRUE),'Shots and Status'!$D$5,'Shots and Status'!$C$5)))),0),"-")</f>
        <v>-</v>
      </c>
      <c r="J450" s="36" t="str">
        <f>IFERROR(ROUNDUP(IF(AND($Q$1=FALSE,$S$3=FALSE),"-",IF(AND($Q$1=TRUE,$S$3=TRUE),"-",IF(AND($Q$1=TRUE,$S$1=TRUE,$S$4=FALSE),VLOOKUP($E450,'Status Thresholds'!$E:$AS,14,FALSE),IF(AND($Q$1=TRUE,$S$4=FALSE),VLOOKUP($E450,'Status Thresholds'!$E:$AS,4,FALSE), IF(AND($Q$1=TRUE,$S$1=TRUE,$S$4=TRUE),VLOOKUP($E450,'Status Thresholds'!$E:$AS,19,FALSE),IF(AND($Q$1=TRUE,$S$4=TRUE),VLOOKUP($E450,'Status Thresholds'!$E:$AS,9,FALSE),IF(AND($S$3=TRUE,$S$1=TRUE,$S$4=FALSE),VLOOKUP($E450,'Status Thresholds'!$E:$AS,34,FALSE),IF(AND($S$3=TRUE,$S$4=FALSE),VLOOKUP($E450,'Status Thresholds'!$E:$AS,24,FALSE),IF(AND($S$3=TRUE,$S$1=TRUE,$S$4=TRUE),VLOOKUP($E450,'Status Thresholds'!$E:$AS,39,FALSE),IF(AND($S$3=TRUE,$S$4=TRUE),VLOOKUP($E450,'Status Thresholds'!$E:$AS,29,FALSE),""))))))))/IF(OR($Q$3=TRUE,AND($Q$2=TRUE,$Q$7=TRUE),AND($Q$3=TRUE,$Q$7=TRUE))=TRUE,'Shots and Status'!$F$5,IF((OR($Q$2,$Q$7)=TRUE),'Shots and Status'!$D$5,'Shots and Status'!$C$5)))),0),"-")</f>
        <v>-</v>
      </c>
      <c r="K450" s="36" t="str">
        <f>IFERROR(ROUNDUP(IF(AND($Q$1=FALSE,$S$3=FALSE),"-",IF(AND($Q$1=TRUE,$S$3=TRUE),"-",IF(AND($Q$1=TRUE,$S$1=TRUE,$S$4=FALSE),VLOOKUP($E450,'Status Thresholds'!$E:$AS,15,FALSE),IF(AND($Q$1=TRUE,$S$4=FALSE),VLOOKUP($E450,'Status Thresholds'!$E:$AS,5,FALSE), IF(AND($Q$1=TRUE,$S$1=TRUE,$S$4=TRUE),VLOOKUP($E450,'Status Thresholds'!$E:$AS,20,FALSE),IF(AND($Q$1=TRUE,$S$4=TRUE),VLOOKUP($E450,'Status Thresholds'!$E:$AS,10,FALSE),IF(AND($S$3=TRUE,$S$1=TRUE,$S$4=FALSE),VLOOKUP($E450,'Status Thresholds'!$E:$AS,35,FALSE),IF(AND($S$3=TRUE,$S$4=FALSE),VLOOKUP($E450,'Status Thresholds'!$E:$AS,25,FALSE),IF(AND($S$3=TRUE,$S$1=TRUE,$S$4=TRUE),VLOOKUP($E450,'Status Thresholds'!$E:$AS,40,FALSE),IF(AND($S$3=TRUE,$S$4=TRUE),VLOOKUP($E450,'Status Thresholds'!$E:$AS,30,FALSE),""))))))))/IF(OR($Q$3=TRUE,AND($Q$2=TRUE,$Q$7=TRUE),AND($Q$3=TRUE,$Q$7=TRUE))=TRUE,'Shots and Status'!$F$5,IF((OR($Q$2,$Q$7)=TRUE),'Shots and Status'!$D$5,'Shots and Status'!$C$5)))),0),"-")</f>
        <v>-</v>
      </c>
      <c r="L450" s="36" t="str">
        <f>IFERROR(IF(AND($Q$1=FALSE,$S$3=FALSE),"-",VLOOKUP($E450,'Status Thresholds'!$E:$AU,41,FALSE)),"-")</f>
        <v>-</v>
      </c>
      <c r="M450" s="36" t="str">
        <f>IFERROR(IF(AND($Q$1=FALSE,$S$3=FALSE),"-",VLOOKUP($E450,'Status Thresholds'!$E:$AU,42,FALSE)),"-")</f>
        <v>-</v>
      </c>
      <c r="N450" s="36" t="str">
        <f>IFERROR(IF(AND($Q$1=FALSE,$S$3=FALSE),"-",VLOOKUP($E450,'Status Thresholds'!$E:$AU,43,FALSE)),"-")</f>
        <v>-</v>
      </c>
    </row>
    <row r="451" spans="1:14" s="59" customFormat="1" x14ac:dyDescent="0.25">
      <c r="A451" s="46"/>
      <c r="B451" s="64" t="str">
        <f>VLOOKUP(C451,'Status Thresholds'!B:C,2,FALSE)</f>
        <v>MHGen</v>
      </c>
      <c r="C451" s="46" t="str">
        <f>IF(ISBLANK('KO Calc'!C447)=TRUE,"",'KO Calc'!C447)</f>
        <v>Kirin</v>
      </c>
      <c r="D451" s="60" t="s">
        <v>32</v>
      </c>
      <c r="E451" s="62" t="str">
        <f t="shared" si="13"/>
        <v>KirinSleep</v>
      </c>
      <c r="F451" s="59" t="s">
        <v>5</v>
      </c>
      <c r="G451" s="36" t="str">
        <f t="shared" si="14"/>
        <v>KirinSleep lvl 2</v>
      </c>
      <c r="H451" s="36" t="str">
        <f>IFERROR(ROUNDUP(IF(AND($Q$1=FALSE,$S$3=FALSE),"-",IF(AND($Q$1=TRUE,$S$3=TRUE),"-",IF(AND($Q$1=TRUE,$S$1=TRUE,$S$4=FALSE),VLOOKUP($E451,'Status Thresholds'!$E:$AS,12,FALSE),IF(AND($Q$1=TRUE,$S$4=FALSE),VLOOKUP($E451,'Status Thresholds'!$E:$AS,2,FALSE), IF(AND($Q$1=TRUE,$S$1=TRUE,$S$4=TRUE),VLOOKUP($E451,'Status Thresholds'!$E:$AS,17,FALSE),IF(AND($Q$1=TRUE,$S$4=TRUE),VLOOKUP($E451,'Status Thresholds'!$E:$AS,7,FALSE),IF(AND($S$3=TRUE,$S$1=TRUE,$S$4=FALSE),VLOOKUP($E451,'Status Thresholds'!$E:$AS,32,FALSE),IF(AND($S$3=TRUE,$S$4=FALSE),VLOOKUP($E451,'Status Thresholds'!$E:$AS,22,FALSE),IF(AND($S$3=TRUE,$S$1=TRUE,$S$4=TRUE),VLOOKUP($E451,'Status Thresholds'!$E:$AS,37,FALSE),IF(AND($S$3=TRUE,$S$4=TRUE),VLOOKUP($E451,'Status Thresholds'!$E:$AS,27,FALSE),""))))))))/IF(OR($Q$3=TRUE,AND($Q$2=TRUE,$Q$7=TRUE),AND($Q$3=TRUE,$Q$7=TRUE))=TRUE,'Shots and Status'!$F$5,IF((OR($Q$2,$Q$7)=TRUE),'Shots and Status'!$D$5,'Shots and Status'!$C$5)))),0),"-")</f>
        <v>-</v>
      </c>
      <c r="I451" s="36" t="str">
        <f>IFERROR(ROUNDUP(IF(AND($Q$1=FALSE,$S$3=FALSE),"-",IF(AND($Q$1=TRUE,$S$3=TRUE),"-",IF(AND($Q$1=TRUE,$S$1=TRUE,$S$4=FALSE),VLOOKUP($E451,'Status Thresholds'!$E:$AS,13,FALSE),IF(AND($Q$1=TRUE,$S$4=FALSE),VLOOKUP($E451,'Status Thresholds'!$E:$AS,3,FALSE), IF(AND($Q$1=TRUE,$S$1=TRUE,$S$4=TRUE),VLOOKUP($E451,'Status Thresholds'!$E:$AS,18,FALSE),IF(AND($Q$1=TRUE,$S$4=TRUE),VLOOKUP($E451,'Status Thresholds'!$E:$AS,8,FALSE),IF(AND($S$3=TRUE,$S$1=TRUE,$S$4=FALSE),VLOOKUP($E451,'Status Thresholds'!$E:$AS,33,FALSE),IF(AND($S$3=TRUE,$S$4=FALSE),VLOOKUP($E451,'Status Thresholds'!$E:$AS,23,FALSE),IF(AND($S$3=TRUE,$S$1=TRUE,$S$4=TRUE),VLOOKUP($E451,'Status Thresholds'!$E:$AS,38,FALSE),IF(AND($S$3=TRUE,$S$4=TRUE),VLOOKUP($E451,'Status Thresholds'!$E:$AS,28,FALSE),""))))))))/IF(OR($Q$3=TRUE,AND($Q$2=TRUE,$Q$7=TRUE),AND($Q$3=TRUE,$Q$7=TRUE))=TRUE,'Shots and Status'!$F$5,IF((OR($Q$2,$Q$7)=TRUE),'Shots and Status'!$D$5,'Shots and Status'!$C$5)))),0),"-")</f>
        <v>-</v>
      </c>
      <c r="J451" s="36" t="str">
        <f>IFERROR(ROUNDUP(IF(AND($Q$1=FALSE,$S$3=FALSE),"-",IF(AND($Q$1=TRUE,$S$3=TRUE),"-",IF(AND($Q$1=TRUE,$S$1=TRUE,$S$4=FALSE),VLOOKUP($E451,'Status Thresholds'!$E:$AS,14,FALSE),IF(AND($Q$1=TRUE,$S$4=FALSE),VLOOKUP($E451,'Status Thresholds'!$E:$AS,4,FALSE), IF(AND($Q$1=TRUE,$S$1=TRUE,$S$4=TRUE),VLOOKUP($E451,'Status Thresholds'!$E:$AS,19,FALSE),IF(AND($Q$1=TRUE,$S$4=TRUE),VLOOKUP($E451,'Status Thresholds'!$E:$AS,9,FALSE),IF(AND($S$3=TRUE,$S$1=TRUE,$S$4=FALSE),VLOOKUP($E451,'Status Thresholds'!$E:$AS,34,FALSE),IF(AND($S$3=TRUE,$S$4=FALSE),VLOOKUP($E451,'Status Thresholds'!$E:$AS,24,FALSE),IF(AND($S$3=TRUE,$S$1=TRUE,$S$4=TRUE),VLOOKUP($E451,'Status Thresholds'!$E:$AS,39,FALSE),IF(AND($S$3=TRUE,$S$4=TRUE),VLOOKUP($E451,'Status Thresholds'!$E:$AS,29,FALSE),""))))))))/IF(OR($Q$3=TRUE,AND($Q$2=TRUE,$Q$7=TRUE),AND($Q$3=TRUE,$Q$7=TRUE))=TRUE,'Shots and Status'!$F$5,IF((OR($Q$2,$Q$7)=TRUE),'Shots and Status'!$D$5,'Shots and Status'!$C$5)))),0),"-")</f>
        <v>-</v>
      </c>
      <c r="K451" s="36" t="str">
        <f>IFERROR(ROUNDUP(IF(AND($Q$1=FALSE,$S$3=FALSE),"-",IF(AND($Q$1=TRUE,$S$3=TRUE),"-",IF(AND($Q$1=TRUE,$S$1=TRUE,$S$4=FALSE),VLOOKUP($E451,'Status Thresholds'!$E:$AS,15,FALSE),IF(AND($Q$1=TRUE,$S$4=FALSE),VLOOKUP($E451,'Status Thresholds'!$E:$AS,5,FALSE), IF(AND($Q$1=TRUE,$S$1=TRUE,$S$4=TRUE),VLOOKUP($E451,'Status Thresholds'!$E:$AS,20,FALSE),IF(AND($Q$1=TRUE,$S$4=TRUE),VLOOKUP($E451,'Status Thresholds'!$E:$AS,10,FALSE),IF(AND($S$3=TRUE,$S$1=TRUE,$S$4=FALSE),VLOOKUP($E451,'Status Thresholds'!$E:$AS,35,FALSE),IF(AND($S$3=TRUE,$S$4=FALSE),VLOOKUP($E451,'Status Thresholds'!$E:$AS,25,FALSE),IF(AND($S$3=TRUE,$S$1=TRUE,$S$4=TRUE),VLOOKUP($E451,'Status Thresholds'!$E:$AS,40,FALSE),IF(AND($S$3=TRUE,$S$4=TRUE),VLOOKUP($E451,'Status Thresholds'!$E:$AS,30,FALSE),""))))))))/IF(OR($Q$3=TRUE,AND($Q$2=TRUE,$Q$7=TRUE),AND($Q$3=TRUE,$Q$7=TRUE))=TRUE,'Shots and Status'!$F$5,IF((OR($Q$2,$Q$7)=TRUE),'Shots and Status'!$D$5,'Shots and Status'!$C$5)))),0),"-")</f>
        <v>-</v>
      </c>
      <c r="L451" s="36" t="str">
        <f>IFERROR(IF(AND($Q$1=FALSE,$S$3=FALSE),"-",VLOOKUP($E451,'Status Thresholds'!$E:$AU,41,FALSE)),"-")</f>
        <v>-</v>
      </c>
      <c r="M451" s="36" t="str">
        <f>IFERROR(IF(AND($Q$1=FALSE,$S$3=FALSE),"-",VLOOKUP($E451,'Status Thresholds'!$E:$AU,42,FALSE)),"-")</f>
        <v>-</v>
      </c>
      <c r="N451" s="36" t="str">
        <f>IFERROR(IF(AND($Q$1=FALSE,$S$3=FALSE),"-",VLOOKUP($E451,'Status Thresholds'!$E:$AU,43,FALSE)),"-")</f>
        <v>-</v>
      </c>
    </row>
    <row r="452" spans="1:14" s="59" customFormat="1" x14ac:dyDescent="0.25">
      <c r="A452" s="46"/>
      <c r="B452" s="64" t="str">
        <f>VLOOKUP(C452,'Status Thresholds'!B:C,2,FALSE)</f>
        <v>MHGen</v>
      </c>
      <c r="C452" s="46" t="str">
        <f>IF(ISBLANK('KO Calc'!C448)=TRUE,"",'KO Calc'!C448)</f>
        <v>Kirin</v>
      </c>
      <c r="D452" s="58" t="s">
        <v>33</v>
      </c>
      <c r="E452" s="62" t="str">
        <f t="shared" si="13"/>
        <v>KirinPoison</v>
      </c>
      <c r="F452" s="59" t="s">
        <v>6</v>
      </c>
      <c r="G452" s="36" t="str">
        <f t="shared" si="14"/>
        <v>KirinPoison lvl 2</v>
      </c>
      <c r="H452" s="36" t="str">
        <f>IFERROR(ROUNDUP(IF(AND($Q$1=FALSE,$S$3=FALSE),"-",IF(AND($Q$1=TRUE,$S$3=TRUE),"-",IF(AND($Q$1=TRUE,$S$1=TRUE,$S$4=FALSE),VLOOKUP($E452,'Status Thresholds'!$E:$AS,12,FALSE),IF(AND($Q$1=TRUE,$S$4=FALSE),VLOOKUP($E452,'Status Thresholds'!$E:$AS,2,FALSE), IF(AND($Q$1=TRUE,$S$1=TRUE,$S$4=TRUE),VLOOKUP($E452,'Status Thresholds'!$E:$AS,17,FALSE),IF(AND($Q$1=TRUE,$S$4=TRUE),VLOOKUP($E452,'Status Thresholds'!$E:$AS,7,FALSE),IF(AND($S$3=TRUE,$S$1=TRUE,$S$4=FALSE),VLOOKUP($E452,'Status Thresholds'!$E:$AS,32,FALSE),IF(AND($S$3=TRUE,$S$4=FALSE),VLOOKUP($E452,'Status Thresholds'!$E:$AS,22,FALSE),IF(AND($S$3=TRUE,$S$1=TRUE,$S$4=TRUE),VLOOKUP($E452,'Status Thresholds'!$E:$AS,37,FALSE),IF(AND($S$3=TRUE,$S$4=TRUE),VLOOKUP($E452,'Status Thresholds'!$E:$AS,27,FALSE),""))))))))/IF(OR($Q$3=TRUE,AND($Q$2=TRUE,$Q$7=TRUE),AND($Q$3=TRUE,$Q$7=TRUE))=TRUE,'Shots and Status'!$F$5,IF((OR($Q$2,$Q$7)=TRUE),'Shots and Status'!$D$5,'Shots and Status'!$C$5)))),0),"-")</f>
        <v>-</v>
      </c>
      <c r="I452" s="36" t="str">
        <f>IFERROR(ROUNDUP(IF(AND($Q$1=FALSE,$S$3=FALSE),"-",IF(AND($Q$1=TRUE,$S$3=TRUE),"-",IF(AND($Q$1=TRUE,$S$1=TRUE,$S$4=FALSE),VLOOKUP($E452,'Status Thresholds'!$E:$AS,13,FALSE),IF(AND($Q$1=TRUE,$S$4=FALSE),VLOOKUP($E452,'Status Thresholds'!$E:$AS,3,FALSE), IF(AND($Q$1=TRUE,$S$1=TRUE,$S$4=TRUE),VLOOKUP($E452,'Status Thresholds'!$E:$AS,18,FALSE),IF(AND($Q$1=TRUE,$S$4=TRUE),VLOOKUP($E452,'Status Thresholds'!$E:$AS,8,FALSE),IF(AND($S$3=TRUE,$S$1=TRUE,$S$4=FALSE),VLOOKUP($E452,'Status Thresholds'!$E:$AS,33,FALSE),IF(AND($S$3=TRUE,$S$4=FALSE),VLOOKUP($E452,'Status Thresholds'!$E:$AS,23,FALSE),IF(AND($S$3=TRUE,$S$1=TRUE,$S$4=TRUE),VLOOKUP($E452,'Status Thresholds'!$E:$AS,38,FALSE),IF(AND($S$3=TRUE,$S$4=TRUE),VLOOKUP($E452,'Status Thresholds'!$E:$AS,28,FALSE),""))))))))/IF(OR($Q$3=TRUE,AND($Q$2=TRUE,$Q$7=TRUE),AND($Q$3=TRUE,$Q$7=TRUE))=TRUE,'Shots and Status'!$F$5,IF((OR($Q$2,$Q$7)=TRUE),'Shots and Status'!$D$5,'Shots and Status'!$C$5)))),0),"-")</f>
        <v>-</v>
      </c>
      <c r="J452" s="36" t="str">
        <f>IFERROR(ROUNDUP(IF(AND($Q$1=FALSE,$S$3=FALSE),"-",IF(AND($Q$1=TRUE,$S$3=TRUE),"-",IF(AND($Q$1=TRUE,$S$1=TRUE,$S$4=FALSE),VLOOKUP($E452,'Status Thresholds'!$E:$AS,14,FALSE),IF(AND($Q$1=TRUE,$S$4=FALSE),VLOOKUP($E452,'Status Thresholds'!$E:$AS,4,FALSE), IF(AND($Q$1=TRUE,$S$1=TRUE,$S$4=TRUE),VLOOKUP($E452,'Status Thresholds'!$E:$AS,19,FALSE),IF(AND($Q$1=TRUE,$S$4=TRUE),VLOOKUP($E452,'Status Thresholds'!$E:$AS,9,FALSE),IF(AND($S$3=TRUE,$S$1=TRUE,$S$4=FALSE),VLOOKUP($E452,'Status Thresholds'!$E:$AS,34,FALSE),IF(AND($S$3=TRUE,$S$4=FALSE),VLOOKUP($E452,'Status Thresholds'!$E:$AS,24,FALSE),IF(AND($S$3=TRUE,$S$1=TRUE,$S$4=TRUE),VLOOKUP($E452,'Status Thresholds'!$E:$AS,39,FALSE),IF(AND($S$3=TRUE,$S$4=TRUE),VLOOKUP($E452,'Status Thresholds'!$E:$AS,29,FALSE),""))))))))/IF(OR($Q$3=TRUE,AND($Q$2=TRUE,$Q$7=TRUE),AND($Q$3=TRUE,$Q$7=TRUE))=TRUE,'Shots and Status'!$F$5,IF((OR($Q$2,$Q$7)=TRUE),'Shots and Status'!$D$5,'Shots and Status'!$C$5)))),0),"-")</f>
        <v>-</v>
      </c>
      <c r="K452" s="36" t="str">
        <f>IFERROR(ROUNDUP(IF(AND($Q$1=FALSE,$S$3=FALSE),"-",IF(AND($Q$1=TRUE,$S$3=TRUE),"-",IF(AND($Q$1=TRUE,$S$1=TRUE,$S$4=FALSE),VLOOKUP($E452,'Status Thresholds'!$E:$AS,15,FALSE),IF(AND($Q$1=TRUE,$S$4=FALSE),VLOOKUP($E452,'Status Thresholds'!$E:$AS,5,FALSE), IF(AND($Q$1=TRUE,$S$1=TRUE,$S$4=TRUE),VLOOKUP($E452,'Status Thresholds'!$E:$AS,20,FALSE),IF(AND($Q$1=TRUE,$S$4=TRUE),VLOOKUP($E452,'Status Thresholds'!$E:$AS,10,FALSE),IF(AND($S$3=TRUE,$S$1=TRUE,$S$4=FALSE),VLOOKUP($E452,'Status Thresholds'!$E:$AS,35,FALSE),IF(AND($S$3=TRUE,$S$4=FALSE),VLOOKUP($E452,'Status Thresholds'!$E:$AS,25,FALSE),IF(AND($S$3=TRUE,$S$1=TRUE,$S$4=TRUE),VLOOKUP($E452,'Status Thresholds'!$E:$AS,40,FALSE),IF(AND($S$3=TRUE,$S$4=TRUE),VLOOKUP($E452,'Status Thresholds'!$E:$AS,30,FALSE),""))))))))/IF(OR($Q$3=TRUE,AND($Q$2=TRUE,$Q$7=TRUE),AND($Q$3=TRUE,$Q$7=TRUE))=TRUE,'Shots and Status'!$F$5,IF((OR($Q$2,$Q$7)=TRUE),'Shots and Status'!$D$5,'Shots and Status'!$C$5)))),0),"-")</f>
        <v>-</v>
      </c>
      <c r="L452" s="36" t="str">
        <f>IFERROR(IF(AND($Q$1=FALSE,$S$3=FALSE),"-",VLOOKUP($E452,'Status Thresholds'!$E:$AU,41,FALSE)),"-")</f>
        <v>-</v>
      </c>
      <c r="M452" s="36" t="str">
        <f>IFERROR(IF(AND($Q$1=FALSE,$S$3=FALSE),"-",VLOOKUP($E452,'Status Thresholds'!$E:$AU,42,FALSE)),"-")</f>
        <v>-</v>
      </c>
      <c r="N452" s="36" t="str">
        <f>IFERROR(IF(AND($Q$1=FALSE,$S$3=FALSE),"-",VLOOKUP($E452,'Status Thresholds'!$E:$AU,43,FALSE)),"-")</f>
        <v>-</v>
      </c>
    </row>
    <row r="453" spans="1:14" s="36" customFormat="1" x14ac:dyDescent="0.25">
      <c r="A453" s="46"/>
      <c r="B453" s="64" t="str">
        <f>VLOOKUP(C453,'Status Thresholds'!B:C,2,FALSE)</f>
        <v>MHGen</v>
      </c>
      <c r="C453" s="46" t="str">
        <f>IF(ISBLANK('KO Calc'!C449)=TRUE,"",'KO Calc'!C449)</f>
        <v>Kirin</v>
      </c>
      <c r="D453" s="57" t="s">
        <v>22</v>
      </c>
      <c r="E453" s="62" t="str">
        <f t="shared" si="13"/>
        <v>KirinExhaust</v>
      </c>
      <c r="F453" s="36" t="s">
        <v>8</v>
      </c>
      <c r="G453" s="36" t="str">
        <f t="shared" si="14"/>
        <v>KirinExhaust lvl 2</v>
      </c>
      <c r="H453" s="36" t="str">
        <f>IFERROR(ROUNDUP(IF(AND($Q$1=FALSE,$S$3=FALSE),"-",IF(AND($Q$1=TRUE,$S$3=TRUE),"-",IF(AND($Q$1=TRUE,$S$1=TRUE,$S$4=FALSE),VLOOKUP($E453,'Status Thresholds'!$E:$AS,12,FALSE),IF(AND($Q$1=TRUE,$S$4=FALSE),VLOOKUP($E453,'Status Thresholds'!$E:$AS,2,FALSE), IF(AND($Q$1=TRUE,$S$1=TRUE,$S$4=TRUE),VLOOKUP($E453,'Status Thresholds'!$E:$AS,17,FALSE),IF(AND($Q$1=TRUE,$S$4=TRUE),VLOOKUP($E453,'Status Thresholds'!$E:$AS,7,FALSE),IF(AND($S$3=TRUE,$S$1=TRUE,$S$4=FALSE),VLOOKUP($E453,'Status Thresholds'!$E:$AS,32,FALSE),IF(AND($S$3=TRUE,$S$4=FALSE),VLOOKUP($E453,'Status Thresholds'!$E:$AS,22,FALSE),IF(AND($S$3=TRUE,$S$1=TRUE,$S$4=TRUE),VLOOKUP($E453,'Status Thresholds'!$E:$AS,37,FALSE),IF(AND($S$3=TRUE,$S$4=TRUE),VLOOKUP($E453,'Status Thresholds'!$E:$AS,27,FALSE),""))))))))/IF(OR($Q$3=TRUE,AND($Q$2=TRUE,$Q$7=TRUE),AND($Q$3=TRUE,$Q$7=TRUE))=TRUE,'Shots and Status'!$F$5,IF((OR($Q$2,$Q$7)=TRUE),'Shots and Status'!$D$5,'Shots and Status'!$C$5)))),0),"-")</f>
        <v>-</v>
      </c>
      <c r="I453" s="36" t="str">
        <f>IFERROR(ROUNDUP(IF(AND($Q$1=FALSE,$S$3=FALSE),"-",IF(AND($Q$1=TRUE,$S$3=TRUE),"-",IF(AND($Q$1=TRUE,$S$1=TRUE,$S$4=FALSE),VLOOKUP($E453,'Status Thresholds'!$E:$AS,13,FALSE),IF(AND($Q$1=TRUE,$S$4=FALSE),VLOOKUP($E453,'Status Thresholds'!$E:$AS,3,FALSE), IF(AND($Q$1=TRUE,$S$1=TRUE,$S$4=TRUE),VLOOKUP($E453,'Status Thresholds'!$E:$AS,18,FALSE),IF(AND($Q$1=TRUE,$S$4=TRUE),VLOOKUP($E453,'Status Thresholds'!$E:$AS,8,FALSE),IF(AND($S$3=TRUE,$S$1=TRUE,$S$4=FALSE),VLOOKUP($E453,'Status Thresholds'!$E:$AS,33,FALSE),IF(AND($S$3=TRUE,$S$4=FALSE),VLOOKUP($E453,'Status Thresholds'!$E:$AS,23,FALSE),IF(AND($S$3=TRUE,$S$1=TRUE,$S$4=TRUE),VLOOKUP($E453,'Status Thresholds'!$E:$AS,38,FALSE),IF(AND($S$3=TRUE,$S$4=TRUE),VLOOKUP($E453,'Status Thresholds'!$E:$AS,28,FALSE),""))))))))/IF(OR($Q$3=TRUE,AND($Q$2=TRUE,$Q$7=TRUE),AND($Q$3=TRUE,$Q$7=TRUE))=TRUE,'Shots and Status'!$F$5,IF((OR($Q$2,$Q$7)=TRUE),'Shots and Status'!$D$5,'Shots and Status'!$C$5)))),0),"-")</f>
        <v>-</v>
      </c>
      <c r="J453" s="36" t="str">
        <f>IFERROR(ROUNDUP(IF(AND($Q$1=FALSE,$S$3=FALSE),"-",IF(AND($Q$1=TRUE,$S$3=TRUE),"-",IF(AND($Q$1=TRUE,$S$1=TRUE,$S$4=FALSE),VLOOKUP($E453,'Status Thresholds'!$E:$AS,14,FALSE),IF(AND($Q$1=TRUE,$S$4=FALSE),VLOOKUP($E453,'Status Thresholds'!$E:$AS,4,FALSE), IF(AND($Q$1=TRUE,$S$1=TRUE,$S$4=TRUE),VLOOKUP($E453,'Status Thresholds'!$E:$AS,19,FALSE),IF(AND($Q$1=TRUE,$S$4=TRUE),VLOOKUP($E453,'Status Thresholds'!$E:$AS,9,FALSE),IF(AND($S$3=TRUE,$S$1=TRUE,$S$4=FALSE),VLOOKUP($E453,'Status Thresholds'!$E:$AS,34,FALSE),IF(AND($S$3=TRUE,$S$4=FALSE),VLOOKUP($E453,'Status Thresholds'!$E:$AS,24,FALSE),IF(AND($S$3=TRUE,$S$1=TRUE,$S$4=TRUE),VLOOKUP($E453,'Status Thresholds'!$E:$AS,39,FALSE),IF(AND($S$3=TRUE,$S$4=TRUE),VLOOKUP($E453,'Status Thresholds'!$E:$AS,29,FALSE),""))))))))/IF(OR($Q$3=TRUE,AND($Q$2=TRUE,$Q$7=TRUE),AND($Q$3=TRUE,$Q$7=TRUE))=TRUE,'Shots and Status'!$F$5,IF((OR($Q$2,$Q$7)=TRUE),'Shots and Status'!$D$5,'Shots and Status'!$C$5)))),0),"-")</f>
        <v>-</v>
      </c>
      <c r="K453" s="36" t="str">
        <f>IFERROR(ROUNDUP(IF(AND($Q$1=FALSE,$S$3=FALSE),"-",IF(AND($Q$1=TRUE,$S$3=TRUE),"-",IF(AND($Q$1=TRUE,$S$1=TRUE,$S$4=FALSE),VLOOKUP($E453,'Status Thresholds'!$E:$AS,15,FALSE),IF(AND($Q$1=TRUE,$S$4=FALSE),VLOOKUP($E453,'Status Thresholds'!$E:$AS,5,FALSE), IF(AND($Q$1=TRUE,$S$1=TRUE,$S$4=TRUE),VLOOKUP($E453,'Status Thresholds'!$E:$AS,20,FALSE),IF(AND($Q$1=TRUE,$S$4=TRUE),VLOOKUP($E453,'Status Thresholds'!$E:$AS,10,FALSE),IF(AND($S$3=TRUE,$S$1=TRUE,$S$4=FALSE),VLOOKUP($E453,'Status Thresholds'!$E:$AS,35,FALSE),IF(AND($S$3=TRUE,$S$4=FALSE),VLOOKUP($E453,'Status Thresholds'!$E:$AS,25,FALSE),IF(AND($S$3=TRUE,$S$1=TRUE,$S$4=TRUE),VLOOKUP($E453,'Status Thresholds'!$E:$AS,40,FALSE),IF(AND($S$3=TRUE,$S$4=TRUE),VLOOKUP($E453,'Status Thresholds'!$E:$AS,30,FALSE),""))))))))/IF(OR($Q$3=TRUE,AND($Q$2=TRUE,$Q$7=TRUE),AND($Q$3=TRUE,$Q$7=TRUE))=TRUE,'Shots and Status'!$F$5,IF((OR($Q$2,$Q$7)=TRUE),'Shots and Status'!$D$5,'Shots and Status'!$C$5)))),0),"-")</f>
        <v>-</v>
      </c>
      <c r="L453" s="36" t="str">
        <f>IFERROR(IF(AND($Q$1=FALSE,$S$3=FALSE),"-",VLOOKUP($E453,'Status Thresholds'!$E:$AU,41,FALSE)),"-")</f>
        <v>-</v>
      </c>
      <c r="M453" s="36" t="str">
        <f>IFERROR(IF(AND($Q$1=FALSE,$S$3=FALSE),"-",VLOOKUP($E453,'Status Thresholds'!$E:$AU,42,FALSE)),"-")</f>
        <v>-</v>
      </c>
      <c r="N453" s="36" t="str">
        <f>IFERROR(IF(AND($Q$1=FALSE,$S$3=FALSE),"-",VLOOKUP($E453,'Status Thresholds'!$E:$AU,43,FALSE)),"-")</f>
        <v>-</v>
      </c>
    </row>
    <row r="454" spans="1:14" s="36" customFormat="1" x14ac:dyDescent="0.25">
      <c r="A454" s="46"/>
      <c r="B454" s="64" t="str">
        <f>VLOOKUP(C454,'Status Thresholds'!B:C,2,FALSE)</f>
        <v>MHGen</v>
      </c>
      <c r="C454" s="46" t="str">
        <f>IF(ISBLANK('KO Calc'!C450)=TRUE,"",'KO Calc'!C450)</f>
        <v>Kirin</v>
      </c>
      <c r="D454" s="67" t="s">
        <v>14</v>
      </c>
      <c r="E454" s="62" t="str">
        <f t="shared" si="13"/>
        <v>KirinKO</v>
      </c>
      <c r="F454" s="36" t="s">
        <v>21</v>
      </c>
      <c r="G454" s="36" t="str">
        <f t="shared" si="14"/>
        <v>KirinTriblast</v>
      </c>
      <c r="H454" s="36" t="str">
        <f>IF(AND($Q$1=FALSE,$S$3=FALSE),"-",IF(AND($Q$1=TRUE,$S$3=TRUE),"-",IF(AND($Q$1=FALSE,$S$3=FALSE),"-",IF(AND($Q$1=TRUE,$S$1=TRUE,$S$4=FALSE)=TRUE,IF(OR($Q$4=TRUE,$Q$5=TRUE,$S$2=TRUE),VLOOKUP($G454,'KO Calc'!$H:$AW,12,FALSE),VLOOKUP($G454,'KO Calc'!$H460:$AW460,12,FALSE)),IF(AND($Q$1=TRUE,$S$4=FALSE),IF(OR($Q$4=TRUE,$Q$5=TRUE,$S$2=TRUE),VLOOKUP($G454,'KO Calc'!$H:$AW,2,FALSE),VLOOKUP($G454,'KO Calc'!$H460:$AW460,2,FALSE)),
IF(AND($Q$1=TRUE,$S$1=TRUE,$S$4=TRUE)=TRUE,IF(OR($Q$4=TRUE,$Q$5=TRUE,$S$2=TRUE),VLOOKUP($G454,'KO Calc'!$H:$AW,17,FALSE),VLOOKUP($G454,'KO Calc'!$H460:$AW460,17,FALSE)),IF(AND($Q$1=TRUE,$S$4=TRUE),IF(OR($Q$4=TRUE,$Q$5=TRUE,$S$2=TRUE),VLOOKUP($G454,'KO Calc'!$H:$AW,7,FALSE),VLOOKUP($G454,'KO Calc'!$H460:$AW460,7,FALSE)),
IF(AND($S$3=TRUE,$S$1=TRUE,$S$4=FALSE)=TRUE,IF(OR($Q$4=TRUE,$Q$5=TRUE,$S$2=TRUE),VLOOKUP($G454,'KO Calc'!$H:$AW,32,FALSE),VLOOKUP($G454,'KO Calc'!$H460:$AW460,32,FALSE)),IF(AND($S$3=TRUE,$S$4=FALSE),IF(OR($Q$4=TRUE,$Q$5=TRUE,$S$2=TRUE),VLOOKUP($G454,'KO Calc'!$H:$AW,22,FALSE),VLOOKUP($G454,'KO Calc'!$H460:$AW460,22,FALSE)),
IF(AND($S$3=TRUE,$S$1=TRUE,$S$4=TRUE)=TRUE,IF(OR($Q$4=TRUE,$Q$5=TRUE,$S$2=TRUE),VLOOKUP($G454,'KO Calc'!$H:$AW,37,FALSE),VLOOKUP($G454,'KO Calc'!$H460:$AW460,37,FALSE)),IF(AND($S$3=TRUE,$S$4=TRUE),IF(OR($Q$4=TRUE,$Q$5=TRUE,$S$2=TRUE),VLOOKUP($G454,'KO Calc'!$H:$AW,27,FALSE),VLOOKUP($G454,'KO Calc'!$H460:$AW460,27,FALSE)))))))))))))</f>
        <v>-</v>
      </c>
      <c r="I454" s="36" t="str">
        <f>IF(AND($Q$1=FALSE,$S$3=FALSE),"-",IF(AND($Q$1=TRUE,$S$3=TRUE),"-",IF(AND($Q$1=FALSE,$S$3=FALSE),"-",IF(AND($Q$1=TRUE,$S$1=TRUE,$S$4=FALSE)=TRUE,IF(OR($Q$4=TRUE,$Q$5=TRUE,$S$2=TRUE),VLOOKUP($G454,'KO Calc'!$H:$AW,13,FALSE),VLOOKUP($G454,'KO Calc'!$H460:$AW460,13,FALSE)),IF(AND($Q$1=TRUE,$S$4=FALSE),IF(OR($Q$4=TRUE,$Q$5=TRUE,$S$2=TRUE),VLOOKUP($G454,'KO Calc'!$H:$AW,3,FALSE),VLOOKUP($G454,'KO Calc'!$H460:$AW460,3,FALSE)),
IF(AND($Q$1=TRUE,$S$1=TRUE,$S$4=TRUE)=TRUE,IF(OR($Q$4=TRUE,$Q$5=TRUE,$S$2=TRUE),VLOOKUP($G454,'KO Calc'!$H:$AW,18,FALSE),VLOOKUP($G454,'KO Calc'!$H460:$AW460,18,FALSE)),IF(AND($Q$1=TRUE,$S$4=TRUE),IF(OR($Q$4=TRUE,$Q$5=TRUE,$S$2=TRUE),VLOOKUP($G454,'KO Calc'!$H:$AW,8,FALSE),VLOOKUP($G454,'KO Calc'!$H460:$AW460,8,FALSE)),
IF(AND($S$3=TRUE,$S$1=TRUE,$S$4=FALSE)=TRUE,IF(OR($Q$4=TRUE,$Q$5=TRUE,$S$2=TRUE),VLOOKUP($G454,'KO Calc'!$H:$AW,33,FALSE),VLOOKUP($G454,'KO Calc'!$H460:$AW460,33,FALSE)),IF(AND($S$3=TRUE,$S$4=FALSE),IF(OR($Q$4=TRUE,$Q$5=TRUE,$S$2=TRUE),VLOOKUP($G454,'KO Calc'!$H:$AW,23,FALSE),VLOOKUP($G454,'KO Calc'!$H460:$AW460,23,FALSE)),
IF(AND($S$3=TRUE,$S$1=TRUE,$S$4=TRUE)=TRUE,IF(OR($Q$4=TRUE,$Q$5=TRUE,$S$2=TRUE),VLOOKUP($G454,'KO Calc'!$H:$AW,38,FALSE),VLOOKUP($G454,'KO Calc'!$H460:$AW460,38,FALSE)),IF(AND($S$3=TRUE,$S$4=TRUE),IF(OR($Q$4=TRUE,$Q$5=TRUE,$S$2=TRUE),VLOOKUP($G454,'KO Calc'!$H:$AW,28,FALSE),VLOOKUP($G454,'KO Calc'!$H460:$AW460,28,FALSE)))))))))))))</f>
        <v>-</v>
      </c>
      <c r="J454" s="36" t="str">
        <f>IF(AND($Q$1=FALSE,$S$3=FALSE),"-",IF(AND($Q$1=TRUE,$S$3=TRUE),"-",IF(AND($Q$1=FALSE,$S$3=FALSE),"-",IF(AND($Q$1=TRUE,$S$1=TRUE,$S$4=FALSE)=TRUE,IF(OR($Q$4=TRUE,$Q$5=TRUE,$S$2=TRUE),VLOOKUP($G454,'KO Calc'!$H:$AW,FALSE),VLOOKUP($G454,'KO Calc'!$H460:$AW460,14,FALSE)),IF(AND($Q$1=TRUE,$S$4=FALSE),IF(OR($Q$4=TRUE,$Q$5=TRUE,$S$2=TRUE),VLOOKUP($G454,'KO Calc'!$H:$AW,4,FALSE),VLOOKUP($G454,'KO Calc'!$H460:$AW460,4,FALSE)),
IF(AND($Q$1=TRUE,$S$1=TRUE,$S$4=TRUE)=TRUE,IF(OR($Q$4=TRUE,$Q$5=TRUE,$S$2=TRUE),VLOOKUP($G454,'KO Calc'!$H:$AW,19,FALSE),VLOOKUP($G454,'KO Calc'!$H460:$AW460,19,FALSE)),IF(AND($Q$1=TRUE,$S$4=TRUE),IF(OR($Q$4=TRUE,$Q$5=TRUE,$S$2=TRUE),VLOOKUP($G454,'KO Calc'!$H:$AW,9,FALSE),VLOOKUP($G454,'KO Calc'!$H460:$AW460,9,FALSE)),
IF(AND($S$3=TRUE,$S$1=TRUE,$S$4=FALSE)=TRUE,IF(OR($Q$4=TRUE,$Q$5=TRUE,$S$2=TRUE),VLOOKUP($G454,'KO Calc'!$H:$AW,34,FALSE),VLOOKUP($G454,'KO Calc'!$H460:$AW460,34,FALSE)),IF(AND($S$3=TRUE,$S$4=FALSE),IF(OR($Q$4=TRUE,$Q$5=TRUE,$S$2=TRUE),VLOOKUP($G454,'KO Calc'!$H:$AW,24,FALSE),VLOOKUP($G454,'KO Calc'!$H460:$AW460,24,FALSE)),
IF(AND($S$3=TRUE,$S$1=TRUE,$S$4=TRUE)=TRUE,IF(OR($Q$4=TRUE,$Q$5=TRUE,$S$2=TRUE),VLOOKUP($G454,'KO Calc'!$H:$AW,39,FALSE),VLOOKUP($G454,'KO Calc'!$H460:$AW460,39,FALSE)),IF(AND($S$3=TRUE,$S$4=TRUE),IF(OR($Q$4=TRUE,$Q$5=TRUE,$S$2=TRUE),VLOOKUP($G454,'KO Calc'!$H:$AW,29,FALSE),VLOOKUP($G454,'KO Calc'!$H460:$AW460,29,FALSE)))))))))))))</f>
        <v>-</v>
      </c>
      <c r="K454" s="36" t="str">
        <f>IF(AND($Q$1=FALSE,$S$3=FALSE),"-",IF(AND($Q$1=TRUE,$S$3=TRUE),"-",IF(AND($Q$1=FALSE,$S$3=FALSE),"-",IF(AND($Q$1=TRUE,$S$1=TRUE,$S$4=FALSE)=TRUE,IF(OR($Q$4=TRUE,$Q$5=TRUE,$S$2=TRUE),VLOOKUP($G454,'KO Calc'!$H:$AW,15,FALSE),VLOOKUP($G454,'KO Calc'!$H460:$AW460,15,FALSE)),IF(AND($Q$1=TRUE,$S$4=FALSE),IF(OR($Q$4=TRUE,$Q$5=TRUE,$S$2=TRUE),VLOOKUP($G454,'KO Calc'!$H:$AW,5,FALSE),VLOOKUP($G454,'KO Calc'!$H460:$AW460,5,FALSE)),
IF(AND($Q$1=TRUE,$S$1=TRUE,$S$4=TRUE)=TRUE,IF(OR($Q$4=TRUE,$Q$5=TRUE,$S$2=TRUE),VLOOKUP($G454,'KO Calc'!$H:$AW,20,FALSE),VLOOKUP($G454,'KO Calc'!$H460:$AW460,20,FALSE)),IF(AND($Q$1=TRUE,$S$4=TRUE),IF(OR($Q$4=TRUE,$Q$5=TRUE,$S$2=TRUE),VLOOKUP($G454,'KO Calc'!$H:$AW,10,FALSE),VLOOKUP($G454,'KO Calc'!$H460:$AW460,10,FALSE)),
IF(AND($S$3=TRUE,$S$1=TRUE,$S$4=FALSE)=TRUE,IF(OR($Q$4=TRUE,$Q$5=TRUE,$S$2=TRUE),VLOOKUP($G454,'KO Calc'!$H:$AW,35,FALSE),VLOOKUP($G454,'KO Calc'!$H460:$AW460,35,FALSE)),IF(AND($S$3=TRUE,$S$4=FALSE),IF(OR($Q$4=TRUE,$Q$5=TRUE,$S$2=TRUE),VLOOKUP($G454,'KO Calc'!$H:$AW,25,FALSE),VLOOKUP($G454,'KO Calc'!$H460:$AW460,25,FALSE)),
IF(AND($S$3=TRUE,$S$1=TRUE,$S$4=TRUE)=TRUE,IF(OR($Q$4=TRUE,$Q$5=TRUE,$S$2=TRUE),VLOOKUP($G454,'KO Calc'!$H:$AW,40,FALSE),VLOOKUP($G454,'KO Calc'!$H460:$AW460,40,FALSE)),IF(AND($S$3=TRUE,$S$4=TRUE),IF(OR($Q$4=TRUE,$Q$5=TRUE,$S$2=TRUE),VLOOKUP($G454,'KO Calc'!$H:$AW,30,FALSE),VLOOKUP($G454,'KO Calc'!$H460:$AW460,30,FALSE)))))))))))))</f>
        <v>-</v>
      </c>
      <c r="L454" s="36" t="str">
        <f>IFERROR(IF(AND($Q$1=FALSE,$S$3=FALSE),"-",VLOOKUP($E454,'Status Thresholds'!$E:$AU,41,FALSE)),"-")</f>
        <v>-</v>
      </c>
      <c r="M454" s="36" t="str">
        <f>IFERROR(IF(AND($Q$1=FALSE,$S$3=FALSE),"-",VLOOKUP($E454,'Status Thresholds'!$E:$AU,42,FALSE)),"-")</f>
        <v>-</v>
      </c>
      <c r="N454" s="36" t="str">
        <f>IFERROR(IF(AND($Q$1=FALSE,$S$3=FALSE),"-",VLOOKUP($E454,'Status Thresholds'!$E:$AU,43,FALSE)),"-")</f>
        <v>-</v>
      </c>
    </row>
    <row r="455" spans="1:14" x14ac:dyDescent="0.25">
      <c r="B455" s="64" t="str">
        <f>VLOOKUP(C455,'Status Thresholds'!B:C,2,FALSE)</f>
        <v>MHGen</v>
      </c>
      <c r="C455" s="46" t="str">
        <f>IF(ISBLANK('KO Calc'!C451)=TRUE,"",'KO Calc'!C451)</f>
        <v>Kirin</v>
      </c>
      <c r="D455" s="78" t="s">
        <v>207</v>
      </c>
      <c r="E455" s="62" t="str">
        <f t="shared" si="13"/>
        <v>KirinShock Trap</v>
      </c>
      <c r="F455" t="s">
        <v>13</v>
      </c>
      <c r="G455" s="36" t="str">
        <f t="shared" si="14"/>
        <v>KirinCrag 3</v>
      </c>
      <c r="H455" s="36" t="str">
        <f>IF(AND($Q$1=FALSE,$S$3=FALSE),"-",IF(AND($Q$1=TRUE,$S$3=TRUE),"-",IF(AND($Q$1=FALSE,$S$3=FALSE),"-",IF(AND($Q$1=TRUE,$S$1=TRUE,$S$4=FALSE)=TRUE,IF(OR($Q$4=TRUE,$Q$5=TRUE,$S$2=TRUE),VLOOKUP($G455,'KO Calc'!$H:$AW,12,FALSE),VLOOKUP($G455,'KO Calc'!$H461:$AW461,12,FALSE)),IF(AND($Q$1=TRUE,$S$4=FALSE),IF(OR($Q$4=TRUE,$Q$5=TRUE,$S$2=TRUE),VLOOKUP($G455,'KO Calc'!$H:$AW,2,FALSE),VLOOKUP($G455,'KO Calc'!$H461:$AW461,2,FALSE)),
IF(AND($Q$1=TRUE,$S$1=TRUE,$S$4=TRUE)=TRUE,IF(OR($Q$4=TRUE,$Q$5=TRUE,$S$2=TRUE),VLOOKUP($G455,'KO Calc'!$H:$AW,17,FALSE),VLOOKUP($G455,'KO Calc'!$H461:$AW461,17,FALSE)),IF(AND($Q$1=TRUE,$S$4=TRUE),IF(OR($Q$4=TRUE,$Q$5=TRUE,$S$2=TRUE),VLOOKUP($G455,'KO Calc'!$H:$AW,7,FALSE),VLOOKUP($G455,'KO Calc'!$H461:$AW461,7,FALSE)),
IF(AND($S$3=TRUE,$S$1=TRUE,$S$4=FALSE)=TRUE,IF(OR($Q$4=TRUE,$Q$5=TRUE,$S$2=TRUE),VLOOKUP($G455,'KO Calc'!$H:$AW,32,FALSE),VLOOKUP($G455,'KO Calc'!$H461:$AW461,32,FALSE)),IF(AND($S$3=TRUE,$S$4=FALSE),IF(OR($Q$4=TRUE,$Q$5=TRUE,$S$2=TRUE),VLOOKUP($G455,'KO Calc'!$H:$AW,22,FALSE),VLOOKUP($G455,'KO Calc'!$H461:$AW461,22,FALSE)),
IF(AND($S$3=TRUE,$S$1=TRUE,$S$4=TRUE)=TRUE,IF(OR($Q$4=TRUE,$Q$5=TRUE,$S$2=TRUE),VLOOKUP($G455,'KO Calc'!$H:$AW,37,FALSE),VLOOKUP($G455,'KO Calc'!$H461:$AW461,37,FALSE)),IF(AND($S$3=TRUE,$S$4=TRUE),IF(OR($Q$4=TRUE,$Q$5=TRUE,$S$2=TRUE),VLOOKUP($G455,'KO Calc'!$H:$AW,27,FALSE),VLOOKUP($G455,'KO Calc'!$H461:$AW461,27,FALSE)))))))))))))</f>
        <v>-</v>
      </c>
      <c r="I455" s="36" t="str">
        <f>IF(AND($Q$1=FALSE,$S$3=FALSE),"-",IF(AND($Q$1=TRUE,$S$3=TRUE),"-",IF(AND($Q$1=FALSE,$S$3=FALSE),"-",IF(AND($Q$1=TRUE,$S$1=TRUE,$S$4=FALSE)=TRUE,IF(OR($Q$4=TRUE,$Q$5=TRUE,$S$2=TRUE),VLOOKUP($G455,'KO Calc'!$H:$AW,13,FALSE),VLOOKUP($G455,'KO Calc'!$H461:$AW461,13,FALSE)),IF(AND($Q$1=TRUE,$S$4=FALSE),IF(OR($Q$4=TRUE,$Q$5=TRUE,$S$2=TRUE),VLOOKUP($G455,'KO Calc'!$H:$AW,3,FALSE),VLOOKUP($G455,'KO Calc'!$H461:$AW461,3,FALSE)),
IF(AND($Q$1=TRUE,$S$1=TRUE,$S$4=TRUE)=TRUE,IF(OR($Q$4=TRUE,$Q$5=TRUE,$S$2=TRUE),VLOOKUP($G455,'KO Calc'!$H:$AW,18,FALSE),VLOOKUP($G455,'KO Calc'!$H461:$AW461,18,FALSE)),IF(AND($Q$1=TRUE,$S$4=TRUE),IF(OR($Q$4=TRUE,$Q$5=TRUE,$S$2=TRUE),VLOOKUP($G455,'KO Calc'!$H:$AW,8,FALSE),VLOOKUP($G455,'KO Calc'!$H461:$AW461,8,FALSE)),
IF(AND($S$3=TRUE,$S$1=TRUE,$S$4=FALSE)=TRUE,IF(OR($Q$4=TRUE,$Q$5=TRUE,$S$2=TRUE),VLOOKUP($G455,'KO Calc'!$H:$AW,33,FALSE),VLOOKUP($G455,'KO Calc'!$H461:$AW461,33,FALSE)),IF(AND($S$3=TRUE,$S$4=FALSE),IF(OR($Q$4=TRUE,$Q$5=TRUE,$S$2=TRUE),VLOOKUP($G455,'KO Calc'!$H:$AW,23,FALSE),VLOOKUP($G455,'KO Calc'!$H461:$AW461,23,FALSE)),
IF(AND($S$3=TRUE,$S$1=TRUE,$S$4=TRUE)=TRUE,IF(OR($Q$4=TRUE,$Q$5=TRUE,$S$2=TRUE),VLOOKUP($G455,'KO Calc'!$H:$AW,38,FALSE),VLOOKUP($G455,'KO Calc'!$H461:$AW461,38,FALSE)),IF(AND($S$3=TRUE,$S$4=TRUE),IF(OR($Q$4=TRUE,$Q$5=TRUE,$S$2=TRUE),VLOOKUP($G455,'KO Calc'!$H:$AW,28,FALSE),VLOOKUP($G455,'KO Calc'!$H461:$AW461,28,FALSE)))))))))))))</f>
        <v>-</v>
      </c>
      <c r="J455" s="36" t="str">
        <f>IF(AND($Q$1=FALSE,$S$3=FALSE),"-",IF(AND($Q$1=TRUE,$S$3=TRUE),"-",IF(AND($Q$1=FALSE,$S$3=FALSE),"-",IF(AND($Q$1=TRUE,$S$1=TRUE,$S$4=FALSE)=TRUE,IF(OR($Q$4=TRUE,$Q$5=TRUE,$S$2=TRUE),VLOOKUP($G455,'KO Calc'!$H:$AW,FALSE),VLOOKUP($G455,'KO Calc'!$H461:$AW461,14,FALSE)),IF(AND($Q$1=TRUE,$S$4=FALSE),IF(OR($Q$4=TRUE,$Q$5=TRUE,$S$2=TRUE),VLOOKUP($G455,'KO Calc'!$H:$AW,4,FALSE),VLOOKUP($G455,'KO Calc'!$H461:$AW461,4,FALSE)),
IF(AND($Q$1=TRUE,$S$1=TRUE,$S$4=TRUE)=TRUE,IF(OR($Q$4=TRUE,$Q$5=TRUE,$S$2=TRUE),VLOOKUP($G455,'KO Calc'!$H:$AW,19,FALSE),VLOOKUP($G455,'KO Calc'!$H461:$AW461,19,FALSE)),IF(AND($Q$1=TRUE,$S$4=TRUE),IF(OR($Q$4=TRUE,$Q$5=TRUE,$S$2=TRUE),VLOOKUP($G455,'KO Calc'!$H:$AW,9,FALSE),VLOOKUP($G455,'KO Calc'!$H461:$AW461,9,FALSE)),
IF(AND($S$3=TRUE,$S$1=TRUE,$S$4=FALSE)=TRUE,IF(OR($Q$4=TRUE,$Q$5=TRUE,$S$2=TRUE),VLOOKUP($G455,'KO Calc'!$H:$AW,34,FALSE),VLOOKUP($G455,'KO Calc'!$H461:$AW461,34,FALSE)),IF(AND($S$3=TRUE,$S$4=FALSE),IF(OR($Q$4=TRUE,$Q$5=TRUE,$S$2=TRUE),VLOOKUP($G455,'KO Calc'!$H:$AW,24,FALSE),VLOOKUP($G455,'KO Calc'!$H461:$AW461,24,FALSE)),
IF(AND($S$3=TRUE,$S$1=TRUE,$S$4=TRUE)=TRUE,IF(OR($Q$4=TRUE,$Q$5=TRUE,$S$2=TRUE),VLOOKUP($G455,'KO Calc'!$H:$AW,39,FALSE),VLOOKUP($G455,'KO Calc'!$H461:$AW461,39,FALSE)),IF(AND($S$3=TRUE,$S$4=TRUE),IF(OR($Q$4=TRUE,$Q$5=TRUE,$S$2=TRUE),VLOOKUP($G455,'KO Calc'!$H:$AW,29,FALSE),VLOOKUP($G455,'KO Calc'!$H461:$AW461,29,FALSE)))))))))))))</f>
        <v>-</v>
      </c>
      <c r="K455" s="36" t="str">
        <f>IF(AND($Q$1=FALSE,$S$3=FALSE),"-",IF(AND($Q$1=TRUE,$S$3=TRUE),"-",IF(AND($Q$1=FALSE,$S$3=FALSE),"-",IF(AND($Q$1=TRUE,$S$1=TRUE,$S$4=FALSE)=TRUE,IF(OR($Q$4=TRUE,$Q$5=TRUE,$S$2=TRUE),VLOOKUP($G455,'KO Calc'!$H:$AW,15,FALSE),VLOOKUP($G455,'KO Calc'!$H461:$AW461,15,FALSE)),IF(AND($Q$1=TRUE,$S$4=FALSE),IF(OR($Q$4=TRUE,$Q$5=TRUE,$S$2=TRUE),VLOOKUP($G455,'KO Calc'!$H:$AW,5,FALSE),VLOOKUP($G455,'KO Calc'!$H461:$AW461,5,FALSE)),
IF(AND($Q$1=TRUE,$S$1=TRUE,$S$4=TRUE)=TRUE,IF(OR($Q$4=TRUE,$Q$5=TRUE,$S$2=TRUE),VLOOKUP($G455,'KO Calc'!$H:$AW,20,FALSE),VLOOKUP($G455,'KO Calc'!$H461:$AW461,20,FALSE)),IF(AND($Q$1=TRUE,$S$4=TRUE),IF(OR($Q$4=TRUE,$Q$5=TRUE,$S$2=TRUE),VLOOKUP($G455,'KO Calc'!$H:$AW,10,FALSE),VLOOKUP($G455,'KO Calc'!$H461:$AW461,10,FALSE)),
IF(AND($S$3=TRUE,$S$1=TRUE,$S$4=FALSE)=TRUE,IF(OR($Q$4=TRUE,$Q$5=TRUE,$S$2=TRUE),VLOOKUP($G455,'KO Calc'!$H:$AW,35,FALSE),VLOOKUP($G455,'KO Calc'!$H461:$AW461,35,FALSE)),IF(AND($S$3=TRUE,$S$4=FALSE),IF(OR($Q$4=TRUE,$Q$5=TRUE,$S$2=TRUE),VLOOKUP($G455,'KO Calc'!$H:$AW,25,FALSE),VLOOKUP($G455,'KO Calc'!$H461:$AW461,25,FALSE)),
IF(AND($S$3=TRUE,$S$1=TRUE,$S$4=TRUE)=TRUE,IF(OR($Q$4=TRUE,$Q$5=TRUE,$S$2=TRUE),VLOOKUP($G455,'KO Calc'!$H:$AW,40,FALSE),VLOOKUP($G455,'KO Calc'!$H461:$AW461,40,FALSE)),IF(AND($S$3=TRUE,$S$4=TRUE),IF(OR($Q$4=TRUE,$Q$5=TRUE,$S$2=TRUE),VLOOKUP($G455,'KO Calc'!$H:$AW,30,FALSE),VLOOKUP($G455,'KO Calc'!$H461:$AW461,30,FALSE)))))))))))))</f>
        <v>-</v>
      </c>
      <c r="L455" s="36" t="str">
        <f>IFERROR(IF(AND($Q$1=FALSE,$S$3=FALSE),"-",VLOOKUP($E455,'Status Thresholds'!$E:$AU,43,FALSE)),"-")</f>
        <v>-</v>
      </c>
      <c r="M455" s="36" t="str">
        <f>IFERROR(IF(AND($Q$1=FALSE,$S$3=FALSE),"-",VLOOKUP($E455,'Status Thresholds'!$E:$AU,41,FALSE)),"-")</f>
        <v>-</v>
      </c>
      <c r="N455" s="36" t="str">
        <f>IFERROR(IF(AND($Q$1=FALSE,$S$3=FALSE),"-",VLOOKUP($E455,'Status Thresholds'!$E:$AU,42,FALSE)),"-")</f>
        <v>-</v>
      </c>
    </row>
    <row r="456" spans="1:14" x14ac:dyDescent="0.25">
      <c r="B456" s="64" t="str">
        <f>VLOOKUP(C456,'Status Thresholds'!B:C,2,FALSE)</f>
        <v>MHGen</v>
      </c>
      <c r="C456" s="46" t="str">
        <f>IF(ISBLANK('KO Calc'!C452)=TRUE,"",'KO Calc'!C452)</f>
        <v>Kirin</v>
      </c>
      <c r="D456" s="78" t="s">
        <v>213</v>
      </c>
      <c r="E456" s="62" t="str">
        <f t="shared" si="13"/>
        <v>KirinPitfall Trap</v>
      </c>
      <c r="F456" t="s">
        <v>12</v>
      </c>
      <c r="G456" s="36" t="str">
        <f t="shared" si="14"/>
        <v>KirinCrag 2</v>
      </c>
      <c r="H456" s="36" t="str">
        <f>IF(AND($Q$1=FALSE,$S$3=FALSE),"-",IF(AND($Q$1=TRUE,$S$3=TRUE),"-",IF(AND($Q$1=FALSE,$S$3=FALSE),"-",IF(AND($Q$1=TRUE,$S$1=TRUE,$S$4=FALSE)=TRUE,IF(OR($Q$4=TRUE,$Q$5=TRUE,$S$2=TRUE),VLOOKUP($G456,'KO Calc'!$H:$AW,12,FALSE),VLOOKUP($G456,'KO Calc'!$H462:$AW462,12,FALSE)),IF(AND($Q$1=TRUE,$S$4=FALSE),IF(OR($Q$4=TRUE,$Q$5=TRUE,$S$2=TRUE),VLOOKUP($G456,'KO Calc'!$H:$AW,2,FALSE),VLOOKUP($G456,'KO Calc'!$H462:$AW462,2,FALSE)),
IF(AND($Q$1=TRUE,$S$1=TRUE,$S$4=TRUE)=TRUE,IF(OR($Q$4=TRUE,$Q$5=TRUE,$S$2=TRUE),VLOOKUP($G456,'KO Calc'!$H:$AW,17,FALSE),VLOOKUP($G456,'KO Calc'!$H462:$AW462,17,FALSE)),IF(AND($Q$1=TRUE,$S$4=TRUE),IF(OR($Q$4=TRUE,$Q$5=TRUE,$S$2=TRUE),VLOOKUP($G456,'KO Calc'!$H:$AW,7,FALSE),VLOOKUP($G456,'KO Calc'!$H462:$AW462,7,FALSE)),
IF(AND($S$3=TRUE,$S$1=TRUE,$S$4=FALSE)=TRUE,IF(OR($Q$4=TRUE,$Q$5=TRUE,$S$2=TRUE),VLOOKUP($G456,'KO Calc'!$H:$AW,32,FALSE),VLOOKUP($G456,'KO Calc'!$H462:$AW462,32,FALSE)),IF(AND($S$3=TRUE,$S$4=FALSE),IF(OR($Q$4=TRUE,$Q$5=TRUE,$S$2=TRUE),VLOOKUP($G456,'KO Calc'!$H:$AW,22,FALSE),VLOOKUP($G456,'KO Calc'!$H462:$AW462,22,FALSE)),
IF(AND($S$3=TRUE,$S$1=TRUE,$S$4=TRUE)=TRUE,IF(OR($Q$4=TRUE,$Q$5=TRUE,$S$2=TRUE),VLOOKUP($G456,'KO Calc'!$H:$AW,37,FALSE),VLOOKUP($G456,'KO Calc'!$H462:$AW462,37,FALSE)),IF(AND($S$3=TRUE,$S$4=TRUE),IF(OR($Q$4=TRUE,$Q$5=TRUE,$S$2=TRUE),VLOOKUP($G456,'KO Calc'!$H:$AW,27,FALSE),VLOOKUP($G456,'KO Calc'!$H462:$AW462,27,FALSE)))))))))))))</f>
        <v>-</v>
      </c>
      <c r="I456" s="36" t="str">
        <f>IF(AND($Q$1=FALSE,$S$3=FALSE),"-",IF(AND($Q$1=TRUE,$S$3=TRUE),"-",IF(AND($Q$1=FALSE,$S$3=FALSE),"-",IF(AND($Q$1=TRUE,$S$1=TRUE,$S$4=FALSE)=TRUE,IF(OR($Q$4=TRUE,$Q$5=TRUE,$S$2=TRUE),VLOOKUP($G456,'KO Calc'!$H:$AW,13,FALSE),VLOOKUP($G456,'KO Calc'!$H462:$AW462,13,FALSE)),IF(AND($Q$1=TRUE,$S$4=FALSE),IF(OR($Q$4=TRUE,$Q$5=TRUE,$S$2=TRUE),VLOOKUP($G456,'KO Calc'!$H:$AW,3,FALSE),VLOOKUP($G456,'KO Calc'!$H462:$AW462,3,FALSE)),
IF(AND($Q$1=TRUE,$S$1=TRUE,$S$4=TRUE)=TRUE,IF(OR($Q$4=TRUE,$Q$5=TRUE,$S$2=TRUE),VLOOKUP($G456,'KO Calc'!$H:$AW,18,FALSE),VLOOKUP($G456,'KO Calc'!$H462:$AW462,18,FALSE)),IF(AND($Q$1=TRUE,$S$4=TRUE),IF(OR($Q$4=TRUE,$Q$5=TRUE,$S$2=TRUE),VLOOKUP($G456,'KO Calc'!$H:$AW,8,FALSE),VLOOKUP($G456,'KO Calc'!$H462:$AW462,8,FALSE)),
IF(AND($S$3=TRUE,$S$1=TRUE,$S$4=FALSE)=TRUE,IF(OR($Q$4=TRUE,$Q$5=TRUE,$S$2=TRUE),VLOOKUP($G456,'KO Calc'!$H:$AW,33,FALSE),VLOOKUP($G456,'KO Calc'!$H462:$AW462,33,FALSE)),IF(AND($S$3=TRUE,$S$4=FALSE),IF(OR($Q$4=TRUE,$Q$5=TRUE,$S$2=TRUE),VLOOKUP($G456,'KO Calc'!$H:$AW,23,FALSE),VLOOKUP($G456,'KO Calc'!$H462:$AW462,23,FALSE)),
IF(AND($S$3=TRUE,$S$1=TRUE,$S$4=TRUE)=TRUE,IF(OR($Q$4=TRUE,$Q$5=TRUE,$S$2=TRUE),VLOOKUP($G456,'KO Calc'!$H:$AW,38,FALSE),VLOOKUP($G456,'KO Calc'!$H462:$AW462,38,FALSE)),IF(AND($S$3=TRUE,$S$4=TRUE),IF(OR($Q$4=TRUE,$Q$5=TRUE,$S$2=TRUE),VLOOKUP($G456,'KO Calc'!$H:$AW,28,FALSE),VLOOKUP($G456,'KO Calc'!$H462:$AW462,28,FALSE)))))))))))))</f>
        <v>-</v>
      </c>
      <c r="J456" s="36" t="str">
        <f>IF(AND($Q$1=FALSE,$S$3=FALSE),"-",IF(AND($Q$1=TRUE,$S$3=TRUE),"-",IF(AND($Q$1=FALSE,$S$3=FALSE),"-",IF(AND($Q$1=TRUE,$S$1=TRUE,$S$4=FALSE)=TRUE,IF(OR($Q$4=TRUE,$Q$5=TRUE,$S$2=TRUE),VLOOKUP($G456,'KO Calc'!$H:$AW,FALSE),VLOOKUP($G456,'KO Calc'!$H462:$AW462,14,FALSE)),IF(AND($Q$1=TRUE,$S$4=FALSE),IF(OR($Q$4=TRUE,$Q$5=TRUE,$S$2=TRUE),VLOOKUP($G456,'KO Calc'!$H:$AW,4,FALSE),VLOOKUP($G456,'KO Calc'!$H462:$AW462,4,FALSE)),
IF(AND($Q$1=TRUE,$S$1=TRUE,$S$4=TRUE)=TRUE,IF(OR($Q$4=TRUE,$Q$5=TRUE,$S$2=TRUE),VLOOKUP($G456,'KO Calc'!$H:$AW,19,FALSE),VLOOKUP($G456,'KO Calc'!$H462:$AW462,19,FALSE)),IF(AND($Q$1=TRUE,$S$4=TRUE),IF(OR($Q$4=TRUE,$Q$5=TRUE,$S$2=TRUE),VLOOKUP($G456,'KO Calc'!$H:$AW,9,FALSE),VLOOKUP($G456,'KO Calc'!$H462:$AW462,9,FALSE)),
IF(AND($S$3=TRUE,$S$1=TRUE,$S$4=FALSE)=TRUE,IF(OR($Q$4=TRUE,$Q$5=TRUE,$S$2=TRUE),VLOOKUP($G456,'KO Calc'!$H:$AW,34,FALSE),VLOOKUP($G456,'KO Calc'!$H462:$AW462,34,FALSE)),IF(AND($S$3=TRUE,$S$4=FALSE),IF(OR($Q$4=TRUE,$Q$5=TRUE,$S$2=TRUE),VLOOKUP($G456,'KO Calc'!$H:$AW,24,FALSE),VLOOKUP($G456,'KO Calc'!$H462:$AW462,24,FALSE)),
IF(AND($S$3=TRUE,$S$1=TRUE,$S$4=TRUE)=TRUE,IF(OR($Q$4=TRUE,$Q$5=TRUE,$S$2=TRUE),VLOOKUP($G456,'KO Calc'!$H:$AW,39,FALSE),VLOOKUP($G456,'KO Calc'!$H462:$AW462,39,FALSE)),IF(AND($S$3=TRUE,$S$4=TRUE),IF(OR($Q$4=TRUE,$Q$5=TRUE,$S$2=TRUE),VLOOKUP($G456,'KO Calc'!$H:$AW,29,FALSE),VLOOKUP($G456,'KO Calc'!$H462:$AW462,29,FALSE)))))))))))))</f>
        <v>-</v>
      </c>
      <c r="K456" s="36" t="str">
        <f>IF(AND($Q$1=FALSE,$S$3=FALSE),"-",IF(AND($Q$1=TRUE,$S$3=TRUE),"-",IF(AND($Q$1=FALSE,$S$3=FALSE),"-",IF(AND($Q$1=TRUE,$S$1=TRUE,$S$4=FALSE)=TRUE,IF(OR($Q$4=TRUE,$Q$5=TRUE,$S$2=TRUE),VLOOKUP($G456,'KO Calc'!$H:$AW,15,FALSE),VLOOKUP($G456,'KO Calc'!$H462:$AW462,15,FALSE)),IF(AND($Q$1=TRUE,$S$4=FALSE),IF(OR($Q$4=TRUE,$Q$5=TRUE,$S$2=TRUE),VLOOKUP($G456,'KO Calc'!$H:$AW,5,FALSE),VLOOKUP($G456,'KO Calc'!$H462:$AW462,5,FALSE)),
IF(AND($Q$1=TRUE,$S$1=TRUE,$S$4=TRUE)=TRUE,IF(OR($Q$4=TRUE,$Q$5=TRUE,$S$2=TRUE),VLOOKUP($G456,'KO Calc'!$H:$AW,20,FALSE),VLOOKUP($G456,'KO Calc'!$H462:$AW462,20,FALSE)),IF(AND($Q$1=TRUE,$S$4=TRUE),IF(OR($Q$4=TRUE,$Q$5=TRUE,$S$2=TRUE),VLOOKUP($G456,'KO Calc'!$H:$AW,10,FALSE),VLOOKUP($G456,'KO Calc'!$H462:$AW462,10,FALSE)),
IF(AND($S$3=TRUE,$S$1=TRUE,$S$4=FALSE)=TRUE,IF(OR($Q$4=TRUE,$Q$5=TRUE,$S$2=TRUE),VLOOKUP($G456,'KO Calc'!$H:$AW,35,FALSE),VLOOKUP($G456,'KO Calc'!$H462:$AW462,35,FALSE)),IF(AND($S$3=TRUE,$S$4=FALSE),IF(OR($Q$4=TRUE,$Q$5=TRUE,$S$2=TRUE),VLOOKUP($G456,'KO Calc'!$H:$AW,25,FALSE),VLOOKUP($G456,'KO Calc'!$H462:$AW462,25,FALSE)),
IF(AND($S$3=TRUE,$S$1=TRUE,$S$4=TRUE)=TRUE,IF(OR($Q$4=TRUE,$Q$5=TRUE,$S$2=TRUE),VLOOKUP($G456,'KO Calc'!$H:$AW,40,FALSE),VLOOKUP($G456,'KO Calc'!$H462:$AW462,40,FALSE)),IF(AND($S$3=TRUE,$S$4=TRUE),IF(OR($Q$4=TRUE,$Q$5=TRUE,$S$2=TRUE),VLOOKUP($G456,'KO Calc'!$H:$AW,30,FALSE),VLOOKUP($G456,'KO Calc'!$H462:$AW462,30,FALSE)))))))))))))</f>
        <v>-</v>
      </c>
      <c r="L456" s="36" t="str">
        <f>IFERROR(IF(AND($Q$1=FALSE,$S$3=FALSE),"-",VLOOKUP($E456,'Status Thresholds'!$E:$AU,43,FALSE)),"-")</f>
        <v>-</v>
      </c>
      <c r="M456" s="36" t="str">
        <f>IFERROR(IF(AND($Q$1=FALSE,$S$3=FALSE),"-",VLOOKUP($E456,'Status Thresholds'!$E:$AU,41,FALSE)),"-")</f>
        <v>-</v>
      </c>
      <c r="N456" s="36" t="str">
        <f>IFERROR(IF(AND($Q$1=FALSE,$S$3=FALSE),"-",VLOOKUP($E456,'Status Thresholds'!$E:$AU,42,FALSE)),"-")</f>
        <v>-</v>
      </c>
    </row>
    <row r="457" spans="1:14" x14ac:dyDescent="0.25">
      <c r="B457" s="64" t="str">
        <f>VLOOKUP(C457,'Status Thresholds'!B:C,2,FALSE)</f>
        <v>MHGen</v>
      </c>
      <c r="C457" s="46" t="str">
        <f>IF(ISBLANK('KO Calc'!C453)=TRUE,"",'KO Calc'!C453)</f>
        <v>Kirin</v>
      </c>
      <c r="D457" s="78"/>
      <c r="E457" s="62" t="str">
        <f t="shared" si="13"/>
        <v>Kirin</v>
      </c>
      <c r="F457" t="s">
        <v>11</v>
      </c>
      <c r="G457" s="36" t="str">
        <f t="shared" si="14"/>
        <v>KirinCrag 1</v>
      </c>
      <c r="H457" s="36" t="str">
        <f>IF(AND($Q$1=FALSE,$S$3=FALSE),"-",IF(AND($Q$1=TRUE,$S$3=TRUE),"-",IF(AND($Q$1=FALSE,$S$3=FALSE),"-",IF(AND($Q$1=TRUE,$S$1=TRUE,$S$4=FALSE)=TRUE,IF(OR($Q$4=TRUE,$Q$5=TRUE,$S$2=TRUE),VLOOKUP($G457,'KO Calc'!$H:$AW,12,FALSE),VLOOKUP($G457,'KO Calc'!$H463:$AW463,12,FALSE)),IF(AND($Q$1=TRUE,$S$4=FALSE),IF(OR($Q$4=TRUE,$Q$5=TRUE,$S$2=TRUE),VLOOKUP($G457,'KO Calc'!$H:$AW,2,FALSE),VLOOKUP($G457,'KO Calc'!$H463:$AW463,2,FALSE)),
IF(AND($Q$1=TRUE,$S$1=TRUE,$S$4=TRUE)=TRUE,IF(OR($Q$4=TRUE,$Q$5=TRUE,$S$2=TRUE),VLOOKUP($G457,'KO Calc'!$H:$AW,17,FALSE),VLOOKUP($G457,'KO Calc'!$H463:$AW463,17,FALSE)),IF(AND($Q$1=TRUE,$S$4=TRUE),IF(OR($Q$4=TRUE,$Q$5=TRUE,$S$2=TRUE),VLOOKUP($G457,'KO Calc'!$H:$AW,7,FALSE),VLOOKUP($G457,'KO Calc'!$H463:$AW463,7,FALSE)),
IF(AND($S$3=TRUE,$S$1=TRUE,$S$4=FALSE)=TRUE,IF(OR($Q$4=TRUE,$Q$5=TRUE,$S$2=TRUE),VLOOKUP($G457,'KO Calc'!$H:$AW,32,FALSE),VLOOKUP($G457,'KO Calc'!$H463:$AW463,32,FALSE)),IF(AND($S$3=TRUE,$S$4=FALSE),IF(OR($Q$4=TRUE,$Q$5=TRUE,$S$2=TRUE),VLOOKUP($G457,'KO Calc'!$H:$AW,22,FALSE),VLOOKUP($G457,'KO Calc'!$H463:$AW463,22,FALSE)),
IF(AND($S$3=TRUE,$S$1=TRUE,$S$4=TRUE)=TRUE,IF(OR($Q$4=TRUE,$Q$5=TRUE,$S$2=TRUE),VLOOKUP($G457,'KO Calc'!$H:$AW,37,FALSE),VLOOKUP($G457,'KO Calc'!$H463:$AW463,37,FALSE)),IF(AND($S$3=TRUE,$S$4=TRUE),IF(OR($Q$4=TRUE,$Q$5=TRUE,$S$2=TRUE),VLOOKUP($G457,'KO Calc'!$H:$AW,27,FALSE),VLOOKUP($G457,'KO Calc'!$H463:$AW463,27,FALSE)))))))))))))</f>
        <v>-</v>
      </c>
      <c r="I457" s="36" t="str">
        <f>IF(AND($Q$1=FALSE,$S$3=FALSE),"-",IF(AND($Q$1=TRUE,$S$3=TRUE),"-",IF(AND($Q$1=FALSE,$S$3=FALSE),"-",IF(AND($Q$1=TRUE,$S$1=TRUE,$S$4=FALSE)=TRUE,IF(OR($Q$4=TRUE,$Q$5=TRUE,$S$2=TRUE),VLOOKUP($G457,'KO Calc'!$H:$AW,13,FALSE),VLOOKUP($G457,'KO Calc'!$H463:$AW463,13,FALSE)),IF(AND($Q$1=TRUE,$S$4=FALSE),IF(OR($Q$4=TRUE,$Q$5=TRUE,$S$2=TRUE),VLOOKUP($G457,'KO Calc'!$H:$AW,3,FALSE),VLOOKUP($G457,'KO Calc'!$H463:$AW463,3,FALSE)),
IF(AND($Q$1=TRUE,$S$1=TRUE,$S$4=TRUE)=TRUE,IF(OR($Q$4=TRUE,$Q$5=TRUE,$S$2=TRUE),VLOOKUP($G457,'KO Calc'!$H:$AW,18,FALSE),VLOOKUP($G457,'KO Calc'!$H463:$AW463,18,FALSE)),IF(AND($Q$1=TRUE,$S$4=TRUE),IF(OR($Q$4=TRUE,$Q$5=TRUE,$S$2=TRUE),VLOOKUP($G457,'KO Calc'!$H:$AW,8,FALSE),VLOOKUP($G457,'KO Calc'!$H463:$AW463,8,FALSE)),
IF(AND($S$3=TRUE,$S$1=TRUE,$S$4=FALSE)=TRUE,IF(OR($Q$4=TRUE,$Q$5=TRUE,$S$2=TRUE),VLOOKUP($G457,'KO Calc'!$H:$AW,33,FALSE),VLOOKUP($G457,'KO Calc'!$H463:$AW463,33,FALSE)),IF(AND($S$3=TRUE,$S$4=FALSE),IF(OR($Q$4=TRUE,$Q$5=TRUE,$S$2=TRUE),VLOOKUP($G457,'KO Calc'!$H:$AW,23,FALSE),VLOOKUP($G457,'KO Calc'!$H463:$AW463,23,FALSE)),
IF(AND($S$3=TRUE,$S$1=TRUE,$S$4=TRUE)=TRUE,IF(OR($Q$4=TRUE,$Q$5=TRUE,$S$2=TRUE),VLOOKUP($G457,'KO Calc'!$H:$AW,38,FALSE),VLOOKUP($G457,'KO Calc'!$H463:$AW463,38,FALSE)),IF(AND($S$3=TRUE,$S$4=TRUE),IF(OR($Q$4=TRUE,$Q$5=TRUE,$S$2=TRUE),VLOOKUP($G457,'KO Calc'!$H:$AW,28,FALSE),VLOOKUP($G457,'KO Calc'!$H463:$AW463,28,FALSE)))))))))))))</f>
        <v>-</v>
      </c>
      <c r="J457" s="36" t="str">
        <f>IF(AND($Q$1=FALSE,$S$3=FALSE),"-",IF(AND($Q$1=TRUE,$S$3=TRUE),"-",IF(AND($Q$1=FALSE,$S$3=FALSE),"-",IF(AND($Q$1=TRUE,$S$1=TRUE,$S$4=FALSE)=TRUE,IF(OR($Q$4=TRUE,$Q$5=TRUE,$S$2=TRUE),VLOOKUP($G457,'KO Calc'!$H:$AW,FALSE),VLOOKUP($G457,'KO Calc'!$H463:$AW463,14,FALSE)),IF(AND($Q$1=TRUE,$S$4=FALSE),IF(OR($Q$4=TRUE,$Q$5=TRUE,$S$2=TRUE),VLOOKUP($G457,'KO Calc'!$H:$AW,4,FALSE),VLOOKUP($G457,'KO Calc'!$H463:$AW463,4,FALSE)),
IF(AND($Q$1=TRUE,$S$1=TRUE,$S$4=TRUE)=TRUE,IF(OR($Q$4=TRUE,$Q$5=TRUE,$S$2=TRUE),VLOOKUP($G457,'KO Calc'!$H:$AW,19,FALSE),VLOOKUP($G457,'KO Calc'!$H463:$AW463,19,FALSE)),IF(AND($Q$1=TRUE,$S$4=TRUE),IF(OR($Q$4=TRUE,$Q$5=TRUE,$S$2=TRUE),VLOOKUP($G457,'KO Calc'!$H:$AW,9,FALSE),VLOOKUP($G457,'KO Calc'!$H463:$AW463,9,FALSE)),
IF(AND($S$3=TRUE,$S$1=TRUE,$S$4=FALSE)=TRUE,IF(OR($Q$4=TRUE,$Q$5=TRUE,$S$2=TRUE),VLOOKUP($G457,'KO Calc'!$H:$AW,34,FALSE),VLOOKUP($G457,'KO Calc'!$H463:$AW463,34,FALSE)),IF(AND($S$3=TRUE,$S$4=FALSE),IF(OR($Q$4=TRUE,$Q$5=TRUE,$S$2=TRUE),VLOOKUP($G457,'KO Calc'!$H:$AW,24,FALSE),VLOOKUP($G457,'KO Calc'!$H463:$AW463,24,FALSE)),
IF(AND($S$3=TRUE,$S$1=TRUE,$S$4=TRUE)=TRUE,IF(OR($Q$4=TRUE,$Q$5=TRUE,$S$2=TRUE),VLOOKUP($G457,'KO Calc'!$H:$AW,39,FALSE),VLOOKUP($G457,'KO Calc'!$H463:$AW463,39,FALSE)),IF(AND($S$3=TRUE,$S$4=TRUE),IF(OR($Q$4=TRUE,$Q$5=TRUE,$S$2=TRUE),VLOOKUP($G457,'KO Calc'!$H:$AW,29,FALSE),VLOOKUP($G457,'KO Calc'!$H463:$AW463,29,FALSE)))))))))))))</f>
        <v>-</v>
      </c>
      <c r="K457" s="36" t="str">
        <f>IF(AND($Q$1=FALSE,$S$3=FALSE),"-",IF(AND($Q$1=TRUE,$S$3=TRUE),"-",IF(AND($Q$1=FALSE,$S$3=FALSE),"-",IF(AND($Q$1=TRUE,$S$1=TRUE,$S$4=FALSE)=TRUE,IF(OR($Q$4=TRUE,$Q$5=TRUE,$S$2=TRUE),VLOOKUP($G457,'KO Calc'!$H:$AW,15,FALSE),VLOOKUP($G457,'KO Calc'!$H463:$AW463,15,FALSE)),IF(AND($Q$1=TRUE,$S$4=FALSE),IF(OR($Q$4=TRUE,$Q$5=TRUE,$S$2=TRUE),VLOOKUP($G457,'KO Calc'!$H:$AW,5,FALSE),VLOOKUP($G457,'KO Calc'!$H463:$AW463,5,FALSE)),
IF(AND($Q$1=TRUE,$S$1=TRUE,$S$4=TRUE)=TRUE,IF(OR($Q$4=TRUE,$Q$5=TRUE,$S$2=TRUE),VLOOKUP($G457,'KO Calc'!$H:$AW,20,FALSE),VLOOKUP($G457,'KO Calc'!$H463:$AW463,20,FALSE)),IF(AND($Q$1=TRUE,$S$4=TRUE),IF(OR($Q$4=TRUE,$Q$5=TRUE,$S$2=TRUE),VLOOKUP($G457,'KO Calc'!$H:$AW,10,FALSE),VLOOKUP($G457,'KO Calc'!$H463:$AW463,10,FALSE)),
IF(AND($S$3=TRUE,$S$1=TRUE,$S$4=FALSE)=TRUE,IF(OR($Q$4=TRUE,$Q$5=TRUE,$S$2=TRUE),VLOOKUP($G457,'KO Calc'!$H:$AW,35,FALSE),VLOOKUP($G457,'KO Calc'!$H463:$AW463,35,FALSE)),IF(AND($S$3=TRUE,$S$4=FALSE),IF(OR($Q$4=TRUE,$Q$5=TRUE,$S$2=TRUE),VLOOKUP($G457,'KO Calc'!$H:$AW,25,FALSE),VLOOKUP($G457,'KO Calc'!$H463:$AW463,25,FALSE)),
IF(AND($S$3=TRUE,$S$1=TRUE,$S$4=TRUE)=TRUE,IF(OR($Q$4=TRUE,$Q$5=TRUE,$S$2=TRUE),VLOOKUP($G457,'KO Calc'!$H:$AW,40,FALSE),VLOOKUP($G457,'KO Calc'!$H463:$AW463,40,FALSE)),IF(AND($S$3=TRUE,$S$4=TRUE),IF(OR($Q$4=TRUE,$Q$5=TRUE,$S$2=TRUE),VLOOKUP($G457,'KO Calc'!$H:$AW,30,FALSE),VLOOKUP($G457,'KO Calc'!$H463:$AW463,30,FALSE)))))))))))))</f>
        <v>-</v>
      </c>
      <c r="L457" s="36" t="str">
        <f>IFERROR(VLOOKUP($E457,'Status Thresholds'!$E:$AS,41,FALSE),"-")</f>
        <v>-</v>
      </c>
    </row>
    <row r="458" spans="1:14" x14ac:dyDescent="0.25">
      <c r="B458" s="64" t="str">
        <f>VLOOKUP(C458,'Status Thresholds'!B:C,2,FALSE)</f>
        <v>MHGen</v>
      </c>
      <c r="C458" s="46" t="str">
        <f>IF(ISBLANK('KO Calc'!C454)=TRUE,"",'KO Calc'!C454)</f>
        <v>Kirin</v>
      </c>
      <c r="D458" s="78"/>
      <c r="E458" s="62"/>
      <c r="G458" s="36"/>
      <c r="L458" s="36" t="str">
        <f>IFERROR(VLOOKUP($E458,'Status Thresholds'!$E:$AS,41,FALSE),"-")</f>
        <v>-</v>
      </c>
    </row>
    <row r="459" spans="1:14" s="36" customFormat="1" x14ac:dyDescent="0.25">
      <c r="B459" s="64" t="str">
        <f>VLOOKUP(C459,'Status Thresholds'!B:C,2,FALSE)</f>
        <v>MHGen</v>
      </c>
      <c r="C459" s="46" t="str">
        <f>IF(ISBLANK('KO Calc'!C455)=TRUE,"",'KO Calc'!C455)</f>
        <v>Kushala Dora</v>
      </c>
      <c r="D459" s="65" t="s">
        <v>0</v>
      </c>
      <c r="E459" s="62" t="str">
        <f t="shared" si="13"/>
        <v>Kushala DoraPara</v>
      </c>
      <c r="F459" s="36" t="s">
        <v>2</v>
      </c>
      <c r="G459" s="36" t="str">
        <f t="shared" si="14"/>
        <v>Kushala DoraPara lvl 2</v>
      </c>
      <c r="H459" s="36" t="str">
        <f>IFERROR(ROUNDUP(IF(AND($Q$1=FALSE,$S$3=FALSE),"-",IF(AND($Q$1=TRUE,$S$3=TRUE),"-",IF(AND($Q$1=TRUE,$S$1=TRUE,$S$4=FALSE),VLOOKUP($E459,'Status Thresholds'!$E:$AS,12,FALSE),IF(AND($Q$1=TRUE,$S$4=FALSE),VLOOKUP($E459,'Status Thresholds'!$E:$AS,2,FALSE), IF(AND($Q$1=TRUE,$S$1=TRUE,$S$4=TRUE),VLOOKUP($E459,'Status Thresholds'!$E:$AS,17,FALSE),IF(AND($Q$1=TRUE,$S$4=TRUE),VLOOKUP($E459,'Status Thresholds'!$E:$AS,7,FALSE),IF(AND($S$3=TRUE,$S$1=TRUE,$S$4=FALSE),VLOOKUP($E459,'Status Thresholds'!$E:$AS,32,FALSE),IF(AND($S$3=TRUE,$S$4=FALSE),VLOOKUP($E459,'Status Thresholds'!$E:$AS,22,FALSE),IF(AND($S$3=TRUE,$S$1=TRUE,$S$4=TRUE),VLOOKUP($E459,'Status Thresholds'!$E:$AS,37,FALSE),IF(AND($S$3=TRUE,$S$4=TRUE),VLOOKUP($E459,'Status Thresholds'!$E:$AS,27,FALSE),""))))))))/IF(OR($Q$3=TRUE,AND($Q$2=TRUE,$Q$7=TRUE),AND($Q$3=TRUE,$Q$7=TRUE))=TRUE,'Shots and Status'!$F$5,IF((OR($Q$2,$Q$7)=TRUE),'Shots and Status'!$D$5,'Shots and Status'!$C$5)))),0),"-")</f>
        <v>-</v>
      </c>
      <c r="I459" s="36" t="str">
        <f>IFERROR(ROUNDUP(IF(AND($Q$1=FALSE,$S$3=FALSE),"-",IF(AND($Q$1=TRUE,$S$3=TRUE),"-",IF(AND($Q$1=TRUE,$S$1=TRUE,$S$4=FALSE),VLOOKUP($E459,'Status Thresholds'!$E:$AS,13,FALSE),IF(AND($Q$1=TRUE,$S$4=FALSE),VLOOKUP($E459,'Status Thresholds'!$E:$AS,3,FALSE), IF(AND($Q$1=TRUE,$S$1=TRUE,$S$4=TRUE),VLOOKUP($E459,'Status Thresholds'!$E:$AS,18,FALSE),IF(AND($Q$1=TRUE,$S$4=TRUE),VLOOKUP($E459,'Status Thresholds'!$E:$AS,8,FALSE),IF(AND($S$3=TRUE,$S$1=TRUE,$S$4=FALSE),VLOOKUP($E459,'Status Thresholds'!$E:$AS,33,FALSE),IF(AND($S$3=TRUE,$S$4=FALSE),VLOOKUP($E459,'Status Thresholds'!$E:$AS,23,FALSE),IF(AND($S$3=TRUE,$S$1=TRUE,$S$4=TRUE),VLOOKUP($E459,'Status Thresholds'!$E:$AS,38,FALSE),IF(AND($S$3=TRUE,$S$4=TRUE),VLOOKUP($E459,'Status Thresholds'!$E:$AS,28,FALSE),""))))))))/IF(OR($Q$3=TRUE,AND($Q$2=TRUE,$Q$7=TRUE),AND($Q$3=TRUE,$Q$7=TRUE))=TRUE,'Shots and Status'!$F$5,IF((OR($Q$2,$Q$7)=TRUE),'Shots and Status'!$D$5,'Shots and Status'!$C$5)))),0),"-")</f>
        <v>-</v>
      </c>
      <c r="J459" s="36" t="str">
        <f>IFERROR(ROUNDUP(IF(AND($Q$1=FALSE,$S$3=FALSE),"-",IF(AND($Q$1=TRUE,$S$3=TRUE),"-",IF(AND($Q$1=TRUE,$S$1=TRUE,$S$4=FALSE),VLOOKUP($E459,'Status Thresholds'!$E:$AS,14,FALSE),IF(AND($Q$1=TRUE,$S$4=FALSE),VLOOKUP($E459,'Status Thresholds'!$E:$AS,4,FALSE), IF(AND($Q$1=TRUE,$S$1=TRUE,$S$4=TRUE),VLOOKUP($E459,'Status Thresholds'!$E:$AS,19,FALSE),IF(AND($Q$1=TRUE,$S$4=TRUE),VLOOKUP($E459,'Status Thresholds'!$E:$AS,9,FALSE),IF(AND($S$3=TRUE,$S$1=TRUE,$S$4=FALSE),VLOOKUP($E459,'Status Thresholds'!$E:$AS,34,FALSE),IF(AND($S$3=TRUE,$S$4=FALSE),VLOOKUP($E459,'Status Thresholds'!$E:$AS,24,FALSE),IF(AND($S$3=TRUE,$S$1=TRUE,$S$4=TRUE),VLOOKUP($E459,'Status Thresholds'!$E:$AS,39,FALSE),IF(AND($S$3=TRUE,$S$4=TRUE),VLOOKUP($E459,'Status Thresholds'!$E:$AS,29,FALSE),""))))))))/IF(OR($Q$3=TRUE,AND($Q$2=TRUE,$Q$7=TRUE),AND($Q$3=TRUE,$Q$7=TRUE))=TRUE,'Shots and Status'!$F$5,IF((OR($Q$2,$Q$7)=TRUE),'Shots and Status'!$D$5,'Shots and Status'!$C$5)))),0),"-")</f>
        <v>-</v>
      </c>
      <c r="K459" s="36" t="str">
        <f>IFERROR(ROUNDUP(IF(AND($Q$1=FALSE,$S$3=FALSE),"-",IF(AND($Q$1=TRUE,$S$3=TRUE),"-",IF(AND($Q$1=TRUE,$S$1=TRUE,$S$4=FALSE),VLOOKUP($E459,'Status Thresholds'!$E:$AS,15,FALSE),IF(AND($Q$1=TRUE,$S$4=FALSE),VLOOKUP($E459,'Status Thresholds'!$E:$AS,5,FALSE), IF(AND($Q$1=TRUE,$S$1=TRUE,$S$4=TRUE),VLOOKUP($E459,'Status Thresholds'!$E:$AS,20,FALSE),IF(AND($Q$1=TRUE,$S$4=TRUE),VLOOKUP($E459,'Status Thresholds'!$E:$AS,10,FALSE),IF(AND($S$3=TRUE,$S$1=TRUE,$S$4=FALSE),VLOOKUP($E459,'Status Thresholds'!$E:$AS,35,FALSE),IF(AND($S$3=TRUE,$S$4=FALSE),VLOOKUP($E459,'Status Thresholds'!$E:$AS,25,FALSE),IF(AND($S$3=TRUE,$S$1=TRUE,$S$4=TRUE),VLOOKUP($E459,'Status Thresholds'!$E:$AS,40,FALSE),IF(AND($S$3=TRUE,$S$4=TRUE),VLOOKUP($E459,'Status Thresholds'!$E:$AS,30,FALSE),""))))))))/IF(OR($Q$3=TRUE,AND($Q$2=TRUE,$Q$7=TRUE),AND($Q$3=TRUE,$Q$7=TRUE))=TRUE,'Shots and Status'!$F$5,IF((OR($Q$2,$Q$7)=TRUE),'Shots and Status'!$D$5,'Shots and Status'!$C$5)))),0),"-")</f>
        <v>-</v>
      </c>
      <c r="L459" s="36" t="str">
        <f>IFERROR(IF(AND($Q$1=FALSE,$S$3=FALSE),"-",VLOOKUP($E459,'Status Thresholds'!$E:$AU,41,FALSE)),"-")</f>
        <v>-</v>
      </c>
      <c r="M459" s="36" t="str">
        <f>IFERROR(IF(AND($Q$1=FALSE,$S$3=FALSE),"-",VLOOKUP($E459,'Status Thresholds'!$E:$AU,42,FALSE)),"-")</f>
        <v>-</v>
      </c>
      <c r="N459" s="36" t="str">
        <f>IFERROR(IF(AND($Q$1=FALSE,$S$3=FALSE),"-",VLOOKUP($E459,'Status Thresholds'!$E:$AU,43,FALSE)),"-")</f>
        <v>-</v>
      </c>
    </row>
    <row r="460" spans="1:14" s="59" customFormat="1" x14ac:dyDescent="0.25">
      <c r="A460" s="46"/>
      <c r="B460" s="64" t="str">
        <f>VLOOKUP(C460,'Status Thresholds'!B:C,2,FALSE)</f>
        <v>MHGen</v>
      </c>
      <c r="C460" s="46" t="str">
        <f>IF(ISBLANK('KO Calc'!C456)=TRUE,"",'KO Calc'!C456)</f>
        <v>Kushala Dora</v>
      </c>
      <c r="D460" s="60" t="s">
        <v>32</v>
      </c>
      <c r="E460" s="62" t="str">
        <f t="shared" si="13"/>
        <v>Kushala DoraSleep</v>
      </c>
      <c r="F460" s="59" t="s">
        <v>5</v>
      </c>
      <c r="G460" s="36" t="str">
        <f t="shared" si="14"/>
        <v>Kushala DoraSleep lvl 2</v>
      </c>
      <c r="H460" s="36" t="str">
        <f>IFERROR(ROUNDUP(IF(AND($Q$1=FALSE,$S$3=FALSE),"-",IF(AND($Q$1=TRUE,$S$3=TRUE),"-",IF(AND($Q$1=TRUE,$S$1=TRUE,$S$4=FALSE),VLOOKUP($E460,'Status Thresholds'!$E:$AS,12,FALSE),IF(AND($Q$1=TRUE,$S$4=FALSE),VLOOKUP($E460,'Status Thresholds'!$E:$AS,2,FALSE), IF(AND($Q$1=TRUE,$S$1=TRUE,$S$4=TRUE),VLOOKUP($E460,'Status Thresholds'!$E:$AS,17,FALSE),IF(AND($Q$1=TRUE,$S$4=TRUE),VLOOKUP($E460,'Status Thresholds'!$E:$AS,7,FALSE),IF(AND($S$3=TRUE,$S$1=TRUE,$S$4=FALSE),VLOOKUP($E460,'Status Thresholds'!$E:$AS,32,FALSE),IF(AND($S$3=TRUE,$S$4=FALSE),VLOOKUP($E460,'Status Thresholds'!$E:$AS,22,FALSE),IF(AND($S$3=TRUE,$S$1=TRUE,$S$4=TRUE),VLOOKUP($E460,'Status Thresholds'!$E:$AS,37,FALSE),IF(AND($S$3=TRUE,$S$4=TRUE),VLOOKUP($E460,'Status Thresholds'!$E:$AS,27,FALSE),""))))))))/IF(OR($Q$3=TRUE,AND($Q$2=TRUE,$Q$7=TRUE),AND($Q$3=TRUE,$Q$7=TRUE))=TRUE,'Shots and Status'!$F$5,IF((OR($Q$2,$Q$7)=TRUE),'Shots and Status'!$D$5,'Shots and Status'!$C$5)))),0),"-")</f>
        <v>-</v>
      </c>
      <c r="I460" s="36" t="str">
        <f>IFERROR(ROUNDUP(IF(AND($Q$1=FALSE,$S$3=FALSE),"-",IF(AND($Q$1=TRUE,$S$3=TRUE),"-",IF(AND($Q$1=TRUE,$S$1=TRUE,$S$4=FALSE),VLOOKUP($E460,'Status Thresholds'!$E:$AS,13,FALSE),IF(AND($Q$1=TRUE,$S$4=FALSE),VLOOKUP($E460,'Status Thresholds'!$E:$AS,3,FALSE), IF(AND($Q$1=TRUE,$S$1=TRUE,$S$4=TRUE),VLOOKUP($E460,'Status Thresholds'!$E:$AS,18,FALSE),IF(AND($Q$1=TRUE,$S$4=TRUE),VLOOKUP($E460,'Status Thresholds'!$E:$AS,8,FALSE),IF(AND($S$3=TRUE,$S$1=TRUE,$S$4=FALSE),VLOOKUP($E460,'Status Thresholds'!$E:$AS,33,FALSE),IF(AND($S$3=TRUE,$S$4=FALSE),VLOOKUP($E460,'Status Thresholds'!$E:$AS,23,FALSE),IF(AND($S$3=TRUE,$S$1=TRUE,$S$4=TRUE),VLOOKUP($E460,'Status Thresholds'!$E:$AS,38,FALSE),IF(AND($S$3=TRUE,$S$4=TRUE),VLOOKUP($E460,'Status Thresholds'!$E:$AS,28,FALSE),""))))))))/IF(OR($Q$3=TRUE,AND($Q$2=TRUE,$Q$7=TRUE),AND($Q$3=TRUE,$Q$7=TRUE))=TRUE,'Shots and Status'!$F$5,IF((OR($Q$2,$Q$7)=TRUE),'Shots and Status'!$D$5,'Shots and Status'!$C$5)))),0),"-")</f>
        <v>-</v>
      </c>
      <c r="J460" s="36" t="str">
        <f>IFERROR(ROUNDUP(IF(AND($Q$1=FALSE,$S$3=FALSE),"-",IF(AND($Q$1=TRUE,$S$3=TRUE),"-",IF(AND($Q$1=TRUE,$S$1=TRUE,$S$4=FALSE),VLOOKUP($E460,'Status Thresholds'!$E:$AS,14,FALSE),IF(AND($Q$1=TRUE,$S$4=FALSE),VLOOKUP($E460,'Status Thresholds'!$E:$AS,4,FALSE), IF(AND($Q$1=TRUE,$S$1=TRUE,$S$4=TRUE),VLOOKUP($E460,'Status Thresholds'!$E:$AS,19,FALSE),IF(AND($Q$1=TRUE,$S$4=TRUE),VLOOKUP($E460,'Status Thresholds'!$E:$AS,9,FALSE),IF(AND($S$3=TRUE,$S$1=TRUE,$S$4=FALSE),VLOOKUP($E460,'Status Thresholds'!$E:$AS,34,FALSE),IF(AND($S$3=TRUE,$S$4=FALSE),VLOOKUP($E460,'Status Thresholds'!$E:$AS,24,FALSE),IF(AND($S$3=TRUE,$S$1=TRUE,$S$4=TRUE),VLOOKUP($E460,'Status Thresholds'!$E:$AS,39,FALSE),IF(AND($S$3=TRUE,$S$4=TRUE),VLOOKUP($E460,'Status Thresholds'!$E:$AS,29,FALSE),""))))))))/IF(OR($Q$3=TRUE,AND($Q$2=TRUE,$Q$7=TRUE),AND($Q$3=TRUE,$Q$7=TRUE))=TRUE,'Shots and Status'!$F$5,IF((OR($Q$2,$Q$7)=TRUE),'Shots and Status'!$D$5,'Shots and Status'!$C$5)))),0),"-")</f>
        <v>-</v>
      </c>
      <c r="K460" s="36" t="str">
        <f>IFERROR(ROUNDUP(IF(AND($Q$1=FALSE,$S$3=FALSE),"-",IF(AND($Q$1=TRUE,$S$3=TRUE),"-",IF(AND($Q$1=TRUE,$S$1=TRUE,$S$4=FALSE),VLOOKUP($E460,'Status Thresholds'!$E:$AS,15,FALSE),IF(AND($Q$1=TRUE,$S$4=FALSE),VLOOKUP($E460,'Status Thresholds'!$E:$AS,5,FALSE), IF(AND($Q$1=TRUE,$S$1=TRUE,$S$4=TRUE),VLOOKUP($E460,'Status Thresholds'!$E:$AS,20,FALSE),IF(AND($Q$1=TRUE,$S$4=TRUE),VLOOKUP($E460,'Status Thresholds'!$E:$AS,10,FALSE),IF(AND($S$3=TRUE,$S$1=TRUE,$S$4=FALSE),VLOOKUP($E460,'Status Thresholds'!$E:$AS,35,FALSE),IF(AND($S$3=TRUE,$S$4=FALSE),VLOOKUP($E460,'Status Thresholds'!$E:$AS,25,FALSE),IF(AND($S$3=TRUE,$S$1=TRUE,$S$4=TRUE),VLOOKUP($E460,'Status Thresholds'!$E:$AS,40,FALSE),IF(AND($S$3=TRUE,$S$4=TRUE),VLOOKUP($E460,'Status Thresholds'!$E:$AS,30,FALSE),""))))))))/IF(OR($Q$3=TRUE,AND($Q$2=TRUE,$Q$7=TRUE),AND($Q$3=TRUE,$Q$7=TRUE))=TRUE,'Shots and Status'!$F$5,IF((OR($Q$2,$Q$7)=TRUE),'Shots and Status'!$D$5,'Shots and Status'!$C$5)))),0),"-")</f>
        <v>-</v>
      </c>
      <c r="L460" s="36" t="str">
        <f>IFERROR(IF(AND($Q$1=FALSE,$S$3=FALSE),"-",VLOOKUP($E460,'Status Thresholds'!$E:$AU,41,FALSE)),"-")</f>
        <v>-</v>
      </c>
      <c r="M460" s="36" t="str">
        <f>IFERROR(IF(AND($Q$1=FALSE,$S$3=FALSE),"-",VLOOKUP($E460,'Status Thresholds'!$E:$AU,42,FALSE)),"-")</f>
        <v>-</v>
      </c>
      <c r="N460" s="36" t="str">
        <f>IFERROR(IF(AND($Q$1=FALSE,$S$3=FALSE),"-",VLOOKUP($E460,'Status Thresholds'!$E:$AU,43,FALSE)),"-")</f>
        <v>-</v>
      </c>
    </row>
    <row r="461" spans="1:14" s="59" customFormat="1" x14ac:dyDescent="0.25">
      <c r="A461" s="46"/>
      <c r="B461" s="64" t="str">
        <f>VLOOKUP(C461,'Status Thresholds'!B:C,2,FALSE)</f>
        <v>MHGen</v>
      </c>
      <c r="C461" s="46" t="str">
        <f>IF(ISBLANK('KO Calc'!C457)=TRUE,"",'KO Calc'!C457)</f>
        <v>Kushala Dora</v>
      </c>
      <c r="D461" s="58" t="s">
        <v>33</v>
      </c>
      <c r="E461" s="62" t="str">
        <f t="shared" si="13"/>
        <v>Kushala DoraPoison</v>
      </c>
      <c r="F461" s="59" t="s">
        <v>6</v>
      </c>
      <c r="G461" s="36" t="str">
        <f t="shared" si="14"/>
        <v>Kushala DoraPoison lvl 2</v>
      </c>
      <c r="H461" s="36" t="str">
        <f>IFERROR(ROUNDUP(IF(AND($Q$1=FALSE,$S$3=FALSE),"-",IF(AND($Q$1=TRUE,$S$3=TRUE),"-",IF(AND($Q$1=TRUE,$S$1=TRUE,$S$4=FALSE),VLOOKUP($E461,'Status Thresholds'!$E:$AS,12,FALSE),IF(AND($Q$1=TRUE,$S$4=FALSE),VLOOKUP($E461,'Status Thresholds'!$E:$AS,2,FALSE), IF(AND($Q$1=TRUE,$S$1=TRUE,$S$4=TRUE),VLOOKUP($E461,'Status Thresholds'!$E:$AS,17,FALSE),IF(AND($Q$1=TRUE,$S$4=TRUE),VLOOKUP($E461,'Status Thresholds'!$E:$AS,7,FALSE),IF(AND($S$3=TRUE,$S$1=TRUE,$S$4=FALSE),VLOOKUP($E461,'Status Thresholds'!$E:$AS,32,FALSE),IF(AND($S$3=TRUE,$S$4=FALSE),VLOOKUP($E461,'Status Thresholds'!$E:$AS,22,FALSE),IF(AND($S$3=TRUE,$S$1=TRUE,$S$4=TRUE),VLOOKUP($E461,'Status Thresholds'!$E:$AS,37,FALSE),IF(AND($S$3=TRUE,$S$4=TRUE),VLOOKUP($E461,'Status Thresholds'!$E:$AS,27,FALSE),""))))))))/IF(OR($Q$3=TRUE,AND($Q$2=TRUE,$Q$7=TRUE),AND($Q$3=TRUE,$Q$7=TRUE))=TRUE,'Shots and Status'!$F$5,IF((OR($Q$2,$Q$7)=TRUE),'Shots and Status'!$D$5,'Shots and Status'!$C$5)))),0),"-")</f>
        <v>-</v>
      </c>
      <c r="I461" s="36" t="str">
        <f>IFERROR(ROUNDUP(IF(AND($Q$1=FALSE,$S$3=FALSE),"-",IF(AND($Q$1=TRUE,$S$3=TRUE),"-",IF(AND($Q$1=TRUE,$S$1=TRUE,$S$4=FALSE),VLOOKUP($E461,'Status Thresholds'!$E:$AS,13,FALSE),IF(AND($Q$1=TRUE,$S$4=FALSE),VLOOKUP($E461,'Status Thresholds'!$E:$AS,3,FALSE), IF(AND($Q$1=TRUE,$S$1=TRUE,$S$4=TRUE),VLOOKUP($E461,'Status Thresholds'!$E:$AS,18,FALSE),IF(AND($Q$1=TRUE,$S$4=TRUE),VLOOKUP($E461,'Status Thresholds'!$E:$AS,8,FALSE),IF(AND($S$3=TRUE,$S$1=TRUE,$S$4=FALSE),VLOOKUP($E461,'Status Thresholds'!$E:$AS,33,FALSE),IF(AND($S$3=TRUE,$S$4=FALSE),VLOOKUP($E461,'Status Thresholds'!$E:$AS,23,FALSE),IF(AND($S$3=TRUE,$S$1=TRUE,$S$4=TRUE),VLOOKUP($E461,'Status Thresholds'!$E:$AS,38,FALSE),IF(AND($S$3=TRUE,$S$4=TRUE),VLOOKUP($E461,'Status Thresholds'!$E:$AS,28,FALSE),""))))))))/IF(OR($Q$3=TRUE,AND($Q$2=TRUE,$Q$7=TRUE),AND($Q$3=TRUE,$Q$7=TRUE))=TRUE,'Shots and Status'!$F$5,IF((OR($Q$2,$Q$7)=TRUE),'Shots and Status'!$D$5,'Shots and Status'!$C$5)))),0),"-")</f>
        <v>-</v>
      </c>
      <c r="J461" s="36" t="str">
        <f>IFERROR(ROUNDUP(IF(AND($Q$1=FALSE,$S$3=FALSE),"-",IF(AND($Q$1=TRUE,$S$3=TRUE),"-",IF(AND($Q$1=TRUE,$S$1=TRUE,$S$4=FALSE),VLOOKUP($E461,'Status Thresholds'!$E:$AS,14,FALSE),IF(AND($Q$1=TRUE,$S$4=FALSE),VLOOKUP($E461,'Status Thresholds'!$E:$AS,4,FALSE), IF(AND($Q$1=TRUE,$S$1=TRUE,$S$4=TRUE),VLOOKUP($E461,'Status Thresholds'!$E:$AS,19,FALSE),IF(AND($Q$1=TRUE,$S$4=TRUE),VLOOKUP($E461,'Status Thresholds'!$E:$AS,9,FALSE),IF(AND($S$3=TRUE,$S$1=TRUE,$S$4=FALSE),VLOOKUP($E461,'Status Thresholds'!$E:$AS,34,FALSE),IF(AND($S$3=TRUE,$S$4=FALSE),VLOOKUP($E461,'Status Thresholds'!$E:$AS,24,FALSE),IF(AND($S$3=TRUE,$S$1=TRUE,$S$4=TRUE),VLOOKUP($E461,'Status Thresholds'!$E:$AS,39,FALSE),IF(AND($S$3=TRUE,$S$4=TRUE),VLOOKUP($E461,'Status Thresholds'!$E:$AS,29,FALSE),""))))))))/IF(OR($Q$3=TRUE,AND($Q$2=TRUE,$Q$7=TRUE),AND($Q$3=TRUE,$Q$7=TRUE))=TRUE,'Shots and Status'!$F$5,IF((OR($Q$2,$Q$7)=TRUE),'Shots and Status'!$D$5,'Shots and Status'!$C$5)))),0),"-")</f>
        <v>-</v>
      </c>
      <c r="K461" s="36" t="str">
        <f>IFERROR(ROUNDUP(IF(AND($Q$1=FALSE,$S$3=FALSE),"-",IF(AND($Q$1=TRUE,$S$3=TRUE),"-",IF(AND($Q$1=TRUE,$S$1=TRUE,$S$4=FALSE),VLOOKUP($E461,'Status Thresholds'!$E:$AS,15,FALSE),IF(AND($Q$1=TRUE,$S$4=FALSE),VLOOKUP($E461,'Status Thresholds'!$E:$AS,5,FALSE), IF(AND($Q$1=TRUE,$S$1=TRUE,$S$4=TRUE),VLOOKUP($E461,'Status Thresholds'!$E:$AS,20,FALSE),IF(AND($Q$1=TRUE,$S$4=TRUE),VLOOKUP($E461,'Status Thresholds'!$E:$AS,10,FALSE),IF(AND($S$3=TRUE,$S$1=TRUE,$S$4=FALSE),VLOOKUP($E461,'Status Thresholds'!$E:$AS,35,FALSE),IF(AND($S$3=TRUE,$S$4=FALSE),VLOOKUP($E461,'Status Thresholds'!$E:$AS,25,FALSE),IF(AND($S$3=TRUE,$S$1=TRUE,$S$4=TRUE),VLOOKUP($E461,'Status Thresholds'!$E:$AS,40,FALSE),IF(AND($S$3=TRUE,$S$4=TRUE),VLOOKUP($E461,'Status Thresholds'!$E:$AS,30,FALSE),""))))))))/IF(OR($Q$3=TRUE,AND($Q$2=TRUE,$Q$7=TRUE),AND($Q$3=TRUE,$Q$7=TRUE))=TRUE,'Shots and Status'!$F$5,IF((OR($Q$2,$Q$7)=TRUE),'Shots and Status'!$D$5,'Shots and Status'!$C$5)))),0),"-")</f>
        <v>-</v>
      </c>
      <c r="L461" s="36" t="str">
        <f>IFERROR(IF(AND($Q$1=FALSE,$S$3=FALSE),"-",VLOOKUP($E461,'Status Thresholds'!$E:$AU,41,FALSE)),"-")</f>
        <v>-</v>
      </c>
      <c r="M461" s="36" t="str">
        <f>IFERROR(IF(AND($Q$1=FALSE,$S$3=FALSE),"-",VLOOKUP($E461,'Status Thresholds'!$E:$AU,42,FALSE)),"-")</f>
        <v>-</v>
      </c>
      <c r="N461" s="36" t="str">
        <f>IFERROR(IF(AND($Q$1=FALSE,$S$3=FALSE),"-",VLOOKUP($E461,'Status Thresholds'!$E:$AU,43,FALSE)),"-")</f>
        <v>-</v>
      </c>
    </row>
    <row r="462" spans="1:14" s="36" customFormat="1" x14ac:dyDescent="0.25">
      <c r="A462" s="46"/>
      <c r="B462" s="64" t="str">
        <f>VLOOKUP(C462,'Status Thresholds'!B:C,2,FALSE)</f>
        <v>MHGen</v>
      </c>
      <c r="C462" s="46" t="str">
        <f>IF(ISBLANK('KO Calc'!C458)=TRUE,"",'KO Calc'!C458)</f>
        <v>Kushala Dora</v>
      </c>
      <c r="D462" s="57" t="s">
        <v>22</v>
      </c>
      <c r="E462" s="62" t="str">
        <f t="shared" si="13"/>
        <v>Kushala DoraExhaust</v>
      </c>
      <c r="F462" s="36" t="s">
        <v>8</v>
      </c>
      <c r="G462" s="36" t="str">
        <f t="shared" si="14"/>
        <v>Kushala DoraExhaust lvl 2</v>
      </c>
      <c r="H462" s="36" t="str">
        <f>IFERROR(ROUNDUP(IF(AND($Q$1=FALSE,$S$3=FALSE),"-",IF(AND($Q$1=TRUE,$S$3=TRUE),"-",IF(AND($Q$1=TRUE,$S$1=TRUE,$S$4=FALSE),VLOOKUP($E462,'Status Thresholds'!$E:$AS,12,FALSE),IF(AND($Q$1=TRUE,$S$4=FALSE),VLOOKUP($E462,'Status Thresholds'!$E:$AS,2,FALSE), IF(AND($Q$1=TRUE,$S$1=TRUE,$S$4=TRUE),VLOOKUP($E462,'Status Thresholds'!$E:$AS,17,FALSE),IF(AND($Q$1=TRUE,$S$4=TRUE),VLOOKUP($E462,'Status Thresholds'!$E:$AS,7,FALSE),IF(AND($S$3=TRUE,$S$1=TRUE,$S$4=FALSE),VLOOKUP($E462,'Status Thresholds'!$E:$AS,32,FALSE),IF(AND($S$3=TRUE,$S$4=FALSE),VLOOKUP($E462,'Status Thresholds'!$E:$AS,22,FALSE),IF(AND($S$3=TRUE,$S$1=TRUE,$S$4=TRUE),VLOOKUP($E462,'Status Thresholds'!$E:$AS,37,FALSE),IF(AND($S$3=TRUE,$S$4=TRUE),VLOOKUP($E462,'Status Thresholds'!$E:$AS,27,FALSE),""))))))))/IF(OR($Q$3=TRUE,AND($Q$2=TRUE,$Q$7=TRUE),AND($Q$3=TRUE,$Q$7=TRUE))=TRUE,'Shots and Status'!$F$5,IF((OR($Q$2,$Q$7)=TRUE),'Shots and Status'!$D$5,'Shots and Status'!$C$5)))),0),"-")</f>
        <v>-</v>
      </c>
      <c r="I462" s="36" t="str">
        <f>IFERROR(ROUNDUP(IF(AND($Q$1=FALSE,$S$3=FALSE),"-",IF(AND($Q$1=TRUE,$S$3=TRUE),"-",IF(AND($Q$1=TRUE,$S$1=TRUE,$S$4=FALSE),VLOOKUP($E462,'Status Thresholds'!$E:$AS,13,FALSE),IF(AND($Q$1=TRUE,$S$4=FALSE),VLOOKUP($E462,'Status Thresholds'!$E:$AS,3,FALSE), IF(AND($Q$1=TRUE,$S$1=TRUE,$S$4=TRUE),VLOOKUP($E462,'Status Thresholds'!$E:$AS,18,FALSE),IF(AND($Q$1=TRUE,$S$4=TRUE),VLOOKUP($E462,'Status Thresholds'!$E:$AS,8,FALSE),IF(AND($S$3=TRUE,$S$1=TRUE,$S$4=FALSE),VLOOKUP($E462,'Status Thresholds'!$E:$AS,33,FALSE),IF(AND($S$3=TRUE,$S$4=FALSE),VLOOKUP($E462,'Status Thresholds'!$E:$AS,23,FALSE),IF(AND($S$3=TRUE,$S$1=TRUE,$S$4=TRUE),VLOOKUP($E462,'Status Thresholds'!$E:$AS,38,FALSE),IF(AND($S$3=TRUE,$S$4=TRUE),VLOOKUP($E462,'Status Thresholds'!$E:$AS,28,FALSE),""))))))))/IF(OR($Q$3=TRUE,AND($Q$2=TRUE,$Q$7=TRUE),AND($Q$3=TRUE,$Q$7=TRUE))=TRUE,'Shots and Status'!$F$5,IF((OR($Q$2,$Q$7)=TRUE),'Shots and Status'!$D$5,'Shots and Status'!$C$5)))),0),"-")</f>
        <v>-</v>
      </c>
      <c r="J462" s="36" t="str">
        <f>IFERROR(ROUNDUP(IF(AND($Q$1=FALSE,$S$3=FALSE),"-",IF(AND($Q$1=TRUE,$S$3=TRUE),"-",IF(AND($Q$1=TRUE,$S$1=TRUE,$S$4=FALSE),VLOOKUP($E462,'Status Thresholds'!$E:$AS,14,FALSE),IF(AND($Q$1=TRUE,$S$4=FALSE),VLOOKUP($E462,'Status Thresholds'!$E:$AS,4,FALSE), IF(AND($Q$1=TRUE,$S$1=TRUE,$S$4=TRUE),VLOOKUP($E462,'Status Thresholds'!$E:$AS,19,FALSE),IF(AND($Q$1=TRUE,$S$4=TRUE),VLOOKUP($E462,'Status Thresholds'!$E:$AS,9,FALSE),IF(AND($S$3=TRUE,$S$1=TRUE,$S$4=FALSE),VLOOKUP($E462,'Status Thresholds'!$E:$AS,34,FALSE),IF(AND($S$3=TRUE,$S$4=FALSE),VLOOKUP($E462,'Status Thresholds'!$E:$AS,24,FALSE),IF(AND($S$3=TRUE,$S$1=TRUE,$S$4=TRUE),VLOOKUP($E462,'Status Thresholds'!$E:$AS,39,FALSE),IF(AND($S$3=TRUE,$S$4=TRUE),VLOOKUP($E462,'Status Thresholds'!$E:$AS,29,FALSE),""))))))))/IF(OR($Q$3=TRUE,AND($Q$2=TRUE,$Q$7=TRUE),AND($Q$3=TRUE,$Q$7=TRUE))=TRUE,'Shots and Status'!$F$5,IF((OR($Q$2,$Q$7)=TRUE),'Shots and Status'!$D$5,'Shots and Status'!$C$5)))),0),"-")</f>
        <v>-</v>
      </c>
      <c r="K462" s="36" t="str">
        <f>IFERROR(ROUNDUP(IF(AND($Q$1=FALSE,$S$3=FALSE),"-",IF(AND($Q$1=TRUE,$S$3=TRUE),"-",IF(AND($Q$1=TRUE,$S$1=TRUE,$S$4=FALSE),VLOOKUP($E462,'Status Thresholds'!$E:$AS,15,FALSE),IF(AND($Q$1=TRUE,$S$4=FALSE),VLOOKUP($E462,'Status Thresholds'!$E:$AS,5,FALSE), IF(AND($Q$1=TRUE,$S$1=TRUE,$S$4=TRUE),VLOOKUP($E462,'Status Thresholds'!$E:$AS,20,FALSE),IF(AND($Q$1=TRUE,$S$4=TRUE),VLOOKUP($E462,'Status Thresholds'!$E:$AS,10,FALSE),IF(AND($S$3=TRUE,$S$1=TRUE,$S$4=FALSE),VLOOKUP($E462,'Status Thresholds'!$E:$AS,35,FALSE),IF(AND($S$3=TRUE,$S$4=FALSE),VLOOKUP($E462,'Status Thresholds'!$E:$AS,25,FALSE),IF(AND($S$3=TRUE,$S$1=TRUE,$S$4=TRUE),VLOOKUP($E462,'Status Thresholds'!$E:$AS,40,FALSE),IF(AND($S$3=TRUE,$S$4=TRUE),VLOOKUP($E462,'Status Thresholds'!$E:$AS,30,FALSE),""))))))))/IF(OR($Q$3=TRUE,AND($Q$2=TRUE,$Q$7=TRUE),AND($Q$3=TRUE,$Q$7=TRUE))=TRUE,'Shots and Status'!$F$5,IF((OR($Q$2,$Q$7)=TRUE),'Shots and Status'!$D$5,'Shots and Status'!$C$5)))),0),"-")</f>
        <v>-</v>
      </c>
      <c r="L462" s="36" t="str">
        <f>IFERROR(IF(AND($Q$1=FALSE,$S$3=FALSE),"-",VLOOKUP($E462,'Status Thresholds'!$E:$AU,41,FALSE)),"-")</f>
        <v>-</v>
      </c>
      <c r="M462" s="36" t="str">
        <f>IFERROR(IF(AND($Q$1=FALSE,$S$3=FALSE),"-",VLOOKUP($E462,'Status Thresholds'!$E:$AU,42,FALSE)),"-")</f>
        <v>-</v>
      </c>
      <c r="N462" s="36" t="str">
        <f>IFERROR(IF(AND($Q$1=FALSE,$S$3=FALSE),"-",VLOOKUP($E462,'Status Thresholds'!$E:$AU,43,FALSE)),"-")</f>
        <v>-</v>
      </c>
    </row>
    <row r="463" spans="1:14" s="36" customFormat="1" x14ac:dyDescent="0.25">
      <c r="A463" s="46"/>
      <c r="B463" s="64" t="str">
        <f>VLOOKUP(C463,'Status Thresholds'!B:C,2,FALSE)</f>
        <v>MHGen</v>
      </c>
      <c r="C463" s="46" t="str">
        <f>IF(ISBLANK('KO Calc'!C459)=TRUE,"",'KO Calc'!C459)</f>
        <v>Kushala Dora</v>
      </c>
      <c r="D463" s="67" t="s">
        <v>14</v>
      </c>
      <c r="E463" s="62" t="str">
        <f t="shared" si="13"/>
        <v>Kushala DoraKO</v>
      </c>
      <c r="F463" s="36" t="s">
        <v>21</v>
      </c>
      <c r="G463" s="36" t="str">
        <f t="shared" si="14"/>
        <v>Kushala DoraTriblast</v>
      </c>
      <c r="H463" s="36" t="str">
        <f>IF(AND($Q$1=FALSE,$S$3=FALSE),"-",IF(AND($Q$1=TRUE,$S$3=TRUE),"-",IF(AND($Q$1=FALSE,$S$3=FALSE),"-",IF(AND($Q$1=TRUE,$S$1=TRUE,$S$4=FALSE)=TRUE,IF(OR($Q$4=TRUE,$Q$5=TRUE,$S$2=TRUE),VLOOKUP($G463,'KO Calc'!$H:$AW,12,FALSE),VLOOKUP($G463,'KO Calc'!$H469:$AW469,12,FALSE)),IF(AND($Q$1=TRUE,$S$4=FALSE),IF(OR($Q$4=TRUE,$Q$5=TRUE,$S$2=TRUE),VLOOKUP($G463,'KO Calc'!$H:$AW,2,FALSE),VLOOKUP($G463,'KO Calc'!$H469:$AW469,2,FALSE)),
IF(AND($Q$1=TRUE,$S$1=TRUE,$S$4=TRUE)=TRUE,IF(OR($Q$4=TRUE,$Q$5=TRUE,$S$2=TRUE),VLOOKUP($G463,'KO Calc'!$H:$AW,17,FALSE),VLOOKUP($G463,'KO Calc'!$H469:$AW469,17,FALSE)),IF(AND($Q$1=TRUE,$S$4=TRUE),IF(OR($Q$4=TRUE,$Q$5=TRUE,$S$2=TRUE),VLOOKUP($G463,'KO Calc'!$H:$AW,7,FALSE),VLOOKUP($G463,'KO Calc'!$H469:$AW469,7,FALSE)),
IF(AND($S$3=TRUE,$S$1=TRUE,$S$4=FALSE)=TRUE,IF(OR($Q$4=TRUE,$Q$5=TRUE,$S$2=TRUE),VLOOKUP($G463,'KO Calc'!$H:$AW,32,FALSE),VLOOKUP($G463,'KO Calc'!$H469:$AW469,32,FALSE)),IF(AND($S$3=TRUE,$S$4=FALSE),IF(OR($Q$4=TRUE,$Q$5=TRUE,$S$2=TRUE),VLOOKUP($G463,'KO Calc'!$H:$AW,22,FALSE),VLOOKUP($G463,'KO Calc'!$H469:$AW469,22,FALSE)),
IF(AND($S$3=TRUE,$S$1=TRUE,$S$4=TRUE)=TRUE,IF(OR($Q$4=TRUE,$Q$5=TRUE,$S$2=TRUE),VLOOKUP($G463,'KO Calc'!$H:$AW,37,FALSE),VLOOKUP($G463,'KO Calc'!$H469:$AW469,37,FALSE)),IF(AND($S$3=TRUE,$S$4=TRUE),IF(OR($Q$4=TRUE,$Q$5=TRUE,$S$2=TRUE),VLOOKUP($G463,'KO Calc'!$H:$AW,27,FALSE),VLOOKUP($G463,'KO Calc'!$H469:$AW469,27,FALSE)))))))))))))</f>
        <v>-</v>
      </c>
      <c r="I463" s="36" t="str">
        <f>IF(AND($Q$1=FALSE,$S$3=FALSE),"-",IF(AND($Q$1=TRUE,$S$3=TRUE),"-",IF(AND($Q$1=FALSE,$S$3=FALSE),"-",IF(AND($Q$1=TRUE,$S$1=TRUE,$S$4=FALSE)=TRUE,IF(OR($Q$4=TRUE,$Q$5=TRUE,$S$2=TRUE),VLOOKUP($G463,'KO Calc'!$H:$AW,13,FALSE),VLOOKUP($G463,'KO Calc'!$H469:$AW469,13,FALSE)),IF(AND($Q$1=TRUE,$S$4=FALSE),IF(OR($Q$4=TRUE,$Q$5=TRUE,$S$2=TRUE),VLOOKUP($G463,'KO Calc'!$H:$AW,3,FALSE),VLOOKUP($G463,'KO Calc'!$H469:$AW469,3,FALSE)),
IF(AND($Q$1=TRUE,$S$1=TRUE,$S$4=TRUE)=TRUE,IF(OR($Q$4=TRUE,$Q$5=TRUE,$S$2=TRUE),VLOOKUP($G463,'KO Calc'!$H:$AW,18,FALSE),VLOOKUP($G463,'KO Calc'!$H469:$AW469,18,FALSE)),IF(AND($Q$1=TRUE,$S$4=TRUE),IF(OR($Q$4=TRUE,$Q$5=TRUE,$S$2=TRUE),VLOOKUP($G463,'KO Calc'!$H:$AW,8,FALSE),VLOOKUP($G463,'KO Calc'!$H469:$AW469,8,FALSE)),
IF(AND($S$3=TRUE,$S$1=TRUE,$S$4=FALSE)=TRUE,IF(OR($Q$4=TRUE,$Q$5=TRUE,$S$2=TRUE),VLOOKUP($G463,'KO Calc'!$H:$AW,33,FALSE),VLOOKUP($G463,'KO Calc'!$H469:$AW469,33,FALSE)),IF(AND($S$3=TRUE,$S$4=FALSE),IF(OR($Q$4=TRUE,$Q$5=TRUE,$S$2=TRUE),VLOOKUP($G463,'KO Calc'!$H:$AW,23,FALSE),VLOOKUP($G463,'KO Calc'!$H469:$AW469,23,FALSE)),
IF(AND($S$3=TRUE,$S$1=TRUE,$S$4=TRUE)=TRUE,IF(OR($Q$4=TRUE,$Q$5=TRUE,$S$2=TRUE),VLOOKUP($G463,'KO Calc'!$H:$AW,38,FALSE),VLOOKUP($G463,'KO Calc'!$H469:$AW469,38,FALSE)),IF(AND($S$3=TRUE,$S$4=TRUE),IF(OR($Q$4=TRUE,$Q$5=TRUE,$S$2=TRUE),VLOOKUP($G463,'KO Calc'!$H:$AW,28,FALSE),VLOOKUP($G463,'KO Calc'!$H469:$AW469,28,FALSE)))))))))))))</f>
        <v>-</v>
      </c>
      <c r="J463" s="36" t="str">
        <f>IF(AND($Q$1=FALSE,$S$3=FALSE),"-",IF(AND($Q$1=TRUE,$S$3=TRUE),"-",IF(AND($Q$1=FALSE,$S$3=FALSE),"-",IF(AND($Q$1=TRUE,$S$1=TRUE,$S$4=FALSE)=TRUE,IF(OR($Q$4=TRUE,$Q$5=TRUE,$S$2=TRUE),VLOOKUP($G463,'KO Calc'!$H:$AW,FALSE),VLOOKUP($G463,'KO Calc'!$H469:$AW469,14,FALSE)),IF(AND($Q$1=TRUE,$S$4=FALSE),IF(OR($Q$4=TRUE,$Q$5=TRUE,$S$2=TRUE),VLOOKUP($G463,'KO Calc'!$H:$AW,4,FALSE),VLOOKUP($G463,'KO Calc'!$H469:$AW469,4,FALSE)),
IF(AND($Q$1=TRUE,$S$1=TRUE,$S$4=TRUE)=TRUE,IF(OR($Q$4=TRUE,$Q$5=TRUE,$S$2=TRUE),VLOOKUP($G463,'KO Calc'!$H:$AW,19,FALSE),VLOOKUP($G463,'KO Calc'!$H469:$AW469,19,FALSE)),IF(AND($Q$1=TRUE,$S$4=TRUE),IF(OR($Q$4=TRUE,$Q$5=TRUE,$S$2=TRUE),VLOOKUP($G463,'KO Calc'!$H:$AW,9,FALSE),VLOOKUP($G463,'KO Calc'!$H469:$AW469,9,FALSE)),
IF(AND($S$3=TRUE,$S$1=TRUE,$S$4=FALSE)=TRUE,IF(OR($Q$4=TRUE,$Q$5=TRUE,$S$2=TRUE),VLOOKUP($G463,'KO Calc'!$H:$AW,34,FALSE),VLOOKUP($G463,'KO Calc'!$H469:$AW469,34,FALSE)),IF(AND($S$3=TRUE,$S$4=FALSE),IF(OR($Q$4=TRUE,$Q$5=TRUE,$S$2=TRUE),VLOOKUP($G463,'KO Calc'!$H:$AW,24,FALSE),VLOOKUP($G463,'KO Calc'!$H469:$AW469,24,FALSE)),
IF(AND($S$3=TRUE,$S$1=TRUE,$S$4=TRUE)=TRUE,IF(OR($Q$4=TRUE,$Q$5=TRUE,$S$2=TRUE),VLOOKUP($G463,'KO Calc'!$H:$AW,39,FALSE),VLOOKUP($G463,'KO Calc'!$H469:$AW469,39,FALSE)),IF(AND($S$3=TRUE,$S$4=TRUE),IF(OR($Q$4=TRUE,$Q$5=TRUE,$S$2=TRUE),VLOOKUP($G463,'KO Calc'!$H:$AW,29,FALSE),VLOOKUP($G463,'KO Calc'!$H469:$AW469,29,FALSE)))))))))))))</f>
        <v>-</v>
      </c>
      <c r="K463" s="36" t="str">
        <f>IF(AND($Q$1=FALSE,$S$3=FALSE),"-",IF(AND($Q$1=TRUE,$S$3=TRUE),"-",IF(AND($Q$1=FALSE,$S$3=FALSE),"-",IF(AND($Q$1=TRUE,$S$1=TRUE,$S$4=FALSE)=TRUE,IF(OR($Q$4=TRUE,$Q$5=TRUE,$S$2=TRUE),VLOOKUP($G463,'KO Calc'!$H:$AW,15,FALSE),VLOOKUP($G463,'KO Calc'!$H469:$AW469,15,FALSE)),IF(AND($Q$1=TRUE,$S$4=FALSE),IF(OR($Q$4=TRUE,$Q$5=TRUE,$S$2=TRUE),VLOOKUP($G463,'KO Calc'!$H:$AW,5,FALSE),VLOOKUP($G463,'KO Calc'!$H469:$AW469,5,FALSE)),
IF(AND($Q$1=TRUE,$S$1=TRUE,$S$4=TRUE)=TRUE,IF(OR($Q$4=TRUE,$Q$5=TRUE,$S$2=TRUE),VLOOKUP($G463,'KO Calc'!$H:$AW,20,FALSE),VLOOKUP($G463,'KO Calc'!$H469:$AW469,20,FALSE)),IF(AND($Q$1=TRUE,$S$4=TRUE),IF(OR($Q$4=TRUE,$Q$5=TRUE,$S$2=TRUE),VLOOKUP($G463,'KO Calc'!$H:$AW,10,FALSE),VLOOKUP($G463,'KO Calc'!$H469:$AW469,10,FALSE)),
IF(AND($S$3=TRUE,$S$1=TRUE,$S$4=FALSE)=TRUE,IF(OR($Q$4=TRUE,$Q$5=TRUE,$S$2=TRUE),VLOOKUP($G463,'KO Calc'!$H:$AW,35,FALSE),VLOOKUP($G463,'KO Calc'!$H469:$AW469,35,FALSE)),IF(AND($S$3=TRUE,$S$4=FALSE),IF(OR($Q$4=TRUE,$Q$5=TRUE,$S$2=TRUE),VLOOKUP($G463,'KO Calc'!$H:$AW,25,FALSE),VLOOKUP($G463,'KO Calc'!$H469:$AW469,25,FALSE)),
IF(AND($S$3=TRUE,$S$1=TRUE,$S$4=TRUE)=TRUE,IF(OR($Q$4=TRUE,$Q$5=TRUE,$S$2=TRUE),VLOOKUP($G463,'KO Calc'!$H:$AW,40,FALSE),VLOOKUP($G463,'KO Calc'!$H469:$AW469,40,FALSE)),IF(AND($S$3=TRUE,$S$4=TRUE),IF(OR($Q$4=TRUE,$Q$5=TRUE,$S$2=TRUE),VLOOKUP($G463,'KO Calc'!$H:$AW,30,FALSE),VLOOKUP($G463,'KO Calc'!$H469:$AW469,30,FALSE)))))))))))))</f>
        <v>-</v>
      </c>
      <c r="L463" s="36" t="str">
        <f>IFERROR(IF(AND($Q$1=FALSE,$S$3=FALSE),"-",VLOOKUP($E463,'Status Thresholds'!$E:$AU,41,FALSE)),"-")</f>
        <v>-</v>
      </c>
      <c r="M463" s="36" t="str">
        <f>IFERROR(IF(AND($Q$1=FALSE,$S$3=FALSE),"-",VLOOKUP($E463,'Status Thresholds'!$E:$AU,42,FALSE)),"-")</f>
        <v>-</v>
      </c>
      <c r="N463" s="36" t="str">
        <f>IFERROR(IF(AND($Q$1=FALSE,$S$3=FALSE),"-",VLOOKUP($E463,'Status Thresholds'!$E:$AU,43,FALSE)),"-")</f>
        <v>-</v>
      </c>
    </row>
    <row r="464" spans="1:14" x14ac:dyDescent="0.25">
      <c r="B464" s="64" t="str">
        <f>VLOOKUP(C464,'Status Thresholds'!B:C,2,FALSE)</f>
        <v>MHGen</v>
      </c>
      <c r="C464" s="46" t="str">
        <f>IF(ISBLANK('KO Calc'!C460)=TRUE,"",'KO Calc'!C460)</f>
        <v>Kushala Dora</v>
      </c>
      <c r="D464" s="78" t="s">
        <v>207</v>
      </c>
      <c r="E464" s="62" t="str">
        <f t="shared" si="13"/>
        <v>Kushala DoraShock Trap</v>
      </c>
      <c r="F464" t="s">
        <v>13</v>
      </c>
      <c r="G464" s="36" t="str">
        <f t="shared" si="14"/>
        <v>Kushala DoraCrag 3</v>
      </c>
      <c r="H464" s="36" t="str">
        <f>IF(AND($Q$1=FALSE,$S$3=FALSE),"-",IF(AND($Q$1=TRUE,$S$3=TRUE),"-",IF(AND($Q$1=FALSE,$S$3=FALSE),"-",IF(AND($Q$1=TRUE,$S$1=TRUE,$S$4=FALSE)=TRUE,IF(OR($Q$4=TRUE,$Q$5=TRUE,$S$2=TRUE),VLOOKUP($G464,'KO Calc'!$H:$AW,12,FALSE),VLOOKUP($G464,'KO Calc'!$H470:$AW470,12,FALSE)),IF(AND($Q$1=TRUE,$S$4=FALSE),IF(OR($Q$4=TRUE,$Q$5=TRUE,$S$2=TRUE),VLOOKUP($G464,'KO Calc'!$H:$AW,2,FALSE),VLOOKUP($G464,'KO Calc'!$H470:$AW470,2,FALSE)),
IF(AND($Q$1=TRUE,$S$1=TRUE,$S$4=TRUE)=TRUE,IF(OR($Q$4=TRUE,$Q$5=TRUE,$S$2=TRUE),VLOOKUP($G464,'KO Calc'!$H:$AW,17,FALSE),VLOOKUP($G464,'KO Calc'!$H470:$AW470,17,FALSE)),IF(AND($Q$1=TRUE,$S$4=TRUE),IF(OR($Q$4=TRUE,$Q$5=TRUE,$S$2=TRUE),VLOOKUP($G464,'KO Calc'!$H:$AW,7,FALSE),VLOOKUP($G464,'KO Calc'!$H470:$AW470,7,FALSE)),
IF(AND($S$3=TRUE,$S$1=TRUE,$S$4=FALSE)=TRUE,IF(OR($Q$4=TRUE,$Q$5=TRUE,$S$2=TRUE),VLOOKUP($G464,'KO Calc'!$H:$AW,32,FALSE),VLOOKUP($G464,'KO Calc'!$H470:$AW470,32,FALSE)),IF(AND($S$3=TRUE,$S$4=FALSE),IF(OR($Q$4=TRUE,$Q$5=TRUE,$S$2=TRUE),VLOOKUP($G464,'KO Calc'!$H:$AW,22,FALSE),VLOOKUP($G464,'KO Calc'!$H470:$AW470,22,FALSE)),
IF(AND($S$3=TRUE,$S$1=TRUE,$S$4=TRUE)=TRUE,IF(OR($Q$4=TRUE,$Q$5=TRUE,$S$2=TRUE),VLOOKUP($G464,'KO Calc'!$H:$AW,37,FALSE),VLOOKUP($G464,'KO Calc'!$H470:$AW470,37,FALSE)),IF(AND($S$3=TRUE,$S$4=TRUE),IF(OR($Q$4=TRUE,$Q$5=TRUE,$S$2=TRUE),VLOOKUP($G464,'KO Calc'!$H:$AW,27,FALSE),VLOOKUP($G464,'KO Calc'!$H470:$AW470,27,FALSE)))))))))))))</f>
        <v>-</v>
      </c>
      <c r="I464" s="36" t="str">
        <f>IF(AND($Q$1=FALSE,$S$3=FALSE),"-",IF(AND($Q$1=TRUE,$S$3=TRUE),"-",IF(AND($Q$1=FALSE,$S$3=FALSE),"-",IF(AND($Q$1=TRUE,$S$1=TRUE,$S$4=FALSE)=TRUE,IF(OR($Q$4=TRUE,$Q$5=TRUE,$S$2=TRUE),VLOOKUP($G464,'KO Calc'!$H:$AW,13,FALSE),VLOOKUP($G464,'KO Calc'!$H470:$AW470,13,FALSE)),IF(AND($Q$1=TRUE,$S$4=FALSE),IF(OR($Q$4=TRUE,$Q$5=TRUE,$S$2=TRUE),VLOOKUP($G464,'KO Calc'!$H:$AW,3,FALSE),VLOOKUP($G464,'KO Calc'!$H470:$AW470,3,FALSE)),
IF(AND($Q$1=TRUE,$S$1=TRUE,$S$4=TRUE)=TRUE,IF(OR($Q$4=TRUE,$Q$5=TRUE,$S$2=TRUE),VLOOKUP($G464,'KO Calc'!$H:$AW,18,FALSE),VLOOKUP($G464,'KO Calc'!$H470:$AW470,18,FALSE)),IF(AND($Q$1=TRUE,$S$4=TRUE),IF(OR($Q$4=TRUE,$Q$5=TRUE,$S$2=TRUE),VLOOKUP($G464,'KO Calc'!$H:$AW,8,FALSE),VLOOKUP($G464,'KO Calc'!$H470:$AW470,8,FALSE)),
IF(AND($S$3=TRUE,$S$1=TRUE,$S$4=FALSE)=TRUE,IF(OR($Q$4=TRUE,$Q$5=TRUE,$S$2=TRUE),VLOOKUP($G464,'KO Calc'!$H:$AW,33,FALSE),VLOOKUP($G464,'KO Calc'!$H470:$AW470,33,FALSE)),IF(AND($S$3=TRUE,$S$4=FALSE),IF(OR($Q$4=TRUE,$Q$5=TRUE,$S$2=TRUE),VLOOKUP($G464,'KO Calc'!$H:$AW,23,FALSE),VLOOKUP($G464,'KO Calc'!$H470:$AW470,23,FALSE)),
IF(AND($S$3=TRUE,$S$1=TRUE,$S$4=TRUE)=TRUE,IF(OR($Q$4=TRUE,$Q$5=TRUE,$S$2=TRUE),VLOOKUP($G464,'KO Calc'!$H:$AW,38,FALSE),VLOOKUP($G464,'KO Calc'!$H470:$AW470,38,FALSE)),IF(AND($S$3=TRUE,$S$4=TRUE),IF(OR($Q$4=TRUE,$Q$5=TRUE,$S$2=TRUE),VLOOKUP($G464,'KO Calc'!$H:$AW,28,FALSE),VLOOKUP($G464,'KO Calc'!$H470:$AW470,28,FALSE)))))))))))))</f>
        <v>-</v>
      </c>
      <c r="J464" s="36" t="str">
        <f>IF(AND($Q$1=FALSE,$S$3=FALSE),"-",IF(AND($Q$1=TRUE,$S$3=TRUE),"-",IF(AND($Q$1=FALSE,$S$3=FALSE),"-",IF(AND($Q$1=TRUE,$S$1=TRUE,$S$4=FALSE)=TRUE,IF(OR($Q$4=TRUE,$Q$5=TRUE,$S$2=TRUE),VLOOKUP($G464,'KO Calc'!$H:$AW,FALSE),VLOOKUP($G464,'KO Calc'!$H470:$AW470,14,FALSE)),IF(AND($Q$1=TRUE,$S$4=FALSE),IF(OR($Q$4=TRUE,$Q$5=TRUE,$S$2=TRUE),VLOOKUP($G464,'KO Calc'!$H:$AW,4,FALSE),VLOOKUP($G464,'KO Calc'!$H470:$AW470,4,FALSE)),
IF(AND($Q$1=TRUE,$S$1=TRUE,$S$4=TRUE)=TRUE,IF(OR($Q$4=TRUE,$Q$5=TRUE,$S$2=TRUE),VLOOKUP($G464,'KO Calc'!$H:$AW,19,FALSE),VLOOKUP($G464,'KO Calc'!$H470:$AW470,19,FALSE)),IF(AND($Q$1=TRUE,$S$4=TRUE),IF(OR($Q$4=TRUE,$Q$5=TRUE,$S$2=TRUE),VLOOKUP($G464,'KO Calc'!$H:$AW,9,FALSE),VLOOKUP($G464,'KO Calc'!$H470:$AW470,9,FALSE)),
IF(AND($S$3=TRUE,$S$1=TRUE,$S$4=FALSE)=TRUE,IF(OR($Q$4=TRUE,$Q$5=TRUE,$S$2=TRUE),VLOOKUP($G464,'KO Calc'!$H:$AW,34,FALSE),VLOOKUP($G464,'KO Calc'!$H470:$AW470,34,FALSE)),IF(AND($S$3=TRUE,$S$4=FALSE),IF(OR($Q$4=TRUE,$Q$5=TRUE,$S$2=TRUE),VLOOKUP($G464,'KO Calc'!$H:$AW,24,FALSE),VLOOKUP($G464,'KO Calc'!$H470:$AW470,24,FALSE)),
IF(AND($S$3=TRUE,$S$1=TRUE,$S$4=TRUE)=TRUE,IF(OR($Q$4=TRUE,$Q$5=TRUE,$S$2=TRUE),VLOOKUP($G464,'KO Calc'!$H:$AW,39,FALSE),VLOOKUP($G464,'KO Calc'!$H470:$AW470,39,FALSE)),IF(AND($S$3=TRUE,$S$4=TRUE),IF(OR($Q$4=TRUE,$Q$5=TRUE,$S$2=TRUE),VLOOKUP($G464,'KO Calc'!$H:$AW,29,FALSE),VLOOKUP($G464,'KO Calc'!$H470:$AW470,29,FALSE)))))))))))))</f>
        <v>-</v>
      </c>
      <c r="K464" s="36" t="str">
        <f>IF(AND($Q$1=FALSE,$S$3=FALSE),"-",IF(AND($Q$1=TRUE,$S$3=TRUE),"-",IF(AND($Q$1=FALSE,$S$3=FALSE),"-",IF(AND($Q$1=TRUE,$S$1=TRUE,$S$4=FALSE)=TRUE,IF(OR($Q$4=TRUE,$Q$5=TRUE,$S$2=TRUE),VLOOKUP($G464,'KO Calc'!$H:$AW,15,FALSE),VLOOKUP($G464,'KO Calc'!$H470:$AW470,15,FALSE)),IF(AND($Q$1=TRUE,$S$4=FALSE),IF(OR($Q$4=TRUE,$Q$5=TRUE,$S$2=TRUE),VLOOKUP($G464,'KO Calc'!$H:$AW,5,FALSE),VLOOKUP($G464,'KO Calc'!$H470:$AW470,5,FALSE)),
IF(AND($Q$1=TRUE,$S$1=TRUE,$S$4=TRUE)=TRUE,IF(OR($Q$4=TRUE,$Q$5=TRUE,$S$2=TRUE),VLOOKUP($G464,'KO Calc'!$H:$AW,20,FALSE),VLOOKUP($G464,'KO Calc'!$H470:$AW470,20,FALSE)),IF(AND($Q$1=TRUE,$S$4=TRUE),IF(OR($Q$4=TRUE,$Q$5=TRUE,$S$2=TRUE),VLOOKUP($G464,'KO Calc'!$H:$AW,10,FALSE),VLOOKUP($G464,'KO Calc'!$H470:$AW470,10,FALSE)),
IF(AND($S$3=TRUE,$S$1=TRUE,$S$4=FALSE)=TRUE,IF(OR($Q$4=TRUE,$Q$5=TRUE,$S$2=TRUE),VLOOKUP($G464,'KO Calc'!$H:$AW,35,FALSE),VLOOKUP($G464,'KO Calc'!$H470:$AW470,35,FALSE)),IF(AND($S$3=TRUE,$S$4=FALSE),IF(OR($Q$4=TRUE,$Q$5=TRUE,$S$2=TRUE),VLOOKUP($G464,'KO Calc'!$H:$AW,25,FALSE),VLOOKUP($G464,'KO Calc'!$H470:$AW470,25,FALSE)),
IF(AND($S$3=TRUE,$S$1=TRUE,$S$4=TRUE)=TRUE,IF(OR($Q$4=TRUE,$Q$5=TRUE,$S$2=TRUE),VLOOKUP($G464,'KO Calc'!$H:$AW,40,FALSE),VLOOKUP($G464,'KO Calc'!$H470:$AW470,40,FALSE)),IF(AND($S$3=TRUE,$S$4=TRUE),IF(OR($Q$4=TRUE,$Q$5=TRUE,$S$2=TRUE),VLOOKUP($G464,'KO Calc'!$H:$AW,30,FALSE),VLOOKUP($G464,'KO Calc'!$H470:$AW470,30,FALSE)))))))))))))</f>
        <v>-</v>
      </c>
      <c r="L464" s="36" t="str">
        <f>IFERROR(IF(AND($Q$1=FALSE,$S$3=FALSE),"-",VLOOKUP($E464,'Status Thresholds'!$E:$AU,43,FALSE)),"-")</f>
        <v>-</v>
      </c>
      <c r="M464" s="36" t="str">
        <f>IFERROR(IF(AND($Q$1=FALSE,$S$3=FALSE),"-",VLOOKUP($E464,'Status Thresholds'!$E:$AU,41,FALSE)),"-")</f>
        <v>-</v>
      </c>
      <c r="N464" s="36" t="str">
        <f>IFERROR(IF(AND($Q$1=FALSE,$S$3=FALSE),"-",VLOOKUP($E464,'Status Thresholds'!$E:$AU,42,FALSE)),"-")</f>
        <v>-</v>
      </c>
    </row>
    <row r="465" spans="1:14" x14ac:dyDescent="0.25">
      <c r="B465" s="64" t="str">
        <f>VLOOKUP(C465,'Status Thresholds'!B:C,2,FALSE)</f>
        <v>MHGen</v>
      </c>
      <c r="C465" s="46" t="str">
        <f>IF(ISBLANK('KO Calc'!C461)=TRUE,"",'KO Calc'!C461)</f>
        <v>Kushala Dora</v>
      </c>
      <c r="D465" s="78" t="s">
        <v>213</v>
      </c>
      <c r="E465" s="62" t="str">
        <f t="shared" si="13"/>
        <v>Kushala DoraPitfall Trap</v>
      </c>
      <c r="F465" t="s">
        <v>12</v>
      </c>
      <c r="G465" s="36" t="str">
        <f t="shared" si="14"/>
        <v>Kushala DoraCrag 2</v>
      </c>
      <c r="H465" s="36" t="str">
        <f>IF(AND($Q$1=FALSE,$S$3=FALSE),"-",IF(AND($Q$1=TRUE,$S$3=TRUE),"-",IF(AND($Q$1=FALSE,$S$3=FALSE),"-",IF(AND($Q$1=TRUE,$S$1=TRUE,$S$4=FALSE)=TRUE,IF(OR($Q$4=TRUE,$Q$5=TRUE,$S$2=TRUE),VLOOKUP($G465,'KO Calc'!$H:$AW,12,FALSE),VLOOKUP($G465,'KO Calc'!$H471:$AW471,12,FALSE)),IF(AND($Q$1=TRUE,$S$4=FALSE),IF(OR($Q$4=TRUE,$Q$5=TRUE,$S$2=TRUE),VLOOKUP($G465,'KO Calc'!$H:$AW,2,FALSE),VLOOKUP($G465,'KO Calc'!$H471:$AW471,2,FALSE)),
IF(AND($Q$1=TRUE,$S$1=TRUE,$S$4=TRUE)=TRUE,IF(OR($Q$4=TRUE,$Q$5=TRUE,$S$2=TRUE),VLOOKUP($G465,'KO Calc'!$H:$AW,17,FALSE),VLOOKUP($G465,'KO Calc'!$H471:$AW471,17,FALSE)),IF(AND($Q$1=TRUE,$S$4=TRUE),IF(OR($Q$4=TRUE,$Q$5=TRUE,$S$2=TRUE),VLOOKUP($G465,'KO Calc'!$H:$AW,7,FALSE),VLOOKUP($G465,'KO Calc'!$H471:$AW471,7,FALSE)),
IF(AND($S$3=TRUE,$S$1=TRUE,$S$4=FALSE)=TRUE,IF(OR($Q$4=TRUE,$Q$5=TRUE,$S$2=TRUE),VLOOKUP($G465,'KO Calc'!$H:$AW,32,FALSE),VLOOKUP($G465,'KO Calc'!$H471:$AW471,32,FALSE)),IF(AND($S$3=TRUE,$S$4=FALSE),IF(OR($Q$4=TRUE,$Q$5=TRUE,$S$2=TRUE),VLOOKUP($G465,'KO Calc'!$H:$AW,22,FALSE),VLOOKUP($G465,'KO Calc'!$H471:$AW471,22,FALSE)),
IF(AND($S$3=TRUE,$S$1=TRUE,$S$4=TRUE)=TRUE,IF(OR($Q$4=TRUE,$Q$5=TRUE,$S$2=TRUE),VLOOKUP($G465,'KO Calc'!$H:$AW,37,FALSE),VLOOKUP($G465,'KO Calc'!$H471:$AW471,37,FALSE)),IF(AND($S$3=TRUE,$S$4=TRUE),IF(OR($Q$4=TRUE,$Q$5=TRUE,$S$2=TRUE),VLOOKUP($G465,'KO Calc'!$H:$AW,27,FALSE),VLOOKUP($G465,'KO Calc'!$H471:$AW471,27,FALSE)))))))))))))</f>
        <v>-</v>
      </c>
      <c r="I465" s="36" t="str">
        <f>IF(AND($Q$1=FALSE,$S$3=FALSE),"-",IF(AND($Q$1=TRUE,$S$3=TRUE),"-",IF(AND($Q$1=FALSE,$S$3=FALSE),"-",IF(AND($Q$1=TRUE,$S$1=TRUE,$S$4=FALSE)=TRUE,IF(OR($Q$4=TRUE,$Q$5=TRUE,$S$2=TRUE),VLOOKUP($G465,'KO Calc'!$H:$AW,13,FALSE),VLOOKUP($G465,'KO Calc'!$H471:$AW471,13,FALSE)),IF(AND($Q$1=TRUE,$S$4=FALSE),IF(OR($Q$4=TRUE,$Q$5=TRUE,$S$2=TRUE),VLOOKUP($G465,'KO Calc'!$H:$AW,3,FALSE),VLOOKUP($G465,'KO Calc'!$H471:$AW471,3,FALSE)),
IF(AND($Q$1=TRUE,$S$1=TRUE,$S$4=TRUE)=TRUE,IF(OR($Q$4=TRUE,$Q$5=TRUE,$S$2=TRUE),VLOOKUP($G465,'KO Calc'!$H:$AW,18,FALSE),VLOOKUP($G465,'KO Calc'!$H471:$AW471,18,FALSE)),IF(AND($Q$1=TRUE,$S$4=TRUE),IF(OR($Q$4=TRUE,$Q$5=TRUE,$S$2=TRUE),VLOOKUP($G465,'KO Calc'!$H:$AW,8,FALSE),VLOOKUP($G465,'KO Calc'!$H471:$AW471,8,FALSE)),
IF(AND($S$3=TRUE,$S$1=TRUE,$S$4=FALSE)=TRUE,IF(OR($Q$4=TRUE,$Q$5=TRUE,$S$2=TRUE),VLOOKUP($G465,'KO Calc'!$H:$AW,33,FALSE),VLOOKUP($G465,'KO Calc'!$H471:$AW471,33,FALSE)),IF(AND($S$3=TRUE,$S$4=FALSE),IF(OR($Q$4=TRUE,$Q$5=TRUE,$S$2=TRUE),VLOOKUP($G465,'KO Calc'!$H:$AW,23,FALSE),VLOOKUP($G465,'KO Calc'!$H471:$AW471,23,FALSE)),
IF(AND($S$3=TRUE,$S$1=TRUE,$S$4=TRUE)=TRUE,IF(OR($Q$4=TRUE,$Q$5=TRUE,$S$2=TRUE),VLOOKUP($G465,'KO Calc'!$H:$AW,38,FALSE),VLOOKUP($G465,'KO Calc'!$H471:$AW471,38,FALSE)),IF(AND($S$3=TRUE,$S$4=TRUE),IF(OR($Q$4=TRUE,$Q$5=TRUE,$S$2=TRUE),VLOOKUP($G465,'KO Calc'!$H:$AW,28,FALSE),VLOOKUP($G465,'KO Calc'!$H471:$AW471,28,FALSE)))))))))))))</f>
        <v>-</v>
      </c>
      <c r="J465" s="36" t="str">
        <f>IF(AND($Q$1=FALSE,$S$3=FALSE),"-",IF(AND($Q$1=TRUE,$S$3=TRUE),"-",IF(AND($Q$1=FALSE,$S$3=FALSE),"-",IF(AND($Q$1=TRUE,$S$1=TRUE,$S$4=FALSE)=TRUE,IF(OR($Q$4=TRUE,$Q$5=TRUE,$S$2=TRUE),VLOOKUP($G465,'KO Calc'!$H:$AW,FALSE),VLOOKUP($G465,'KO Calc'!$H471:$AW471,14,FALSE)),IF(AND($Q$1=TRUE,$S$4=FALSE),IF(OR($Q$4=TRUE,$Q$5=TRUE,$S$2=TRUE),VLOOKUP($G465,'KO Calc'!$H:$AW,4,FALSE),VLOOKUP($G465,'KO Calc'!$H471:$AW471,4,FALSE)),
IF(AND($Q$1=TRUE,$S$1=TRUE,$S$4=TRUE)=TRUE,IF(OR($Q$4=TRUE,$Q$5=TRUE,$S$2=TRUE),VLOOKUP($G465,'KO Calc'!$H:$AW,19,FALSE),VLOOKUP($G465,'KO Calc'!$H471:$AW471,19,FALSE)),IF(AND($Q$1=TRUE,$S$4=TRUE),IF(OR($Q$4=TRUE,$Q$5=TRUE,$S$2=TRUE),VLOOKUP($G465,'KO Calc'!$H:$AW,9,FALSE),VLOOKUP($G465,'KO Calc'!$H471:$AW471,9,FALSE)),
IF(AND($S$3=TRUE,$S$1=TRUE,$S$4=FALSE)=TRUE,IF(OR($Q$4=TRUE,$Q$5=TRUE,$S$2=TRUE),VLOOKUP($G465,'KO Calc'!$H:$AW,34,FALSE),VLOOKUP($G465,'KO Calc'!$H471:$AW471,34,FALSE)),IF(AND($S$3=TRUE,$S$4=FALSE),IF(OR($Q$4=TRUE,$Q$5=TRUE,$S$2=TRUE),VLOOKUP($G465,'KO Calc'!$H:$AW,24,FALSE),VLOOKUP($G465,'KO Calc'!$H471:$AW471,24,FALSE)),
IF(AND($S$3=TRUE,$S$1=TRUE,$S$4=TRUE)=TRUE,IF(OR($Q$4=TRUE,$Q$5=TRUE,$S$2=TRUE),VLOOKUP($G465,'KO Calc'!$H:$AW,39,FALSE),VLOOKUP($G465,'KO Calc'!$H471:$AW471,39,FALSE)),IF(AND($S$3=TRUE,$S$4=TRUE),IF(OR($Q$4=TRUE,$Q$5=TRUE,$S$2=TRUE),VLOOKUP($G465,'KO Calc'!$H:$AW,29,FALSE),VLOOKUP($G465,'KO Calc'!$H471:$AW471,29,FALSE)))))))))))))</f>
        <v>-</v>
      </c>
      <c r="K465" s="36" t="str">
        <f>IF(AND($Q$1=FALSE,$S$3=FALSE),"-",IF(AND($Q$1=TRUE,$S$3=TRUE),"-",IF(AND($Q$1=FALSE,$S$3=FALSE),"-",IF(AND($Q$1=TRUE,$S$1=TRUE,$S$4=FALSE)=TRUE,IF(OR($Q$4=TRUE,$Q$5=TRUE,$S$2=TRUE),VLOOKUP($G465,'KO Calc'!$H:$AW,15,FALSE),VLOOKUP($G465,'KO Calc'!$H471:$AW471,15,FALSE)),IF(AND($Q$1=TRUE,$S$4=FALSE),IF(OR($Q$4=TRUE,$Q$5=TRUE,$S$2=TRUE),VLOOKUP($G465,'KO Calc'!$H:$AW,5,FALSE),VLOOKUP($G465,'KO Calc'!$H471:$AW471,5,FALSE)),
IF(AND($Q$1=TRUE,$S$1=TRUE,$S$4=TRUE)=TRUE,IF(OR($Q$4=TRUE,$Q$5=TRUE,$S$2=TRUE),VLOOKUP($G465,'KO Calc'!$H:$AW,20,FALSE),VLOOKUP($G465,'KO Calc'!$H471:$AW471,20,FALSE)),IF(AND($Q$1=TRUE,$S$4=TRUE),IF(OR($Q$4=TRUE,$Q$5=TRUE,$S$2=TRUE),VLOOKUP($G465,'KO Calc'!$H:$AW,10,FALSE),VLOOKUP($G465,'KO Calc'!$H471:$AW471,10,FALSE)),
IF(AND($S$3=TRUE,$S$1=TRUE,$S$4=FALSE)=TRUE,IF(OR($Q$4=TRUE,$Q$5=TRUE,$S$2=TRUE),VLOOKUP($G465,'KO Calc'!$H:$AW,35,FALSE),VLOOKUP($G465,'KO Calc'!$H471:$AW471,35,FALSE)),IF(AND($S$3=TRUE,$S$4=FALSE),IF(OR($Q$4=TRUE,$Q$5=TRUE,$S$2=TRUE),VLOOKUP($G465,'KO Calc'!$H:$AW,25,FALSE),VLOOKUP($G465,'KO Calc'!$H471:$AW471,25,FALSE)),
IF(AND($S$3=TRUE,$S$1=TRUE,$S$4=TRUE)=TRUE,IF(OR($Q$4=TRUE,$Q$5=TRUE,$S$2=TRUE),VLOOKUP($G465,'KO Calc'!$H:$AW,40,FALSE),VLOOKUP($G465,'KO Calc'!$H471:$AW471,40,FALSE)),IF(AND($S$3=TRUE,$S$4=TRUE),IF(OR($Q$4=TRUE,$Q$5=TRUE,$S$2=TRUE),VLOOKUP($G465,'KO Calc'!$H:$AW,30,FALSE),VLOOKUP($G465,'KO Calc'!$H471:$AW471,30,FALSE)))))))))))))</f>
        <v>-</v>
      </c>
      <c r="L465" s="36" t="str">
        <f>IFERROR(IF(AND($Q$1=FALSE,$S$3=FALSE),"-",VLOOKUP($E465,'Status Thresholds'!$E:$AU,43,FALSE)),"-")</f>
        <v>-</v>
      </c>
      <c r="M465" s="36" t="str">
        <f>IFERROR(IF(AND($Q$1=FALSE,$S$3=FALSE),"-",VLOOKUP($E465,'Status Thresholds'!$E:$AU,41,FALSE)),"-")</f>
        <v>-</v>
      </c>
      <c r="N465" s="36" t="str">
        <f>IFERROR(IF(AND($Q$1=FALSE,$S$3=FALSE),"-",VLOOKUP($E465,'Status Thresholds'!$E:$AU,42,FALSE)),"-")</f>
        <v>-</v>
      </c>
    </row>
    <row r="466" spans="1:14" x14ac:dyDescent="0.25">
      <c r="B466" s="64" t="str">
        <f>VLOOKUP(C466,'Status Thresholds'!B:C,2,FALSE)</f>
        <v>MHGen</v>
      </c>
      <c r="C466" s="46" t="str">
        <f>IF(ISBLANK('KO Calc'!C462)=TRUE,"",'KO Calc'!C462)</f>
        <v>Kushala Dora</v>
      </c>
      <c r="D466" s="78"/>
      <c r="E466" s="62" t="str">
        <f t="shared" si="13"/>
        <v>Kushala Dora</v>
      </c>
      <c r="F466" t="s">
        <v>11</v>
      </c>
      <c r="G466" s="36" t="str">
        <f t="shared" si="14"/>
        <v>Kushala DoraCrag 1</v>
      </c>
      <c r="H466" s="36" t="str">
        <f>IF(AND($Q$1=FALSE,$S$3=FALSE),"-",IF(AND($Q$1=TRUE,$S$3=TRUE),"-",IF(AND($Q$1=FALSE,$S$3=FALSE),"-",IF(AND($Q$1=TRUE,$S$1=TRUE,$S$4=FALSE)=TRUE,IF(OR($Q$4=TRUE,$Q$5=TRUE,$S$2=TRUE),VLOOKUP($G466,'KO Calc'!$H:$AW,12,FALSE),VLOOKUP($G466,'KO Calc'!$H472:$AW472,12,FALSE)),IF(AND($Q$1=TRUE,$S$4=FALSE),IF(OR($Q$4=TRUE,$Q$5=TRUE,$S$2=TRUE),VLOOKUP($G466,'KO Calc'!$H:$AW,2,FALSE),VLOOKUP($G466,'KO Calc'!$H472:$AW472,2,FALSE)),
IF(AND($Q$1=TRUE,$S$1=TRUE,$S$4=TRUE)=TRUE,IF(OR($Q$4=TRUE,$Q$5=TRUE,$S$2=TRUE),VLOOKUP($G466,'KO Calc'!$H:$AW,17,FALSE),VLOOKUP($G466,'KO Calc'!$H472:$AW472,17,FALSE)),IF(AND($Q$1=TRUE,$S$4=TRUE),IF(OR($Q$4=TRUE,$Q$5=TRUE,$S$2=TRUE),VLOOKUP($G466,'KO Calc'!$H:$AW,7,FALSE),VLOOKUP($G466,'KO Calc'!$H472:$AW472,7,FALSE)),
IF(AND($S$3=TRUE,$S$1=TRUE,$S$4=FALSE)=TRUE,IF(OR($Q$4=TRUE,$Q$5=TRUE,$S$2=TRUE),VLOOKUP($G466,'KO Calc'!$H:$AW,32,FALSE),VLOOKUP($G466,'KO Calc'!$H472:$AW472,32,FALSE)),IF(AND($S$3=TRUE,$S$4=FALSE),IF(OR($Q$4=TRUE,$Q$5=TRUE,$S$2=TRUE),VLOOKUP($G466,'KO Calc'!$H:$AW,22,FALSE),VLOOKUP($G466,'KO Calc'!$H472:$AW472,22,FALSE)),
IF(AND($S$3=TRUE,$S$1=TRUE,$S$4=TRUE)=TRUE,IF(OR($Q$4=TRUE,$Q$5=TRUE,$S$2=TRUE),VLOOKUP($G466,'KO Calc'!$H:$AW,37,FALSE),VLOOKUP($G466,'KO Calc'!$H472:$AW472,37,FALSE)),IF(AND($S$3=TRUE,$S$4=TRUE),IF(OR($Q$4=TRUE,$Q$5=TRUE,$S$2=TRUE),VLOOKUP($G466,'KO Calc'!$H:$AW,27,FALSE),VLOOKUP($G466,'KO Calc'!$H472:$AW472,27,FALSE)))))))))))))</f>
        <v>-</v>
      </c>
      <c r="I466" s="36" t="str">
        <f>IF(AND($Q$1=FALSE,$S$3=FALSE),"-",IF(AND($Q$1=TRUE,$S$3=TRUE),"-",IF(AND($Q$1=FALSE,$S$3=FALSE),"-",IF(AND($Q$1=TRUE,$S$1=TRUE,$S$4=FALSE)=TRUE,IF(OR($Q$4=TRUE,$Q$5=TRUE,$S$2=TRUE),VLOOKUP($G466,'KO Calc'!$H:$AW,13,FALSE),VLOOKUP($G466,'KO Calc'!$H472:$AW472,13,FALSE)),IF(AND($Q$1=TRUE,$S$4=FALSE),IF(OR($Q$4=TRUE,$Q$5=TRUE,$S$2=TRUE),VLOOKUP($G466,'KO Calc'!$H:$AW,3,FALSE),VLOOKUP($G466,'KO Calc'!$H472:$AW472,3,FALSE)),
IF(AND($Q$1=TRUE,$S$1=TRUE,$S$4=TRUE)=TRUE,IF(OR($Q$4=TRUE,$Q$5=TRUE,$S$2=TRUE),VLOOKUP($G466,'KO Calc'!$H:$AW,18,FALSE),VLOOKUP($G466,'KO Calc'!$H472:$AW472,18,FALSE)),IF(AND($Q$1=TRUE,$S$4=TRUE),IF(OR($Q$4=TRUE,$Q$5=TRUE,$S$2=TRUE),VLOOKUP($G466,'KO Calc'!$H:$AW,8,FALSE),VLOOKUP($G466,'KO Calc'!$H472:$AW472,8,FALSE)),
IF(AND($S$3=TRUE,$S$1=TRUE,$S$4=FALSE)=TRUE,IF(OR($Q$4=TRUE,$Q$5=TRUE,$S$2=TRUE),VLOOKUP($G466,'KO Calc'!$H:$AW,33,FALSE),VLOOKUP($G466,'KO Calc'!$H472:$AW472,33,FALSE)),IF(AND($S$3=TRUE,$S$4=FALSE),IF(OR($Q$4=TRUE,$Q$5=TRUE,$S$2=TRUE),VLOOKUP($G466,'KO Calc'!$H:$AW,23,FALSE),VLOOKUP($G466,'KO Calc'!$H472:$AW472,23,FALSE)),
IF(AND($S$3=TRUE,$S$1=TRUE,$S$4=TRUE)=TRUE,IF(OR($Q$4=TRUE,$Q$5=TRUE,$S$2=TRUE),VLOOKUP($G466,'KO Calc'!$H:$AW,38,FALSE),VLOOKUP($G466,'KO Calc'!$H472:$AW472,38,FALSE)),IF(AND($S$3=TRUE,$S$4=TRUE),IF(OR($Q$4=TRUE,$Q$5=TRUE,$S$2=TRUE),VLOOKUP($G466,'KO Calc'!$H:$AW,28,FALSE),VLOOKUP($G466,'KO Calc'!$H472:$AW472,28,FALSE)))))))))))))</f>
        <v>-</v>
      </c>
      <c r="J466" s="36" t="str">
        <f>IF(AND($Q$1=FALSE,$S$3=FALSE),"-",IF(AND($Q$1=TRUE,$S$3=TRUE),"-",IF(AND($Q$1=FALSE,$S$3=FALSE),"-",IF(AND($Q$1=TRUE,$S$1=TRUE,$S$4=FALSE)=TRUE,IF(OR($Q$4=TRUE,$Q$5=TRUE,$S$2=TRUE),VLOOKUP($G466,'KO Calc'!$H:$AW,FALSE),VLOOKUP($G466,'KO Calc'!$H472:$AW472,14,FALSE)),IF(AND($Q$1=TRUE,$S$4=FALSE),IF(OR($Q$4=TRUE,$Q$5=TRUE,$S$2=TRUE),VLOOKUP($G466,'KO Calc'!$H:$AW,4,FALSE),VLOOKUP($G466,'KO Calc'!$H472:$AW472,4,FALSE)),
IF(AND($Q$1=TRUE,$S$1=TRUE,$S$4=TRUE)=TRUE,IF(OR($Q$4=TRUE,$Q$5=TRUE,$S$2=TRUE),VLOOKUP($G466,'KO Calc'!$H:$AW,19,FALSE),VLOOKUP($G466,'KO Calc'!$H472:$AW472,19,FALSE)),IF(AND($Q$1=TRUE,$S$4=TRUE),IF(OR($Q$4=TRUE,$Q$5=TRUE,$S$2=TRUE),VLOOKUP($G466,'KO Calc'!$H:$AW,9,FALSE),VLOOKUP($G466,'KO Calc'!$H472:$AW472,9,FALSE)),
IF(AND($S$3=TRUE,$S$1=TRUE,$S$4=FALSE)=TRUE,IF(OR($Q$4=TRUE,$Q$5=TRUE,$S$2=TRUE),VLOOKUP($G466,'KO Calc'!$H:$AW,34,FALSE),VLOOKUP($G466,'KO Calc'!$H472:$AW472,34,FALSE)),IF(AND($S$3=TRUE,$S$4=FALSE),IF(OR($Q$4=TRUE,$Q$5=TRUE,$S$2=TRUE),VLOOKUP($G466,'KO Calc'!$H:$AW,24,FALSE),VLOOKUP($G466,'KO Calc'!$H472:$AW472,24,FALSE)),
IF(AND($S$3=TRUE,$S$1=TRUE,$S$4=TRUE)=TRUE,IF(OR($Q$4=TRUE,$Q$5=TRUE,$S$2=TRUE),VLOOKUP($G466,'KO Calc'!$H:$AW,39,FALSE),VLOOKUP($G466,'KO Calc'!$H472:$AW472,39,FALSE)),IF(AND($S$3=TRUE,$S$4=TRUE),IF(OR($Q$4=TRUE,$Q$5=TRUE,$S$2=TRUE),VLOOKUP($G466,'KO Calc'!$H:$AW,29,FALSE),VLOOKUP($G466,'KO Calc'!$H472:$AW472,29,FALSE)))))))))))))</f>
        <v>-</v>
      </c>
      <c r="K466" s="36" t="str">
        <f>IF(AND($Q$1=FALSE,$S$3=FALSE),"-",IF(AND($Q$1=TRUE,$S$3=TRUE),"-",IF(AND($Q$1=FALSE,$S$3=FALSE),"-",IF(AND($Q$1=TRUE,$S$1=TRUE,$S$4=FALSE)=TRUE,IF(OR($Q$4=TRUE,$Q$5=TRUE,$S$2=TRUE),VLOOKUP($G466,'KO Calc'!$H:$AW,15,FALSE),VLOOKUP($G466,'KO Calc'!$H472:$AW472,15,FALSE)),IF(AND($Q$1=TRUE,$S$4=FALSE),IF(OR($Q$4=TRUE,$Q$5=TRUE,$S$2=TRUE),VLOOKUP($G466,'KO Calc'!$H:$AW,5,FALSE),VLOOKUP($G466,'KO Calc'!$H472:$AW472,5,FALSE)),
IF(AND($Q$1=TRUE,$S$1=TRUE,$S$4=TRUE)=TRUE,IF(OR($Q$4=TRUE,$Q$5=TRUE,$S$2=TRUE),VLOOKUP($G466,'KO Calc'!$H:$AW,20,FALSE),VLOOKUP($G466,'KO Calc'!$H472:$AW472,20,FALSE)),IF(AND($Q$1=TRUE,$S$4=TRUE),IF(OR($Q$4=TRUE,$Q$5=TRUE,$S$2=TRUE),VLOOKUP($G466,'KO Calc'!$H:$AW,10,FALSE),VLOOKUP($G466,'KO Calc'!$H472:$AW472,10,FALSE)),
IF(AND($S$3=TRUE,$S$1=TRUE,$S$4=FALSE)=TRUE,IF(OR($Q$4=TRUE,$Q$5=TRUE,$S$2=TRUE),VLOOKUP($G466,'KO Calc'!$H:$AW,35,FALSE),VLOOKUP($G466,'KO Calc'!$H472:$AW472,35,FALSE)),IF(AND($S$3=TRUE,$S$4=FALSE),IF(OR($Q$4=TRUE,$Q$5=TRUE,$S$2=TRUE),VLOOKUP($G466,'KO Calc'!$H:$AW,25,FALSE),VLOOKUP($G466,'KO Calc'!$H472:$AW472,25,FALSE)),
IF(AND($S$3=TRUE,$S$1=TRUE,$S$4=TRUE)=TRUE,IF(OR($Q$4=TRUE,$Q$5=TRUE,$S$2=TRUE),VLOOKUP($G466,'KO Calc'!$H:$AW,40,FALSE),VLOOKUP($G466,'KO Calc'!$H472:$AW472,40,FALSE)),IF(AND($S$3=TRUE,$S$4=TRUE),IF(OR($Q$4=TRUE,$Q$5=TRUE,$S$2=TRUE),VLOOKUP($G466,'KO Calc'!$H:$AW,30,FALSE),VLOOKUP($G466,'KO Calc'!$H472:$AW472,30,FALSE)))))))))))))</f>
        <v>-</v>
      </c>
      <c r="L466" s="36" t="str">
        <f>IFERROR(VLOOKUP($E466,'Status Thresholds'!$E:$AS,41,FALSE),"-")</f>
        <v>-</v>
      </c>
    </row>
    <row r="467" spans="1:14" x14ac:dyDescent="0.25">
      <c r="B467" s="64" t="str">
        <f>VLOOKUP(C467,'Status Thresholds'!B:C,2,FALSE)</f>
        <v>MHGen</v>
      </c>
      <c r="C467" s="46" t="str">
        <f>IF(ISBLANK('KO Calc'!C463)=TRUE,"",'KO Calc'!C463)</f>
        <v>Kushala Dora</v>
      </c>
      <c r="D467" s="78"/>
      <c r="E467" s="62"/>
      <c r="G467" s="36"/>
      <c r="L467" s="36" t="str">
        <f>IFERROR(VLOOKUP($E467,'Status Thresholds'!$E:$AS,41,FALSE),"-")</f>
        <v>-</v>
      </c>
    </row>
    <row r="468" spans="1:14" s="36" customFormat="1" x14ac:dyDescent="0.25">
      <c r="B468" s="64" t="str">
        <f>VLOOKUP(C468,'Status Thresholds'!B:C,2,FALSE)</f>
        <v>MHGen</v>
      </c>
      <c r="C468" s="46" t="str">
        <f>IF(ISBLANK('KO Calc'!C464)=TRUE,"",'KO Calc'!C464)</f>
        <v>Lagiacrus</v>
      </c>
      <c r="D468" s="65" t="s">
        <v>0</v>
      </c>
      <c r="E468" s="62" t="str">
        <f t="shared" si="13"/>
        <v>LagiacrusPara</v>
      </c>
      <c r="F468" s="36" t="s">
        <v>2</v>
      </c>
      <c r="G468" s="36" t="str">
        <f t="shared" si="14"/>
        <v>LagiacrusPara lvl 2</v>
      </c>
      <c r="H468" s="36" t="str">
        <f>IFERROR(ROUNDUP(IF(AND($Q$1=FALSE,$S$3=FALSE),"-",IF(AND($Q$1=TRUE,$S$3=TRUE),"-",IF(AND($Q$1=TRUE,$S$1=TRUE,$S$4=FALSE),VLOOKUP($E468,'Status Thresholds'!$E:$AS,12,FALSE),IF(AND($Q$1=TRUE,$S$4=FALSE),VLOOKUP($E468,'Status Thresholds'!$E:$AS,2,FALSE), IF(AND($Q$1=TRUE,$S$1=TRUE,$S$4=TRUE),VLOOKUP($E468,'Status Thresholds'!$E:$AS,17,FALSE),IF(AND($Q$1=TRUE,$S$4=TRUE),VLOOKUP($E468,'Status Thresholds'!$E:$AS,7,FALSE),IF(AND($S$3=TRUE,$S$1=TRUE,$S$4=FALSE),VLOOKUP($E468,'Status Thresholds'!$E:$AS,32,FALSE),IF(AND($S$3=TRUE,$S$4=FALSE),VLOOKUP($E468,'Status Thresholds'!$E:$AS,22,FALSE),IF(AND($S$3=TRUE,$S$1=TRUE,$S$4=TRUE),VLOOKUP($E468,'Status Thresholds'!$E:$AS,37,FALSE),IF(AND($S$3=TRUE,$S$4=TRUE),VLOOKUP($E468,'Status Thresholds'!$E:$AS,27,FALSE),""))))))))/IF(OR($Q$3=TRUE,AND($Q$2=TRUE,$Q$7=TRUE),AND($Q$3=TRUE,$Q$7=TRUE))=TRUE,'Shots and Status'!$F$5,IF((OR($Q$2,$Q$7)=TRUE),'Shots and Status'!$D$5,'Shots and Status'!$C$5)))),0),"-")</f>
        <v>-</v>
      </c>
      <c r="I468" s="36" t="str">
        <f>IFERROR(ROUNDUP(IF(AND($Q$1=FALSE,$S$3=FALSE),"-",IF(AND($Q$1=TRUE,$S$3=TRUE),"-",IF(AND($Q$1=TRUE,$S$1=TRUE,$S$4=FALSE),VLOOKUP($E468,'Status Thresholds'!$E:$AS,13,FALSE),IF(AND($Q$1=TRUE,$S$4=FALSE),VLOOKUP($E468,'Status Thresholds'!$E:$AS,3,FALSE), IF(AND($Q$1=TRUE,$S$1=TRUE,$S$4=TRUE),VLOOKUP($E468,'Status Thresholds'!$E:$AS,18,FALSE),IF(AND($Q$1=TRUE,$S$4=TRUE),VLOOKUP($E468,'Status Thresholds'!$E:$AS,8,FALSE),IF(AND($S$3=TRUE,$S$1=TRUE,$S$4=FALSE),VLOOKUP($E468,'Status Thresholds'!$E:$AS,33,FALSE),IF(AND($S$3=TRUE,$S$4=FALSE),VLOOKUP($E468,'Status Thresholds'!$E:$AS,23,FALSE),IF(AND($S$3=TRUE,$S$1=TRUE,$S$4=TRUE),VLOOKUP($E468,'Status Thresholds'!$E:$AS,38,FALSE),IF(AND($S$3=TRUE,$S$4=TRUE),VLOOKUP($E468,'Status Thresholds'!$E:$AS,28,FALSE),""))))))))/IF(OR($Q$3=TRUE,AND($Q$2=TRUE,$Q$7=TRUE),AND($Q$3=TRUE,$Q$7=TRUE))=TRUE,'Shots and Status'!$F$5,IF((OR($Q$2,$Q$7)=TRUE),'Shots and Status'!$D$5,'Shots and Status'!$C$5)))),0),"-")</f>
        <v>-</v>
      </c>
      <c r="J468" s="36" t="str">
        <f>IFERROR(ROUNDUP(IF(AND($Q$1=FALSE,$S$3=FALSE),"-",IF(AND($Q$1=TRUE,$S$3=TRUE),"-",IF(AND($Q$1=TRUE,$S$1=TRUE,$S$4=FALSE),VLOOKUP($E468,'Status Thresholds'!$E:$AS,14,FALSE),IF(AND($Q$1=TRUE,$S$4=FALSE),VLOOKUP($E468,'Status Thresholds'!$E:$AS,4,FALSE), IF(AND($Q$1=TRUE,$S$1=TRUE,$S$4=TRUE),VLOOKUP($E468,'Status Thresholds'!$E:$AS,19,FALSE),IF(AND($Q$1=TRUE,$S$4=TRUE),VLOOKUP($E468,'Status Thresholds'!$E:$AS,9,FALSE),IF(AND($S$3=TRUE,$S$1=TRUE,$S$4=FALSE),VLOOKUP($E468,'Status Thresholds'!$E:$AS,34,FALSE),IF(AND($S$3=TRUE,$S$4=FALSE),VLOOKUP($E468,'Status Thresholds'!$E:$AS,24,FALSE),IF(AND($S$3=TRUE,$S$1=TRUE,$S$4=TRUE),VLOOKUP($E468,'Status Thresholds'!$E:$AS,39,FALSE),IF(AND($S$3=TRUE,$S$4=TRUE),VLOOKUP($E468,'Status Thresholds'!$E:$AS,29,FALSE),""))))))))/IF(OR($Q$3=TRUE,AND($Q$2=TRUE,$Q$7=TRUE),AND($Q$3=TRUE,$Q$7=TRUE))=TRUE,'Shots and Status'!$F$5,IF((OR($Q$2,$Q$7)=TRUE),'Shots and Status'!$D$5,'Shots and Status'!$C$5)))),0),"-")</f>
        <v>-</v>
      </c>
      <c r="K468" s="36" t="str">
        <f>IFERROR(ROUNDUP(IF(AND($Q$1=FALSE,$S$3=FALSE),"-",IF(AND($Q$1=TRUE,$S$3=TRUE),"-",IF(AND($Q$1=TRUE,$S$1=TRUE,$S$4=FALSE),VLOOKUP($E468,'Status Thresholds'!$E:$AS,15,FALSE),IF(AND($Q$1=TRUE,$S$4=FALSE),VLOOKUP($E468,'Status Thresholds'!$E:$AS,5,FALSE), IF(AND($Q$1=TRUE,$S$1=TRUE,$S$4=TRUE),VLOOKUP($E468,'Status Thresholds'!$E:$AS,20,FALSE),IF(AND($Q$1=TRUE,$S$4=TRUE),VLOOKUP($E468,'Status Thresholds'!$E:$AS,10,FALSE),IF(AND($S$3=TRUE,$S$1=TRUE,$S$4=FALSE),VLOOKUP($E468,'Status Thresholds'!$E:$AS,35,FALSE),IF(AND($S$3=TRUE,$S$4=FALSE),VLOOKUP($E468,'Status Thresholds'!$E:$AS,25,FALSE),IF(AND($S$3=TRUE,$S$1=TRUE,$S$4=TRUE),VLOOKUP($E468,'Status Thresholds'!$E:$AS,40,FALSE),IF(AND($S$3=TRUE,$S$4=TRUE),VLOOKUP($E468,'Status Thresholds'!$E:$AS,30,FALSE),""))))))))/IF(OR($Q$3=TRUE,AND($Q$2=TRUE,$Q$7=TRUE),AND($Q$3=TRUE,$Q$7=TRUE))=TRUE,'Shots and Status'!$F$5,IF((OR($Q$2,$Q$7)=TRUE),'Shots and Status'!$D$5,'Shots and Status'!$C$5)))),0),"-")</f>
        <v>-</v>
      </c>
      <c r="L468" s="36" t="str">
        <f>IFERROR(IF(AND($Q$1=FALSE,$S$3=FALSE),"-",VLOOKUP($E468,'Status Thresholds'!$E:$AU,41,FALSE)),"-")</f>
        <v>-</v>
      </c>
      <c r="M468" s="36" t="str">
        <f>IFERROR(IF(AND($Q$1=FALSE,$S$3=FALSE),"-",VLOOKUP($E468,'Status Thresholds'!$E:$AU,42,FALSE)),"-")</f>
        <v>-</v>
      </c>
      <c r="N468" s="36" t="str">
        <f>IFERROR(IF(AND($Q$1=FALSE,$S$3=FALSE),"-",VLOOKUP($E468,'Status Thresholds'!$E:$AU,43,FALSE)),"-")</f>
        <v>-</v>
      </c>
    </row>
    <row r="469" spans="1:14" s="59" customFormat="1" x14ac:dyDescent="0.25">
      <c r="A469" s="46"/>
      <c r="B469" s="64" t="str">
        <f>VLOOKUP(C469,'Status Thresholds'!B:C,2,FALSE)</f>
        <v>MHGen</v>
      </c>
      <c r="C469" s="46" t="str">
        <f>IF(ISBLANK('KO Calc'!C465)=TRUE,"",'KO Calc'!C465)</f>
        <v>Lagiacrus</v>
      </c>
      <c r="D469" s="60" t="s">
        <v>32</v>
      </c>
      <c r="E469" s="62" t="str">
        <f t="shared" si="13"/>
        <v>LagiacrusSleep</v>
      </c>
      <c r="F469" s="59" t="s">
        <v>5</v>
      </c>
      <c r="G469" s="36" t="str">
        <f t="shared" si="14"/>
        <v>LagiacrusSleep lvl 2</v>
      </c>
      <c r="H469" s="36" t="str">
        <f>IFERROR(ROUNDUP(IF(AND($Q$1=FALSE,$S$3=FALSE),"-",IF(AND($Q$1=TRUE,$S$3=TRUE),"-",IF(AND($Q$1=TRUE,$S$1=TRUE,$S$4=FALSE),VLOOKUP($E469,'Status Thresholds'!$E:$AS,12,FALSE),IF(AND($Q$1=TRUE,$S$4=FALSE),VLOOKUP($E469,'Status Thresholds'!$E:$AS,2,FALSE), IF(AND($Q$1=TRUE,$S$1=TRUE,$S$4=TRUE),VLOOKUP($E469,'Status Thresholds'!$E:$AS,17,FALSE),IF(AND($Q$1=TRUE,$S$4=TRUE),VLOOKUP($E469,'Status Thresholds'!$E:$AS,7,FALSE),IF(AND($S$3=TRUE,$S$1=TRUE,$S$4=FALSE),VLOOKUP($E469,'Status Thresholds'!$E:$AS,32,FALSE),IF(AND($S$3=TRUE,$S$4=FALSE),VLOOKUP($E469,'Status Thresholds'!$E:$AS,22,FALSE),IF(AND($S$3=TRUE,$S$1=TRUE,$S$4=TRUE),VLOOKUP($E469,'Status Thresholds'!$E:$AS,37,FALSE),IF(AND($S$3=TRUE,$S$4=TRUE),VLOOKUP($E469,'Status Thresholds'!$E:$AS,27,FALSE),""))))))))/IF(OR($Q$3=TRUE,AND($Q$2=TRUE,$Q$7=TRUE),AND($Q$3=TRUE,$Q$7=TRUE))=TRUE,'Shots and Status'!$F$5,IF((OR($Q$2,$Q$7)=TRUE),'Shots and Status'!$D$5,'Shots and Status'!$C$5)))),0),"-")</f>
        <v>-</v>
      </c>
      <c r="I469" s="36" t="str">
        <f>IFERROR(ROUNDUP(IF(AND($Q$1=FALSE,$S$3=FALSE),"-",IF(AND($Q$1=TRUE,$S$3=TRUE),"-",IF(AND($Q$1=TRUE,$S$1=TRUE,$S$4=FALSE),VLOOKUP($E469,'Status Thresholds'!$E:$AS,13,FALSE),IF(AND($Q$1=TRUE,$S$4=FALSE),VLOOKUP($E469,'Status Thresholds'!$E:$AS,3,FALSE), IF(AND($Q$1=TRUE,$S$1=TRUE,$S$4=TRUE),VLOOKUP($E469,'Status Thresholds'!$E:$AS,18,FALSE),IF(AND($Q$1=TRUE,$S$4=TRUE),VLOOKUP($E469,'Status Thresholds'!$E:$AS,8,FALSE),IF(AND($S$3=TRUE,$S$1=TRUE,$S$4=FALSE),VLOOKUP($E469,'Status Thresholds'!$E:$AS,33,FALSE),IF(AND($S$3=TRUE,$S$4=FALSE),VLOOKUP($E469,'Status Thresholds'!$E:$AS,23,FALSE),IF(AND($S$3=TRUE,$S$1=TRUE,$S$4=TRUE),VLOOKUP($E469,'Status Thresholds'!$E:$AS,38,FALSE),IF(AND($S$3=TRUE,$S$4=TRUE),VLOOKUP($E469,'Status Thresholds'!$E:$AS,28,FALSE),""))))))))/IF(OR($Q$3=TRUE,AND($Q$2=TRUE,$Q$7=TRUE),AND($Q$3=TRUE,$Q$7=TRUE))=TRUE,'Shots and Status'!$F$5,IF((OR($Q$2,$Q$7)=TRUE),'Shots and Status'!$D$5,'Shots and Status'!$C$5)))),0),"-")</f>
        <v>-</v>
      </c>
      <c r="J469" s="36" t="str">
        <f>IFERROR(ROUNDUP(IF(AND($Q$1=FALSE,$S$3=FALSE),"-",IF(AND($Q$1=TRUE,$S$3=TRUE),"-",IF(AND($Q$1=TRUE,$S$1=TRUE,$S$4=FALSE),VLOOKUP($E469,'Status Thresholds'!$E:$AS,14,FALSE),IF(AND($Q$1=TRUE,$S$4=FALSE),VLOOKUP($E469,'Status Thresholds'!$E:$AS,4,FALSE), IF(AND($Q$1=TRUE,$S$1=TRUE,$S$4=TRUE),VLOOKUP($E469,'Status Thresholds'!$E:$AS,19,FALSE),IF(AND($Q$1=TRUE,$S$4=TRUE),VLOOKUP($E469,'Status Thresholds'!$E:$AS,9,FALSE),IF(AND($S$3=TRUE,$S$1=TRUE,$S$4=FALSE),VLOOKUP($E469,'Status Thresholds'!$E:$AS,34,FALSE),IF(AND($S$3=TRUE,$S$4=FALSE),VLOOKUP($E469,'Status Thresholds'!$E:$AS,24,FALSE),IF(AND($S$3=TRUE,$S$1=TRUE,$S$4=TRUE),VLOOKUP($E469,'Status Thresholds'!$E:$AS,39,FALSE),IF(AND($S$3=TRUE,$S$4=TRUE),VLOOKUP($E469,'Status Thresholds'!$E:$AS,29,FALSE),""))))))))/IF(OR($Q$3=TRUE,AND($Q$2=TRUE,$Q$7=TRUE),AND($Q$3=TRUE,$Q$7=TRUE))=TRUE,'Shots and Status'!$F$5,IF((OR($Q$2,$Q$7)=TRUE),'Shots and Status'!$D$5,'Shots and Status'!$C$5)))),0),"-")</f>
        <v>-</v>
      </c>
      <c r="K469" s="36" t="str">
        <f>IFERROR(ROUNDUP(IF(AND($Q$1=FALSE,$S$3=FALSE),"-",IF(AND($Q$1=TRUE,$S$3=TRUE),"-",IF(AND($Q$1=TRUE,$S$1=TRUE,$S$4=FALSE),VLOOKUP($E469,'Status Thresholds'!$E:$AS,15,FALSE),IF(AND($Q$1=TRUE,$S$4=FALSE),VLOOKUP($E469,'Status Thresholds'!$E:$AS,5,FALSE), IF(AND($Q$1=TRUE,$S$1=TRUE,$S$4=TRUE),VLOOKUP($E469,'Status Thresholds'!$E:$AS,20,FALSE),IF(AND($Q$1=TRUE,$S$4=TRUE),VLOOKUP($E469,'Status Thresholds'!$E:$AS,10,FALSE),IF(AND($S$3=TRUE,$S$1=TRUE,$S$4=FALSE),VLOOKUP($E469,'Status Thresholds'!$E:$AS,35,FALSE),IF(AND($S$3=TRUE,$S$4=FALSE),VLOOKUP($E469,'Status Thresholds'!$E:$AS,25,FALSE),IF(AND($S$3=TRUE,$S$1=TRUE,$S$4=TRUE),VLOOKUP($E469,'Status Thresholds'!$E:$AS,40,FALSE),IF(AND($S$3=TRUE,$S$4=TRUE),VLOOKUP($E469,'Status Thresholds'!$E:$AS,30,FALSE),""))))))))/IF(OR($Q$3=TRUE,AND($Q$2=TRUE,$Q$7=TRUE),AND($Q$3=TRUE,$Q$7=TRUE))=TRUE,'Shots and Status'!$F$5,IF((OR($Q$2,$Q$7)=TRUE),'Shots and Status'!$D$5,'Shots and Status'!$C$5)))),0),"-")</f>
        <v>-</v>
      </c>
      <c r="L469" s="36" t="str">
        <f>IFERROR(IF(AND($Q$1=FALSE,$S$3=FALSE),"-",VLOOKUP($E469,'Status Thresholds'!$E:$AU,41,FALSE)),"-")</f>
        <v>-</v>
      </c>
      <c r="M469" s="36" t="str">
        <f>IFERROR(IF(AND($Q$1=FALSE,$S$3=FALSE),"-",VLOOKUP($E469,'Status Thresholds'!$E:$AU,42,FALSE)),"-")</f>
        <v>-</v>
      </c>
      <c r="N469" s="36" t="str">
        <f>IFERROR(IF(AND($Q$1=FALSE,$S$3=FALSE),"-",VLOOKUP($E469,'Status Thresholds'!$E:$AU,43,FALSE)),"-")</f>
        <v>-</v>
      </c>
    </row>
    <row r="470" spans="1:14" s="59" customFormat="1" x14ac:dyDescent="0.25">
      <c r="A470" s="46"/>
      <c r="B470" s="64" t="str">
        <f>VLOOKUP(C470,'Status Thresholds'!B:C,2,FALSE)</f>
        <v>MHGen</v>
      </c>
      <c r="C470" s="46" t="str">
        <f>IF(ISBLANK('KO Calc'!C466)=TRUE,"",'KO Calc'!C466)</f>
        <v>Lagiacrus</v>
      </c>
      <c r="D470" s="58" t="s">
        <v>33</v>
      </c>
      <c r="E470" s="62" t="str">
        <f t="shared" si="13"/>
        <v>LagiacrusPoison</v>
      </c>
      <c r="F470" s="59" t="s">
        <v>6</v>
      </c>
      <c r="G470" s="36" t="str">
        <f t="shared" si="14"/>
        <v>LagiacrusPoison lvl 2</v>
      </c>
      <c r="H470" s="36" t="str">
        <f>IFERROR(ROUNDUP(IF(AND($Q$1=FALSE,$S$3=FALSE),"-",IF(AND($Q$1=TRUE,$S$3=TRUE),"-",IF(AND($Q$1=TRUE,$S$1=TRUE,$S$4=FALSE),VLOOKUP($E470,'Status Thresholds'!$E:$AS,12,FALSE),IF(AND($Q$1=TRUE,$S$4=FALSE),VLOOKUP($E470,'Status Thresholds'!$E:$AS,2,FALSE), IF(AND($Q$1=TRUE,$S$1=TRUE,$S$4=TRUE),VLOOKUP($E470,'Status Thresholds'!$E:$AS,17,FALSE),IF(AND($Q$1=TRUE,$S$4=TRUE),VLOOKUP($E470,'Status Thresholds'!$E:$AS,7,FALSE),IF(AND($S$3=TRUE,$S$1=TRUE,$S$4=FALSE),VLOOKUP($E470,'Status Thresholds'!$E:$AS,32,FALSE),IF(AND($S$3=TRUE,$S$4=FALSE),VLOOKUP($E470,'Status Thresholds'!$E:$AS,22,FALSE),IF(AND($S$3=TRUE,$S$1=TRUE,$S$4=TRUE),VLOOKUP($E470,'Status Thresholds'!$E:$AS,37,FALSE),IF(AND($S$3=TRUE,$S$4=TRUE),VLOOKUP($E470,'Status Thresholds'!$E:$AS,27,FALSE),""))))))))/IF(OR($Q$3=TRUE,AND($Q$2=TRUE,$Q$7=TRUE),AND($Q$3=TRUE,$Q$7=TRUE))=TRUE,'Shots and Status'!$F$5,IF((OR($Q$2,$Q$7)=TRUE),'Shots and Status'!$D$5,'Shots and Status'!$C$5)))),0),"-")</f>
        <v>-</v>
      </c>
      <c r="I470" s="36" t="str">
        <f>IFERROR(ROUNDUP(IF(AND($Q$1=FALSE,$S$3=FALSE),"-",IF(AND($Q$1=TRUE,$S$3=TRUE),"-",IF(AND($Q$1=TRUE,$S$1=TRUE,$S$4=FALSE),VLOOKUP($E470,'Status Thresholds'!$E:$AS,13,FALSE),IF(AND($Q$1=TRUE,$S$4=FALSE),VLOOKUP($E470,'Status Thresholds'!$E:$AS,3,FALSE), IF(AND($Q$1=TRUE,$S$1=TRUE,$S$4=TRUE),VLOOKUP($E470,'Status Thresholds'!$E:$AS,18,FALSE),IF(AND($Q$1=TRUE,$S$4=TRUE),VLOOKUP($E470,'Status Thresholds'!$E:$AS,8,FALSE),IF(AND($S$3=TRUE,$S$1=TRUE,$S$4=FALSE),VLOOKUP($E470,'Status Thresholds'!$E:$AS,33,FALSE),IF(AND($S$3=TRUE,$S$4=FALSE),VLOOKUP($E470,'Status Thresholds'!$E:$AS,23,FALSE),IF(AND($S$3=TRUE,$S$1=TRUE,$S$4=TRUE),VLOOKUP($E470,'Status Thresholds'!$E:$AS,38,FALSE),IF(AND($S$3=TRUE,$S$4=TRUE),VLOOKUP($E470,'Status Thresholds'!$E:$AS,28,FALSE),""))))))))/IF(OR($Q$3=TRUE,AND($Q$2=TRUE,$Q$7=TRUE),AND($Q$3=TRUE,$Q$7=TRUE))=TRUE,'Shots and Status'!$F$5,IF((OR($Q$2,$Q$7)=TRUE),'Shots and Status'!$D$5,'Shots and Status'!$C$5)))),0),"-")</f>
        <v>-</v>
      </c>
      <c r="J470" s="36" t="str">
        <f>IFERROR(ROUNDUP(IF(AND($Q$1=FALSE,$S$3=FALSE),"-",IF(AND($Q$1=TRUE,$S$3=TRUE),"-",IF(AND($Q$1=TRUE,$S$1=TRUE,$S$4=FALSE),VLOOKUP($E470,'Status Thresholds'!$E:$AS,14,FALSE),IF(AND($Q$1=TRUE,$S$4=FALSE),VLOOKUP($E470,'Status Thresholds'!$E:$AS,4,FALSE), IF(AND($Q$1=TRUE,$S$1=TRUE,$S$4=TRUE),VLOOKUP($E470,'Status Thresholds'!$E:$AS,19,FALSE),IF(AND($Q$1=TRUE,$S$4=TRUE),VLOOKUP($E470,'Status Thresholds'!$E:$AS,9,FALSE),IF(AND($S$3=TRUE,$S$1=TRUE,$S$4=FALSE),VLOOKUP($E470,'Status Thresholds'!$E:$AS,34,FALSE),IF(AND($S$3=TRUE,$S$4=FALSE),VLOOKUP($E470,'Status Thresholds'!$E:$AS,24,FALSE),IF(AND($S$3=TRUE,$S$1=TRUE,$S$4=TRUE),VLOOKUP($E470,'Status Thresholds'!$E:$AS,39,FALSE),IF(AND($S$3=TRUE,$S$4=TRUE),VLOOKUP($E470,'Status Thresholds'!$E:$AS,29,FALSE),""))))))))/IF(OR($Q$3=TRUE,AND($Q$2=TRUE,$Q$7=TRUE),AND($Q$3=TRUE,$Q$7=TRUE))=TRUE,'Shots and Status'!$F$5,IF((OR($Q$2,$Q$7)=TRUE),'Shots and Status'!$D$5,'Shots and Status'!$C$5)))),0),"-")</f>
        <v>-</v>
      </c>
      <c r="K470" s="36" t="str">
        <f>IFERROR(ROUNDUP(IF(AND($Q$1=FALSE,$S$3=FALSE),"-",IF(AND($Q$1=TRUE,$S$3=TRUE),"-",IF(AND($Q$1=TRUE,$S$1=TRUE,$S$4=FALSE),VLOOKUP($E470,'Status Thresholds'!$E:$AS,15,FALSE),IF(AND($Q$1=TRUE,$S$4=FALSE),VLOOKUP($E470,'Status Thresholds'!$E:$AS,5,FALSE), IF(AND($Q$1=TRUE,$S$1=TRUE,$S$4=TRUE),VLOOKUP($E470,'Status Thresholds'!$E:$AS,20,FALSE),IF(AND($Q$1=TRUE,$S$4=TRUE),VLOOKUP($E470,'Status Thresholds'!$E:$AS,10,FALSE),IF(AND($S$3=TRUE,$S$1=TRUE,$S$4=FALSE),VLOOKUP($E470,'Status Thresholds'!$E:$AS,35,FALSE),IF(AND($S$3=TRUE,$S$4=FALSE),VLOOKUP($E470,'Status Thresholds'!$E:$AS,25,FALSE),IF(AND($S$3=TRUE,$S$1=TRUE,$S$4=TRUE),VLOOKUP($E470,'Status Thresholds'!$E:$AS,40,FALSE),IF(AND($S$3=TRUE,$S$4=TRUE),VLOOKUP($E470,'Status Thresholds'!$E:$AS,30,FALSE),""))))))))/IF(OR($Q$3=TRUE,AND($Q$2=TRUE,$Q$7=TRUE),AND($Q$3=TRUE,$Q$7=TRUE))=TRUE,'Shots and Status'!$F$5,IF((OR($Q$2,$Q$7)=TRUE),'Shots and Status'!$D$5,'Shots and Status'!$C$5)))),0),"-")</f>
        <v>-</v>
      </c>
      <c r="L470" s="36" t="str">
        <f>IFERROR(IF(AND($Q$1=FALSE,$S$3=FALSE),"-",VLOOKUP($E470,'Status Thresholds'!$E:$AU,41,FALSE)),"-")</f>
        <v>-</v>
      </c>
      <c r="M470" s="36" t="str">
        <f>IFERROR(IF(AND($Q$1=FALSE,$S$3=FALSE),"-",VLOOKUP($E470,'Status Thresholds'!$E:$AU,42,FALSE)),"-")</f>
        <v>-</v>
      </c>
      <c r="N470" s="36" t="str">
        <f>IFERROR(IF(AND($Q$1=FALSE,$S$3=FALSE),"-",VLOOKUP($E470,'Status Thresholds'!$E:$AU,43,FALSE)),"-")</f>
        <v>-</v>
      </c>
    </row>
    <row r="471" spans="1:14" s="36" customFormat="1" x14ac:dyDescent="0.25">
      <c r="A471" s="46"/>
      <c r="B471" s="64" t="str">
        <f>VLOOKUP(C471,'Status Thresholds'!B:C,2,FALSE)</f>
        <v>MHGen</v>
      </c>
      <c r="C471" s="46" t="str">
        <f>IF(ISBLANK('KO Calc'!C467)=TRUE,"",'KO Calc'!C467)</f>
        <v>Lagiacrus</v>
      </c>
      <c r="D471" s="57" t="s">
        <v>22</v>
      </c>
      <c r="E471" s="62" t="str">
        <f t="shared" si="13"/>
        <v>LagiacrusExhaust</v>
      </c>
      <c r="F471" s="36" t="s">
        <v>8</v>
      </c>
      <c r="G471" s="36" t="str">
        <f t="shared" si="14"/>
        <v>LagiacrusExhaust lvl 2</v>
      </c>
      <c r="H471" s="36" t="str">
        <f>IFERROR(ROUNDUP(IF(AND($Q$1=FALSE,$S$3=FALSE),"-",IF(AND($Q$1=TRUE,$S$3=TRUE),"-",IF(AND($Q$1=TRUE,$S$1=TRUE,$S$4=FALSE),VLOOKUP($E471,'Status Thresholds'!$E:$AS,12,FALSE),IF(AND($Q$1=TRUE,$S$4=FALSE),VLOOKUP($E471,'Status Thresholds'!$E:$AS,2,FALSE), IF(AND($Q$1=TRUE,$S$1=TRUE,$S$4=TRUE),VLOOKUP($E471,'Status Thresholds'!$E:$AS,17,FALSE),IF(AND($Q$1=TRUE,$S$4=TRUE),VLOOKUP($E471,'Status Thresholds'!$E:$AS,7,FALSE),IF(AND($S$3=TRUE,$S$1=TRUE,$S$4=FALSE),VLOOKUP($E471,'Status Thresholds'!$E:$AS,32,FALSE),IF(AND($S$3=TRUE,$S$4=FALSE),VLOOKUP($E471,'Status Thresholds'!$E:$AS,22,FALSE),IF(AND($S$3=TRUE,$S$1=TRUE,$S$4=TRUE),VLOOKUP($E471,'Status Thresholds'!$E:$AS,37,FALSE),IF(AND($S$3=TRUE,$S$4=TRUE),VLOOKUP($E471,'Status Thresholds'!$E:$AS,27,FALSE),""))))))))/IF(OR($Q$3=TRUE,AND($Q$2=TRUE,$Q$7=TRUE),AND($Q$3=TRUE,$Q$7=TRUE))=TRUE,'Shots and Status'!$F$5,IF((OR($Q$2,$Q$7)=TRUE),'Shots and Status'!$D$5,'Shots and Status'!$C$5)))),0),"-")</f>
        <v>-</v>
      </c>
      <c r="I471" s="36" t="str">
        <f>IFERROR(ROUNDUP(IF(AND($Q$1=FALSE,$S$3=FALSE),"-",IF(AND($Q$1=TRUE,$S$3=TRUE),"-",IF(AND($Q$1=TRUE,$S$1=TRUE,$S$4=FALSE),VLOOKUP($E471,'Status Thresholds'!$E:$AS,13,FALSE),IF(AND($Q$1=TRUE,$S$4=FALSE),VLOOKUP($E471,'Status Thresholds'!$E:$AS,3,FALSE), IF(AND($Q$1=TRUE,$S$1=TRUE,$S$4=TRUE),VLOOKUP($E471,'Status Thresholds'!$E:$AS,18,FALSE),IF(AND($Q$1=TRUE,$S$4=TRUE),VLOOKUP($E471,'Status Thresholds'!$E:$AS,8,FALSE),IF(AND($S$3=TRUE,$S$1=TRUE,$S$4=FALSE),VLOOKUP($E471,'Status Thresholds'!$E:$AS,33,FALSE),IF(AND($S$3=TRUE,$S$4=FALSE),VLOOKUP($E471,'Status Thresholds'!$E:$AS,23,FALSE),IF(AND($S$3=TRUE,$S$1=TRUE,$S$4=TRUE),VLOOKUP($E471,'Status Thresholds'!$E:$AS,38,FALSE),IF(AND($S$3=TRUE,$S$4=TRUE),VLOOKUP($E471,'Status Thresholds'!$E:$AS,28,FALSE),""))))))))/IF(OR($Q$3=TRUE,AND($Q$2=TRUE,$Q$7=TRUE),AND($Q$3=TRUE,$Q$7=TRUE))=TRUE,'Shots and Status'!$F$5,IF((OR($Q$2,$Q$7)=TRUE),'Shots and Status'!$D$5,'Shots and Status'!$C$5)))),0),"-")</f>
        <v>-</v>
      </c>
      <c r="J471" s="36" t="str">
        <f>IFERROR(ROUNDUP(IF(AND($Q$1=FALSE,$S$3=FALSE),"-",IF(AND($Q$1=TRUE,$S$3=TRUE),"-",IF(AND($Q$1=TRUE,$S$1=TRUE,$S$4=FALSE),VLOOKUP($E471,'Status Thresholds'!$E:$AS,14,FALSE),IF(AND($Q$1=TRUE,$S$4=FALSE),VLOOKUP($E471,'Status Thresholds'!$E:$AS,4,FALSE), IF(AND($Q$1=TRUE,$S$1=TRUE,$S$4=TRUE),VLOOKUP($E471,'Status Thresholds'!$E:$AS,19,FALSE),IF(AND($Q$1=TRUE,$S$4=TRUE),VLOOKUP($E471,'Status Thresholds'!$E:$AS,9,FALSE),IF(AND($S$3=TRUE,$S$1=TRUE,$S$4=FALSE),VLOOKUP($E471,'Status Thresholds'!$E:$AS,34,FALSE),IF(AND($S$3=TRUE,$S$4=FALSE),VLOOKUP($E471,'Status Thresholds'!$E:$AS,24,FALSE),IF(AND($S$3=TRUE,$S$1=TRUE,$S$4=TRUE),VLOOKUP($E471,'Status Thresholds'!$E:$AS,39,FALSE),IF(AND($S$3=TRUE,$S$4=TRUE),VLOOKUP($E471,'Status Thresholds'!$E:$AS,29,FALSE),""))))))))/IF(OR($Q$3=TRUE,AND($Q$2=TRUE,$Q$7=TRUE),AND($Q$3=TRUE,$Q$7=TRUE))=TRUE,'Shots and Status'!$F$5,IF((OR($Q$2,$Q$7)=TRUE),'Shots and Status'!$D$5,'Shots and Status'!$C$5)))),0),"-")</f>
        <v>-</v>
      </c>
      <c r="K471" s="36" t="str">
        <f>IFERROR(ROUNDUP(IF(AND($Q$1=FALSE,$S$3=FALSE),"-",IF(AND($Q$1=TRUE,$S$3=TRUE),"-",IF(AND($Q$1=TRUE,$S$1=TRUE,$S$4=FALSE),VLOOKUP($E471,'Status Thresholds'!$E:$AS,15,FALSE),IF(AND($Q$1=TRUE,$S$4=FALSE),VLOOKUP($E471,'Status Thresholds'!$E:$AS,5,FALSE), IF(AND($Q$1=TRUE,$S$1=TRUE,$S$4=TRUE),VLOOKUP($E471,'Status Thresholds'!$E:$AS,20,FALSE),IF(AND($Q$1=TRUE,$S$4=TRUE),VLOOKUP($E471,'Status Thresholds'!$E:$AS,10,FALSE),IF(AND($S$3=TRUE,$S$1=TRUE,$S$4=FALSE),VLOOKUP($E471,'Status Thresholds'!$E:$AS,35,FALSE),IF(AND($S$3=TRUE,$S$4=FALSE),VLOOKUP($E471,'Status Thresholds'!$E:$AS,25,FALSE),IF(AND($S$3=TRUE,$S$1=TRUE,$S$4=TRUE),VLOOKUP($E471,'Status Thresholds'!$E:$AS,40,FALSE),IF(AND($S$3=TRUE,$S$4=TRUE),VLOOKUP($E471,'Status Thresholds'!$E:$AS,30,FALSE),""))))))))/IF(OR($Q$3=TRUE,AND($Q$2=TRUE,$Q$7=TRUE),AND($Q$3=TRUE,$Q$7=TRUE))=TRUE,'Shots and Status'!$F$5,IF((OR($Q$2,$Q$7)=TRUE),'Shots and Status'!$D$5,'Shots and Status'!$C$5)))),0),"-")</f>
        <v>-</v>
      </c>
      <c r="L471" s="36" t="str">
        <f>IFERROR(IF(AND($Q$1=FALSE,$S$3=FALSE),"-",VLOOKUP($E471,'Status Thresholds'!$E:$AU,41,FALSE)),"-")</f>
        <v>-</v>
      </c>
      <c r="M471" s="36" t="str">
        <f>IFERROR(IF(AND($Q$1=FALSE,$S$3=FALSE),"-",VLOOKUP($E471,'Status Thresholds'!$E:$AU,42,FALSE)),"-")</f>
        <v>-</v>
      </c>
      <c r="N471" s="36" t="str">
        <f>IFERROR(IF(AND($Q$1=FALSE,$S$3=FALSE),"-",VLOOKUP($E471,'Status Thresholds'!$E:$AU,43,FALSE)),"-")</f>
        <v>-</v>
      </c>
    </row>
    <row r="472" spans="1:14" s="36" customFormat="1" x14ac:dyDescent="0.25">
      <c r="A472" s="46"/>
      <c r="B472" s="64" t="str">
        <f>VLOOKUP(C472,'Status Thresholds'!B:C,2,FALSE)</f>
        <v>MHGen</v>
      </c>
      <c r="C472" s="46" t="str">
        <f>IF(ISBLANK('KO Calc'!C468)=TRUE,"",'KO Calc'!C468)</f>
        <v>Lagiacrus</v>
      </c>
      <c r="D472" s="67" t="s">
        <v>14</v>
      </c>
      <c r="E472" s="62" t="str">
        <f t="shared" si="13"/>
        <v>LagiacrusKO</v>
      </c>
      <c r="F472" s="36" t="s">
        <v>21</v>
      </c>
      <c r="G472" s="36" t="str">
        <f t="shared" si="14"/>
        <v>LagiacrusTriblast</v>
      </c>
      <c r="H472" s="36" t="str">
        <f>IF(AND($Q$1=FALSE,$S$3=FALSE),"-",IF(AND($Q$1=TRUE,$S$3=TRUE),"-",IF(AND($Q$1=FALSE,$S$3=FALSE),"-",IF(AND($Q$1=TRUE,$S$1=TRUE,$S$4=FALSE)=TRUE,IF(OR($Q$4=TRUE,$Q$5=TRUE,$S$2=TRUE),VLOOKUP($G472,'KO Calc'!$H:$AW,12,FALSE),VLOOKUP($G472,'KO Calc'!$H478:$AW478,12,FALSE)),IF(AND($Q$1=TRUE,$S$4=FALSE),IF(OR($Q$4=TRUE,$Q$5=TRUE,$S$2=TRUE),VLOOKUP($G472,'KO Calc'!$H:$AW,2,FALSE),VLOOKUP($G472,'KO Calc'!$H478:$AW478,2,FALSE)),
IF(AND($Q$1=TRUE,$S$1=TRUE,$S$4=TRUE)=TRUE,IF(OR($Q$4=TRUE,$Q$5=TRUE,$S$2=TRUE),VLOOKUP($G472,'KO Calc'!$H:$AW,17,FALSE),VLOOKUP($G472,'KO Calc'!$H478:$AW478,17,FALSE)),IF(AND($Q$1=TRUE,$S$4=TRUE),IF(OR($Q$4=TRUE,$Q$5=TRUE,$S$2=TRUE),VLOOKUP($G472,'KO Calc'!$H:$AW,7,FALSE),VLOOKUP($G472,'KO Calc'!$H478:$AW478,7,FALSE)),
IF(AND($S$3=TRUE,$S$1=TRUE,$S$4=FALSE)=TRUE,IF(OR($Q$4=TRUE,$Q$5=TRUE,$S$2=TRUE),VLOOKUP($G472,'KO Calc'!$H:$AW,32,FALSE),VLOOKUP($G472,'KO Calc'!$H478:$AW478,32,FALSE)),IF(AND($S$3=TRUE,$S$4=FALSE),IF(OR($Q$4=TRUE,$Q$5=TRUE,$S$2=TRUE),VLOOKUP($G472,'KO Calc'!$H:$AW,22,FALSE),VLOOKUP($G472,'KO Calc'!$H478:$AW478,22,FALSE)),
IF(AND($S$3=TRUE,$S$1=TRUE,$S$4=TRUE)=TRUE,IF(OR($Q$4=TRUE,$Q$5=TRUE,$S$2=TRUE),VLOOKUP($G472,'KO Calc'!$H:$AW,37,FALSE),VLOOKUP($G472,'KO Calc'!$H478:$AW478,37,FALSE)),IF(AND($S$3=TRUE,$S$4=TRUE),IF(OR($Q$4=TRUE,$Q$5=TRUE,$S$2=TRUE),VLOOKUP($G472,'KO Calc'!$H:$AW,27,FALSE),VLOOKUP($G472,'KO Calc'!$H478:$AW478,27,FALSE)))))))))))))</f>
        <v>-</v>
      </c>
      <c r="I472" s="36" t="str">
        <f>IF(AND($Q$1=FALSE,$S$3=FALSE),"-",IF(AND($Q$1=TRUE,$S$3=TRUE),"-",IF(AND($Q$1=FALSE,$S$3=FALSE),"-",IF(AND($Q$1=TRUE,$S$1=TRUE,$S$4=FALSE)=TRUE,IF(OR($Q$4=TRUE,$Q$5=TRUE,$S$2=TRUE),VLOOKUP($G472,'KO Calc'!$H:$AW,13,FALSE),VLOOKUP($G472,'KO Calc'!$H478:$AW478,13,FALSE)),IF(AND($Q$1=TRUE,$S$4=FALSE),IF(OR($Q$4=TRUE,$Q$5=TRUE,$S$2=TRUE),VLOOKUP($G472,'KO Calc'!$H:$AW,3,FALSE),VLOOKUP($G472,'KO Calc'!$H478:$AW478,3,FALSE)),
IF(AND($Q$1=TRUE,$S$1=TRUE,$S$4=TRUE)=TRUE,IF(OR($Q$4=TRUE,$Q$5=TRUE,$S$2=TRUE),VLOOKUP($G472,'KO Calc'!$H:$AW,18,FALSE),VLOOKUP($G472,'KO Calc'!$H478:$AW478,18,FALSE)),IF(AND($Q$1=TRUE,$S$4=TRUE),IF(OR($Q$4=TRUE,$Q$5=TRUE,$S$2=TRUE),VLOOKUP($G472,'KO Calc'!$H:$AW,8,FALSE),VLOOKUP($G472,'KO Calc'!$H478:$AW478,8,FALSE)),
IF(AND($S$3=TRUE,$S$1=TRUE,$S$4=FALSE)=TRUE,IF(OR($Q$4=TRUE,$Q$5=TRUE,$S$2=TRUE),VLOOKUP($G472,'KO Calc'!$H:$AW,33,FALSE),VLOOKUP($G472,'KO Calc'!$H478:$AW478,33,FALSE)),IF(AND($S$3=TRUE,$S$4=FALSE),IF(OR($Q$4=TRUE,$Q$5=TRUE,$S$2=TRUE),VLOOKUP($G472,'KO Calc'!$H:$AW,23,FALSE),VLOOKUP($G472,'KO Calc'!$H478:$AW478,23,FALSE)),
IF(AND($S$3=TRUE,$S$1=TRUE,$S$4=TRUE)=TRUE,IF(OR($Q$4=TRUE,$Q$5=TRUE,$S$2=TRUE),VLOOKUP($G472,'KO Calc'!$H:$AW,38,FALSE),VLOOKUP($G472,'KO Calc'!$H478:$AW478,38,FALSE)),IF(AND($S$3=TRUE,$S$4=TRUE),IF(OR($Q$4=TRUE,$Q$5=TRUE,$S$2=TRUE),VLOOKUP($G472,'KO Calc'!$H:$AW,28,FALSE),VLOOKUP($G472,'KO Calc'!$H478:$AW478,28,FALSE)))))))))))))</f>
        <v>-</v>
      </c>
      <c r="J472" s="36" t="str">
        <f>IF(AND($Q$1=FALSE,$S$3=FALSE),"-",IF(AND($Q$1=TRUE,$S$3=TRUE),"-",IF(AND($Q$1=FALSE,$S$3=FALSE),"-",IF(AND($Q$1=TRUE,$S$1=TRUE,$S$4=FALSE)=TRUE,IF(OR($Q$4=TRUE,$Q$5=TRUE,$S$2=TRUE),VLOOKUP($G472,'KO Calc'!$H:$AW,FALSE),VLOOKUP($G472,'KO Calc'!$H478:$AW478,14,FALSE)),IF(AND($Q$1=TRUE,$S$4=FALSE),IF(OR($Q$4=TRUE,$Q$5=TRUE,$S$2=TRUE),VLOOKUP($G472,'KO Calc'!$H:$AW,4,FALSE),VLOOKUP($G472,'KO Calc'!$H478:$AW478,4,FALSE)),
IF(AND($Q$1=TRUE,$S$1=TRUE,$S$4=TRUE)=TRUE,IF(OR($Q$4=TRUE,$Q$5=TRUE,$S$2=TRUE),VLOOKUP($G472,'KO Calc'!$H:$AW,19,FALSE),VLOOKUP($G472,'KO Calc'!$H478:$AW478,19,FALSE)),IF(AND($Q$1=TRUE,$S$4=TRUE),IF(OR($Q$4=TRUE,$Q$5=TRUE,$S$2=TRUE),VLOOKUP($G472,'KO Calc'!$H:$AW,9,FALSE),VLOOKUP($G472,'KO Calc'!$H478:$AW478,9,FALSE)),
IF(AND($S$3=TRUE,$S$1=TRUE,$S$4=FALSE)=TRUE,IF(OR($Q$4=TRUE,$Q$5=TRUE,$S$2=TRUE),VLOOKUP($G472,'KO Calc'!$H:$AW,34,FALSE),VLOOKUP($G472,'KO Calc'!$H478:$AW478,34,FALSE)),IF(AND($S$3=TRUE,$S$4=FALSE),IF(OR($Q$4=TRUE,$Q$5=TRUE,$S$2=TRUE),VLOOKUP($G472,'KO Calc'!$H:$AW,24,FALSE),VLOOKUP($G472,'KO Calc'!$H478:$AW478,24,FALSE)),
IF(AND($S$3=TRUE,$S$1=TRUE,$S$4=TRUE)=TRUE,IF(OR($Q$4=TRUE,$Q$5=TRUE,$S$2=TRUE),VLOOKUP($G472,'KO Calc'!$H:$AW,39,FALSE),VLOOKUP($G472,'KO Calc'!$H478:$AW478,39,FALSE)),IF(AND($S$3=TRUE,$S$4=TRUE),IF(OR($Q$4=TRUE,$Q$5=TRUE,$S$2=TRUE),VLOOKUP($G472,'KO Calc'!$H:$AW,29,FALSE),VLOOKUP($G472,'KO Calc'!$H478:$AW478,29,FALSE)))))))))))))</f>
        <v>-</v>
      </c>
      <c r="K472" s="36" t="str">
        <f>IF(AND($Q$1=FALSE,$S$3=FALSE),"-",IF(AND($Q$1=TRUE,$S$3=TRUE),"-",IF(AND($Q$1=FALSE,$S$3=FALSE),"-",IF(AND($Q$1=TRUE,$S$1=TRUE,$S$4=FALSE)=TRUE,IF(OR($Q$4=TRUE,$Q$5=TRUE,$S$2=TRUE),VLOOKUP($G472,'KO Calc'!$H:$AW,15,FALSE),VLOOKUP($G472,'KO Calc'!$H478:$AW478,15,FALSE)),IF(AND($Q$1=TRUE,$S$4=FALSE),IF(OR($Q$4=TRUE,$Q$5=TRUE,$S$2=TRUE),VLOOKUP($G472,'KO Calc'!$H:$AW,5,FALSE),VLOOKUP($G472,'KO Calc'!$H478:$AW478,5,FALSE)),
IF(AND($Q$1=TRUE,$S$1=TRUE,$S$4=TRUE)=TRUE,IF(OR($Q$4=TRUE,$Q$5=TRUE,$S$2=TRUE),VLOOKUP($G472,'KO Calc'!$H:$AW,20,FALSE),VLOOKUP($G472,'KO Calc'!$H478:$AW478,20,FALSE)),IF(AND($Q$1=TRUE,$S$4=TRUE),IF(OR($Q$4=TRUE,$Q$5=TRUE,$S$2=TRUE),VLOOKUP($G472,'KO Calc'!$H:$AW,10,FALSE),VLOOKUP($G472,'KO Calc'!$H478:$AW478,10,FALSE)),
IF(AND($S$3=TRUE,$S$1=TRUE,$S$4=FALSE)=TRUE,IF(OR($Q$4=TRUE,$Q$5=TRUE,$S$2=TRUE),VLOOKUP($G472,'KO Calc'!$H:$AW,35,FALSE),VLOOKUP($G472,'KO Calc'!$H478:$AW478,35,FALSE)),IF(AND($S$3=TRUE,$S$4=FALSE),IF(OR($Q$4=TRUE,$Q$5=TRUE,$S$2=TRUE),VLOOKUP($G472,'KO Calc'!$H:$AW,25,FALSE),VLOOKUP($G472,'KO Calc'!$H478:$AW478,25,FALSE)),
IF(AND($S$3=TRUE,$S$1=TRUE,$S$4=TRUE)=TRUE,IF(OR($Q$4=TRUE,$Q$5=TRUE,$S$2=TRUE),VLOOKUP($G472,'KO Calc'!$H:$AW,40,FALSE),VLOOKUP($G472,'KO Calc'!$H478:$AW478,40,FALSE)),IF(AND($S$3=TRUE,$S$4=TRUE),IF(OR($Q$4=TRUE,$Q$5=TRUE,$S$2=TRUE),VLOOKUP($G472,'KO Calc'!$H:$AW,30,FALSE),VLOOKUP($G472,'KO Calc'!$H478:$AW478,30,FALSE)))))))))))))</f>
        <v>-</v>
      </c>
      <c r="L472" s="36" t="str">
        <f>IFERROR(IF(AND($Q$1=FALSE,$S$3=FALSE),"-",VLOOKUP($E472,'Status Thresholds'!$E:$AU,41,FALSE)),"-")</f>
        <v>-</v>
      </c>
      <c r="M472" s="36" t="str">
        <f>IFERROR(IF(AND($Q$1=FALSE,$S$3=FALSE),"-",VLOOKUP($E472,'Status Thresholds'!$E:$AU,42,FALSE)),"-")</f>
        <v>-</v>
      </c>
      <c r="N472" s="36" t="str">
        <f>IFERROR(IF(AND($Q$1=FALSE,$S$3=FALSE),"-",VLOOKUP($E472,'Status Thresholds'!$E:$AU,43,FALSE)),"-")</f>
        <v>-</v>
      </c>
    </row>
    <row r="473" spans="1:14" x14ac:dyDescent="0.25">
      <c r="B473" s="64" t="str">
        <f>VLOOKUP(C473,'Status Thresholds'!B:C,2,FALSE)</f>
        <v>MHGen</v>
      </c>
      <c r="C473" s="46" t="str">
        <f>IF(ISBLANK('KO Calc'!C469)=TRUE,"",'KO Calc'!C469)</f>
        <v>Lagiacrus</v>
      </c>
      <c r="D473" s="78" t="s">
        <v>207</v>
      </c>
      <c r="E473" s="62" t="str">
        <f t="shared" si="13"/>
        <v>LagiacrusShock Trap</v>
      </c>
      <c r="F473" t="s">
        <v>13</v>
      </c>
      <c r="G473" s="36" t="str">
        <f t="shared" si="14"/>
        <v>LagiacrusCrag 3</v>
      </c>
      <c r="H473" s="36" t="str">
        <f>IF(AND($Q$1=FALSE,$S$3=FALSE),"-",IF(AND($Q$1=TRUE,$S$3=TRUE),"-",IF(AND($Q$1=FALSE,$S$3=FALSE),"-",IF(AND($Q$1=TRUE,$S$1=TRUE,$S$4=FALSE)=TRUE,IF(OR($Q$4=TRUE,$Q$5=TRUE,$S$2=TRUE),VLOOKUP($G473,'KO Calc'!$H:$AW,12,FALSE),VLOOKUP($G473,'KO Calc'!$H479:$AW479,12,FALSE)),IF(AND($Q$1=TRUE,$S$4=FALSE),IF(OR($Q$4=TRUE,$Q$5=TRUE,$S$2=TRUE),VLOOKUP($G473,'KO Calc'!$H:$AW,2,FALSE),VLOOKUP($G473,'KO Calc'!$H479:$AW479,2,FALSE)),
IF(AND($Q$1=TRUE,$S$1=TRUE,$S$4=TRUE)=TRUE,IF(OR($Q$4=TRUE,$Q$5=TRUE,$S$2=TRUE),VLOOKUP($G473,'KO Calc'!$H:$AW,17,FALSE),VLOOKUP($G473,'KO Calc'!$H479:$AW479,17,FALSE)),IF(AND($Q$1=TRUE,$S$4=TRUE),IF(OR($Q$4=TRUE,$Q$5=TRUE,$S$2=TRUE),VLOOKUP($G473,'KO Calc'!$H:$AW,7,FALSE),VLOOKUP($G473,'KO Calc'!$H479:$AW479,7,FALSE)),
IF(AND($S$3=TRUE,$S$1=TRUE,$S$4=FALSE)=TRUE,IF(OR($Q$4=TRUE,$Q$5=TRUE,$S$2=TRUE),VLOOKUP($G473,'KO Calc'!$H:$AW,32,FALSE),VLOOKUP($G473,'KO Calc'!$H479:$AW479,32,FALSE)),IF(AND($S$3=TRUE,$S$4=FALSE),IF(OR($Q$4=TRUE,$Q$5=TRUE,$S$2=TRUE),VLOOKUP($G473,'KO Calc'!$H:$AW,22,FALSE),VLOOKUP($G473,'KO Calc'!$H479:$AW479,22,FALSE)),
IF(AND($S$3=TRUE,$S$1=TRUE,$S$4=TRUE)=TRUE,IF(OR($Q$4=TRUE,$Q$5=TRUE,$S$2=TRUE),VLOOKUP($G473,'KO Calc'!$H:$AW,37,FALSE),VLOOKUP($G473,'KO Calc'!$H479:$AW479,37,FALSE)),IF(AND($S$3=TRUE,$S$4=TRUE),IF(OR($Q$4=TRUE,$Q$5=TRUE,$S$2=TRUE),VLOOKUP($G473,'KO Calc'!$H:$AW,27,FALSE),VLOOKUP($G473,'KO Calc'!$H479:$AW479,27,FALSE)))))))))))))</f>
        <v>-</v>
      </c>
      <c r="I473" s="36" t="str">
        <f>IF(AND($Q$1=FALSE,$S$3=FALSE),"-",IF(AND($Q$1=TRUE,$S$3=TRUE),"-",IF(AND($Q$1=FALSE,$S$3=FALSE),"-",IF(AND($Q$1=TRUE,$S$1=TRUE,$S$4=FALSE)=TRUE,IF(OR($Q$4=TRUE,$Q$5=TRUE,$S$2=TRUE),VLOOKUP($G473,'KO Calc'!$H:$AW,13,FALSE),VLOOKUP($G473,'KO Calc'!$H479:$AW479,13,FALSE)),IF(AND($Q$1=TRUE,$S$4=FALSE),IF(OR($Q$4=TRUE,$Q$5=TRUE,$S$2=TRUE),VLOOKUP($G473,'KO Calc'!$H:$AW,3,FALSE),VLOOKUP($G473,'KO Calc'!$H479:$AW479,3,FALSE)),
IF(AND($Q$1=TRUE,$S$1=TRUE,$S$4=TRUE)=TRUE,IF(OR($Q$4=TRUE,$Q$5=TRUE,$S$2=TRUE),VLOOKUP($G473,'KO Calc'!$H:$AW,18,FALSE),VLOOKUP($G473,'KO Calc'!$H479:$AW479,18,FALSE)),IF(AND($Q$1=TRUE,$S$4=TRUE),IF(OR($Q$4=TRUE,$Q$5=TRUE,$S$2=TRUE),VLOOKUP($G473,'KO Calc'!$H:$AW,8,FALSE),VLOOKUP($G473,'KO Calc'!$H479:$AW479,8,FALSE)),
IF(AND($S$3=TRUE,$S$1=TRUE,$S$4=FALSE)=TRUE,IF(OR($Q$4=TRUE,$Q$5=TRUE,$S$2=TRUE),VLOOKUP($G473,'KO Calc'!$H:$AW,33,FALSE),VLOOKUP($G473,'KO Calc'!$H479:$AW479,33,FALSE)),IF(AND($S$3=TRUE,$S$4=FALSE),IF(OR($Q$4=TRUE,$Q$5=TRUE,$S$2=TRUE),VLOOKUP($G473,'KO Calc'!$H:$AW,23,FALSE),VLOOKUP($G473,'KO Calc'!$H479:$AW479,23,FALSE)),
IF(AND($S$3=TRUE,$S$1=TRUE,$S$4=TRUE)=TRUE,IF(OR($Q$4=TRUE,$Q$5=TRUE,$S$2=TRUE),VLOOKUP($G473,'KO Calc'!$H:$AW,38,FALSE),VLOOKUP($G473,'KO Calc'!$H479:$AW479,38,FALSE)),IF(AND($S$3=TRUE,$S$4=TRUE),IF(OR($Q$4=TRUE,$Q$5=TRUE,$S$2=TRUE),VLOOKUP($G473,'KO Calc'!$H:$AW,28,FALSE),VLOOKUP($G473,'KO Calc'!$H479:$AW479,28,FALSE)))))))))))))</f>
        <v>-</v>
      </c>
      <c r="J473" s="36" t="str">
        <f>IF(AND($Q$1=FALSE,$S$3=FALSE),"-",IF(AND($Q$1=TRUE,$S$3=TRUE),"-",IF(AND($Q$1=FALSE,$S$3=FALSE),"-",IF(AND($Q$1=TRUE,$S$1=TRUE,$S$4=FALSE)=TRUE,IF(OR($Q$4=TRUE,$Q$5=TRUE,$S$2=TRUE),VLOOKUP($G473,'KO Calc'!$H:$AW,FALSE),VLOOKUP($G473,'KO Calc'!$H479:$AW479,14,FALSE)),IF(AND($Q$1=TRUE,$S$4=FALSE),IF(OR($Q$4=TRUE,$Q$5=TRUE,$S$2=TRUE),VLOOKUP($G473,'KO Calc'!$H:$AW,4,FALSE),VLOOKUP($G473,'KO Calc'!$H479:$AW479,4,FALSE)),
IF(AND($Q$1=TRUE,$S$1=TRUE,$S$4=TRUE)=TRUE,IF(OR($Q$4=TRUE,$Q$5=TRUE,$S$2=TRUE),VLOOKUP($G473,'KO Calc'!$H:$AW,19,FALSE),VLOOKUP($G473,'KO Calc'!$H479:$AW479,19,FALSE)),IF(AND($Q$1=TRUE,$S$4=TRUE),IF(OR($Q$4=TRUE,$Q$5=TRUE,$S$2=TRUE),VLOOKUP($G473,'KO Calc'!$H:$AW,9,FALSE),VLOOKUP($G473,'KO Calc'!$H479:$AW479,9,FALSE)),
IF(AND($S$3=TRUE,$S$1=TRUE,$S$4=FALSE)=TRUE,IF(OR($Q$4=TRUE,$Q$5=TRUE,$S$2=TRUE),VLOOKUP($G473,'KO Calc'!$H:$AW,34,FALSE),VLOOKUP($G473,'KO Calc'!$H479:$AW479,34,FALSE)),IF(AND($S$3=TRUE,$S$4=FALSE),IF(OR($Q$4=TRUE,$Q$5=TRUE,$S$2=TRUE),VLOOKUP($G473,'KO Calc'!$H:$AW,24,FALSE),VLOOKUP($G473,'KO Calc'!$H479:$AW479,24,FALSE)),
IF(AND($S$3=TRUE,$S$1=TRUE,$S$4=TRUE)=TRUE,IF(OR($Q$4=TRUE,$Q$5=TRUE,$S$2=TRUE),VLOOKUP($G473,'KO Calc'!$H:$AW,39,FALSE),VLOOKUP($G473,'KO Calc'!$H479:$AW479,39,FALSE)),IF(AND($S$3=TRUE,$S$4=TRUE),IF(OR($Q$4=TRUE,$Q$5=TRUE,$S$2=TRUE),VLOOKUP($G473,'KO Calc'!$H:$AW,29,FALSE),VLOOKUP($G473,'KO Calc'!$H479:$AW479,29,FALSE)))))))))))))</f>
        <v>-</v>
      </c>
      <c r="K473" s="36" t="str">
        <f>IF(AND($Q$1=FALSE,$S$3=FALSE),"-",IF(AND($Q$1=TRUE,$S$3=TRUE),"-",IF(AND($Q$1=FALSE,$S$3=FALSE),"-",IF(AND($Q$1=TRUE,$S$1=TRUE,$S$4=FALSE)=TRUE,IF(OR($Q$4=TRUE,$Q$5=TRUE,$S$2=TRUE),VLOOKUP($G473,'KO Calc'!$H:$AW,15,FALSE),VLOOKUP($G473,'KO Calc'!$H479:$AW479,15,FALSE)),IF(AND($Q$1=TRUE,$S$4=FALSE),IF(OR($Q$4=TRUE,$Q$5=TRUE,$S$2=TRUE),VLOOKUP($G473,'KO Calc'!$H:$AW,5,FALSE),VLOOKUP($G473,'KO Calc'!$H479:$AW479,5,FALSE)),
IF(AND($Q$1=TRUE,$S$1=TRUE,$S$4=TRUE)=TRUE,IF(OR($Q$4=TRUE,$Q$5=TRUE,$S$2=TRUE),VLOOKUP($G473,'KO Calc'!$H:$AW,20,FALSE),VLOOKUP($G473,'KO Calc'!$H479:$AW479,20,FALSE)),IF(AND($Q$1=TRUE,$S$4=TRUE),IF(OR($Q$4=TRUE,$Q$5=TRUE,$S$2=TRUE),VLOOKUP($G473,'KO Calc'!$H:$AW,10,FALSE),VLOOKUP($G473,'KO Calc'!$H479:$AW479,10,FALSE)),
IF(AND($S$3=TRUE,$S$1=TRUE,$S$4=FALSE)=TRUE,IF(OR($Q$4=TRUE,$Q$5=TRUE,$S$2=TRUE),VLOOKUP($G473,'KO Calc'!$H:$AW,35,FALSE),VLOOKUP($G473,'KO Calc'!$H479:$AW479,35,FALSE)),IF(AND($S$3=TRUE,$S$4=FALSE),IF(OR($Q$4=TRUE,$Q$5=TRUE,$S$2=TRUE),VLOOKUP($G473,'KO Calc'!$H:$AW,25,FALSE),VLOOKUP($G473,'KO Calc'!$H479:$AW479,25,FALSE)),
IF(AND($S$3=TRUE,$S$1=TRUE,$S$4=TRUE)=TRUE,IF(OR($Q$4=TRUE,$Q$5=TRUE,$S$2=TRUE),VLOOKUP($G473,'KO Calc'!$H:$AW,40,FALSE),VLOOKUP($G473,'KO Calc'!$H479:$AW479,40,FALSE)),IF(AND($S$3=TRUE,$S$4=TRUE),IF(OR($Q$4=TRUE,$Q$5=TRUE,$S$2=TRUE),VLOOKUP($G473,'KO Calc'!$H:$AW,30,FALSE),VLOOKUP($G473,'KO Calc'!$H479:$AW479,30,FALSE)))))))))))))</f>
        <v>-</v>
      </c>
      <c r="L473" s="36" t="str">
        <f>IFERROR(IF(AND($Q$1=FALSE,$S$3=FALSE),"-",VLOOKUP($E473,'Status Thresholds'!$E:$AU,43,FALSE)),"-")</f>
        <v>-</v>
      </c>
      <c r="M473" s="36" t="str">
        <f>IFERROR(IF(AND($Q$1=FALSE,$S$3=FALSE),"-",VLOOKUP($E473,'Status Thresholds'!$E:$AU,41,FALSE)),"-")</f>
        <v>-</v>
      </c>
      <c r="N473" s="36" t="str">
        <f>IFERROR(IF(AND($Q$1=FALSE,$S$3=FALSE),"-",VLOOKUP($E473,'Status Thresholds'!$E:$AU,42,FALSE)),"-")</f>
        <v>-</v>
      </c>
    </row>
    <row r="474" spans="1:14" x14ac:dyDescent="0.25">
      <c r="B474" s="64" t="str">
        <f>VLOOKUP(C474,'Status Thresholds'!B:C,2,FALSE)</f>
        <v>MHGen</v>
      </c>
      <c r="C474" s="46" t="str">
        <f>IF(ISBLANK('KO Calc'!C470)=TRUE,"",'KO Calc'!C470)</f>
        <v>Lagiacrus</v>
      </c>
      <c r="D474" s="78" t="s">
        <v>213</v>
      </c>
      <c r="E474" s="62" t="str">
        <f t="shared" si="13"/>
        <v>LagiacrusPitfall Trap</v>
      </c>
      <c r="F474" t="s">
        <v>12</v>
      </c>
      <c r="G474" s="36" t="str">
        <f t="shared" si="14"/>
        <v>LagiacrusCrag 2</v>
      </c>
      <c r="H474" s="36" t="str">
        <f>IF(AND($Q$1=FALSE,$S$3=FALSE),"-",IF(AND($Q$1=TRUE,$S$3=TRUE),"-",IF(AND($Q$1=FALSE,$S$3=FALSE),"-",IF(AND($Q$1=TRUE,$S$1=TRUE,$S$4=FALSE)=TRUE,IF(OR($Q$4=TRUE,$Q$5=TRUE,$S$2=TRUE),VLOOKUP($G474,'KO Calc'!$H:$AW,12,FALSE),VLOOKUP($G474,'KO Calc'!$H480:$AW480,12,FALSE)),IF(AND($Q$1=TRUE,$S$4=FALSE),IF(OR($Q$4=TRUE,$Q$5=TRUE,$S$2=TRUE),VLOOKUP($G474,'KO Calc'!$H:$AW,2,FALSE),VLOOKUP($G474,'KO Calc'!$H480:$AW480,2,FALSE)),
IF(AND($Q$1=TRUE,$S$1=TRUE,$S$4=TRUE)=TRUE,IF(OR($Q$4=TRUE,$Q$5=TRUE,$S$2=TRUE),VLOOKUP($G474,'KO Calc'!$H:$AW,17,FALSE),VLOOKUP($G474,'KO Calc'!$H480:$AW480,17,FALSE)),IF(AND($Q$1=TRUE,$S$4=TRUE),IF(OR($Q$4=TRUE,$Q$5=TRUE,$S$2=TRUE),VLOOKUP($G474,'KO Calc'!$H:$AW,7,FALSE),VLOOKUP($G474,'KO Calc'!$H480:$AW480,7,FALSE)),
IF(AND($S$3=TRUE,$S$1=TRUE,$S$4=FALSE)=TRUE,IF(OR($Q$4=TRUE,$Q$5=TRUE,$S$2=TRUE),VLOOKUP($G474,'KO Calc'!$H:$AW,32,FALSE),VLOOKUP($G474,'KO Calc'!$H480:$AW480,32,FALSE)),IF(AND($S$3=TRUE,$S$4=FALSE),IF(OR($Q$4=TRUE,$Q$5=TRUE,$S$2=TRUE),VLOOKUP($G474,'KO Calc'!$H:$AW,22,FALSE),VLOOKUP($G474,'KO Calc'!$H480:$AW480,22,FALSE)),
IF(AND($S$3=TRUE,$S$1=TRUE,$S$4=TRUE)=TRUE,IF(OR($Q$4=TRUE,$Q$5=TRUE,$S$2=TRUE),VLOOKUP($G474,'KO Calc'!$H:$AW,37,FALSE),VLOOKUP($G474,'KO Calc'!$H480:$AW480,37,FALSE)),IF(AND($S$3=TRUE,$S$4=TRUE),IF(OR($Q$4=TRUE,$Q$5=TRUE,$S$2=TRUE),VLOOKUP($G474,'KO Calc'!$H:$AW,27,FALSE),VLOOKUP($G474,'KO Calc'!$H480:$AW480,27,FALSE)))))))))))))</f>
        <v>-</v>
      </c>
      <c r="I474" s="36" t="str">
        <f>IF(AND($Q$1=FALSE,$S$3=FALSE),"-",IF(AND($Q$1=TRUE,$S$3=TRUE),"-",IF(AND($Q$1=FALSE,$S$3=FALSE),"-",IF(AND($Q$1=TRUE,$S$1=TRUE,$S$4=FALSE)=TRUE,IF(OR($Q$4=TRUE,$Q$5=TRUE,$S$2=TRUE),VLOOKUP($G474,'KO Calc'!$H:$AW,13,FALSE),VLOOKUP($G474,'KO Calc'!$H480:$AW480,13,FALSE)),IF(AND($Q$1=TRUE,$S$4=FALSE),IF(OR($Q$4=TRUE,$Q$5=TRUE,$S$2=TRUE),VLOOKUP($G474,'KO Calc'!$H:$AW,3,FALSE),VLOOKUP($G474,'KO Calc'!$H480:$AW480,3,FALSE)),
IF(AND($Q$1=TRUE,$S$1=TRUE,$S$4=TRUE)=TRUE,IF(OR($Q$4=TRUE,$Q$5=TRUE,$S$2=TRUE),VLOOKUP($G474,'KO Calc'!$H:$AW,18,FALSE),VLOOKUP($G474,'KO Calc'!$H480:$AW480,18,FALSE)),IF(AND($Q$1=TRUE,$S$4=TRUE),IF(OR($Q$4=TRUE,$Q$5=TRUE,$S$2=TRUE),VLOOKUP($G474,'KO Calc'!$H:$AW,8,FALSE),VLOOKUP($G474,'KO Calc'!$H480:$AW480,8,FALSE)),
IF(AND($S$3=TRUE,$S$1=TRUE,$S$4=FALSE)=TRUE,IF(OR($Q$4=TRUE,$Q$5=TRUE,$S$2=TRUE),VLOOKUP($G474,'KO Calc'!$H:$AW,33,FALSE),VLOOKUP($G474,'KO Calc'!$H480:$AW480,33,FALSE)),IF(AND($S$3=TRUE,$S$4=FALSE),IF(OR($Q$4=TRUE,$Q$5=TRUE,$S$2=TRUE),VLOOKUP($G474,'KO Calc'!$H:$AW,23,FALSE),VLOOKUP($G474,'KO Calc'!$H480:$AW480,23,FALSE)),
IF(AND($S$3=TRUE,$S$1=TRUE,$S$4=TRUE)=TRUE,IF(OR($Q$4=TRUE,$Q$5=TRUE,$S$2=TRUE),VLOOKUP($G474,'KO Calc'!$H:$AW,38,FALSE),VLOOKUP($G474,'KO Calc'!$H480:$AW480,38,FALSE)),IF(AND($S$3=TRUE,$S$4=TRUE),IF(OR($Q$4=TRUE,$Q$5=TRUE,$S$2=TRUE),VLOOKUP($G474,'KO Calc'!$H:$AW,28,FALSE),VLOOKUP($G474,'KO Calc'!$H480:$AW480,28,FALSE)))))))))))))</f>
        <v>-</v>
      </c>
      <c r="J474" s="36" t="str">
        <f>IF(AND($Q$1=FALSE,$S$3=FALSE),"-",IF(AND($Q$1=TRUE,$S$3=TRUE),"-",IF(AND($Q$1=FALSE,$S$3=FALSE),"-",IF(AND($Q$1=TRUE,$S$1=TRUE,$S$4=FALSE)=TRUE,IF(OR($Q$4=TRUE,$Q$5=TRUE,$S$2=TRUE),VLOOKUP($G474,'KO Calc'!$H:$AW,FALSE),VLOOKUP($G474,'KO Calc'!$H480:$AW480,14,FALSE)),IF(AND($Q$1=TRUE,$S$4=FALSE),IF(OR($Q$4=TRUE,$Q$5=TRUE,$S$2=TRUE),VLOOKUP($G474,'KO Calc'!$H:$AW,4,FALSE),VLOOKUP($G474,'KO Calc'!$H480:$AW480,4,FALSE)),
IF(AND($Q$1=TRUE,$S$1=TRUE,$S$4=TRUE)=TRUE,IF(OR($Q$4=TRUE,$Q$5=TRUE,$S$2=TRUE),VLOOKUP($G474,'KO Calc'!$H:$AW,19,FALSE),VLOOKUP($G474,'KO Calc'!$H480:$AW480,19,FALSE)),IF(AND($Q$1=TRUE,$S$4=TRUE),IF(OR($Q$4=TRUE,$Q$5=TRUE,$S$2=TRUE),VLOOKUP($G474,'KO Calc'!$H:$AW,9,FALSE),VLOOKUP($G474,'KO Calc'!$H480:$AW480,9,FALSE)),
IF(AND($S$3=TRUE,$S$1=TRUE,$S$4=FALSE)=TRUE,IF(OR($Q$4=TRUE,$Q$5=TRUE,$S$2=TRUE),VLOOKUP($G474,'KO Calc'!$H:$AW,34,FALSE),VLOOKUP($G474,'KO Calc'!$H480:$AW480,34,FALSE)),IF(AND($S$3=TRUE,$S$4=FALSE),IF(OR($Q$4=TRUE,$Q$5=TRUE,$S$2=TRUE),VLOOKUP($G474,'KO Calc'!$H:$AW,24,FALSE),VLOOKUP($G474,'KO Calc'!$H480:$AW480,24,FALSE)),
IF(AND($S$3=TRUE,$S$1=TRUE,$S$4=TRUE)=TRUE,IF(OR($Q$4=TRUE,$Q$5=TRUE,$S$2=TRUE),VLOOKUP($G474,'KO Calc'!$H:$AW,39,FALSE),VLOOKUP($G474,'KO Calc'!$H480:$AW480,39,FALSE)),IF(AND($S$3=TRUE,$S$4=TRUE),IF(OR($Q$4=TRUE,$Q$5=TRUE,$S$2=TRUE),VLOOKUP($G474,'KO Calc'!$H:$AW,29,FALSE),VLOOKUP($G474,'KO Calc'!$H480:$AW480,29,FALSE)))))))))))))</f>
        <v>-</v>
      </c>
      <c r="K474" s="36" t="str">
        <f>IF(AND($Q$1=FALSE,$S$3=FALSE),"-",IF(AND($Q$1=TRUE,$S$3=TRUE),"-",IF(AND($Q$1=FALSE,$S$3=FALSE),"-",IF(AND($Q$1=TRUE,$S$1=TRUE,$S$4=FALSE)=TRUE,IF(OR($Q$4=TRUE,$Q$5=TRUE,$S$2=TRUE),VLOOKUP($G474,'KO Calc'!$H:$AW,15,FALSE),VLOOKUP($G474,'KO Calc'!$H480:$AW480,15,FALSE)),IF(AND($Q$1=TRUE,$S$4=FALSE),IF(OR($Q$4=TRUE,$Q$5=TRUE,$S$2=TRUE),VLOOKUP($G474,'KO Calc'!$H:$AW,5,FALSE),VLOOKUP($G474,'KO Calc'!$H480:$AW480,5,FALSE)),
IF(AND($Q$1=TRUE,$S$1=TRUE,$S$4=TRUE)=TRUE,IF(OR($Q$4=TRUE,$Q$5=TRUE,$S$2=TRUE),VLOOKUP($G474,'KO Calc'!$H:$AW,20,FALSE),VLOOKUP($G474,'KO Calc'!$H480:$AW480,20,FALSE)),IF(AND($Q$1=TRUE,$S$4=TRUE),IF(OR($Q$4=TRUE,$Q$5=TRUE,$S$2=TRUE),VLOOKUP($G474,'KO Calc'!$H:$AW,10,FALSE),VLOOKUP($G474,'KO Calc'!$H480:$AW480,10,FALSE)),
IF(AND($S$3=TRUE,$S$1=TRUE,$S$4=FALSE)=TRUE,IF(OR($Q$4=TRUE,$Q$5=TRUE,$S$2=TRUE),VLOOKUP($G474,'KO Calc'!$H:$AW,35,FALSE),VLOOKUP($G474,'KO Calc'!$H480:$AW480,35,FALSE)),IF(AND($S$3=TRUE,$S$4=FALSE),IF(OR($Q$4=TRUE,$Q$5=TRUE,$S$2=TRUE),VLOOKUP($G474,'KO Calc'!$H:$AW,25,FALSE),VLOOKUP($G474,'KO Calc'!$H480:$AW480,25,FALSE)),
IF(AND($S$3=TRUE,$S$1=TRUE,$S$4=TRUE)=TRUE,IF(OR($Q$4=TRUE,$Q$5=TRUE,$S$2=TRUE),VLOOKUP($G474,'KO Calc'!$H:$AW,40,FALSE),VLOOKUP($G474,'KO Calc'!$H480:$AW480,40,FALSE)),IF(AND($S$3=TRUE,$S$4=TRUE),IF(OR($Q$4=TRUE,$Q$5=TRUE,$S$2=TRUE),VLOOKUP($G474,'KO Calc'!$H:$AW,30,FALSE),VLOOKUP($G474,'KO Calc'!$H480:$AW480,30,FALSE)))))))))))))</f>
        <v>-</v>
      </c>
      <c r="L474" s="36" t="str">
        <f>IFERROR(IF(AND($Q$1=FALSE,$S$3=FALSE),"-",VLOOKUP($E474,'Status Thresholds'!$E:$AU,43,FALSE)),"-")</f>
        <v>-</v>
      </c>
      <c r="M474" s="36" t="str">
        <f>IFERROR(IF(AND($Q$1=FALSE,$S$3=FALSE),"-",VLOOKUP($E474,'Status Thresholds'!$E:$AU,41,FALSE)),"-")</f>
        <v>-</v>
      </c>
      <c r="N474" s="36" t="str">
        <f>IFERROR(IF(AND($Q$1=FALSE,$S$3=FALSE),"-",VLOOKUP($E474,'Status Thresholds'!$E:$AU,42,FALSE)),"-")</f>
        <v>-</v>
      </c>
    </row>
    <row r="475" spans="1:14" x14ac:dyDescent="0.25">
      <c r="B475" s="64" t="str">
        <f>VLOOKUP(C475,'Status Thresholds'!B:C,2,FALSE)</f>
        <v>MHGen</v>
      </c>
      <c r="C475" s="46" t="str">
        <f>IF(ISBLANK('KO Calc'!C471)=TRUE,"",'KO Calc'!C471)</f>
        <v>Lagiacrus</v>
      </c>
      <c r="D475" s="78"/>
      <c r="E475" s="62" t="str">
        <f t="shared" si="13"/>
        <v>Lagiacrus</v>
      </c>
      <c r="F475" t="s">
        <v>11</v>
      </c>
      <c r="G475" s="36" t="str">
        <f t="shared" si="14"/>
        <v>LagiacrusCrag 1</v>
      </c>
      <c r="H475" s="36" t="str">
        <f>IF(AND($Q$1=FALSE,$S$3=FALSE),"-",IF(AND($Q$1=TRUE,$S$3=TRUE),"-",IF(AND($Q$1=FALSE,$S$3=FALSE),"-",IF(AND($Q$1=TRUE,$S$1=TRUE,$S$4=FALSE)=TRUE,IF(OR($Q$4=TRUE,$Q$5=TRUE,$S$2=TRUE),VLOOKUP($G475,'KO Calc'!$H:$AW,12,FALSE),VLOOKUP($G475,'KO Calc'!$H481:$AW481,12,FALSE)),IF(AND($Q$1=TRUE,$S$4=FALSE),IF(OR($Q$4=TRUE,$Q$5=TRUE,$S$2=TRUE),VLOOKUP($G475,'KO Calc'!$H:$AW,2,FALSE),VLOOKUP($G475,'KO Calc'!$H481:$AW481,2,FALSE)),
IF(AND($Q$1=TRUE,$S$1=TRUE,$S$4=TRUE)=TRUE,IF(OR($Q$4=TRUE,$Q$5=TRUE,$S$2=TRUE),VLOOKUP($G475,'KO Calc'!$H:$AW,17,FALSE),VLOOKUP($G475,'KO Calc'!$H481:$AW481,17,FALSE)),IF(AND($Q$1=TRUE,$S$4=TRUE),IF(OR($Q$4=TRUE,$Q$5=TRUE,$S$2=TRUE),VLOOKUP($G475,'KO Calc'!$H:$AW,7,FALSE),VLOOKUP($G475,'KO Calc'!$H481:$AW481,7,FALSE)),
IF(AND($S$3=TRUE,$S$1=TRUE,$S$4=FALSE)=TRUE,IF(OR($Q$4=TRUE,$Q$5=TRUE,$S$2=TRUE),VLOOKUP($G475,'KO Calc'!$H:$AW,32,FALSE),VLOOKUP($G475,'KO Calc'!$H481:$AW481,32,FALSE)),IF(AND($S$3=TRUE,$S$4=FALSE),IF(OR($Q$4=TRUE,$Q$5=TRUE,$S$2=TRUE),VLOOKUP($G475,'KO Calc'!$H:$AW,22,FALSE),VLOOKUP($G475,'KO Calc'!$H481:$AW481,22,FALSE)),
IF(AND($S$3=TRUE,$S$1=TRUE,$S$4=TRUE)=TRUE,IF(OR($Q$4=TRUE,$Q$5=TRUE,$S$2=TRUE),VLOOKUP($G475,'KO Calc'!$H:$AW,37,FALSE),VLOOKUP($G475,'KO Calc'!$H481:$AW481,37,FALSE)),IF(AND($S$3=TRUE,$S$4=TRUE),IF(OR($Q$4=TRUE,$Q$5=TRUE,$S$2=TRUE),VLOOKUP($G475,'KO Calc'!$H:$AW,27,FALSE),VLOOKUP($G475,'KO Calc'!$H481:$AW481,27,FALSE)))))))))))))</f>
        <v>-</v>
      </c>
      <c r="I475" s="36" t="str">
        <f>IF(AND($Q$1=FALSE,$S$3=FALSE),"-",IF(AND($Q$1=TRUE,$S$3=TRUE),"-",IF(AND($Q$1=FALSE,$S$3=FALSE),"-",IF(AND($Q$1=TRUE,$S$1=TRUE,$S$4=FALSE)=TRUE,IF(OR($Q$4=TRUE,$Q$5=TRUE,$S$2=TRUE),VLOOKUP($G475,'KO Calc'!$H:$AW,13,FALSE),VLOOKUP($G475,'KO Calc'!$H481:$AW481,13,FALSE)),IF(AND($Q$1=TRUE,$S$4=FALSE),IF(OR($Q$4=TRUE,$Q$5=TRUE,$S$2=TRUE),VLOOKUP($G475,'KO Calc'!$H:$AW,3,FALSE),VLOOKUP($G475,'KO Calc'!$H481:$AW481,3,FALSE)),
IF(AND($Q$1=TRUE,$S$1=TRUE,$S$4=TRUE)=TRUE,IF(OR($Q$4=TRUE,$Q$5=TRUE,$S$2=TRUE),VLOOKUP($G475,'KO Calc'!$H:$AW,18,FALSE),VLOOKUP($G475,'KO Calc'!$H481:$AW481,18,FALSE)),IF(AND($Q$1=TRUE,$S$4=TRUE),IF(OR($Q$4=TRUE,$Q$5=TRUE,$S$2=TRUE),VLOOKUP($G475,'KO Calc'!$H:$AW,8,FALSE),VLOOKUP($G475,'KO Calc'!$H481:$AW481,8,FALSE)),
IF(AND($S$3=TRUE,$S$1=TRUE,$S$4=FALSE)=TRUE,IF(OR($Q$4=TRUE,$Q$5=TRUE,$S$2=TRUE),VLOOKUP($G475,'KO Calc'!$H:$AW,33,FALSE),VLOOKUP($G475,'KO Calc'!$H481:$AW481,33,FALSE)),IF(AND($S$3=TRUE,$S$4=FALSE),IF(OR($Q$4=TRUE,$Q$5=TRUE,$S$2=TRUE),VLOOKUP($G475,'KO Calc'!$H:$AW,23,FALSE),VLOOKUP($G475,'KO Calc'!$H481:$AW481,23,FALSE)),
IF(AND($S$3=TRUE,$S$1=TRUE,$S$4=TRUE)=TRUE,IF(OR($Q$4=TRUE,$Q$5=TRUE,$S$2=TRUE),VLOOKUP($G475,'KO Calc'!$H:$AW,38,FALSE),VLOOKUP($G475,'KO Calc'!$H481:$AW481,38,FALSE)),IF(AND($S$3=TRUE,$S$4=TRUE),IF(OR($Q$4=TRUE,$Q$5=TRUE,$S$2=TRUE),VLOOKUP($G475,'KO Calc'!$H:$AW,28,FALSE),VLOOKUP($G475,'KO Calc'!$H481:$AW481,28,FALSE)))))))))))))</f>
        <v>-</v>
      </c>
      <c r="J475" s="36" t="str">
        <f>IF(AND($Q$1=FALSE,$S$3=FALSE),"-",IF(AND($Q$1=TRUE,$S$3=TRUE),"-",IF(AND($Q$1=FALSE,$S$3=FALSE),"-",IF(AND($Q$1=TRUE,$S$1=TRUE,$S$4=FALSE)=TRUE,IF(OR($Q$4=TRUE,$Q$5=TRUE,$S$2=TRUE),VLOOKUP($G475,'KO Calc'!$H:$AW,FALSE),VLOOKUP($G475,'KO Calc'!$H481:$AW481,14,FALSE)),IF(AND($Q$1=TRUE,$S$4=FALSE),IF(OR($Q$4=TRUE,$Q$5=TRUE,$S$2=TRUE),VLOOKUP($G475,'KO Calc'!$H:$AW,4,FALSE),VLOOKUP($G475,'KO Calc'!$H481:$AW481,4,FALSE)),
IF(AND($Q$1=TRUE,$S$1=TRUE,$S$4=TRUE)=TRUE,IF(OR($Q$4=TRUE,$Q$5=TRUE,$S$2=TRUE),VLOOKUP($G475,'KO Calc'!$H:$AW,19,FALSE),VLOOKUP($G475,'KO Calc'!$H481:$AW481,19,FALSE)),IF(AND($Q$1=TRUE,$S$4=TRUE),IF(OR($Q$4=TRUE,$Q$5=TRUE,$S$2=TRUE),VLOOKUP($G475,'KO Calc'!$H:$AW,9,FALSE),VLOOKUP($G475,'KO Calc'!$H481:$AW481,9,FALSE)),
IF(AND($S$3=TRUE,$S$1=TRUE,$S$4=FALSE)=TRUE,IF(OR($Q$4=TRUE,$Q$5=TRUE,$S$2=TRUE),VLOOKUP($G475,'KO Calc'!$H:$AW,34,FALSE),VLOOKUP($G475,'KO Calc'!$H481:$AW481,34,FALSE)),IF(AND($S$3=TRUE,$S$4=FALSE),IF(OR($Q$4=TRUE,$Q$5=TRUE,$S$2=TRUE),VLOOKUP($G475,'KO Calc'!$H:$AW,24,FALSE),VLOOKUP($G475,'KO Calc'!$H481:$AW481,24,FALSE)),
IF(AND($S$3=TRUE,$S$1=TRUE,$S$4=TRUE)=TRUE,IF(OR($Q$4=TRUE,$Q$5=TRUE,$S$2=TRUE),VLOOKUP($G475,'KO Calc'!$H:$AW,39,FALSE),VLOOKUP($G475,'KO Calc'!$H481:$AW481,39,FALSE)),IF(AND($S$3=TRUE,$S$4=TRUE),IF(OR($Q$4=TRUE,$Q$5=TRUE,$S$2=TRUE),VLOOKUP($G475,'KO Calc'!$H:$AW,29,FALSE),VLOOKUP($G475,'KO Calc'!$H481:$AW481,29,FALSE)))))))))))))</f>
        <v>-</v>
      </c>
      <c r="K475" s="36" t="str">
        <f>IF(AND($Q$1=FALSE,$S$3=FALSE),"-",IF(AND($Q$1=TRUE,$S$3=TRUE),"-",IF(AND($Q$1=FALSE,$S$3=FALSE),"-",IF(AND($Q$1=TRUE,$S$1=TRUE,$S$4=FALSE)=TRUE,IF(OR($Q$4=TRUE,$Q$5=TRUE,$S$2=TRUE),VLOOKUP($G475,'KO Calc'!$H:$AW,15,FALSE),VLOOKUP($G475,'KO Calc'!$H481:$AW481,15,FALSE)),IF(AND($Q$1=TRUE,$S$4=FALSE),IF(OR($Q$4=TRUE,$Q$5=TRUE,$S$2=TRUE),VLOOKUP($G475,'KO Calc'!$H:$AW,5,FALSE),VLOOKUP($G475,'KO Calc'!$H481:$AW481,5,FALSE)),
IF(AND($Q$1=TRUE,$S$1=TRUE,$S$4=TRUE)=TRUE,IF(OR($Q$4=TRUE,$Q$5=TRUE,$S$2=TRUE),VLOOKUP($G475,'KO Calc'!$H:$AW,20,FALSE),VLOOKUP($G475,'KO Calc'!$H481:$AW481,20,FALSE)),IF(AND($Q$1=TRUE,$S$4=TRUE),IF(OR($Q$4=TRUE,$Q$5=TRUE,$S$2=TRUE),VLOOKUP($G475,'KO Calc'!$H:$AW,10,FALSE),VLOOKUP($G475,'KO Calc'!$H481:$AW481,10,FALSE)),
IF(AND($S$3=TRUE,$S$1=TRUE,$S$4=FALSE)=TRUE,IF(OR($Q$4=TRUE,$Q$5=TRUE,$S$2=TRUE),VLOOKUP($G475,'KO Calc'!$H:$AW,35,FALSE),VLOOKUP($G475,'KO Calc'!$H481:$AW481,35,FALSE)),IF(AND($S$3=TRUE,$S$4=FALSE),IF(OR($Q$4=TRUE,$Q$5=TRUE,$S$2=TRUE),VLOOKUP($G475,'KO Calc'!$H:$AW,25,FALSE),VLOOKUP($G475,'KO Calc'!$H481:$AW481,25,FALSE)),
IF(AND($S$3=TRUE,$S$1=TRUE,$S$4=TRUE)=TRUE,IF(OR($Q$4=TRUE,$Q$5=TRUE,$S$2=TRUE),VLOOKUP($G475,'KO Calc'!$H:$AW,40,FALSE),VLOOKUP($G475,'KO Calc'!$H481:$AW481,40,FALSE)),IF(AND($S$3=TRUE,$S$4=TRUE),IF(OR($Q$4=TRUE,$Q$5=TRUE,$S$2=TRUE),VLOOKUP($G475,'KO Calc'!$H:$AW,30,FALSE),VLOOKUP($G475,'KO Calc'!$H481:$AW481,30,FALSE)))))))))))))</f>
        <v>-</v>
      </c>
      <c r="L475" s="36" t="str">
        <f>IFERROR(VLOOKUP($E475,'Status Thresholds'!$E:$AS,41,FALSE),"-")</f>
        <v>-</v>
      </c>
    </row>
    <row r="476" spans="1:14" x14ac:dyDescent="0.25">
      <c r="B476" s="64" t="str">
        <f>VLOOKUP(C476,'Status Thresholds'!B:C,2,FALSE)</f>
        <v>MHGen</v>
      </c>
      <c r="C476" s="46" t="str">
        <f>IF(ISBLANK('KO Calc'!C472)=TRUE,"",'KO Calc'!C472)</f>
        <v>Lagiacrus</v>
      </c>
      <c r="D476" s="78"/>
      <c r="E476" s="62"/>
      <c r="G476" s="36"/>
      <c r="L476" s="36" t="str">
        <f>IFERROR(VLOOKUP($E476,'Status Thresholds'!$E:$AS,41,FALSE),"-")</f>
        <v>-</v>
      </c>
    </row>
    <row r="477" spans="1:14" s="36" customFormat="1" x14ac:dyDescent="0.25">
      <c r="B477" s="64" t="str">
        <f>VLOOKUP(C477,'Status Thresholds'!B:C,2,FALSE)</f>
        <v>MHGen</v>
      </c>
      <c r="C477" s="46" t="str">
        <f>IF(ISBLANK('KO Calc'!C473)=TRUE,"",'KO Calc'!C473)</f>
        <v>Lagombi</v>
      </c>
      <c r="D477" s="65" t="s">
        <v>0</v>
      </c>
      <c r="E477" s="62" t="str">
        <f t="shared" si="13"/>
        <v>LagombiPara</v>
      </c>
      <c r="F477" s="36" t="s">
        <v>2</v>
      </c>
      <c r="G477" s="36" t="str">
        <f t="shared" si="14"/>
        <v>LagombiPara lvl 2</v>
      </c>
      <c r="H477" s="36" t="str">
        <f>IFERROR(ROUNDUP(IF(AND($Q$1=FALSE,$S$3=FALSE),"-",IF(AND($Q$1=TRUE,$S$3=TRUE),"-",IF(AND($Q$1=TRUE,$S$1=TRUE,$S$4=FALSE),VLOOKUP($E477,'Status Thresholds'!$E:$AS,12,FALSE),IF(AND($Q$1=TRUE,$S$4=FALSE),VLOOKUP($E477,'Status Thresholds'!$E:$AS,2,FALSE), IF(AND($Q$1=TRUE,$S$1=TRUE,$S$4=TRUE),VLOOKUP($E477,'Status Thresholds'!$E:$AS,17,FALSE),IF(AND($Q$1=TRUE,$S$4=TRUE),VLOOKUP($E477,'Status Thresholds'!$E:$AS,7,FALSE),IF(AND($S$3=TRUE,$S$1=TRUE,$S$4=FALSE),VLOOKUP($E477,'Status Thresholds'!$E:$AS,32,FALSE),IF(AND($S$3=TRUE,$S$4=FALSE),VLOOKUP($E477,'Status Thresholds'!$E:$AS,22,FALSE),IF(AND($S$3=TRUE,$S$1=TRUE,$S$4=TRUE),VLOOKUP($E477,'Status Thresholds'!$E:$AS,37,FALSE),IF(AND($S$3=TRUE,$S$4=TRUE),VLOOKUP($E477,'Status Thresholds'!$E:$AS,27,FALSE),""))))))))/IF(OR($Q$3=TRUE,AND($Q$2=TRUE,$Q$7=TRUE),AND($Q$3=TRUE,$Q$7=TRUE))=TRUE,'Shots and Status'!$F$5,IF((OR($Q$2,$Q$7)=TRUE),'Shots and Status'!$D$5,'Shots and Status'!$C$5)))),0),"-")</f>
        <v>-</v>
      </c>
      <c r="I477" s="36" t="str">
        <f>IFERROR(ROUNDUP(IF(AND($Q$1=FALSE,$S$3=FALSE),"-",IF(AND($Q$1=TRUE,$S$3=TRUE),"-",IF(AND($Q$1=TRUE,$S$1=TRUE,$S$4=FALSE),VLOOKUP($E477,'Status Thresholds'!$E:$AS,13,FALSE),IF(AND($Q$1=TRUE,$S$4=FALSE),VLOOKUP($E477,'Status Thresholds'!$E:$AS,3,FALSE), IF(AND($Q$1=TRUE,$S$1=TRUE,$S$4=TRUE),VLOOKUP($E477,'Status Thresholds'!$E:$AS,18,FALSE),IF(AND($Q$1=TRUE,$S$4=TRUE),VLOOKUP($E477,'Status Thresholds'!$E:$AS,8,FALSE),IF(AND($S$3=TRUE,$S$1=TRUE,$S$4=FALSE),VLOOKUP($E477,'Status Thresholds'!$E:$AS,33,FALSE),IF(AND($S$3=TRUE,$S$4=FALSE),VLOOKUP($E477,'Status Thresholds'!$E:$AS,23,FALSE),IF(AND($S$3=TRUE,$S$1=TRUE,$S$4=TRUE),VLOOKUP($E477,'Status Thresholds'!$E:$AS,38,FALSE),IF(AND($S$3=TRUE,$S$4=TRUE),VLOOKUP($E477,'Status Thresholds'!$E:$AS,28,FALSE),""))))))))/IF(OR($Q$3=TRUE,AND($Q$2=TRUE,$Q$7=TRUE),AND($Q$3=TRUE,$Q$7=TRUE))=TRUE,'Shots and Status'!$F$5,IF((OR($Q$2,$Q$7)=TRUE),'Shots and Status'!$D$5,'Shots and Status'!$C$5)))),0),"-")</f>
        <v>-</v>
      </c>
      <c r="J477" s="36" t="str">
        <f>IFERROR(ROUNDUP(IF(AND($Q$1=FALSE,$S$3=FALSE),"-",IF(AND($Q$1=TRUE,$S$3=TRUE),"-",IF(AND($Q$1=TRUE,$S$1=TRUE,$S$4=FALSE),VLOOKUP($E477,'Status Thresholds'!$E:$AS,14,FALSE),IF(AND($Q$1=TRUE,$S$4=FALSE),VLOOKUP($E477,'Status Thresholds'!$E:$AS,4,FALSE), IF(AND($Q$1=TRUE,$S$1=TRUE,$S$4=TRUE),VLOOKUP($E477,'Status Thresholds'!$E:$AS,19,FALSE),IF(AND($Q$1=TRUE,$S$4=TRUE),VLOOKUP($E477,'Status Thresholds'!$E:$AS,9,FALSE),IF(AND($S$3=TRUE,$S$1=TRUE,$S$4=FALSE),VLOOKUP($E477,'Status Thresholds'!$E:$AS,34,FALSE),IF(AND($S$3=TRUE,$S$4=FALSE),VLOOKUP($E477,'Status Thresholds'!$E:$AS,24,FALSE),IF(AND($S$3=TRUE,$S$1=TRUE,$S$4=TRUE),VLOOKUP($E477,'Status Thresholds'!$E:$AS,39,FALSE),IF(AND($S$3=TRUE,$S$4=TRUE),VLOOKUP($E477,'Status Thresholds'!$E:$AS,29,FALSE),""))))))))/IF(OR($Q$3=TRUE,AND($Q$2=TRUE,$Q$7=TRUE),AND($Q$3=TRUE,$Q$7=TRUE))=TRUE,'Shots and Status'!$F$5,IF((OR($Q$2,$Q$7)=TRUE),'Shots and Status'!$D$5,'Shots and Status'!$C$5)))),0),"-")</f>
        <v>-</v>
      </c>
      <c r="K477" s="36" t="str">
        <f>IFERROR(ROUNDUP(IF(AND($Q$1=FALSE,$S$3=FALSE),"-",IF(AND($Q$1=TRUE,$S$3=TRUE),"-",IF(AND($Q$1=TRUE,$S$1=TRUE,$S$4=FALSE),VLOOKUP($E477,'Status Thresholds'!$E:$AS,15,FALSE),IF(AND($Q$1=TRUE,$S$4=FALSE),VLOOKUP($E477,'Status Thresholds'!$E:$AS,5,FALSE), IF(AND($Q$1=TRUE,$S$1=TRUE,$S$4=TRUE),VLOOKUP($E477,'Status Thresholds'!$E:$AS,20,FALSE),IF(AND($Q$1=TRUE,$S$4=TRUE),VLOOKUP($E477,'Status Thresholds'!$E:$AS,10,FALSE),IF(AND($S$3=TRUE,$S$1=TRUE,$S$4=FALSE),VLOOKUP($E477,'Status Thresholds'!$E:$AS,35,FALSE),IF(AND($S$3=TRUE,$S$4=FALSE),VLOOKUP($E477,'Status Thresholds'!$E:$AS,25,FALSE),IF(AND($S$3=TRUE,$S$1=TRUE,$S$4=TRUE),VLOOKUP($E477,'Status Thresholds'!$E:$AS,40,FALSE),IF(AND($S$3=TRUE,$S$4=TRUE),VLOOKUP($E477,'Status Thresholds'!$E:$AS,30,FALSE),""))))))))/IF(OR($Q$3=TRUE,AND($Q$2=TRUE,$Q$7=TRUE),AND($Q$3=TRUE,$Q$7=TRUE))=TRUE,'Shots and Status'!$F$5,IF((OR($Q$2,$Q$7)=TRUE),'Shots and Status'!$D$5,'Shots and Status'!$C$5)))),0),"-")</f>
        <v>-</v>
      </c>
      <c r="L477" s="36" t="str">
        <f>IFERROR(IF(AND($Q$1=FALSE,$S$3=FALSE),"-",VLOOKUP($E477,'Status Thresholds'!$E:$AU,41,FALSE)),"-")</f>
        <v>-</v>
      </c>
      <c r="M477" s="36" t="str">
        <f>IFERROR(IF(AND($Q$1=FALSE,$S$3=FALSE),"-",VLOOKUP($E477,'Status Thresholds'!$E:$AU,42,FALSE)),"-")</f>
        <v>-</v>
      </c>
      <c r="N477" s="36" t="str">
        <f>IFERROR(IF(AND($Q$1=FALSE,$S$3=FALSE),"-",VLOOKUP($E477,'Status Thresholds'!$E:$AU,43,FALSE)),"-")</f>
        <v>-</v>
      </c>
    </row>
    <row r="478" spans="1:14" s="59" customFormat="1" x14ac:dyDescent="0.25">
      <c r="A478" s="46"/>
      <c r="B478" s="64" t="str">
        <f>VLOOKUP(C478,'Status Thresholds'!B:C,2,FALSE)</f>
        <v>MHGen</v>
      </c>
      <c r="C478" s="46" t="str">
        <f>IF(ISBLANK('KO Calc'!C474)=TRUE,"",'KO Calc'!C474)</f>
        <v>Lagombi</v>
      </c>
      <c r="D478" s="60" t="s">
        <v>32</v>
      </c>
      <c r="E478" s="62" t="str">
        <f t="shared" si="13"/>
        <v>LagombiSleep</v>
      </c>
      <c r="F478" s="59" t="s">
        <v>5</v>
      </c>
      <c r="G478" s="36" t="str">
        <f t="shared" si="14"/>
        <v>LagombiSleep lvl 2</v>
      </c>
      <c r="H478" s="36" t="str">
        <f>IFERROR(ROUNDUP(IF(AND($Q$1=FALSE,$S$3=FALSE),"-",IF(AND($Q$1=TRUE,$S$3=TRUE),"-",IF(AND($Q$1=TRUE,$S$1=TRUE,$S$4=FALSE),VLOOKUP($E478,'Status Thresholds'!$E:$AS,12,FALSE),IF(AND($Q$1=TRUE,$S$4=FALSE),VLOOKUP($E478,'Status Thresholds'!$E:$AS,2,FALSE), IF(AND($Q$1=TRUE,$S$1=TRUE,$S$4=TRUE),VLOOKUP($E478,'Status Thresholds'!$E:$AS,17,FALSE),IF(AND($Q$1=TRUE,$S$4=TRUE),VLOOKUP($E478,'Status Thresholds'!$E:$AS,7,FALSE),IF(AND($S$3=TRUE,$S$1=TRUE,$S$4=FALSE),VLOOKUP($E478,'Status Thresholds'!$E:$AS,32,FALSE),IF(AND($S$3=TRUE,$S$4=FALSE),VLOOKUP($E478,'Status Thresholds'!$E:$AS,22,FALSE),IF(AND($S$3=TRUE,$S$1=TRUE,$S$4=TRUE),VLOOKUP($E478,'Status Thresholds'!$E:$AS,37,FALSE),IF(AND($S$3=TRUE,$S$4=TRUE),VLOOKUP($E478,'Status Thresholds'!$E:$AS,27,FALSE),""))))))))/IF(OR($Q$3=TRUE,AND($Q$2=TRUE,$Q$7=TRUE),AND($Q$3=TRUE,$Q$7=TRUE))=TRUE,'Shots and Status'!$F$5,IF((OR($Q$2,$Q$7)=TRUE),'Shots and Status'!$D$5,'Shots and Status'!$C$5)))),0),"-")</f>
        <v>-</v>
      </c>
      <c r="I478" s="36" t="str">
        <f>IFERROR(ROUNDUP(IF(AND($Q$1=FALSE,$S$3=FALSE),"-",IF(AND($Q$1=TRUE,$S$3=TRUE),"-",IF(AND($Q$1=TRUE,$S$1=TRUE,$S$4=FALSE),VLOOKUP($E478,'Status Thresholds'!$E:$AS,13,FALSE),IF(AND($Q$1=TRUE,$S$4=FALSE),VLOOKUP($E478,'Status Thresholds'!$E:$AS,3,FALSE), IF(AND($Q$1=TRUE,$S$1=TRUE,$S$4=TRUE),VLOOKUP($E478,'Status Thresholds'!$E:$AS,18,FALSE),IF(AND($Q$1=TRUE,$S$4=TRUE),VLOOKUP($E478,'Status Thresholds'!$E:$AS,8,FALSE),IF(AND($S$3=TRUE,$S$1=TRUE,$S$4=FALSE),VLOOKUP($E478,'Status Thresholds'!$E:$AS,33,FALSE),IF(AND($S$3=TRUE,$S$4=FALSE),VLOOKUP($E478,'Status Thresholds'!$E:$AS,23,FALSE),IF(AND($S$3=TRUE,$S$1=TRUE,$S$4=TRUE),VLOOKUP($E478,'Status Thresholds'!$E:$AS,38,FALSE),IF(AND($S$3=TRUE,$S$4=TRUE),VLOOKUP($E478,'Status Thresholds'!$E:$AS,28,FALSE),""))))))))/IF(OR($Q$3=TRUE,AND($Q$2=TRUE,$Q$7=TRUE),AND($Q$3=TRUE,$Q$7=TRUE))=TRUE,'Shots and Status'!$F$5,IF((OR($Q$2,$Q$7)=TRUE),'Shots and Status'!$D$5,'Shots and Status'!$C$5)))),0),"-")</f>
        <v>-</v>
      </c>
      <c r="J478" s="36" t="str">
        <f>IFERROR(ROUNDUP(IF(AND($Q$1=FALSE,$S$3=FALSE),"-",IF(AND($Q$1=TRUE,$S$3=TRUE),"-",IF(AND($Q$1=TRUE,$S$1=TRUE,$S$4=FALSE),VLOOKUP($E478,'Status Thresholds'!$E:$AS,14,FALSE),IF(AND($Q$1=TRUE,$S$4=FALSE),VLOOKUP($E478,'Status Thresholds'!$E:$AS,4,FALSE), IF(AND($Q$1=TRUE,$S$1=TRUE,$S$4=TRUE),VLOOKUP($E478,'Status Thresholds'!$E:$AS,19,FALSE),IF(AND($Q$1=TRUE,$S$4=TRUE),VLOOKUP($E478,'Status Thresholds'!$E:$AS,9,FALSE),IF(AND($S$3=TRUE,$S$1=TRUE,$S$4=FALSE),VLOOKUP($E478,'Status Thresholds'!$E:$AS,34,FALSE),IF(AND($S$3=TRUE,$S$4=FALSE),VLOOKUP($E478,'Status Thresholds'!$E:$AS,24,FALSE),IF(AND($S$3=TRUE,$S$1=TRUE,$S$4=TRUE),VLOOKUP($E478,'Status Thresholds'!$E:$AS,39,FALSE),IF(AND($S$3=TRUE,$S$4=TRUE),VLOOKUP($E478,'Status Thresholds'!$E:$AS,29,FALSE),""))))))))/IF(OR($Q$3=TRUE,AND($Q$2=TRUE,$Q$7=TRUE),AND($Q$3=TRUE,$Q$7=TRUE))=TRUE,'Shots and Status'!$F$5,IF((OR($Q$2,$Q$7)=TRUE),'Shots and Status'!$D$5,'Shots and Status'!$C$5)))),0),"-")</f>
        <v>-</v>
      </c>
      <c r="K478" s="36" t="str">
        <f>IFERROR(ROUNDUP(IF(AND($Q$1=FALSE,$S$3=FALSE),"-",IF(AND($Q$1=TRUE,$S$3=TRUE),"-",IF(AND($Q$1=TRUE,$S$1=TRUE,$S$4=FALSE),VLOOKUP($E478,'Status Thresholds'!$E:$AS,15,FALSE),IF(AND($Q$1=TRUE,$S$4=FALSE),VLOOKUP($E478,'Status Thresholds'!$E:$AS,5,FALSE), IF(AND($Q$1=TRUE,$S$1=TRUE,$S$4=TRUE),VLOOKUP($E478,'Status Thresholds'!$E:$AS,20,FALSE),IF(AND($Q$1=TRUE,$S$4=TRUE),VLOOKUP($E478,'Status Thresholds'!$E:$AS,10,FALSE),IF(AND($S$3=TRUE,$S$1=TRUE,$S$4=FALSE),VLOOKUP($E478,'Status Thresholds'!$E:$AS,35,FALSE),IF(AND($S$3=TRUE,$S$4=FALSE),VLOOKUP($E478,'Status Thresholds'!$E:$AS,25,FALSE),IF(AND($S$3=TRUE,$S$1=TRUE,$S$4=TRUE),VLOOKUP($E478,'Status Thresholds'!$E:$AS,40,FALSE),IF(AND($S$3=TRUE,$S$4=TRUE),VLOOKUP($E478,'Status Thresholds'!$E:$AS,30,FALSE),""))))))))/IF(OR($Q$3=TRUE,AND($Q$2=TRUE,$Q$7=TRUE),AND($Q$3=TRUE,$Q$7=TRUE))=TRUE,'Shots and Status'!$F$5,IF((OR($Q$2,$Q$7)=TRUE),'Shots and Status'!$D$5,'Shots and Status'!$C$5)))),0),"-")</f>
        <v>-</v>
      </c>
      <c r="L478" s="36" t="str">
        <f>IFERROR(IF(AND($Q$1=FALSE,$S$3=FALSE),"-",VLOOKUP($E478,'Status Thresholds'!$E:$AU,41,FALSE)),"-")</f>
        <v>-</v>
      </c>
      <c r="M478" s="36" t="str">
        <f>IFERROR(IF(AND($Q$1=FALSE,$S$3=FALSE),"-",VLOOKUP($E478,'Status Thresholds'!$E:$AU,42,FALSE)),"-")</f>
        <v>-</v>
      </c>
      <c r="N478" s="36" t="str">
        <f>IFERROR(IF(AND($Q$1=FALSE,$S$3=FALSE),"-",VLOOKUP($E478,'Status Thresholds'!$E:$AU,43,FALSE)),"-")</f>
        <v>-</v>
      </c>
    </row>
    <row r="479" spans="1:14" s="59" customFormat="1" x14ac:dyDescent="0.25">
      <c r="A479" s="46"/>
      <c r="B479" s="64" t="str">
        <f>VLOOKUP(C479,'Status Thresholds'!B:C,2,FALSE)</f>
        <v>MHGen</v>
      </c>
      <c r="C479" s="46" t="str">
        <f>IF(ISBLANK('KO Calc'!C475)=TRUE,"",'KO Calc'!C475)</f>
        <v>Lagombi</v>
      </c>
      <c r="D479" s="58" t="s">
        <v>33</v>
      </c>
      <c r="E479" s="62" t="str">
        <f t="shared" si="13"/>
        <v>LagombiPoison</v>
      </c>
      <c r="F479" s="59" t="s">
        <v>6</v>
      </c>
      <c r="G479" s="36" t="str">
        <f t="shared" si="14"/>
        <v>LagombiPoison lvl 2</v>
      </c>
      <c r="H479" s="36" t="str">
        <f>IFERROR(ROUNDUP(IF(AND($Q$1=FALSE,$S$3=FALSE),"-",IF(AND($Q$1=TRUE,$S$3=TRUE),"-",IF(AND($Q$1=TRUE,$S$1=TRUE,$S$4=FALSE),VLOOKUP($E479,'Status Thresholds'!$E:$AS,12,FALSE),IF(AND($Q$1=TRUE,$S$4=FALSE),VLOOKUP($E479,'Status Thresholds'!$E:$AS,2,FALSE), IF(AND($Q$1=TRUE,$S$1=TRUE,$S$4=TRUE),VLOOKUP($E479,'Status Thresholds'!$E:$AS,17,FALSE),IF(AND($Q$1=TRUE,$S$4=TRUE),VLOOKUP($E479,'Status Thresholds'!$E:$AS,7,FALSE),IF(AND($S$3=TRUE,$S$1=TRUE,$S$4=FALSE),VLOOKUP($E479,'Status Thresholds'!$E:$AS,32,FALSE),IF(AND($S$3=TRUE,$S$4=FALSE),VLOOKUP($E479,'Status Thresholds'!$E:$AS,22,FALSE),IF(AND($S$3=TRUE,$S$1=TRUE,$S$4=TRUE),VLOOKUP($E479,'Status Thresholds'!$E:$AS,37,FALSE),IF(AND($S$3=TRUE,$S$4=TRUE),VLOOKUP($E479,'Status Thresholds'!$E:$AS,27,FALSE),""))))))))/IF(OR($Q$3=TRUE,AND($Q$2=TRUE,$Q$7=TRUE),AND($Q$3=TRUE,$Q$7=TRUE))=TRUE,'Shots and Status'!$F$5,IF((OR($Q$2,$Q$7)=TRUE),'Shots and Status'!$D$5,'Shots and Status'!$C$5)))),0),"-")</f>
        <v>-</v>
      </c>
      <c r="I479" s="36" t="str">
        <f>IFERROR(ROUNDUP(IF(AND($Q$1=FALSE,$S$3=FALSE),"-",IF(AND($Q$1=TRUE,$S$3=TRUE),"-",IF(AND($Q$1=TRUE,$S$1=TRUE,$S$4=FALSE),VLOOKUP($E479,'Status Thresholds'!$E:$AS,13,FALSE),IF(AND($Q$1=TRUE,$S$4=FALSE),VLOOKUP($E479,'Status Thresholds'!$E:$AS,3,FALSE), IF(AND($Q$1=TRUE,$S$1=TRUE,$S$4=TRUE),VLOOKUP($E479,'Status Thresholds'!$E:$AS,18,FALSE),IF(AND($Q$1=TRUE,$S$4=TRUE),VLOOKUP($E479,'Status Thresholds'!$E:$AS,8,FALSE),IF(AND($S$3=TRUE,$S$1=TRUE,$S$4=FALSE),VLOOKUP($E479,'Status Thresholds'!$E:$AS,33,FALSE),IF(AND($S$3=TRUE,$S$4=FALSE),VLOOKUP($E479,'Status Thresholds'!$E:$AS,23,FALSE),IF(AND($S$3=TRUE,$S$1=TRUE,$S$4=TRUE),VLOOKUP($E479,'Status Thresholds'!$E:$AS,38,FALSE),IF(AND($S$3=TRUE,$S$4=TRUE),VLOOKUP($E479,'Status Thresholds'!$E:$AS,28,FALSE),""))))))))/IF(OR($Q$3=TRUE,AND($Q$2=TRUE,$Q$7=TRUE),AND($Q$3=TRUE,$Q$7=TRUE))=TRUE,'Shots and Status'!$F$5,IF((OR($Q$2,$Q$7)=TRUE),'Shots and Status'!$D$5,'Shots and Status'!$C$5)))),0),"-")</f>
        <v>-</v>
      </c>
      <c r="J479" s="36" t="str">
        <f>IFERROR(ROUNDUP(IF(AND($Q$1=FALSE,$S$3=FALSE),"-",IF(AND($Q$1=TRUE,$S$3=TRUE),"-",IF(AND($Q$1=TRUE,$S$1=TRUE,$S$4=FALSE),VLOOKUP($E479,'Status Thresholds'!$E:$AS,14,FALSE),IF(AND($Q$1=TRUE,$S$4=FALSE),VLOOKUP($E479,'Status Thresholds'!$E:$AS,4,FALSE), IF(AND($Q$1=TRUE,$S$1=TRUE,$S$4=TRUE),VLOOKUP($E479,'Status Thresholds'!$E:$AS,19,FALSE),IF(AND($Q$1=TRUE,$S$4=TRUE),VLOOKUP($E479,'Status Thresholds'!$E:$AS,9,FALSE),IF(AND($S$3=TRUE,$S$1=TRUE,$S$4=FALSE),VLOOKUP($E479,'Status Thresholds'!$E:$AS,34,FALSE),IF(AND($S$3=TRUE,$S$4=FALSE),VLOOKUP($E479,'Status Thresholds'!$E:$AS,24,FALSE),IF(AND($S$3=TRUE,$S$1=TRUE,$S$4=TRUE),VLOOKUP($E479,'Status Thresholds'!$E:$AS,39,FALSE),IF(AND($S$3=TRUE,$S$4=TRUE),VLOOKUP($E479,'Status Thresholds'!$E:$AS,29,FALSE),""))))))))/IF(OR($Q$3=TRUE,AND($Q$2=TRUE,$Q$7=TRUE),AND($Q$3=TRUE,$Q$7=TRUE))=TRUE,'Shots and Status'!$F$5,IF((OR($Q$2,$Q$7)=TRUE),'Shots and Status'!$D$5,'Shots and Status'!$C$5)))),0),"-")</f>
        <v>-</v>
      </c>
      <c r="K479" s="36" t="str">
        <f>IFERROR(ROUNDUP(IF(AND($Q$1=FALSE,$S$3=FALSE),"-",IF(AND($Q$1=TRUE,$S$3=TRUE),"-",IF(AND($Q$1=TRUE,$S$1=TRUE,$S$4=FALSE),VLOOKUP($E479,'Status Thresholds'!$E:$AS,15,FALSE),IF(AND($Q$1=TRUE,$S$4=FALSE),VLOOKUP($E479,'Status Thresholds'!$E:$AS,5,FALSE), IF(AND($Q$1=TRUE,$S$1=TRUE,$S$4=TRUE),VLOOKUP($E479,'Status Thresholds'!$E:$AS,20,FALSE),IF(AND($Q$1=TRUE,$S$4=TRUE),VLOOKUP($E479,'Status Thresholds'!$E:$AS,10,FALSE),IF(AND($S$3=TRUE,$S$1=TRUE,$S$4=FALSE),VLOOKUP($E479,'Status Thresholds'!$E:$AS,35,FALSE),IF(AND($S$3=TRUE,$S$4=FALSE),VLOOKUP($E479,'Status Thresholds'!$E:$AS,25,FALSE),IF(AND($S$3=TRUE,$S$1=TRUE,$S$4=TRUE),VLOOKUP($E479,'Status Thresholds'!$E:$AS,40,FALSE),IF(AND($S$3=TRUE,$S$4=TRUE),VLOOKUP($E479,'Status Thresholds'!$E:$AS,30,FALSE),""))))))))/IF(OR($Q$3=TRUE,AND($Q$2=TRUE,$Q$7=TRUE),AND($Q$3=TRUE,$Q$7=TRUE))=TRUE,'Shots and Status'!$F$5,IF((OR($Q$2,$Q$7)=TRUE),'Shots and Status'!$D$5,'Shots and Status'!$C$5)))),0),"-")</f>
        <v>-</v>
      </c>
      <c r="L479" s="36" t="str">
        <f>IFERROR(IF(AND($Q$1=FALSE,$S$3=FALSE),"-",VLOOKUP($E479,'Status Thresholds'!$E:$AU,41,FALSE)),"-")</f>
        <v>-</v>
      </c>
      <c r="M479" s="36" t="str">
        <f>IFERROR(IF(AND($Q$1=FALSE,$S$3=FALSE),"-",VLOOKUP($E479,'Status Thresholds'!$E:$AU,42,FALSE)),"-")</f>
        <v>-</v>
      </c>
      <c r="N479" s="36" t="str">
        <f>IFERROR(IF(AND($Q$1=FALSE,$S$3=FALSE),"-",VLOOKUP($E479,'Status Thresholds'!$E:$AU,43,FALSE)),"-")</f>
        <v>-</v>
      </c>
    </row>
    <row r="480" spans="1:14" s="36" customFormat="1" x14ac:dyDescent="0.25">
      <c r="A480" s="46"/>
      <c r="B480" s="64" t="str">
        <f>VLOOKUP(C480,'Status Thresholds'!B:C,2,FALSE)</f>
        <v>MHGen</v>
      </c>
      <c r="C480" s="46" t="str">
        <f>IF(ISBLANK('KO Calc'!C476)=TRUE,"",'KO Calc'!C476)</f>
        <v>Lagombi</v>
      </c>
      <c r="D480" s="57" t="s">
        <v>22</v>
      </c>
      <c r="E480" s="62" t="str">
        <f t="shared" si="13"/>
        <v>LagombiExhaust</v>
      </c>
      <c r="F480" s="36" t="s">
        <v>8</v>
      </c>
      <c r="G480" s="36" t="str">
        <f t="shared" si="14"/>
        <v>LagombiExhaust lvl 2</v>
      </c>
      <c r="H480" s="36" t="str">
        <f>IFERROR(ROUNDUP(IF(AND($Q$1=FALSE,$S$3=FALSE),"-",IF(AND($Q$1=TRUE,$S$3=TRUE),"-",IF(AND($Q$1=TRUE,$S$1=TRUE,$S$4=FALSE),VLOOKUP($E480,'Status Thresholds'!$E:$AS,12,FALSE),IF(AND($Q$1=TRUE,$S$4=FALSE),VLOOKUP($E480,'Status Thresholds'!$E:$AS,2,FALSE), IF(AND($Q$1=TRUE,$S$1=TRUE,$S$4=TRUE),VLOOKUP($E480,'Status Thresholds'!$E:$AS,17,FALSE),IF(AND($Q$1=TRUE,$S$4=TRUE),VLOOKUP($E480,'Status Thresholds'!$E:$AS,7,FALSE),IF(AND($S$3=TRUE,$S$1=TRUE,$S$4=FALSE),VLOOKUP($E480,'Status Thresholds'!$E:$AS,32,FALSE),IF(AND($S$3=TRUE,$S$4=FALSE),VLOOKUP($E480,'Status Thresholds'!$E:$AS,22,FALSE),IF(AND($S$3=TRUE,$S$1=TRUE,$S$4=TRUE),VLOOKUP($E480,'Status Thresholds'!$E:$AS,37,FALSE),IF(AND($S$3=TRUE,$S$4=TRUE),VLOOKUP($E480,'Status Thresholds'!$E:$AS,27,FALSE),""))))))))/IF(OR($Q$3=TRUE,AND($Q$2=TRUE,$Q$7=TRUE),AND($Q$3=TRUE,$Q$7=TRUE))=TRUE,'Shots and Status'!$F$5,IF((OR($Q$2,$Q$7)=TRUE),'Shots and Status'!$D$5,'Shots and Status'!$C$5)))),0),"-")</f>
        <v>-</v>
      </c>
      <c r="I480" s="36" t="str">
        <f>IFERROR(ROUNDUP(IF(AND($Q$1=FALSE,$S$3=FALSE),"-",IF(AND($Q$1=TRUE,$S$3=TRUE),"-",IF(AND($Q$1=TRUE,$S$1=TRUE,$S$4=FALSE),VLOOKUP($E480,'Status Thresholds'!$E:$AS,13,FALSE),IF(AND($Q$1=TRUE,$S$4=FALSE),VLOOKUP($E480,'Status Thresholds'!$E:$AS,3,FALSE), IF(AND($Q$1=TRUE,$S$1=TRUE,$S$4=TRUE),VLOOKUP($E480,'Status Thresholds'!$E:$AS,18,FALSE),IF(AND($Q$1=TRUE,$S$4=TRUE),VLOOKUP($E480,'Status Thresholds'!$E:$AS,8,FALSE),IF(AND($S$3=TRUE,$S$1=TRUE,$S$4=FALSE),VLOOKUP($E480,'Status Thresholds'!$E:$AS,33,FALSE),IF(AND($S$3=TRUE,$S$4=FALSE),VLOOKUP($E480,'Status Thresholds'!$E:$AS,23,FALSE),IF(AND($S$3=TRUE,$S$1=TRUE,$S$4=TRUE),VLOOKUP($E480,'Status Thresholds'!$E:$AS,38,FALSE),IF(AND($S$3=TRUE,$S$4=TRUE),VLOOKUP($E480,'Status Thresholds'!$E:$AS,28,FALSE),""))))))))/IF(OR($Q$3=TRUE,AND($Q$2=TRUE,$Q$7=TRUE),AND($Q$3=TRUE,$Q$7=TRUE))=TRUE,'Shots and Status'!$F$5,IF((OR($Q$2,$Q$7)=TRUE),'Shots and Status'!$D$5,'Shots and Status'!$C$5)))),0),"-")</f>
        <v>-</v>
      </c>
      <c r="J480" s="36" t="str">
        <f>IFERROR(ROUNDUP(IF(AND($Q$1=FALSE,$S$3=FALSE),"-",IF(AND($Q$1=TRUE,$S$3=TRUE),"-",IF(AND($Q$1=TRUE,$S$1=TRUE,$S$4=FALSE),VLOOKUP($E480,'Status Thresholds'!$E:$AS,14,FALSE),IF(AND($Q$1=TRUE,$S$4=FALSE),VLOOKUP($E480,'Status Thresholds'!$E:$AS,4,FALSE), IF(AND($Q$1=TRUE,$S$1=TRUE,$S$4=TRUE),VLOOKUP($E480,'Status Thresholds'!$E:$AS,19,FALSE),IF(AND($Q$1=TRUE,$S$4=TRUE),VLOOKUP($E480,'Status Thresholds'!$E:$AS,9,FALSE),IF(AND($S$3=TRUE,$S$1=TRUE,$S$4=FALSE),VLOOKUP($E480,'Status Thresholds'!$E:$AS,34,FALSE),IF(AND($S$3=TRUE,$S$4=FALSE),VLOOKUP($E480,'Status Thresholds'!$E:$AS,24,FALSE),IF(AND($S$3=TRUE,$S$1=TRUE,$S$4=TRUE),VLOOKUP($E480,'Status Thresholds'!$E:$AS,39,FALSE),IF(AND($S$3=TRUE,$S$4=TRUE),VLOOKUP($E480,'Status Thresholds'!$E:$AS,29,FALSE),""))))))))/IF(OR($Q$3=TRUE,AND($Q$2=TRUE,$Q$7=TRUE),AND($Q$3=TRUE,$Q$7=TRUE))=TRUE,'Shots and Status'!$F$5,IF((OR($Q$2,$Q$7)=TRUE),'Shots and Status'!$D$5,'Shots and Status'!$C$5)))),0),"-")</f>
        <v>-</v>
      </c>
      <c r="K480" s="36" t="str">
        <f>IFERROR(ROUNDUP(IF(AND($Q$1=FALSE,$S$3=FALSE),"-",IF(AND($Q$1=TRUE,$S$3=TRUE),"-",IF(AND($Q$1=TRUE,$S$1=TRUE,$S$4=FALSE),VLOOKUP($E480,'Status Thresholds'!$E:$AS,15,FALSE),IF(AND($Q$1=TRUE,$S$4=FALSE),VLOOKUP($E480,'Status Thresholds'!$E:$AS,5,FALSE), IF(AND($Q$1=TRUE,$S$1=TRUE,$S$4=TRUE),VLOOKUP($E480,'Status Thresholds'!$E:$AS,20,FALSE),IF(AND($Q$1=TRUE,$S$4=TRUE),VLOOKUP($E480,'Status Thresholds'!$E:$AS,10,FALSE),IF(AND($S$3=TRUE,$S$1=TRUE,$S$4=FALSE),VLOOKUP($E480,'Status Thresholds'!$E:$AS,35,FALSE),IF(AND($S$3=TRUE,$S$4=FALSE),VLOOKUP($E480,'Status Thresholds'!$E:$AS,25,FALSE),IF(AND($S$3=TRUE,$S$1=TRUE,$S$4=TRUE),VLOOKUP($E480,'Status Thresholds'!$E:$AS,40,FALSE),IF(AND($S$3=TRUE,$S$4=TRUE),VLOOKUP($E480,'Status Thresholds'!$E:$AS,30,FALSE),""))))))))/IF(OR($Q$3=TRUE,AND($Q$2=TRUE,$Q$7=TRUE),AND($Q$3=TRUE,$Q$7=TRUE))=TRUE,'Shots and Status'!$F$5,IF((OR($Q$2,$Q$7)=TRUE),'Shots and Status'!$D$5,'Shots and Status'!$C$5)))),0),"-")</f>
        <v>-</v>
      </c>
      <c r="L480" s="36" t="str">
        <f>IFERROR(IF(AND($Q$1=FALSE,$S$3=FALSE),"-",VLOOKUP($E480,'Status Thresholds'!$E:$AU,41,FALSE)),"-")</f>
        <v>-</v>
      </c>
      <c r="M480" s="36" t="str">
        <f>IFERROR(IF(AND($Q$1=FALSE,$S$3=FALSE),"-",VLOOKUP($E480,'Status Thresholds'!$E:$AU,42,FALSE)),"-")</f>
        <v>-</v>
      </c>
      <c r="N480" s="36" t="str">
        <f>IFERROR(IF(AND($Q$1=FALSE,$S$3=FALSE),"-",VLOOKUP($E480,'Status Thresholds'!$E:$AU,43,FALSE)),"-")</f>
        <v>-</v>
      </c>
    </row>
    <row r="481" spans="1:14" s="36" customFormat="1" x14ac:dyDescent="0.25">
      <c r="A481" s="46"/>
      <c r="B481" s="64" t="str">
        <f>VLOOKUP(C481,'Status Thresholds'!B:C,2,FALSE)</f>
        <v>MHGen</v>
      </c>
      <c r="C481" s="46" t="str">
        <f>IF(ISBLANK('KO Calc'!C477)=TRUE,"",'KO Calc'!C477)</f>
        <v>Lagombi</v>
      </c>
      <c r="D481" s="67" t="s">
        <v>14</v>
      </c>
      <c r="E481" s="62" t="str">
        <f t="shared" si="13"/>
        <v>LagombiKO</v>
      </c>
      <c r="F481" s="36" t="s">
        <v>21</v>
      </c>
      <c r="G481" s="36" t="str">
        <f t="shared" si="14"/>
        <v>LagombiTriblast</v>
      </c>
      <c r="H481" s="36" t="str">
        <f>IF(AND($Q$1=FALSE,$S$3=FALSE),"-",IF(AND($Q$1=TRUE,$S$3=TRUE),"-",IF(AND($Q$1=FALSE,$S$3=FALSE),"-",IF(AND($Q$1=TRUE,$S$1=TRUE,$S$4=FALSE)=TRUE,IF(OR($Q$4=TRUE,$Q$5=TRUE,$S$2=TRUE),VLOOKUP($G481,'KO Calc'!$H:$AW,12,FALSE),VLOOKUP($G481,'KO Calc'!$H487:$AW487,12,FALSE)),IF(AND($Q$1=TRUE,$S$4=FALSE),IF(OR($Q$4=TRUE,$Q$5=TRUE,$S$2=TRUE),VLOOKUP($G481,'KO Calc'!$H:$AW,2,FALSE),VLOOKUP($G481,'KO Calc'!$H487:$AW487,2,FALSE)),
IF(AND($Q$1=TRUE,$S$1=TRUE,$S$4=TRUE)=TRUE,IF(OR($Q$4=TRUE,$Q$5=TRUE,$S$2=TRUE),VLOOKUP($G481,'KO Calc'!$H:$AW,17,FALSE),VLOOKUP($G481,'KO Calc'!$H487:$AW487,17,FALSE)),IF(AND($Q$1=TRUE,$S$4=TRUE),IF(OR($Q$4=TRUE,$Q$5=TRUE,$S$2=TRUE),VLOOKUP($G481,'KO Calc'!$H:$AW,7,FALSE),VLOOKUP($G481,'KO Calc'!$H487:$AW487,7,FALSE)),
IF(AND($S$3=TRUE,$S$1=TRUE,$S$4=FALSE)=TRUE,IF(OR($Q$4=TRUE,$Q$5=TRUE,$S$2=TRUE),VLOOKUP($G481,'KO Calc'!$H:$AW,32,FALSE),VLOOKUP($G481,'KO Calc'!$H487:$AW487,32,FALSE)),IF(AND($S$3=TRUE,$S$4=FALSE),IF(OR($Q$4=TRUE,$Q$5=TRUE,$S$2=TRUE),VLOOKUP($G481,'KO Calc'!$H:$AW,22,FALSE),VLOOKUP($G481,'KO Calc'!$H487:$AW487,22,FALSE)),
IF(AND($S$3=TRUE,$S$1=TRUE,$S$4=TRUE)=TRUE,IF(OR($Q$4=TRUE,$Q$5=TRUE,$S$2=TRUE),VLOOKUP($G481,'KO Calc'!$H:$AW,37,FALSE),VLOOKUP($G481,'KO Calc'!$H487:$AW487,37,FALSE)),IF(AND($S$3=TRUE,$S$4=TRUE),IF(OR($Q$4=TRUE,$Q$5=TRUE,$S$2=TRUE),VLOOKUP($G481,'KO Calc'!$H:$AW,27,FALSE),VLOOKUP($G481,'KO Calc'!$H487:$AW487,27,FALSE)))))))))))))</f>
        <v>-</v>
      </c>
      <c r="I481" s="36" t="str">
        <f>IF(AND($Q$1=FALSE,$S$3=FALSE),"-",IF(AND($Q$1=TRUE,$S$3=TRUE),"-",IF(AND($Q$1=FALSE,$S$3=FALSE),"-",IF(AND($Q$1=TRUE,$S$1=TRUE,$S$4=FALSE)=TRUE,IF(OR($Q$4=TRUE,$Q$5=TRUE,$S$2=TRUE),VLOOKUP($G481,'KO Calc'!$H:$AW,13,FALSE),VLOOKUP($G481,'KO Calc'!$H487:$AW487,13,FALSE)),IF(AND($Q$1=TRUE,$S$4=FALSE),IF(OR($Q$4=TRUE,$Q$5=TRUE,$S$2=TRUE),VLOOKUP($G481,'KO Calc'!$H:$AW,3,FALSE),VLOOKUP($G481,'KO Calc'!$H487:$AW487,3,FALSE)),
IF(AND($Q$1=TRUE,$S$1=TRUE,$S$4=TRUE)=TRUE,IF(OR($Q$4=TRUE,$Q$5=TRUE,$S$2=TRUE),VLOOKUP($G481,'KO Calc'!$H:$AW,18,FALSE),VLOOKUP($G481,'KO Calc'!$H487:$AW487,18,FALSE)),IF(AND($Q$1=TRUE,$S$4=TRUE),IF(OR($Q$4=TRUE,$Q$5=TRUE,$S$2=TRUE),VLOOKUP($G481,'KO Calc'!$H:$AW,8,FALSE),VLOOKUP($G481,'KO Calc'!$H487:$AW487,8,FALSE)),
IF(AND($S$3=TRUE,$S$1=TRUE,$S$4=FALSE)=TRUE,IF(OR($Q$4=TRUE,$Q$5=TRUE,$S$2=TRUE),VLOOKUP($G481,'KO Calc'!$H:$AW,33,FALSE),VLOOKUP($G481,'KO Calc'!$H487:$AW487,33,FALSE)),IF(AND($S$3=TRUE,$S$4=FALSE),IF(OR($Q$4=TRUE,$Q$5=TRUE,$S$2=TRUE),VLOOKUP($G481,'KO Calc'!$H:$AW,23,FALSE),VLOOKUP($G481,'KO Calc'!$H487:$AW487,23,FALSE)),
IF(AND($S$3=TRUE,$S$1=TRUE,$S$4=TRUE)=TRUE,IF(OR($Q$4=TRUE,$Q$5=TRUE,$S$2=TRUE),VLOOKUP($G481,'KO Calc'!$H:$AW,38,FALSE),VLOOKUP($G481,'KO Calc'!$H487:$AW487,38,FALSE)),IF(AND($S$3=TRUE,$S$4=TRUE),IF(OR($Q$4=TRUE,$Q$5=TRUE,$S$2=TRUE),VLOOKUP($G481,'KO Calc'!$H:$AW,28,FALSE),VLOOKUP($G481,'KO Calc'!$H487:$AW487,28,FALSE)))))))))))))</f>
        <v>-</v>
      </c>
      <c r="J481" s="36" t="str">
        <f>IF(AND($Q$1=FALSE,$S$3=FALSE),"-",IF(AND($Q$1=TRUE,$S$3=TRUE),"-",IF(AND($Q$1=FALSE,$S$3=FALSE),"-",IF(AND($Q$1=TRUE,$S$1=TRUE,$S$4=FALSE)=TRUE,IF(OR($Q$4=TRUE,$Q$5=TRUE,$S$2=TRUE),VLOOKUP($G481,'KO Calc'!$H:$AW,FALSE),VLOOKUP($G481,'KO Calc'!$H487:$AW487,14,FALSE)),IF(AND($Q$1=TRUE,$S$4=FALSE),IF(OR($Q$4=TRUE,$Q$5=TRUE,$S$2=TRUE),VLOOKUP($G481,'KO Calc'!$H:$AW,4,FALSE),VLOOKUP($G481,'KO Calc'!$H487:$AW487,4,FALSE)),
IF(AND($Q$1=TRUE,$S$1=TRUE,$S$4=TRUE)=TRUE,IF(OR($Q$4=TRUE,$Q$5=TRUE,$S$2=TRUE),VLOOKUP($G481,'KO Calc'!$H:$AW,19,FALSE),VLOOKUP($G481,'KO Calc'!$H487:$AW487,19,FALSE)),IF(AND($Q$1=TRUE,$S$4=TRUE),IF(OR($Q$4=TRUE,$Q$5=TRUE,$S$2=TRUE),VLOOKUP($G481,'KO Calc'!$H:$AW,9,FALSE),VLOOKUP($G481,'KO Calc'!$H487:$AW487,9,FALSE)),
IF(AND($S$3=TRUE,$S$1=TRUE,$S$4=FALSE)=TRUE,IF(OR($Q$4=TRUE,$Q$5=TRUE,$S$2=TRUE),VLOOKUP($G481,'KO Calc'!$H:$AW,34,FALSE),VLOOKUP($G481,'KO Calc'!$H487:$AW487,34,FALSE)),IF(AND($S$3=TRUE,$S$4=FALSE),IF(OR($Q$4=TRUE,$Q$5=TRUE,$S$2=TRUE),VLOOKUP($G481,'KO Calc'!$H:$AW,24,FALSE),VLOOKUP($G481,'KO Calc'!$H487:$AW487,24,FALSE)),
IF(AND($S$3=TRUE,$S$1=TRUE,$S$4=TRUE)=TRUE,IF(OR($Q$4=TRUE,$Q$5=TRUE,$S$2=TRUE),VLOOKUP($G481,'KO Calc'!$H:$AW,39,FALSE),VLOOKUP($G481,'KO Calc'!$H487:$AW487,39,FALSE)),IF(AND($S$3=TRUE,$S$4=TRUE),IF(OR($Q$4=TRUE,$Q$5=TRUE,$S$2=TRUE),VLOOKUP($G481,'KO Calc'!$H:$AW,29,FALSE),VLOOKUP($G481,'KO Calc'!$H487:$AW487,29,FALSE)))))))))))))</f>
        <v>-</v>
      </c>
      <c r="K481" s="36" t="str">
        <f>IF(AND($Q$1=FALSE,$S$3=FALSE),"-",IF(AND($Q$1=TRUE,$S$3=TRUE),"-",IF(AND($Q$1=FALSE,$S$3=FALSE),"-",IF(AND($Q$1=TRUE,$S$1=TRUE,$S$4=FALSE)=TRUE,IF(OR($Q$4=TRUE,$Q$5=TRUE,$S$2=TRUE),VLOOKUP($G481,'KO Calc'!$H:$AW,15,FALSE),VLOOKUP($G481,'KO Calc'!$H487:$AW487,15,FALSE)),IF(AND($Q$1=TRUE,$S$4=FALSE),IF(OR($Q$4=TRUE,$Q$5=TRUE,$S$2=TRUE),VLOOKUP($G481,'KO Calc'!$H:$AW,5,FALSE),VLOOKUP($G481,'KO Calc'!$H487:$AW487,5,FALSE)),
IF(AND($Q$1=TRUE,$S$1=TRUE,$S$4=TRUE)=TRUE,IF(OR($Q$4=TRUE,$Q$5=TRUE,$S$2=TRUE),VLOOKUP($G481,'KO Calc'!$H:$AW,20,FALSE),VLOOKUP($G481,'KO Calc'!$H487:$AW487,20,FALSE)),IF(AND($Q$1=TRUE,$S$4=TRUE),IF(OR($Q$4=TRUE,$Q$5=TRUE,$S$2=TRUE),VLOOKUP($G481,'KO Calc'!$H:$AW,10,FALSE),VLOOKUP($G481,'KO Calc'!$H487:$AW487,10,FALSE)),
IF(AND($S$3=TRUE,$S$1=TRUE,$S$4=FALSE)=TRUE,IF(OR($Q$4=TRUE,$Q$5=TRUE,$S$2=TRUE),VLOOKUP($G481,'KO Calc'!$H:$AW,35,FALSE),VLOOKUP($G481,'KO Calc'!$H487:$AW487,35,FALSE)),IF(AND($S$3=TRUE,$S$4=FALSE),IF(OR($Q$4=TRUE,$Q$5=TRUE,$S$2=TRUE),VLOOKUP($G481,'KO Calc'!$H:$AW,25,FALSE),VLOOKUP($G481,'KO Calc'!$H487:$AW487,25,FALSE)),
IF(AND($S$3=TRUE,$S$1=TRUE,$S$4=TRUE)=TRUE,IF(OR($Q$4=TRUE,$Q$5=TRUE,$S$2=TRUE),VLOOKUP($G481,'KO Calc'!$H:$AW,40,FALSE),VLOOKUP($G481,'KO Calc'!$H487:$AW487,40,FALSE)),IF(AND($S$3=TRUE,$S$4=TRUE),IF(OR($Q$4=TRUE,$Q$5=TRUE,$S$2=TRUE),VLOOKUP($G481,'KO Calc'!$H:$AW,30,FALSE),VLOOKUP($G481,'KO Calc'!$H487:$AW487,30,FALSE)))))))))))))</f>
        <v>-</v>
      </c>
      <c r="L481" s="36" t="str">
        <f>IFERROR(IF(AND($Q$1=FALSE,$S$3=FALSE),"-",VLOOKUP($E481,'Status Thresholds'!$E:$AU,41,FALSE)),"-")</f>
        <v>-</v>
      </c>
      <c r="M481" s="36" t="str">
        <f>IFERROR(IF(AND($Q$1=FALSE,$S$3=FALSE),"-",VLOOKUP($E481,'Status Thresholds'!$E:$AU,42,FALSE)),"-")</f>
        <v>-</v>
      </c>
      <c r="N481" s="36" t="str">
        <f>IFERROR(IF(AND($Q$1=FALSE,$S$3=FALSE),"-",VLOOKUP($E481,'Status Thresholds'!$E:$AU,43,FALSE)),"-")</f>
        <v>-</v>
      </c>
    </row>
    <row r="482" spans="1:14" x14ac:dyDescent="0.25">
      <c r="B482" s="64" t="str">
        <f>VLOOKUP(C482,'Status Thresholds'!B:C,2,FALSE)</f>
        <v>MHGen</v>
      </c>
      <c r="C482" s="46" t="str">
        <f>IF(ISBLANK('KO Calc'!C478)=TRUE,"",'KO Calc'!C478)</f>
        <v>Lagombi</v>
      </c>
      <c r="D482" s="78" t="s">
        <v>207</v>
      </c>
      <c r="E482" s="62" t="str">
        <f t="shared" si="13"/>
        <v>LagombiShock Trap</v>
      </c>
      <c r="F482" t="s">
        <v>13</v>
      </c>
      <c r="G482" s="36" t="str">
        <f t="shared" si="14"/>
        <v>LagombiCrag 3</v>
      </c>
      <c r="H482" s="36" t="str">
        <f>IF(AND($Q$1=FALSE,$S$3=FALSE),"-",IF(AND($Q$1=TRUE,$S$3=TRUE),"-",IF(AND($Q$1=FALSE,$S$3=FALSE),"-",IF(AND($Q$1=TRUE,$S$1=TRUE,$S$4=FALSE)=TRUE,IF(OR($Q$4=TRUE,$Q$5=TRUE,$S$2=TRUE),VLOOKUP($G482,'KO Calc'!$H:$AW,12,FALSE),VLOOKUP($G482,'KO Calc'!$H488:$AW488,12,FALSE)),IF(AND($Q$1=TRUE,$S$4=FALSE),IF(OR($Q$4=TRUE,$Q$5=TRUE,$S$2=TRUE),VLOOKUP($G482,'KO Calc'!$H:$AW,2,FALSE),VLOOKUP($G482,'KO Calc'!$H488:$AW488,2,FALSE)),
IF(AND($Q$1=TRUE,$S$1=TRUE,$S$4=TRUE)=TRUE,IF(OR($Q$4=TRUE,$Q$5=TRUE,$S$2=TRUE),VLOOKUP($G482,'KO Calc'!$H:$AW,17,FALSE),VLOOKUP($G482,'KO Calc'!$H488:$AW488,17,FALSE)),IF(AND($Q$1=TRUE,$S$4=TRUE),IF(OR($Q$4=TRUE,$Q$5=TRUE,$S$2=TRUE),VLOOKUP($G482,'KO Calc'!$H:$AW,7,FALSE),VLOOKUP($G482,'KO Calc'!$H488:$AW488,7,FALSE)),
IF(AND($S$3=TRUE,$S$1=TRUE,$S$4=FALSE)=TRUE,IF(OR($Q$4=TRUE,$Q$5=TRUE,$S$2=TRUE),VLOOKUP($G482,'KO Calc'!$H:$AW,32,FALSE),VLOOKUP($G482,'KO Calc'!$H488:$AW488,32,FALSE)),IF(AND($S$3=TRUE,$S$4=FALSE),IF(OR($Q$4=TRUE,$Q$5=TRUE,$S$2=TRUE),VLOOKUP($G482,'KO Calc'!$H:$AW,22,FALSE),VLOOKUP($G482,'KO Calc'!$H488:$AW488,22,FALSE)),
IF(AND($S$3=TRUE,$S$1=TRUE,$S$4=TRUE)=TRUE,IF(OR($Q$4=TRUE,$Q$5=TRUE,$S$2=TRUE),VLOOKUP($G482,'KO Calc'!$H:$AW,37,FALSE),VLOOKUP($G482,'KO Calc'!$H488:$AW488,37,FALSE)),IF(AND($S$3=TRUE,$S$4=TRUE),IF(OR($Q$4=TRUE,$Q$5=TRUE,$S$2=TRUE),VLOOKUP($G482,'KO Calc'!$H:$AW,27,FALSE),VLOOKUP($G482,'KO Calc'!$H488:$AW488,27,FALSE)))))))))))))</f>
        <v>-</v>
      </c>
      <c r="I482" s="36" t="str">
        <f>IF(AND($Q$1=FALSE,$S$3=FALSE),"-",IF(AND($Q$1=TRUE,$S$3=TRUE),"-",IF(AND($Q$1=FALSE,$S$3=FALSE),"-",IF(AND($Q$1=TRUE,$S$1=TRUE,$S$4=FALSE)=TRUE,IF(OR($Q$4=TRUE,$Q$5=TRUE,$S$2=TRUE),VLOOKUP($G482,'KO Calc'!$H:$AW,13,FALSE),VLOOKUP($G482,'KO Calc'!$H488:$AW488,13,FALSE)),IF(AND($Q$1=TRUE,$S$4=FALSE),IF(OR($Q$4=TRUE,$Q$5=TRUE,$S$2=TRUE),VLOOKUP($G482,'KO Calc'!$H:$AW,3,FALSE),VLOOKUP($G482,'KO Calc'!$H488:$AW488,3,FALSE)),
IF(AND($Q$1=TRUE,$S$1=TRUE,$S$4=TRUE)=TRUE,IF(OR($Q$4=TRUE,$Q$5=TRUE,$S$2=TRUE),VLOOKUP($G482,'KO Calc'!$H:$AW,18,FALSE),VLOOKUP($G482,'KO Calc'!$H488:$AW488,18,FALSE)),IF(AND($Q$1=TRUE,$S$4=TRUE),IF(OR($Q$4=TRUE,$Q$5=TRUE,$S$2=TRUE),VLOOKUP($G482,'KO Calc'!$H:$AW,8,FALSE),VLOOKUP($G482,'KO Calc'!$H488:$AW488,8,FALSE)),
IF(AND($S$3=TRUE,$S$1=TRUE,$S$4=FALSE)=TRUE,IF(OR($Q$4=TRUE,$Q$5=TRUE,$S$2=TRUE),VLOOKUP($G482,'KO Calc'!$H:$AW,33,FALSE),VLOOKUP($G482,'KO Calc'!$H488:$AW488,33,FALSE)),IF(AND($S$3=TRUE,$S$4=FALSE),IF(OR($Q$4=TRUE,$Q$5=TRUE,$S$2=TRUE),VLOOKUP($G482,'KO Calc'!$H:$AW,23,FALSE),VLOOKUP($G482,'KO Calc'!$H488:$AW488,23,FALSE)),
IF(AND($S$3=TRUE,$S$1=TRUE,$S$4=TRUE)=TRUE,IF(OR($Q$4=TRUE,$Q$5=TRUE,$S$2=TRUE),VLOOKUP($G482,'KO Calc'!$H:$AW,38,FALSE),VLOOKUP($G482,'KO Calc'!$H488:$AW488,38,FALSE)),IF(AND($S$3=TRUE,$S$4=TRUE),IF(OR($Q$4=TRUE,$Q$5=TRUE,$S$2=TRUE),VLOOKUP($G482,'KO Calc'!$H:$AW,28,FALSE),VLOOKUP($G482,'KO Calc'!$H488:$AW488,28,FALSE)))))))))))))</f>
        <v>-</v>
      </c>
      <c r="J482" s="36" t="str">
        <f>IF(AND($Q$1=FALSE,$S$3=FALSE),"-",IF(AND($Q$1=TRUE,$S$3=TRUE),"-",IF(AND($Q$1=FALSE,$S$3=FALSE),"-",IF(AND($Q$1=TRUE,$S$1=TRUE,$S$4=FALSE)=TRUE,IF(OR($Q$4=TRUE,$Q$5=TRUE,$S$2=TRUE),VLOOKUP($G482,'KO Calc'!$H:$AW,FALSE),VLOOKUP($G482,'KO Calc'!$H488:$AW488,14,FALSE)),IF(AND($Q$1=TRUE,$S$4=FALSE),IF(OR($Q$4=TRUE,$Q$5=TRUE,$S$2=TRUE),VLOOKUP($G482,'KO Calc'!$H:$AW,4,FALSE),VLOOKUP($G482,'KO Calc'!$H488:$AW488,4,FALSE)),
IF(AND($Q$1=TRUE,$S$1=TRUE,$S$4=TRUE)=TRUE,IF(OR($Q$4=TRUE,$Q$5=TRUE,$S$2=TRUE),VLOOKUP($G482,'KO Calc'!$H:$AW,19,FALSE),VLOOKUP($G482,'KO Calc'!$H488:$AW488,19,FALSE)),IF(AND($Q$1=TRUE,$S$4=TRUE),IF(OR($Q$4=TRUE,$Q$5=TRUE,$S$2=TRUE),VLOOKUP($G482,'KO Calc'!$H:$AW,9,FALSE),VLOOKUP($G482,'KO Calc'!$H488:$AW488,9,FALSE)),
IF(AND($S$3=TRUE,$S$1=TRUE,$S$4=FALSE)=TRUE,IF(OR($Q$4=TRUE,$Q$5=TRUE,$S$2=TRUE),VLOOKUP($G482,'KO Calc'!$H:$AW,34,FALSE),VLOOKUP($G482,'KO Calc'!$H488:$AW488,34,FALSE)),IF(AND($S$3=TRUE,$S$4=FALSE),IF(OR($Q$4=TRUE,$Q$5=TRUE,$S$2=TRUE),VLOOKUP($G482,'KO Calc'!$H:$AW,24,FALSE),VLOOKUP($G482,'KO Calc'!$H488:$AW488,24,FALSE)),
IF(AND($S$3=TRUE,$S$1=TRUE,$S$4=TRUE)=TRUE,IF(OR($Q$4=TRUE,$Q$5=TRUE,$S$2=TRUE),VLOOKUP($G482,'KO Calc'!$H:$AW,39,FALSE),VLOOKUP($G482,'KO Calc'!$H488:$AW488,39,FALSE)),IF(AND($S$3=TRUE,$S$4=TRUE),IF(OR($Q$4=TRUE,$Q$5=TRUE,$S$2=TRUE),VLOOKUP($G482,'KO Calc'!$H:$AW,29,FALSE),VLOOKUP($G482,'KO Calc'!$H488:$AW488,29,FALSE)))))))))))))</f>
        <v>-</v>
      </c>
      <c r="K482" s="36" t="str">
        <f>IF(AND($Q$1=FALSE,$S$3=FALSE),"-",IF(AND($Q$1=TRUE,$S$3=TRUE),"-",IF(AND($Q$1=FALSE,$S$3=FALSE),"-",IF(AND($Q$1=TRUE,$S$1=TRUE,$S$4=FALSE)=TRUE,IF(OR($Q$4=TRUE,$Q$5=TRUE,$S$2=TRUE),VLOOKUP($G482,'KO Calc'!$H:$AW,15,FALSE),VLOOKUP($G482,'KO Calc'!$H488:$AW488,15,FALSE)),IF(AND($Q$1=TRUE,$S$4=FALSE),IF(OR($Q$4=TRUE,$Q$5=TRUE,$S$2=TRUE),VLOOKUP($G482,'KO Calc'!$H:$AW,5,FALSE),VLOOKUP($G482,'KO Calc'!$H488:$AW488,5,FALSE)),
IF(AND($Q$1=TRUE,$S$1=TRUE,$S$4=TRUE)=TRUE,IF(OR($Q$4=TRUE,$Q$5=TRUE,$S$2=TRUE),VLOOKUP($G482,'KO Calc'!$H:$AW,20,FALSE),VLOOKUP($G482,'KO Calc'!$H488:$AW488,20,FALSE)),IF(AND($Q$1=TRUE,$S$4=TRUE),IF(OR($Q$4=TRUE,$Q$5=TRUE,$S$2=TRUE),VLOOKUP($G482,'KO Calc'!$H:$AW,10,FALSE),VLOOKUP($G482,'KO Calc'!$H488:$AW488,10,FALSE)),
IF(AND($S$3=TRUE,$S$1=TRUE,$S$4=FALSE)=TRUE,IF(OR($Q$4=TRUE,$Q$5=TRUE,$S$2=TRUE),VLOOKUP($G482,'KO Calc'!$H:$AW,35,FALSE),VLOOKUP($G482,'KO Calc'!$H488:$AW488,35,FALSE)),IF(AND($S$3=TRUE,$S$4=FALSE),IF(OR($Q$4=TRUE,$Q$5=TRUE,$S$2=TRUE),VLOOKUP($G482,'KO Calc'!$H:$AW,25,FALSE),VLOOKUP($G482,'KO Calc'!$H488:$AW488,25,FALSE)),
IF(AND($S$3=TRUE,$S$1=TRUE,$S$4=TRUE)=TRUE,IF(OR($Q$4=TRUE,$Q$5=TRUE,$S$2=TRUE),VLOOKUP($G482,'KO Calc'!$H:$AW,40,FALSE),VLOOKUP($G482,'KO Calc'!$H488:$AW488,40,FALSE)),IF(AND($S$3=TRUE,$S$4=TRUE),IF(OR($Q$4=TRUE,$Q$5=TRUE,$S$2=TRUE),VLOOKUP($G482,'KO Calc'!$H:$AW,30,FALSE),VLOOKUP($G482,'KO Calc'!$H488:$AW488,30,FALSE)))))))))))))</f>
        <v>-</v>
      </c>
      <c r="L482" s="36" t="str">
        <f>IFERROR(IF(AND($Q$1=FALSE,$S$3=FALSE),"-",VLOOKUP($E482,'Status Thresholds'!$E:$AU,43,FALSE)),"-")</f>
        <v>-</v>
      </c>
      <c r="M482" s="36" t="str">
        <f>IFERROR(IF(AND($Q$1=FALSE,$S$3=FALSE),"-",VLOOKUP($E482,'Status Thresholds'!$E:$AU,41,FALSE)),"-")</f>
        <v>-</v>
      </c>
      <c r="N482" s="36" t="str">
        <f>IFERROR(IF(AND($Q$1=FALSE,$S$3=FALSE),"-",VLOOKUP($E482,'Status Thresholds'!$E:$AU,42,FALSE)),"-")</f>
        <v>-</v>
      </c>
    </row>
    <row r="483" spans="1:14" x14ac:dyDescent="0.25">
      <c r="B483" s="64" t="str">
        <f>VLOOKUP(C483,'Status Thresholds'!B:C,2,FALSE)</f>
        <v>MHGen</v>
      </c>
      <c r="C483" s="46" t="str">
        <f>IF(ISBLANK('KO Calc'!C479)=TRUE,"",'KO Calc'!C479)</f>
        <v>Lagombi</v>
      </c>
      <c r="D483" s="78" t="s">
        <v>213</v>
      </c>
      <c r="E483" s="62" t="str">
        <f t="shared" si="13"/>
        <v>LagombiPitfall Trap</v>
      </c>
      <c r="F483" t="s">
        <v>12</v>
      </c>
      <c r="G483" s="36" t="str">
        <f t="shared" si="14"/>
        <v>LagombiCrag 2</v>
      </c>
      <c r="H483" s="36" t="str">
        <f>IF(AND($Q$1=FALSE,$S$3=FALSE),"-",IF(AND($Q$1=TRUE,$S$3=TRUE),"-",IF(AND($Q$1=FALSE,$S$3=FALSE),"-",IF(AND($Q$1=TRUE,$S$1=TRUE,$S$4=FALSE)=TRUE,IF(OR($Q$4=TRUE,$Q$5=TRUE,$S$2=TRUE),VLOOKUP($G483,'KO Calc'!$H:$AW,12,FALSE),VLOOKUP($G483,'KO Calc'!$H489:$AW489,12,FALSE)),IF(AND($Q$1=TRUE,$S$4=FALSE),IF(OR($Q$4=TRUE,$Q$5=TRUE,$S$2=TRUE),VLOOKUP($G483,'KO Calc'!$H:$AW,2,FALSE),VLOOKUP($G483,'KO Calc'!$H489:$AW489,2,FALSE)),
IF(AND($Q$1=TRUE,$S$1=TRUE,$S$4=TRUE)=TRUE,IF(OR($Q$4=TRUE,$Q$5=TRUE,$S$2=TRUE),VLOOKUP($G483,'KO Calc'!$H:$AW,17,FALSE),VLOOKUP($G483,'KO Calc'!$H489:$AW489,17,FALSE)),IF(AND($Q$1=TRUE,$S$4=TRUE),IF(OR($Q$4=TRUE,$Q$5=TRUE,$S$2=TRUE),VLOOKUP($G483,'KO Calc'!$H:$AW,7,FALSE),VLOOKUP($G483,'KO Calc'!$H489:$AW489,7,FALSE)),
IF(AND($S$3=TRUE,$S$1=TRUE,$S$4=FALSE)=TRUE,IF(OR($Q$4=TRUE,$Q$5=TRUE,$S$2=TRUE),VLOOKUP($G483,'KO Calc'!$H:$AW,32,FALSE),VLOOKUP($G483,'KO Calc'!$H489:$AW489,32,FALSE)),IF(AND($S$3=TRUE,$S$4=FALSE),IF(OR($Q$4=TRUE,$Q$5=TRUE,$S$2=TRUE),VLOOKUP($G483,'KO Calc'!$H:$AW,22,FALSE),VLOOKUP($G483,'KO Calc'!$H489:$AW489,22,FALSE)),
IF(AND($S$3=TRUE,$S$1=TRUE,$S$4=TRUE)=TRUE,IF(OR($Q$4=TRUE,$Q$5=TRUE,$S$2=TRUE),VLOOKUP($G483,'KO Calc'!$H:$AW,37,FALSE),VLOOKUP($G483,'KO Calc'!$H489:$AW489,37,FALSE)),IF(AND($S$3=TRUE,$S$4=TRUE),IF(OR($Q$4=TRUE,$Q$5=TRUE,$S$2=TRUE),VLOOKUP($G483,'KO Calc'!$H:$AW,27,FALSE),VLOOKUP($G483,'KO Calc'!$H489:$AW489,27,FALSE)))))))))))))</f>
        <v>-</v>
      </c>
      <c r="I483" s="36" t="str">
        <f>IF(AND($Q$1=FALSE,$S$3=FALSE),"-",IF(AND($Q$1=TRUE,$S$3=TRUE),"-",IF(AND($Q$1=FALSE,$S$3=FALSE),"-",IF(AND($Q$1=TRUE,$S$1=TRUE,$S$4=FALSE)=TRUE,IF(OR($Q$4=TRUE,$Q$5=TRUE,$S$2=TRUE),VLOOKUP($G483,'KO Calc'!$H:$AW,13,FALSE),VLOOKUP($G483,'KO Calc'!$H489:$AW489,13,FALSE)),IF(AND($Q$1=TRUE,$S$4=FALSE),IF(OR($Q$4=TRUE,$Q$5=TRUE,$S$2=TRUE),VLOOKUP($G483,'KO Calc'!$H:$AW,3,FALSE),VLOOKUP($G483,'KO Calc'!$H489:$AW489,3,FALSE)),
IF(AND($Q$1=TRUE,$S$1=TRUE,$S$4=TRUE)=TRUE,IF(OR($Q$4=TRUE,$Q$5=TRUE,$S$2=TRUE),VLOOKUP($G483,'KO Calc'!$H:$AW,18,FALSE),VLOOKUP($G483,'KO Calc'!$H489:$AW489,18,FALSE)),IF(AND($Q$1=TRUE,$S$4=TRUE),IF(OR($Q$4=TRUE,$Q$5=TRUE,$S$2=TRUE),VLOOKUP($G483,'KO Calc'!$H:$AW,8,FALSE),VLOOKUP($G483,'KO Calc'!$H489:$AW489,8,FALSE)),
IF(AND($S$3=TRUE,$S$1=TRUE,$S$4=FALSE)=TRUE,IF(OR($Q$4=TRUE,$Q$5=TRUE,$S$2=TRUE),VLOOKUP($G483,'KO Calc'!$H:$AW,33,FALSE),VLOOKUP($G483,'KO Calc'!$H489:$AW489,33,FALSE)),IF(AND($S$3=TRUE,$S$4=FALSE),IF(OR($Q$4=TRUE,$Q$5=TRUE,$S$2=TRUE),VLOOKUP($G483,'KO Calc'!$H:$AW,23,FALSE),VLOOKUP($G483,'KO Calc'!$H489:$AW489,23,FALSE)),
IF(AND($S$3=TRUE,$S$1=TRUE,$S$4=TRUE)=TRUE,IF(OR($Q$4=TRUE,$Q$5=TRUE,$S$2=TRUE),VLOOKUP($G483,'KO Calc'!$H:$AW,38,FALSE),VLOOKUP($G483,'KO Calc'!$H489:$AW489,38,FALSE)),IF(AND($S$3=TRUE,$S$4=TRUE),IF(OR($Q$4=TRUE,$Q$5=TRUE,$S$2=TRUE),VLOOKUP($G483,'KO Calc'!$H:$AW,28,FALSE),VLOOKUP($G483,'KO Calc'!$H489:$AW489,28,FALSE)))))))))))))</f>
        <v>-</v>
      </c>
      <c r="J483" s="36" t="str">
        <f>IF(AND($Q$1=FALSE,$S$3=FALSE),"-",IF(AND($Q$1=TRUE,$S$3=TRUE),"-",IF(AND($Q$1=FALSE,$S$3=FALSE),"-",IF(AND($Q$1=TRUE,$S$1=TRUE,$S$4=FALSE)=TRUE,IF(OR($Q$4=TRUE,$Q$5=TRUE,$S$2=TRUE),VLOOKUP($G483,'KO Calc'!$H:$AW,FALSE),VLOOKUP($G483,'KO Calc'!$H489:$AW489,14,FALSE)),IF(AND($Q$1=TRUE,$S$4=FALSE),IF(OR($Q$4=TRUE,$Q$5=TRUE,$S$2=TRUE),VLOOKUP($G483,'KO Calc'!$H:$AW,4,FALSE),VLOOKUP($G483,'KO Calc'!$H489:$AW489,4,FALSE)),
IF(AND($Q$1=TRUE,$S$1=TRUE,$S$4=TRUE)=TRUE,IF(OR($Q$4=TRUE,$Q$5=TRUE,$S$2=TRUE),VLOOKUP($G483,'KO Calc'!$H:$AW,19,FALSE),VLOOKUP($G483,'KO Calc'!$H489:$AW489,19,FALSE)),IF(AND($Q$1=TRUE,$S$4=TRUE),IF(OR($Q$4=TRUE,$Q$5=TRUE,$S$2=TRUE),VLOOKUP($G483,'KO Calc'!$H:$AW,9,FALSE),VLOOKUP($G483,'KO Calc'!$H489:$AW489,9,FALSE)),
IF(AND($S$3=TRUE,$S$1=TRUE,$S$4=FALSE)=TRUE,IF(OR($Q$4=TRUE,$Q$5=TRUE,$S$2=TRUE),VLOOKUP($G483,'KO Calc'!$H:$AW,34,FALSE),VLOOKUP($G483,'KO Calc'!$H489:$AW489,34,FALSE)),IF(AND($S$3=TRUE,$S$4=FALSE),IF(OR($Q$4=TRUE,$Q$5=TRUE,$S$2=TRUE),VLOOKUP($G483,'KO Calc'!$H:$AW,24,FALSE),VLOOKUP($G483,'KO Calc'!$H489:$AW489,24,FALSE)),
IF(AND($S$3=TRUE,$S$1=TRUE,$S$4=TRUE)=TRUE,IF(OR($Q$4=TRUE,$Q$5=TRUE,$S$2=TRUE),VLOOKUP($G483,'KO Calc'!$H:$AW,39,FALSE),VLOOKUP($G483,'KO Calc'!$H489:$AW489,39,FALSE)),IF(AND($S$3=TRUE,$S$4=TRUE),IF(OR($Q$4=TRUE,$Q$5=TRUE,$S$2=TRUE),VLOOKUP($G483,'KO Calc'!$H:$AW,29,FALSE),VLOOKUP($G483,'KO Calc'!$H489:$AW489,29,FALSE)))))))))))))</f>
        <v>-</v>
      </c>
      <c r="K483" s="36" t="str">
        <f>IF(AND($Q$1=FALSE,$S$3=FALSE),"-",IF(AND($Q$1=TRUE,$S$3=TRUE),"-",IF(AND($Q$1=FALSE,$S$3=FALSE),"-",IF(AND($Q$1=TRUE,$S$1=TRUE,$S$4=FALSE)=TRUE,IF(OR($Q$4=TRUE,$Q$5=TRUE,$S$2=TRUE),VLOOKUP($G483,'KO Calc'!$H:$AW,15,FALSE),VLOOKUP($G483,'KO Calc'!$H489:$AW489,15,FALSE)),IF(AND($Q$1=TRUE,$S$4=FALSE),IF(OR($Q$4=TRUE,$Q$5=TRUE,$S$2=TRUE),VLOOKUP($G483,'KO Calc'!$H:$AW,5,FALSE),VLOOKUP($G483,'KO Calc'!$H489:$AW489,5,FALSE)),
IF(AND($Q$1=TRUE,$S$1=TRUE,$S$4=TRUE)=TRUE,IF(OR($Q$4=TRUE,$Q$5=TRUE,$S$2=TRUE),VLOOKUP($G483,'KO Calc'!$H:$AW,20,FALSE),VLOOKUP($G483,'KO Calc'!$H489:$AW489,20,FALSE)),IF(AND($Q$1=TRUE,$S$4=TRUE),IF(OR($Q$4=TRUE,$Q$5=TRUE,$S$2=TRUE),VLOOKUP($G483,'KO Calc'!$H:$AW,10,FALSE),VLOOKUP($G483,'KO Calc'!$H489:$AW489,10,FALSE)),
IF(AND($S$3=TRUE,$S$1=TRUE,$S$4=FALSE)=TRUE,IF(OR($Q$4=TRUE,$Q$5=TRUE,$S$2=TRUE),VLOOKUP($G483,'KO Calc'!$H:$AW,35,FALSE),VLOOKUP($G483,'KO Calc'!$H489:$AW489,35,FALSE)),IF(AND($S$3=TRUE,$S$4=FALSE),IF(OR($Q$4=TRUE,$Q$5=TRUE,$S$2=TRUE),VLOOKUP($G483,'KO Calc'!$H:$AW,25,FALSE),VLOOKUP($G483,'KO Calc'!$H489:$AW489,25,FALSE)),
IF(AND($S$3=TRUE,$S$1=TRUE,$S$4=TRUE)=TRUE,IF(OR($Q$4=TRUE,$Q$5=TRUE,$S$2=TRUE),VLOOKUP($G483,'KO Calc'!$H:$AW,40,FALSE),VLOOKUP($G483,'KO Calc'!$H489:$AW489,40,FALSE)),IF(AND($S$3=TRUE,$S$4=TRUE),IF(OR($Q$4=TRUE,$Q$5=TRUE,$S$2=TRUE),VLOOKUP($G483,'KO Calc'!$H:$AW,30,FALSE),VLOOKUP($G483,'KO Calc'!$H489:$AW489,30,FALSE)))))))))))))</f>
        <v>-</v>
      </c>
      <c r="L483" s="36" t="str">
        <f>IFERROR(IF(AND($Q$1=FALSE,$S$3=FALSE),"-",VLOOKUP($E483,'Status Thresholds'!$E:$AU,43,FALSE)),"-")</f>
        <v>-</v>
      </c>
      <c r="M483" s="36" t="str">
        <f>IFERROR(IF(AND($Q$1=FALSE,$S$3=FALSE),"-",VLOOKUP($E483,'Status Thresholds'!$E:$AU,41,FALSE)),"-")</f>
        <v>-</v>
      </c>
      <c r="N483" s="36" t="str">
        <f>IFERROR(IF(AND($Q$1=FALSE,$S$3=FALSE),"-",VLOOKUP($E483,'Status Thresholds'!$E:$AU,42,FALSE)),"-")</f>
        <v>-</v>
      </c>
    </row>
    <row r="484" spans="1:14" x14ac:dyDescent="0.25">
      <c r="B484" s="64" t="str">
        <f>VLOOKUP(C484,'Status Thresholds'!B:C,2,FALSE)</f>
        <v>MHGen</v>
      </c>
      <c r="C484" s="46" t="str">
        <f>IF(ISBLANK('KO Calc'!C480)=TRUE,"",'KO Calc'!C480)</f>
        <v>Lagombi</v>
      </c>
      <c r="D484" s="78"/>
      <c r="E484" s="62" t="str">
        <f t="shared" si="13"/>
        <v>Lagombi</v>
      </c>
      <c r="F484" t="s">
        <v>11</v>
      </c>
      <c r="G484" s="36" t="str">
        <f t="shared" si="14"/>
        <v>LagombiCrag 1</v>
      </c>
      <c r="H484" s="36" t="str">
        <f>IF(AND($Q$1=FALSE,$S$3=FALSE),"-",IF(AND($Q$1=TRUE,$S$3=TRUE),"-",IF(AND($Q$1=FALSE,$S$3=FALSE),"-",IF(AND($Q$1=TRUE,$S$1=TRUE,$S$4=FALSE)=TRUE,IF(OR($Q$4=TRUE,$Q$5=TRUE,$S$2=TRUE),VLOOKUP($G484,'KO Calc'!$H:$AW,12,FALSE),VLOOKUP($G484,'KO Calc'!$H490:$AW490,12,FALSE)),IF(AND($Q$1=TRUE,$S$4=FALSE),IF(OR($Q$4=TRUE,$Q$5=TRUE,$S$2=TRUE),VLOOKUP($G484,'KO Calc'!$H:$AW,2,FALSE),VLOOKUP($G484,'KO Calc'!$H490:$AW490,2,FALSE)),
IF(AND($Q$1=TRUE,$S$1=TRUE,$S$4=TRUE)=TRUE,IF(OR($Q$4=TRUE,$Q$5=TRUE,$S$2=TRUE),VLOOKUP($G484,'KO Calc'!$H:$AW,17,FALSE),VLOOKUP($G484,'KO Calc'!$H490:$AW490,17,FALSE)),IF(AND($Q$1=TRUE,$S$4=TRUE),IF(OR($Q$4=TRUE,$Q$5=TRUE,$S$2=TRUE),VLOOKUP($G484,'KO Calc'!$H:$AW,7,FALSE),VLOOKUP($G484,'KO Calc'!$H490:$AW490,7,FALSE)),
IF(AND($S$3=TRUE,$S$1=TRUE,$S$4=FALSE)=TRUE,IF(OR($Q$4=TRUE,$Q$5=TRUE,$S$2=TRUE),VLOOKUP($G484,'KO Calc'!$H:$AW,32,FALSE),VLOOKUP($G484,'KO Calc'!$H490:$AW490,32,FALSE)),IF(AND($S$3=TRUE,$S$4=FALSE),IF(OR($Q$4=TRUE,$Q$5=TRUE,$S$2=TRUE),VLOOKUP($G484,'KO Calc'!$H:$AW,22,FALSE),VLOOKUP($G484,'KO Calc'!$H490:$AW490,22,FALSE)),
IF(AND($S$3=TRUE,$S$1=TRUE,$S$4=TRUE)=TRUE,IF(OR($Q$4=TRUE,$Q$5=TRUE,$S$2=TRUE),VLOOKUP($G484,'KO Calc'!$H:$AW,37,FALSE),VLOOKUP($G484,'KO Calc'!$H490:$AW490,37,FALSE)),IF(AND($S$3=TRUE,$S$4=TRUE),IF(OR($Q$4=TRUE,$Q$5=TRUE,$S$2=TRUE),VLOOKUP($G484,'KO Calc'!$H:$AW,27,FALSE),VLOOKUP($G484,'KO Calc'!$H490:$AW490,27,FALSE)))))))))))))</f>
        <v>-</v>
      </c>
      <c r="I484" s="36" t="str">
        <f>IF(AND($Q$1=FALSE,$S$3=FALSE),"-",IF(AND($Q$1=TRUE,$S$3=TRUE),"-",IF(AND($Q$1=FALSE,$S$3=FALSE),"-",IF(AND($Q$1=TRUE,$S$1=TRUE,$S$4=FALSE)=TRUE,IF(OR($Q$4=TRUE,$Q$5=TRUE,$S$2=TRUE),VLOOKUP($G484,'KO Calc'!$H:$AW,13,FALSE),VLOOKUP($G484,'KO Calc'!$H490:$AW490,13,FALSE)),IF(AND($Q$1=TRUE,$S$4=FALSE),IF(OR($Q$4=TRUE,$Q$5=TRUE,$S$2=TRUE),VLOOKUP($G484,'KO Calc'!$H:$AW,3,FALSE),VLOOKUP($G484,'KO Calc'!$H490:$AW490,3,FALSE)),
IF(AND($Q$1=TRUE,$S$1=TRUE,$S$4=TRUE)=TRUE,IF(OR($Q$4=TRUE,$Q$5=TRUE,$S$2=TRUE),VLOOKUP($G484,'KO Calc'!$H:$AW,18,FALSE),VLOOKUP($G484,'KO Calc'!$H490:$AW490,18,FALSE)),IF(AND($Q$1=TRUE,$S$4=TRUE),IF(OR($Q$4=TRUE,$Q$5=TRUE,$S$2=TRUE),VLOOKUP($G484,'KO Calc'!$H:$AW,8,FALSE),VLOOKUP($G484,'KO Calc'!$H490:$AW490,8,FALSE)),
IF(AND($S$3=TRUE,$S$1=TRUE,$S$4=FALSE)=TRUE,IF(OR($Q$4=TRUE,$Q$5=TRUE,$S$2=TRUE),VLOOKUP($G484,'KO Calc'!$H:$AW,33,FALSE),VLOOKUP($G484,'KO Calc'!$H490:$AW490,33,FALSE)),IF(AND($S$3=TRUE,$S$4=FALSE),IF(OR($Q$4=TRUE,$Q$5=TRUE,$S$2=TRUE),VLOOKUP($G484,'KO Calc'!$H:$AW,23,FALSE),VLOOKUP($G484,'KO Calc'!$H490:$AW490,23,FALSE)),
IF(AND($S$3=TRUE,$S$1=TRUE,$S$4=TRUE)=TRUE,IF(OR($Q$4=TRUE,$Q$5=TRUE,$S$2=TRUE),VLOOKUP($G484,'KO Calc'!$H:$AW,38,FALSE),VLOOKUP($G484,'KO Calc'!$H490:$AW490,38,FALSE)),IF(AND($S$3=TRUE,$S$4=TRUE),IF(OR($Q$4=TRUE,$Q$5=TRUE,$S$2=TRUE),VLOOKUP($G484,'KO Calc'!$H:$AW,28,FALSE),VLOOKUP($G484,'KO Calc'!$H490:$AW490,28,FALSE)))))))))))))</f>
        <v>-</v>
      </c>
      <c r="J484" s="36" t="str">
        <f>IF(AND($Q$1=FALSE,$S$3=FALSE),"-",IF(AND($Q$1=TRUE,$S$3=TRUE),"-",IF(AND($Q$1=FALSE,$S$3=FALSE),"-",IF(AND($Q$1=TRUE,$S$1=TRUE,$S$4=FALSE)=TRUE,IF(OR($Q$4=TRUE,$Q$5=TRUE,$S$2=TRUE),VLOOKUP($G484,'KO Calc'!$H:$AW,FALSE),VLOOKUP($G484,'KO Calc'!$H490:$AW490,14,FALSE)),IF(AND($Q$1=TRUE,$S$4=FALSE),IF(OR($Q$4=TRUE,$Q$5=TRUE,$S$2=TRUE),VLOOKUP($G484,'KO Calc'!$H:$AW,4,FALSE),VLOOKUP($G484,'KO Calc'!$H490:$AW490,4,FALSE)),
IF(AND($Q$1=TRUE,$S$1=TRUE,$S$4=TRUE)=TRUE,IF(OR($Q$4=TRUE,$Q$5=TRUE,$S$2=TRUE),VLOOKUP($G484,'KO Calc'!$H:$AW,19,FALSE),VLOOKUP($G484,'KO Calc'!$H490:$AW490,19,FALSE)),IF(AND($Q$1=TRUE,$S$4=TRUE),IF(OR($Q$4=TRUE,$Q$5=TRUE,$S$2=TRUE),VLOOKUP($G484,'KO Calc'!$H:$AW,9,FALSE),VLOOKUP($G484,'KO Calc'!$H490:$AW490,9,FALSE)),
IF(AND($S$3=TRUE,$S$1=TRUE,$S$4=FALSE)=TRUE,IF(OR($Q$4=TRUE,$Q$5=TRUE,$S$2=TRUE),VLOOKUP($G484,'KO Calc'!$H:$AW,34,FALSE),VLOOKUP($G484,'KO Calc'!$H490:$AW490,34,FALSE)),IF(AND($S$3=TRUE,$S$4=FALSE),IF(OR($Q$4=TRUE,$Q$5=TRUE,$S$2=TRUE),VLOOKUP($G484,'KO Calc'!$H:$AW,24,FALSE),VLOOKUP($G484,'KO Calc'!$H490:$AW490,24,FALSE)),
IF(AND($S$3=TRUE,$S$1=TRUE,$S$4=TRUE)=TRUE,IF(OR($Q$4=TRUE,$Q$5=TRUE,$S$2=TRUE),VLOOKUP($G484,'KO Calc'!$H:$AW,39,FALSE),VLOOKUP($G484,'KO Calc'!$H490:$AW490,39,FALSE)),IF(AND($S$3=TRUE,$S$4=TRUE),IF(OR($Q$4=TRUE,$Q$5=TRUE,$S$2=TRUE),VLOOKUP($G484,'KO Calc'!$H:$AW,29,FALSE),VLOOKUP($G484,'KO Calc'!$H490:$AW490,29,FALSE)))))))))))))</f>
        <v>-</v>
      </c>
      <c r="K484" s="36" t="str">
        <f>IF(AND($Q$1=FALSE,$S$3=FALSE),"-",IF(AND($Q$1=TRUE,$S$3=TRUE),"-",IF(AND($Q$1=FALSE,$S$3=FALSE),"-",IF(AND($Q$1=TRUE,$S$1=TRUE,$S$4=FALSE)=TRUE,IF(OR($Q$4=TRUE,$Q$5=TRUE,$S$2=TRUE),VLOOKUP($G484,'KO Calc'!$H:$AW,15,FALSE),VLOOKUP($G484,'KO Calc'!$H490:$AW490,15,FALSE)),IF(AND($Q$1=TRUE,$S$4=FALSE),IF(OR($Q$4=TRUE,$Q$5=TRUE,$S$2=TRUE),VLOOKUP($G484,'KO Calc'!$H:$AW,5,FALSE),VLOOKUP($G484,'KO Calc'!$H490:$AW490,5,FALSE)),
IF(AND($Q$1=TRUE,$S$1=TRUE,$S$4=TRUE)=TRUE,IF(OR($Q$4=TRUE,$Q$5=TRUE,$S$2=TRUE),VLOOKUP($G484,'KO Calc'!$H:$AW,20,FALSE),VLOOKUP($G484,'KO Calc'!$H490:$AW490,20,FALSE)),IF(AND($Q$1=TRUE,$S$4=TRUE),IF(OR($Q$4=TRUE,$Q$5=TRUE,$S$2=TRUE),VLOOKUP($G484,'KO Calc'!$H:$AW,10,FALSE),VLOOKUP($G484,'KO Calc'!$H490:$AW490,10,FALSE)),
IF(AND($S$3=TRUE,$S$1=TRUE,$S$4=FALSE)=TRUE,IF(OR($Q$4=TRUE,$Q$5=TRUE,$S$2=TRUE),VLOOKUP($G484,'KO Calc'!$H:$AW,35,FALSE),VLOOKUP($G484,'KO Calc'!$H490:$AW490,35,FALSE)),IF(AND($S$3=TRUE,$S$4=FALSE),IF(OR($Q$4=TRUE,$Q$5=TRUE,$S$2=TRUE),VLOOKUP($G484,'KO Calc'!$H:$AW,25,FALSE),VLOOKUP($G484,'KO Calc'!$H490:$AW490,25,FALSE)),
IF(AND($S$3=TRUE,$S$1=TRUE,$S$4=TRUE)=TRUE,IF(OR($Q$4=TRUE,$Q$5=TRUE,$S$2=TRUE),VLOOKUP($G484,'KO Calc'!$H:$AW,40,FALSE),VLOOKUP($G484,'KO Calc'!$H490:$AW490,40,FALSE)),IF(AND($S$3=TRUE,$S$4=TRUE),IF(OR($Q$4=TRUE,$Q$5=TRUE,$S$2=TRUE),VLOOKUP($G484,'KO Calc'!$H:$AW,30,FALSE),VLOOKUP($G484,'KO Calc'!$H490:$AW490,30,FALSE)))))))))))))</f>
        <v>-</v>
      </c>
      <c r="L484" s="36" t="str">
        <f>IFERROR(VLOOKUP($E484,'Status Thresholds'!$E:$AS,41,FALSE),"-")</f>
        <v>-</v>
      </c>
    </row>
    <row r="485" spans="1:14" x14ac:dyDescent="0.25">
      <c r="B485" s="64" t="str">
        <f>VLOOKUP(C485,'Status Thresholds'!B:C,2,FALSE)</f>
        <v>MHGen</v>
      </c>
      <c r="C485" s="46" t="str">
        <f>IF(ISBLANK('KO Calc'!C481)=TRUE,"",'KO Calc'!C481)</f>
        <v>Lagombi</v>
      </c>
      <c r="D485" s="78"/>
      <c r="E485" s="62"/>
      <c r="G485" s="36"/>
      <c r="L485" s="36" t="str">
        <f>IFERROR(VLOOKUP($E485,'Status Thresholds'!$E:$AS,41,FALSE),"-")</f>
        <v>-</v>
      </c>
    </row>
    <row r="486" spans="1:14" s="36" customFormat="1" x14ac:dyDescent="0.25">
      <c r="B486" s="64" t="str">
        <f>VLOOKUP(C486,'Status Thresholds'!B:C,2,FALSE)</f>
        <v>MHGU</v>
      </c>
      <c r="C486" s="46" t="str">
        <f>IF(ISBLANK('KO Calc'!C482)=TRUE,"",'KO Calc'!C482)</f>
        <v>Lao-Shan Long</v>
      </c>
      <c r="D486" s="65" t="s">
        <v>0</v>
      </c>
      <c r="E486" s="62" t="str">
        <f t="shared" si="13"/>
        <v>Lao-Shan LongPara</v>
      </c>
      <c r="F486" s="36" t="s">
        <v>2</v>
      </c>
      <c r="G486" s="36" t="str">
        <f t="shared" si="14"/>
        <v>Lao-Shan LongPara lvl 2</v>
      </c>
      <c r="H486" s="36" t="str">
        <f>IFERROR(ROUNDUP(IF(AND($Q$1=FALSE,$S$3=FALSE),"-",IF(AND($Q$1=TRUE,$S$3=TRUE),"-",IF(AND($Q$1=TRUE,$S$1=TRUE,$S$4=FALSE),VLOOKUP($E486,'Status Thresholds'!$E:$AS,12,FALSE),IF(AND($Q$1=TRUE,$S$4=FALSE),VLOOKUP($E486,'Status Thresholds'!$E:$AS,2,FALSE), IF(AND($Q$1=TRUE,$S$1=TRUE,$S$4=TRUE),VLOOKUP($E486,'Status Thresholds'!$E:$AS,17,FALSE),IF(AND($Q$1=TRUE,$S$4=TRUE),VLOOKUP($E486,'Status Thresholds'!$E:$AS,7,FALSE),IF(AND($S$3=TRUE,$S$1=TRUE,$S$4=FALSE),VLOOKUP($E486,'Status Thresholds'!$E:$AS,32,FALSE),IF(AND($S$3=TRUE,$S$4=FALSE),VLOOKUP($E486,'Status Thresholds'!$E:$AS,22,FALSE),IF(AND($S$3=TRUE,$S$1=TRUE,$S$4=TRUE),VLOOKUP($E486,'Status Thresholds'!$E:$AS,37,FALSE),IF(AND($S$3=TRUE,$S$4=TRUE),VLOOKUP($E486,'Status Thresholds'!$E:$AS,27,FALSE),""))))))))/IF(OR($Q$3=TRUE,AND($Q$2=TRUE,$Q$7=TRUE),AND($Q$3=TRUE,$Q$7=TRUE))=TRUE,'Shots and Status'!$F$5,IF((OR($Q$2,$Q$7)=TRUE),'Shots and Status'!$D$5,'Shots and Status'!$C$5)))),0),"-")</f>
        <v>-</v>
      </c>
      <c r="I486" s="36" t="str">
        <f>IFERROR(ROUNDUP(IF(AND($Q$1=FALSE,$S$3=FALSE),"-",IF(AND($Q$1=TRUE,$S$3=TRUE),"-",IF(AND($Q$1=TRUE,$S$1=TRUE,$S$4=FALSE),VLOOKUP($E486,'Status Thresholds'!$E:$AS,13,FALSE),IF(AND($Q$1=TRUE,$S$4=FALSE),VLOOKUP($E486,'Status Thresholds'!$E:$AS,3,FALSE), IF(AND($Q$1=TRUE,$S$1=TRUE,$S$4=TRUE),VLOOKUP($E486,'Status Thresholds'!$E:$AS,18,FALSE),IF(AND($Q$1=TRUE,$S$4=TRUE),VLOOKUP($E486,'Status Thresholds'!$E:$AS,8,FALSE),IF(AND($S$3=TRUE,$S$1=TRUE,$S$4=FALSE),VLOOKUP($E486,'Status Thresholds'!$E:$AS,33,FALSE),IF(AND($S$3=TRUE,$S$4=FALSE),VLOOKUP($E486,'Status Thresholds'!$E:$AS,23,FALSE),IF(AND($S$3=TRUE,$S$1=TRUE,$S$4=TRUE),VLOOKUP($E486,'Status Thresholds'!$E:$AS,38,FALSE),IF(AND($S$3=TRUE,$S$4=TRUE),VLOOKUP($E486,'Status Thresholds'!$E:$AS,28,FALSE),""))))))))/IF(OR($Q$3=TRUE,AND($Q$2=TRUE,$Q$7=TRUE),AND($Q$3=TRUE,$Q$7=TRUE))=TRUE,'Shots and Status'!$F$5,IF((OR($Q$2,$Q$7)=TRUE),'Shots and Status'!$D$5,'Shots and Status'!$C$5)))),0),"-")</f>
        <v>-</v>
      </c>
      <c r="J486" s="36" t="str">
        <f>IFERROR(ROUNDUP(IF(AND($Q$1=FALSE,$S$3=FALSE),"-",IF(AND($Q$1=TRUE,$S$3=TRUE),"-",IF(AND($Q$1=TRUE,$S$1=TRUE,$S$4=FALSE),VLOOKUP($E486,'Status Thresholds'!$E:$AS,14,FALSE),IF(AND($Q$1=TRUE,$S$4=FALSE),VLOOKUP($E486,'Status Thresholds'!$E:$AS,4,FALSE), IF(AND($Q$1=TRUE,$S$1=TRUE,$S$4=TRUE),VLOOKUP($E486,'Status Thresholds'!$E:$AS,19,FALSE),IF(AND($Q$1=TRUE,$S$4=TRUE),VLOOKUP($E486,'Status Thresholds'!$E:$AS,9,FALSE),IF(AND($S$3=TRUE,$S$1=TRUE,$S$4=FALSE),VLOOKUP($E486,'Status Thresholds'!$E:$AS,34,FALSE),IF(AND($S$3=TRUE,$S$4=FALSE),VLOOKUP($E486,'Status Thresholds'!$E:$AS,24,FALSE),IF(AND($S$3=TRUE,$S$1=TRUE,$S$4=TRUE),VLOOKUP($E486,'Status Thresholds'!$E:$AS,39,FALSE),IF(AND($S$3=TRUE,$S$4=TRUE),VLOOKUP($E486,'Status Thresholds'!$E:$AS,29,FALSE),""))))))))/IF(OR($Q$3=TRUE,AND($Q$2=TRUE,$Q$7=TRUE),AND($Q$3=TRUE,$Q$7=TRUE))=TRUE,'Shots and Status'!$F$5,IF((OR($Q$2,$Q$7)=TRUE),'Shots and Status'!$D$5,'Shots and Status'!$C$5)))),0),"-")</f>
        <v>-</v>
      </c>
      <c r="K486" s="36" t="str">
        <f>IFERROR(ROUNDUP(IF(AND($Q$1=FALSE,$S$3=FALSE),"-",IF(AND($Q$1=TRUE,$S$3=TRUE),"-",IF(AND($Q$1=TRUE,$S$1=TRUE,$S$4=FALSE),VLOOKUP($E486,'Status Thresholds'!$E:$AS,15,FALSE),IF(AND($Q$1=TRUE,$S$4=FALSE),VLOOKUP($E486,'Status Thresholds'!$E:$AS,5,FALSE), IF(AND($Q$1=TRUE,$S$1=TRUE,$S$4=TRUE),VLOOKUP($E486,'Status Thresholds'!$E:$AS,20,FALSE),IF(AND($Q$1=TRUE,$S$4=TRUE),VLOOKUP($E486,'Status Thresholds'!$E:$AS,10,FALSE),IF(AND($S$3=TRUE,$S$1=TRUE,$S$4=FALSE),VLOOKUP($E486,'Status Thresholds'!$E:$AS,35,FALSE),IF(AND($S$3=TRUE,$S$4=FALSE),VLOOKUP($E486,'Status Thresholds'!$E:$AS,25,FALSE),IF(AND($S$3=TRUE,$S$1=TRUE,$S$4=TRUE),VLOOKUP($E486,'Status Thresholds'!$E:$AS,40,FALSE),IF(AND($S$3=TRUE,$S$4=TRUE),VLOOKUP($E486,'Status Thresholds'!$E:$AS,30,FALSE),""))))))))/IF(OR($Q$3=TRUE,AND($Q$2=TRUE,$Q$7=TRUE),AND($Q$3=TRUE,$Q$7=TRUE))=TRUE,'Shots and Status'!$F$5,IF((OR($Q$2,$Q$7)=TRUE),'Shots and Status'!$D$5,'Shots and Status'!$C$5)))),0),"-")</f>
        <v>-</v>
      </c>
      <c r="L486" s="36" t="str">
        <f>IFERROR(IF(AND($Q$1=FALSE,$S$3=FALSE),"-",VLOOKUP($E486,'Status Thresholds'!$E:$AU,41,FALSE)),"-")</f>
        <v>-</v>
      </c>
      <c r="M486" s="36" t="str">
        <f>IFERROR(IF(AND($Q$1=FALSE,$S$3=FALSE),"-",VLOOKUP($E486,'Status Thresholds'!$E:$AU,42,FALSE)),"-")</f>
        <v>-</v>
      </c>
      <c r="N486" s="36" t="str">
        <f>IFERROR(IF(AND($Q$1=FALSE,$S$3=FALSE),"-",VLOOKUP($E486,'Status Thresholds'!$E:$AU,43,FALSE)),"-")</f>
        <v>-</v>
      </c>
    </row>
    <row r="487" spans="1:14" s="59" customFormat="1" x14ac:dyDescent="0.25">
      <c r="A487" s="46"/>
      <c r="B487" s="64" t="str">
        <f>VLOOKUP(C487,'Status Thresholds'!B:C,2,FALSE)</f>
        <v>MHGU</v>
      </c>
      <c r="C487" s="46" t="str">
        <f>IF(ISBLANK('KO Calc'!C483)=TRUE,"",'KO Calc'!C483)</f>
        <v>Lao-Shan Long</v>
      </c>
      <c r="D487" s="60" t="s">
        <v>32</v>
      </c>
      <c r="E487" s="62" t="str">
        <f t="shared" si="13"/>
        <v>Lao-Shan LongSleep</v>
      </c>
      <c r="F487" s="59" t="s">
        <v>5</v>
      </c>
      <c r="G487" s="36" t="str">
        <f t="shared" si="14"/>
        <v>Lao-Shan LongSleep lvl 2</v>
      </c>
      <c r="H487" s="36" t="str">
        <f>IFERROR(ROUNDUP(IF(AND($Q$1=FALSE,$S$3=FALSE),"-",IF(AND($Q$1=TRUE,$S$3=TRUE),"-",IF(AND($Q$1=TRUE,$S$1=TRUE,$S$4=FALSE),VLOOKUP($E487,'Status Thresholds'!$E:$AS,12,FALSE),IF(AND($Q$1=TRUE,$S$4=FALSE),VLOOKUP($E487,'Status Thresholds'!$E:$AS,2,FALSE), IF(AND($Q$1=TRUE,$S$1=TRUE,$S$4=TRUE),VLOOKUP($E487,'Status Thresholds'!$E:$AS,17,FALSE),IF(AND($Q$1=TRUE,$S$4=TRUE),VLOOKUP($E487,'Status Thresholds'!$E:$AS,7,FALSE),IF(AND($S$3=TRUE,$S$1=TRUE,$S$4=FALSE),VLOOKUP($E487,'Status Thresholds'!$E:$AS,32,FALSE),IF(AND($S$3=TRUE,$S$4=FALSE),VLOOKUP($E487,'Status Thresholds'!$E:$AS,22,FALSE),IF(AND($S$3=TRUE,$S$1=TRUE,$S$4=TRUE),VLOOKUP($E487,'Status Thresholds'!$E:$AS,37,FALSE),IF(AND($S$3=TRUE,$S$4=TRUE),VLOOKUP($E487,'Status Thresholds'!$E:$AS,27,FALSE),""))))))))/IF(OR($Q$3=TRUE,AND($Q$2=TRUE,$Q$7=TRUE),AND($Q$3=TRUE,$Q$7=TRUE))=TRUE,'Shots and Status'!$F$5,IF((OR($Q$2,$Q$7)=TRUE),'Shots and Status'!$D$5,'Shots and Status'!$C$5)))),0),"-")</f>
        <v>-</v>
      </c>
      <c r="I487" s="36" t="str">
        <f>IFERROR(ROUNDUP(IF(AND($Q$1=FALSE,$S$3=FALSE),"-",IF(AND($Q$1=TRUE,$S$3=TRUE),"-",IF(AND($Q$1=TRUE,$S$1=TRUE,$S$4=FALSE),VLOOKUP($E487,'Status Thresholds'!$E:$AS,13,FALSE),IF(AND($Q$1=TRUE,$S$4=FALSE),VLOOKUP($E487,'Status Thresholds'!$E:$AS,3,FALSE), IF(AND($Q$1=TRUE,$S$1=TRUE,$S$4=TRUE),VLOOKUP($E487,'Status Thresholds'!$E:$AS,18,FALSE),IF(AND($Q$1=TRUE,$S$4=TRUE),VLOOKUP($E487,'Status Thresholds'!$E:$AS,8,FALSE),IF(AND($S$3=TRUE,$S$1=TRUE,$S$4=FALSE),VLOOKUP($E487,'Status Thresholds'!$E:$AS,33,FALSE),IF(AND($S$3=TRUE,$S$4=FALSE),VLOOKUP($E487,'Status Thresholds'!$E:$AS,23,FALSE),IF(AND($S$3=TRUE,$S$1=TRUE,$S$4=TRUE),VLOOKUP($E487,'Status Thresholds'!$E:$AS,38,FALSE),IF(AND($S$3=TRUE,$S$4=TRUE),VLOOKUP($E487,'Status Thresholds'!$E:$AS,28,FALSE),""))))))))/IF(OR($Q$3=TRUE,AND($Q$2=TRUE,$Q$7=TRUE),AND($Q$3=TRUE,$Q$7=TRUE))=TRUE,'Shots and Status'!$F$5,IF((OR($Q$2,$Q$7)=TRUE),'Shots and Status'!$D$5,'Shots and Status'!$C$5)))),0),"-")</f>
        <v>-</v>
      </c>
      <c r="J487" s="36" t="str">
        <f>IFERROR(ROUNDUP(IF(AND($Q$1=FALSE,$S$3=FALSE),"-",IF(AND($Q$1=TRUE,$S$3=TRUE),"-",IF(AND($Q$1=TRUE,$S$1=TRUE,$S$4=FALSE),VLOOKUP($E487,'Status Thresholds'!$E:$AS,14,FALSE),IF(AND($Q$1=TRUE,$S$4=FALSE),VLOOKUP($E487,'Status Thresholds'!$E:$AS,4,FALSE), IF(AND($Q$1=TRUE,$S$1=TRUE,$S$4=TRUE),VLOOKUP($E487,'Status Thresholds'!$E:$AS,19,FALSE),IF(AND($Q$1=TRUE,$S$4=TRUE),VLOOKUP($E487,'Status Thresholds'!$E:$AS,9,FALSE),IF(AND($S$3=TRUE,$S$1=TRUE,$S$4=FALSE),VLOOKUP($E487,'Status Thresholds'!$E:$AS,34,FALSE),IF(AND($S$3=TRUE,$S$4=FALSE),VLOOKUP($E487,'Status Thresholds'!$E:$AS,24,FALSE),IF(AND($S$3=TRUE,$S$1=TRUE,$S$4=TRUE),VLOOKUP($E487,'Status Thresholds'!$E:$AS,39,FALSE),IF(AND($S$3=TRUE,$S$4=TRUE),VLOOKUP($E487,'Status Thresholds'!$E:$AS,29,FALSE),""))))))))/IF(OR($Q$3=TRUE,AND($Q$2=TRUE,$Q$7=TRUE),AND($Q$3=TRUE,$Q$7=TRUE))=TRUE,'Shots and Status'!$F$5,IF((OR($Q$2,$Q$7)=TRUE),'Shots and Status'!$D$5,'Shots and Status'!$C$5)))),0),"-")</f>
        <v>-</v>
      </c>
      <c r="K487" s="36" t="str">
        <f>IFERROR(ROUNDUP(IF(AND($Q$1=FALSE,$S$3=FALSE),"-",IF(AND($Q$1=TRUE,$S$3=TRUE),"-",IF(AND($Q$1=TRUE,$S$1=TRUE,$S$4=FALSE),VLOOKUP($E487,'Status Thresholds'!$E:$AS,15,FALSE),IF(AND($Q$1=TRUE,$S$4=FALSE),VLOOKUP($E487,'Status Thresholds'!$E:$AS,5,FALSE), IF(AND($Q$1=TRUE,$S$1=TRUE,$S$4=TRUE),VLOOKUP($E487,'Status Thresholds'!$E:$AS,20,FALSE),IF(AND($Q$1=TRUE,$S$4=TRUE),VLOOKUP($E487,'Status Thresholds'!$E:$AS,10,FALSE),IF(AND($S$3=TRUE,$S$1=TRUE,$S$4=FALSE),VLOOKUP($E487,'Status Thresholds'!$E:$AS,35,FALSE),IF(AND($S$3=TRUE,$S$4=FALSE),VLOOKUP($E487,'Status Thresholds'!$E:$AS,25,FALSE),IF(AND($S$3=TRUE,$S$1=TRUE,$S$4=TRUE),VLOOKUP($E487,'Status Thresholds'!$E:$AS,40,FALSE),IF(AND($S$3=TRUE,$S$4=TRUE),VLOOKUP($E487,'Status Thresholds'!$E:$AS,30,FALSE),""))))))))/IF(OR($Q$3=TRUE,AND($Q$2=TRUE,$Q$7=TRUE),AND($Q$3=TRUE,$Q$7=TRUE))=TRUE,'Shots and Status'!$F$5,IF((OR($Q$2,$Q$7)=TRUE),'Shots and Status'!$D$5,'Shots and Status'!$C$5)))),0),"-")</f>
        <v>-</v>
      </c>
      <c r="L487" s="36" t="str">
        <f>IFERROR(IF(AND($Q$1=FALSE,$S$3=FALSE),"-",VLOOKUP($E487,'Status Thresholds'!$E:$AU,41,FALSE)),"-")</f>
        <v>-</v>
      </c>
      <c r="M487" s="36" t="str">
        <f>IFERROR(IF(AND($Q$1=FALSE,$S$3=FALSE),"-",VLOOKUP($E487,'Status Thresholds'!$E:$AU,42,FALSE)),"-")</f>
        <v>-</v>
      </c>
      <c r="N487" s="36" t="str">
        <f>IFERROR(IF(AND($Q$1=FALSE,$S$3=FALSE),"-",VLOOKUP($E487,'Status Thresholds'!$E:$AU,43,FALSE)),"-")</f>
        <v>-</v>
      </c>
    </row>
    <row r="488" spans="1:14" s="59" customFormat="1" x14ac:dyDescent="0.25">
      <c r="A488" s="46"/>
      <c r="B488" s="64" t="str">
        <f>VLOOKUP(C488,'Status Thresholds'!B:C,2,FALSE)</f>
        <v>MHGU</v>
      </c>
      <c r="C488" s="46" t="str">
        <f>IF(ISBLANK('KO Calc'!C484)=TRUE,"",'KO Calc'!C484)</f>
        <v>Lao-Shan Long</v>
      </c>
      <c r="D488" s="58" t="s">
        <v>33</v>
      </c>
      <c r="E488" s="62" t="str">
        <f t="shared" si="13"/>
        <v>Lao-Shan LongPoison</v>
      </c>
      <c r="F488" s="59" t="s">
        <v>6</v>
      </c>
      <c r="G488" s="36" t="str">
        <f t="shared" si="14"/>
        <v>Lao-Shan LongPoison lvl 2</v>
      </c>
      <c r="H488" s="36" t="str">
        <f>IFERROR(ROUNDUP(IF(AND($Q$1=FALSE,$S$3=FALSE),"-",IF(AND($Q$1=TRUE,$S$3=TRUE),"-",IF(AND($Q$1=TRUE,$S$1=TRUE,$S$4=FALSE),VLOOKUP($E488,'Status Thresholds'!$E:$AS,12,FALSE),IF(AND($Q$1=TRUE,$S$4=FALSE),VLOOKUP($E488,'Status Thresholds'!$E:$AS,2,FALSE), IF(AND($Q$1=TRUE,$S$1=TRUE,$S$4=TRUE),VLOOKUP($E488,'Status Thresholds'!$E:$AS,17,FALSE),IF(AND($Q$1=TRUE,$S$4=TRUE),VLOOKUP($E488,'Status Thresholds'!$E:$AS,7,FALSE),IF(AND($S$3=TRUE,$S$1=TRUE,$S$4=FALSE),VLOOKUP($E488,'Status Thresholds'!$E:$AS,32,FALSE),IF(AND($S$3=TRUE,$S$4=FALSE),VLOOKUP($E488,'Status Thresholds'!$E:$AS,22,FALSE),IF(AND($S$3=TRUE,$S$1=TRUE,$S$4=TRUE),VLOOKUP($E488,'Status Thresholds'!$E:$AS,37,FALSE),IF(AND($S$3=TRUE,$S$4=TRUE),VLOOKUP($E488,'Status Thresholds'!$E:$AS,27,FALSE),""))))))))/IF(OR($Q$3=TRUE,AND($Q$2=TRUE,$Q$7=TRUE),AND($Q$3=TRUE,$Q$7=TRUE))=TRUE,'Shots and Status'!$F$5,IF((OR($Q$2,$Q$7)=TRUE),'Shots and Status'!$D$5,'Shots and Status'!$C$5)))),0),"-")</f>
        <v>-</v>
      </c>
      <c r="I488" s="36" t="str">
        <f>IFERROR(ROUNDUP(IF(AND($Q$1=FALSE,$S$3=FALSE),"-",IF(AND($Q$1=TRUE,$S$3=TRUE),"-",IF(AND($Q$1=TRUE,$S$1=TRUE,$S$4=FALSE),VLOOKUP($E488,'Status Thresholds'!$E:$AS,13,FALSE),IF(AND($Q$1=TRUE,$S$4=FALSE),VLOOKUP($E488,'Status Thresholds'!$E:$AS,3,FALSE), IF(AND($Q$1=TRUE,$S$1=TRUE,$S$4=TRUE),VLOOKUP($E488,'Status Thresholds'!$E:$AS,18,FALSE),IF(AND($Q$1=TRUE,$S$4=TRUE),VLOOKUP($E488,'Status Thresholds'!$E:$AS,8,FALSE),IF(AND($S$3=TRUE,$S$1=TRUE,$S$4=FALSE),VLOOKUP($E488,'Status Thresholds'!$E:$AS,33,FALSE),IF(AND($S$3=TRUE,$S$4=FALSE),VLOOKUP($E488,'Status Thresholds'!$E:$AS,23,FALSE),IF(AND($S$3=TRUE,$S$1=TRUE,$S$4=TRUE),VLOOKUP($E488,'Status Thresholds'!$E:$AS,38,FALSE),IF(AND($S$3=TRUE,$S$4=TRUE),VLOOKUP($E488,'Status Thresholds'!$E:$AS,28,FALSE),""))))))))/IF(OR($Q$3=TRUE,AND($Q$2=TRUE,$Q$7=TRUE),AND($Q$3=TRUE,$Q$7=TRUE))=TRUE,'Shots and Status'!$F$5,IF((OR($Q$2,$Q$7)=TRUE),'Shots and Status'!$D$5,'Shots and Status'!$C$5)))),0),"-")</f>
        <v>-</v>
      </c>
      <c r="J488" s="36" t="str">
        <f>IFERROR(ROUNDUP(IF(AND($Q$1=FALSE,$S$3=FALSE),"-",IF(AND($Q$1=TRUE,$S$3=TRUE),"-",IF(AND($Q$1=TRUE,$S$1=TRUE,$S$4=FALSE),VLOOKUP($E488,'Status Thresholds'!$E:$AS,14,FALSE),IF(AND($Q$1=TRUE,$S$4=FALSE),VLOOKUP($E488,'Status Thresholds'!$E:$AS,4,FALSE), IF(AND($Q$1=TRUE,$S$1=TRUE,$S$4=TRUE),VLOOKUP($E488,'Status Thresholds'!$E:$AS,19,FALSE),IF(AND($Q$1=TRUE,$S$4=TRUE),VLOOKUP($E488,'Status Thresholds'!$E:$AS,9,FALSE),IF(AND($S$3=TRUE,$S$1=TRUE,$S$4=FALSE),VLOOKUP($E488,'Status Thresholds'!$E:$AS,34,FALSE),IF(AND($S$3=TRUE,$S$4=FALSE),VLOOKUP($E488,'Status Thresholds'!$E:$AS,24,FALSE),IF(AND($S$3=TRUE,$S$1=TRUE,$S$4=TRUE),VLOOKUP($E488,'Status Thresholds'!$E:$AS,39,FALSE),IF(AND($S$3=TRUE,$S$4=TRUE),VLOOKUP($E488,'Status Thresholds'!$E:$AS,29,FALSE),""))))))))/IF(OR($Q$3=TRUE,AND($Q$2=TRUE,$Q$7=TRUE),AND($Q$3=TRUE,$Q$7=TRUE))=TRUE,'Shots and Status'!$F$5,IF((OR($Q$2,$Q$7)=TRUE),'Shots and Status'!$D$5,'Shots and Status'!$C$5)))),0),"-")</f>
        <v>-</v>
      </c>
      <c r="K488" s="36" t="str">
        <f>IFERROR(ROUNDUP(IF(AND($Q$1=FALSE,$S$3=FALSE),"-",IF(AND($Q$1=TRUE,$S$3=TRUE),"-",IF(AND($Q$1=TRUE,$S$1=TRUE,$S$4=FALSE),VLOOKUP($E488,'Status Thresholds'!$E:$AS,15,FALSE),IF(AND($Q$1=TRUE,$S$4=FALSE),VLOOKUP($E488,'Status Thresholds'!$E:$AS,5,FALSE), IF(AND($Q$1=TRUE,$S$1=TRUE,$S$4=TRUE),VLOOKUP($E488,'Status Thresholds'!$E:$AS,20,FALSE),IF(AND($Q$1=TRUE,$S$4=TRUE),VLOOKUP($E488,'Status Thresholds'!$E:$AS,10,FALSE),IF(AND($S$3=TRUE,$S$1=TRUE,$S$4=FALSE),VLOOKUP($E488,'Status Thresholds'!$E:$AS,35,FALSE),IF(AND($S$3=TRUE,$S$4=FALSE),VLOOKUP($E488,'Status Thresholds'!$E:$AS,25,FALSE),IF(AND($S$3=TRUE,$S$1=TRUE,$S$4=TRUE),VLOOKUP($E488,'Status Thresholds'!$E:$AS,40,FALSE),IF(AND($S$3=TRUE,$S$4=TRUE),VLOOKUP($E488,'Status Thresholds'!$E:$AS,30,FALSE),""))))))))/IF(OR($Q$3=TRUE,AND($Q$2=TRUE,$Q$7=TRUE),AND($Q$3=TRUE,$Q$7=TRUE))=TRUE,'Shots and Status'!$F$5,IF((OR($Q$2,$Q$7)=TRUE),'Shots and Status'!$D$5,'Shots and Status'!$C$5)))),0),"-")</f>
        <v>-</v>
      </c>
      <c r="L488" s="36" t="str">
        <f>IFERROR(IF(AND($Q$1=FALSE,$S$3=FALSE),"-",VLOOKUP($E488,'Status Thresholds'!$E:$AU,41,FALSE)),"-")</f>
        <v>-</v>
      </c>
      <c r="M488" s="36" t="str">
        <f>IFERROR(IF(AND($Q$1=FALSE,$S$3=FALSE),"-",VLOOKUP($E488,'Status Thresholds'!$E:$AU,42,FALSE)),"-")</f>
        <v>-</v>
      </c>
      <c r="N488" s="36" t="str">
        <f>IFERROR(IF(AND($Q$1=FALSE,$S$3=FALSE),"-",VLOOKUP($E488,'Status Thresholds'!$E:$AU,43,FALSE)),"-")</f>
        <v>-</v>
      </c>
    </row>
    <row r="489" spans="1:14" s="36" customFormat="1" x14ac:dyDescent="0.25">
      <c r="A489" s="46"/>
      <c r="B489" s="64" t="str">
        <f>VLOOKUP(C489,'Status Thresholds'!B:C,2,FALSE)</f>
        <v>MHGU</v>
      </c>
      <c r="C489" s="46" t="str">
        <f>IF(ISBLANK('KO Calc'!C485)=TRUE,"",'KO Calc'!C485)</f>
        <v>Lao-Shan Long</v>
      </c>
      <c r="D489" s="57" t="s">
        <v>22</v>
      </c>
      <c r="E489" s="62" t="str">
        <f t="shared" si="13"/>
        <v>Lao-Shan LongExhaust</v>
      </c>
      <c r="F489" s="36" t="s">
        <v>8</v>
      </c>
      <c r="G489" s="36" t="str">
        <f t="shared" si="14"/>
        <v>Lao-Shan LongExhaust lvl 2</v>
      </c>
      <c r="H489" s="36" t="str">
        <f>IFERROR(ROUNDUP(IF(AND($Q$1=FALSE,$S$3=FALSE),"-",IF(AND($Q$1=TRUE,$S$3=TRUE),"-",IF(AND($Q$1=TRUE,$S$1=TRUE,$S$4=FALSE),VLOOKUP($E489,'Status Thresholds'!$E:$AS,12,FALSE),IF(AND($Q$1=TRUE,$S$4=FALSE),VLOOKUP($E489,'Status Thresholds'!$E:$AS,2,FALSE), IF(AND($Q$1=TRUE,$S$1=TRUE,$S$4=TRUE),VLOOKUP($E489,'Status Thresholds'!$E:$AS,17,FALSE),IF(AND($Q$1=TRUE,$S$4=TRUE),VLOOKUP($E489,'Status Thresholds'!$E:$AS,7,FALSE),IF(AND($S$3=TRUE,$S$1=TRUE,$S$4=FALSE),VLOOKUP($E489,'Status Thresholds'!$E:$AS,32,FALSE),IF(AND($S$3=TRUE,$S$4=FALSE),VLOOKUP($E489,'Status Thresholds'!$E:$AS,22,FALSE),IF(AND($S$3=TRUE,$S$1=TRUE,$S$4=TRUE),VLOOKUP($E489,'Status Thresholds'!$E:$AS,37,FALSE),IF(AND($S$3=TRUE,$S$4=TRUE),VLOOKUP($E489,'Status Thresholds'!$E:$AS,27,FALSE),""))))))))/IF(OR($Q$3=TRUE,AND($Q$2=TRUE,$Q$7=TRUE),AND($Q$3=TRUE,$Q$7=TRUE))=TRUE,'Shots and Status'!$F$5,IF((OR($Q$2,$Q$7)=TRUE),'Shots and Status'!$D$5,'Shots and Status'!$C$5)))),0),"-")</f>
        <v>-</v>
      </c>
      <c r="I489" s="36" t="str">
        <f>IFERROR(ROUNDUP(IF(AND($Q$1=FALSE,$S$3=FALSE),"-",IF(AND($Q$1=TRUE,$S$3=TRUE),"-",IF(AND($Q$1=TRUE,$S$1=TRUE,$S$4=FALSE),VLOOKUP($E489,'Status Thresholds'!$E:$AS,13,FALSE),IF(AND($Q$1=TRUE,$S$4=FALSE),VLOOKUP($E489,'Status Thresholds'!$E:$AS,3,FALSE), IF(AND($Q$1=TRUE,$S$1=TRUE,$S$4=TRUE),VLOOKUP($E489,'Status Thresholds'!$E:$AS,18,FALSE),IF(AND($Q$1=TRUE,$S$4=TRUE),VLOOKUP($E489,'Status Thresholds'!$E:$AS,8,FALSE),IF(AND($S$3=TRUE,$S$1=TRUE,$S$4=FALSE),VLOOKUP($E489,'Status Thresholds'!$E:$AS,33,FALSE),IF(AND($S$3=TRUE,$S$4=FALSE),VLOOKUP($E489,'Status Thresholds'!$E:$AS,23,FALSE),IF(AND($S$3=TRUE,$S$1=TRUE,$S$4=TRUE),VLOOKUP($E489,'Status Thresholds'!$E:$AS,38,FALSE),IF(AND($S$3=TRUE,$S$4=TRUE),VLOOKUP($E489,'Status Thresholds'!$E:$AS,28,FALSE),""))))))))/IF(OR($Q$3=TRUE,AND($Q$2=TRUE,$Q$7=TRUE),AND($Q$3=TRUE,$Q$7=TRUE))=TRUE,'Shots and Status'!$F$5,IF((OR($Q$2,$Q$7)=TRUE),'Shots and Status'!$D$5,'Shots and Status'!$C$5)))),0),"-")</f>
        <v>-</v>
      </c>
      <c r="J489" s="36" t="str">
        <f>IFERROR(ROUNDUP(IF(AND($Q$1=FALSE,$S$3=FALSE),"-",IF(AND($Q$1=TRUE,$S$3=TRUE),"-",IF(AND($Q$1=TRUE,$S$1=TRUE,$S$4=FALSE),VLOOKUP($E489,'Status Thresholds'!$E:$AS,14,FALSE),IF(AND($Q$1=TRUE,$S$4=FALSE),VLOOKUP($E489,'Status Thresholds'!$E:$AS,4,FALSE), IF(AND($Q$1=TRUE,$S$1=TRUE,$S$4=TRUE),VLOOKUP($E489,'Status Thresholds'!$E:$AS,19,FALSE),IF(AND($Q$1=TRUE,$S$4=TRUE),VLOOKUP($E489,'Status Thresholds'!$E:$AS,9,FALSE),IF(AND($S$3=TRUE,$S$1=TRUE,$S$4=FALSE),VLOOKUP($E489,'Status Thresholds'!$E:$AS,34,FALSE),IF(AND($S$3=TRUE,$S$4=FALSE),VLOOKUP($E489,'Status Thresholds'!$E:$AS,24,FALSE),IF(AND($S$3=TRUE,$S$1=TRUE,$S$4=TRUE),VLOOKUP($E489,'Status Thresholds'!$E:$AS,39,FALSE),IF(AND($S$3=TRUE,$S$4=TRUE),VLOOKUP($E489,'Status Thresholds'!$E:$AS,29,FALSE),""))))))))/IF(OR($Q$3=TRUE,AND($Q$2=TRUE,$Q$7=TRUE),AND($Q$3=TRUE,$Q$7=TRUE))=TRUE,'Shots and Status'!$F$5,IF((OR($Q$2,$Q$7)=TRUE),'Shots and Status'!$D$5,'Shots and Status'!$C$5)))),0),"-")</f>
        <v>-</v>
      </c>
      <c r="K489" s="36" t="str">
        <f>IFERROR(ROUNDUP(IF(AND($Q$1=FALSE,$S$3=FALSE),"-",IF(AND($Q$1=TRUE,$S$3=TRUE),"-",IF(AND($Q$1=TRUE,$S$1=TRUE,$S$4=FALSE),VLOOKUP($E489,'Status Thresholds'!$E:$AS,15,FALSE),IF(AND($Q$1=TRUE,$S$4=FALSE),VLOOKUP($E489,'Status Thresholds'!$E:$AS,5,FALSE), IF(AND($Q$1=TRUE,$S$1=TRUE,$S$4=TRUE),VLOOKUP($E489,'Status Thresholds'!$E:$AS,20,FALSE),IF(AND($Q$1=TRUE,$S$4=TRUE),VLOOKUP($E489,'Status Thresholds'!$E:$AS,10,FALSE),IF(AND($S$3=TRUE,$S$1=TRUE,$S$4=FALSE),VLOOKUP($E489,'Status Thresholds'!$E:$AS,35,FALSE),IF(AND($S$3=TRUE,$S$4=FALSE),VLOOKUP($E489,'Status Thresholds'!$E:$AS,25,FALSE),IF(AND($S$3=TRUE,$S$1=TRUE,$S$4=TRUE),VLOOKUP($E489,'Status Thresholds'!$E:$AS,40,FALSE),IF(AND($S$3=TRUE,$S$4=TRUE),VLOOKUP($E489,'Status Thresholds'!$E:$AS,30,FALSE),""))))))))/IF(OR($Q$3=TRUE,AND($Q$2=TRUE,$Q$7=TRUE),AND($Q$3=TRUE,$Q$7=TRUE))=TRUE,'Shots and Status'!$F$5,IF((OR($Q$2,$Q$7)=TRUE),'Shots and Status'!$D$5,'Shots and Status'!$C$5)))),0),"-")</f>
        <v>-</v>
      </c>
      <c r="L489" s="36" t="str">
        <f>IFERROR(IF(AND($Q$1=FALSE,$S$3=FALSE),"-",VLOOKUP($E489,'Status Thresholds'!$E:$AU,41,FALSE)),"-")</f>
        <v>-</v>
      </c>
      <c r="M489" s="36" t="str">
        <f>IFERROR(IF(AND($Q$1=FALSE,$S$3=FALSE),"-",VLOOKUP($E489,'Status Thresholds'!$E:$AU,42,FALSE)),"-")</f>
        <v>-</v>
      </c>
      <c r="N489" s="36" t="str">
        <f>IFERROR(IF(AND($Q$1=FALSE,$S$3=FALSE),"-",VLOOKUP($E489,'Status Thresholds'!$E:$AU,43,FALSE)),"-")</f>
        <v>-</v>
      </c>
    </row>
    <row r="490" spans="1:14" s="36" customFormat="1" x14ac:dyDescent="0.25">
      <c r="A490" s="46"/>
      <c r="B490" s="64" t="str">
        <f>VLOOKUP(C490,'Status Thresholds'!B:C,2,FALSE)</f>
        <v>MHGU</v>
      </c>
      <c r="C490" s="46" t="str">
        <f>IF(ISBLANK('KO Calc'!C486)=TRUE,"",'KO Calc'!C486)</f>
        <v>Lao-Shan Long</v>
      </c>
      <c r="D490" s="67" t="s">
        <v>14</v>
      </c>
      <c r="E490" s="62" t="str">
        <f t="shared" si="13"/>
        <v>Lao-Shan LongKO</v>
      </c>
      <c r="F490" s="36" t="s">
        <v>21</v>
      </c>
      <c r="G490" s="36" t="str">
        <f t="shared" si="14"/>
        <v>Lao-Shan LongTriblast</v>
      </c>
      <c r="H490" s="36" t="str">
        <f>IF(AND($Q$1=FALSE,$S$3=FALSE),"-",IF(AND($Q$1=TRUE,$S$3=TRUE),"-",IF(AND($Q$1=FALSE,$S$3=FALSE),"-",IF(AND($Q$1=TRUE,$S$1=TRUE,$S$4=FALSE)=TRUE,IF(OR($Q$4=TRUE,$Q$5=TRUE,$S$2=TRUE),VLOOKUP($G490,'KO Calc'!$H:$AW,12,FALSE),VLOOKUP($G490,'KO Calc'!$H496:$AW496,12,FALSE)),IF(AND($Q$1=TRUE,$S$4=FALSE),IF(OR($Q$4=TRUE,$Q$5=TRUE,$S$2=TRUE),VLOOKUP($G490,'KO Calc'!$H:$AW,2,FALSE),VLOOKUP($G490,'KO Calc'!$H496:$AW496,2,FALSE)),
IF(AND($Q$1=TRUE,$S$1=TRUE,$S$4=TRUE)=TRUE,IF(OR($Q$4=TRUE,$Q$5=TRUE,$S$2=TRUE),VLOOKUP($G490,'KO Calc'!$H:$AW,17,FALSE),VLOOKUP($G490,'KO Calc'!$H496:$AW496,17,FALSE)),IF(AND($Q$1=TRUE,$S$4=TRUE),IF(OR($Q$4=TRUE,$Q$5=TRUE,$S$2=TRUE),VLOOKUP($G490,'KO Calc'!$H:$AW,7,FALSE),VLOOKUP($G490,'KO Calc'!$H496:$AW496,7,FALSE)),
IF(AND($S$3=TRUE,$S$1=TRUE,$S$4=FALSE)=TRUE,IF(OR($Q$4=TRUE,$Q$5=TRUE,$S$2=TRUE),VLOOKUP($G490,'KO Calc'!$H:$AW,32,FALSE),VLOOKUP($G490,'KO Calc'!$H496:$AW496,32,FALSE)),IF(AND($S$3=TRUE,$S$4=FALSE),IF(OR($Q$4=TRUE,$Q$5=TRUE,$S$2=TRUE),VLOOKUP($G490,'KO Calc'!$H:$AW,22,FALSE),VLOOKUP($G490,'KO Calc'!$H496:$AW496,22,FALSE)),
IF(AND($S$3=TRUE,$S$1=TRUE,$S$4=TRUE)=TRUE,IF(OR($Q$4=TRUE,$Q$5=TRUE,$S$2=TRUE),VLOOKUP($G490,'KO Calc'!$H:$AW,37,FALSE),VLOOKUP($G490,'KO Calc'!$H496:$AW496,37,FALSE)),IF(AND($S$3=TRUE,$S$4=TRUE),IF(OR($Q$4=TRUE,$Q$5=TRUE,$S$2=TRUE),VLOOKUP($G490,'KO Calc'!$H:$AW,27,FALSE),VLOOKUP($G490,'KO Calc'!$H496:$AW496,27,FALSE)))))))))))))</f>
        <v>-</v>
      </c>
      <c r="I490" s="36" t="str">
        <f>IF(AND($Q$1=FALSE,$S$3=FALSE),"-",IF(AND($Q$1=TRUE,$S$3=TRUE),"-",IF(AND($Q$1=FALSE,$S$3=FALSE),"-",IF(AND($Q$1=TRUE,$S$1=TRUE,$S$4=FALSE)=TRUE,IF(OR($Q$4=TRUE,$Q$5=TRUE,$S$2=TRUE),VLOOKUP($G490,'KO Calc'!$H:$AW,13,FALSE),VLOOKUP($G490,'KO Calc'!$H496:$AW496,13,FALSE)),IF(AND($Q$1=TRUE,$S$4=FALSE),IF(OR($Q$4=TRUE,$Q$5=TRUE,$S$2=TRUE),VLOOKUP($G490,'KO Calc'!$H:$AW,3,FALSE),VLOOKUP($G490,'KO Calc'!$H496:$AW496,3,FALSE)),
IF(AND($Q$1=TRUE,$S$1=TRUE,$S$4=TRUE)=TRUE,IF(OR($Q$4=TRUE,$Q$5=TRUE,$S$2=TRUE),VLOOKUP($G490,'KO Calc'!$H:$AW,18,FALSE),VLOOKUP($G490,'KO Calc'!$H496:$AW496,18,FALSE)),IF(AND($Q$1=TRUE,$S$4=TRUE),IF(OR($Q$4=TRUE,$Q$5=TRUE,$S$2=TRUE),VLOOKUP($G490,'KO Calc'!$H:$AW,8,FALSE),VLOOKUP($G490,'KO Calc'!$H496:$AW496,8,FALSE)),
IF(AND($S$3=TRUE,$S$1=TRUE,$S$4=FALSE)=TRUE,IF(OR($Q$4=TRUE,$Q$5=TRUE,$S$2=TRUE),VLOOKUP($G490,'KO Calc'!$H:$AW,33,FALSE),VLOOKUP($G490,'KO Calc'!$H496:$AW496,33,FALSE)),IF(AND($S$3=TRUE,$S$4=FALSE),IF(OR($Q$4=TRUE,$Q$5=TRUE,$S$2=TRUE),VLOOKUP($G490,'KO Calc'!$H:$AW,23,FALSE),VLOOKUP($G490,'KO Calc'!$H496:$AW496,23,FALSE)),
IF(AND($S$3=TRUE,$S$1=TRUE,$S$4=TRUE)=TRUE,IF(OR($Q$4=TRUE,$Q$5=TRUE,$S$2=TRUE),VLOOKUP($G490,'KO Calc'!$H:$AW,38,FALSE),VLOOKUP($G490,'KO Calc'!$H496:$AW496,38,FALSE)),IF(AND($S$3=TRUE,$S$4=TRUE),IF(OR($Q$4=TRUE,$Q$5=TRUE,$S$2=TRUE),VLOOKUP($G490,'KO Calc'!$H:$AW,28,FALSE),VLOOKUP($G490,'KO Calc'!$H496:$AW496,28,FALSE)))))))))))))</f>
        <v>-</v>
      </c>
      <c r="J490" s="36" t="str">
        <f>IF(AND($Q$1=FALSE,$S$3=FALSE),"-",IF(AND($Q$1=TRUE,$S$3=TRUE),"-",IF(AND($Q$1=FALSE,$S$3=FALSE),"-",IF(AND($Q$1=TRUE,$S$1=TRUE,$S$4=FALSE)=TRUE,IF(OR($Q$4=TRUE,$Q$5=TRUE,$S$2=TRUE),VLOOKUP($G490,'KO Calc'!$H:$AW,FALSE),VLOOKUP($G490,'KO Calc'!$H496:$AW496,14,FALSE)),IF(AND($Q$1=TRUE,$S$4=FALSE),IF(OR($Q$4=TRUE,$Q$5=TRUE,$S$2=TRUE),VLOOKUP($G490,'KO Calc'!$H:$AW,4,FALSE),VLOOKUP($G490,'KO Calc'!$H496:$AW496,4,FALSE)),
IF(AND($Q$1=TRUE,$S$1=TRUE,$S$4=TRUE)=TRUE,IF(OR($Q$4=TRUE,$Q$5=TRUE,$S$2=TRUE),VLOOKUP($G490,'KO Calc'!$H:$AW,19,FALSE),VLOOKUP($G490,'KO Calc'!$H496:$AW496,19,FALSE)),IF(AND($Q$1=TRUE,$S$4=TRUE),IF(OR($Q$4=TRUE,$Q$5=TRUE,$S$2=TRUE),VLOOKUP($G490,'KO Calc'!$H:$AW,9,FALSE),VLOOKUP($G490,'KO Calc'!$H496:$AW496,9,FALSE)),
IF(AND($S$3=TRUE,$S$1=TRUE,$S$4=FALSE)=TRUE,IF(OR($Q$4=TRUE,$Q$5=TRUE,$S$2=TRUE),VLOOKUP($G490,'KO Calc'!$H:$AW,34,FALSE),VLOOKUP($G490,'KO Calc'!$H496:$AW496,34,FALSE)),IF(AND($S$3=TRUE,$S$4=FALSE),IF(OR($Q$4=TRUE,$Q$5=TRUE,$S$2=TRUE),VLOOKUP($G490,'KO Calc'!$H:$AW,24,FALSE),VLOOKUP($G490,'KO Calc'!$H496:$AW496,24,FALSE)),
IF(AND($S$3=TRUE,$S$1=TRUE,$S$4=TRUE)=TRUE,IF(OR($Q$4=TRUE,$Q$5=TRUE,$S$2=TRUE),VLOOKUP($G490,'KO Calc'!$H:$AW,39,FALSE),VLOOKUP($G490,'KO Calc'!$H496:$AW496,39,FALSE)),IF(AND($S$3=TRUE,$S$4=TRUE),IF(OR($Q$4=TRUE,$Q$5=TRUE,$S$2=TRUE),VLOOKUP($G490,'KO Calc'!$H:$AW,29,FALSE),VLOOKUP($G490,'KO Calc'!$H496:$AW496,29,FALSE)))))))))))))</f>
        <v>-</v>
      </c>
      <c r="K490" s="36" t="str">
        <f>IF(AND($Q$1=FALSE,$S$3=FALSE),"-",IF(AND($Q$1=TRUE,$S$3=TRUE),"-",IF(AND($Q$1=FALSE,$S$3=FALSE),"-",IF(AND($Q$1=TRUE,$S$1=TRUE,$S$4=FALSE)=TRUE,IF(OR($Q$4=TRUE,$Q$5=TRUE,$S$2=TRUE),VLOOKUP($G490,'KO Calc'!$H:$AW,15,FALSE),VLOOKUP($G490,'KO Calc'!$H496:$AW496,15,FALSE)),IF(AND($Q$1=TRUE,$S$4=FALSE),IF(OR($Q$4=TRUE,$Q$5=TRUE,$S$2=TRUE),VLOOKUP($G490,'KO Calc'!$H:$AW,5,FALSE),VLOOKUP($G490,'KO Calc'!$H496:$AW496,5,FALSE)),
IF(AND($Q$1=TRUE,$S$1=TRUE,$S$4=TRUE)=TRUE,IF(OR($Q$4=TRUE,$Q$5=TRUE,$S$2=TRUE),VLOOKUP($G490,'KO Calc'!$H:$AW,20,FALSE),VLOOKUP($G490,'KO Calc'!$H496:$AW496,20,FALSE)),IF(AND($Q$1=TRUE,$S$4=TRUE),IF(OR($Q$4=TRUE,$Q$5=TRUE,$S$2=TRUE),VLOOKUP($G490,'KO Calc'!$H:$AW,10,FALSE),VLOOKUP($G490,'KO Calc'!$H496:$AW496,10,FALSE)),
IF(AND($S$3=TRUE,$S$1=TRUE,$S$4=FALSE)=TRUE,IF(OR($Q$4=TRUE,$Q$5=TRUE,$S$2=TRUE),VLOOKUP($G490,'KO Calc'!$H:$AW,35,FALSE),VLOOKUP($G490,'KO Calc'!$H496:$AW496,35,FALSE)),IF(AND($S$3=TRUE,$S$4=FALSE),IF(OR($Q$4=TRUE,$Q$5=TRUE,$S$2=TRUE),VLOOKUP($G490,'KO Calc'!$H:$AW,25,FALSE),VLOOKUP($G490,'KO Calc'!$H496:$AW496,25,FALSE)),
IF(AND($S$3=TRUE,$S$1=TRUE,$S$4=TRUE)=TRUE,IF(OR($Q$4=TRUE,$Q$5=TRUE,$S$2=TRUE),VLOOKUP($G490,'KO Calc'!$H:$AW,40,FALSE),VLOOKUP($G490,'KO Calc'!$H496:$AW496,40,FALSE)),IF(AND($S$3=TRUE,$S$4=TRUE),IF(OR($Q$4=TRUE,$Q$5=TRUE,$S$2=TRUE),VLOOKUP($G490,'KO Calc'!$H:$AW,30,FALSE),VLOOKUP($G490,'KO Calc'!$H496:$AW496,30,FALSE)))))))))))))</f>
        <v>-</v>
      </c>
      <c r="L490" s="36" t="str">
        <f>IFERROR(IF(AND($Q$1=FALSE,$S$3=FALSE),"-",VLOOKUP($E490,'Status Thresholds'!$E:$AU,41,FALSE)),"-")</f>
        <v>-</v>
      </c>
      <c r="M490" s="36" t="str">
        <f>IFERROR(IF(AND($Q$1=FALSE,$S$3=FALSE),"-",VLOOKUP($E490,'Status Thresholds'!$E:$AU,42,FALSE)),"-")</f>
        <v>-</v>
      </c>
      <c r="N490" s="36" t="str">
        <f>IFERROR(IF(AND($Q$1=FALSE,$S$3=FALSE),"-",VLOOKUP($E490,'Status Thresholds'!$E:$AU,43,FALSE)),"-")</f>
        <v>-</v>
      </c>
    </row>
    <row r="491" spans="1:14" x14ac:dyDescent="0.25">
      <c r="B491" s="64" t="str">
        <f>VLOOKUP(C491,'Status Thresholds'!B:C,2,FALSE)</f>
        <v>MHGU</v>
      </c>
      <c r="C491" s="46" t="str">
        <f>IF(ISBLANK('KO Calc'!C487)=TRUE,"",'KO Calc'!C487)</f>
        <v>Lao-Shan Long</v>
      </c>
      <c r="D491" s="78" t="s">
        <v>207</v>
      </c>
      <c r="E491" s="62" t="str">
        <f t="shared" si="13"/>
        <v>Lao-Shan LongShock Trap</v>
      </c>
      <c r="F491" t="s">
        <v>13</v>
      </c>
      <c r="G491" s="36" t="str">
        <f t="shared" si="14"/>
        <v>Lao-Shan LongCrag 3</v>
      </c>
      <c r="H491" s="36" t="str">
        <f>IF(AND($Q$1=FALSE,$S$3=FALSE),"-",IF(AND($Q$1=TRUE,$S$3=TRUE),"-",IF(AND($Q$1=FALSE,$S$3=FALSE),"-",IF(AND($Q$1=TRUE,$S$1=TRUE,$S$4=FALSE)=TRUE,IF(OR($Q$4=TRUE,$Q$5=TRUE,$S$2=TRUE),VLOOKUP($G491,'KO Calc'!$H:$AW,12,FALSE),VLOOKUP($G491,'KO Calc'!$H497:$AW497,12,FALSE)),IF(AND($Q$1=TRUE,$S$4=FALSE),IF(OR($Q$4=TRUE,$Q$5=TRUE,$S$2=TRUE),VLOOKUP($G491,'KO Calc'!$H:$AW,2,FALSE),VLOOKUP($G491,'KO Calc'!$H497:$AW497,2,FALSE)),
IF(AND($Q$1=TRUE,$S$1=TRUE,$S$4=TRUE)=TRUE,IF(OR($Q$4=TRUE,$Q$5=TRUE,$S$2=TRUE),VLOOKUP($G491,'KO Calc'!$H:$AW,17,FALSE),VLOOKUP($G491,'KO Calc'!$H497:$AW497,17,FALSE)),IF(AND($Q$1=TRUE,$S$4=TRUE),IF(OR($Q$4=TRUE,$Q$5=TRUE,$S$2=TRUE),VLOOKUP($G491,'KO Calc'!$H:$AW,7,FALSE),VLOOKUP($G491,'KO Calc'!$H497:$AW497,7,FALSE)),
IF(AND($S$3=TRUE,$S$1=TRUE,$S$4=FALSE)=TRUE,IF(OR($Q$4=TRUE,$Q$5=TRUE,$S$2=TRUE),VLOOKUP($G491,'KO Calc'!$H:$AW,32,FALSE),VLOOKUP($G491,'KO Calc'!$H497:$AW497,32,FALSE)),IF(AND($S$3=TRUE,$S$4=FALSE),IF(OR($Q$4=TRUE,$Q$5=TRUE,$S$2=TRUE),VLOOKUP($G491,'KO Calc'!$H:$AW,22,FALSE),VLOOKUP($G491,'KO Calc'!$H497:$AW497,22,FALSE)),
IF(AND($S$3=TRUE,$S$1=TRUE,$S$4=TRUE)=TRUE,IF(OR($Q$4=TRUE,$Q$5=TRUE,$S$2=TRUE),VLOOKUP($G491,'KO Calc'!$H:$AW,37,FALSE),VLOOKUP($G491,'KO Calc'!$H497:$AW497,37,FALSE)),IF(AND($S$3=TRUE,$S$4=TRUE),IF(OR($Q$4=TRUE,$Q$5=TRUE,$S$2=TRUE),VLOOKUP($G491,'KO Calc'!$H:$AW,27,FALSE),VLOOKUP($G491,'KO Calc'!$H497:$AW497,27,FALSE)))))))))))))</f>
        <v>-</v>
      </c>
      <c r="I491" s="36" t="str">
        <f>IF(AND($Q$1=FALSE,$S$3=FALSE),"-",IF(AND($Q$1=TRUE,$S$3=TRUE),"-",IF(AND($Q$1=FALSE,$S$3=FALSE),"-",IF(AND($Q$1=TRUE,$S$1=TRUE,$S$4=FALSE)=TRUE,IF(OR($Q$4=TRUE,$Q$5=TRUE,$S$2=TRUE),VLOOKUP($G491,'KO Calc'!$H:$AW,13,FALSE),VLOOKUP($G491,'KO Calc'!$H497:$AW497,13,FALSE)),IF(AND($Q$1=TRUE,$S$4=FALSE),IF(OR($Q$4=TRUE,$Q$5=TRUE,$S$2=TRUE),VLOOKUP($G491,'KO Calc'!$H:$AW,3,FALSE),VLOOKUP($G491,'KO Calc'!$H497:$AW497,3,FALSE)),
IF(AND($Q$1=TRUE,$S$1=TRUE,$S$4=TRUE)=TRUE,IF(OR($Q$4=TRUE,$Q$5=TRUE,$S$2=TRUE),VLOOKUP($G491,'KO Calc'!$H:$AW,18,FALSE),VLOOKUP($G491,'KO Calc'!$H497:$AW497,18,FALSE)),IF(AND($Q$1=TRUE,$S$4=TRUE),IF(OR($Q$4=TRUE,$Q$5=TRUE,$S$2=TRUE),VLOOKUP($G491,'KO Calc'!$H:$AW,8,FALSE),VLOOKUP($G491,'KO Calc'!$H497:$AW497,8,FALSE)),
IF(AND($S$3=TRUE,$S$1=TRUE,$S$4=FALSE)=TRUE,IF(OR($Q$4=TRUE,$Q$5=TRUE,$S$2=TRUE),VLOOKUP($G491,'KO Calc'!$H:$AW,33,FALSE),VLOOKUP($G491,'KO Calc'!$H497:$AW497,33,FALSE)),IF(AND($S$3=TRUE,$S$4=FALSE),IF(OR($Q$4=TRUE,$Q$5=TRUE,$S$2=TRUE),VLOOKUP($G491,'KO Calc'!$H:$AW,23,FALSE),VLOOKUP($G491,'KO Calc'!$H497:$AW497,23,FALSE)),
IF(AND($S$3=TRUE,$S$1=TRUE,$S$4=TRUE)=TRUE,IF(OR($Q$4=TRUE,$Q$5=TRUE,$S$2=TRUE),VLOOKUP($G491,'KO Calc'!$H:$AW,38,FALSE),VLOOKUP($G491,'KO Calc'!$H497:$AW497,38,FALSE)),IF(AND($S$3=TRUE,$S$4=TRUE),IF(OR($Q$4=TRUE,$Q$5=TRUE,$S$2=TRUE),VLOOKUP($G491,'KO Calc'!$H:$AW,28,FALSE),VLOOKUP($G491,'KO Calc'!$H497:$AW497,28,FALSE)))))))))))))</f>
        <v>-</v>
      </c>
      <c r="J491" s="36" t="str">
        <f>IF(AND($Q$1=FALSE,$S$3=FALSE),"-",IF(AND($Q$1=TRUE,$S$3=TRUE),"-",IF(AND($Q$1=FALSE,$S$3=FALSE),"-",IF(AND($Q$1=TRUE,$S$1=TRUE,$S$4=FALSE)=TRUE,IF(OR($Q$4=TRUE,$Q$5=TRUE,$S$2=TRUE),VLOOKUP($G491,'KO Calc'!$H:$AW,FALSE),VLOOKUP($G491,'KO Calc'!$H497:$AW497,14,FALSE)),IF(AND($Q$1=TRUE,$S$4=FALSE),IF(OR($Q$4=TRUE,$Q$5=TRUE,$S$2=TRUE),VLOOKUP($G491,'KO Calc'!$H:$AW,4,FALSE),VLOOKUP($G491,'KO Calc'!$H497:$AW497,4,FALSE)),
IF(AND($Q$1=TRUE,$S$1=TRUE,$S$4=TRUE)=TRUE,IF(OR($Q$4=TRUE,$Q$5=TRUE,$S$2=TRUE),VLOOKUP($G491,'KO Calc'!$H:$AW,19,FALSE),VLOOKUP($G491,'KO Calc'!$H497:$AW497,19,FALSE)),IF(AND($Q$1=TRUE,$S$4=TRUE),IF(OR($Q$4=TRUE,$Q$5=TRUE,$S$2=TRUE),VLOOKUP($G491,'KO Calc'!$H:$AW,9,FALSE),VLOOKUP($G491,'KO Calc'!$H497:$AW497,9,FALSE)),
IF(AND($S$3=TRUE,$S$1=TRUE,$S$4=FALSE)=TRUE,IF(OR($Q$4=TRUE,$Q$5=TRUE,$S$2=TRUE),VLOOKUP($G491,'KO Calc'!$H:$AW,34,FALSE),VLOOKUP($G491,'KO Calc'!$H497:$AW497,34,FALSE)),IF(AND($S$3=TRUE,$S$4=FALSE),IF(OR($Q$4=TRUE,$Q$5=TRUE,$S$2=TRUE),VLOOKUP($G491,'KO Calc'!$H:$AW,24,FALSE),VLOOKUP($G491,'KO Calc'!$H497:$AW497,24,FALSE)),
IF(AND($S$3=TRUE,$S$1=TRUE,$S$4=TRUE)=TRUE,IF(OR($Q$4=TRUE,$Q$5=TRUE,$S$2=TRUE),VLOOKUP($G491,'KO Calc'!$H:$AW,39,FALSE),VLOOKUP($G491,'KO Calc'!$H497:$AW497,39,FALSE)),IF(AND($S$3=TRUE,$S$4=TRUE),IF(OR($Q$4=TRUE,$Q$5=TRUE,$S$2=TRUE),VLOOKUP($G491,'KO Calc'!$H:$AW,29,FALSE),VLOOKUP($G491,'KO Calc'!$H497:$AW497,29,FALSE)))))))))))))</f>
        <v>-</v>
      </c>
      <c r="K491" s="36" t="str">
        <f>IF(AND($Q$1=FALSE,$S$3=FALSE),"-",IF(AND($Q$1=TRUE,$S$3=TRUE),"-",IF(AND($Q$1=FALSE,$S$3=FALSE),"-",IF(AND($Q$1=TRUE,$S$1=TRUE,$S$4=FALSE)=TRUE,IF(OR($Q$4=TRUE,$Q$5=TRUE,$S$2=TRUE),VLOOKUP($G491,'KO Calc'!$H:$AW,15,FALSE),VLOOKUP($G491,'KO Calc'!$H497:$AW497,15,FALSE)),IF(AND($Q$1=TRUE,$S$4=FALSE),IF(OR($Q$4=TRUE,$Q$5=TRUE,$S$2=TRUE),VLOOKUP($G491,'KO Calc'!$H:$AW,5,FALSE),VLOOKUP($G491,'KO Calc'!$H497:$AW497,5,FALSE)),
IF(AND($Q$1=TRUE,$S$1=TRUE,$S$4=TRUE)=TRUE,IF(OR($Q$4=TRUE,$Q$5=TRUE,$S$2=TRUE),VLOOKUP($G491,'KO Calc'!$H:$AW,20,FALSE),VLOOKUP($G491,'KO Calc'!$H497:$AW497,20,FALSE)),IF(AND($Q$1=TRUE,$S$4=TRUE),IF(OR($Q$4=TRUE,$Q$5=TRUE,$S$2=TRUE),VLOOKUP($G491,'KO Calc'!$H:$AW,10,FALSE),VLOOKUP($G491,'KO Calc'!$H497:$AW497,10,FALSE)),
IF(AND($S$3=TRUE,$S$1=TRUE,$S$4=FALSE)=TRUE,IF(OR($Q$4=TRUE,$Q$5=TRUE,$S$2=TRUE),VLOOKUP($G491,'KO Calc'!$H:$AW,35,FALSE),VLOOKUP($G491,'KO Calc'!$H497:$AW497,35,FALSE)),IF(AND($S$3=TRUE,$S$4=FALSE),IF(OR($Q$4=TRUE,$Q$5=TRUE,$S$2=TRUE),VLOOKUP($G491,'KO Calc'!$H:$AW,25,FALSE),VLOOKUP($G491,'KO Calc'!$H497:$AW497,25,FALSE)),
IF(AND($S$3=TRUE,$S$1=TRUE,$S$4=TRUE)=TRUE,IF(OR($Q$4=TRUE,$Q$5=TRUE,$S$2=TRUE),VLOOKUP($G491,'KO Calc'!$H:$AW,40,FALSE),VLOOKUP($G491,'KO Calc'!$H497:$AW497,40,FALSE)),IF(AND($S$3=TRUE,$S$4=TRUE),IF(OR($Q$4=TRUE,$Q$5=TRUE,$S$2=TRUE),VLOOKUP($G491,'KO Calc'!$H:$AW,30,FALSE),VLOOKUP($G491,'KO Calc'!$H497:$AW497,30,FALSE)))))))))))))</f>
        <v>-</v>
      </c>
      <c r="L491" s="36" t="str">
        <f>IFERROR(IF(AND($Q$1=FALSE,$S$3=FALSE),"-",VLOOKUP($E491,'Status Thresholds'!$E:$AU,43,FALSE)),"-")</f>
        <v>-</v>
      </c>
      <c r="M491" s="36" t="str">
        <f>IFERROR(IF(AND($Q$1=FALSE,$S$3=FALSE),"-",VLOOKUP($E491,'Status Thresholds'!$E:$AU,41,FALSE)),"-")</f>
        <v>-</v>
      </c>
      <c r="N491" s="36" t="str">
        <f>IFERROR(IF(AND($Q$1=FALSE,$S$3=FALSE),"-",VLOOKUP($E491,'Status Thresholds'!$E:$AU,42,FALSE)),"-")</f>
        <v>-</v>
      </c>
    </row>
    <row r="492" spans="1:14" x14ac:dyDescent="0.25">
      <c r="B492" s="64" t="str">
        <f>VLOOKUP(C492,'Status Thresholds'!B:C,2,FALSE)</f>
        <v>MHGU</v>
      </c>
      <c r="C492" s="46" t="str">
        <f>IF(ISBLANK('KO Calc'!C488)=TRUE,"",'KO Calc'!C488)</f>
        <v>Lao-Shan Long</v>
      </c>
      <c r="D492" s="78" t="s">
        <v>213</v>
      </c>
      <c r="E492" s="62" t="str">
        <f t="shared" si="13"/>
        <v>Lao-Shan LongPitfall Trap</v>
      </c>
      <c r="F492" t="s">
        <v>12</v>
      </c>
      <c r="G492" s="36" t="str">
        <f t="shared" si="14"/>
        <v>Lao-Shan LongCrag 2</v>
      </c>
      <c r="H492" s="36" t="str">
        <f>IF(AND($Q$1=FALSE,$S$3=FALSE),"-",IF(AND($Q$1=TRUE,$S$3=TRUE),"-",IF(AND($Q$1=FALSE,$S$3=FALSE),"-",IF(AND($Q$1=TRUE,$S$1=TRUE,$S$4=FALSE)=TRUE,IF(OR($Q$4=TRUE,$Q$5=TRUE,$S$2=TRUE),VLOOKUP($G492,'KO Calc'!$H:$AW,12,FALSE),VLOOKUP($G492,'KO Calc'!$H498:$AW498,12,FALSE)),IF(AND($Q$1=TRUE,$S$4=FALSE),IF(OR($Q$4=TRUE,$Q$5=TRUE,$S$2=TRUE),VLOOKUP($G492,'KO Calc'!$H:$AW,2,FALSE),VLOOKUP($G492,'KO Calc'!$H498:$AW498,2,FALSE)),
IF(AND($Q$1=TRUE,$S$1=TRUE,$S$4=TRUE)=TRUE,IF(OR($Q$4=TRUE,$Q$5=TRUE,$S$2=TRUE),VLOOKUP($G492,'KO Calc'!$H:$AW,17,FALSE),VLOOKUP($G492,'KO Calc'!$H498:$AW498,17,FALSE)),IF(AND($Q$1=TRUE,$S$4=TRUE),IF(OR($Q$4=TRUE,$Q$5=TRUE,$S$2=TRUE),VLOOKUP($G492,'KO Calc'!$H:$AW,7,FALSE),VLOOKUP($G492,'KO Calc'!$H498:$AW498,7,FALSE)),
IF(AND($S$3=TRUE,$S$1=TRUE,$S$4=FALSE)=TRUE,IF(OR($Q$4=TRUE,$Q$5=TRUE,$S$2=TRUE),VLOOKUP($G492,'KO Calc'!$H:$AW,32,FALSE),VLOOKUP($G492,'KO Calc'!$H498:$AW498,32,FALSE)),IF(AND($S$3=TRUE,$S$4=FALSE),IF(OR($Q$4=TRUE,$Q$5=TRUE,$S$2=TRUE),VLOOKUP($G492,'KO Calc'!$H:$AW,22,FALSE),VLOOKUP($G492,'KO Calc'!$H498:$AW498,22,FALSE)),
IF(AND($S$3=TRUE,$S$1=TRUE,$S$4=TRUE)=TRUE,IF(OR($Q$4=TRUE,$Q$5=TRUE,$S$2=TRUE),VLOOKUP($G492,'KO Calc'!$H:$AW,37,FALSE),VLOOKUP($G492,'KO Calc'!$H498:$AW498,37,FALSE)),IF(AND($S$3=TRUE,$S$4=TRUE),IF(OR($Q$4=TRUE,$Q$5=TRUE,$S$2=TRUE),VLOOKUP($G492,'KO Calc'!$H:$AW,27,FALSE),VLOOKUP($G492,'KO Calc'!$H498:$AW498,27,FALSE)))))))))))))</f>
        <v>-</v>
      </c>
      <c r="I492" s="36" t="str">
        <f>IF(AND($Q$1=FALSE,$S$3=FALSE),"-",IF(AND($Q$1=TRUE,$S$3=TRUE),"-",IF(AND($Q$1=FALSE,$S$3=FALSE),"-",IF(AND($Q$1=TRUE,$S$1=TRUE,$S$4=FALSE)=TRUE,IF(OR($Q$4=TRUE,$Q$5=TRUE,$S$2=TRUE),VLOOKUP($G492,'KO Calc'!$H:$AW,13,FALSE),VLOOKUP($G492,'KO Calc'!$H498:$AW498,13,FALSE)),IF(AND($Q$1=TRUE,$S$4=FALSE),IF(OR($Q$4=TRUE,$Q$5=TRUE,$S$2=TRUE),VLOOKUP($G492,'KO Calc'!$H:$AW,3,FALSE),VLOOKUP($G492,'KO Calc'!$H498:$AW498,3,FALSE)),
IF(AND($Q$1=TRUE,$S$1=TRUE,$S$4=TRUE)=TRUE,IF(OR($Q$4=TRUE,$Q$5=TRUE,$S$2=TRUE),VLOOKUP($G492,'KO Calc'!$H:$AW,18,FALSE),VLOOKUP($G492,'KO Calc'!$H498:$AW498,18,FALSE)),IF(AND($Q$1=TRUE,$S$4=TRUE),IF(OR($Q$4=TRUE,$Q$5=TRUE,$S$2=TRUE),VLOOKUP($G492,'KO Calc'!$H:$AW,8,FALSE),VLOOKUP($G492,'KO Calc'!$H498:$AW498,8,FALSE)),
IF(AND($S$3=TRUE,$S$1=TRUE,$S$4=FALSE)=TRUE,IF(OR($Q$4=TRUE,$Q$5=TRUE,$S$2=TRUE),VLOOKUP($G492,'KO Calc'!$H:$AW,33,FALSE),VLOOKUP($G492,'KO Calc'!$H498:$AW498,33,FALSE)),IF(AND($S$3=TRUE,$S$4=FALSE),IF(OR($Q$4=TRUE,$Q$5=TRUE,$S$2=TRUE),VLOOKUP($G492,'KO Calc'!$H:$AW,23,FALSE),VLOOKUP($G492,'KO Calc'!$H498:$AW498,23,FALSE)),
IF(AND($S$3=TRUE,$S$1=TRUE,$S$4=TRUE)=TRUE,IF(OR($Q$4=TRUE,$Q$5=TRUE,$S$2=TRUE),VLOOKUP($G492,'KO Calc'!$H:$AW,38,FALSE),VLOOKUP($G492,'KO Calc'!$H498:$AW498,38,FALSE)),IF(AND($S$3=TRUE,$S$4=TRUE),IF(OR($Q$4=TRUE,$Q$5=TRUE,$S$2=TRUE),VLOOKUP($G492,'KO Calc'!$H:$AW,28,FALSE),VLOOKUP($G492,'KO Calc'!$H498:$AW498,28,FALSE)))))))))))))</f>
        <v>-</v>
      </c>
      <c r="J492" s="36" t="str">
        <f>IF(AND($Q$1=FALSE,$S$3=FALSE),"-",IF(AND($Q$1=TRUE,$S$3=TRUE),"-",IF(AND($Q$1=FALSE,$S$3=FALSE),"-",IF(AND($Q$1=TRUE,$S$1=TRUE,$S$4=FALSE)=TRUE,IF(OR($Q$4=TRUE,$Q$5=TRUE,$S$2=TRUE),VLOOKUP($G492,'KO Calc'!$H:$AW,FALSE),VLOOKUP($G492,'KO Calc'!$H498:$AW498,14,FALSE)),IF(AND($Q$1=TRUE,$S$4=FALSE),IF(OR($Q$4=TRUE,$Q$5=TRUE,$S$2=TRUE),VLOOKUP($G492,'KO Calc'!$H:$AW,4,FALSE),VLOOKUP($G492,'KO Calc'!$H498:$AW498,4,FALSE)),
IF(AND($Q$1=TRUE,$S$1=TRUE,$S$4=TRUE)=TRUE,IF(OR($Q$4=TRUE,$Q$5=TRUE,$S$2=TRUE),VLOOKUP($G492,'KO Calc'!$H:$AW,19,FALSE),VLOOKUP($G492,'KO Calc'!$H498:$AW498,19,FALSE)),IF(AND($Q$1=TRUE,$S$4=TRUE),IF(OR($Q$4=TRUE,$Q$5=TRUE,$S$2=TRUE),VLOOKUP($G492,'KO Calc'!$H:$AW,9,FALSE),VLOOKUP($G492,'KO Calc'!$H498:$AW498,9,FALSE)),
IF(AND($S$3=TRUE,$S$1=TRUE,$S$4=FALSE)=TRUE,IF(OR($Q$4=TRUE,$Q$5=TRUE,$S$2=TRUE),VLOOKUP($G492,'KO Calc'!$H:$AW,34,FALSE),VLOOKUP($G492,'KO Calc'!$H498:$AW498,34,FALSE)),IF(AND($S$3=TRUE,$S$4=FALSE),IF(OR($Q$4=TRUE,$Q$5=TRUE,$S$2=TRUE),VLOOKUP($G492,'KO Calc'!$H:$AW,24,FALSE),VLOOKUP($G492,'KO Calc'!$H498:$AW498,24,FALSE)),
IF(AND($S$3=TRUE,$S$1=TRUE,$S$4=TRUE)=TRUE,IF(OR($Q$4=TRUE,$Q$5=TRUE,$S$2=TRUE),VLOOKUP($G492,'KO Calc'!$H:$AW,39,FALSE),VLOOKUP($G492,'KO Calc'!$H498:$AW498,39,FALSE)),IF(AND($S$3=TRUE,$S$4=TRUE),IF(OR($Q$4=TRUE,$Q$5=TRUE,$S$2=TRUE),VLOOKUP($G492,'KO Calc'!$H:$AW,29,FALSE),VLOOKUP($G492,'KO Calc'!$H498:$AW498,29,FALSE)))))))))))))</f>
        <v>-</v>
      </c>
      <c r="K492" s="36" t="str">
        <f>IF(AND($Q$1=FALSE,$S$3=FALSE),"-",IF(AND($Q$1=TRUE,$S$3=TRUE),"-",IF(AND($Q$1=FALSE,$S$3=FALSE),"-",IF(AND($Q$1=TRUE,$S$1=TRUE,$S$4=FALSE)=TRUE,IF(OR($Q$4=TRUE,$Q$5=TRUE,$S$2=TRUE),VLOOKUP($G492,'KO Calc'!$H:$AW,15,FALSE),VLOOKUP($G492,'KO Calc'!$H498:$AW498,15,FALSE)),IF(AND($Q$1=TRUE,$S$4=FALSE),IF(OR($Q$4=TRUE,$Q$5=TRUE,$S$2=TRUE),VLOOKUP($G492,'KO Calc'!$H:$AW,5,FALSE),VLOOKUP($G492,'KO Calc'!$H498:$AW498,5,FALSE)),
IF(AND($Q$1=TRUE,$S$1=TRUE,$S$4=TRUE)=TRUE,IF(OR($Q$4=TRUE,$Q$5=TRUE,$S$2=TRUE),VLOOKUP($G492,'KO Calc'!$H:$AW,20,FALSE),VLOOKUP($G492,'KO Calc'!$H498:$AW498,20,FALSE)),IF(AND($Q$1=TRUE,$S$4=TRUE),IF(OR($Q$4=TRUE,$Q$5=TRUE,$S$2=TRUE),VLOOKUP($G492,'KO Calc'!$H:$AW,10,FALSE),VLOOKUP($G492,'KO Calc'!$H498:$AW498,10,FALSE)),
IF(AND($S$3=TRUE,$S$1=TRUE,$S$4=FALSE)=TRUE,IF(OR($Q$4=TRUE,$Q$5=TRUE,$S$2=TRUE),VLOOKUP($G492,'KO Calc'!$H:$AW,35,FALSE),VLOOKUP($G492,'KO Calc'!$H498:$AW498,35,FALSE)),IF(AND($S$3=TRUE,$S$4=FALSE),IF(OR($Q$4=TRUE,$Q$5=TRUE,$S$2=TRUE),VLOOKUP($G492,'KO Calc'!$H:$AW,25,FALSE),VLOOKUP($G492,'KO Calc'!$H498:$AW498,25,FALSE)),
IF(AND($S$3=TRUE,$S$1=TRUE,$S$4=TRUE)=TRUE,IF(OR($Q$4=TRUE,$Q$5=TRUE,$S$2=TRUE),VLOOKUP($G492,'KO Calc'!$H:$AW,40,FALSE),VLOOKUP($G492,'KO Calc'!$H498:$AW498,40,FALSE)),IF(AND($S$3=TRUE,$S$4=TRUE),IF(OR($Q$4=TRUE,$Q$5=TRUE,$S$2=TRUE),VLOOKUP($G492,'KO Calc'!$H:$AW,30,FALSE),VLOOKUP($G492,'KO Calc'!$H498:$AW498,30,FALSE)))))))))))))</f>
        <v>-</v>
      </c>
      <c r="L492" s="36" t="str">
        <f>IFERROR(IF(AND($Q$1=FALSE,$S$3=FALSE),"-",VLOOKUP($E492,'Status Thresholds'!$E:$AU,43,FALSE)),"-")</f>
        <v>-</v>
      </c>
      <c r="M492" s="36" t="str">
        <f>IFERROR(IF(AND($Q$1=FALSE,$S$3=FALSE),"-",VLOOKUP($E492,'Status Thresholds'!$E:$AU,41,FALSE)),"-")</f>
        <v>-</v>
      </c>
      <c r="N492" s="36" t="str">
        <f>IFERROR(IF(AND($Q$1=FALSE,$S$3=FALSE),"-",VLOOKUP($E492,'Status Thresholds'!$E:$AU,42,FALSE)),"-")</f>
        <v>-</v>
      </c>
    </row>
    <row r="493" spans="1:14" x14ac:dyDescent="0.25">
      <c r="B493" s="64" t="str">
        <f>VLOOKUP(C493,'Status Thresholds'!B:C,2,FALSE)</f>
        <v>MHGU</v>
      </c>
      <c r="C493" s="46" t="str">
        <f>IF(ISBLANK('KO Calc'!C489)=TRUE,"",'KO Calc'!C489)</f>
        <v>Lao-Shan Long</v>
      </c>
      <c r="D493" s="78"/>
      <c r="E493" s="62" t="str">
        <f t="shared" si="13"/>
        <v>Lao-Shan Long</v>
      </c>
      <c r="F493" t="s">
        <v>11</v>
      </c>
      <c r="G493" s="36" t="str">
        <f t="shared" si="14"/>
        <v>Lao-Shan LongCrag 1</v>
      </c>
      <c r="H493" s="36" t="str">
        <f>IF(AND($Q$1=FALSE,$S$3=FALSE),"-",IF(AND($Q$1=TRUE,$S$3=TRUE),"-",IF(AND($Q$1=FALSE,$S$3=FALSE),"-",IF(AND($Q$1=TRUE,$S$1=TRUE,$S$4=FALSE)=TRUE,IF(OR($Q$4=TRUE,$Q$5=TRUE,$S$2=TRUE),VLOOKUP($G493,'KO Calc'!$H:$AW,12,FALSE),VLOOKUP($G493,'KO Calc'!$H499:$AW499,12,FALSE)),IF(AND($Q$1=TRUE,$S$4=FALSE),IF(OR($Q$4=TRUE,$Q$5=TRUE,$S$2=TRUE),VLOOKUP($G493,'KO Calc'!$H:$AW,2,FALSE),VLOOKUP($G493,'KO Calc'!$H499:$AW499,2,FALSE)),
IF(AND($Q$1=TRUE,$S$1=TRUE,$S$4=TRUE)=TRUE,IF(OR($Q$4=TRUE,$Q$5=TRUE,$S$2=TRUE),VLOOKUP($G493,'KO Calc'!$H:$AW,17,FALSE),VLOOKUP($G493,'KO Calc'!$H499:$AW499,17,FALSE)),IF(AND($Q$1=TRUE,$S$4=TRUE),IF(OR($Q$4=TRUE,$Q$5=TRUE,$S$2=TRUE),VLOOKUP($G493,'KO Calc'!$H:$AW,7,FALSE),VLOOKUP($G493,'KO Calc'!$H499:$AW499,7,FALSE)),
IF(AND($S$3=TRUE,$S$1=TRUE,$S$4=FALSE)=TRUE,IF(OR($Q$4=TRUE,$Q$5=TRUE,$S$2=TRUE),VLOOKUP($G493,'KO Calc'!$H:$AW,32,FALSE),VLOOKUP($G493,'KO Calc'!$H499:$AW499,32,FALSE)),IF(AND($S$3=TRUE,$S$4=FALSE),IF(OR($Q$4=TRUE,$Q$5=TRUE,$S$2=TRUE),VLOOKUP($G493,'KO Calc'!$H:$AW,22,FALSE),VLOOKUP($G493,'KO Calc'!$H499:$AW499,22,FALSE)),
IF(AND($S$3=TRUE,$S$1=TRUE,$S$4=TRUE)=TRUE,IF(OR($Q$4=TRUE,$Q$5=TRUE,$S$2=TRUE),VLOOKUP($G493,'KO Calc'!$H:$AW,37,FALSE),VLOOKUP($G493,'KO Calc'!$H499:$AW499,37,FALSE)),IF(AND($S$3=TRUE,$S$4=TRUE),IF(OR($Q$4=TRUE,$Q$5=TRUE,$S$2=TRUE),VLOOKUP($G493,'KO Calc'!$H:$AW,27,FALSE),VLOOKUP($G493,'KO Calc'!$H499:$AW499,27,FALSE)))))))))))))</f>
        <v>-</v>
      </c>
      <c r="I493" s="36" t="str">
        <f>IF(AND($Q$1=FALSE,$S$3=FALSE),"-",IF(AND($Q$1=TRUE,$S$3=TRUE),"-",IF(AND($Q$1=FALSE,$S$3=FALSE),"-",IF(AND($Q$1=TRUE,$S$1=TRUE,$S$4=FALSE)=TRUE,IF(OR($Q$4=TRUE,$Q$5=TRUE,$S$2=TRUE),VLOOKUP($G493,'KO Calc'!$H:$AW,13,FALSE),VLOOKUP($G493,'KO Calc'!$H499:$AW499,13,FALSE)),IF(AND($Q$1=TRUE,$S$4=FALSE),IF(OR($Q$4=TRUE,$Q$5=TRUE,$S$2=TRUE),VLOOKUP($G493,'KO Calc'!$H:$AW,3,FALSE),VLOOKUP($G493,'KO Calc'!$H499:$AW499,3,FALSE)),
IF(AND($Q$1=TRUE,$S$1=TRUE,$S$4=TRUE)=TRUE,IF(OR($Q$4=TRUE,$Q$5=TRUE,$S$2=TRUE),VLOOKUP($G493,'KO Calc'!$H:$AW,18,FALSE),VLOOKUP($G493,'KO Calc'!$H499:$AW499,18,FALSE)),IF(AND($Q$1=TRUE,$S$4=TRUE),IF(OR($Q$4=TRUE,$Q$5=TRUE,$S$2=TRUE),VLOOKUP($G493,'KO Calc'!$H:$AW,8,FALSE),VLOOKUP($G493,'KO Calc'!$H499:$AW499,8,FALSE)),
IF(AND($S$3=TRUE,$S$1=TRUE,$S$4=FALSE)=TRUE,IF(OR($Q$4=TRUE,$Q$5=TRUE,$S$2=TRUE),VLOOKUP($G493,'KO Calc'!$H:$AW,33,FALSE),VLOOKUP($G493,'KO Calc'!$H499:$AW499,33,FALSE)),IF(AND($S$3=TRUE,$S$4=FALSE),IF(OR($Q$4=TRUE,$Q$5=TRUE,$S$2=TRUE),VLOOKUP($G493,'KO Calc'!$H:$AW,23,FALSE),VLOOKUP($G493,'KO Calc'!$H499:$AW499,23,FALSE)),
IF(AND($S$3=TRUE,$S$1=TRUE,$S$4=TRUE)=TRUE,IF(OR($Q$4=TRUE,$Q$5=TRUE,$S$2=TRUE),VLOOKUP($G493,'KO Calc'!$H:$AW,38,FALSE),VLOOKUP($G493,'KO Calc'!$H499:$AW499,38,FALSE)),IF(AND($S$3=TRUE,$S$4=TRUE),IF(OR($Q$4=TRUE,$Q$5=TRUE,$S$2=TRUE),VLOOKUP($G493,'KO Calc'!$H:$AW,28,FALSE),VLOOKUP($G493,'KO Calc'!$H499:$AW499,28,FALSE)))))))))))))</f>
        <v>-</v>
      </c>
      <c r="J493" s="36" t="str">
        <f>IF(AND($Q$1=FALSE,$S$3=FALSE),"-",IF(AND($Q$1=TRUE,$S$3=TRUE),"-",IF(AND($Q$1=FALSE,$S$3=FALSE),"-",IF(AND($Q$1=TRUE,$S$1=TRUE,$S$4=FALSE)=TRUE,IF(OR($Q$4=TRUE,$Q$5=TRUE,$S$2=TRUE),VLOOKUP($G493,'KO Calc'!$H:$AW,FALSE),VLOOKUP($G493,'KO Calc'!$H499:$AW499,14,FALSE)),IF(AND($Q$1=TRUE,$S$4=FALSE),IF(OR($Q$4=TRUE,$Q$5=TRUE,$S$2=TRUE),VLOOKUP($G493,'KO Calc'!$H:$AW,4,FALSE),VLOOKUP($G493,'KO Calc'!$H499:$AW499,4,FALSE)),
IF(AND($Q$1=TRUE,$S$1=TRUE,$S$4=TRUE)=TRUE,IF(OR($Q$4=TRUE,$Q$5=TRUE,$S$2=TRUE),VLOOKUP($G493,'KO Calc'!$H:$AW,19,FALSE),VLOOKUP($G493,'KO Calc'!$H499:$AW499,19,FALSE)),IF(AND($Q$1=TRUE,$S$4=TRUE),IF(OR($Q$4=TRUE,$Q$5=TRUE,$S$2=TRUE),VLOOKUP($G493,'KO Calc'!$H:$AW,9,FALSE),VLOOKUP($G493,'KO Calc'!$H499:$AW499,9,FALSE)),
IF(AND($S$3=TRUE,$S$1=TRUE,$S$4=FALSE)=TRUE,IF(OR($Q$4=TRUE,$Q$5=TRUE,$S$2=TRUE),VLOOKUP($G493,'KO Calc'!$H:$AW,34,FALSE),VLOOKUP($G493,'KO Calc'!$H499:$AW499,34,FALSE)),IF(AND($S$3=TRUE,$S$4=FALSE),IF(OR($Q$4=TRUE,$Q$5=TRUE,$S$2=TRUE),VLOOKUP($G493,'KO Calc'!$H:$AW,24,FALSE),VLOOKUP($G493,'KO Calc'!$H499:$AW499,24,FALSE)),
IF(AND($S$3=TRUE,$S$1=TRUE,$S$4=TRUE)=TRUE,IF(OR($Q$4=TRUE,$Q$5=TRUE,$S$2=TRUE),VLOOKUP($G493,'KO Calc'!$H:$AW,39,FALSE),VLOOKUP($G493,'KO Calc'!$H499:$AW499,39,FALSE)),IF(AND($S$3=TRUE,$S$4=TRUE),IF(OR($Q$4=TRUE,$Q$5=TRUE,$S$2=TRUE),VLOOKUP($G493,'KO Calc'!$H:$AW,29,FALSE),VLOOKUP($G493,'KO Calc'!$H499:$AW499,29,FALSE)))))))))))))</f>
        <v>-</v>
      </c>
      <c r="K493" s="36" t="str">
        <f>IF(AND($Q$1=FALSE,$S$3=FALSE),"-",IF(AND($Q$1=TRUE,$S$3=TRUE),"-",IF(AND($Q$1=FALSE,$S$3=FALSE),"-",IF(AND($Q$1=TRUE,$S$1=TRUE,$S$4=FALSE)=TRUE,IF(OR($Q$4=TRUE,$Q$5=TRUE,$S$2=TRUE),VLOOKUP($G493,'KO Calc'!$H:$AW,15,FALSE),VLOOKUP($G493,'KO Calc'!$H499:$AW499,15,FALSE)),IF(AND($Q$1=TRUE,$S$4=FALSE),IF(OR($Q$4=TRUE,$Q$5=TRUE,$S$2=TRUE),VLOOKUP($G493,'KO Calc'!$H:$AW,5,FALSE),VLOOKUP($G493,'KO Calc'!$H499:$AW499,5,FALSE)),
IF(AND($Q$1=TRUE,$S$1=TRUE,$S$4=TRUE)=TRUE,IF(OR($Q$4=TRUE,$Q$5=TRUE,$S$2=TRUE),VLOOKUP($G493,'KO Calc'!$H:$AW,20,FALSE),VLOOKUP($G493,'KO Calc'!$H499:$AW499,20,FALSE)),IF(AND($Q$1=TRUE,$S$4=TRUE),IF(OR($Q$4=TRUE,$Q$5=TRUE,$S$2=TRUE),VLOOKUP($G493,'KO Calc'!$H:$AW,10,FALSE),VLOOKUP($G493,'KO Calc'!$H499:$AW499,10,FALSE)),
IF(AND($S$3=TRUE,$S$1=TRUE,$S$4=FALSE)=TRUE,IF(OR($Q$4=TRUE,$Q$5=TRUE,$S$2=TRUE),VLOOKUP($G493,'KO Calc'!$H:$AW,35,FALSE),VLOOKUP($G493,'KO Calc'!$H499:$AW499,35,FALSE)),IF(AND($S$3=TRUE,$S$4=FALSE),IF(OR($Q$4=TRUE,$Q$5=TRUE,$S$2=TRUE),VLOOKUP($G493,'KO Calc'!$H:$AW,25,FALSE),VLOOKUP($G493,'KO Calc'!$H499:$AW499,25,FALSE)),
IF(AND($S$3=TRUE,$S$1=TRUE,$S$4=TRUE)=TRUE,IF(OR($Q$4=TRUE,$Q$5=TRUE,$S$2=TRUE),VLOOKUP($G493,'KO Calc'!$H:$AW,40,FALSE),VLOOKUP($G493,'KO Calc'!$H499:$AW499,40,FALSE)),IF(AND($S$3=TRUE,$S$4=TRUE),IF(OR($Q$4=TRUE,$Q$5=TRUE,$S$2=TRUE),VLOOKUP($G493,'KO Calc'!$H:$AW,30,FALSE),VLOOKUP($G493,'KO Calc'!$H499:$AW499,30,FALSE)))))))))))))</f>
        <v>-</v>
      </c>
      <c r="L493" s="36" t="str">
        <f>IFERROR(VLOOKUP($E493,'Status Thresholds'!$E:$AS,41,FALSE),"-")</f>
        <v>-</v>
      </c>
    </row>
    <row r="494" spans="1:14" x14ac:dyDescent="0.25">
      <c r="B494" s="64" t="str">
        <f>VLOOKUP(C494,'Status Thresholds'!B:C,2,FALSE)</f>
        <v>MHGU</v>
      </c>
      <c r="C494" s="46" t="str">
        <f>IF(ISBLANK('KO Calc'!C490)=TRUE,"",'KO Calc'!C490)</f>
        <v>Lao-Shan Long</v>
      </c>
      <c r="D494" s="78"/>
      <c r="E494" s="62"/>
      <c r="G494" s="36"/>
      <c r="L494" s="36" t="str">
        <f>IFERROR(VLOOKUP($E494,'Status Thresholds'!$E:$AS,41,FALSE),"-")</f>
        <v>-</v>
      </c>
    </row>
    <row r="495" spans="1:14" s="36" customFormat="1" x14ac:dyDescent="0.25">
      <c r="B495" s="64" t="str">
        <f>VLOOKUP(C495,'Status Thresholds'!B:C,2,FALSE)</f>
        <v>MHGen</v>
      </c>
      <c r="C495" s="46" t="str">
        <f>IF(ISBLANK('KO Calc'!C491)=TRUE,"",'KO Calc'!C491)</f>
        <v>Lavasioth</v>
      </c>
      <c r="D495" s="65" t="s">
        <v>0</v>
      </c>
      <c r="E495" s="62" t="str">
        <f t="shared" si="13"/>
        <v>LavasiothPara</v>
      </c>
      <c r="F495" s="36" t="s">
        <v>2</v>
      </c>
      <c r="G495" s="36" t="str">
        <f t="shared" si="14"/>
        <v>LavasiothPara lvl 2</v>
      </c>
      <c r="H495" s="36" t="str">
        <f>IFERROR(ROUNDUP(IF(AND($Q$1=FALSE,$S$3=FALSE),"-",IF(AND($Q$1=TRUE,$S$3=TRUE),"-",IF(AND($Q$1=TRUE,$S$1=TRUE,$S$4=FALSE),VLOOKUP($E495,'Status Thresholds'!$E:$AS,12,FALSE),IF(AND($Q$1=TRUE,$S$4=FALSE),VLOOKUP($E495,'Status Thresholds'!$E:$AS,2,FALSE), IF(AND($Q$1=TRUE,$S$1=TRUE,$S$4=TRUE),VLOOKUP($E495,'Status Thresholds'!$E:$AS,17,FALSE),IF(AND($Q$1=TRUE,$S$4=TRUE),VLOOKUP($E495,'Status Thresholds'!$E:$AS,7,FALSE),IF(AND($S$3=TRUE,$S$1=TRUE,$S$4=FALSE),VLOOKUP($E495,'Status Thresholds'!$E:$AS,32,FALSE),IF(AND($S$3=TRUE,$S$4=FALSE),VLOOKUP($E495,'Status Thresholds'!$E:$AS,22,FALSE),IF(AND($S$3=TRUE,$S$1=TRUE,$S$4=TRUE),VLOOKUP($E495,'Status Thresholds'!$E:$AS,37,FALSE),IF(AND($S$3=TRUE,$S$4=TRUE),VLOOKUP($E495,'Status Thresholds'!$E:$AS,27,FALSE),""))))))))/IF(OR($Q$3=TRUE,AND($Q$2=TRUE,$Q$7=TRUE),AND($Q$3=TRUE,$Q$7=TRUE))=TRUE,'Shots and Status'!$F$5,IF((OR($Q$2,$Q$7)=TRUE),'Shots and Status'!$D$5,'Shots and Status'!$C$5)))),0),"-")</f>
        <v>-</v>
      </c>
      <c r="I495" s="36" t="str">
        <f>IFERROR(ROUNDUP(IF(AND($Q$1=FALSE,$S$3=FALSE),"-",IF(AND($Q$1=TRUE,$S$3=TRUE),"-",IF(AND($Q$1=TRUE,$S$1=TRUE,$S$4=FALSE),VLOOKUP($E495,'Status Thresholds'!$E:$AS,13,FALSE),IF(AND($Q$1=TRUE,$S$4=FALSE),VLOOKUP($E495,'Status Thresholds'!$E:$AS,3,FALSE), IF(AND($Q$1=TRUE,$S$1=TRUE,$S$4=TRUE),VLOOKUP($E495,'Status Thresholds'!$E:$AS,18,FALSE),IF(AND($Q$1=TRUE,$S$4=TRUE),VLOOKUP($E495,'Status Thresholds'!$E:$AS,8,FALSE),IF(AND($S$3=TRUE,$S$1=TRUE,$S$4=FALSE),VLOOKUP($E495,'Status Thresholds'!$E:$AS,33,FALSE),IF(AND($S$3=TRUE,$S$4=FALSE),VLOOKUP($E495,'Status Thresholds'!$E:$AS,23,FALSE),IF(AND($S$3=TRUE,$S$1=TRUE,$S$4=TRUE),VLOOKUP($E495,'Status Thresholds'!$E:$AS,38,FALSE),IF(AND($S$3=TRUE,$S$4=TRUE),VLOOKUP($E495,'Status Thresholds'!$E:$AS,28,FALSE),""))))))))/IF(OR($Q$3=TRUE,AND($Q$2=TRUE,$Q$7=TRUE),AND($Q$3=TRUE,$Q$7=TRUE))=TRUE,'Shots and Status'!$F$5,IF((OR($Q$2,$Q$7)=TRUE),'Shots and Status'!$D$5,'Shots and Status'!$C$5)))),0),"-")</f>
        <v>-</v>
      </c>
      <c r="J495" s="36" t="str">
        <f>IFERROR(ROUNDUP(IF(AND($Q$1=FALSE,$S$3=FALSE),"-",IF(AND($Q$1=TRUE,$S$3=TRUE),"-",IF(AND($Q$1=TRUE,$S$1=TRUE,$S$4=FALSE),VLOOKUP($E495,'Status Thresholds'!$E:$AS,14,FALSE),IF(AND($Q$1=TRUE,$S$4=FALSE),VLOOKUP($E495,'Status Thresholds'!$E:$AS,4,FALSE), IF(AND($Q$1=TRUE,$S$1=TRUE,$S$4=TRUE),VLOOKUP($E495,'Status Thresholds'!$E:$AS,19,FALSE),IF(AND($Q$1=TRUE,$S$4=TRUE),VLOOKUP($E495,'Status Thresholds'!$E:$AS,9,FALSE),IF(AND($S$3=TRUE,$S$1=TRUE,$S$4=FALSE),VLOOKUP($E495,'Status Thresholds'!$E:$AS,34,FALSE),IF(AND($S$3=TRUE,$S$4=FALSE),VLOOKUP($E495,'Status Thresholds'!$E:$AS,24,FALSE),IF(AND($S$3=TRUE,$S$1=TRUE,$S$4=TRUE),VLOOKUP($E495,'Status Thresholds'!$E:$AS,39,FALSE),IF(AND($S$3=TRUE,$S$4=TRUE),VLOOKUP($E495,'Status Thresholds'!$E:$AS,29,FALSE),""))))))))/IF(OR($Q$3=TRUE,AND($Q$2=TRUE,$Q$7=TRUE),AND($Q$3=TRUE,$Q$7=TRUE))=TRUE,'Shots and Status'!$F$5,IF((OR($Q$2,$Q$7)=TRUE),'Shots and Status'!$D$5,'Shots and Status'!$C$5)))),0),"-")</f>
        <v>-</v>
      </c>
      <c r="K495" s="36" t="str">
        <f>IFERROR(ROUNDUP(IF(AND($Q$1=FALSE,$S$3=FALSE),"-",IF(AND($Q$1=TRUE,$S$3=TRUE),"-",IF(AND($Q$1=TRUE,$S$1=TRUE,$S$4=FALSE),VLOOKUP($E495,'Status Thresholds'!$E:$AS,15,FALSE),IF(AND($Q$1=TRUE,$S$4=FALSE),VLOOKUP($E495,'Status Thresholds'!$E:$AS,5,FALSE), IF(AND($Q$1=TRUE,$S$1=TRUE,$S$4=TRUE),VLOOKUP($E495,'Status Thresholds'!$E:$AS,20,FALSE),IF(AND($Q$1=TRUE,$S$4=TRUE),VLOOKUP($E495,'Status Thresholds'!$E:$AS,10,FALSE),IF(AND($S$3=TRUE,$S$1=TRUE,$S$4=FALSE),VLOOKUP($E495,'Status Thresholds'!$E:$AS,35,FALSE),IF(AND($S$3=TRUE,$S$4=FALSE),VLOOKUP($E495,'Status Thresholds'!$E:$AS,25,FALSE),IF(AND($S$3=TRUE,$S$1=TRUE,$S$4=TRUE),VLOOKUP($E495,'Status Thresholds'!$E:$AS,40,FALSE),IF(AND($S$3=TRUE,$S$4=TRUE),VLOOKUP($E495,'Status Thresholds'!$E:$AS,30,FALSE),""))))))))/IF(OR($Q$3=TRUE,AND($Q$2=TRUE,$Q$7=TRUE),AND($Q$3=TRUE,$Q$7=TRUE))=TRUE,'Shots and Status'!$F$5,IF((OR($Q$2,$Q$7)=TRUE),'Shots and Status'!$D$5,'Shots and Status'!$C$5)))),0),"-")</f>
        <v>-</v>
      </c>
      <c r="L495" s="36" t="str">
        <f>IFERROR(IF(AND($Q$1=FALSE,$S$3=FALSE),"-",VLOOKUP($E495,'Status Thresholds'!$E:$AU,41,FALSE)),"-")</f>
        <v>-</v>
      </c>
      <c r="M495" s="36" t="str">
        <f>IFERROR(IF(AND($Q$1=FALSE,$S$3=FALSE),"-",VLOOKUP($E495,'Status Thresholds'!$E:$AU,42,FALSE)),"-")</f>
        <v>-</v>
      </c>
      <c r="N495" s="36" t="str">
        <f>IFERROR(IF(AND($Q$1=FALSE,$S$3=FALSE),"-",VLOOKUP($E495,'Status Thresholds'!$E:$AU,43,FALSE)),"-")</f>
        <v>-</v>
      </c>
    </row>
    <row r="496" spans="1:14" s="59" customFormat="1" x14ac:dyDescent="0.25">
      <c r="A496" s="46"/>
      <c r="B496" s="64" t="str">
        <f>VLOOKUP(C496,'Status Thresholds'!B:C,2,FALSE)</f>
        <v>MHGen</v>
      </c>
      <c r="C496" s="46" t="str">
        <f>IF(ISBLANK('KO Calc'!C492)=TRUE,"",'KO Calc'!C492)</f>
        <v>Lavasioth</v>
      </c>
      <c r="D496" s="60" t="s">
        <v>32</v>
      </c>
      <c r="E496" s="62" t="str">
        <f t="shared" si="13"/>
        <v>LavasiothSleep</v>
      </c>
      <c r="F496" s="59" t="s">
        <v>5</v>
      </c>
      <c r="G496" s="36" t="str">
        <f t="shared" si="14"/>
        <v>LavasiothSleep lvl 2</v>
      </c>
      <c r="H496" s="36" t="str">
        <f>IFERROR(ROUNDUP(IF(AND($Q$1=FALSE,$S$3=FALSE),"-",IF(AND($Q$1=TRUE,$S$3=TRUE),"-",IF(AND($Q$1=TRUE,$S$1=TRUE,$S$4=FALSE),VLOOKUP($E496,'Status Thresholds'!$E:$AS,12,FALSE),IF(AND($Q$1=TRUE,$S$4=FALSE),VLOOKUP($E496,'Status Thresholds'!$E:$AS,2,FALSE), IF(AND($Q$1=TRUE,$S$1=TRUE,$S$4=TRUE),VLOOKUP($E496,'Status Thresholds'!$E:$AS,17,FALSE),IF(AND($Q$1=TRUE,$S$4=TRUE),VLOOKUP($E496,'Status Thresholds'!$E:$AS,7,FALSE),IF(AND($S$3=TRUE,$S$1=TRUE,$S$4=FALSE),VLOOKUP($E496,'Status Thresholds'!$E:$AS,32,FALSE),IF(AND($S$3=TRUE,$S$4=FALSE),VLOOKUP($E496,'Status Thresholds'!$E:$AS,22,FALSE),IF(AND($S$3=TRUE,$S$1=TRUE,$S$4=TRUE),VLOOKUP($E496,'Status Thresholds'!$E:$AS,37,FALSE),IF(AND($S$3=TRUE,$S$4=TRUE),VLOOKUP($E496,'Status Thresholds'!$E:$AS,27,FALSE),""))))))))/IF(OR($Q$3=TRUE,AND($Q$2=TRUE,$Q$7=TRUE),AND($Q$3=TRUE,$Q$7=TRUE))=TRUE,'Shots and Status'!$F$5,IF((OR($Q$2,$Q$7)=TRUE),'Shots and Status'!$D$5,'Shots and Status'!$C$5)))),0),"-")</f>
        <v>-</v>
      </c>
      <c r="I496" s="36" t="str">
        <f>IFERROR(ROUNDUP(IF(AND($Q$1=FALSE,$S$3=FALSE),"-",IF(AND($Q$1=TRUE,$S$3=TRUE),"-",IF(AND($Q$1=TRUE,$S$1=TRUE,$S$4=FALSE),VLOOKUP($E496,'Status Thresholds'!$E:$AS,13,FALSE),IF(AND($Q$1=TRUE,$S$4=FALSE),VLOOKUP($E496,'Status Thresholds'!$E:$AS,3,FALSE), IF(AND($Q$1=TRUE,$S$1=TRUE,$S$4=TRUE),VLOOKUP($E496,'Status Thresholds'!$E:$AS,18,FALSE),IF(AND($Q$1=TRUE,$S$4=TRUE),VLOOKUP($E496,'Status Thresholds'!$E:$AS,8,FALSE),IF(AND($S$3=TRUE,$S$1=TRUE,$S$4=FALSE),VLOOKUP($E496,'Status Thresholds'!$E:$AS,33,FALSE),IF(AND($S$3=TRUE,$S$4=FALSE),VLOOKUP($E496,'Status Thresholds'!$E:$AS,23,FALSE),IF(AND($S$3=TRUE,$S$1=TRUE,$S$4=TRUE),VLOOKUP($E496,'Status Thresholds'!$E:$AS,38,FALSE),IF(AND($S$3=TRUE,$S$4=TRUE),VLOOKUP($E496,'Status Thresholds'!$E:$AS,28,FALSE),""))))))))/IF(OR($Q$3=TRUE,AND($Q$2=TRUE,$Q$7=TRUE),AND($Q$3=TRUE,$Q$7=TRUE))=TRUE,'Shots and Status'!$F$5,IF((OR($Q$2,$Q$7)=TRUE),'Shots and Status'!$D$5,'Shots and Status'!$C$5)))),0),"-")</f>
        <v>-</v>
      </c>
      <c r="J496" s="36" t="str">
        <f>IFERROR(ROUNDUP(IF(AND($Q$1=FALSE,$S$3=FALSE),"-",IF(AND($Q$1=TRUE,$S$3=TRUE),"-",IF(AND($Q$1=TRUE,$S$1=TRUE,$S$4=FALSE),VLOOKUP($E496,'Status Thresholds'!$E:$AS,14,FALSE),IF(AND($Q$1=TRUE,$S$4=FALSE),VLOOKUP($E496,'Status Thresholds'!$E:$AS,4,FALSE), IF(AND($Q$1=TRUE,$S$1=TRUE,$S$4=TRUE),VLOOKUP($E496,'Status Thresholds'!$E:$AS,19,FALSE),IF(AND($Q$1=TRUE,$S$4=TRUE),VLOOKUP($E496,'Status Thresholds'!$E:$AS,9,FALSE),IF(AND($S$3=TRUE,$S$1=TRUE,$S$4=FALSE),VLOOKUP($E496,'Status Thresholds'!$E:$AS,34,FALSE),IF(AND($S$3=TRUE,$S$4=FALSE),VLOOKUP($E496,'Status Thresholds'!$E:$AS,24,FALSE),IF(AND($S$3=TRUE,$S$1=TRUE,$S$4=TRUE),VLOOKUP($E496,'Status Thresholds'!$E:$AS,39,FALSE),IF(AND($S$3=TRUE,$S$4=TRUE),VLOOKUP($E496,'Status Thresholds'!$E:$AS,29,FALSE),""))))))))/IF(OR($Q$3=TRUE,AND($Q$2=TRUE,$Q$7=TRUE),AND($Q$3=TRUE,$Q$7=TRUE))=TRUE,'Shots and Status'!$F$5,IF((OR($Q$2,$Q$7)=TRUE),'Shots and Status'!$D$5,'Shots and Status'!$C$5)))),0),"-")</f>
        <v>-</v>
      </c>
      <c r="K496" s="36" t="str">
        <f>IFERROR(ROUNDUP(IF(AND($Q$1=FALSE,$S$3=FALSE),"-",IF(AND($Q$1=TRUE,$S$3=TRUE),"-",IF(AND($Q$1=TRUE,$S$1=TRUE,$S$4=FALSE),VLOOKUP($E496,'Status Thresholds'!$E:$AS,15,FALSE),IF(AND($Q$1=TRUE,$S$4=FALSE),VLOOKUP($E496,'Status Thresholds'!$E:$AS,5,FALSE), IF(AND($Q$1=TRUE,$S$1=TRUE,$S$4=TRUE),VLOOKUP($E496,'Status Thresholds'!$E:$AS,20,FALSE),IF(AND($Q$1=TRUE,$S$4=TRUE),VLOOKUP($E496,'Status Thresholds'!$E:$AS,10,FALSE),IF(AND($S$3=TRUE,$S$1=TRUE,$S$4=FALSE),VLOOKUP($E496,'Status Thresholds'!$E:$AS,35,FALSE),IF(AND($S$3=TRUE,$S$4=FALSE),VLOOKUP($E496,'Status Thresholds'!$E:$AS,25,FALSE),IF(AND($S$3=TRUE,$S$1=TRUE,$S$4=TRUE),VLOOKUP($E496,'Status Thresholds'!$E:$AS,40,FALSE),IF(AND($S$3=TRUE,$S$4=TRUE),VLOOKUP($E496,'Status Thresholds'!$E:$AS,30,FALSE),""))))))))/IF(OR($Q$3=TRUE,AND($Q$2=TRUE,$Q$7=TRUE),AND($Q$3=TRUE,$Q$7=TRUE))=TRUE,'Shots and Status'!$F$5,IF((OR($Q$2,$Q$7)=TRUE),'Shots and Status'!$D$5,'Shots and Status'!$C$5)))),0),"-")</f>
        <v>-</v>
      </c>
      <c r="L496" s="36" t="str">
        <f>IFERROR(IF(AND($Q$1=FALSE,$S$3=FALSE),"-",VLOOKUP($E496,'Status Thresholds'!$E:$AU,41,FALSE)),"-")</f>
        <v>-</v>
      </c>
      <c r="M496" s="36" t="str">
        <f>IFERROR(IF(AND($Q$1=FALSE,$S$3=FALSE),"-",VLOOKUP($E496,'Status Thresholds'!$E:$AU,42,FALSE)),"-")</f>
        <v>-</v>
      </c>
      <c r="N496" s="36" t="str">
        <f>IFERROR(IF(AND($Q$1=FALSE,$S$3=FALSE),"-",VLOOKUP($E496,'Status Thresholds'!$E:$AU,43,FALSE)),"-")</f>
        <v>-</v>
      </c>
    </row>
    <row r="497" spans="1:14" s="59" customFormat="1" x14ac:dyDescent="0.25">
      <c r="A497" s="46"/>
      <c r="B497" s="64" t="str">
        <f>VLOOKUP(C497,'Status Thresholds'!B:C,2,FALSE)</f>
        <v>MHGen</v>
      </c>
      <c r="C497" s="46" t="str">
        <f>IF(ISBLANK('KO Calc'!C493)=TRUE,"",'KO Calc'!C493)</f>
        <v>Lavasioth</v>
      </c>
      <c r="D497" s="58" t="s">
        <v>33</v>
      </c>
      <c r="E497" s="62" t="str">
        <f t="shared" si="13"/>
        <v>LavasiothPoison</v>
      </c>
      <c r="F497" s="59" t="s">
        <v>6</v>
      </c>
      <c r="G497" s="36" t="str">
        <f t="shared" si="14"/>
        <v>LavasiothPoison lvl 2</v>
      </c>
      <c r="H497" s="36" t="str">
        <f>IFERROR(ROUNDUP(IF(AND($Q$1=FALSE,$S$3=FALSE),"-",IF(AND($Q$1=TRUE,$S$3=TRUE),"-",IF(AND($Q$1=TRUE,$S$1=TRUE,$S$4=FALSE),VLOOKUP($E497,'Status Thresholds'!$E:$AS,12,FALSE),IF(AND($Q$1=TRUE,$S$4=FALSE),VLOOKUP($E497,'Status Thresholds'!$E:$AS,2,FALSE), IF(AND($Q$1=TRUE,$S$1=TRUE,$S$4=TRUE),VLOOKUP($E497,'Status Thresholds'!$E:$AS,17,FALSE),IF(AND($Q$1=TRUE,$S$4=TRUE),VLOOKUP($E497,'Status Thresholds'!$E:$AS,7,FALSE),IF(AND($S$3=TRUE,$S$1=TRUE,$S$4=FALSE),VLOOKUP($E497,'Status Thresholds'!$E:$AS,32,FALSE),IF(AND($S$3=TRUE,$S$4=FALSE),VLOOKUP($E497,'Status Thresholds'!$E:$AS,22,FALSE),IF(AND($S$3=TRUE,$S$1=TRUE,$S$4=TRUE),VLOOKUP($E497,'Status Thresholds'!$E:$AS,37,FALSE),IF(AND($S$3=TRUE,$S$4=TRUE),VLOOKUP($E497,'Status Thresholds'!$E:$AS,27,FALSE),""))))))))/IF(OR($Q$3=TRUE,AND($Q$2=TRUE,$Q$7=TRUE),AND($Q$3=TRUE,$Q$7=TRUE))=TRUE,'Shots and Status'!$F$5,IF((OR($Q$2,$Q$7)=TRUE),'Shots and Status'!$D$5,'Shots and Status'!$C$5)))),0),"-")</f>
        <v>-</v>
      </c>
      <c r="I497" s="36" t="str">
        <f>IFERROR(ROUNDUP(IF(AND($Q$1=FALSE,$S$3=FALSE),"-",IF(AND($Q$1=TRUE,$S$3=TRUE),"-",IF(AND($Q$1=TRUE,$S$1=TRUE,$S$4=FALSE),VLOOKUP($E497,'Status Thresholds'!$E:$AS,13,FALSE),IF(AND($Q$1=TRUE,$S$4=FALSE),VLOOKUP($E497,'Status Thresholds'!$E:$AS,3,FALSE), IF(AND($Q$1=TRUE,$S$1=TRUE,$S$4=TRUE),VLOOKUP($E497,'Status Thresholds'!$E:$AS,18,FALSE),IF(AND($Q$1=TRUE,$S$4=TRUE),VLOOKUP($E497,'Status Thresholds'!$E:$AS,8,FALSE),IF(AND($S$3=TRUE,$S$1=TRUE,$S$4=FALSE),VLOOKUP($E497,'Status Thresholds'!$E:$AS,33,FALSE),IF(AND($S$3=TRUE,$S$4=FALSE),VLOOKUP($E497,'Status Thresholds'!$E:$AS,23,FALSE),IF(AND($S$3=TRUE,$S$1=TRUE,$S$4=TRUE),VLOOKUP($E497,'Status Thresholds'!$E:$AS,38,FALSE),IF(AND($S$3=TRUE,$S$4=TRUE),VLOOKUP($E497,'Status Thresholds'!$E:$AS,28,FALSE),""))))))))/IF(OR($Q$3=TRUE,AND($Q$2=TRUE,$Q$7=TRUE),AND($Q$3=TRUE,$Q$7=TRUE))=TRUE,'Shots and Status'!$F$5,IF((OR($Q$2,$Q$7)=TRUE),'Shots and Status'!$D$5,'Shots and Status'!$C$5)))),0),"-")</f>
        <v>-</v>
      </c>
      <c r="J497" s="36" t="str">
        <f>IFERROR(ROUNDUP(IF(AND($Q$1=FALSE,$S$3=FALSE),"-",IF(AND($Q$1=TRUE,$S$3=TRUE),"-",IF(AND($Q$1=TRUE,$S$1=TRUE,$S$4=FALSE),VLOOKUP($E497,'Status Thresholds'!$E:$AS,14,FALSE),IF(AND($Q$1=TRUE,$S$4=FALSE),VLOOKUP($E497,'Status Thresholds'!$E:$AS,4,FALSE), IF(AND($Q$1=TRUE,$S$1=TRUE,$S$4=TRUE),VLOOKUP($E497,'Status Thresholds'!$E:$AS,19,FALSE),IF(AND($Q$1=TRUE,$S$4=TRUE),VLOOKUP($E497,'Status Thresholds'!$E:$AS,9,FALSE),IF(AND($S$3=TRUE,$S$1=TRUE,$S$4=FALSE),VLOOKUP($E497,'Status Thresholds'!$E:$AS,34,FALSE),IF(AND($S$3=TRUE,$S$4=FALSE),VLOOKUP($E497,'Status Thresholds'!$E:$AS,24,FALSE),IF(AND($S$3=TRUE,$S$1=TRUE,$S$4=TRUE),VLOOKUP($E497,'Status Thresholds'!$E:$AS,39,FALSE),IF(AND($S$3=TRUE,$S$4=TRUE),VLOOKUP($E497,'Status Thresholds'!$E:$AS,29,FALSE),""))))))))/IF(OR($Q$3=TRUE,AND($Q$2=TRUE,$Q$7=TRUE),AND($Q$3=TRUE,$Q$7=TRUE))=TRUE,'Shots and Status'!$F$5,IF((OR($Q$2,$Q$7)=TRUE),'Shots and Status'!$D$5,'Shots and Status'!$C$5)))),0),"-")</f>
        <v>-</v>
      </c>
      <c r="K497" s="36" t="str">
        <f>IFERROR(ROUNDUP(IF(AND($Q$1=FALSE,$S$3=FALSE),"-",IF(AND($Q$1=TRUE,$S$3=TRUE),"-",IF(AND($Q$1=TRUE,$S$1=TRUE,$S$4=FALSE),VLOOKUP($E497,'Status Thresholds'!$E:$AS,15,FALSE),IF(AND($Q$1=TRUE,$S$4=FALSE),VLOOKUP($E497,'Status Thresholds'!$E:$AS,5,FALSE), IF(AND($Q$1=TRUE,$S$1=TRUE,$S$4=TRUE),VLOOKUP($E497,'Status Thresholds'!$E:$AS,20,FALSE),IF(AND($Q$1=TRUE,$S$4=TRUE),VLOOKUP($E497,'Status Thresholds'!$E:$AS,10,FALSE),IF(AND($S$3=TRUE,$S$1=TRUE,$S$4=FALSE),VLOOKUP($E497,'Status Thresholds'!$E:$AS,35,FALSE),IF(AND($S$3=TRUE,$S$4=FALSE),VLOOKUP($E497,'Status Thresholds'!$E:$AS,25,FALSE),IF(AND($S$3=TRUE,$S$1=TRUE,$S$4=TRUE),VLOOKUP($E497,'Status Thresholds'!$E:$AS,40,FALSE),IF(AND($S$3=TRUE,$S$4=TRUE),VLOOKUP($E497,'Status Thresholds'!$E:$AS,30,FALSE),""))))))))/IF(OR($Q$3=TRUE,AND($Q$2=TRUE,$Q$7=TRUE),AND($Q$3=TRUE,$Q$7=TRUE))=TRUE,'Shots and Status'!$F$5,IF((OR($Q$2,$Q$7)=TRUE),'Shots and Status'!$D$5,'Shots and Status'!$C$5)))),0),"-")</f>
        <v>-</v>
      </c>
      <c r="L497" s="36" t="str">
        <f>IFERROR(IF(AND($Q$1=FALSE,$S$3=FALSE),"-",VLOOKUP($E497,'Status Thresholds'!$E:$AU,41,FALSE)),"-")</f>
        <v>-</v>
      </c>
      <c r="M497" s="36" t="str">
        <f>IFERROR(IF(AND($Q$1=FALSE,$S$3=FALSE),"-",VLOOKUP($E497,'Status Thresholds'!$E:$AU,42,FALSE)),"-")</f>
        <v>-</v>
      </c>
      <c r="N497" s="36" t="str">
        <f>IFERROR(IF(AND($Q$1=FALSE,$S$3=FALSE),"-",VLOOKUP($E497,'Status Thresholds'!$E:$AU,43,FALSE)),"-")</f>
        <v>-</v>
      </c>
    </row>
    <row r="498" spans="1:14" s="36" customFormat="1" x14ac:dyDescent="0.25">
      <c r="A498" s="46"/>
      <c r="B498" s="64" t="str">
        <f>VLOOKUP(C498,'Status Thresholds'!B:C,2,FALSE)</f>
        <v>MHGen</v>
      </c>
      <c r="C498" s="46" t="str">
        <f>IF(ISBLANK('KO Calc'!C494)=TRUE,"",'KO Calc'!C494)</f>
        <v>Lavasioth</v>
      </c>
      <c r="D498" s="57" t="s">
        <v>22</v>
      </c>
      <c r="E498" s="62" t="str">
        <f t="shared" si="13"/>
        <v>LavasiothExhaust</v>
      </c>
      <c r="F498" s="36" t="s">
        <v>8</v>
      </c>
      <c r="G498" s="36" t="str">
        <f t="shared" si="14"/>
        <v>LavasiothExhaust lvl 2</v>
      </c>
      <c r="H498" s="36" t="str">
        <f>IFERROR(ROUNDUP(IF(AND($Q$1=FALSE,$S$3=FALSE),"-",IF(AND($Q$1=TRUE,$S$3=TRUE),"-",IF(AND($Q$1=TRUE,$S$1=TRUE,$S$4=FALSE),VLOOKUP($E498,'Status Thresholds'!$E:$AS,12,FALSE),IF(AND($Q$1=TRUE,$S$4=FALSE),VLOOKUP($E498,'Status Thresholds'!$E:$AS,2,FALSE), IF(AND($Q$1=TRUE,$S$1=TRUE,$S$4=TRUE),VLOOKUP($E498,'Status Thresholds'!$E:$AS,17,FALSE),IF(AND($Q$1=TRUE,$S$4=TRUE),VLOOKUP($E498,'Status Thresholds'!$E:$AS,7,FALSE),IF(AND($S$3=TRUE,$S$1=TRUE,$S$4=FALSE),VLOOKUP($E498,'Status Thresholds'!$E:$AS,32,FALSE),IF(AND($S$3=TRUE,$S$4=FALSE),VLOOKUP($E498,'Status Thresholds'!$E:$AS,22,FALSE),IF(AND($S$3=TRUE,$S$1=TRUE,$S$4=TRUE),VLOOKUP($E498,'Status Thresholds'!$E:$AS,37,FALSE),IF(AND($S$3=TRUE,$S$4=TRUE),VLOOKUP($E498,'Status Thresholds'!$E:$AS,27,FALSE),""))))))))/IF(OR($Q$3=TRUE,AND($Q$2=TRUE,$Q$7=TRUE),AND($Q$3=TRUE,$Q$7=TRUE))=TRUE,'Shots and Status'!$F$5,IF((OR($Q$2,$Q$7)=TRUE),'Shots and Status'!$D$5,'Shots and Status'!$C$5)))),0),"-")</f>
        <v>-</v>
      </c>
      <c r="I498" s="36" t="str">
        <f>IFERROR(ROUNDUP(IF(AND($Q$1=FALSE,$S$3=FALSE),"-",IF(AND($Q$1=TRUE,$S$3=TRUE),"-",IF(AND($Q$1=TRUE,$S$1=TRUE,$S$4=FALSE),VLOOKUP($E498,'Status Thresholds'!$E:$AS,13,FALSE),IF(AND($Q$1=TRUE,$S$4=FALSE),VLOOKUP($E498,'Status Thresholds'!$E:$AS,3,FALSE), IF(AND($Q$1=TRUE,$S$1=TRUE,$S$4=TRUE),VLOOKUP($E498,'Status Thresholds'!$E:$AS,18,FALSE),IF(AND($Q$1=TRUE,$S$4=TRUE),VLOOKUP($E498,'Status Thresholds'!$E:$AS,8,FALSE),IF(AND($S$3=TRUE,$S$1=TRUE,$S$4=FALSE),VLOOKUP($E498,'Status Thresholds'!$E:$AS,33,FALSE),IF(AND($S$3=TRUE,$S$4=FALSE),VLOOKUP($E498,'Status Thresholds'!$E:$AS,23,FALSE),IF(AND($S$3=TRUE,$S$1=TRUE,$S$4=TRUE),VLOOKUP($E498,'Status Thresholds'!$E:$AS,38,FALSE),IF(AND($S$3=TRUE,$S$4=TRUE),VLOOKUP($E498,'Status Thresholds'!$E:$AS,28,FALSE),""))))))))/IF(OR($Q$3=TRUE,AND($Q$2=TRUE,$Q$7=TRUE),AND($Q$3=TRUE,$Q$7=TRUE))=TRUE,'Shots and Status'!$F$5,IF((OR($Q$2,$Q$7)=TRUE),'Shots and Status'!$D$5,'Shots and Status'!$C$5)))),0),"-")</f>
        <v>-</v>
      </c>
      <c r="J498" s="36" t="str">
        <f>IFERROR(ROUNDUP(IF(AND($Q$1=FALSE,$S$3=FALSE),"-",IF(AND($Q$1=TRUE,$S$3=TRUE),"-",IF(AND($Q$1=TRUE,$S$1=TRUE,$S$4=FALSE),VLOOKUP($E498,'Status Thresholds'!$E:$AS,14,FALSE),IF(AND($Q$1=TRUE,$S$4=FALSE),VLOOKUP($E498,'Status Thresholds'!$E:$AS,4,FALSE), IF(AND($Q$1=TRUE,$S$1=TRUE,$S$4=TRUE),VLOOKUP($E498,'Status Thresholds'!$E:$AS,19,FALSE),IF(AND($Q$1=TRUE,$S$4=TRUE),VLOOKUP($E498,'Status Thresholds'!$E:$AS,9,FALSE),IF(AND($S$3=TRUE,$S$1=TRUE,$S$4=FALSE),VLOOKUP($E498,'Status Thresholds'!$E:$AS,34,FALSE),IF(AND($S$3=TRUE,$S$4=FALSE),VLOOKUP($E498,'Status Thresholds'!$E:$AS,24,FALSE),IF(AND($S$3=TRUE,$S$1=TRUE,$S$4=TRUE),VLOOKUP($E498,'Status Thresholds'!$E:$AS,39,FALSE),IF(AND($S$3=TRUE,$S$4=TRUE),VLOOKUP($E498,'Status Thresholds'!$E:$AS,29,FALSE),""))))))))/IF(OR($Q$3=TRUE,AND($Q$2=TRUE,$Q$7=TRUE),AND($Q$3=TRUE,$Q$7=TRUE))=TRUE,'Shots and Status'!$F$5,IF((OR($Q$2,$Q$7)=TRUE),'Shots and Status'!$D$5,'Shots and Status'!$C$5)))),0),"-")</f>
        <v>-</v>
      </c>
      <c r="K498" s="36" t="str">
        <f>IFERROR(ROUNDUP(IF(AND($Q$1=FALSE,$S$3=FALSE),"-",IF(AND($Q$1=TRUE,$S$3=TRUE),"-",IF(AND($Q$1=TRUE,$S$1=TRUE,$S$4=FALSE),VLOOKUP($E498,'Status Thresholds'!$E:$AS,15,FALSE),IF(AND($Q$1=TRUE,$S$4=FALSE),VLOOKUP($E498,'Status Thresholds'!$E:$AS,5,FALSE), IF(AND($Q$1=TRUE,$S$1=TRUE,$S$4=TRUE),VLOOKUP($E498,'Status Thresholds'!$E:$AS,20,FALSE),IF(AND($Q$1=TRUE,$S$4=TRUE),VLOOKUP($E498,'Status Thresholds'!$E:$AS,10,FALSE),IF(AND($S$3=TRUE,$S$1=TRUE,$S$4=FALSE),VLOOKUP($E498,'Status Thresholds'!$E:$AS,35,FALSE),IF(AND($S$3=TRUE,$S$4=FALSE),VLOOKUP($E498,'Status Thresholds'!$E:$AS,25,FALSE),IF(AND($S$3=TRUE,$S$1=TRUE,$S$4=TRUE),VLOOKUP($E498,'Status Thresholds'!$E:$AS,40,FALSE),IF(AND($S$3=TRUE,$S$4=TRUE),VLOOKUP($E498,'Status Thresholds'!$E:$AS,30,FALSE),""))))))))/IF(OR($Q$3=TRUE,AND($Q$2=TRUE,$Q$7=TRUE),AND($Q$3=TRUE,$Q$7=TRUE))=TRUE,'Shots and Status'!$F$5,IF((OR($Q$2,$Q$7)=TRUE),'Shots and Status'!$D$5,'Shots and Status'!$C$5)))),0),"-")</f>
        <v>-</v>
      </c>
      <c r="L498" s="36" t="str">
        <f>IFERROR(IF(AND($Q$1=FALSE,$S$3=FALSE),"-",VLOOKUP($E498,'Status Thresholds'!$E:$AU,41,FALSE)),"-")</f>
        <v>-</v>
      </c>
      <c r="M498" s="36" t="str">
        <f>IFERROR(IF(AND($Q$1=FALSE,$S$3=FALSE),"-",VLOOKUP($E498,'Status Thresholds'!$E:$AU,42,FALSE)),"-")</f>
        <v>-</v>
      </c>
      <c r="N498" s="36" t="str">
        <f>IFERROR(IF(AND($Q$1=FALSE,$S$3=FALSE),"-",VLOOKUP($E498,'Status Thresholds'!$E:$AU,43,FALSE)),"-")</f>
        <v>-</v>
      </c>
    </row>
    <row r="499" spans="1:14" s="36" customFormat="1" x14ac:dyDescent="0.25">
      <c r="A499" s="46"/>
      <c r="B499" s="64" t="str">
        <f>VLOOKUP(C499,'Status Thresholds'!B:C,2,FALSE)</f>
        <v>MHGen</v>
      </c>
      <c r="C499" s="46" t="str">
        <f>IF(ISBLANK('KO Calc'!C495)=TRUE,"",'KO Calc'!C495)</f>
        <v>Lavasioth</v>
      </c>
      <c r="D499" s="67" t="s">
        <v>14</v>
      </c>
      <c r="E499" s="62" t="str">
        <f t="shared" si="13"/>
        <v>LavasiothKO</v>
      </c>
      <c r="F499" s="36" t="s">
        <v>21</v>
      </c>
      <c r="G499" s="36" t="str">
        <f t="shared" si="14"/>
        <v>LavasiothTriblast</v>
      </c>
      <c r="H499" s="36" t="str">
        <f>IF(AND($Q$1=FALSE,$S$3=FALSE),"-",IF(AND($Q$1=TRUE,$S$3=TRUE),"-",IF(AND($Q$1=FALSE,$S$3=FALSE),"-",IF(AND($Q$1=TRUE,$S$1=TRUE,$S$4=FALSE)=TRUE,IF(OR($Q$4=TRUE,$Q$5=TRUE,$S$2=TRUE),VLOOKUP($G499,'KO Calc'!$H:$AW,12,FALSE),VLOOKUP($G499,'KO Calc'!$H505:$AW505,12,FALSE)),IF(AND($Q$1=TRUE,$S$4=FALSE),IF(OR($Q$4=TRUE,$Q$5=TRUE,$S$2=TRUE),VLOOKUP($G499,'KO Calc'!$H:$AW,2,FALSE),VLOOKUP($G499,'KO Calc'!$H505:$AW505,2,FALSE)),
IF(AND($Q$1=TRUE,$S$1=TRUE,$S$4=TRUE)=TRUE,IF(OR($Q$4=TRUE,$Q$5=TRUE,$S$2=TRUE),VLOOKUP($G499,'KO Calc'!$H:$AW,17,FALSE),VLOOKUP($G499,'KO Calc'!$H505:$AW505,17,FALSE)),IF(AND($Q$1=TRUE,$S$4=TRUE),IF(OR($Q$4=TRUE,$Q$5=TRUE,$S$2=TRUE),VLOOKUP($G499,'KO Calc'!$H:$AW,7,FALSE),VLOOKUP($G499,'KO Calc'!$H505:$AW505,7,FALSE)),
IF(AND($S$3=TRUE,$S$1=TRUE,$S$4=FALSE)=TRUE,IF(OR($Q$4=TRUE,$Q$5=TRUE,$S$2=TRUE),VLOOKUP($G499,'KO Calc'!$H:$AW,32,FALSE),VLOOKUP($G499,'KO Calc'!$H505:$AW505,32,FALSE)),IF(AND($S$3=TRUE,$S$4=FALSE),IF(OR($Q$4=TRUE,$Q$5=TRUE,$S$2=TRUE),VLOOKUP($G499,'KO Calc'!$H:$AW,22,FALSE),VLOOKUP($G499,'KO Calc'!$H505:$AW505,22,FALSE)),
IF(AND($S$3=TRUE,$S$1=TRUE,$S$4=TRUE)=TRUE,IF(OR($Q$4=TRUE,$Q$5=TRUE,$S$2=TRUE),VLOOKUP($G499,'KO Calc'!$H:$AW,37,FALSE),VLOOKUP($G499,'KO Calc'!$H505:$AW505,37,FALSE)),IF(AND($S$3=TRUE,$S$4=TRUE),IF(OR($Q$4=TRUE,$Q$5=TRUE,$S$2=TRUE),VLOOKUP($G499,'KO Calc'!$H:$AW,27,FALSE),VLOOKUP($G499,'KO Calc'!$H505:$AW505,27,FALSE)))))))))))))</f>
        <v>-</v>
      </c>
      <c r="I499" s="36" t="str">
        <f>IF(AND($Q$1=FALSE,$S$3=FALSE),"-",IF(AND($Q$1=TRUE,$S$3=TRUE),"-",IF(AND($Q$1=FALSE,$S$3=FALSE),"-",IF(AND($Q$1=TRUE,$S$1=TRUE,$S$4=FALSE)=TRUE,IF(OR($Q$4=TRUE,$Q$5=TRUE,$S$2=TRUE),VLOOKUP($G499,'KO Calc'!$H:$AW,13,FALSE),VLOOKUP($G499,'KO Calc'!$H505:$AW505,13,FALSE)),IF(AND($Q$1=TRUE,$S$4=FALSE),IF(OR($Q$4=TRUE,$Q$5=TRUE,$S$2=TRUE),VLOOKUP($G499,'KO Calc'!$H:$AW,3,FALSE),VLOOKUP($G499,'KO Calc'!$H505:$AW505,3,FALSE)),
IF(AND($Q$1=TRUE,$S$1=TRUE,$S$4=TRUE)=TRUE,IF(OR($Q$4=TRUE,$Q$5=TRUE,$S$2=TRUE),VLOOKUP($G499,'KO Calc'!$H:$AW,18,FALSE),VLOOKUP($G499,'KO Calc'!$H505:$AW505,18,FALSE)),IF(AND($Q$1=TRUE,$S$4=TRUE),IF(OR($Q$4=TRUE,$Q$5=TRUE,$S$2=TRUE),VLOOKUP($G499,'KO Calc'!$H:$AW,8,FALSE),VLOOKUP($G499,'KO Calc'!$H505:$AW505,8,FALSE)),
IF(AND($S$3=TRUE,$S$1=TRUE,$S$4=FALSE)=TRUE,IF(OR($Q$4=TRUE,$Q$5=TRUE,$S$2=TRUE),VLOOKUP($G499,'KO Calc'!$H:$AW,33,FALSE),VLOOKUP($G499,'KO Calc'!$H505:$AW505,33,FALSE)),IF(AND($S$3=TRUE,$S$4=FALSE),IF(OR($Q$4=TRUE,$Q$5=TRUE,$S$2=TRUE),VLOOKUP($G499,'KO Calc'!$H:$AW,23,FALSE),VLOOKUP($G499,'KO Calc'!$H505:$AW505,23,FALSE)),
IF(AND($S$3=TRUE,$S$1=TRUE,$S$4=TRUE)=TRUE,IF(OR($Q$4=TRUE,$Q$5=TRUE,$S$2=TRUE),VLOOKUP($G499,'KO Calc'!$H:$AW,38,FALSE),VLOOKUP($G499,'KO Calc'!$H505:$AW505,38,FALSE)),IF(AND($S$3=TRUE,$S$4=TRUE),IF(OR($Q$4=TRUE,$Q$5=TRUE,$S$2=TRUE),VLOOKUP($G499,'KO Calc'!$H:$AW,28,FALSE),VLOOKUP($G499,'KO Calc'!$H505:$AW505,28,FALSE)))))))))))))</f>
        <v>-</v>
      </c>
      <c r="J499" s="36" t="str">
        <f>IF(AND($Q$1=FALSE,$S$3=FALSE),"-",IF(AND($Q$1=TRUE,$S$3=TRUE),"-",IF(AND($Q$1=FALSE,$S$3=FALSE),"-",IF(AND($Q$1=TRUE,$S$1=TRUE,$S$4=FALSE)=TRUE,IF(OR($Q$4=TRUE,$Q$5=TRUE,$S$2=TRUE),VLOOKUP($G499,'KO Calc'!$H:$AW,FALSE),VLOOKUP($G499,'KO Calc'!$H505:$AW505,14,FALSE)),IF(AND($Q$1=TRUE,$S$4=FALSE),IF(OR($Q$4=TRUE,$Q$5=TRUE,$S$2=TRUE),VLOOKUP($G499,'KO Calc'!$H:$AW,4,FALSE),VLOOKUP($G499,'KO Calc'!$H505:$AW505,4,FALSE)),
IF(AND($Q$1=TRUE,$S$1=TRUE,$S$4=TRUE)=TRUE,IF(OR($Q$4=TRUE,$Q$5=TRUE,$S$2=TRUE),VLOOKUP($G499,'KO Calc'!$H:$AW,19,FALSE),VLOOKUP($G499,'KO Calc'!$H505:$AW505,19,FALSE)),IF(AND($Q$1=TRUE,$S$4=TRUE),IF(OR($Q$4=TRUE,$Q$5=TRUE,$S$2=TRUE),VLOOKUP($G499,'KO Calc'!$H:$AW,9,FALSE),VLOOKUP($G499,'KO Calc'!$H505:$AW505,9,FALSE)),
IF(AND($S$3=TRUE,$S$1=TRUE,$S$4=FALSE)=TRUE,IF(OR($Q$4=TRUE,$Q$5=TRUE,$S$2=TRUE),VLOOKUP($G499,'KO Calc'!$H:$AW,34,FALSE),VLOOKUP($G499,'KO Calc'!$H505:$AW505,34,FALSE)),IF(AND($S$3=TRUE,$S$4=FALSE),IF(OR($Q$4=TRUE,$Q$5=TRUE,$S$2=TRUE),VLOOKUP($G499,'KO Calc'!$H:$AW,24,FALSE),VLOOKUP($G499,'KO Calc'!$H505:$AW505,24,FALSE)),
IF(AND($S$3=TRUE,$S$1=TRUE,$S$4=TRUE)=TRUE,IF(OR($Q$4=TRUE,$Q$5=TRUE,$S$2=TRUE),VLOOKUP($G499,'KO Calc'!$H:$AW,39,FALSE),VLOOKUP($G499,'KO Calc'!$H505:$AW505,39,FALSE)),IF(AND($S$3=TRUE,$S$4=TRUE),IF(OR($Q$4=TRUE,$Q$5=TRUE,$S$2=TRUE),VLOOKUP($G499,'KO Calc'!$H:$AW,29,FALSE),VLOOKUP($G499,'KO Calc'!$H505:$AW505,29,FALSE)))))))))))))</f>
        <v>-</v>
      </c>
      <c r="K499" s="36" t="str">
        <f>IF(AND($Q$1=FALSE,$S$3=FALSE),"-",IF(AND($Q$1=TRUE,$S$3=TRUE),"-",IF(AND($Q$1=FALSE,$S$3=FALSE),"-",IF(AND($Q$1=TRUE,$S$1=TRUE,$S$4=FALSE)=TRUE,IF(OR($Q$4=TRUE,$Q$5=TRUE,$S$2=TRUE),VLOOKUP($G499,'KO Calc'!$H:$AW,15,FALSE),VLOOKUP($G499,'KO Calc'!$H505:$AW505,15,FALSE)),IF(AND($Q$1=TRUE,$S$4=FALSE),IF(OR($Q$4=TRUE,$Q$5=TRUE,$S$2=TRUE),VLOOKUP($G499,'KO Calc'!$H:$AW,5,FALSE),VLOOKUP($G499,'KO Calc'!$H505:$AW505,5,FALSE)),
IF(AND($Q$1=TRUE,$S$1=TRUE,$S$4=TRUE)=TRUE,IF(OR($Q$4=TRUE,$Q$5=TRUE,$S$2=TRUE),VLOOKUP($G499,'KO Calc'!$H:$AW,20,FALSE),VLOOKUP($G499,'KO Calc'!$H505:$AW505,20,FALSE)),IF(AND($Q$1=TRUE,$S$4=TRUE),IF(OR($Q$4=TRUE,$Q$5=TRUE,$S$2=TRUE),VLOOKUP($G499,'KO Calc'!$H:$AW,10,FALSE),VLOOKUP($G499,'KO Calc'!$H505:$AW505,10,FALSE)),
IF(AND($S$3=TRUE,$S$1=TRUE,$S$4=FALSE)=TRUE,IF(OR($Q$4=TRUE,$Q$5=TRUE,$S$2=TRUE),VLOOKUP($G499,'KO Calc'!$H:$AW,35,FALSE),VLOOKUP($G499,'KO Calc'!$H505:$AW505,35,FALSE)),IF(AND($S$3=TRUE,$S$4=FALSE),IF(OR($Q$4=TRUE,$Q$5=TRUE,$S$2=TRUE),VLOOKUP($G499,'KO Calc'!$H:$AW,25,FALSE),VLOOKUP($G499,'KO Calc'!$H505:$AW505,25,FALSE)),
IF(AND($S$3=TRUE,$S$1=TRUE,$S$4=TRUE)=TRUE,IF(OR($Q$4=TRUE,$Q$5=TRUE,$S$2=TRUE),VLOOKUP($G499,'KO Calc'!$H:$AW,40,FALSE),VLOOKUP($G499,'KO Calc'!$H505:$AW505,40,FALSE)),IF(AND($S$3=TRUE,$S$4=TRUE),IF(OR($Q$4=TRUE,$Q$5=TRUE,$S$2=TRUE),VLOOKUP($G499,'KO Calc'!$H:$AW,30,FALSE),VLOOKUP($G499,'KO Calc'!$H505:$AW505,30,FALSE)))))))))))))</f>
        <v>-</v>
      </c>
      <c r="L499" s="36" t="str">
        <f>IFERROR(IF(AND($Q$1=FALSE,$S$3=FALSE),"-",VLOOKUP($E499,'Status Thresholds'!$E:$AU,41,FALSE)),"-")</f>
        <v>-</v>
      </c>
      <c r="M499" s="36" t="str">
        <f>IFERROR(IF(AND($Q$1=FALSE,$S$3=FALSE),"-",VLOOKUP($E499,'Status Thresholds'!$E:$AU,42,FALSE)),"-")</f>
        <v>-</v>
      </c>
      <c r="N499" s="36" t="str">
        <f>IFERROR(IF(AND($Q$1=FALSE,$S$3=FALSE),"-",VLOOKUP($E499,'Status Thresholds'!$E:$AU,43,FALSE)),"-")</f>
        <v>-</v>
      </c>
    </row>
    <row r="500" spans="1:14" x14ac:dyDescent="0.25">
      <c r="B500" s="64" t="str">
        <f>VLOOKUP(C500,'Status Thresholds'!B:C,2,FALSE)</f>
        <v>MHGen</v>
      </c>
      <c r="C500" s="46" t="str">
        <f>IF(ISBLANK('KO Calc'!C496)=TRUE,"",'KO Calc'!C496)</f>
        <v>Lavasioth</v>
      </c>
      <c r="D500" s="78" t="s">
        <v>207</v>
      </c>
      <c r="E500" s="62" t="str">
        <f t="shared" si="13"/>
        <v>LavasiothShock Trap</v>
      </c>
      <c r="F500" t="s">
        <v>13</v>
      </c>
      <c r="G500" s="36" t="str">
        <f t="shared" si="14"/>
        <v>LavasiothCrag 3</v>
      </c>
      <c r="H500" s="36" t="str">
        <f>IF(AND($Q$1=FALSE,$S$3=FALSE),"-",IF(AND($Q$1=TRUE,$S$3=TRUE),"-",IF(AND($Q$1=FALSE,$S$3=FALSE),"-",IF(AND($Q$1=TRUE,$S$1=TRUE,$S$4=FALSE)=TRUE,IF(OR($Q$4=TRUE,$Q$5=TRUE,$S$2=TRUE),VLOOKUP($G500,'KO Calc'!$H:$AW,12,FALSE),VLOOKUP($G500,'KO Calc'!$H506:$AW506,12,FALSE)),IF(AND($Q$1=TRUE,$S$4=FALSE),IF(OR($Q$4=TRUE,$Q$5=TRUE,$S$2=TRUE),VLOOKUP($G500,'KO Calc'!$H:$AW,2,FALSE),VLOOKUP($G500,'KO Calc'!$H506:$AW506,2,FALSE)),
IF(AND($Q$1=TRUE,$S$1=TRUE,$S$4=TRUE)=TRUE,IF(OR($Q$4=TRUE,$Q$5=TRUE,$S$2=TRUE),VLOOKUP($G500,'KO Calc'!$H:$AW,17,FALSE),VLOOKUP($G500,'KO Calc'!$H506:$AW506,17,FALSE)),IF(AND($Q$1=TRUE,$S$4=TRUE),IF(OR($Q$4=TRUE,$Q$5=TRUE,$S$2=TRUE),VLOOKUP($G500,'KO Calc'!$H:$AW,7,FALSE),VLOOKUP($G500,'KO Calc'!$H506:$AW506,7,FALSE)),
IF(AND($S$3=TRUE,$S$1=TRUE,$S$4=FALSE)=TRUE,IF(OR($Q$4=TRUE,$Q$5=TRUE,$S$2=TRUE),VLOOKUP($G500,'KO Calc'!$H:$AW,32,FALSE),VLOOKUP($G500,'KO Calc'!$H506:$AW506,32,FALSE)),IF(AND($S$3=TRUE,$S$4=FALSE),IF(OR($Q$4=TRUE,$Q$5=TRUE,$S$2=TRUE),VLOOKUP($G500,'KO Calc'!$H:$AW,22,FALSE),VLOOKUP($G500,'KO Calc'!$H506:$AW506,22,FALSE)),
IF(AND($S$3=TRUE,$S$1=TRUE,$S$4=TRUE)=TRUE,IF(OR($Q$4=TRUE,$Q$5=TRUE,$S$2=TRUE),VLOOKUP($G500,'KO Calc'!$H:$AW,37,FALSE),VLOOKUP($G500,'KO Calc'!$H506:$AW506,37,FALSE)),IF(AND($S$3=TRUE,$S$4=TRUE),IF(OR($Q$4=TRUE,$Q$5=TRUE,$S$2=TRUE),VLOOKUP($G500,'KO Calc'!$H:$AW,27,FALSE),VLOOKUP($G500,'KO Calc'!$H506:$AW506,27,FALSE)))))))))))))</f>
        <v>-</v>
      </c>
      <c r="I500" s="36" t="str">
        <f>IF(AND($Q$1=FALSE,$S$3=FALSE),"-",IF(AND($Q$1=TRUE,$S$3=TRUE),"-",IF(AND($Q$1=FALSE,$S$3=FALSE),"-",IF(AND($Q$1=TRUE,$S$1=TRUE,$S$4=FALSE)=TRUE,IF(OR($Q$4=TRUE,$Q$5=TRUE,$S$2=TRUE),VLOOKUP($G500,'KO Calc'!$H:$AW,13,FALSE),VLOOKUP($G500,'KO Calc'!$H506:$AW506,13,FALSE)),IF(AND($Q$1=TRUE,$S$4=FALSE),IF(OR($Q$4=TRUE,$Q$5=TRUE,$S$2=TRUE),VLOOKUP($G500,'KO Calc'!$H:$AW,3,FALSE),VLOOKUP($G500,'KO Calc'!$H506:$AW506,3,FALSE)),
IF(AND($Q$1=TRUE,$S$1=TRUE,$S$4=TRUE)=TRUE,IF(OR($Q$4=TRUE,$Q$5=TRUE,$S$2=TRUE),VLOOKUP($G500,'KO Calc'!$H:$AW,18,FALSE),VLOOKUP($G500,'KO Calc'!$H506:$AW506,18,FALSE)),IF(AND($Q$1=TRUE,$S$4=TRUE),IF(OR($Q$4=TRUE,$Q$5=TRUE,$S$2=TRUE),VLOOKUP($G500,'KO Calc'!$H:$AW,8,FALSE),VLOOKUP($G500,'KO Calc'!$H506:$AW506,8,FALSE)),
IF(AND($S$3=TRUE,$S$1=TRUE,$S$4=FALSE)=TRUE,IF(OR($Q$4=TRUE,$Q$5=TRUE,$S$2=TRUE),VLOOKUP($G500,'KO Calc'!$H:$AW,33,FALSE),VLOOKUP($G500,'KO Calc'!$H506:$AW506,33,FALSE)),IF(AND($S$3=TRUE,$S$4=FALSE),IF(OR($Q$4=TRUE,$Q$5=TRUE,$S$2=TRUE),VLOOKUP($G500,'KO Calc'!$H:$AW,23,FALSE),VLOOKUP($G500,'KO Calc'!$H506:$AW506,23,FALSE)),
IF(AND($S$3=TRUE,$S$1=TRUE,$S$4=TRUE)=TRUE,IF(OR($Q$4=TRUE,$Q$5=TRUE,$S$2=TRUE),VLOOKUP($G500,'KO Calc'!$H:$AW,38,FALSE),VLOOKUP($G500,'KO Calc'!$H506:$AW506,38,FALSE)),IF(AND($S$3=TRUE,$S$4=TRUE),IF(OR($Q$4=TRUE,$Q$5=TRUE,$S$2=TRUE),VLOOKUP($G500,'KO Calc'!$H:$AW,28,FALSE),VLOOKUP($G500,'KO Calc'!$H506:$AW506,28,FALSE)))))))))))))</f>
        <v>-</v>
      </c>
      <c r="J500" s="36" t="str">
        <f>IF(AND($Q$1=FALSE,$S$3=FALSE),"-",IF(AND($Q$1=TRUE,$S$3=TRUE),"-",IF(AND($Q$1=FALSE,$S$3=FALSE),"-",IF(AND($Q$1=TRUE,$S$1=TRUE,$S$4=FALSE)=TRUE,IF(OR($Q$4=TRUE,$Q$5=TRUE,$S$2=TRUE),VLOOKUP($G500,'KO Calc'!$H:$AW,FALSE),VLOOKUP($G500,'KO Calc'!$H506:$AW506,14,FALSE)),IF(AND($Q$1=TRUE,$S$4=FALSE),IF(OR($Q$4=TRUE,$Q$5=TRUE,$S$2=TRUE),VLOOKUP($G500,'KO Calc'!$H:$AW,4,FALSE),VLOOKUP($G500,'KO Calc'!$H506:$AW506,4,FALSE)),
IF(AND($Q$1=TRUE,$S$1=TRUE,$S$4=TRUE)=TRUE,IF(OR($Q$4=TRUE,$Q$5=TRUE,$S$2=TRUE),VLOOKUP($G500,'KO Calc'!$H:$AW,19,FALSE),VLOOKUP($G500,'KO Calc'!$H506:$AW506,19,FALSE)),IF(AND($Q$1=TRUE,$S$4=TRUE),IF(OR($Q$4=TRUE,$Q$5=TRUE,$S$2=TRUE),VLOOKUP($G500,'KO Calc'!$H:$AW,9,FALSE),VLOOKUP($G500,'KO Calc'!$H506:$AW506,9,FALSE)),
IF(AND($S$3=TRUE,$S$1=TRUE,$S$4=FALSE)=TRUE,IF(OR($Q$4=TRUE,$Q$5=TRUE,$S$2=TRUE),VLOOKUP($G500,'KO Calc'!$H:$AW,34,FALSE),VLOOKUP($G500,'KO Calc'!$H506:$AW506,34,FALSE)),IF(AND($S$3=TRUE,$S$4=FALSE),IF(OR($Q$4=TRUE,$Q$5=TRUE,$S$2=TRUE),VLOOKUP($G500,'KO Calc'!$H:$AW,24,FALSE),VLOOKUP($G500,'KO Calc'!$H506:$AW506,24,FALSE)),
IF(AND($S$3=TRUE,$S$1=TRUE,$S$4=TRUE)=TRUE,IF(OR($Q$4=TRUE,$Q$5=TRUE,$S$2=TRUE),VLOOKUP($G500,'KO Calc'!$H:$AW,39,FALSE),VLOOKUP($G500,'KO Calc'!$H506:$AW506,39,FALSE)),IF(AND($S$3=TRUE,$S$4=TRUE),IF(OR($Q$4=TRUE,$Q$5=TRUE,$S$2=TRUE),VLOOKUP($G500,'KO Calc'!$H:$AW,29,FALSE),VLOOKUP($G500,'KO Calc'!$H506:$AW506,29,FALSE)))))))))))))</f>
        <v>-</v>
      </c>
      <c r="K500" s="36" t="str">
        <f>IF(AND($Q$1=FALSE,$S$3=FALSE),"-",IF(AND($Q$1=TRUE,$S$3=TRUE),"-",IF(AND($Q$1=FALSE,$S$3=FALSE),"-",IF(AND($Q$1=TRUE,$S$1=TRUE,$S$4=FALSE)=TRUE,IF(OR($Q$4=TRUE,$Q$5=TRUE,$S$2=TRUE),VLOOKUP($G500,'KO Calc'!$H:$AW,15,FALSE),VLOOKUP($G500,'KO Calc'!$H506:$AW506,15,FALSE)),IF(AND($Q$1=TRUE,$S$4=FALSE),IF(OR($Q$4=TRUE,$Q$5=TRUE,$S$2=TRUE),VLOOKUP($G500,'KO Calc'!$H:$AW,5,FALSE),VLOOKUP($G500,'KO Calc'!$H506:$AW506,5,FALSE)),
IF(AND($Q$1=TRUE,$S$1=TRUE,$S$4=TRUE)=TRUE,IF(OR($Q$4=TRUE,$Q$5=TRUE,$S$2=TRUE),VLOOKUP($G500,'KO Calc'!$H:$AW,20,FALSE),VLOOKUP($G500,'KO Calc'!$H506:$AW506,20,FALSE)),IF(AND($Q$1=TRUE,$S$4=TRUE),IF(OR($Q$4=TRUE,$Q$5=TRUE,$S$2=TRUE),VLOOKUP($G500,'KO Calc'!$H:$AW,10,FALSE),VLOOKUP($G500,'KO Calc'!$H506:$AW506,10,FALSE)),
IF(AND($S$3=TRUE,$S$1=TRUE,$S$4=FALSE)=TRUE,IF(OR($Q$4=TRUE,$Q$5=TRUE,$S$2=TRUE),VLOOKUP($G500,'KO Calc'!$H:$AW,35,FALSE),VLOOKUP($G500,'KO Calc'!$H506:$AW506,35,FALSE)),IF(AND($S$3=TRUE,$S$4=FALSE),IF(OR($Q$4=TRUE,$Q$5=TRUE,$S$2=TRUE),VLOOKUP($G500,'KO Calc'!$H:$AW,25,FALSE),VLOOKUP($G500,'KO Calc'!$H506:$AW506,25,FALSE)),
IF(AND($S$3=TRUE,$S$1=TRUE,$S$4=TRUE)=TRUE,IF(OR($Q$4=TRUE,$Q$5=TRUE,$S$2=TRUE),VLOOKUP($G500,'KO Calc'!$H:$AW,40,FALSE),VLOOKUP($G500,'KO Calc'!$H506:$AW506,40,FALSE)),IF(AND($S$3=TRUE,$S$4=TRUE),IF(OR($Q$4=TRUE,$Q$5=TRUE,$S$2=TRUE),VLOOKUP($G500,'KO Calc'!$H:$AW,30,FALSE),VLOOKUP($G500,'KO Calc'!$H506:$AW506,30,FALSE)))))))))))))</f>
        <v>-</v>
      </c>
      <c r="L500" s="36" t="str">
        <f>IFERROR(IF(AND($Q$1=FALSE,$S$3=FALSE),"-",VLOOKUP($E500,'Status Thresholds'!$E:$AU,43,FALSE)),"-")</f>
        <v>-</v>
      </c>
      <c r="M500" s="36" t="str">
        <f>IFERROR(IF(AND($Q$1=FALSE,$S$3=FALSE),"-",VLOOKUP($E500,'Status Thresholds'!$E:$AU,41,FALSE)),"-")</f>
        <v>-</v>
      </c>
      <c r="N500" s="36" t="str">
        <f>IFERROR(IF(AND($Q$1=FALSE,$S$3=FALSE),"-",VLOOKUP($E500,'Status Thresholds'!$E:$AU,42,FALSE)),"-")</f>
        <v>-</v>
      </c>
    </row>
    <row r="501" spans="1:14" x14ac:dyDescent="0.25">
      <c r="B501" s="64" t="str">
        <f>VLOOKUP(C501,'Status Thresholds'!B:C,2,FALSE)</f>
        <v>MHGen</v>
      </c>
      <c r="C501" s="46" t="str">
        <f>IF(ISBLANK('KO Calc'!C497)=TRUE,"",'KO Calc'!C497)</f>
        <v>Lavasioth</v>
      </c>
      <c r="D501" s="78" t="s">
        <v>213</v>
      </c>
      <c r="E501" s="62" t="str">
        <f t="shared" si="13"/>
        <v>LavasiothPitfall Trap</v>
      </c>
      <c r="F501" t="s">
        <v>12</v>
      </c>
      <c r="G501" s="36" t="str">
        <f t="shared" si="14"/>
        <v>LavasiothCrag 2</v>
      </c>
      <c r="H501" s="36" t="str">
        <f>IF(AND($Q$1=FALSE,$S$3=FALSE),"-",IF(AND($Q$1=TRUE,$S$3=TRUE),"-",IF(AND($Q$1=FALSE,$S$3=FALSE),"-",IF(AND($Q$1=TRUE,$S$1=TRUE,$S$4=FALSE)=TRUE,IF(OR($Q$4=TRUE,$Q$5=TRUE,$S$2=TRUE),VLOOKUP($G501,'KO Calc'!$H:$AW,12,FALSE),VLOOKUP($G501,'KO Calc'!$H507:$AW507,12,FALSE)),IF(AND($Q$1=TRUE,$S$4=FALSE),IF(OR($Q$4=TRUE,$Q$5=TRUE,$S$2=TRUE),VLOOKUP($G501,'KO Calc'!$H:$AW,2,FALSE),VLOOKUP($G501,'KO Calc'!$H507:$AW507,2,FALSE)),
IF(AND($Q$1=TRUE,$S$1=TRUE,$S$4=TRUE)=TRUE,IF(OR($Q$4=TRUE,$Q$5=TRUE,$S$2=TRUE),VLOOKUP($G501,'KO Calc'!$H:$AW,17,FALSE),VLOOKUP($G501,'KO Calc'!$H507:$AW507,17,FALSE)),IF(AND($Q$1=TRUE,$S$4=TRUE),IF(OR($Q$4=TRUE,$Q$5=TRUE,$S$2=TRUE),VLOOKUP($G501,'KO Calc'!$H:$AW,7,FALSE),VLOOKUP($G501,'KO Calc'!$H507:$AW507,7,FALSE)),
IF(AND($S$3=TRUE,$S$1=TRUE,$S$4=FALSE)=TRUE,IF(OR($Q$4=TRUE,$Q$5=TRUE,$S$2=TRUE),VLOOKUP($G501,'KO Calc'!$H:$AW,32,FALSE),VLOOKUP($G501,'KO Calc'!$H507:$AW507,32,FALSE)),IF(AND($S$3=TRUE,$S$4=FALSE),IF(OR($Q$4=TRUE,$Q$5=TRUE,$S$2=TRUE),VLOOKUP($G501,'KO Calc'!$H:$AW,22,FALSE),VLOOKUP($G501,'KO Calc'!$H507:$AW507,22,FALSE)),
IF(AND($S$3=TRUE,$S$1=TRUE,$S$4=TRUE)=TRUE,IF(OR($Q$4=TRUE,$Q$5=TRUE,$S$2=TRUE),VLOOKUP($G501,'KO Calc'!$H:$AW,37,FALSE),VLOOKUP($G501,'KO Calc'!$H507:$AW507,37,FALSE)),IF(AND($S$3=TRUE,$S$4=TRUE),IF(OR($Q$4=TRUE,$Q$5=TRUE,$S$2=TRUE),VLOOKUP($G501,'KO Calc'!$H:$AW,27,FALSE),VLOOKUP($G501,'KO Calc'!$H507:$AW507,27,FALSE)))))))))))))</f>
        <v>-</v>
      </c>
      <c r="I501" s="36" t="str">
        <f>IF(AND($Q$1=FALSE,$S$3=FALSE),"-",IF(AND($Q$1=TRUE,$S$3=TRUE),"-",IF(AND($Q$1=FALSE,$S$3=FALSE),"-",IF(AND($Q$1=TRUE,$S$1=TRUE,$S$4=FALSE)=TRUE,IF(OR($Q$4=TRUE,$Q$5=TRUE,$S$2=TRUE),VLOOKUP($G501,'KO Calc'!$H:$AW,13,FALSE),VLOOKUP($G501,'KO Calc'!$H507:$AW507,13,FALSE)),IF(AND($Q$1=TRUE,$S$4=FALSE),IF(OR($Q$4=TRUE,$Q$5=TRUE,$S$2=TRUE),VLOOKUP($G501,'KO Calc'!$H:$AW,3,FALSE),VLOOKUP($G501,'KO Calc'!$H507:$AW507,3,FALSE)),
IF(AND($Q$1=TRUE,$S$1=TRUE,$S$4=TRUE)=TRUE,IF(OR($Q$4=TRUE,$Q$5=TRUE,$S$2=TRUE),VLOOKUP($G501,'KO Calc'!$H:$AW,18,FALSE),VLOOKUP($G501,'KO Calc'!$H507:$AW507,18,FALSE)),IF(AND($Q$1=TRUE,$S$4=TRUE),IF(OR($Q$4=TRUE,$Q$5=TRUE,$S$2=TRUE),VLOOKUP($G501,'KO Calc'!$H:$AW,8,FALSE),VLOOKUP($G501,'KO Calc'!$H507:$AW507,8,FALSE)),
IF(AND($S$3=TRUE,$S$1=TRUE,$S$4=FALSE)=TRUE,IF(OR($Q$4=TRUE,$Q$5=TRUE,$S$2=TRUE),VLOOKUP($G501,'KO Calc'!$H:$AW,33,FALSE),VLOOKUP($G501,'KO Calc'!$H507:$AW507,33,FALSE)),IF(AND($S$3=TRUE,$S$4=FALSE),IF(OR($Q$4=TRUE,$Q$5=TRUE,$S$2=TRUE),VLOOKUP($G501,'KO Calc'!$H:$AW,23,FALSE),VLOOKUP($G501,'KO Calc'!$H507:$AW507,23,FALSE)),
IF(AND($S$3=TRUE,$S$1=TRUE,$S$4=TRUE)=TRUE,IF(OR($Q$4=TRUE,$Q$5=TRUE,$S$2=TRUE),VLOOKUP($G501,'KO Calc'!$H:$AW,38,FALSE),VLOOKUP($G501,'KO Calc'!$H507:$AW507,38,FALSE)),IF(AND($S$3=TRUE,$S$4=TRUE),IF(OR($Q$4=TRUE,$Q$5=TRUE,$S$2=TRUE),VLOOKUP($G501,'KO Calc'!$H:$AW,28,FALSE),VLOOKUP($G501,'KO Calc'!$H507:$AW507,28,FALSE)))))))))))))</f>
        <v>-</v>
      </c>
      <c r="J501" s="36" t="str">
        <f>IF(AND($Q$1=FALSE,$S$3=FALSE),"-",IF(AND($Q$1=TRUE,$S$3=TRUE),"-",IF(AND($Q$1=FALSE,$S$3=FALSE),"-",IF(AND($Q$1=TRUE,$S$1=TRUE,$S$4=FALSE)=TRUE,IF(OR($Q$4=TRUE,$Q$5=TRUE,$S$2=TRUE),VLOOKUP($G501,'KO Calc'!$H:$AW,FALSE),VLOOKUP($G501,'KO Calc'!$H507:$AW507,14,FALSE)),IF(AND($Q$1=TRUE,$S$4=FALSE),IF(OR($Q$4=TRUE,$Q$5=TRUE,$S$2=TRUE),VLOOKUP($G501,'KO Calc'!$H:$AW,4,FALSE),VLOOKUP($G501,'KO Calc'!$H507:$AW507,4,FALSE)),
IF(AND($Q$1=TRUE,$S$1=TRUE,$S$4=TRUE)=TRUE,IF(OR($Q$4=TRUE,$Q$5=TRUE,$S$2=TRUE),VLOOKUP($G501,'KO Calc'!$H:$AW,19,FALSE),VLOOKUP($G501,'KO Calc'!$H507:$AW507,19,FALSE)),IF(AND($Q$1=TRUE,$S$4=TRUE),IF(OR($Q$4=TRUE,$Q$5=TRUE,$S$2=TRUE),VLOOKUP($G501,'KO Calc'!$H:$AW,9,FALSE),VLOOKUP($G501,'KO Calc'!$H507:$AW507,9,FALSE)),
IF(AND($S$3=TRUE,$S$1=TRUE,$S$4=FALSE)=TRUE,IF(OR($Q$4=TRUE,$Q$5=TRUE,$S$2=TRUE),VLOOKUP($G501,'KO Calc'!$H:$AW,34,FALSE),VLOOKUP($G501,'KO Calc'!$H507:$AW507,34,FALSE)),IF(AND($S$3=TRUE,$S$4=FALSE),IF(OR($Q$4=TRUE,$Q$5=TRUE,$S$2=TRUE),VLOOKUP($G501,'KO Calc'!$H:$AW,24,FALSE),VLOOKUP($G501,'KO Calc'!$H507:$AW507,24,FALSE)),
IF(AND($S$3=TRUE,$S$1=TRUE,$S$4=TRUE)=TRUE,IF(OR($Q$4=TRUE,$Q$5=TRUE,$S$2=TRUE),VLOOKUP($G501,'KO Calc'!$H:$AW,39,FALSE),VLOOKUP($G501,'KO Calc'!$H507:$AW507,39,FALSE)),IF(AND($S$3=TRUE,$S$4=TRUE),IF(OR($Q$4=TRUE,$Q$5=TRUE,$S$2=TRUE),VLOOKUP($G501,'KO Calc'!$H:$AW,29,FALSE),VLOOKUP($G501,'KO Calc'!$H507:$AW507,29,FALSE)))))))))))))</f>
        <v>-</v>
      </c>
      <c r="K501" s="36" t="str">
        <f>IF(AND($Q$1=FALSE,$S$3=FALSE),"-",IF(AND($Q$1=TRUE,$S$3=TRUE),"-",IF(AND($Q$1=FALSE,$S$3=FALSE),"-",IF(AND($Q$1=TRUE,$S$1=TRUE,$S$4=FALSE)=TRUE,IF(OR($Q$4=TRUE,$Q$5=TRUE,$S$2=TRUE),VLOOKUP($G501,'KO Calc'!$H:$AW,15,FALSE),VLOOKUP($G501,'KO Calc'!$H507:$AW507,15,FALSE)),IF(AND($Q$1=TRUE,$S$4=FALSE),IF(OR($Q$4=TRUE,$Q$5=TRUE,$S$2=TRUE),VLOOKUP($G501,'KO Calc'!$H:$AW,5,FALSE),VLOOKUP($G501,'KO Calc'!$H507:$AW507,5,FALSE)),
IF(AND($Q$1=TRUE,$S$1=TRUE,$S$4=TRUE)=TRUE,IF(OR($Q$4=TRUE,$Q$5=TRUE,$S$2=TRUE),VLOOKUP($G501,'KO Calc'!$H:$AW,20,FALSE),VLOOKUP($G501,'KO Calc'!$H507:$AW507,20,FALSE)),IF(AND($Q$1=TRUE,$S$4=TRUE),IF(OR($Q$4=TRUE,$Q$5=TRUE,$S$2=TRUE),VLOOKUP($G501,'KO Calc'!$H:$AW,10,FALSE),VLOOKUP($G501,'KO Calc'!$H507:$AW507,10,FALSE)),
IF(AND($S$3=TRUE,$S$1=TRUE,$S$4=FALSE)=TRUE,IF(OR($Q$4=TRUE,$Q$5=TRUE,$S$2=TRUE),VLOOKUP($G501,'KO Calc'!$H:$AW,35,FALSE),VLOOKUP($G501,'KO Calc'!$H507:$AW507,35,FALSE)),IF(AND($S$3=TRUE,$S$4=FALSE),IF(OR($Q$4=TRUE,$Q$5=TRUE,$S$2=TRUE),VLOOKUP($G501,'KO Calc'!$H:$AW,25,FALSE),VLOOKUP($G501,'KO Calc'!$H507:$AW507,25,FALSE)),
IF(AND($S$3=TRUE,$S$1=TRUE,$S$4=TRUE)=TRUE,IF(OR($Q$4=TRUE,$Q$5=TRUE,$S$2=TRUE),VLOOKUP($G501,'KO Calc'!$H:$AW,40,FALSE),VLOOKUP($G501,'KO Calc'!$H507:$AW507,40,FALSE)),IF(AND($S$3=TRUE,$S$4=TRUE),IF(OR($Q$4=TRUE,$Q$5=TRUE,$S$2=TRUE),VLOOKUP($G501,'KO Calc'!$H:$AW,30,FALSE),VLOOKUP($G501,'KO Calc'!$H507:$AW507,30,FALSE)))))))))))))</f>
        <v>-</v>
      </c>
      <c r="L501" s="36" t="str">
        <f>IFERROR(IF(AND($Q$1=FALSE,$S$3=FALSE),"-",VLOOKUP($E501,'Status Thresholds'!$E:$AU,43,FALSE)),"-")</f>
        <v>-</v>
      </c>
      <c r="M501" s="36" t="str">
        <f>IFERROR(IF(AND($Q$1=FALSE,$S$3=FALSE),"-",VLOOKUP($E501,'Status Thresholds'!$E:$AU,41,FALSE)),"-")</f>
        <v>-</v>
      </c>
      <c r="N501" s="36" t="str">
        <f>IFERROR(IF(AND($Q$1=FALSE,$S$3=FALSE),"-",VLOOKUP($E501,'Status Thresholds'!$E:$AU,42,FALSE)),"-")</f>
        <v>-</v>
      </c>
    </row>
    <row r="502" spans="1:14" x14ac:dyDescent="0.25">
      <c r="B502" s="64" t="str">
        <f>VLOOKUP(C502,'Status Thresholds'!B:C,2,FALSE)</f>
        <v>MHGen</v>
      </c>
      <c r="C502" s="46" t="str">
        <f>IF(ISBLANK('KO Calc'!C498)=TRUE,"",'KO Calc'!C498)</f>
        <v>Lavasioth</v>
      </c>
      <c r="D502" s="78"/>
      <c r="E502" s="62" t="str">
        <f t="shared" si="13"/>
        <v>Lavasioth</v>
      </c>
      <c r="F502" t="s">
        <v>11</v>
      </c>
      <c r="G502" s="36" t="str">
        <f t="shared" si="14"/>
        <v>LavasiothCrag 1</v>
      </c>
      <c r="H502" s="36" t="str">
        <f>IF(AND($Q$1=FALSE,$S$3=FALSE),"-",IF(AND($Q$1=TRUE,$S$3=TRUE),"-",IF(AND($Q$1=FALSE,$S$3=FALSE),"-",IF(AND($Q$1=TRUE,$S$1=TRUE,$S$4=FALSE)=TRUE,IF(OR($Q$4=TRUE,$Q$5=TRUE,$S$2=TRUE),VLOOKUP($G502,'KO Calc'!$H:$AW,12,FALSE),VLOOKUP($G502,'KO Calc'!$H508:$AW508,12,FALSE)),IF(AND($Q$1=TRUE,$S$4=FALSE),IF(OR($Q$4=TRUE,$Q$5=TRUE,$S$2=TRUE),VLOOKUP($G502,'KO Calc'!$H:$AW,2,FALSE),VLOOKUP($G502,'KO Calc'!$H508:$AW508,2,FALSE)),
IF(AND($Q$1=TRUE,$S$1=TRUE,$S$4=TRUE)=TRUE,IF(OR($Q$4=TRUE,$Q$5=TRUE,$S$2=TRUE),VLOOKUP($G502,'KO Calc'!$H:$AW,17,FALSE),VLOOKUP($G502,'KO Calc'!$H508:$AW508,17,FALSE)),IF(AND($Q$1=TRUE,$S$4=TRUE),IF(OR($Q$4=TRUE,$Q$5=TRUE,$S$2=TRUE),VLOOKUP($G502,'KO Calc'!$H:$AW,7,FALSE),VLOOKUP($G502,'KO Calc'!$H508:$AW508,7,FALSE)),
IF(AND($S$3=TRUE,$S$1=TRUE,$S$4=FALSE)=TRUE,IF(OR($Q$4=TRUE,$Q$5=TRUE,$S$2=TRUE),VLOOKUP($G502,'KO Calc'!$H:$AW,32,FALSE),VLOOKUP($G502,'KO Calc'!$H508:$AW508,32,FALSE)),IF(AND($S$3=TRUE,$S$4=FALSE),IF(OR($Q$4=TRUE,$Q$5=TRUE,$S$2=TRUE),VLOOKUP($G502,'KO Calc'!$H:$AW,22,FALSE),VLOOKUP($G502,'KO Calc'!$H508:$AW508,22,FALSE)),
IF(AND($S$3=TRUE,$S$1=TRUE,$S$4=TRUE)=TRUE,IF(OR($Q$4=TRUE,$Q$5=TRUE,$S$2=TRUE),VLOOKUP($G502,'KO Calc'!$H:$AW,37,FALSE),VLOOKUP($G502,'KO Calc'!$H508:$AW508,37,FALSE)),IF(AND($S$3=TRUE,$S$4=TRUE),IF(OR($Q$4=TRUE,$Q$5=TRUE,$S$2=TRUE),VLOOKUP($G502,'KO Calc'!$H:$AW,27,FALSE),VLOOKUP($G502,'KO Calc'!$H508:$AW508,27,FALSE)))))))))))))</f>
        <v>-</v>
      </c>
      <c r="I502" s="36" t="str">
        <f>IF(AND($Q$1=FALSE,$S$3=FALSE),"-",IF(AND($Q$1=TRUE,$S$3=TRUE),"-",IF(AND($Q$1=FALSE,$S$3=FALSE),"-",IF(AND($Q$1=TRUE,$S$1=TRUE,$S$4=FALSE)=TRUE,IF(OR($Q$4=TRUE,$Q$5=TRUE,$S$2=TRUE),VLOOKUP($G502,'KO Calc'!$H:$AW,13,FALSE),VLOOKUP($G502,'KO Calc'!$H508:$AW508,13,FALSE)),IF(AND($Q$1=TRUE,$S$4=FALSE),IF(OR($Q$4=TRUE,$Q$5=TRUE,$S$2=TRUE),VLOOKUP($G502,'KO Calc'!$H:$AW,3,FALSE),VLOOKUP($G502,'KO Calc'!$H508:$AW508,3,FALSE)),
IF(AND($Q$1=TRUE,$S$1=TRUE,$S$4=TRUE)=TRUE,IF(OR($Q$4=TRUE,$Q$5=TRUE,$S$2=TRUE),VLOOKUP($G502,'KO Calc'!$H:$AW,18,FALSE),VLOOKUP($G502,'KO Calc'!$H508:$AW508,18,FALSE)),IF(AND($Q$1=TRUE,$S$4=TRUE),IF(OR($Q$4=TRUE,$Q$5=TRUE,$S$2=TRUE),VLOOKUP($G502,'KO Calc'!$H:$AW,8,FALSE),VLOOKUP($G502,'KO Calc'!$H508:$AW508,8,FALSE)),
IF(AND($S$3=TRUE,$S$1=TRUE,$S$4=FALSE)=TRUE,IF(OR($Q$4=TRUE,$Q$5=TRUE,$S$2=TRUE),VLOOKUP($G502,'KO Calc'!$H:$AW,33,FALSE),VLOOKUP($G502,'KO Calc'!$H508:$AW508,33,FALSE)),IF(AND($S$3=TRUE,$S$4=FALSE),IF(OR($Q$4=TRUE,$Q$5=TRUE,$S$2=TRUE),VLOOKUP($G502,'KO Calc'!$H:$AW,23,FALSE),VLOOKUP($G502,'KO Calc'!$H508:$AW508,23,FALSE)),
IF(AND($S$3=TRUE,$S$1=TRUE,$S$4=TRUE)=TRUE,IF(OR($Q$4=TRUE,$Q$5=TRUE,$S$2=TRUE),VLOOKUP($G502,'KO Calc'!$H:$AW,38,FALSE),VLOOKUP($G502,'KO Calc'!$H508:$AW508,38,FALSE)),IF(AND($S$3=TRUE,$S$4=TRUE),IF(OR($Q$4=TRUE,$Q$5=TRUE,$S$2=TRUE),VLOOKUP($G502,'KO Calc'!$H:$AW,28,FALSE),VLOOKUP($G502,'KO Calc'!$H508:$AW508,28,FALSE)))))))))))))</f>
        <v>-</v>
      </c>
      <c r="J502" s="36" t="str">
        <f>IF(AND($Q$1=FALSE,$S$3=FALSE),"-",IF(AND($Q$1=TRUE,$S$3=TRUE),"-",IF(AND($Q$1=FALSE,$S$3=FALSE),"-",IF(AND($Q$1=TRUE,$S$1=TRUE,$S$4=FALSE)=TRUE,IF(OR($Q$4=TRUE,$Q$5=TRUE,$S$2=TRUE),VLOOKUP($G502,'KO Calc'!$H:$AW,FALSE),VLOOKUP($G502,'KO Calc'!$H508:$AW508,14,FALSE)),IF(AND($Q$1=TRUE,$S$4=FALSE),IF(OR($Q$4=TRUE,$Q$5=TRUE,$S$2=TRUE),VLOOKUP($G502,'KO Calc'!$H:$AW,4,FALSE),VLOOKUP($G502,'KO Calc'!$H508:$AW508,4,FALSE)),
IF(AND($Q$1=TRUE,$S$1=TRUE,$S$4=TRUE)=TRUE,IF(OR($Q$4=TRUE,$Q$5=TRUE,$S$2=TRUE),VLOOKUP($G502,'KO Calc'!$H:$AW,19,FALSE),VLOOKUP($G502,'KO Calc'!$H508:$AW508,19,FALSE)),IF(AND($Q$1=TRUE,$S$4=TRUE),IF(OR($Q$4=TRUE,$Q$5=TRUE,$S$2=TRUE),VLOOKUP($G502,'KO Calc'!$H:$AW,9,FALSE),VLOOKUP($G502,'KO Calc'!$H508:$AW508,9,FALSE)),
IF(AND($S$3=TRUE,$S$1=TRUE,$S$4=FALSE)=TRUE,IF(OR($Q$4=TRUE,$Q$5=TRUE,$S$2=TRUE),VLOOKUP($G502,'KO Calc'!$H:$AW,34,FALSE),VLOOKUP($G502,'KO Calc'!$H508:$AW508,34,FALSE)),IF(AND($S$3=TRUE,$S$4=FALSE),IF(OR($Q$4=TRUE,$Q$5=TRUE,$S$2=TRUE),VLOOKUP($G502,'KO Calc'!$H:$AW,24,FALSE),VLOOKUP($G502,'KO Calc'!$H508:$AW508,24,FALSE)),
IF(AND($S$3=TRUE,$S$1=TRUE,$S$4=TRUE)=TRUE,IF(OR($Q$4=TRUE,$Q$5=TRUE,$S$2=TRUE),VLOOKUP($G502,'KO Calc'!$H:$AW,39,FALSE),VLOOKUP($G502,'KO Calc'!$H508:$AW508,39,FALSE)),IF(AND($S$3=TRUE,$S$4=TRUE),IF(OR($Q$4=TRUE,$Q$5=TRUE,$S$2=TRUE),VLOOKUP($G502,'KO Calc'!$H:$AW,29,FALSE),VLOOKUP($G502,'KO Calc'!$H508:$AW508,29,FALSE)))))))))))))</f>
        <v>-</v>
      </c>
      <c r="K502" s="36" t="str">
        <f>IF(AND($Q$1=FALSE,$S$3=FALSE),"-",IF(AND($Q$1=TRUE,$S$3=TRUE),"-",IF(AND($Q$1=FALSE,$S$3=FALSE),"-",IF(AND($Q$1=TRUE,$S$1=TRUE,$S$4=FALSE)=TRUE,IF(OR($Q$4=TRUE,$Q$5=TRUE,$S$2=TRUE),VLOOKUP($G502,'KO Calc'!$H:$AW,15,FALSE),VLOOKUP($G502,'KO Calc'!$H508:$AW508,15,FALSE)),IF(AND($Q$1=TRUE,$S$4=FALSE),IF(OR($Q$4=TRUE,$Q$5=TRUE,$S$2=TRUE),VLOOKUP($G502,'KO Calc'!$H:$AW,5,FALSE),VLOOKUP($G502,'KO Calc'!$H508:$AW508,5,FALSE)),
IF(AND($Q$1=TRUE,$S$1=TRUE,$S$4=TRUE)=TRUE,IF(OR($Q$4=TRUE,$Q$5=TRUE,$S$2=TRUE),VLOOKUP($G502,'KO Calc'!$H:$AW,20,FALSE),VLOOKUP($G502,'KO Calc'!$H508:$AW508,20,FALSE)),IF(AND($Q$1=TRUE,$S$4=TRUE),IF(OR($Q$4=TRUE,$Q$5=TRUE,$S$2=TRUE),VLOOKUP($G502,'KO Calc'!$H:$AW,10,FALSE),VLOOKUP($G502,'KO Calc'!$H508:$AW508,10,FALSE)),
IF(AND($S$3=TRUE,$S$1=TRUE,$S$4=FALSE)=TRUE,IF(OR($Q$4=TRUE,$Q$5=TRUE,$S$2=TRUE),VLOOKUP($G502,'KO Calc'!$H:$AW,35,FALSE),VLOOKUP($G502,'KO Calc'!$H508:$AW508,35,FALSE)),IF(AND($S$3=TRUE,$S$4=FALSE),IF(OR($Q$4=TRUE,$Q$5=TRUE,$S$2=TRUE),VLOOKUP($G502,'KO Calc'!$H:$AW,25,FALSE),VLOOKUP($G502,'KO Calc'!$H508:$AW508,25,FALSE)),
IF(AND($S$3=TRUE,$S$1=TRUE,$S$4=TRUE)=TRUE,IF(OR($Q$4=TRUE,$Q$5=TRUE,$S$2=TRUE),VLOOKUP($G502,'KO Calc'!$H:$AW,40,FALSE),VLOOKUP($G502,'KO Calc'!$H508:$AW508,40,FALSE)),IF(AND($S$3=TRUE,$S$4=TRUE),IF(OR($Q$4=TRUE,$Q$5=TRUE,$S$2=TRUE),VLOOKUP($G502,'KO Calc'!$H:$AW,30,FALSE),VLOOKUP($G502,'KO Calc'!$H508:$AW508,30,FALSE)))))))))))))</f>
        <v>-</v>
      </c>
      <c r="L502" s="36" t="str">
        <f>IFERROR(VLOOKUP($E502,'Status Thresholds'!$E:$AS,41,FALSE),"-")</f>
        <v>-</v>
      </c>
    </row>
    <row r="503" spans="1:14" x14ac:dyDescent="0.25">
      <c r="B503" s="64" t="str">
        <f>VLOOKUP(C503,'Status Thresholds'!B:C,2,FALSE)</f>
        <v>MHGen</v>
      </c>
      <c r="C503" s="46" t="str">
        <f>IF(ISBLANK('KO Calc'!C499)=TRUE,"",'KO Calc'!C499)</f>
        <v>Lavasioth</v>
      </c>
      <c r="D503" s="78"/>
      <c r="E503" s="62"/>
      <c r="G503" s="36"/>
      <c r="L503" s="36" t="str">
        <f>IFERROR(VLOOKUP($E503,'Status Thresholds'!$E:$AS,41,FALSE),"-")</f>
        <v>-</v>
      </c>
    </row>
    <row r="504" spans="1:14" s="36" customFormat="1" x14ac:dyDescent="0.25">
      <c r="B504" s="64" t="str">
        <f>VLOOKUP(C504,'Status Thresholds'!B:C,2,FALSE)</f>
        <v>MHGen</v>
      </c>
      <c r="C504" s="46" t="str">
        <f>IF(ISBLANK('KO Calc'!C500)=TRUE,"",'KO Calc'!C500)</f>
        <v>Malfestio</v>
      </c>
      <c r="D504" s="65" t="s">
        <v>0</v>
      </c>
      <c r="E504" s="62" t="str">
        <f t="shared" si="13"/>
        <v>MalfestioPara</v>
      </c>
      <c r="F504" s="36" t="s">
        <v>2</v>
      </c>
      <c r="G504" s="36" t="str">
        <f t="shared" si="14"/>
        <v>MalfestioPara lvl 2</v>
      </c>
      <c r="H504" s="36" t="str">
        <f>IFERROR(ROUNDUP(IF(AND($Q$1=FALSE,$S$3=FALSE),"-",IF(AND($Q$1=TRUE,$S$3=TRUE),"-",IF(AND($Q$1=TRUE,$S$1=TRUE,$S$4=FALSE),VLOOKUP($E504,'Status Thresholds'!$E:$AS,12,FALSE),IF(AND($Q$1=TRUE,$S$4=FALSE),VLOOKUP($E504,'Status Thresholds'!$E:$AS,2,FALSE), IF(AND($Q$1=TRUE,$S$1=TRUE,$S$4=TRUE),VLOOKUP($E504,'Status Thresholds'!$E:$AS,17,FALSE),IF(AND($Q$1=TRUE,$S$4=TRUE),VLOOKUP($E504,'Status Thresholds'!$E:$AS,7,FALSE),IF(AND($S$3=TRUE,$S$1=TRUE,$S$4=FALSE),VLOOKUP($E504,'Status Thresholds'!$E:$AS,32,FALSE),IF(AND($S$3=TRUE,$S$4=FALSE),VLOOKUP($E504,'Status Thresholds'!$E:$AS,22,FALSE),IF(AND($S$3=TRUE,$S$1=TRUE,$S$4=TRUE),VLOOKUP($E504,'Status Thresholds'!$E:$AS,37,FALSE),IF(AND($S$3=TRUE,$S$4=TRUE),VLOOKUP($E504,'Status Thresholds'!$E:$AS,27,FALSE),""))))))))/IF(OR($Q$3=TRUE,AND($Q$2=TRUE,$Q$7=TRUE),AND($Q$3=TRUE,$Q$7=TRUE))=TRUE,'Shots and Status'!$F$5,IF((OR($Q$2,$Q$7)=TRUE),'Shots and Status'!$D$5,'Shots and Status'!$C$5)))),0),"-")</f>
        <v>-</v>
      </c>
      <c r="I504" s="36" t="str">
        <f>IFERROR(ROUNDUP(IF(AND($Q$1=FALSE,$S$3=FALSE),"-",IF(AND($Q$1=TRUE,$S$3=TRUE),"-",IF(AND($Q$1=TRUE,$S$1=TRUE,$S$4=FALSE),VLOOKUP($E504,'Status Thresholds'!$E:$AS,13,FALSE),IF(AND($Q$1=TRUE,$S$4=FALSE),VLOOKUP($E504,'Status Thresholds'!$E:$AS,3,FALSE), IF(AND($Q$1=TRUE,$S$1=TRUE,$S$4=TRUE),VLOOKUP($E504,'Status Thresholds'!$E:$AS,18,FALSE),IF(AND($Q$1=TRUE,$S$4=TRUE),VLOOKUP($E504,'Status Thresholds'!$E:$AS,8,FALSE),IF(AND($S$3=TRUE,$S$1=TRUE,$S$4=FALSE),VLOOKUP($E504,'Status Thresholds'!$E:$AS,33,FALSE),IF(AND($S$3=TRUE,$S$4=FALSE),VLOOKUP($E504,'Status Thresholds'!$E:$AS,23,FALSE),IF(AND($S$3=TRUE,$S$1=TRUE,$S$4=TRUE),VLOOKUP($E504,'Status Thresholds'!$E:$AS,38,FALSE),IF(AND($S$3=TRUE,$S$4=TRUE),VLOOKUP($E504,'Status Thresholds'!$E:$AS,28,FALSE),""))))))))/IF(OR($Q$3=TRUE,AND($Q$2=TRUE,$Q$7=TRUE),AND($Q$3=TRUE,$Q$7=TRUE))=TRUE,'Shots and Status'!$F$5,IF((OR($Q$2,$Q$7)=TRUE),'Shots and Status'!$D$5,'Shots and Status'!$C$5)))),0),"-")</f>
        <v>-</v>
      </c>
      <c r="J504" s="36" t="str">
        <f>IFERROR(ROUNDUP(IF(AND($Q$1=FALSE,$S$3=FALSE),"-",IF(AND($Q$1=TRUE,$S$3=TRUE),"-",IF(AND($Q$1=TRUE,$S$1=TRUE,$S$4=FALSE),VLOOKUP($E504,'Status Thresholds'!$E:$AS,14,FALSE),IF(AND($Q$1=TRUE,$S$4=FALSE),VLOOKUP($E504,'Status Thresholds'!$E:$AS,4,FALSE), IF(AND($Q$1=TRUE,$S$1=TRUE,$S$4=TRUE),VLOOKUP($E504,'Status Thresholds'!$E:$AS,19,FALSE),IF(AND($Q$1=TRUE,$S$4=TRUE),VLOOKUP($E504,'Status Thresholds'!$E:$AS,9,FALSE),IF(AND($S$3=TRUE,$S$1=TRUE,$S$4=FALSE),VLOOKUP($E504,'Status Thresholds'!$E:$AS,34,FALSE),IF(AND($S$3=TRUE,$S$4=FALSE),VLOOKUP($E504,'Status Thresholds'!$E:$AS,24,FALSE),IF(AND($S$3=TRUE,$S$1=TRUE,$S$4=TRUE),VLOOKUP($E504,'Status Thresholds'!$E:$AS,39,FALSE),IF(AND($S$3=TRUE,$S$4=TRUE),VLOOKUP($E504,'Status Thresholds'!$E:$AS,29,FALSE),""))))))))/IF(OR($Q$3=TRUE,AND($Q$2=TRUE,$Q$7=TRUE),AND($Q$3=TRUE,$Q$7=TRUE))=TRUE,'Shots and Status'!$F$5,IF((OR($Q$2,$Q$7)=TRUE),'Shots and Status'!$D$5,'Shots and Status'!$C$5)))),0),"-")</f>
        <v>-</v>
      </c>
      <c r="K504" s="36" t="str">
        <f>IFERROR(ROUNDUP(IF(AND($Q$1=FALSE,$S$3=FALSE),"-",IF(AND($Q$1=TRUE,$S$3=TRUE),"-",IF(AND($Q$1=TRUE,$S$1=TRUE,$S$4=FALSE),VLOOKUP($E504,'Status Thresholds'!$E:$AS,15,FALSE),IF(AND($Q$1=TRUE,$S$4=FALSE),VLOOKUP($E504,'Status Thresholds'!$E:$AS,5,FALSE), IF(AND($Q$1=TRUE,$S$1=TRUE,$S$4=TRUE),VLOOKUP($E504,'Status Thresholds'!$E:$AS,20,FALSE),IF(AND($Q$1=TRUE,$S$4=TRUE),VLOOKUP($E504,'Status Thresholds'!$E:$AS,10,FALSE),IF(AND($S$3=TRUE,$S$1=TRUE,$S$4=FALSE),VLOOKUP($E504,'Status Thresholds'!$E:$AS,35,FALSE),IF(AND($S$3=TRUE,$S$4=FALSE),VLOOKUP($E504,'Status Thresholds'!$E:$AS,25,FALSE),IF(AND($S$3=TRUE,$S$1=TRUE,$S$4=TRUE),VLOOKUP($E504,'Status Thresholds'!$E:$AS,40,FALSE),IF(AND($S$3=TRUE,$S$4=TRUE),VLOOKUP($E504,'Status Thresholds'!$E:$AS,30,FALSE),""))))))))/IF(OR($Q$3=TRUE,AND($Q$2=TRUE,$Q$7=TRUE),AND($Q$3=TRUE,$Q$7=TRUE))=TRUE,'Shots and Status'!$F$5,IF((OR($Q$2,$Q$7)=TRUE),'Shots and Status'!$D$5,'Shots and Status'!$C$5)))),0),"-")</f>
        <v>-</v>
      </c>
      <c r="L504" s="36" t="str">
        <f>IFERROR(IF(AND($Q$1=FALSE,$S$3=FALSE),"-",VLOOKUP($E504,'Status Thresholds'!$E:$AU,41,FALSE)),"-")</f>
        <v>-</v>
      </c>
      <c r="M504" s="36" t="str">
        <f>IFERROR(IF(AND($Q$1=FALSE,$S$3=FALSE),"-",VLOOKUP($E504,'Status Thresholds'!$E:$AU,42,FALSE)),"-")</f>
        <v>-</v>
      </c>
      <c r="N504" s="36" t="str">
        <f>IFERROR(IF(AND($Q$1=FALSE,$S$3=FALSE),"-",VLOOKUP($E504,'Status Thresholds'!$E:$AU,43,FALSE)),"-")</f>
        <v>-</v>
      </c>
    </row>
    <row r="505" spans="1:14" s="59" customFormat="1" x14ac:dyDescent="0.25">
      <c r="A505" s="46"/>
      <c r="B505" s="64" t="str">
        <f>VLOOKUP(C505,'Status Thresholds'!B:C,2,FALSE)</f>
        <v>MHGen</v>
      </c>
      <c r="C505" s="46" t="str">
        <f>IF(ISBLANK('KO Calc'!C501)=TRUE,"",'KO Calc'!C501)</f>
        <v>Malfestio</v>
      </c>
      <c r="D505" s="60" t="s">
        <v>32</v>
      </c>
      <c r="E505" s="62" t="str">
        <f t="shared" ref="E505:E576" si="15">C505&amp;D505</f>
        <v>MalfestioSleep</v>
      </c>
      <c r="F505" s="59" t="s">
        <v>5</v>
      </c>
      <c r="G505" s="36" t="str">
        <f t="shared" si="14"/>
        <v>MalfestioSleep lvl 2</v>
      </c>
      <c r="H505" s="36" t="str">
        <f>IFERROR(ROUNDUP(IF(AND($Q$1=FALSE,$S$3=FALSE),"-",IF(AND($Q$1=TRUE,$S$3=TRUE),"-",IF(AND($Q$1=TRUE,$S$1=TRUE,$S$4=FALSE),VLOOKUP($E505,'Status Thresholds'!$E:$AS,12,FALSE),IF(AND($Q$1=TRUE,$S$4=FALSE),VLOOKUP($E505,'Status Thresholds'!$E:$AS,2,FALSE), IF(AND($Q$1=TRUE,$S$1=TRUE,$S$4=TRUE),VLOOKUP($E505,'Status Thresholds'!$E:$AS,17,FALSE),IF(AND($Q$1=TRUE,$S$4=TRUE),VLOOKUP($E505,'Status Thresholds'!$E:$AS,7,FALSE),IF(AND($S$3=TRUE,$S$1=TRUE,$S$4=FALSE),VLOOKUP($E505,'Status Thresholds'!$E:$AS,32,FALSE),IF(AND($S$3=TRUE,$S$4=FALSE),VLOOKUP($E505,'Status Thresholds'!$E:$AS,22,FALSE),IF(AND($S$3=TRUE,$S$1=TRUE,$S$4=TRUE),VLOOKUP($E505,'Status Thresholds'!$E:$AS,37,FALSE),IF(AND($S$3=TRUE,$S$4=TRUE),VLOOKUP($E505,'Status Thresholds'!$E:$AS,27,FALSE),""))))))))/IF(OR($Q$3=TRUE,AND($Q$2=TRUE,$Q$7=TRUE),AND($Q$3=TRUE,$Q$7=TRUE))=TRUE,'Shots and Status'!$F$5,IF((OR($Q$2,$Q$7)=TRUE),'Shots and Status'!$D$5,'Shots and Status'!$C$5)))),0),"-")</f>
        <v>-</v>
      </c>
      <c r="I505" s="36" t="str">
        <f>IFERROR(ROUNDUP(IF(AND($Q$1=FALSE,$S$3=FALSE),"-",IF(AND($Q$1=TRUE,$S$3=TRUE),"-",IF(AND($Q$1=TRUE,$S$1=TRUE,$S$4=FALSE),VLOOKUP($E505,'Status Thresholds'!$E:$AS,13,FALSE),IF(AND($Q$1=TRUE,$S$4=FALSE),VLOOKUP($E505,'Status Thresholds'!$E:$AS,3,FALSE), IF(AND($Q$1=TRUE,$S$1=TRUE,$S$4=TRUE),VLOOKUP($E505,'Status Thresholds'!$E:$AS,18,FALSE),IF(AND($Q$1=TRUE,$S$4=TRUE),VLOOKUP($E505,'Status Thresholds'!$E:$AS,8,FALSE),IF(AND($S$3=TRUE,$S$1=TRUE,$S$4=FALSE),VLOOKUP($E505,'Status Thresholds'!$E:$AS,33,FALSE),IF(AND($S$3=TRUE,$S$4=FALSE),VLOOKUP($E505,'Status Thresholds'!$E:$AS,23,FALSE),IF(AND($S$3=TRUE,$S$1=TRUE,$S$4=TRUE),VLOOKUP($E505,'Status Thresholds'!$E:$AS,38,FALSE),IF(AND($S$3=TRUE,$S$4=TRUE),VLOOKUP($E505,'Status Thresholds'!$E:$AS,28,FALSE),""))))))))/IF(OR($Q$3=TRUE,AND($Q$2=TRUE,$Q$7=TRUE),AND($Q$3=TRUE,$Q$7=TRUE))=TRUE,'Shots and Status'!$F$5,IF((OR($Q$2,$Q$7)=TRUE),'Shots and Status'!$D$5,'Shots and Status'!$C$5)))),0),"-")</f>
        <v>-</v>
      </c>
      <c r="J505" s="36" t="str">
        <f>IFERROR(ROUNDUP(IF(AND($Q$1=FALSE,$S$3=FALSE),"-",IF(AND($Q$1=TRUE,$S$3=TRUE),"-",IF(AND($Q$1=TRUE,$S$1=TRUE,$S$4=FALSE),VLOOKUP($E505,'Status Thresholds'!$E:$AS,14,FALSE),IF(AND($Q$1=TRUE,$S$4=FALSE),VLOOKUP($E505,'Status Thresholds'!$E:$AS,4,FALSE), IF(AND($Q$1=TRUE,$S$1=TRUE,$S$4=TRUE),VLOOKUP($E505,'Status Thresholds'!$E:$AS,19,FALSE),IF(AND($Q$1=TRUE,$S$4=TRUE),VLOOKUP($E505,'Status Thresholds'!$E:$AS,9,FALSE),IF(AND($S$3=TRUE,$S$1=TRUE,$S$4=FALSE),VLOOKUP($E505,'Status Thresholds'!$E:$AS,34,FALSE),IF(AND($S$3=TRUE,$S$4=FALSE),VLOOKUP($E505,'Status Thresholds'!$E:$AS,24,FALSE),IF(AND($S$3=TRUE,$S$1=TRUE,$S$4=TRUE),VLOOKUP($E505,'Status Thresholds'!$E:$AS,39,FALSE),IF(AND($S$3=TRUE,$S$4=TRUE),VLOOKUP($E505,'Status Thresholds'!$E:$AS,29,FALSE),""))))))))/IF(OR($Q$3=TRUE,AND($Q$2=TRUE,$Q$7=TRUE),AND($Q$3=TRUE,$Q$7=TRUE))=TRUE,'Shots and Status'!$F$5,IF((OR($Q$2,$Q$7)=TRUE),'Shots and Status'!$D$5,'Shots and Status'!$C$5)))),0),"-")</f>
        <v>-</v>
      </c>
      <c r="K505" s="36" t="str">
        <f>IFERROR(ROUNDUP(IF(AND($Q$1=FALSE,$S$3=FALSE),"-",IF(AND($Q$1=TRUE,$S$3=TRUE),"-",IF(AND($Q$1=TRUE,$S$1=TRUE,$S$4=FALSE),VLOOKUP($E505,'Status Thresholds'!$E:$AS,15,FALSE),IF(AND($Q$1=TRUE,$S$4=FALSE),VLOOKUP($E505,'Status Thresholds'!$E:$AS,5,FALSE), IF(AND($Q$1=TRUE,$S$1=TRUE,$S$4=TRUE),VLOOKUP($E505,'Status Thresholds'!$E:$AS,20,FALSE),IF(AND($Q$1=TRUE,$S$4=TRUE),VLOOKUP($E505,'Status Thresholds'!$E:$AS,10,FALSE),IF(AND($S$3=TRUE,$S$1=TRUE,$S$4=FALSE),VLOOKUP($E505,'Status Thresholds'!$E:$AS,35,FALSE),IF(AND($S$3=TRUE,$S$4=FALSE),VLOOKUP($E505,'Status Thresholds'!$E:$AS,25,FALSE),IF(AND($S$3=TRUE,$S$1=TRUE,$S$4=TRUE),VLOOKUP($E505,'Status Thresholds'!$E:$AS,40,FALSE),IF(AND($S$3=TRUE,$S$4=TRUE),VLOOKUP($E505,'Status Thresholds'!$E:$AS,30,FALSE),""))))))))/IF(OR($Q$3=TRUE,AND($Q$2=TRUE,$Q$7=TRUE),AND($Q$3=TRUE,$Q$7=TRUE))=TRUE,'Shots and Status'!$F$5,IF((OR($Q$2,$Q$7)=TRUE),'Shots and Status'!$D$5,'Shots and Status'!$C$5)))),0),"-")</f>
        <v>-</v>
      </c>
      <c r="L505" s="36" t="str">
        <f>IFERROR(IF(AND($Q$1=FALSE,$S$3=FALSE),"-",VLOOKUP($E505,'Status Thresholds'!$E:$AU,41,FALSE)),"-")</f>
        <v>-</v>
      </c>
      <c r="M505" s="36" t="str">
        <f>IFERROR(IF(AND($Q$1=FALSE,$S$3=FALSE),"-",VLOOKUP($E505,'Status Thresholds'!$E:$AU,42,FALSE)),"-")</f>
        <v>-</v>
      </c>
      <c r="N505" s="36" t="str">
        <f>IFERROR(IF(AND($Q$1=FALSE,$S$3=FALSE),"-",VLOOKUP($E505,'Status Thresholds'!$E:$AU,43,FALSE)),"-")</f>
        <v>-</v>
      </c>
    </row>
    <row r="506" spans="1:14" s="59" customFormat="1" x14ac:dyDescent="0.25">
      <c r="A506" s="46"/>
      <c r="B506" s="64" t="str">
        <f>VLOOKUP(C506,'Status Thresholds'!B:C,2,FALSE)</f>
        <v>MHGen</v>
      </c>
      <c r="C506" s="46" t="str">
        <f>IF(ISBLANK('KO Calc'!C502)=TRUE,"",'KO Calc'!C502)</f>
        <v>Malfestio</v>
      </c>
      <c r="D506" s="58" t="s">
        <v>33</v>
      </c>
      <c r="E506" s="62" t="str">
        <f t="shared" si="15"/>
        <v>MalfestioPoison</v>
      </c>
      <c r="F506" s="59" t="s">
        <v>6</v>
      </c>
      <c r="G506" s="36" t="str">
        <f t="shared" si="14"/>
        <v>MalfestioPoison lvl 2</v>
      </c>
      <c r="H506" s="36" t="str">
        <f>IFERROR(ROUNDUP(IF(AND($Q$1=FALSE,$S$3=FALSE),"-",IF(AND($Q$1=TRUE,$S$3=TRUE),"-",IF(AND($Q$1=TRUE,$S$1=TRUE,$S$4=FALSE),VLOOKUP($E506,'Status Thresholds'!$E:$AS,12,FALSE),IF(AND($Q$1=TRUE,$S$4=FALSE),VLOOKUP($E506,'Status Thresholds'!$E:$AS,2,FALSE), IF(AND($Q$1=TRUE,$S$1=TRUE,$S$4=TRUE),VLOOKUP($E506,'Status Thresholds'!$E:$AS,17,FALSE),IF(AND($Q$1=TRUE,$S$4=TRUE),VLOOKUP($E506,'Status Thresholds'!$E:$AS,7,FALSE),IF(AND($S$3=TRUE,$S$1=TRUE,$S$4=FALSE),VLOOKUP($E506,'Status Thresholds'!$E:$AS,32,FALSE),IF(AND($S$3=TRUE,$S$4=FALSE),VLOOKUP($E506,'Status Thresholds'!$E:$AS,22,FALSE),IF(AND($S$3=TRUE,$S$1=TRUE,$S$4=TRUE),VLOOKUP($E506,'Status Thresholds'!$E:$AS,37,FALSE),IF(AND($S$3=TRUE,$S$4=TRUE),VLOOKUP($E506,'Status Thresholds'!$E:$AS,27,FALSE),""))))))))/IF(OR($Q$3=TRUE,AND($Q$2=TRUE,$Q$7=TRUE),AND($Q$3=TRUE,$Q$7=TRUE))=TRUE,'Shots and Status'!$F$5,IF((OR($Q$2,$Q$7)=TRUE),'Shots and Status'!$D$5,'Shots and Status'!$C$5)))),0),"-")</f>
        <v>-</v>
      </c>
      <c r="I506" s="36" t="str">
        <f>IFERROR(ROUNDUP(IF(AND($Q$1=FALSE,$S$3=FALSE),"-",IF(AND($Q$1=TRUE,$S$3=TRUE),"-",IF(AND($Q$1=TRUE,$S$1=TRUE,$S$4=FALSE),VLOOKUP($E506,'Status Thresholds'!$E:$AS,13,FALSE),IF(AND($Q$1=TRUE,$S$4=FALSE),VLOOKUP($E506,'Status Thresholds'!$E:$AS,3,FALSE), IF(AND($Q$1=TRUE,$S$1=TRUE,$S$4=TRUE),VLOOKUP($E506,'Status Thresholds'!$E:$AS,18,FALSE),IF(AND($Q$1=TRUE,$S$4=TRUE),VLOOKUP($E506,'Status Thresholds'!$E:$AS,8,FALSE),IF(AND($S$3=TRUE,$S$1=TRUE,$S$4=FALSE),VLOOKUP($E506,'Status Thresholds'!$E:$AS,33,FALSE),IF(AND($S$3=TRUE,$S$4=FALSE),VLOOKUP($E506,'Status Thresholds'!$E:$AS,23,FALSE),IF(AND($S$3=TRUE,$S$1=TRUE,$S$4=TRUE),VLOOKUP($E506,'Status Thresholds'!$E:$AS,38,FALSE),IF(AND($S$3=TRUE,$S$4=TRUE),VLOOKUP($E506,'Status Thresholds'!$E:$AS,28,FALSE),""))))))))/IF(OR($Q$3=TRUE,AND($Q$2=TRUE,$Q$7=TRUE),AND($Q$3=TRUE,$Q$7=TRUE))=TRUE,'Shots and Status'!$F$5,IF((OR($Q$2,$Q$7)=TRUE),'Shots and Status'!$D$5,'Shots and Status'!$C$5)))),0),"-")</f>
        <v>-</v>
      </c>
      <c r="J506" s="36" t="str">
        <f>IFERROR(ROUNDUP(IF(AND($Q$1=FALSE,$S$3=FALSE),"-",IF(AND($Q$1=TRUE,$S$3=TRUE),"-",IF(AND($Q$1=TRUE,$S$1=TRUE,$S$4=FALSE),VLOOKUP($E506,'Status Thresholds'!$E:$AS,14,FALSE),IF(AND($Q$1=TRUE,$S$4=FALSE),VLOOKUP($E506,'Status Thresholds'!$E:$AS,4,FALSE), IF(AND($Q$1=TRUE,$S$1=TRUE,$S$4=TRUE),VLOOKUP($E506,'Status Thresholds'!$E:$AS,19,FALSE),IF(AND($Q$1=TRUE,$S$4=TRUE),VLOOKUP($E506,'Status Thresholds'!$E:$AS,9,FALSE),IF(AND($S$3=TRUE,$S$1=TRUE,$S$4=FALSE),VLOOKUP($E506,'Status Thresholds'!$E:$AS,34,FALSE),IF(AND($S$3=TRUE,$S$4=FALSE),VLOOKUP($E506,'Status Thresholds'!$E:$AS,24,FALSE),IF(AND($S$3=TRUE,$S$1=TRUE,$S$4=TRUE),VLOOKUP($E506,'Status Thresholds'!$E:$AS,39,FALSE),IF(AND($S$3=TRUE,$S$4=TRUE),VLOOKUP($E506,'Status Thresholds'!$E:$AS,29,FALSE),""))))))))/IF(OR($Q$3=TRUE,AND($Q$2=TRUE,$Q$7=TRUE),AND($Q$3=TRUE,$Q$7=TRUE))=TRUE,'Shots and Status'!$F$5,IF((OR($Q$2,$Q$7)=TRUE),'Shots and Status'!$D$5,'Shots and Status'!$C$5)))),0),"-")</f>
        <v>-</v>
      </c>
      <c r="K506" s="36" t="str">
        <f>IFERROR(ROUNDUP(IF(AND($Q$1=FALSE,$S$3=FALSE),"-",IF(AND($Q$1=TRUE,$S$3=TRUE),"-",IF(AND($Q$1=TRUE,$S$1=TRUE,$S$4=FALSE),VLOOKUP($E506,'Status Thresholds'!$E:$AS,15,FALSE),IF(AND($Q$1=TRUE,$S$4=FALSE),VLOOKUP($E506,'Status Thresholds'!$E:$AS,5,FALSE), IF(AND($Q$1=TRUE,$S$1=TRUE,$S$4=TRUE),VLOOKUP($E506,'Status Thresholds'!$E:$AS,20,FALSE),IF(AND($Q$1=TRUE,$S$4=TRUE),VLOOKUP($E506,'Status Thresholds'!$E:$AS,10,FALSE),IF(AND($S$3=TRUE,$S$1=TRUE,$S$4=FALSE),VLOOKUP($E506,'Status Thresholds'!$E:$AS,35,FALSE),IF(AND($S$3=TRUE,$S$4=FALSE),VLOOKUP($E506,'Status Thresholds'!$E:$AS,25,FALSE),IF(AND($S$3=TRUE,$S$1=TRUE,$S$4=TRUE),VLOOKUP($E506,'Status Thresholds'!$E:$AS,40,FALSE),IF(AND($S$3=TRUE,$S$4=TRUE),VLOOKUP($E506,'Status Thresholds'!$E:$AS,30,FALSE),""))))))))/IF(OR($Q$3=TRUE,AND($Q$2=TRUE,$Q$7=TRUE),AND($Q$3=TRUE,$Q$7=TRUE))=TRUE,'Shots and Status'!$F$5,IF((OR($Q$2,$Q$7)=TRUE),'Shots and Status'!$D$5,'Shots and Status'!$C$5)))),0),"-")</f>
        <v>-</v>
      </c>
      <c r="L506" s="36" t="str">
        <f>IFERROR(IF(AND($Q$1=FALSE,$S$3=FALSE),"-",VLOOKUP($E506,'Status Thresholds'!$E:$AU,41,FALSE)),"-")</f>
        <v>-</v>
      </c>
      <c r="M506" s="36" t="str">
        <f>IFERROR(IF(AND($Q$1=FALSE,$S$3=FALSE),"-",VLOOKUP($E506,'Status Thresholds'!$E:$AU,42,FALSE)),"-")</f>
        <v>-</v>
      </c>
      <c r="N506" s="36" t="str">
        <f>IFERROR(IF(AND($Q$1=FALSE,$S$3=FALSE),"-",VLOOKUP($E506,'Status Thresholds'!$E:$AU,43,FALSE)),"-")</f>
        <v>-</v>
      </c>
    </row>
    <row r="507" spans="1:14" s="36" customFormat="1" x14ac:dyDescent="0.25">
      <c r="A507" s="46"/>
      <c r="B507" s="64" t="str">
        <f>VLOOKUP(C507,'Status Thresholds'!B:C,2,FALSE)</f>
        <v>MHGen</v>
      </c>
      <c r="C507" s="46" t="str">
        <f>IF(ISBLANK('KO Calc'!C503)=TRUE,"",'KO Calc'!C503)</f>
        <v>Malfestio</v>
      </c>
      <c r="D507" s="57" t="s">
        <v>22</v>
      </c>
      <c r="E507" s="62" t="str">
        <f t="shared" si="15"/>
        <v>MalfestioExhaust</v>
      </c>
      <c r="F507" s="36" t="s">
        <v>8</v>
      </c>
      <c r="G507" s="36" t="str">
        <f t="shared" si="14"/>
        <v>MalfestioExhaust lvl 2</v>
      </c>
      <c r="H507" s="36" t="str">
        <f>IFERROR(ROUNDUP(IF(AND($Q$1=FALSE,$S$3=FALSE),"-",IF(AND($Q$1=TRUE,$S$3=TRUE),"-",IF(AND($Q$1=TRUE,$S$1=TRUE,$S$4=FALSE),VLOOKUP($E507,'Status Thresholds'!$E:$AS,12,FALSE),IF(AND($Q$1=TRUE,$S$4=FALSE),VLOOKUP($E507,'Status Thresholds'!$E:$AS,2,FALSE), IF(AND($Q$1=TRUE,$S$1=TRUE,$S$4=TRUE),VLOOKUP($E507,'Status Thresholds'!$E:$AS,17,FALSE),IF(AND($Q$1=TRUE,$S$4=TRUE),VLOOKUP($E507,'Status Thresholds'!$E:$AS,7,FALSE),IF(AND($S$3=TRUE,$S$1=TRUE,$S$4=FALSE),VLOOKUP($E507,'Status Thresholds'!$E:$AS,32,FALSE),IF(AND($S$3=TRUE,$S$4=FALSE),VLOOKUP($E507,'Status Thresholds'!$E:$AS,22,FALSE),IF(AND($S$3=TRUE,$S$1=TRUE,$S$4=TRUE),VLOOKUP($E507,'Status Thresholds'!$E:$AS,37,FALSE),IF(AND($S$3=TRUE,$S$4=TRUE),VLOOKUP($E507,'Status Thresholds'!$E:$AS,27,FALSE),""))))))))/IF(OR($Q$3=TRUE,AND($Q$2=TRUE,$Q$7=TRUE),AND($Q$3=TRUE,$Q$7=TRUE))=TRUE,'Shots and Status'!$F$5,IF((OR($Q$2,$Q$7)=TRUE),'Shots and Status'!$D$5,'Shots and Status'!$C$5)))),0),"-")</f>
        <v>-</v>
      </c>
      <c r="I507" s="36" t="str">
        <f>IFERROR(ROUNDUP(IF(AND($Q$1=FALSE,$S$3=FALSE),"-",IF(AND($Q$1=TRUE,$S$3=TRUE),"-",IF(AND($Q$1=TRUE,$S$1=TRUE,$S$4=FALSE),VLOOKUP($E507,'Status Thresholds'!$E:$AS,13,FALSE),IF(AND($Q$1=TRUE,$S$4=FALSE),VLOOKUP($E507,'Status Thresholds'!$E:$AS,3,FALSE), IF(AND($Q$1=TRUE,$S$1=TRUE,$S$4=TRUE),VLOOKUP($E507,'Status Thresholds'!$E:$AS,18,FALSE),IF(AND($Q$1=TRUE,$S$4=TRUE),VLOOKUP($E507,'Status Thresholds'!$E:$AS,8,FALSE),IF(AND($S$3=TRUE,$S$1=TRUE,$S$4=FALSE),VLOOKUP($E507,'Status Thresholds'!$E:$AS,33,FALSE),IF(AND($S$3=TRUE,$S$4=FALSE),VLOOKUP($E507,'Status Thresholds'!$E:$AS,23,FALSE),IF(AND($S$3=TRUE,$S$1=TRUE,$S$4=TRUE),VLOOKUP($E507,'Status Thresholds'!$E:$AS,38,FALSE),IF(AND($S$3=TRUE,$S$4=TRUE),VLOOKUP($E507,'Status Thresholds'!$E:$AS,28,FALSE),""))))))))/IF(OR($Q$3=TRUE,AND($Q$2=TRUE,$Q$7=TRUE),AND($Q$3=TRUE,$Q$7=TRUE))=TRUE,'Shots and Status'!$F$5,IF((OR($Q$2,$Q$7)=TRUE),'Shots and Status'!$D$5,'Shots and Status'!$C$5)))),0),"-")</f>
        <v>-</v>
      </c>
      <c r="J507" s="36" t="str">
        <f>IFERROR(ROUNDUP(IF(AND($Q$1=FALSE,$S$3=FALSE),"-",IF(AND($Q$1=TRUE,$S$3=TRUE),"-",IF(AND($Q$1=TRUE,$S$1=TRUE,$S$4=FALSE),VLOOKUP($E507,'Status Thresholds'!$E:$AS,14,FALSE),IF(AND($Q$1=TRUE,$S$4=FALSE),VLOOKUP($E507,'Status Thresholds'!$E:$AS,4,FALSE), IF(AND($Q$1=TRUE,$S$1=TRUE,$S$4=TRUE),VLOOKUP($E507,'Status Thresholds'!$E:$AS,19,FALSE),IF(AND($Q$1=TRUE,$S$4=TRUE),VLOOKUP($E507,'Status Thresholds'!$E:$AS,9,FALSE),IF(AND($S$3=TRUE,$S$1=TRUE,$S$4=FALSE),VLOOKUP($E507,'Status Thresholds'!$E:$AS,34,FALSE),IF(AND($S$3=TRUE,$S$4=FALSE),VLOOKUP($E507,'Status Thresholds'!$E:$AS,24,FALSE),IF(AND($S$3=TRUE,$S$1=TRUE,$S$4=TRUE),VLOOKUP($E507,'Status Thresholds'!$E:$AS,39,FALSE),IF(AND($S$3=TRUE,$S$4=TRUE),VLOOKUP($E507,'Status Thresholds'!$E:$AS,29,FALSE),""))))))))/IF(OR($Q$3=TRUE,AND($Q$2=TRUE,$Q$7=TRUE),AND($Q$3=TRUE,$Q$7=TRUE))=TRUE,'Shots and Status'!$F$5,IF((OR($Q$2,$Q$7)=TRUE),'Shots and Status'!$D$5,'Shots and Status'!$C$5)))),0),"-")</f>
        <v>-</v>
      </c>
      <c r="K507" s="36" t="str">
        <f>IFERROR(ROUNDUP(IF(AND($Q$1=FALSE,$S$3=FALSE),"-",IF(AND($Q$1=TRUE,$S$3=TRUE),"-",IF(AND($Q$1=TRUE,$S$1=TRUE,$S$4=FALSE),VLOOKUP($E507,'Status Thresholds'!$E:$AS,15,FALSE),IF(AND($Q$1=TRUE,$S$4=FALSE),VLOOKUP($E507,'Status Thresholds'!$E:$AS,5,FALSE), IF(AND($Q$1=TRUE,$S$1=TRUE,$S$4=TRUE),VLOOKUP($E507,'Status Thresholds'!$E:$AS,20,FALSE),IF(AND($Q$1=TRUE,$S$4=TRUE),VLOOKUP($E507,'Status Thresholds'!$E:$AS,10,FALSE),IF(AND($S$3=TRUE,$S$1=TRUE,$S$4=FALSE),VLOOKUP($E507,'Status Thresholds'!$E:$AS,35,FALSE),IF(AND($S$3=TRUE,$S$4=FALSE),VLOOKUP($E507,'Status Thresholds'!$E:$AS,25,FALSE),IF(AND($S$3=TRUE,$S$1=TRUE,$S$4=TRUE),VLOOKUP($E507,'Status Thresholds'!$E:$AS,40,FALSE),IF(AND($S$3=TRUE,$S$4=TRUE),VLOOKUP($E507,'Status Thresholds'!$E:$AS,30,FALSE),""))))))))/IF(OR($Q$3=TRUE,AND($Q$2=TRUE,$Q$7=TRUE),AND($Q$3=TRUE,$Q$7=TRUE))=TRUE,'Shots and Status'!$F$5,IF((OR($Q$2,$Q$7)=TRUE),'Shots and Status'!$D$5,'Shots and Status'!$C$5)))),0),"-")</f>
        <v>-</v>
      </c>
      <c r="L507" s="36" t="str">
        <f>IFERROR(IF(AND($Q$1=FALSE,$S$3=FALSE),"-",VLOOKUP($E507,'Status Thresholds'!$E:$AU,41,FALSE)),"-")</f>
        <v>-</v>
      </c>
      <c r="M507" s="36" t="str">
        <f>IFERROR(IF(AND($Q$1=FALSE,$S$3=FALSE),"-",VLOOKUP($E507,'Status Thresholds'!$E:$AU,42,FALSE)),"-")</f>
        <v>-</v>
      </c>
      <c r="N507" s="36" t="str">
        <f>IFERROR(IF(AND($Q$1=FALSE,$S$3=FALSE),"-",VLOOKUP($E507,'Status Thresholds'!$E:$AU,43,FALSE)),"-")</f>
        <v>-</v>
      </c>
    </row>
    <row r="508" spans="1:14" s="36" customFormat="1" x14ac:dyDescent="0.25">
      <c r="A508" s="46"/>
      <c r="B508" s="64" t="str">
        <f>VLOOKUP(C508,'Status Thresholds'!B:C,2,FALSE)</f>
        <v>MHGen</v>
      </c>
      <c r="C508" s="46" t="str">
        <f>IF(ISBLANK('KO Calc'!C504)=TRUE,"",'KO Calc'!C504)</f>
        <v>Malfestio</v>
      </c>
      <c r="D508" s="67" t="s">
        <v>14</v>
      </c>
      <c r="E508" s="62" t="str">
        <f t="shared" si="15"/>
        <v>MalfestioKO</v>
      </c>
      <c r="F508" s="36" t="s">
        <v>21</v>
      </c>
      <c r="G508" s="36" t="str">
        <f t="shared" si="14"/>
        <v>MalfestioTriblast</v>
      </c>
      <c r="H508" s="36" t="str">
        <f>IF(AND($Q$1=FALSE,$S$3=FALSE),"-",IF(AND($Q$1=TRUE,$S$3=TRUE),"-",IF(AND($Q$1=FALSE,$S$3=FALSE),"-",IF(AND($Q$1=TRUE,$S$1=TRUE,$S$4=FALSE)=TRUE,IF(OR($Q$4=TRUE,$Q$5=TRUE,$S$2=TRUE),VLOOKUP($G508,'KO Calc'!$H:$AW,12,FALSE),VLOOKUP($G508,'KO Calc'!$H514:$AW514,12,FALSE)),IF(AND($Q$1=TRUE,$S$4=FALSE),IF(OR($Q$4=TRUE,$Q$5=TRUE,$S$2=TRUE),VLOOKUP($G508,'KO Calc'!$H:$AW,2,FALSE),VLOOKUP($G508,'KO Calc'!$H514:$AW514,2,FALSE)),
IF(AND($Q$1=TRUE,$S$1=TRUE,$S$4=TRUE)=TRUE,IF(OR($Q$4=TRUE,$Q$5=TRUE,$S$2=TRUE),VLOOKUP($G508,'KO Calc'!$H:$AW,17,FALSE),VLOOKUP($G508,'KO Calc'!$H514:$AW514,17,FALSE)),IF(AND($Q$1=TRUE,$S$4=TRUE),IF(OR($Q$4=TRUE,$Q$5=TRUE,$S$2=TRUE),VLOOKUP($G508,'KO Calc'!$H:$AW,7,FALSE),VLOOKUP($G508,'KO Calc'!$H514:$AW514,7,FALSE)),
IF(AND($S$3=TRUE,$S$1=TRUE,$S$4=FALSE)=TRUE,IF(OR($Q$4=TRUE,$Q$5=TRUE,$S$2=TRUE),VLOOKUP($G508,'KO Calc'!$H:$AW,32,FALSE),VLOOKUP($G508,'KO Calc'!$H514:$AW514,32,FALSE)),IF(AND($S$3=TRUE,$S$4=FALSE),IF(OR($Q$4=TRUE,$Q$5=TRUE,$S$2=TRUE),VLOOKUP($G508,'KO Calc'!$H:$AW,22,FALSE),VLOOKUP($G508,'KO Calc'!$H514:$AW514,22,FALSE)),
IF(AND($S$3=TRUE,$S$1=TRUE,$S$4=TRUE)=TRUE,IF(OR($Q$4=TRUE,$Q$5=TRUE,$S$2=TRUE),VLOOKUP($G508,'KO Calc'!$H:$AW,37,FALSE),VLOOKUP($G508,'KO Calc'!$H514:$AW514,37,FALSE)),IF(AND($S$3=TRUE,$S$4=TRUE),IF(OR($Q$4=TRUE,$Q$5=TRUE,$S$2=TRUE),VLOOKUP($G508,'KO Calc'!$H:$AW,27,FALSE),VLOOKUP($G508,'KO Calc'!$H514:$AW514,27,FALSE)))))))))))))</f>
        <v>-</v>
      </c>
      <c r="I508" s="36" t="str">
        <f>IF(AND($Q$1=FALSE,$S$3=FALSE),"-",IF(AND($Q$1=TRUE,$S$3=TRUE),"-",IF(AND($Q$1=FALSE,$S$3=FALSE),"-",IF(AND($Q$1=TRUE,$S$1=TRUE,$S$4=FALSE)=TRUE,IF(OR($Q$4=TRUE,$Q$5=TRUE,$S$2=TRUE),VLOOKUP($G508,'KO Calc'!$H:$AW,13,FALSE),VLOOKUP($G508,'KO Calc'!$H514:$AW514,13,FALSE)),IF(AND($Q$1=TRUE,$S$4=FALSE),IF(OR($Q$4=TRUE,$Q$5=TRUE,$S$2=TRUE),VLOOKUP($G508,'KO Calc'!$H:$AW,3,FALSE),VLOOKUP($G508,'KO Calc'!$H514:$AW514,3,FALSE)),
IF(AND($Q$1=TRUE,$S$1=TRUE,$S$4=TRUE)=TRUE,IF(OR($Q$4=TRUE,$Q$5=TRUE,$S$2=TRUE),VLOOKUP($G508,'KO Calc'!$H:$AW,18,FALSE),VLOOKUP($G508,'KO Calc'!$H514:$AW514,18,FALSE)),IF(AND($Q$1=TRUE,$S$4=TRUE),IF(OR($Q$4=TRUE,$Q$5=TRUE,$S$2=TRUE),VLOOKUP($G508,'KO Calc'!$H:$AW,8,FALSE),VLOOKUP($G508,'KO Calc'!$H514:$AW514,8,FALSE)),
IF(AND($S$3=TRUE,$S$1=TRUE,$S$4=FALSE)=TRUE,IF(OR($Q$4=TRUE,$Q$5=TRUE,$S$2=TRUE),VLOOKUP($G508,'KO Calc'!$H:$AW,33,FALSE),VLOOKUP($G508,'KO Calc'!$H514:$AW514,33,FALSE)),IF(AND($S$3=TRUE,$S$4=FALSE),IF(OR($Q$4=TRUE,$Q$5=TRUE,$S$2=TRUE),VLOOKUP($G508,'KO Calc'!$H:$AW,23,FALSE),VLOOKUP($G508,'KO Calc'!$H514:$AW514,23,FALSE)),
IF(AND($S$3=TRUE,$S$1=TRUE,$S$4=TRUE)=TRUE,IF(OR($Q$4=TRUE,$Q$5=TRUE,$S$2=TRUE),VLOOKUP($G508,'KO Calc'!$H:$AW,38,FALSE),VLOOKUP($G508,'KO Calc'!$H514:$AW514,38,FALSE)),IF(AND($S$3=TRUE,$S$4=TRUE),IF(OR($Q$4=TRUE,$Q$5=TRUE,$S$2=TRUE),VLOOKUP($G508,'KO Calc'!$H:$AW,28,FALSE),VLOOKUP($G508,'KO Calc'!$H514:$AW514,28,FALSE)))))))))))))</f>
        <v>-</v>
      </c>
      <c r="J508" s="36" t="str">
        <f>IF(AND($Q$1=FALSE,$S$3=FALSE),"-",IF(AND($Q$1=TRUE,$S$3=TRUE),"-",IF(AND($Q$1=FALSE,$S$3=FALSE),"-",IF(AND($Q$1=TRUE,$S$1=TRUE,$S$4=FALSE)=TRUE,IF(OR($Q$4=TRUE,$Q$5=TRUE,$S$2=TRUE),VLOOKUP($G508,'KO Calc'!$H:$AW,FALSE),VLOOKUP($G508,'KO Calc'!$H514:$AW514,14,FALSE)),IF(AND($Q$1=TRUE,$S$4=FALSE),IF(OR($Q$4=TRUE,$Q$5=TRUE,$S$2=TRUE),VLOOKUP($G508,'KO Calc'!$H:$AW,4,FALSE),VLOOKUP($G508,'KO Calc'!$H514:$AW514,4,FALSE)),
IF(AND($Q$1=TRUE,$S$1=TRUE,$S$4=TRUE)=TRUE,IF(OR($Q$4=TRUE,$Q$5=TRUE,$S$2=TRUE),VLOOKUP($G508,'KO Calc'!$H:$AW,19,FALSE),VLOOKUP($G508,'KO Calc'!$H514:$AW514,19,FALSE)),IF(AND($Q$1=TRUE,$S$4=TRUE),IF(OR($Q$4=TRUE,$Q$5=TRUE,$S$2=TRUE),VLOOKUP($G508,'KO Calc'!$H:$AW,9,FALSE),VLOOKUP($G508,'KO Calc'!$H514:$AW514,9,FALSE)),
IF(AND($S$3=TRUE,$S$1=TRUE,$S$4=FALSE)=TRUE,IF(OR($Q$4=TRUE,$Q$5=TRUE,$S$2=TRUE),VLOOKUP($G508,'KO Calc'!$H:$AW,34,FALSE),VLOOKUP($G508,'KO Calc'!$H514:$AW514,34,FALSE)),IF(AND($S$3=TRUE,$S$4=FALSE),IF(OR($Q$4=TRUE,$Q$5=TRUE,$S$2=TRUE),VLOOKUP($G508,'KO Calc'!$H:$AW,24,FALSE),VLOOKUP($G508,'KO Calc'!$H514:$AW514,24,FALSE)),
IF(AND($S$3=TRUE,$S$1=TRUE,$S$4=TRUE)=TRUE,IF(OR($Q$4=TRUE,$Q$5=TRUE,$S$2=TRUE),VLOOKUP($G508,'KO Calc'!$H:$AW,39,FALSE),VLOOKUP($G508,'KO Calc'!$H514:$AW514,39,FALSE)),IF(AND($S$3=TRUE,$S$4=TRUE),IF(OR($Q$4=TRUE,$Q$5=TRUE,$S$2=TRUE),VLOOKUP($G508,'KO Calc'!$H:$AW,29,FALSE),VLOOKUP($G508,'KO Calc'!$H514:$AW514,29,FALSE)))))))))))))</f>
        <v>-</v>
      </c>
      <c r="K508" s="36" t="str">
        <f>IF(AND($Q$1=FALSE,$S$3=FALSE),"-",IF(AND($Q$1=TRUE,$S$3=TRUE),"-",IF(AND($Q$1=FALSE,$S$3=FALSE),"-",IF(AND($Q$1=TRUE,$S$1=TRUE,$S$4=FALSE)=TRUE,IF(OR($Q$4=TRUE,$Q$5=TRUE,$S$2=TRUE),VLOOKUP($G508,'KO Calc'!$H:$AW,15,FALSE),VLOOKUP($G508,'KO Calc'!$H514:$AW514,15,FALSE)),IF(AND($Q$1=TRUE,$S$4=FALSE),IF(OR($Q$4=TRUE,$Q$5=TRUE,$S$2=TRUE),VLOOKUP($G508,'KO Calc'!$H:$AW,5,FALSE),VLOOKUP($G508,'KO Calc'!$H514:$AW514,5,FALSE)),
IF(AND($Q$1=TRUE,$S$1=TRUE,$S$4=TRUE)=TRUE,IF(OR($Q$4=TRUE,$Q$5=TRUE,$S$2=TRUE),VLOOKUP($G508,'KO Calc'!$H:$AW,20,FALSE),VLOOKUP($G508,'KO Calc'!$H514:$AW514,20,FALSE)),IF(AND($Q$1=TRUE,$S$4=TRUE),IF(OR($Q$4=TRUE,$Q$5=TRUE,$S$2=TRUE),VLOOKUP($G508,'KO Calc'!$H:$AW,10,FALSE),VLOOKUP($G508,'KO Calc'!$H514:$AW514,10,FALSE)),
IF(AND($S$3=TRUE,$S$1=TRUE,$S$4=FALSE)=TRUE,IF(OR($Q$4=TRUE,$Q$5=TRUE,$S$2=TRUE),VLOOKUP($G508,'KO Calc'!$H:$AW,35,FALSE),VLOOKUP($G508,'KO Calc'!$H514:$AW514,35,FALSE)),IF(AND($S$3=TRUE,$S$4=FALSE),IF(OR($Q$4=TRUE,$Q$5=TRUE,$S$2=TRUE),VLOOKUP($G508,'KO Calc'!$H:$AW,25,FALSE),VLOOKUP($G508,'KO Calc'!$H514:$AW514,25,FALSE)),
IF(AND($S$3=TRUE,$S$1=TRUE,$S$4=TRUE)=TRUE,IF(OR($Q$4=TRUE,$Q$5=TRUE,$S$2=TRUE),VLOOKUP($G508,'KO Calc'!$H:$AW,40,FALSE),VLOOKUP($G508,'KO Calc'!$H514:$AW514,40,FALSE)),IF(AND($S$3=TRUE,$S$4=TRUE),IF(OR($Q$4=TRUE,$Q$5=TRUE,$S$2=TRUE),VLOOKUP($G508,'KO Calc'!$H:$AW,30,FALSE),VLOOKUP($G508,'KO Calc'!$H514:$AW514,30,FALSE)))))))))))))</f>
        <v>-</v>
      </c>
      <c r="L508" s="36" t="str">
        <f>IFERROR(IF(AND($Q$1=FALSE,$S$3=FALSE),"-",VLOOKUP($E508,'Status Thresholds'!$E:$AU,41,FALSE)),"-")</f>
        <v>-</v>
      </c>
      <c r="M508" s="36" t="str">
        <f>IFERROR(IF(AND($Q$1=FALSE,$S$3=FALSE),"-",VLOOKUP($E508,'Status Thresholds'!$E:$AU,42,FALSE)),"-")</f>
        <v>-</v>
      </c>
      <c r="N508" s="36" t="str">
        <f>IFERROR(IF(AND($Q$1=FALSE,$S$3=FALSE),"-",VLOOKUP($E508,'Status Thresholds'!$E:$AU,43,FALSE)),"-")</f>
        <v>-</v>
      </c>
    </row>
    <row r="509" spans="1:14" x14ac:dyDescent="0.25">
      <c r="B509" s="64" t="str">
        <f>VLOOKUP(C509,'Status Thresholds'!B:C,2,FALSE)</f>
        <v>MHGen</v>
      </c>
      <c r="C509" s="46" t="str">
        <f>IF(ISBLANK('KO Calc'!C505)=TRUE,"",'KO Calc'!C505)</f>
        <v>Malfestio</v>
      </c>
      <c r="D509" s="78" t="s">
        <v>207</v>
      </c>
      <c r="E509" s="62" t="str">
        <f t="shared" si="15"/>
        <v>MalfestioShock Trap</v>
      </c>
      <c r="F509" t="s">
        <v>13</v>
      </c>
      <c r="G509" s="36" t="str">
        <f t="shared" ref="G509:G580" si="16">C509&amp;F509</f>
        <v>MalfestioCrag 3</v>
      </c>
      <c r="H509" s="36" t="str">
        <f>IF(AND($Q$1=FALSE,$S$3=FALSE),"-",IF(AND($Q$1=TRUE,$S$3=TRUE),"-",IF(AND($Q$1=FALSE,$S$3=FALSE),"-",IF(AND($Q$1=TRUE,$S$1=TRUE,$S$4=FALSE)=TRUE,IF(OR($Q$4=TRUE,$Q$5=TRUE,$S$2=TRUE),VLOOKUP($G509,'KO Calc'!$H:$AW,12,FALSE),VLOOKUP($G509,'KO Calc'!$H515:$AW515,12,FALSE)),IF(AND($Q$1=TRUE,$S$4=FALSE),IF(OR($Q$4=TRUE,$Q$5=TRUE,$S$2=TRUE),VLOOKUP($G509,'KO Calc'!$H:$AW,2,FALSE),VLOOKUP($G509,'KO Calc'!$H515:$AW515,2,FALSE)),
IF(AND($Q$1=TRUE,$S$1=TRUE,$S$4=TRUE)=TRUE,IF(OR($Q$4=TRUE,$Q$5=TRUE,$S$2=TRUE),VLOOKUP($G509,'KO Calc'!$H:$AW,17,FALSE),VLOOKUP($G509,'KO Calc'!$H515:$AW515,17,FALSE)),IF(AND($Q$1=TRUE,$S$4=TRUE),IF(OR($Q$4=TRUE,$Q$5=TRUE,$S$2=TRUE),VLOOKUP($G509,'KO Calc'!$H:$AW,7,FALSE),VLOOKUP($G509,'KO Calc'!$H515:$AW515,7,FALSE)),
IF(AND($S$3=TRUE,$S$1=TRUE,$S$4=FALSE)=TRUE,IF(OR($Q$4=TRUE,$Q$5=TRUE,$S$2=TRUE),VLOOKUP($G509,'KO Calc'!$H:$AW,32,FALSE),VLOOKUP($G509,'KO Calc'!$H515:$AW515,32,FALSE)),IF(AND($S$3=TRUE,$S$4=FALSE),IF(OR($Q$4=TRUE,$Q$5=TRUE,$S$2=TRUE),VLOOKUP($G509,'KO Calc'!$H:$AW,22,FALSE),VLOOKUP($G509,'KO Calc'!$H515:$AW515,22,FALSE)),
IF(AND($S$3=TRUE,$S$1=TRUE,$S$4=TRUE)=TRUE,IF(OR($Q$4=TRUE,$Q$5=TRUE,$S$2=TRUE),VLOOKUP($G509,'KO Calc'!$H:$AW,37,FALSE),VLOOKUP($G509,'KO Calc'!$H515:$AW515,37,FALSE)),IF(AND($S$3=TRUE,$S$4=TRUE),IF(OR($Q$4=TRUE,$Q$5=TRUE,$S$2=TRUE),VLOOKUP($G509,'KO Calc'!$H:$AW,27,FALSE),VLOOKUP($G509,'KO Calc'!$H515:$AW515,27,FALSE)))))))))))))</f>
        <v>-</v>
      </c>
      <c r="I509" s="36" t="str">
        <f>IF(AND($Q$1=FALSE,$S$3=FALSE),"-",IF(AND($Q$1=TRUE,$S$3=TRUE),"-",IF(AND($Q$1=FALSE,$S$3=FALSE),"-",IF(AND($Q$1=TRUE,$S$1=TRUE,$S$4=FALSE)=TRUE,IF(OR($Q$4=TRUE,$Q$5=TRUE,$S$2=TRUE),VLOOKUP($G509,'KO Calc'!$H:$AW,13,FALSE),VLOOKUP($G509,'KO Calc'!$H515:$AW515,13,FALSE)),IF(AND($Q$1=TRUE,$S$4=FALSE),IF(OR($Q$4=TRUE,$Q$5=TRUE,$S$2=TRUE),VLOOKUP($G509,'KO Calc'!$H:$AW,3,FALSE),VLOOKUP($G509,'KO Calc'!$H515:$AW515,3,FALSE)),
IF(AND($Q$1=TRUE,$S$1=TRUE,$S$4=TRUE)=TRUE,IF(OR($Q$4=TRUE,$Q$5=TRUE,$S$2=TRUE),VLOOKUP($G509,'KO Calc'!$H:$AW,18,FALSE),VLOOKUP($G509,'KO Calc'!$H515:$AW515,18,FALSE)),IF(AND($Q$1=TRUE,$S$4=TRUE),IF(OR($Q$4=TRUE,$Q$5=TRUE,$S$2=TRUE),VLOOKUP($G509,'KO Calc'!$H:$AW,8,FALSE),VLOOKUP($G509,'KO Calc'!$H515:$AW515,8,FALSE)),
IF(AND($S$3=TRUE,$S$1=TRUE,$S$4=FALSE)=TRUE,IF(OR($Q$4=TRUE,$Q$5=TRUE,$S$2=TRUE),VLOOKUP($G509,'KO Calc'!$H:$AW,33,FALSE),VLOOKUP($G509,'KO Calc'!$H515:$AW515,33,FALSE)),IF(AND($S$3=TRUE,$S$4=FALSE),IF(OR($Q$4=TRUE,$Q$5=TRUE,$S$2=TRUE),VLOOKUP($G509,'KO Calc'!$H:$AW,23,FALSE),VLOOKUP($G509,'KO Calc'!$H515:$AW515,23,FALSE)),
IF(AND($S$3=TRUE,$S$1=TRUE,$S$4=TRUE)=TRUE,IF(OR($Q$4=TRUE,$Q$5=TRUE,$S$2=TRUE),VLOOKUP($G509,'KO Calc'!$H:$AW,38,FALSE),VLOOKUP($G509,'KO Calc'!$H515:$AW515,38,FALSE)),IF(AND($S$3=TRUE,$S$4=TRUE),IF(OR($Q$4=TRUE,$Q$5=TRUE,$S$2=TRUE),VLOOKUP($G509,'KO Calc'!$H:$AW,28,FALSE),VLOOKUP($G509,'KO Calc'!$H515:$AW515,28,FALSE)))))))))))))</f>
        <v>-</v>
      </c>
      <c r="J509" s="36" t="str">
        <f>IF(AND($Q$1=FALSE,$S$3=FALSE),"-",IF(AND($Q$1=TRUE,$S$3=TRUE),"-",IF(AND($Q$1=FALSE,$S$3=FALSE),"-",IF(AND($Q$1=TRUE,$S$1=TRUE,$S$4=FALSE)=TRUE,IF(OR($Q$4=TRUE,$Q$5=TRUE,$S$2=TRUE),VLOOKUP($G509,'KO Calc'!$H:$AW,FALSE),VLOOKUP($G509,'KO Calc'!$H515:$AW515,14,FALSE)),IF(AND($Q$1=TRUE,$S$4=FALSE),IF(OR($Q$4=TRUE,$Q$5=TRUE,$S$2=TRUE),VLOOKUP($G509,'KO Calc'!$H:$AW,4,FALSE),VLOOKUP($G509,'KO Calc'!$H515:$AW515,4,FALSE)),
IF(AND($Q$1=TRUE,$S$1=TRUE,$S$4=TRUE)=TRUE,IF(OR($Q$4=TRUE,$Q$5=TRUE,$S$2=TRUE),VLOOKUP($G509,'KO Calc'!$H:$AW,19,FALSE),VLOOKUP($G509,'KO Calc'!$H515:$AW515,19,FALSE)),IF(AND($Q$1=TRUE,$S$4=TRUE),IF(OR($Q$4=TRUE,$Q$5=TRUE,$S$2=TRUE),VLOOKUP($G509,'KO Calc'!$H:$AW,9,FALSE),VLOOKUP($G509,'KO Calc'!$H515:$AW515,9,FALSE)),
IF(AND($S$3=TRUE,$S$1=TRUE,$S$4=FALSE)=TRUE,IF(OR($Q$4=TRUE,$Q$5=TRUE,$S$2=TRUE),VLOOKUP($G509,'KO Calc'!$H:$AW,34,FALSE),VLOOKUP($G509,'KO Calc'!$H515:$AW515,34,FALSE)),IF(AND($S$3=TRUE,$S$4=FALSE),IF(OR($Q$4=TRUE,$Q$5=TRUE,$S$2=TRUE),VLOOKUP($G509,'KO Calc'!$H:$AW,24,FALSE),VLOOKUP($G509,'KO Calc'!$H515:$AW515,24,FALSE)),
IF(AND($S$3=TRUE,$S$1=TRUE,$S$4=TRUE)=TRUE,IF(OR($Q$4=TRUE,$Q$5=TRUE,$S$2=TRUE),VLOOKUP($G509,'KO Calc'!$H:$AW,39,FALSE),VLOOKUP($G509,'KO Calc'!$H515:$AW515,39,FALSE)),IF(AND($S$3=TRUE,$S$4=TRUE),IF(OR($Q$4=TRUE,$Q$5=TRUE,$S$2=TRUE),VLOOKUP($G509,'KO Calc'!$H:$AW,29,FALSE),VLOOKUP($G509,'KO Calc'!$H515:$AW515,29,FALSE)))))))))))))</f>
        <v>-</v>
      </c>
      <c r="K509" s="36" t="str">
        <f>IF(AND($Q$1=FALSE,$S$3=FALSE),"-",IF(AND($Q$1=TRUE,$S$3=TRUE),"-",IF(AND($Q$1=FALSE,$S$3=FALSE),"-",IF(AND($Q$1=TRUE,$S$1=TRUE,$S$4=FALSE)=TRUE,IF(OR($Q$4=TRUE,$Q$5=TRUE,$S$2=TRUE),VLOOKUP($G509,'KO Calc'!$H:$AW,15,FALSE),VLOOKUP($G509,'KO Calc'!$H515:$AW515,15,FALSE)),IF(AND($Q$1=TRUE,$S$4=FALSE),IF(OR($Q$4=TRUE,$Q$5=TRUE,$S$2=TRUE),VLOOKUP($G509,'KO Calc'!$H:$AW,5,FALSE),VLOOKUP($G509,'KO Calc'!$H515:$AW515,5,FALSE)),
IF(AND($Q$1=TRUE,$S$1=TRUE,$S$4=TRUE)=TRUE,IF(OR($Q$4=TRUE,$Q$5=TRUE,$S$2=TRUE),VLOOKUP($G509,'KO Calc'!$H:$AW,20,FALSE),VLOOKUP($G509,'KO Calc'!$H515:$AW515,20,FALSE)),IF(AND($Q$1=TRUE,$S$4=TRUE),IF(OR($Q$4=TRUE,$Q$5=TRUE,$S$2=TRUE),VLOOKUP($G509,'KO Calc'!$H:$AW,10,FALSE),VLOOKUP($G509,'KO Calc'!$H515:$AW515,10,FALSE)),
IF(AND($S$3=TRUE,$S$1=TRUE,$S$4=FALSE)=TRUE,IF(OR($Q$4=TRUE,$Q$5=TRUE,$S$2=TRUE),VLOOKUP($G509,'KO Calc'!$H:$AW,35,FALSE),VLOOKUP($G509,'KO Calc'!$H515:$AW515,35,FALSE)),IF(AND($S$3=TRUE,$S$4=FALSE),IF(OR($Q$4=TRUE,$Q$5=TRUE,$S$2=TRUE),VLOOKUP($G509,'KO Calc'!$H:$AW,25,FALSE),VLOOKUP($G509,'KO Calc'!$H515:$AW515,25,FALSE)),
IF(AND($S$3=TRUE,$S$1=TRUE,$S$4=TRUE)=TRUE,IF(OR($Q$4=TRUE,$Q$5=TRUE,$S$2=TRUE),VLOOKUP($G509,'KO Calc'!$H:$AW,40,FALSE),VLOOKUP($G509,'KO Calc'!$H515:$AW515,40,FALSE)),IF(AND($S$3=TRUE,$S$4=TRUE),IF(OR($Q$4=TRUE,$Q$5=TRUE,$S$2=TRUE),VLOOKUP($G509,'KO Calc'!$H:$AW,30,FALSE),VLOOKUP($G509,'KO Calc'!$H515:$AW515,30,FALSE)))))))))))))</f>
        <v>-</v>
      </c>
      <c r="L509" s="36" t="str">
        <f>IFERROR(IF(AND($Q$1=FALSE,$S$3=FALSE),"-",VLOOKUP($E509,'Status Thresholds'!$E:$AU,43,FALSE)),"-")</f>
        <v>-</v>
      </c>
      <c r="M509" s="36" t="str">
        <f>IFERROR(IF(AND($Q$1=FALSE,$S$3=FALSE),"-",VLOOKUP($E509,'Status Thresholds'!$E:$AU,41,FALSE)),"-")</f>
        <v>-</v>
      </c>
      <c r="N509" s="36" t="str">
        <f>IFERROR(IF(AND($Q$1=FALSE,$S$3=FALSE),"-",VLOOKUP($E509,'Status Thresholds'!$E:$AU,42,FALSE)),"-")</f>
        <v>-</v>
      </c>
    </row>
    <row r="510" spans="1:14" x14ac:dyDescent="0.25">
      <c r="B510" s="64" t="str">
        <f>VLOOKUP(C510,'Status Thresholds'!B:C,2,FALSE)</f>
        <v>MHGen</v>
      </c>
      <c r="C510" s="46" t="str">
        <f>IF(ISBLANK('KO Calc'!C506)=TRUE,"",'KO Calc'!C506)</f>
        <v>Malfestio</v>
      </c>
      <c r="D510" s="78" t="s">
        <v>213</v>
      </c>
      <c r="E510" s="62" t="str">
        <f t="shared" si="15"/>
        <v>MalfestioPitfall Trap</v>
      </c>
      <c r="F510" t="s">
        <v>12</v>
      </c>
      <c r="G510" s="36" t="str">
        <f t="shared" si="16"/>
        <v>MalfestioCrag 2</v>
      </c>
      <c r="H510" s="36" t="str">
        <f>IF(AND($Q$1=FALSE,$S$3=FALSE),"-",IF(AND($Q$1=TRUE,$S$3=TRUE),"-",IF(AND($Q$1=FALSE,$S$3=FALSE),"-",IF(AND($Q$1=TRUE,$S$1=TRUE,$S$4=FALSE)=TRUE,IF(OR($Q$4=TRUE,$Q$5=TRUE,$S$2=TRUE),VLOOKUP($G510,'KO Calc'!$H:$AW,12,FALSE),VLOOKUP($G510,'KO Calc'!$H516:$AW516,12,FALSE)),IF(AND($Q$1=TRUE,$S$4=FALSE),IF(OR($Q$4=TRUE,$Q$5=TRUE,$S$2=TRUE),VLOOKUP($G510,'KO Calc'!$H:$AW,2,FALSE),VLOOKUP($G510,'KO Calc'!$H516:$AW516,2,FALSE)),
IF(AND($Q$1=TRUE,$S$1=TRUE,$S$4=TRUE)=TRUE,IF(OR($Q$4=TRUE,$Q$5=TRUE,$S$2=TRUE),VLOOKUP($G510,'KO Calc'!$H:$AW,17,FALSE),VLOOKUP($G510,'KO Calc'!$H516:$AW516,17,FALSE)),IF(AND($Q$1=TRUE,$S$4=TRUE),IF(OR($Q$4=TRUE,$Q$5=TRUE,$S$2=TRUE),VLOOKUP($G510,'KO Calc'!$H:$AW,7,FALSE),VLOOKUP($G510,'KO Calc'!$H516:$AW516,7,FALSE)),
IF(AND($S$3=TRUE,$S$1=TRUE,$S$4=FALSE)=TRUE,IF(OR($Q$4=TRUE,$Q$5=TRUE,$S$2=TRUE),VLOOKUP($G510,'KO Calc'!$H:$AW,32,FALSE),VLOOKUP($G510,'KO Calc'!$H516:$AW516,32,FALSE)),IF(AND($S$3=TRUE,$S$4=FALSE),IF(OR($Q$4=TRUE,$Q$5=TRUE,$S$2=TRUE),VLOOKUP($G510,'KO Calc'!$H:$AW,22,FALSE),VLOOKUP($G510,'KO Calc'!$H516:$AW516,22,FALSE)),
IF(AND($S$3=TRUE,$S$1=TRUE,$S$4=TRUE)=TRUE,IF(OR($Q$4=TRUE,$Q$5=TRUE,$S$2=TRUE),VLOOKUP($G510,'KO Calc'!$H:$AW,37,FALSE),VLOOKUP($G510,'KO Calc'!$H516:$AW516,37,FALSE)),IF(AND($S$3=TRUE,$S$4=TRUE),IF(OR($Q$4=TRUE,$Q$5=TRUE,$S$2=TRUE),VLOOKUP($G510,'KO Calc'!$H:$AW,27,FALSE),VLOOKUP($G510,'KO Calc'!$H516:$AW516,27,FALSE)))))))))))))</f>
        <v>-</v>
      </c>
      <c r="I510" s="36" t="str">
        <f>IF(AND($Q$1=FALSE,$S$3=FALSE),"-",IF(AND($Q$1=TRUE,$S$3=TRUE),"-",IF(AND($Q$1=FALSE,$S$3=FALSE),"-",IF(AND($Q$1=TRUE,$S$1=TRUE,$S$4=FALSE)=TRUE,IF(OR($Q$4=TRUE,$Q$5=TRUE,$S$2=TRUE),VLOOKUP($G510,'KO Calc'!$H:$AW,13,FALSE),VLOOKUP($G510,'KO Calc'!$H516:$AW516,13,FALSE)),IF(AND($Q$1=TRUE,$S$4=FALSE),IF(OR($Q$4=TRUE,$Q$5=TRUE,$S$2=TRUE),VLOOKUP($G510,'KO Calc'!$H:$AW,3,FALSE),VLOOKUP($G510,'KO Calc'!$H516:$AW516,3,FALSE)),
IF(AND($Q$1=TRUE,$S$1=TRUE,$S$4=TRUE)=TRUE,IF(OR($Q$4=TRUE,$Q$5=TRUE,$S$2=TRUE),VLOOKUP($G510,'KO Calc'!$H:$AW,18,FALSE),VLOOKUP($G510,'KO Calc'!$H516:$AW516,18,FALSE)),IF(AND($Q$1=TRUE,$S$4=TRUE),IF(OR($Q$4=TRUE,$Q$5=TRUE,$S$2=TRUE),VLOOKUP($G510,'KO Calc'!$H:$AW,8,FALSE),VLOOKUP($G510,'KO Calc'!$H516:$AW516,8,FALSE)),
IF(AND($S$3=TRUE,$S$1=TRUE,$S$4=FALSE)=TRUE,IF(OR($Q$4=TRUE,$Q$5=TRUE,$S$2=TRUE),VLOOKUP($G510,'KO Calc'!$H:$AW,33,FALSE),VLOOKUP($G510,'KO Calc'!$H516:$AW516,33,FALSE)),IF(AND($S$3=TRUE,$S$4=FALSE),IF(OR($Q$4=TRUE,$Q$5=TRUE,$S$2=TRUE),VLOOKUP($G510,'KO Calc'!$H:$AW,23,FALSE),VLOOKUP($G510,'KO Calc'!$H516:$AW516,23,FALSE)),
IF(AND($S$3=TRUE,$S$1=TRUE,$S$4=TRUE)=TRUE,IF(OR($Q$4=TRUE,$Q$5=TRUE,$S$2=TRUE),VLOOKUP($G510,'KO Calc'!$H:$AW,38,FALSE),VLOOKUP($G510,'KO Calc'!$H516:$AW516,38,FALSE)),IF(AND($S$3=TRUE,$S$4=TRUE),IF(OR($Q$4=TRUE,$Q$5=TRUE,$S$2=TRUE),VLOOKUP($G510,'KO Calc'!$H:$AW,28,FALSE),VLOOKUP($G510,'KO Calc'!$H516:$AW516,28,FALSE)))))))))))))</f>
        <v>-</v>
      </c>
      <c r="J510" s="36" t="str">
        <f>IF(AND($Q$1=FALSE,$S$3=FALSE),"-",IF(AND($Q$1=TRUE,$S$3=TRUE),"-",IF(AND($Q$1=FALSE,$S$3=FALSE),"-",IF(AND($Q$1=TRUE,$S$1=TRUE,$S$4=FALSE)=TRUE,IF(OR($Q$4=TRUE,$Q$5=TRUE,$S$2=TRUE),VLOOKUP($G510,'KO Calc'!$H:$AW,FALSE),VLOOKUP($G510,'KO Calc'!$H516:$AW516,14,FALSE)),IF(AND($Q$1=TRUE,$S$4=FALSE),IF(OR($Q$4=TRUE,$Q$5=TRUE,$S$2=TRUE),VLOOKUP($G510,'KO Calc'!$H:$AW,4,FALSE),VLOOKUP($G510,'KO Calc'!$H516:$AW516,4,FALSE)),
IF(AND($Q$1=TRUE,$S$1=TRUE,$S$4=TRUE)=TRUE,IF(OR($Q$4=TRUE,$Q$5=TRUE,$S$2=TRUE),VLOOKUP($G510,'KO Calc'!$H:$AW,19,FALSE),VLOOKUP($G510,'KO Calc'!$H516:$AW516,19,FALSE)),IF(AND($Q$1=TRUE,$S$4=TRUE),IF(OR($Q$4=TRUE,$Q$5=TRUE,$S$2=TRUE),VLOOKUP($G510,'KO Calc'!$H:$AW,9,FALSE),VLOOKUP($G510,'KO Calc'!$H516:$AW516,9,FALSE)),
IF(AND($S$3=TRUE,$S$1=TRUE,$S$4=FALSE)=TRUE,IF(OR($Q$4=TRUE,$Q$5=TRUE,$S$2=TRUE),VLOOKUP($G510,'KO Calc'!$H:$AW,34,FALSE),VLOOKUP($G510,'KO Calc'!$H516:$AW516,34,FALSE)),IF(AND($S$3=TRUE,$S$4=FALSE),IF(OR($Q$4=TRUE,$Q$5=TRUE,$S$2=TRUE),VLOOKUP($G510,'KO Calc'!$H:$AW,24,FALSE),VLOOKUP($G510,'KO Calc'!$H516:$AW516,24,FALSE)),
IF(AND($S$3=TRUE,$S$1=TRUE,$S$4=TRUE)=TRUE,IF(OR($Q$4=TRUE,$Q$5=TRUE,$S$2=TRUE),VLOOKUP($G510,'KO Calc'!$H:$AW,39,FALSE),VLOOKUP($G510,'KO Calc'!$H516:$AW516,39,FALSE)),IF(AND($S$3=TRUE,$S$4=TRUE),IF(OR($Q$4=TRUE,$Q$5=TRUE,$S$2=TRUE),VLOOKUP($G510,'KO Calc'!$H:$AW,29,FALSE),VLOOKUP($G510,'KO Calc'!$H516:$AW516,29,FALSE)))))))))))))</f>
        <v>-</v>
      </c>
      <c r="K510" s="36" t="str">
        <f>IF(AND($Q$1=FALSE,$S$3=FALSE),"-",IF(AND($Q$1=TRUE,$S$3=TRUE),"-",IF(AND($Q$1=FALSE,$S$3=FALSE),"-",IF(AND($Q$1=TRUE,$S$1=TRUE,$S$4=FALSE)=TRUE,IF(OR($Q$4=TRUE,$Q$5=TRUE,$S$2=TRUE),VLOOKUP($G510,'KO Calc'!$H:$AW,15,FALSE),VLOOKUP($G510,'KO Calc'!$H516:$AW516,15,FALSE)),IF(AND($Q$1=TRUE,$S$4=FALSE),IF(OR($Q$4=TRUE,$Q$5=TRUE,$S$2=TRUE),VLOOKUP($G510,'KO Calc'!$H:$AW,5,FALSE),VLOOKUP($G510,'KO Calc'!$H516:$AW516,5,FALSE)),
IF(AND($Q$1=TRUE,$S$1=TRUE,$S$4=TRUE)=TRUE,IF(OR($Q$4=TRUE,$Q$5=TRUE,$S$2=TRUE),VLOOKUP($G510,'KO Calc'!$H:$AW,20,FALSE),VLOOKUP($G510,'KO Calc'!$H516:$AW516,20,FALSE)),IF(AND($Q$1=TRUE,$S$4=TRUE),IF(OR($Q$4=TRUE,$Q$5=TRUE,$S$2=TRUE),VLOOKUP($G510,'KO Calc'!$H:$AW,10,FALSE),VLOOKUP($G510,'KO Calc'!$H516:$AW516,10,FALSE)),
IF(AND($S$3=TRUE,$S$1=TRUE,$S$4=FALSE)=TRUE,IF(OR($Q$4=TRUE,$Q$5=TRUE,$S$2=TRUE),VLOOKUP($G510,'KO Calc'!$H:$AW,35,FALSE),VLOOKUP($G510,'KO Calc'!$H516:$AW516,35,FALSE)),IF(AND($S$3=TRUE,$S$4=FALSE),IF(OR($Q$4=TRUE,$Q$5=TRUE,$S$2=TRUE),VLOOKUP($G510,'KO Calc'!$H:$AW,25,FALSE),VLOOKUP($G510,'KO Calc'!$H516:$AW516,25,FALSE)),
IF(AND($S$3=TRUE,$S$1=TRUE,$S$4=TRUE)=TRUE,IF(OR($Q$4=TRUE,$Q$5=TRUE,$S$2=TRUE),VLOOKUP($G510,'KO Calc'!$H:$AW,40,FALSE),VLOOKUP($G510,'KO Calc'!$H516:$AW516,40,FALSE)),IF(AND($S$3=TRUE,$S$4=TRUE),IF(OR($Q$4=TRUE,$Q$5=TRUE,$S$2=TRUE),VLOOKUP($G510,'KO Calc'!$H:$AW,30,FALSE),VLOOKUP($G510,'KO Calc'!$H516:$AW516,30,FALSE)))))))))))))</f>
        <v>-</v>
      </c>
      <c r="L510" s="36" t="str">
        <f>IFERROR(IF(AND($Q$1=FALSE,$S$3=FALSE),"-",VLOOKUP($E510,'Status Thresholds'!$E:$AU,43,FALSE)),"-")</f>
        <v>-</v>
      </c>
      <c r="M510" s="36" t="str">
        <f>IFERROR(IF(AND($Q$1=FALSE,$S$3=FALSE),"-",VLOOKUP($E510,'Status Thresholds'!$E:$AU,41,FALSE)),"-")</f>
        <v>-</v>
      </c>
      <c r="N510" s="36" t="str">
        <f>IFERROR(IF(AND($Q$1=FALSE,$S$3=FALSE),"-",VLOOKUP($E510,'Status Thresholds'!$E:$AU,42,FALSE)),"-")</f>
        <v>-</v>
      </c>
    </row>
    <row r="511" spans="1:14" x14ac:dyDescent="0.25">
      <c r="B511" s="64" t="str">
        <f>VLOOKUP(C511,'Status Thresholds'!B:C,2,FALSE)</f>
        <v>MHGen</v>
      </c>
      <c r="C511" s="46" t="str">
        <f>IF(ISBLANK('KO Calc'!C507)=TRUE,"",'KO Calc'!C507)</f>
        <v>Malfestio</v>
      </c>
      <c r="D511" s="78"/>
      <c r="E511" s="62" t="str">
        <f t="shared" si="15"/>
        <v>Malfestio</v>
      </c>
      <c r="F511" t="s">
        <v>11</v>
      </c>
      <c r="G511" s="36" t="str">
        <f t="shared" si="16"/>
        <v>MalfestioCrag 1</v>
      </c>
      <c r="H511" s="36" t="str">
        <f>IF(AND($Q$1=FALSE,$S$3=FALSE),"-",IF(AND($Q$1=TRUE,$S$3=TRUE),"-",IF(AND($Q$1=FALSE,$S$3=FALSE),"-",IF(AND($Q$1=TRUE,$S$1=TRUE,$S$4=FALSE)=TRUE,IF(OR($Q$4=TRUE,$Q$5=TRUE,$S$2=TRUE),VLOOKUP($G511,'KO Calc'!$H:$AW,12,FALSE),VLOOKUP($G511,'KO Calc'!$H517:$AW517,12,FALSE)),IF(AND($Q$1=TRUE,$S$4=FALSE),IF(OR($Q$4=TRUE,$Q$5=TRUE,$S$2=TRUE),VLOOKUP($G511,'KO Calc'!$H:$AW,2,FALSE),VLOOKUP($G511,'KO Calc'!$H517:$AW517,2,FALSE)),
IF(AND($Q$1=TRUE,$S$1=TRUE,$S$4=TRUE)=TRUE,IF(OR($Q$4=TRUE,$Q$5=TRUE,$S$2=TRUE),VLOOKUP($G511,'KO Calc'!$H:$AW,17,FALSE),VLOOKUP($G511,'KO Calc'!$H517:$AW517,17,FALSE)),IF(AND($Q$1=TRUE,$S$4=TRUE),IF(OR($Q$4=TRUE,$Q$5=TRUE,$S$2=TRUE),VLOOKUP($G511,'KO Calc'!$H:$AW,7,FALSE),VLOOKUP($G511,'KO Calc'!$H517:$AW517,7,FALSE)),
IF(AND($S$3=TRUE,$S$1=TRUE,$S$4=FALSE)=TRUE,IF(OR($Q$4=TRUE,$Q$5=TRUE,$S$2=TRUE),VLOOKUP($G511,'KO Calc'!$H:$AW,32,FALSE),VLOOKUP($G511,'KO Calc'!$H517:$AW517,32,FALSE)),IF(AND($S$3=TRUE,$S$4=FALSE),IF(OR($Q$4=TRUE,$Q$5=TRUE,$S$2=TRUE),VLOOKUP($G511,'KO Calc'!$H:$AW,22,FALSE),VLOOKUP($G511,'KO Calc'!$H517:$AW517,22,FALSE)),
IF(AND($S$3=TRUE,$S$1=TRUE,$S$4=TRUE)=TRUE,IF(OR($Q$4=TRUE,$Q$5=TRUE,$S$2=TRUE),VLOOKUP($G511,'KO Calc'!$H:$AW,37,FALSE),VLOOKUP($G511,'KO Calc'!$H517:$AW517,37,FALSE)),IF(AND($S$3=TRUE,$S$4=TRUE),IF(OR($Q$4=TRUE,$Q$5=TRUE,$S$2=TRUE),VLOOKUP($G511,'KO Calc'!$H:$AW,27,FALSE),VLOOKUP($G511,'KO Calc'!$H517:$AW517,27,FALSE)))))))))))))</f>
        <v>-</v>
      </c>
      <c r="I511" s="36" t="str">
        <f>IF(AND($Q$1=FALSE,$S$3=FALSE),"-",IF(AND($Q$1=TRUE,$S$3=TRUE),"-",IF(AND($Q$1=FALSE,$S$3=FALSE),"-",IF(AND($Q$1=TRUE,$S$1=TRUE,$S$4=FALSE)=TRUE,IF(OR($Q$4=TRUE,$Q$5=TRUE,$S$2=TRUE),VLOOKUP($G511,'KO Calc'!$H:$AW,13,FALSE),VLOOKUP($G511,'KO Calc'!$H517:$AW517,13,FALSE)),IF(AND($Q$1=TRUE,$S$4=FALSE),IF(OR($Q$4=TRUE,$Q$5=TRUE,$S$2=TRUE),VLOOKUP($G511,'KO Calc'!$H:$AW,3,FALSE),VLOOKUP($G511,'KO Calc'!$H517:$AW517,3,FALSE)),
IF(AND($Q$1=TRUE,$S$1=TRUE,$S$4=TRUE)=TRUE,IF(OR($Q$4=TRUE,$Q$5=TRUE,$S$2=TRUE),VLOOKUP($G511,'KO Calc'!$H:$AW,18,FALSE),VLOOKUP($G511,'KO Calc'!$H517:$AW517,18,FALSE)),IF(AND($Q$1=TRUE,$S$4=TRUE),IF(OR($Q$4=TRUE,$Q$5=TRUE,$S$2=TRUE),VLOOKUP($G511,'KO Calc'!$H:$AW,8,FALSE),VLOOKUP($G511,'KO Calc'!$H517:$AW517,8,FALSE)),
IF(AND($S$3=TRUE,$S$1=TRUE,$S$4=FALSE)=TRUE,IF(OR($Q$4=TRUE,$Q$5=TRUE,$S$2=TRUE),VLOOKUP($G511,'KO Calc'!$H:$AW,33,FALSE),VLOOKUP($G511,'KO Calc'!$H517:$AW517,33,FALSE)),IF(AND($S$3=TRUE,$S$4=FALSE),IF(OR($Q$4=TRUE,$Q$5=TRUE,$S$2=TRUE),VLOOKUP($G511,'KO Calc'!$H:$AW,23,FALSE),VLOOKUP($G511,'KO Calc'!$H517:$AW517,23,FALSE)),
IF(AND($S$3=TRUE,$S$1=TRUE,$S$4=TRUE)=TRUE,IF(OR($Q$4=TRUE,$Q$5=TRUE,$S$2=TRUE),VLOOKUP($G511,'KO Calc'!$H:$AW,38,FALSE),VLOOKUP($G511,'KO Calc'!$H517:$AW517,38,FALSE)),IF(AND($S$3=TRUE,$S$4=TRUE),IF(OR($Q$4=TRUE,$Q$5=TRUE,$S$2=TRUE),VLOOKUP($G511,'KO Calc'!$H:$AW,28,FALSE),VLOOKUP($G511,'KO Calc'!$H517:$AW517,28,FALSE)))))))))))))</f>
        <v>-</v>
      </c>
      <c r="J511" s="36" t="str">
        <f>IF(AND($Q$1=FALSE,$S$3=FALSE),"-",IF(AND($Q$1=TRUE,$S$3=TRUE),"-",IF(AND($Q$1=FALSE,$S$3=FALSE),"-",IF(AND($Q$1=TRUE,$S$1=TRUE,$S$4=FALSE)=TRUE,IF(OR($Q$4=TRUE,$Q$5=TRUE,$S$2=TRUE),VLOOKUP($G511,'KO Calc'!$H:$AW,FALSE),VLOOKUP($G511,'KO Calc'!$H517:$AW517,14,FALSE)),IF(AND($Q$1=TRUE,$S$4=FALSE),IF(OR($Q$4=TRUE,$Q$5=TRUE,$S$2=TRUE),VLOOKUP($G511,'KO Calc'!$H:$AW,4,FALSE),VLOOKUP($G511,'KO Calc'!$H517:$AW517,4,FALSE)),
IF(AND($Q$1=TRUE,$S$1=TRUE,$S$4=TRUE)=TRUE,IF(OR($Q$4=TRUE,$Q$5=TRUE,$S$2=TRUE),VLOOKUP($G511,'KO Calc'!$H:$AW,19,FALSE),VLOOKUP($G511,'KO Calc'!$H517:$AW517,19,FALSE)),IF(AND($Q$1=TRUE,$S$4=TRUE),IF(OR($Q$4=TRUE,$Q$5=TRUE,$S$2=TRUE),VLOOKUP($G511,'KO Calc'!$H:$AW,9,FALSE),VLOOKUP($G511,'KO Calc'!$H517:$AW517,9,FALSE)),
IF(AND($S$3=TRUE,$S$1=TRUE,$S$4=FALSE)=TRUE,IF(OR($Q$4=TRUE,$Q$5=TRUE,$S$2=TRUE),VLOOKUP($G511,'KO Calc'!$H:$AW,34,FALSE),VLOOKUP($G511,'KO Calc'!$H517:$AW517,34,FALSE)),IF(AND($S$3=TRUE,$S$4=FALSE),IF(OR($Q$4=TRUE,$Q$5=TRUE,$S$2=TRUE),VLOOKUP($G511,'KO Calc'!$H:$AW,24,FALSE),VLOOKUP($G511,'KO Calc'!$H517:$AW517,24,FALSE)),
IF(AND($S$3=TRUE,$S$1=TRUE,$S$4=TRUE)=TRUE,IF(OR($Q$4=TRUE,$Q$5=TRUE,$S$2=TRUE),VLOOKUP($G511,'KO Calc'!$H:$AW,39,FALSE),VLOOKUP($G511,'KO Calc'!$H517:$AW517,39,FALSE)),IF(AND($S$3=TRUE,$S$4=TRUE),IF(OR($Q$4=TRUE,$Q$5=TRUE,$S$2=TRUE),VLOOKUP($G511,'KO Calc'!$H:$AW,29,FALSE),VLOOKUP($G511,'KO Calc'!$H517:$AW517,29,FALSE)))))))))))))</f>
        <v>-</v>
      </c>
      <c r="K511" s="36" t="str">
        <f>IF(AND($Q$1=FALSE,$S$3=FALSE),"-",IF(AND($Q$1=TRUE,$S$3=TRUE),"-",IF(AND($Q$1=FALSE,$S$3=FALSE),"-",IF(AND($Q$1=TRUE,$S$1=TRUE,$S$4=FALSE)=TRUE,IF(OR($Q$4=TRUE,$Q$5=TRUE,$S$2=TRUE),VLOOKUP($G511,'KO Calc'!$H:$AW,15,FALSE),VLOOKUP($G511,'KO Calc'!$H517:$AW517,15,FALSE)),IF(AND($Q$1=TRUE,$S$4=FALSE),IF(OR($Q$4=TRUE,$Q$5=TRUE,$S$2=TRUE),VLOOKUP($G511,'KO Calc'!$H:$AW,5,FALSE),VLOOKUP($G511,'KO Calc'!$H517:$AW517,5,FALSE)),
IF(AND($Q$1=TRUE,$S$1=TRUE,$S$4=TRUE)=TRUE,IF(OR($Q$4=TRUE,$Q$5=TRUE,$S$2=TRUE),VLOOKUP($G511,'KO Calc'!$H:$AW,20,FALSE),VLOOKUP($G511,'KO Calc'!$H517:$AW517,20,FALSE)),IF(AND($Q$1=TRUE,$S$4=TRUE),IF(OR($Q$4=TRUE,$Q$5=TRUE,$S$2=TRUE),VLOOKUP($G511,'KO Calc'!$H:$AW,10,FALSE),VLOOKUP($G511,'KO Calc'!$H517:$AW517,10,FALSE)),
IF(AND($S$3=TRUE,$S$1=TRUE,$S$4=FALSE)=TRUE,IF(OR($Q$4=TRUE,$Q$5=TRUE,$S$2=TRUE),VLOOKUP($G511,'KO Calc'!$H:$AW,35,FALSE),VLOOKUP($G511,'KO Calc'!$H517:$AW517,35,FALSE)),IF(AND($S$3=TRUE,$S$4=FALSE),IF(OR($Q$4=TRUE,$Q$5=TRUE,$S$2=TRUE),VLOOKUP($G511,'KO Calc'!$H:$AW,25,FALSE),VLOOKUP($G511,'KO Calc'!$H517:$AW517,25,FALSE)),
IF(AND($S$3=TRUE,$S$1=TRUE,$S$4=TRUE)=TRUE,IF(OR($Q$4=TRUE,$Q$5=TRUE,$S$2=TRUE),VLOOKUP($G511,'KO Calc'!$H:$AW,40,FALSE),VLOOKUP($G511,'KO Calc'!$H517:$AW517,40,FALSE)),IF(AND($S$3=TRUE,$S$4=TRUE),IF(OR($Q$4=TRUE,$Q$5=TRUE,$S$2=TRUE),VLOOKUP($G511,'KO Calc'!$H:$AW,30,FALSE),VLOOKUP($G511,'KO Calc'!$H517:$AW517,30,FALSE)))))))))))))</f>
        <v>-</v>
      </c>
      <c r="L511" s="36" t="str">
        <f>IFERROR(VLOOKUP($E511,'Status Thresholds'!$E:$AS,41,FALSE),"-")</f>
        <v>-</v>
      </c>
    </row>
    <row r="512" spans="1:14" x14ac:dyDescent="0.25">
      <c r="B512" s="64" t="str">
        <f>VLOOKUP(C512,'Status Thresholds'!B:C,2,FALSE)</f>
        <v>MHGen</v>
      </c>
      <c r="C512" s="46" t="str">
        <f>IF(ISBLANK('KO Calc'!C508)=TRUE,"",'KO Calc'!C508)</f>
        <v>Malfestio</v>
      </c>
      <c r="D512" s="78"/>
      <c r="E512" s="62"/>
      <c r="G512" s="36"/>
      <c r="L512" s="36" t="str">
        <f>IFERROR(VLOOKUP($E512,'Status Thresholds'!$E:$AS,41,FALSE),"-")</f>
        <v>-</v>
      </c>
    </row>
    <row r="513" spans="1:14" s="36" customFormat="1" x14ac:dyDescent="0.25">
      <c r="B513" s="64" t="str">
        <f>VLOOKUP(C513,'Status Thresholds'!B:C,2,FALSE)</f>
        <v>MHGen</v>
      </c>
      <c r="C513" s="46" t="str">
        <f>IF(ISBLANK('KO Calc'!C509)=TRUE,"",'KO Calc'!C509)</f>
        <v>Mizutune</v>
      </c>
      <c r="D513" s="65" t="s">
        <v>0</v>
      </c>
      <c r="E513" s="62" t="str">
        <f t="shared" si="15"/>
        <v>MizutunePara</v>
      </c>
      <c r="F513" s="36" t="s">
        <v>2</v>
      </c>
      <c r="G513" s="36" t="str">
        <f t="shared" si="16"/>
        <v>MizutunePara lvl 2</v>
      </c>
      <c r="H513" s="36" t="str">
        <f>IFERROR(ROUNDUP(IF(AND($Q$1=FALSE,$S$3=FALSE),"-",IF(AND($Q$1=TRUE,$S$3=TRUE),"-",IF(AND($Q$1=TRUE,$S$1=TRUE,$S$4=FALSE),VLOOKUP($E513,'Status Thresholds'!$E:$AS,12,FALSE),IF(AND($Q$1=TRUE,$S$4=FALSE),VLOOKUP($E513,'Status Thresholds'!$E:$AS,2,FALSE), IF(AND($Q$1=TRUE,$S$1=TRUE,$S$4=TRUE),VLOOKUP($E513,'Status Thresholds'!$E:$AS,17,FALSE),IF(AND($Q$1=TRUE,$S$4=TRUE),VLOOKUP($E513,'Status Thresholds'!$E:$AS,7,FALSE),IF(AND($S$3=TRUE,$S$1=TRUE,$S$4=FALSE),VLOOKUP($E513,'Status Thresholds'!$E:$AS,32,FALSE),IF(AND($S$3=TRUE,$S$4=FALSE),VLOOKUP($E513,'Status Thresholds'!$E:$AS,22,FALSE),IF(AND($S$3=TRUE,$S$1=TRUE,$S$4=TRUE),VLOOKUP($E513,'Status Thresholds'!$E:$AS,37,FALSE),IF(AND($S$3=TRUE,$S$4=TRUE),VLOOKUP($E513,'Status Thresholds'!$E:$AS,27,FALSE),""))))))))/IF(OR($Q$3=TRUE,AND($Q$2=TRUE,$Q$7=TRUE),AND($Q$3=TRUE,$Q$7=TRUE))=TRUE,'Shots and Status'!$F$5,IF((OR($Q$2,$Q$7)=TRUE),'Shots and Status'!$D$5,'Shots and Status'!$C$5)))),0),"-")</f>
        <v>-</v>
      </c>
      <c r="I513" s="36" t="str">
        <f>IFERROR(ROUNDUP(IF(AND($Q$1=FALSE,$S$3=FALSE),"-",IF(AND($Q$1=TRUE,$S$3=TRUE),"-",IF(AND($Q$1=TRUE,$S$1=TRUE,$S$4=FALSE),VLOOKUP($E513,'Status Thresholds'!$E:$AS,13,FALSE),IF(AND($Q$1=TRUE,$S$4=FALSE),VLOOKUP($E513,'Status Thresholds'!$E:$AS,3,FALSE), IF(AND($Q$1=TRUE,$S$1=TRUE,$S$4=TRUE),VLOOKUP($E513,'Status Thresholds'!$E:$AS,18,FALSE),IF(AND($Q$1=TRUE,$S$4=TRUE),VLOOKUP($E513,'Status Thresholds'!$E:$AS,8,FALSE),IF(AND($S$3=TRUE,$S$1=TRUE,$S$4=FALSE),VLOOKUP($E513,'Status Thresholds'!$E:$AS,33,FALSE),IF(AND($S$3=TRUE,$S$4=FALSE),VLOOKUP($E513,'Status Thresholds'!$E:$AS,23,FALSE),IF(AND($S$3=TRUE,$S$1=TRUE,$S$4=TRUE),VLOOKUP($E513,'Status Thresholds'!$E:$AS,38,FALSE),IF(AND($S$3=TRUE,$S$4=TRUE),VLOOKUP($E513,'Status Thresholds'!$E:$AS,28,FALSE),""))))))))/IF(OR($Q$3=TRUE,AND($Q$2=TRUE,$Q$7=TRUE),AND($Q$3=TRUE,$Q$7=TRUE))=TRUE,'Shots and Status'!$F$5,IF((OR($Q$2,$Q$7)=TRUE),'Shots and Status'!$D$5,'Shots and Status'!$C$5)))),0),"-")</f>
        <v>-</v>
      </c>
      <c r="J513" s="36" t="str">
        <f>IFERROR(ROUNDUP(IF(AND($Q$1=FALSE,$S$3=FALSE),"-",IF(AND($Q$1=TRUE,$S$3=TRUE),"-",IF(AND($Q$1=TRUE,$S$1=TRUE,$S$4=FALSE),VLOOKUP($E513,'Status Thresholds'!$E:$AS,14,FALSE),IF(AND($Q$1=TRUE,$S$4=FALSE),VLOOKUP($E513,'Status Thresholds'!$E:$AS,4,FALSE), IF(AND($Q$1=TRUE,$S$1=TRUE,$S$4=TRUE),VLOOKUP($E513,'Status Thresholds'!$E:$AS,19,FALSE),IF(AND($Q$1=TRUE,$S$4=TRUE),VLOOKUP($E513,'Status Thresholds'!$E:$AS,9,FALSE),IF(AND($S$3=TRUE,$S$1=TRUE,$S$4=FALSE),VLOOKUP($E513,'Status Thresholds'!$E:$AS,34,FALSE),IF(AND($S$3=TRUE,$S$4=FALSE),VLOOKUP($E513,'Status Thresholds'!$E:$AS,24,FALSE),IF(AND($S$3=TRUE,$S$1=TRUE,$S$4=TRUE),VLOOKUP($E513,'Status Thresholds'!$E:$AS,39,FALSE),IF(AND($S$3=TRUE,$S$4=TRUE),VLOOKUP($E513,'Status Thresholds'!$E:$AS,29,FALSE),""))))))))/IF(OR($Q$3=TRUE,AND($Q$2=TRUE,$Q$7=TRUE),AND($Q$3=TRUE,$Q$7=TRUE))=TRUE,'Shots and Status'!$F$5,IF((OR($Q$2,$Q$7)=TRUE),'Shots and Status'!$D$5,'Shots and Status'!$C$5)))),0),"-")</f>
        <v>-</v>
      </c>
      <c r="K513" s="36" t="str">
        <f>IFERROR(ROUNDUP(IF(AND($Q$1=FALSE,$S$3=FALSE),"-",IF(AND($Q$1=TRUE,$S$3=TRUE),"-",IF(AND($Q$1=TRUE,$S$1=TRUE,$S$4=FALSE),VLOOKUP($E513,'Status Thresholds'!$E:$AS,15,FALSE),IF(AND($Q$1=TRUE,$S$4=FALSE),VLOOKUP($E513,'Status Thresholds'!$E:$AS,5,FALSE), IF(AND($Q$1=TRUE,$S$1=TRUE,$S$4=TRUE),VLOOKUP($E513,'Status Thresholds'!$E:$AS,20,FALSE),IF(AND($Q$1=TRUE,$S$4=TRUE),VLOOKUP($E513,'Status Thresholds'!$E:$AS,10,FALSE),IF(AND($S$3=TRUE,$S$1=TRUE,$S$4=FALSE),VLOOKUP($E513,'Status Thresholds'!$E:$AS,35,FALSE),IF(AND($S$3=TRUE,$S$4=FALSE),VLOOKUP($E513,'Status Thresholds'!$E:$AS,25,FALSE),IF(AND($S$3=TRUE,$S$1=TRUE,$S$4=TRUE),VLOOKUP($E513,'Status Thresholds'!$E:$AS,40,FALSE),IF(AND($S$3=TRUE,$S$4=TRUE),VLOOKUP($E513,'Status Thresholds'!$E:$AS,30,FALSE),""))))))))/IF(OR($Q$3=TRUE,AND($Q$2=TRUE,$Q$7=TRUE),AND($Q$3=TRUE,$Q$7=TRUE))=TRUE,'Shots and Status'!$F$5,IF((OR($Q$2,$Q$7)=TRUE),'Shots and Status'!$D$5,'Shots and Status'!$C$5)))),0),"-")</f>
        <v>-</v>
      </c>
      <c r="L513" s="36" t="str">
        <f>IFERROR(IF(AND($Q$1=FALSE,$S$3=FALSE),"-",VLOOKUP($E513,'Status Thresholds'!$E:$AU,41,FALSE)),"-")</f>
        <v>-</v>
      </c>
      <c r="M513" s="36" t="str">
        <f>IFERROR(IF(AND($Q$1=FALSE,$S$3=FALSE),"-",VLOOKUP($E513,'Status Thresholds'!$E:$AU,42,FALSE)),"-")</f>
        <v>-</v>
      </c>
      <c r="N513" s="36" t="str">
        <f>IFERROR(IF(AND($Q$1=FALSE,$S$3=FALSE),"-",VLOOKUP($E513,'Status Thresholds'!$E:$AU,43,FALSE)),"-")</f>
        <v>-</v>
      </c>
    </row>
    <row r="514" spans="1:14" s="59" customFormat="1" x14ac:dyDescent="0.25">
      <c r="A514" s="46"/>
      <c r="B514" s="64" t="str">
        <f>VLOOKUP(C514,'Status Thresholds'!B:C,2,FALSE)</f>
        <v>MHGen</v>
      </c>
      <c r="C514" s="46" t="str">
        <f>IF(ISBLANK('KO Calc'!C510)=TRUE,"",'KO Calc'!C510)</f>
        <v>Mizutune</v>
      </c>
      <c r="D514" s="60" t="s">
        <v>32</v>
      </c>
      <c r="E514" s="62" t="str">
        <f t="shared" si="15"/>
        <v>MizutuneSleep</v>
      </c>
      <c r="F514" s="59" t="s">
        <v>5</v>
      </c>
      <c r="G514" s="36" t="str">
        <f t="shared" si="16"/>
        <v>MizutuneSleep lvl 2</v>
      </c>
      <c r="H514" s="36" t="str">
        <f>IFERROR(ROUNDUP(IF(AND($Q$1=FALSE,$S$3=FALSE),"-",IF(AND($Q$1=TRUE,$S$3=TRUE),"-",IF(AND($Q$1=TRUE,$S$1=TRUE,$S$4=FALSE),VLOOKUP($E514,'Status Thresholds'!$E:$AS,12,FALSE),IF(AND($Q$1=TRUE,$S$4=FALSE),VLOOKUP($E514,'Status Thresholds'!$E:$AS,2,FALSE), IF(AND($Q$1=TRUE,$S$1=TRUE,$S$4=TRUE),VLOOKUP($E514,'Status Thresholds'!$E:$AS,17,FALSE),IF(AND($Q$1=TRUE,$S$4=TRUE),VLOOKUP($E514,'Status Thresholds'!$E:$AS,7,FALSE),IF(AND($S$3=TRUE,$S$1=TRUE,$S$4=FALSE),VLOOKUP($E514,'Status Thresholds'!$E:$AS,32,FALSE),IF(AND($S$3=TRUE,$S$4=FALSE),VLOOKUP($E514,'Status Thresholds'!$E:$AS,22,FALSE),IF(AND($S$3=TRUE,$S$1=TRUE,$S$4=TRUE),VLOOKUP($E514,'Status Thresholds'!$E:$AS,37,FALSE),IF(AND($S$3=TRUE,$S$4=TRUE),VLOOKUP($E514,'Status Thresholds'!$E:$AS,27,FALSE),""))))))))/IF(OR($Q$3=TRUE,AND($Q$2=TRUE,$Q$7=TRUE),AND($Q$3=TRUE,$Q$7=TRUE))=TRUE,'Shots and Status'!$F$5,IF((OR($Q$2,$Q$7)=TRUE),'Shots and Status'!$D$5,'Shots and Status'!$C$5)))),0),"-")</f>
        <v>-</v>
      </c>
      <c r="I514" s="36" t="str">
        <f>IFERROR(ROUNDUP(IF(AND($Q$1=FALSE,$S$3=FALSE),"-",IF(AND($Q$1=TRUE,$S$3=TRUE),"-",IF(AND($Q$1=TRUE,$S$1=TRUE,$S$4=FALSE),VLOOKUP($E514,'Status Thresholds'!$E:$AS,13,FALSE),IF(AND($Q$1=TRUE,$S$4=FALSE),VLOOKUP($E514,'Status Thresholds'!$E:$AS,3,FALSE), IF(AND($Q$1=TRUE,$S$1=TRUE,$S$4=TRUE),VLOOKUP($E514,'Status Thresholds'!$E:$AS,18,FALSE),IF(AND($Q$1=TRUE,$S$4=TRUE),VLOOKUP($E514,'Status Thresholds'!$E:$AS,8,FALSE),IF(AND($S$3=TRUE,$S$1=TRUE,$S$4=FALSE),VLOOKUP($E514,'Status Thresholds'!$E:$AS,33,FALSE),IF(AND($S$3=TRUE,$S$4=FALSE),VLOOKUP($E514,'Status Thresholds'!$E:$AS,23,FALSE),IF(AND($S$3=TRUE,$S$1=TRUE,$S$4=TRUE),VLOOKUP($E514,'Status Thresholds'!$E:$AS,38,FALSE),IF(AND($S$3=TRUE,$S$4=TRUE),VLOOKUP($E514,'Status Thresholds'!$E:$AS,28,FALSE),""))))))))/IF(OR($Q$3=TRUE,AND($Q$2=TRUE,$Q$7=TRUE),AND($Q$3=TRUE,$Q$7=TRUE))=TRUE,'Shots and Status'!$F$5,IF((OR($Q$2,$Q$7)=TRUE),'Shots and Status'!$D$5,'Shots and Status'!$C$5)))),0),"-")</f>
        <v>-</v>
      </c>
      <c r="J514" s="36" t="str">
        <f>IFERROR(ROUNDUP(IF(AND($Q$1=FALSE,$S$3=FALSE),"-",IF(AND($Q$1=TRUE,$S$3=TRUE),"-",IF(AND($Q$1=TRUE,$S$1=TRUE,$S$4=FALSE),VLOOKUP($E514,'Status Thresholds'!$E:$AS,14,FALSE),IF(AND($Q$1=TRUE,$S$4=FALSE),VLOOKUP($E514,'Status Thresholds'!$E:$AS,4,FALSE), IF(AND($Q$1=TRUE,$S$1=TRUE,$S$4=TRUE),VLOOKUP($E514,'Status Thresholds'!$E:$AS,19,FALSE),IF(AND($Q$1=TRUE,$S$4=TRUE),VLOOKUP($E514,'Status Thresholds'!$E:$AS,9,FALSE),IF(AND($S$3=TRUE,$S$1=TRUE,$S$4=FALSE),VLOOKUP($E514,'Status Thresholds'!$E:$AS,34,FALSE),IF(AND($S$3=TRUE,$S$4=FALSE),VLOOKUP($E514,'Status Thresholds'!$E:$AS,24,FALSE),IF(AND($S$3=TRUE,$S$1=TRUE,$S$4=TRUE),VLOOKUP($E514,'Status Thresholds'!$E:$AS,39,FALSE),IF(AND($S$3=TRUE,$S$4=TRUE),VLOOKUP($E514,'Status Thresholds'!$E:$AS,29,FALSE),""))))))))/IF(OR($Q$3=TRUE,AND($Q$2=TRUE,$Q$7=TRUE),AND($Q$3=TRUE,$Q$7=TRUE))=TRUE,'Shots and Status'!$F$5,IF((OR($Q$2,$Q$7)=TRUE),'Shots and Status'!$D$5,'Shots and Status'!$C$5)))),0),"-")</f>
        <v>-</v>
      </c>
      <c r="K514" s="36" t="str">
        <f>IFERROR(ROUNDUP(IF(AND($Q$1=FALSE,$S$3=FALSE),"-",IF(AND($Q$1=TRUE,$S$3=TRUE),"-",IF(AND($Q$1=TRUE,$S$1=TRUE,$S$4=FALSE),VLOOKUP($E514,'Status Thresholds'!$E:$AS,15,FALSE),IF(AND($Q$1=TRUE,$S$4=FALSE),VLOOKUP($E514,'Status Thresholds'!$E:$AS,5,FALSE), IF(AND($Q$1=TRUE,$S$1=TRUE,$S$4=TRUE),VLOOKUP($E514,'Status Thresholds'!$E:$AS,20,FALSE),IF(AND($Q$1=TRUE,$S$4=TRUE),VLOOKUP($E514,'Status Thresholds'!$E:$AS,10,FALSE),IF(AND($S$3=TRUE,$S$1=TRUE,$S$4=FALSE),VLOOKUP($E514,'Status Thresholds'!$E:$AS,35,FALSE),IF(AND($S$3=TRUE,$S$4=FALSE),VLOOKUP($E514,'Status Thresholds'!$E:$AS,25,FALSE),IF(AND($S$3=TRUE,$S$1=TRUE,$S$4=TRUE),VLOOKUP($E514,'Status Thresholds'!$E:$AS,40,FALSE),IF(AND($S$3=TRUE,$S$4=TRUE),VLOOKUP($E514,'Status Thresholds'!$E:$AS,30,FALSE),""))))))))/IF(OR($Q$3=TRUE,AND($Q$2=TRUE,$Q$7=TRUE),AND($Q$3=TRUE,$Q$7=TRUE))=TRUE,'Shots and Status'!$F$5,IF((OR($Q$2,$Q$7)=TRUE),'Shots and Status'!$D$5,'Shots and Status'!$C$5)))),0),"-")</f>
        <v>-</v>
      </c>
      <c r="L514" s="36" t="str">
        <f>IFERROR(IF(AND($Q$1=FALSE,$S$3=FALSE),"-",VLOOKUP($E514,'Status Thresholds'!$E:$AU,41,FALSE)),"-")</f>
        <v>-</v>
      </c>
      <c r="M514" s="36" t="str">
        <f>IFERROR(IF(AND($Q$1=FALSE,$S$3=FALSE),"-",VLOOKUP($E514,'Status Thresholds'!$E:$AU,42,FALSE)),"-")</f>
        <v>-</v>
      </c>
      <c r="N514" s="36" t="str">
        <f>IFERROR(IF(AND($Q$1=FALSE,$S$3=FALSE),"-",VLOOKUP($E514,'Status Thresholds'!$E:$AU,43,FALSE)),"-")</f>
        <v>-</v>
      </c>
    </row>
    <row r="515" spans="1:14" s="59" customFormat="1" x14ac:dyDescent="0.25">
      <c r="A515" s="46"/>
      <c r="B515" s="64" t="str">
        <f>VLOOKUP(C515,'Status Thresholds'!B:C,2,FALSE)</f>
        <v>MHGen</v>
      </c>
      <c r="C515" s="46" t="str">
        <f>IF(ISBLANK('KO Calc'!C511)=TRUE,"",'KO Calc'!C511)</f>
        <v>Mizutune</v>
      </c>
      <c r="D515" s="58" t="s">
        <v>33</v>
      </c>
      <c r="E515" s="62" t="str">
        <f t="shared" si="15"/>
        <v>MizutunePoison</v>
      </c>
      <c r="F515" s="59" t="s">
        <v>6</v>
      </c>
      <c r="G515" s="36" t="str">
        <f t="shared" si="16"/>
        <v>MizutunePoison lvl 2</v>
      </c>
      <c r="H515" s="36" t="str">
        <f>IFERROR(ROUNDUP(IF(AND($Q$1=FALSE,$S$3=FALSE),"-",IF(AND($Q$1=TRUE,$S$3=TRUE),"-",IF(AND($Q$1=TRUE,$S$1=TRUE,$S$4=FALSE),VLOOKUP($E515,'Status Thresholds'!$E:$AS,12,FALSE),IF(AND($Q$1=TRUE,$S$4=FALSE),VLOOKUP($E515,'Status Thresholds'!$E:$AS,2,FALSE), IF(AND($Q$1=TRUE,$S$1=TRUE,$S$4=TRUE),VLOOKUP($E515,'Status Thresholds'!$E:$AS,17,FALSE),IF(AND($Q$1=TRUE,$S$4=TRUE),VLOOKUP($E515,'Status Thresholds'!$E:$AS,7,FALSE),IF(AND($S$3=TRUE,$S$1=TRUE,$S$4=FALSE),VLOOKUP($E515,'Status Thresholds'!$E:$AS,32,FALSE),IF(AND($S$3=TRUE,$S$4=FALSE),VLOOKUP($E515,'Status Thresholds'!$E:$AS,22,FALSE),IF(AND($S$3=TRUE,$S$1=TRUE,$S$4=TRUE),VLOOKUP($E515,'Status Thresholds'!$E:$AS,37,FALSE),IF(AND($S$3=TRUE,$S$4=TRUE),VLOOKUP($E515,'Status Thresholds'!$E:$AS,27,FALSE),""))))))))/IF(OR($Q$3=TRUE,AND($Q$2=TRUE,$Q$7=TRUE),AND($Q$3=TRUE,$Q$7=TRUE))=TRUE,'Shots and Status'!$F$5,IF((OR($Q$2,$Q$7)=TRUE),'Shots and Status'!$D$5,'Shots and Status'!$C$5)))),0),"-")</f>
        <v>-</v>
      </c>
      <c r="I515" s="36" t="str">
        <f>IFERROR(ROUNDUP(IF(AND($Q$1=FALSE,$S$3=FALSE),"-",IF(AND($Q$1=TRUE,$S$3=TRUE),"-",IF(AND($Q$1=TRUE,$S$1=TRUE,$S$4=FALSE),VLOOKUP($E515,'Status Thresholds'!$E:$AS,13,FALSE),IF(AND($Q$1=TRUE,$S$4=FALSE),VLOOKUP($E515,'Status Thresholds'!$E:$AS,3,FALSE), IF(AND($Q$1=TRUE,$S$1=TRUE,$S$4=TRUE),VLOOKUP($E515,'Status Thresholds'!$E:$AS,18,FALSE),IF(AND($Q$1=TRUE,$S$4=TRUE),VLOOKUP($E515,'Status Thresholds'!$E:$AS,8,FALSE),IF(AND($S$3=TRUE,$S$1=TRUE,$S$4=FALSE),VLOOKUP($E515,'Status Thresholds'!$E:$AS,33,FALSE),IF(AND($S$3=TRUE,$S$4=FALSE),VLOOKUP($E515,'Status Thresholds'!$E:$AS,23,FALSE),IF(AND($S$3=TRUE,$S$1=TRUE,$S$4=TRUE),VLOOKUP($E515,'Status Thresholds'!$E:$AS,38,FALSE),IF(AND($S$3=TRUE,$S$4=TRUE),VLOOKUP($E515,'Status Thresholds'!$E:$AS,28,FALSE),""))))))))/IF(OR($Q$3=TRUE,AND($Q$2=TRUE,$Q$7=TRUE),AND($Q$3=TRUE,$Q$7=TRUE))=TRUE,'Shots and Status'!$F$5,IF((OR($Q$2,$Q$7)=TRUE),'Shots and Status'!$D$5,'Shots and Status'!$C$5)))),0),"-")</f>
        <v>-</v>
      </c>
      <c r="J515" s="36" t="str">
        <f>IFERROR(ROUNDUP(IF(AND($Q$1=FALSE,$S$3=FALSE),"-",IF(AND($Q$1=TRUE,$S$3=TRUE),"-",IF(AND($Q$1=TRUE,$S$1=TRUE,$S$4=FALSE),VLOOKUP($E515,'Status Thresholds'!$E:$AS,14,FALSE),IF(AND($Q$1=TRUE,$S$4=FALSE),VLOOKUP($E515,'Status Thresholds'!$E:$AS,4,FALSE), IF(AND($Q$1=TRUE,$S$1=TRUE,$S$4=TRUE),VLOOKUP($E515,'Status Thresholds'!$E:$AS,19,FALSE),IF(AND($Q$1=TRUE,$S$4=TRUE),VLOOKUP($E515,'Status Thresholds'!$E:$AS,9,FALSE),IF(AND($S$3=TRUE,$S$1=TRUE,$S$4=FALSE),VLOOKUP($E515,'Status Thresholds'!$E:$AS,34,FALSE),IF(AND($S$3=TRUE,$S$4=FALSE),VLOOKUP($E515,'Status Thresholds'!$E:$AS,24,FALSE),IF(AND($S$3=TRUE,$S$1=TRUE,$S$4=TRUE),VLOOKUP($E515,'Status Thresholds'!$E:$AS,39,FALSE),IF(AND($S$3=TRUE,$S$4=TRUE),VLOOKUP($E515,'Status Thresholds'!$E:$AS,29,FALSE),""))))))))/IF(OR($Q$3=TRUE,AND($Q$2=TRUE,$Q$7=TRUE),AND($Q$3=TRUE,$Q$7=TRUE))=TRUE,'Shots and Status'!$F$5,IF((OR($Q$2,$Q$7)=TRUE),'Shots and Status'!$D$5,'Shots and Status'!$C$5)))),0),"-")</f>
        <v>-</v>
      </c>
      <c r="K515" s="36" t="str">
        <f>IFERROR(ROUNDUP(IF(AND($Q$1=FALSE,$S$3=FALSE),"-",IF(AND($Q$1=TRUE,$S$3=TRUE),"-",IF(AND($Q$1=TRUE,$S$1=TRUE,$S$4=FALSE),VLOOKUP($E515,'Status Thresholds'!$E:$AS,15,FALSE),IF(AND($Q$1=TRUE,$S$4=FALSE),VLOOKUP($E515,'Status Thresholds'!$E:$AS,5,FALSE), IF(AND($Q$1=TRUE,$S$1=TRUE,$S$4=TRUE),VLOOKUP($E515,'Status Thresholds'!$E:$AS,20,FALSE),IF(AND($Q$1=TRUE,$S$4=TRUE),VLOOKUP($E515,'Status Thresholds'!$E:$AS,10,FALSE),IF(AND($S$3=TRUE,$S$1=TRUE,$S$4=FALSE),VLOOKUP($E515,'Status Thresholds'!$E:$AS,35,FALSE),IF(AND($S$3=TRUE,$S$4=FALSE),VLOOKUP($E515,'Status Thresholds'!$E:$AS,25,FALSE),IF(AND($S$3=TRUE,$S$1=TRUE,$S$4=TRUE),VLOOKUP($E515,'Status Thresholds'!$E:$AS,40,FALSE),IF(AND($S$3=TRUE,$S$4=TRUE),VLOOKUP($E515,'Status Thresholds'!$E:$AS,30,FALSE),""))))))))/IF(OR($Q$3=TRUE,AND($Q$2=TRUE,$Q$7=TRUE),AND($Q$3=TRUE,$Q$7=TRUE))=TRUE,'Shots and Status'!$F$5,IF((OR($Q$2,$Q$7)=TRUE),'Shots and Status'!$D$5,'Shots and Status'!$C$5)))),0),"-")</f>
        <v>-</v>
      </c>
      <c r="L515" s="36" t="str">
        <f>IFERROR(IF(AND($Q$1=FALSE,$S$3=FALSE),"-",VLOOKUP($E515,'Status Thresholds'!$E:$AU,41,FALSE)),"-")</f>
        <v>-</v>
      </c>
      <c r="M515" s="36" t="str">
        <f>IFERROR(IF(AND($Q$1=FALSE,$S$3=FALSE),"-",VLOOKUP($E515,'Status Thresholds'!$E:$AU,42,FALSE)),"-")</f>
        <v>-</v>
      </c>
      <c r="N515" s="36" t="str">
        <f>IFERROR(IF(AND($Q$1=FALSE,$S$3=FALSE),"-",VLOOKUP($E515,'Status Thresholds'!$E:$AU,43,FALSE)),"-")</f>
        <v>-</v>
      </c>
    </row>
    <row r="516" spans="1:14" s="36" customFormat="1" x14ac:dyDescent="0.25">
      <c r="A516" s="46"/>
      <c r="B516" s="64" t="str">
        <f>VLOOKUP(C516,'Status Thresholds'!B:C,2,FALSE)</f>
        <v>MHGen</v>
      </c>
      <c r="C516" s="46" t="str">
        <f>IF(ISBLANK('KO Calc'!C512)=TRUE,"",'KO Calc'!C512)</f>
        <v>Mizutune</v>
      </c>
      <c r="D516" s="57" t="s">
        <v>22</v>
      </c>
      <c r="E516" s="62" t="str">
        <f t="shared" si="15"/>
        <v>MizutuneExhaust</v>
      </c>
      <c r="F516" s="36" t="s">
        <v>8</v>
      </c>
      <c r="G516" s="36" t="str">
        <f t="shared" si="16"/>
        <v>MizutuneExhaust lvl 2</v>
      </c>
      <c r="H516" s="36" t="str">
        <f>IFERROR(ROUNDUP(IF(AND($Q$1=FALSE,$S$3=FALSE),"-",IF(AND($Q$1=TRUE,$S$3=TRUE),"-",IF(AND($Q$1=TRUE,$S$1=TRUE,$S$4=FALSE),VLOOKUP($E516,'Status Thresholds'!$E:$AS,12,FALSE),IF(AND($Q$1=TRUE,$S$4=FALSE),VLOOKUP($E516,'Status Thresholds'!$E:$AS,2,FALSE), IF(AND($Q$1=TRUE,$S$1=TRUE,$S$4=TRUE),VLOOKUP($E516,'Status Thresholds'!$E:$AS,17,FALSE),IF(AND($Q$1=TRUE,$S$4=TRUE),VLOOKUP($E516,'Status Thresholds'!$E:$AS,7,FALSE),IF(AND($S$3=TRUE,$S$1=TRUE,$S$4=FALSE),VLOOKUP($E516,'Status Thresholds'!$E:$AS,32,FALSE),IF(AND($S$3=TRUE,$S$4=FALSE),VLOOKUP($E516,'Status Thresholds'!$E:$AS,22,FALSE),IF(AND($S$3=TRUE,$S$1=TRUE,$S$4=TRUE),VLOOKUP($E516,'Status Thresholds'!$E:$AS,37,FALSE),IF(AND($S$3=TRUE,$S$4=TRUE),VLOOKUP($E516,'Status Thresholds'!$E:$AS,27,FALSE),""))))))))/IF(OR($Q$3=TRUE,AND($Q$2=TRUE,$Q$7=TRUE),AND($Q$3=TRUE,$Q$7=TRUE))=TRUE,'Shots and Status'!$F$5,IF((OR($Q$2,$Q$7)=TRUE),'Shots and Status'!$D$5,'Shots and Status'!$C$5)))),0),"-")</f>
        <v>-</v>
      </c>
      <c r="I516" s="36" t="str">
        <f>IFERROR(ROUNDUP(IF(AND($Q$1=FALSE,$S$3=FALSE),"-",IF(AND($Q$1=TRUE,$S$3=TRUE),"-",IF(AND($Q$1=TRUE,$S$1=TRUE,$S$4=FALSE),VLOOKUP($E516,'Status Thresholds'!$E:$AS,13,FALSE),IF(AND($Q$1=TRUE,$S$4=FALSE),VLOOKUP($E516,'Status Thresholds'!$E:$AS,3,FALSE), IF(AND($Q$1=TRUE,$S$1=TRUE,$S$4=TRUE),VLOOKUP($E516,'Status Thresholds'!$E:$AS,18,FALSE),IF(AND($Q$1=TRUE,$S$4=TRUE),VLOOKUP($E516,'Status Thresholds'!$E:$AS,8,FALSE),IF(AND($S$3=TRUE,$S$1=TRUE,$S$4=FALSE),VLOOKUP($E516,'Status Thresholds'!$E:$AS,33,FALSE),IF(AND($S$3=TRUE,$S$4=FALSE),VLOOKUP($E516,'Status Thresholds'!$E:$AS,23,FALSE),IF(AND($S$3=TRUE,$S$1=TRUE,$S$4=TRUE),VLOOKUP($E516,'Status Thresholds'!$E:$AS,38,FALSE),IF(AND($S$3=TRUE,$S$4=TRUE),VLOOKUP($E516,'Status Thresholds'!$E:$AS,28,FALSE),""))))))))/IF(OR($Q$3=TRUE,AND($Q$2=TRUE,$Q$7=TRUE),AND($Q$3=TRUE,$Q$7=TRUE))=TRUE,'Shots and Status'!$F$5,IF((OR($Q$2,$Q$7)=TRUE),'Shots and Status'!$D$5,'Shots and Status'!$C$5)))),0),"-")</f>
        <v>-</v>
      </c>
      <c r="J516" s="36" t="str">
        <f>IFERROR(ROUNDUP(IF(AND($Q$1=FALSE,$S$3=FALSE),"-",IF(AND($Q$1=TRUE,$S$3=TRUE),"-",IF(AND($Q$1=TRUE,$S$1=TRUE,$S$4=FALSE),VLOOKUP($E516,'Status Thresholds'!$E:$AS,14,FALSE),IF(AND($Q$1=TRUE,$S$4=FALSE),VLOOKUP($E516,'Status Thresholds'!$E:$AS,4,FALSE), IF(AND($Q$1=TRUE,$S$1=TRUE,$S$4=TRUE),VLOOKUP($E516,'Status Thresholds'!$E:$AS,19,FALSE),IF(AND($Q$1=TRUE,$S$4=TRUE),VLOOKUP($E516,'Status Thresholds'!$E:$AS,9,FALSE),IF(AND($S$3=TRUE,$S$1=TRUE,$S$4=FALSE),VLOOKUP($E516,'Status Thresholds'!$E:$AS,34,FALSE),IF(AND($S$3=TRUE,$S$4=FALSE),VLOOKUP($E516,'Status Thresholds'!$E:$AS,24,FALSE),IF(AND($S$3=TRUE,$S$1=TRUE,$S$4=TRUE),VLOOKUP($E516,'Status Thresholds'!$E:$AS,39,FALSE),IF(AND($S$3=TRUE,$S$4=TRUE),VLOOKUP($E516,'Status Thresholds'!$E:$AS,29,FALSE),""))))))))/IF(OR($Q$3=TRUE,AND($Q$2=TRUE,$Q$7=TRUE),AND($Q$3=TRUE,$Q$7=TRUE))=TRUE,'Shots and Status'!$F$5,IF((OR($Q$2,$Q$7)=TRUE),'Shots and Status'!$D$5,'Shots and Status'!$C$5)))),0),"-")</f>
        <v>-</v>
      </c>
      <c r="K516" s="36" t="str">
        <f>IFERROR(ROUNDUP(IF(AND($Q$1=FALSE,$S$3=FALSE),"-",IF(AND($Q$1=TRUE,$S$3=TRUE),"-",IF(AND($Q$1=TRUE,$S$1=TRUE,$S$4=FALSE),VLOOKUP($E516,'Status Thresholds'!$E:$AS,15,FALSE),IF(AND($Q$1=TRUE,$S$4=FALSE),VLOOKUP($E516,'Status Thresholds'!$E:$AS,5,FALSE), IF(AND($Q$1=TRUE,$S$1=TRUE,$S$4=TRUE),VLOOKUP($E516,'Status Thresholds'!$E:$AS,20,FALSE),IF(AND($Q$1=TRUE,$S$4=TRUE),VLOOKUP($E516,'Status Thresholds'!$E:$AS,10,FALSE),IF(AND($S$3=TRUE,$S$1=TRUE,$S$4=FALSE),VLOOKUP($E516,'Status Thresholds'!$E:$AS,35,FALSE),IF(AND($S$3=TRUE,$S$4=FALSE),VLOOKUP($E516,'Status Thresholds'!$E:$AS,25,FALSE),IF(AND($S$3=TRUE,$S$1=TRUE,$S$4=TRUE),VLOOKUP($E516,'Status Thresholds'!$E:$AS,40,FALSE),IF(AND($S$3=TRUE,$S$4=TRUE),VLOOKUP($E516,'Status Thresholds'!$E:$AS,30,FALSE),""))))))))/IF(OR($Q$3=TRUE,AND($Q$2=TRUE,$Q$7=TRUE),AND($Q$3=TRUE,$Q$7=TRUE))=TRUE,'Shots and Status'!$F$5,IF((OR($Q$2,$Q$7)=TRUE),'Shots and Status'!$D$5,'Shots and Status'!$C$5)))),0),"-")</f>
        <v>-</v>
      </c>
      <c r="L516" s="36" t="str">
        <f>IFERROR(IF(AND($Q$1=FALSE,$S$3=FALSE),"-",VLOOKUP($E516,'Status Thresholds'!$E:$AU,41,FALSE)),"-")</f>
        <v>-</v>
      </c>
      <c r="M516" s="36" t="str">
        <f>IFERROR(IF(AND($Q$1=FALSE,$S$3=FALSE),"-",VLOOKUP($E516,'Status Thresholds'!$E:$AU,42,FALSE)),"-")</f>
        <v>-</v>
      </c>
      <c r="N516" s="36" t="str">
        <f>IFERROR(IF(AND($Q$1=FALSE,$S$3=FALSE),"-",VLOOKUP($E516,'Status Thresholds'!$E:$AU,43,FALSE)),"-")</f>
        <v>-</v>
      </c>
    </row>
    <row r="517" spans="1:14" s="36" customFormat="1" x14ac:dyDescent="0.25">
      <c r="A517" s="46"/>
      <c r="B517" s="64" t="str">
        <f>VLOOKUP(C517,'Status Thresholds'!B:C,2,FALSE)</f>
        <v>MHGen</v>
      </c>
      <c r="C517" s="46" t="str">
        <f>IF(ISBLANK('KO Calc'!C513)=TRUE,"",'KO Calc'!C513)</f>
        <v>Mizutune</v>
      </c>
      <c r="D517" s="67" t="s">
        <v>14</v>
      </c>
      <c r="E517" s="62" t="str">
        <f t="shared" si="15"/>
        <v>MizutuneKO</v>
      </c>
      <c r="F517" s="36" t="s">
        <v>21</v>
      </c>
      <c r="G517" s="36" t="str">
        <f t="shared" si="16"/>
        <v>MizutuneTriblast</v>
      </c>
      <c r="H517" s="36" t="str">
        <f>IF(AND($Q$1=FALSE,$S$3=FALSE),"-",IF(AND($Q$1=TRUE,$S$3=TRUE),"-",IF(AND($Q$1=FALSE,$S$3=FALSE),"-",IF(AND($Q$1=TRUE,$S$1=TRUE,$S$4=FALSE)=TRUE,IF(OR($Q$4=TRUE,$Q$5=TRUE,$S$2=TRUE),VLOOKUP($G517,'KO Calc'!$H:$AW,12,FALSE),VLOOKUP($G517,'KO Calc'!$H523:$AW523,12,FALSE)),IF(AND($Q$1=TRUE,$S$4=FALSE),IF(OR($Q$4=TRUE,$Q$5=TRUE,$S$2=TRUE),VLOOKUP($G517,'KO Calc'!$H:$AW,2,FALSE),VLOOKUP($G517,'KO Calc'!$H523:$AW523,2,FALSE)),
IF(AND($Q$1=TRUE,$S$1=TRUE,$S$4=TRUE)=TRUE,IF(OR($Q$4=TRUE,$Q$5=TRUE,$S$2=TRUE),VLOOKUP($G517,'KO Calc'!$H:$AW,17,FALSE),VLOOKUP($G517,'KO Calc'!$H523:$AW523,17,FALSE)),IF(AND($Q$1=TRUE,$S$4=TRUE),IF(OR($Q$4=TRUE,$Q$5=TRUE,$S$2=TRUE),VLOOKUP($G517,'KO Calc'!$H:$AW,7,FALSE),VLOOKUP($G517,'KO Calc'!$H523:$AW523,7,FALSE)),
IF(AND($S$3=TRUE,$S$1=TRUE,$S$4=FALSE)=TRUE,IF(OR($Q$4=TRUE,$Q$5=TRUE,$S$2=TRUE),VLOOKUP($G517,'KO Calc'!$H:$AW,32,FALSE),VLOOKUP($G517,'KO Calc'!$H523:$AW523,32,FALSE)),IF(AND($S$3=TRUE,$S$4=FALSE),IF(OR($Q$4=TRUE,$Q$5=TRUE,$S$2=TRUE),VLOOKUP($G517,'KO Calc'!$H:$AW,22,FALSE),VLOOKUP($G517,'KO Calc'!$H523:$AW523,22,FALSE)),
IF(AND($S$3=TRUE,$S$1=TRUE,$S$4=TRUE)=TRUE,IF(OR($Q$4=TRUE,$Q$5=TRUE,$S$2=TRUE),VLOOKUP($G517,'KO Calc'!$H:$AW,37,FALSE),VLOOKUP($G517,'KO Calc'!$H523:$AW523,37,FALSE)),IF(AND($S$3=TRUE,$S$4=TRUE),IF(OR($Q$4=TRUE,$Q$5=TRUE,$S$2=TRUE),VLOOKUP($G517,'KO Calc'!$H:$AW,27,FALSE),VLOOKUP($G517,'KO Calc'!$H523:$AW523,27,FALSE)))))))))))))</f>
        <v>-</v>
      </c>
      <c r="I517" s="36" t="str">
        <f>IF(AND($Q$1=FALSE,$S$3=FALSE),"-",IF(AND($Q$1=TRUE,$S$3=TRUE),"-",IF(AND($Q$1=FALSE,$S$3=FALSE),"-",IF(AND($Q$1=TRUE,$S$1=TRUE,$S$4=FALSE)=TRUE,IF(OR($Q$4=TRUE,$Q$5=TRUE,$S$2=TRUE),VLOOKUP($G517,'KO Calc'!$H:$AW,13,FALSE),VLOOKUP($G517,'KO Calc'!$H523:$AW523,13,FALSE)),IF(AND($Q$1=TRUE,$S$4=FALSE),IF(OR($Q$4=TRUE,$Q$5=TRUE,$S$2=TRUE),VLOOKUP($G517,'KO Calc'!$H:$AW,3,FALSE),VLOOKUP($G517,'KO Calc'!$H523:$AW523,3,FALSE)),
IF(AND($Q$1=TRUE,$S$1=TRUE,$S$4=TRUE)=TRUE,IF(OR($Q$4=TRUE,$Q$5=TRUE,$S$2=TRUE),VLOOKUP($G517,'KO Calc'!$H:$AW,18,FALSE),VLOOKUP($G517,'KO Calc'!$H523:$AW523,18,FALSE)),IF(AND($Q$1=TRUE,$S$4=TRUE),IF(OR($Q$4=TRUE,$Q$5=TRUE,$S$2=TRUE),VLOOKUP($G517,'KO Calc'!$H:$AW,8,FALSE),VLOOKUP($G517,'KO Calc'!$H523:$AW523,8,FALSE)),
IF(AND($S$3=TRUE,$S$1=TRUE,$S$4=FALSE)=TRUE,IF(OR($Q$4=TRUE,$Q$5=TRUE,$S$2=TRUE),VLOOKUP($G517,'KO Calc'!$H:$AW,33,FALSE),VLOOKUP($G517,'KO Calc'!$H523:$AW523,33,FALSE)),IF(AND($S$3=TRUE,$S$4=FALSE),IF(OR($Q$4=TRUE,$Q$5=TRUE,$S$2=TRUE),VLOOKUP($G517,'KO Calc'!$H:$AW,23,FALSE),VLOOKUP($G517,'KO Calc'!$H523:$AW523,23,FALSE)),
IF(AND($S$3=TRUE,$S$1=TRUE,$S$4=TRUE)=TRUE,IF(OR($Q$4=TRUE,$Q$5=TRUE,$S$2=TRUE),VLOOKUP($G517,'KO Calc'!$H:$AW,38,FALSE),VLOOKUP($G517,'KO Calc'!$H523:$AW523,38,FALSE)),IF(AND($S$3=TRUE,$S$4=TRUE),IF(OR($Q$4=TRUE,$Q$5=TRUE,$S$2=TRUE),VLOOKUP($G517,'KO Calc'!$H:$AW,28,FALSE),VLOOKUP($G517,'KO Calc'!$H523:$AW523,28,FALSE)))))))))))))</f>
        <v>-</v>
      </c>
      <c r="J517" s="36" t="str">
        <f>IF(AND($Q$1=FALSE,$S$3=FALSE),"-",IF(AND($Q$1=TRUE,$S$3=TRUE),"-",IF(AND($Q$1=FALSE,$S$3=FALSE),"-",IF(AND($Q$1=TRUE,$S$1=TRUE,$S$4=FALSE)=TRUE,IF(OR($Q$4=TRUE,$Q$5=TRUE,$S$2=TRUE),VLOOKUP($G517,'KO Calc'!$H:$AW,FALSE),VLOOKUP($G517,'KO Calc'!$H523:$AW523,14,FALSE)),IF(AND($Q$1=TRUE,$S$4=FALSE),IF(OR($Q$4=TRUE,$Q$5=TRUE,$S$2=TRUE),VLOOKUP($G517,'KO Calc'!$H:$AW,4,FALSE),VLOOKUP($G517,'KO Calc'!$H523:$AW523,4,FALSE)),
IF(AND($Q$1=TRUE,$S$1=TRUE,$S$4=TRUE)=TRUE,IF(OR($Q$4=TRUE,$Q$5=TRUE,$S$2=TRUE),VLOOKUP($G517,'KO Calc'!$H:$AW,19,FALSE),VLOOKUP($G517,'KO Calc'!$H523:$AW523,19,FALSE)),IF(AND($Q$1=TRUE,$S$4=TRUE),IF(OR($Q$4=TRUE,$Q$5=TRUE,$S$2=TRUE),VLOOKUP($G517,'KO Calc'!$H:$AW,9,FALSE),VLOOKUP($G517,'KO Calc'!$H523:$AW523,9,FALSE)),
IF(AND($S$3=TRUE,$S$1=TRUE,$S$4=FALSE)=TRUE,IF(OR($Q$4=TRUE,$Q$5=TRUE,$S$2=TRUE),VLOOKUP($G517,'KO Calc'!$H:$AW,34,FALSE),VLOOKUP($G517,'KO Calc'!$H523:$AW523,34,FALSE)),IF(AND($S$3=TRUE,$S$4=FALSE),IF(OR($Q$4=TRUE,$Q$5=TRUE,$S$2=TRUE),VLOOKUP($G517,'KO Calc'!$H:$AW,24,FALSE),VLOOKUP($G517,'KO Calc'!$H523:$AW523,24,FALSE)),
IF(AND($S$3=TRUE,$S$1=TRUE,$S$4=TRUE)=TRUE,IF(OR($Q$4=TRUE,$Q$5=TRUE,$S$2=TRUE),VLOOKUP($G517,'KO Calc'!$H:$AW,39,FALSE),VLOOKUP($G517,'KO Calc'!$H523:$AW523,39,FALSE)),IF(AND($S$3=TRUE,$S$4=TRUE),IF(OR($Q$4=TRUE,$Q$5=TRUE,$S$2=TRUE),VLOOKUP($G517,'KO Calc'!$H:$AW,29,FALSE),VLOOKUP($G517,'KO Calc'!$H523:$AW523,29,FALSE)))))))))))))</f>
        <v>-</v>
      </c>
      <c r="K517" s="36" t="str">
        <f>IF(AND($Q$1=FALSE,$S$3=FALSE),"-",IF(AND($Q$1=TRUE,$S$3=TRUE),"-",IF(AND($Q$1=FALSE,$S$3=FALSE),"-",IF(AND($Q$1=TRUE,$S$1=TRUE,$S$4=FALSE)=TRUE,IF(OR($Q$4=TRUE,$Q$5=TRUE,$S$2=TRUE),VLOOKUP($G517,'KO Calc'!$H:$AW,15,FALSE),VLOOKUP($G517,'KO Calc'!$H523:$AW523,15,FALSE)),IF(AND($Q$1=TRUE,$S$4=FALSE),IF(OR($Q$4=TRUE,$Q$5=TRUE,$S$2=TRUE),VLOOKUP($G517,'KO Calc'!$H:$AW,5,FALSE),VLOOKUP($G517,'KO Calc'!$H523:$AW523,5,FALSE)),
IF(AND($Q$1=TRUE,$S$1=TRUE,$S$4=TRUE)=TRUE,IF(OR($Q$4=TRUE,$Q$5=TRUE,$S$2=TRUE),VLOOKUP($G517,'KO Calc'!$H:$AW,20,FALSE),VLOOKUP($G517,'KO Calc'!$H523:$AW523,20,FALSE)),IF(AND($Q$1=TRUE,$S$4=TRUE),IF(OR($Q$4=TRUE,$Q$5=TRUE,$S$2=TRUE),VLOOKUP($G517,'KO Calc'!$H:$AW,10,FALSE),VLOOKUP($G517,'KO Calc'!$H523:$AW523,10,FALSE)),
IF(AND($S$3=TRUE,$S$1=TRUE,$S$4=FALSE)=TRUE,IF(OR($Q$4=TRUE,$Q$5=TRUE,$S$2=TRUE),VLOOKUP($G517,'KO Calc'!$H:$AW,35,FALSE),VLOOKUP($G517,'KO Calc'!$H523:$AW523,35,FALSE)),IF(AND($S$3=TRUE,$S$4=FALSE),IF(OR($Q$4=TRUE,$Q$5=TRUE,$S$2=TRUE),VLOOKUP($G517,'KO Calc'!$H:$AW,25,FALSE),VLOOKUP($G517,'KO Calc'!$H523:$AW523,25,FALSE)),
IF(AND($S$3=TRUE,$S$1=TRUE,$S$4=TRUE)=TRUE,IF(OR($Q$4=TRUE,$Q$5=TRUE,$S$2=TRUE),VLOOKUP($G517,'KO Calc'!$H:$AW,40,FALSE),VLOOKUP($G517,'KO Calc'!$H523:$AW523,40,FALSE)),IF(AND($S$3=TRUE,$S$4=TRUE),IF(OR($Q$4=TRUE,$Q$5=TRUE,$S$2=TRUE),VLOOKUP($G517,'KO Calc'!$H:$AW,30,FALSE),VLOOKUP($G517,'KO Calc'!$H523:$AW523,30,FALSE)))))))))))))</f>
        <v>-</v>
      </c>
      <c r="L517" s="36" t="str">
        <f>IFERROR(IF(AND($Q$1=FALSE,$S$3=FALSE),"-",VLOOKUP($E517,'Status Thresholds'!$E:$AU,41,FALSE)),"-")</f>
        <v>-</v>
      </c>
      <c r="M517" s="36" t="str">
        <f>IFERROR(IF(AND($Q$1=FALSE,$S$3=FALSE),"-",VLOOKUP($E517,'Status Thresholds'!$E:$AU,42,FALSE)),"-")</f>
        <v>-</v>
      </c>
      <c r="N517" s="36" t="str">
        <f>IFERROR(IF(AND($Q$1=FALSE,$S$3=FALSE),"-",VLOOKUP($E517,'Status Thresholds'!$E:$AU,43,FALSE)),"-")</f>
        <v>-</v>
      </c>
    </row>
    <row r="518" spans="1:14" x14ac:dyDescent="0.25">
      <c r="B518" s="64" t="str">
        <f>VLOOKUP(C518,'Status Thresholds'!B:C,2,FALSE)</f>
        <v>MHGen</v>
      </c>
      <c r="C518" s="46" t="str">
        <f>IF(ISBLANK('KO Calc'!C514)=TRUE,"",'KO Calc'!C514)</f>
        <v>Mizutune</v>
      </c>
      <c r="D518" s="78" t="s">
        <v>207</v>
      </c>
      <c r="E518" s="62" t="str">
        <f t="shared" si="15"/>
        <v>MizutuneShock Trap</v>
      </c>
      <c r="F518" t="s">
        <v>13</v>
      </c>
      <c r="G518" s="36" t="str">
        <f t="shared" si="16"/>
        <v>MizutuneCrag 3</v>
      </c>
      <c r="H518" s="36" t="str">
        <f>IF(AND($Q$1=FALSE,$S$3=FALSE),"-",IF(AND($Q$1=TRUE,$S$3=TRUE),"-",IF(AND($Q$1=FALSE,$S$3=FALSE),"-",IF(AND($Q$1=TRUE,$S$1=TRUE,$S$4=FALSE)=TRUE,IF(OR($Q$4=TRUE,$Q$5=TRUE,$S$2=TRUE),VLOOKUP($G518,'KO Calc'!$H:$AW,12,FALSE),VLOOKUP($G518,'KO Calc'!$H524:$AW524,12,FALSE)),IF(AND($Q$1=TRUE,$S$4=FALSE),IF(OR($Q$4=TRUE,$Q$5=TRUE,$S$2=TRUE),VLOOKUP($G518,'KO Calc'!$H:$AW,2,FALSE),VLOOKUP($G518,'KO Calc'!$H524:$AW524,2,FALSE)),
IF(AND($Q$1=TRUE,$S$1=TRUE,$S$4=TRUE)=TRUE,IF(OR($Q$4=TRUE,$Q$5=TRUE,$S$2=TRUE),VLOOKUP($G518,'KO Calc'!$H:$AW,17,FALSE),VLOOKUP($G518,'KO Calc'!$H524:$AW524,17,FALSE)),IF(AND($Q$1=TRUE,$S$4=TRUE),IF(OR($Q$4=TRUE,$Q$5=TRUE,$S$2=TRUE),VLOOKUP($G518,'KO Calc'!$H:$AW,7,FALSE),VLOOKUP($G518,'KO Calc'!$H524:$AW524,7,FALSE)),
IF(AND($S$3=TRUE,$S$1=TRUE,$S$4=FALSE)=TRUE,IF(OR($Q$4=TRUE,$Q$5=TRUE,$S$2=TRUE),VLOOKUP($G518,'KO Calc'!$H:$AW,32,FALSE),VLOOKUP($G518,'KO Calc'!$H524:$AW524,32,FALSE)),IF(AND($S$3=TRUE,$S$4=FALSE),IF(OR($Q$4=TRUE,$Q$5=TRUE,$S$2=TRUE),VLOOKUP($G518,'KO Calc'!$H:$AW,22,FALSE),VLOOKUP($G518,'KO Calc'!$H524:$AW524,22,FALSE)),
IF(AND($S$3=TRUE,$S$1=TRUE,$S$4=TRUE)=TRUE,IF(OR($Q$4=TRUE,$Q$5=TRUE,$S$2=TRUE),VLOOKUP($G518,'KO Calc'!$H:$AW,37,FALSE),VLOOKUP($G518,'KO Calc'!$H524:$AW524,37,FALSE)),IF(AND($S$3=TRUE,$S$4=TRUE),IF(OR($Q$4=TRUE,$Q$5=TRUE,$S$2=TRUE),VLOOKUP($G518,'KO Calc'!$H:$AW,27,FALSE),VLOOKUP($G518,'KO Calc'!$H524:$AW524,27,FALSE)))))))))))))</f>
        <v>-</v>
      </c>
      <c r="I518" s="36" t="str">
        <f>IF(AND($Q$1=FALSE,$S$3=FALSE),"-",IF(AND($Q$1=TRUE,$S$3=TRUE),"-",IF(AND($Q$1=FALSE,$S$3=FALSE),"-",IF(AND($Q$1=TRUE,$S$1=TRUE,$S$4=FALSE)=TRUE,IF(OR($Q$4=TRUE,$Q$5=TRUE,$S$2=TRUE),VLOOKUP($G518,'KO Calc'!$H:$AW,13,FALSE),VLOOKUP($G518,'KO Calc'!$H524:$AW524,13,FALSE)),IF(AND($Q$1=TRUE,$S$4=FALSE),IF(OR($Q$4=TRUE,$Q$5=TRUE,$S$2=TRUE),VLOOKUP($G518,'KO Calc'!$H:$AW,3,FALSE),VLOOKUP($G518,'KO Calc'!$H524:$AW524,3,FALSE)),
IF(AND($Q$1=TRUE,$S$1=TRUE,$S$4=TRUE)=TRUE,IF(OR($Q$4=TRUE,$Q$5=TRUE,$S$2=TRUE),VLOOKUP($G518,'KO Calc'!$H:$AW,18,FALSE),VLOOKUP($G518,'KO Calc'!$H524:$AW524,18,FALSE)),IF(AND($Q$1=TRUE,$S$4=TRUE),IF(OR($Q$4=TRUE,$Q$5=TRUE,$S$2=TRUE),VLOOKUP($G518,'KO Calc'!$H:$AW,8,FALSE),VLOOKUP($G518,'KO Calc'!$H524:$AW524,8,FALSE)),
IF(AND($S$3=TRUE,$S$1=TRUE,$S$4=FALSE)=TRUE,IF(OR($Q$4=TRUE,$Q$5=TRUE,$S$2=TRUE),VLOOKUP($G518,'KO Calc'!$H:$AW,33,FALSE),VLOOKUP($G518,'KO Calc'!$H524:$AW524,33,FALSE)),IF(AND($S$3=TRUE,$S$4=FALSE),IF(OR($Q$4=TRUE,$Q$5=TRUE,$S$2=TRUE),VLOOKUP($G518,'KO Calc'!$H:$AW,23,FALSE),VLOOKUP($G518,'KO Calc'!$H524:$AW524,23,FALSE)),
IF(AND($S$3=TRUE,$S$1=TRUE,$S$4=TRUE)=TRUE,IF(OR($Q$4=TRUE,$Q$5=TRUE,$S$2=TRUE),VLOOKUP($G518,'KO Calc'!$H:$AW,38,FALSE),VLOOKUP($G518,'KO Calc'!$H524:$AW524,38,FALSE)),IF(AND($S$3=TRUE,$S$4=TRUE),IF(OR($Q$4=TRUE,$Q$5=TRUE,$S$2=TRUE),VLOOKUP($G518,'KO Calc'!$H:$AW,28,FALSE),VLOOKUP($G518,'KO Calc'!$H524:$AW524,28,FALSE)))))))))))))</f>
        <v>-</v>
      </c>
      <c r="J518" s="36" t="str">
        <f>IF(AND($Q$1=FALSE,$S$3=FALSE),"-",IF(AND($Q$1=TRUE,$S$3=TRUE),"-",IF(AND($Q$1=FALSE,$S$3=FALSE),"-",IF(AND($Q$1=TRUE,$S$1=TRUE,$S$4=FALSE)=TRUE,IF(OR($Q$4=TRUE,$Q$5=TRUE,$S$2=TRUE),VLOOKUP($G518,'KO Calc'!$H:$AW,FALSE),VLOOKUP($G518,'KO Calc'!$H524:$AW524,14,FALSE)),IF(AND($Q$1=TRUE,$S$4=FALSE),IF(OR($Q$4=TRUE,$Q$5=TRUE,$S$2=TRUE),VLOOKUP($G518,'KO Calc'!$H:$AW,4,FALSE),VLOOKUP($G518,'KO Calc'!$H524:$AW524,4,FALSE)),
IF(AND($Q$1=TRUE,$S$1=TRUE,$S$4=TRUE)=TRUE,IF(OR($Q$4=TRUE,$Q$5=TRUE,$S$2=TRUE),VLOOKUP($G518,'KO Calc'!$H:$AW,19,FALSE),VLOOKUP($G518,'KO Calc'!$H524:$AW524,19,FALSE)),IF(AND($Q$1=TRUE,$S$4=TRUE),IF(OR($Q$4=TRUE,$Q$5=TRUE,$S$2=TRUE),VLOOKUP($G518,'KO Calc'!$H:$AW,9,FALSE),VLOOKUP($G518,'KO Calc'!$H524:$AW524,9,FALSE)),
IF(AND($S$3=TRUE,$S$1=TRUE,$S$4=FALSE)=TRUE,IF(OR($Q$4=TRUE,$Q$5=TRUE,$S$2=TRUE),VLOOKUP($G518,'KO Calc'!$H:$AW,34,FALSE),VLOOKUP($G518,'KO Calc'!$H524:$AW524,34,FALSE)),IF(AND($S$3=TRUE,$S$4=FALSE),IF(OR($Q$4=TRUE,$Q$5=TRUE,$S$2=TRUE),VLOOKUP($G518,'KO Calc'!$H:$AW,24,FALSE),VLOOKUP($G518,'KO Calc'!$H524:$AW524,24,FALSE)),
IF(AND($S$3=TRUE,$S$1=TRUE,$S$4=TRUE)=TRUE,IF(OR($Q$4=TRUE,$Q$5=TRUE,$S$2=TRUE),VLOOKUP($G518,'KO Calc'!$H:$AW,39,FALSE),VLOOKUP($G518,'KO Calc'!$H524:$AW524,39,FALSE)),IF(AND($S$3=TRUE,$S$4=TRUE),IF(OR($Q$4=TRUE,$Q$5=TRUE,$S$2=TRUE),VLOOKUP($G518,'KO Calc'!$H:$AW,29,FALSE),VLOOKUP($G518,'KO Calc'!$H524:$AW524,29,FALSE)))))))))))))</f>
        <v>-</v>
      </c>
      <c r="K518" s="36" t="str">
        <f>IF(AND($Q$1=FALSE,$S$3=FALSE),"-",IF(AND($Q$1=TRUE,$S$3=TRUE),"-",IF(AND($Q$1=FALSE,$S$3=FALSE),"-",IF(AND($Q$1=TRUE,$S$1=TRUE,$S$4=FALSE)=TRUE,IF(OR($Q$4=TRUE,$Q$5=TRUE,$S$2=TRUE),VLOOKUP($G518,'KO Calc'!$H:$AW,15,FALSE),VLOOKUP($G518,'KO Calc'!$H524:$AW524,15,FALSE)),IF(AND($Q$1=TRUE,$S$4=FALSE),IF(OR($Q$4=TRUE,$Q$5=TRUE,$S$2=TRUE),VLOOKUP($G518,'KO Calc'!$H:$AW,5,FALSE),VLOOKUP($G518,'KO Calc'!$H524:$AW524,5,FALSE)),
IF(AND($Q$1=TRUE,$S$1=TRUE,$S$4=TRUE)=TRUE,IF(OR($Q$4=TRUE,$Q$5=TRUE,$S$2=TRUE),VLOOKUP($G518,'KO Calc'!$H:$AW,20,FALSE),VLOOKUP($G518,'KO Calc'!$H524:$AW524,20,FALSE)),IF(AND($Q$1=TRUE,$S$4=TRUE),IF(OR($Q$4=TRUE,$Q$5=TRUE,$S$2=TRUE),VLOOKUP($G518,'KO Calc'!$H:$AW,10,FALSE),VLOOKUP($G518,'KO Calc'!$H524:$AW524,10,FALSE)),
IF(AND($S$3=TRUE,$S$1=TRUE,$S$4=FALSE)=TRUE,IF(OR($Q$4=TRUE,$Q$5=TRUE,$S$2=TRUE),VLOOKUP($G518,'KO Calc'!$H:$AW,35,FALSE),VLOOKUP($G518,'KO Calc'!$H524:$AW524,35,FALSE)),IF(AND($S$3=TRUE,$S$4=FALSE),IF(OR($Q$4=TRUE,$Q$5=TRUE,$S$2=TRUE),VLOOKUP($G518,'KO Calc'!$H:$AW,25,FALSE),VLOOKUP($G518,'KO Calc'!$H524:$AW524,25,FALSE)),
IF(AND($S$3=TRUE,$S$1=TRUE,$S$4=TRUE)=TRUE,IF(OR($Q$4=TRUE,$Q$5=TRUE,$S$2=TRUE),VLOOKUP($G518,'KO Calc'!$H:$AW,40,FALSE),VLOOKUP($G518,'KO Calc'!$H524:$AW524,40,FALSE)),IF(AND($S$3=TRUE,$S$4=TRUE),IF(OR($Q$4=TRUE,$Q$5=TRUE,$S$2=TRUE),VLOOKUP($G518,'KO Calc'!$H:$AW,30,FALSE),VLOOKUP($G518,'KO Calc'!$H524:$AW524,30,FALSE)))))))))))))</f>
        <v>-</v>
      </c>
      <c r="L518" s="36" t="str">
        <f>IFERROR(IF(AND($Q$1=FALSE,$S$3=FALSE),"-",VLOOKUP($E518,'Status Thresholds'!$E:$AU,43,FALSE)),"-")</f>
        <v>-</v>
      </c>
      <c r="M518" s="36" t="str">
        <f>IFERROR(IF(AND($Q$1=FALSE,$S$3=FALSE),"-",VLOOKUP($E518,'Status Thresholds'!$E:$AU,41,FALSE)),"-")</f>
        <v>-</v>
      </c>
      <c r="N518" s="36" t="str">
        <f>IFERROR(IF(AND($Q$1=FALSE,$S$3=FALSE),"-",VLOOKUP($E518,'Status Thresholds'!$E:$AU,42,FALSE)),"-")</f>
        <v>-</v>
      </c>
    </row>
    <row r="519" spans="1:14" x14ac:dyDescent="0.25">
      <c r="B519" s="64" t="str">
        <f>VLOOKUP(C519,'Status Thresholds'!B:C,2,FALSE)</f>
        <v>MHGen</v>
      </c>
      <c r="C519" s="46" t="str">
        <f>IF(ISBLANK('KO Calc'!C515)=TRUE,"",'KO Calc'!C515)</f>
        <v>Mizutune</v>
      </c>
      <c r="D519" s="78" t="s">
        <v>213</v>
      </c>
      <c r="E519" s="62" t="str">
        <f t="shared" si="15"/>
        <v>MizutunePitfall Trap</v>
      </c>
      <c r="F519" t="s">
        <v>12</v>
      </c>
      <c r="G519" s="36" t="str">
        <f t="shared" si="16"/>
        <v>MizutuneCrag 2</v>
      </c>
      <c r="H519" s="36" t="str">
        <f>IF(AND($Q$1=FALSE,$S$3=FALSE),"-",IF(AND($Q$1=TRUE,$S$3=TRUE),"-",IF(AND($Q$1=FALSE,$S$3=FALSE),"-",IF(AND($Q$1=TRUE,$S$1=TRUE,$S$4=FALSE)=TRUE,IF(OR($Q$4=TRUE,$Q$5=TRUE,$S$2=TRUE),VLOOKUP($G519,'KO Calc'!$H:$AW,12,FALSE),VLOOKUP($G519,'KO Calc'!$H525:$AW525,12,FALSE)),IF(AND($Q$1=TRUE,$S$4=FALSE),IF(OR($Q$4=TRUE,$Q$5=TRUE,$S$2=TRUE),VLOOKUP($G519,'KO Calc'!$H:$AW,2,FALSE),VLOOKUP($G519,'KO Calc'!$H525:$AW525,2,FALSE)),
IF(AND($Q$1=TRUE,$S$1=TRUE,$S$4=TRUE)=TRUE,IF(OR($Q$4=TRUE,$Q$5=TRUE,$S$2=TRUE),VLOOKUP($G519,'KO Calc'!$H:$AW,17,FALSE),VLOOKUP($G519,'KO Calc'!$H525:$AW525,17,FALSE)),IF(AND($Q$1=TRUE,$S$4=TRUE),IF(OR($Q$4=TRUE,$Q$5=TRUE,$S$2=TRUE),VLOOKUP($G519,'KO Calc'!$H:$AW,7,FALSE),VLOOKUP($G519,'KO Calc'!$H525:$AW525,7,FALSE)),
IF(AND($S$3=TRUE,$S$1=TRUE,$S$4=FALSE)=TRUE,IF(OR($Q$4=TRUE,$Q$5=TRUE,$S$2=TRUE),VLOOKUP($G519,'KO Calc'!$H:$AW,32,FALSE),VLOOKUP($G519,'KO Calc'!$H525:$AW525,32,FALSE)),IF(AND($S$3=TRUE,$S$4=FALSE),IF(OR($Q$4=TRUE,$Q$5=TRUE,$S$2=TRUE),VLOOKUP($G519,'KO Calc'!$H:$AW,22,FALSE),VLOOKUP($G519,'KO Calc'!$H525:$AW525,22,FALSE)),
IF(AND($S$3=TRUE,$S$1=TRUE,$S$4=TRUE)=TRUE,IF(OR($Q$4=TRUE,$Q$5=TRUE,$S$2=TRUE),VLOOKUP($G519,'KO Calc'!$H:$AW,37,FALSE),VLOOKUP($G519,'KO Calc'!$H525:$AW525,37,FALSE)),IF(AND($S$3=TRUE,$S$4=TRUE),IF(OR($Q$4=TRUE,$Q$5=TRUE,$S$2=TRUE),VLOOKUP($G519,'KO Calc'!$H:$AW,27,FALSE),VLOOKUP($G519,'KO Calc'!$H525:$AW525,27,FALSE)))))))))))))</f>
        <v>-</v>
      </c>
      <c r="I519" s="36" t="str">
        <f>IF(AND($Q$1=FALSE,$S$3=FALSE),"-",IF(AND($Q$1=TRUE,$S$3=TRUE),"-",IF(AND($Q$1=FALSE,$S$3=FALSE),"-",IF(AND($Q$1=TRUE,$S$1=TRUE,$S$4=FALSE)=TRUE,IF(OR($Q$4=TRUE,$Q$5=TRUE,$S$2=TRUE),VLOOKUP($G519,'KO Calc'!$H:$AW,13,FALSE),VLOOKUP($G519,'KO Calc'!$H525:$AW525,13,FALSE)),IF(AND($Q$1=TRUE,$S$4=FALSE),IF(OR($Q$4=TRUE,$Q$5=TRUE,$S$2=TRUE),VLOOKUP($G519,'KO Calc'!$H:$AW,3,FALSE),VLOOKUP($G519,'KO Calc'!$H525:$AW525,3,FALSE)),
IF(AND($Q$1=TRUE,$S$1=TRUE,$S$4=TRUE)=TRUE,IF(OR($Q$4=TRUE,$Q$5=TRUE,$S$2=TRUE),VLOOKUP($G519,'KO Calc'!$H:$AW,18,FALSE),VLOOKUP($G519,'KO Calc'!$H525:$AW525,18,FALSE)),IF(AND($Q$1=TRUE,$S$4=TRUE),IF(OR($Q$4=TRUE,$Q$5=TRUE,$S$2=TRUE),VLOOKUP($G519,'KO Calc'!$H:$AW,8,FALSE),VLOOKUP($G519,'KO Calc'!$H525:$AW525,8,FALSE)),
IF(AND($S$3=TRUE,$S$1=TRUE,$S$4=FALSE)=TRUE,IF(OR($Q$4=TRUE,$Q$5=TRUE,$S$2=TRUE),VLOOKUP($G519,'KO Calc'!$H:$AW,33,FALSE),VLOOKUP($G519,'KO Calc'!$H525:$AW525,33,FALSE)),IF(AND($S$3=TRUE,$S$4=FALSE),IF(OR($Q$4=TRUE,$Q$5=TRUE,$S$2=TRUE),VLOOKUP($G519,'KO Calc'!$H:$AW,23,FALSE),VLOOKUP($G519,'KO Calc'!$H525:$AW525,23,FALSE)),
IF(AND($S$3=TRUE,$S$1=TRUE,$S$4=TRUE)=TRUE,IF(OR($Q$4=TRUE,$Q$5=TRUE,$S$2=TRUE),VLOOKUP($G519,'KO Calc'!$H:$AW,38,FALSE),VLOOKUP($G519,'KO Calc'!$H525:$AW525,38,FALSE)),IF(AND($S$3=TRUE,$S$4=TRUE),IF(OR($Q$4=TRUE,$Q$5=TRUE,$S$2=TRUE),VLOOKUP($G519,'KO Calc'!$H:$AW,28,FALSE),VLOOKUP($G519,'KO Calc'!$H525:$AW525,28,FALSE)))))))))))))</f>
        <v>-</v>
      </c>
      <c r="J519" s="36" t="str">
        <f>IF(AND($Q$1=FALSE,$S$3=FALSE),"-",IF(AND($Q$1=TRUE,$S$3=TRUE),"-",IF(AND($Q$1=FALSE,$S$3=FALSE),"-",IF(AND($Q$1=TRUE,$S$1=TRUE,$S$4=FALSE)=TRUE,IF(OR($Q$4=TRUE,$Q$5=TRUE,$S$2=TRUE),VLOOKUP($G519,'KO Calc'!$H:$AW,FALSE),VLOOKUP($G519,'KO Calc'!$H525:$AW525,14,FALSE)),IF(AND($Q$1=TRUE,$S$4=FALSE),IF(OR($Q$4=TRUE,$Q$5=TRUE,$S$2=TRUE),VLOOKUP($G519,'KO Calc'!$H:$AW,4,FALSE),VLOOKUP($G519,'KO Calc'!$H525:$AW525,4,FALSE)),
IF(AND($Q$1=TRUE,$S$1=TRUE,$S$4=TRUE)=TRUE,IF(OR($Q$4=TRUE,$Q$5=TRUE,$S$2=TRUE),VLOOKUP($G519,'KO Calc'!$H:$AW,19,FALSE),VLOOKUP($G519,'KO Calc'!$H525:$AW525,19,FALSE)),IF(AND($Q$1=TRUE,$S$4=TRUE),IF(OR($Q$4=TRUE,$Q$5=TRUE,$S$2=TRUE),VLOOKUP($G519,'KO Calc'!$H:$AW,9,FALSE),VLOOKUP($G519,'KO Calc'!$H525:$AW525,9,FALSE)),
IF(AND($S$3=TRUE,$S$1=TRUE,$S$4=FALSE)=TRUE,IF(OR($Q$4=TRUE,$Q$5=TRUE,$S$2=TRUE),VLOOKUP($G519,'KO Calc'!$H:$AW,34,FALSE),VLOOKUP($G519,'KO Calc'!$H525:$AW525,34,FALSE)),IF(AND($S$3=TRUE,$S$4=FALSE),IF(OR($Q$4=TRUE,$Q$5=TRUE,$S$2=TRUE),VLOOKUP($G519,'KO Calc'!$H:$AW,24,FALSE),VLOOKUP($G519,'KO Calc'!$H525:$AW525,24,FALSE)),
IF(AND($S$3=TRUE,$S$1=TRUE,$S$4=TRUE)=TRUE,IF(OR($Q$4=TRUE,$Q$5=TRUE,$S$2=TRUE),VLOOKUP($G519,'KO Calc'!$H:$AW,39,FALSE),VLOOKUP($G519,'KO Calc'!$H525:$AW525,39,FALSE)),IF(AND($S$3=TRUE,$S$4=TRUE),IF(OR($Q$4=TRUE,$Q$5=TRUE,$S$2=TRUE),VLOOKUP($G519,'KO Calc'!$H:$AW,29,FALSE),VLOOKUP($G519,'KO Calc'!$H525:$AW525,29,FALSE)))))))))))))</f>
        <v>-</v>
      </c>
      <c r="K519" s="36" t="str">
        <f>IF(AND($Q$1=FALSE,$S$3=FALSE),"-",IF(AND($Q$1=TRUE,$S$3=TRUE),"-",IF(AND($Q$1=FALSE,$S$3=FALSE),"-",IF(AND($Q$1=TRUE,$S$1=TRUE,$S$4=FALSE)=TRUE,IF(OR($Q$4=TRUE,$Q$5=TRUE,$S$2=TRUE),VLOOKUP($G519,'KO Calc'!$H:$AW,15,FALSE),VLOOKUP($G519,'KO Calc'!$H525:$AW525,15,FALSE)),IF(AND($Q$1=TRUE,$S$4=FALSE),IF(OR($Q$4=TRUE,$Q$5=TRUE,$S$2=TRUE),VLOOKUP($G519,'KO Calc'!$H:$AW,5,FALSE),VLOOKUP($G519,'KO Calc'!$H525:$AW525,5,FALSE)),
IF(AND($Q$1=TRUE,$S$1=TRUE,$S$4=TRUE)=TRUE,IF(OR($Q$4=TRUE,$Q$5=TRUE,$S$2=TRUE),VLOOKUP($G519,'KO Calc'!$H:$AW,20,FALSE),VLOOKUP($G519,'KO Calc'!$H525:$AW525,20,FALSE)),IF(AND($Q$1=TRUE,$S$4=TRUE),IF(OR($Q$4=TRUE,$Q$5=TRUE,$S$2=TRUE),VLOOKUP($G519,'KO Calc'!$H:$AW,10,FALSE),VLOOKUP($G519,'KO Calc'!$H525:$AW525,10,FALSE)),
IF(AND($S$3=TRUE,$S$1=TRUE,$S$4=FALSE)=TRUE,IF(OR($Q$4=TRUE,$Q$5=TRUE,$S$2=TRUE),VLOOKUP($G519,'KO Calc'!$H:$AW,35,FALSE),VLOOKUP($G519,'KO Calc'!$H525:$AW525,35,FALSE)),IF(AND($S$3=TRUE,$S$4=FALSE),IF(OR($Q$4=TRUE,$Q$5=TRUE,$S$2=TRUE),VLOOKUP($G519,'KO Calc'!$H:$AW,25,FALSE),VLOOKUP($G519,'KO Calc'!$H525:$AW525,25,FALSE)),
IF(AND($S$3=TRUE,$S$1=TRUE,$S$4=TRUE)=TRUE,IF(OR($Q$4=TRUE,$Q$5=TRUE,$S$2=TRUE),VLOOKUP($G519,'KO Calc'!$H:$AW,40,FALSE),VLOOKUP($G519,'KO Calc'!$H525:$AW525,40,FALSE)),IF(AND($S$3=TRUE,$S$4=TRUE),IF(OR($Q$4=TRUE,$Q$5=TRUE,$S$2=TRUE),VLOOKUP($G519,'KO Calc'!$H:$AW,30,FALSE),VLOOKUP($G519,'KO Calc'!$H525:$AW525,30,FALSE)))))))))))))</f>
        <v>-</v>
      </c>
      <c r="L519" s="36" t="str">
        <f>IFERROR(IF(AND($Q$1=FALSE,$S$3=FALSE),"-",VLOOKUP($E519,'Status Thresholds'!$E:$AU,43,FALSE)),"-")</f>
        <v>-</v>
      </c>
      <c r="M519" s="36" t="str">
        <f>IFERROR(IF(AND($Q$1=FALSE,$S$3=FALSE),"-",VLOOKUP($E519,'Status Thresholds'!$E:$AU,41,FALSE)),"-")</f>
        <v>-</v>
      </c>
      <c r="N519" s="36" t="str">
        <f>IFERROR(IF(AND($Q$1=FALSE,$S$3=FALSE),"-",VLOOKUP($E519,'Status Thresholds'!$E:$AU,42,FALSE)),"-")</f>
        <v>-</v>
      </c>
    </row>
    <row r="520" spans="1:14" x14ac:dyDescent="0.25">
      <c r="B520" s="64" t="str">
        <f>VLOOKUP(C520,'Status Thresholds'!B:C,2,FALSE)</f>
        <v>MHGen</v>
      </c>
      <c r="C520" s="46" t="str">
        <f>IF(ISBLANK('KO Calc'!C516)=TRUE,"",'KO Calc'!C516)</f>
        <v>Mizutune</v>
      </c>
      <c r="D520" s="78"/>
      <c r="E520" s="62" t="str">
        <f t="shared" si="15"/>
        <v>Mizutune</v>
      </c>
      <c r="F520" t="s">
        <v>11</v>
      </c>
      <c r="G520" s="36" t="str">
        <f t="shared" si="16"/>
        <v>MizutuneCrag 1</v>
      </c>
      <c r="H520" s="36" t="str">
        <f>IF(AND($Q$1=FALSE,$S$3=FALSE),"-",IF(AND($Q$1=TRUE,$S$3=TRUE),"-",IF(AND($Q$1=FALSE,$S$3=FALSE),"-",IF(AND($Q$1=TRUE,$S$1=TRUE,$S$4=FALSE)=TRUE,IF(OR($Q$4=TRUE,$Q$5=TRUE,$S$2=TRUE),VLOOKUP($G520,'KO Calc'!$H:$AW,12,FALSE),VLOOKUP($G520,'KO Calc'!$H526:$AW526,12,FALSE)),IF(AND($Q$1=TRUE,$S$4=FALSE),IF(OR($Q$4=TRUE,$Q$5=TRUE,$S$2=TRUE),VLOOKUP($G520,'KO Calc'!$H:$AW,2,FALSE),VLOOKUP($G520,'KO Calc'!$H526:$AW526,2,FALSE)),
IF(AND($Q$1=TRUE,$S$1=TRUE,$S$4=TRUE)=TRUE,IF(OR($Q$4=TRUE,$Q$5=TRUE,$S$2=TRUE),VLOOKUP($G520,'KO Calc'!$H:$AW,17,FALSE),VLOOKUP($G520,'KO Calc'!$H526:$AW526,17,FALSE)),IF(AND($Q$1=TRUE,$S$4=TRUE),IF(OR($Q$4=TRUE,$Q$5=TRUE,$S$2=TRUE),VLOOKUP($G520,'KO Calc'!$H:$AW,7,FALSE),VLOOKUP($G520,'KO Calc'!$H526:$AW526,7,FALSE)),
IF(AND($S$3=TRUE,$S$1=TRUE,$S$4=FALSE)=TRUE,IF(OR($Q$4=TRUE,$Q$5=TRUE,$S$2=TRUE),VLOOKUP($G520,'KO Calc'!$H:$AW,32,FALSE),VLOOKUP($G520,'KO Calc'!$H526:$AW526,32,FALSE)),IF(AND($S$3=TRUE,$S$4=FALSE),IF(OR($Q$4=TRUE,$Q$5=TRUE,$S$2=TRUE),VLOOKUP($G520,'KO Calc'!$H:$AW,22,FALSE),VLOOKUP($G520,'KO Calc'!$H526:$AW526,22,FALSE)),
IF(AND($S$3=TRUE,$S$1=TRUE,$S$4=TRUE)=TRUE,IF(OR($Q$4=TRUE,$Q$5=TRUE,$S$2=TRUE),VLOOKUP($G520,'KO Calc'!$H:$AW,37,FALSE),VLOOKUP($G520,'KO Calc'!$H526:$AW526,37,FALSE)),IF(AND($S$3=TRUE,$S$4=TRUE),IF(OR($Q$4=TRUE,$Q$5=TRUE,$S$2=TRUE),VLOOKUP($G520,'KO Calc'!$H:$AW,27,FALSE),VLOOKUP($G520,'KO Calc'!$H526:$AW526,27,FALSE)))))))))))))</f>
        <v>-</v>
      </c>
      <c r="I520" s="36" t="str">
        <f>IF(AND($Q$1=FALSE,$S$3=FALSE),"-",IF(AND($Q$1=TRUE,$S$3=TRUE),"-",IF(AND($Q$1=FALSE,$S$3=FALSE),"-",IF(AND($Q$1=TRUE,$S$1=TRUE,$S$4=FALSE)=TRUE,IF(OR($Q$4=TRUE,$Q$5=TRUE,$S$2=TRUE),VLOOKUP($G520,'KO Calc'!$H:$AW,13,FALSE),VLOOKUP($G520,'KO Calc'!$H526:$AW526,13,FALSE)),IF(AND($Q$1=TRUE,$S$4=FALSE),IF(OR($Q$4=TRUE,$Q$5=TRUE,$S$2=TRUE),VLOOKUP($G520,'KO Calc'!$H:$AW,3,FALSE),VLOOKUP($G520,'KO Calc'!$H526:$AW526,3,FALSE)),
IF(AND($Q$1=TRUE,$S$1=TRUE,$S$4=TRUE)=TRUE,IF(OR($Q$4=TRUE,$Q$5=TRUE,$S$2=TRUE),VLOOKUP($G520,'KO Calc'!$H:$AW,18,FALSE),VLOOKUP($G520,'KO Calc'!$H526:$AW526,18,FALSE)),IF(AND($Q$1=TRUE,$S$4=TRUE),IF(OR($Q$4=TRUE,$Q$5=TRUE,$S$2=TRUE),VLOOKUP($G520,'KO Calc'!$H:$AW,8,FALSE),VLOOKUP($G520,'KO Calc'!$H526:$AW526,8,FALSE)),
IF(AND($S$3=TRUE,$S$1=TRUE,$S$4=FALSE)=TRUE,IF(OR($Q$4=TRUE,$Q$5=TRUE,$S$2=TRUE),VLOOKUP($G520,'KO Calc'!$H:$AW,33,FALSE),VLOOKUP($G520,'KO Calc'!$H526:$AW526,33,FALSE)),IF(AND($S$3=TRUE,$S$4=FALSE),IF(OR($Q$4=TRUE,$Q$5=TRUE,$S$2=TRUE),VLOOKUP($G520,'KO Calc'!$H:$AW,23,FALSE),VLOOKUP($G520,'KO Calc'!$H526:$AW526,23,FALSE)),
IF(AND($S$3=TRUE,$S$1=TRUE,$S$4=TRUE)=TRUE,IF(OR($Q$4=TRUE,$Q$5=TRUE,$S$2=TRUE),VLOOKUP($G520,'KO Calc'!$H:$AW,38,FALSE),VLOOKUP($G520,'KO Calc'!$H526:$AW526,38,FALSE)),IF(AND($S$3=TRUE,$S$4=TRUE),IF(OR($Q$4=TRUE,$Q$5=TRUE,$S$2=TRUE),VLOOKUP($G520,'KO Calc'!$H:$AW,28,FALSE),VLOOKUP($G520,'KO Calc'!$H526:$AW526,28,FALSE)))))))))))))</f>
        <v>-</v>
      </c>
      <c r="J520" s="36" t="str">
        <f>IF(AND($Q$1=FALSE,$S$3=FALSE),"-",IF(AND($Q$1=TRUE,$S$3=TRUE),"-",IF(AND($Q$1=FALSE,$S$3=FALSE),"-",IF(AND($Q$1=TRUE,$S$1=TRUE,$S$4=FALSE)=TRUE,IF(OR($Q$4=TRUE,$Q$5=TRUE,$S$2=TRUE),VLOOKUP($G520,'KO Calc'!$H:$AW,FALSE),VLOOKUP($G520,'KO Calc'!$H526:$AW526,14,FALSE)),IF(AND($Q$1=TRUE,$S$4=FALSE),IF(OR($Q$4=TRUE,$Q$5=TRUE,$S$2=TRUE),VLOOKUP($G520,'KO Calc'!$H:$AW,4,FALSE),VLOOKUP($G520,'KO Calc'!$H526:$AW526,4,FALSE)),
IF(AND($Q$1=TRUE,$S$1=TRUE,$S$4=TRUE)=TRUE,IF(OR($Q$4=TRUE,$Q$5=TRUE,$S$2=TRUE),VLOOKUP($G520,'KO Calc'!$H:$AW,19,FALSE),VLOOKUP($G520,'KO Calc'!$H526:$AW526,19,FALSE)),IF(AND($Q$1=TRUE,$S$4=TRUE),IF(OR($Q$4=TRUE,$Q$5=TRUE,$S$2=TRUE),VLOOKUP($G520,'KO Calc'!$H:$AW,9,FALSE),VLOOKUP($G520,'KO Calc'!$H526:$AW526,9,FALSE)),
IF(AND($S$3=TRUE,$S$1=TRUE,$S$4=FALSE)=TRUE,IF(OR($Q$4=TRUE,$Q$5=TRUE,$S$2=TRUE),VLOOKUP($G520,'KO Calc'!$H:$AW,34,FALSE),VLOOKUP($G520,'KO Calc'!$H526:$AW526,34,FALSE)),IF(AND($S$3=TRUE,$S$4=FALSE),IF(OR($Q$4=TRUE,$Q$5=TRUE,$S$2=TRUE),VLOOKUP($G520,'KO Calc'!$H:$AW,24,FALSE),VLOOKUP($G520,'KO Calc'!$H526:$AW526,24,FALSE)),
IF(AND($S$3=TRUE,$S$1=TRUE,$S$4=TRUE)=TRUE,IF(OR($Q$4=TRUE,$Q$5=TRUE,$S$2=TRUE),VLOOKUP($G520,'KO Calc'!$H:$AW,39,FALSE),VLOOKUP($G520,'KO Calc'!$H526:$AW526,39,FALSE)),IF(AND($S$3=TRUE,$S$4=TRUE),IF(OR($Q$4=TRUE,$Q$5=TRUE,$S$2=TRUE),VLOOKUP($G520,'KO Calc'!$H:$AW,29,FALSE),VLOOKUP($G520,'KO Calc'!$H526:$AW526,29,FALSE)))))))))))))</f>
        <v>-</v>
      </c>
      <c r="K520" s="36" t="str">
        <f>IF(AND($Q$1=FALSE,$S$3=FALSE),"-",IF(AND($Q$1=TRUE,$S$3=TRUE),"-",IF(AND($Q$1=FALSE,$S$3=FALSE),"-",IF(AND($Q$1=TRUE,$S$1=TRUE,$S$4=FALSE)=TRUE,IF(OR($Q$4=TRUE,$Q$5=TRUE,$S$2=TRUE),VLOOKUP($G520,'KO Calc'!$H:$AW,15,FALSE),VLOOKUP($G520,'KO Calc'!$H526:$AW526,15,FALSE)),IF(AND($Q$1=TRUE,$S$4=FALSE),IF(OR($Q$4=TRUE,$Q$5=TRUE,$S$2=TRUE),VLOOKUP($G520,'KO Calc'!$H:$AW,5,FALSE),VLOOKUP($G520,'KO Calc'!$H526:$AW526,5,FALSE)),
IF(AND($Q$1=TRUE,$S$1=TRUE,$S$4=TRUE)=TRUE,IF(OR($Q$4=TRUE,$Q$5=TRUE,$S$2=TRUE),VLOOKUP($G520,'KO Calc'!$H:$AW,20,FALSE),VLOOKUP($G520,'KO Calc'!$H526:$AW526,20,FALSE)),IF(AND($Q$1=TRUE,$S$4=TRUE),IF(OR($Q$4=TRUE,$Q$5=TRUE,$S$2=TRUE),VLOOKUP($G520,'KO Calc'!$H:$AW,10,FALSE),VLOOKUP($G520,'KO Calc'!$H526:$AW526,10,FALSE)),
IF(AND($S$3=TRUE,$S$1=TRUE,$S$4=FALSE)=TRUE,IF(OR($Q$4=TRUE,$Q$5=TRUE,$S$2=TRUE),VLOOKUP($G520,'KO Calc'!$H:$AW,35,FALSE),VLOOKUP($G520,'KO Calc'!$H526:$AW526,35,FALSE)),IF(AND($S$3=TRUE,$S$4=FALSE),IF(OR($Q$4=TRUE,$Q$5=TRUE,$S$2=TRUE),VLOOKUP($G520,'KO Calc'!$H:$AW,25,FALSE),VLOOKUP($G520,'KO Calc'!$H526:$AW526,25,FALSE)),
IF(AND($S$3=TRUE,$S$1=TRUE,$S$4=TRUE)=TRUE,IF(OR($Q$4=TRUE,$Q$5=TRUE,$S$2=TRUE),VLOOKUP($G520,'KO Calc'!$H:$AW,40,FALSE),VLOOKUP($G520,'KO Calc'!$H526:$AW526,40,FALSE)),IF(AND($S$3=TRUE,$S$4=TRUE),IF(OR($Q$4=TRUE,$Q$5=TRUE,$S$2=TRUE),VLOOKUP($G520,'KO Calc'!$H:$AW,30,FALSE),VLOOKUP($G520,'KO Calc'!$H526:$AW526,30,FALSE)))))))))))))</f>
        <v>-</v>
      </c>
      <c r="L520" s="36" t="str">
        <f>IFERROR(VLOOKUP($E520,'Status Thresholds'!$E:$AS,41,FALSE),"-")</f>
        <v>-</v>
      </c>
    </row>
    <row r="521" spans="1:14" x14ac:dyDescent="0.25">
      <c r="B521" s="64" t="str">
        <f>VLOOKUP(C521,'Status Thresholds'!B:C,2,FALSE)</f>
        <v>MHGen</v>
      </c>
      <c r="C521" s="46" t="str">
        <f>IF(ISBLANK('KO Calc'!C517)=TRUE,"",'KO Calc'!C517)</f>
        <v>Mizutune</v>
      </c>
      <c r="D521" s="78"/>
      <c r="E521" s="62"/>
      <c r="G521" s="36"/>
      <c r="L521" s="36" t="str">
        <f>IFERROR(VLOOKUP($E521,'Status Thresholds'!$E:$AS,41,FALSE),"-")</f>
        <v>-</v>
      </c>
    </row>
    <row r="522" spans="1:14" s="36" customFormat="1" x14ac:dyDescent="0.25">
      <c r="B522" s="64" t="str">
        <f>VLOOKUP(C522,'Status Thresholds'!B:C,2,FALSE)</f>
        <v>MHGen</v>
      </c>
      <c r="C522" s="46" t="str">
        <f>IF(ISBLANK('KO Calc'!C518)=TRUE,"",'KO Calc'!C518)</f>
        <v>Najarala</v>
      </c>
      <c r="D522" s="65" t="s">
        <v>0</v>
      </c>
      <c r="E522" s="62" t="str">
        <f t="shared" si="15"/>
        <v>NajaralaPara</v>
      </c>
      <c r="F522" s="36" t="s">
        <v>2</v>
      </c>
      <c r="G522" s="36" t="str">
        <f t="shared" si="16"/>
        <v>NajaralaPara lvl 2</v>
      </c>
      <c r="H522" s="36" t="str">
        <f>IFERROR(ROUNDUP(IF(AND($Q$1=FALSE,$S$3=FALSE),"-",IF(AND($Q$1=TRUE,$S$3=TRUE),"-",IF(AND($Q$1=TRUE,$S$1=TRUE,$S$4=FALSE),VLOOKUP($E522,'Status Thresholds'!$E:$AS,12,FALSE),IF(AND($Q$1=TRUE,$S$4=FALSE),VLOOKUP($E522,'Status Thresholds'!$E:$AS,2,FALSE), IF(AND($Q$1=TRUE,$S$1=TRUE,$S$4=TRUE),VLOOKUP($E522,'Status Thresholds'!$E:$AS,17,FALSE),IF(AND($Q$1=TRUE,$S$4=TRUE),VLOOKUP($E522,'Status Thresholds'!$E:$AS,7,FALSE),IF(AND($S$3=TRUE,$S$1=TRUE,$S$4=FALSE),VLOOKUP($E522,'Status Thresholds'!$E:$AS,32,FALSE),IF(AND($S$3=TRUE,$S$4=FALSE),VLOOKUP($E522,'Status Thresholds'!$E:$AS,22,FALSE),IF(AND($S$3=TRUE,$S$1=TRUE,$S$4=TRUE),VLOOKUP($E522,'Status Thresholds'!$E:$AS,37,FALSE),IF(AND($S$3=TRUE,$S$4=TRUE),VLOOKUP($E522,'Status Thresholds'!$E:$AS,27,FALSE),""))))))))/IF(OR($Q$3=TRUE,AND($Q$2=TRUE,$Q$7=TRUE),AND($Q$3=TRUE,$Q$7=TRUE))=TRUE,'Shots and Status'!$F$5,IF((OR($Q$2,$Q$7)=TRUE),'Shots and Status'!$D$5,'Shots and Status'!$C$5)))),0),"-")</f>
        <v>-</v>
      </c>
      <c r="I522" s="36" t="str">
        <f>IFERROR(ROUNDUP(IF(AND($Q$1=FALSE,$S$3=FALSE),"-",IF(AND($Q$1=TRUE,$S$3=TRUE),"-",IF(AND($Q$1=TRUE,$S$1=TRUE,$S$4=FALSE),VLOOKUP($E522,'Status Thresholds'!$E:$AS,13,FALSE),IF(AND($Q$1=TRUE,$S$4=FALSE),VLOOKUP($E522,'Status Thresholds'!$E:$AS,3,FALSE), IF(AND($Q$1=TRUE,$S$1=TRUE,$S$4=TRUE),VLOOKUP($E522,'Status Thresholds'!$E:$AS,18,FALSE),IF(AND($Q$1=TRUE,$S$4=TRUE),VLOOKUP($E522,'Status Thresholds'!$E:$AS,8,FALSE),IF(AND($S$3=TRUE,$S$1=TRUE,$S$4=FALSE),VLOOKUP($E522,'Status Thresholds'!$E:$AS,33,FALSE),IF(AND($S$3=TRUE,$S$4=FALSE),VLOOKUP($E522,'Status Thresholds'!$E:$AS,23,FALSE),IF(AND($S$3=TRUE,$S$1=TRUE,$S$4=TRUE),VLOOKUP($E522,'Status Thresholds'!$E:$AS,38,FALSE),IF(AND($S$3=TRUE,$S$4=TRUE),VLOOKUP($E522,'Status Thresholds'!$E:$AS,28,FALSE),""))))))))/IF(OR($Q$3=TRUE,AND($Q$2=TRUE,$Q$7=TRUE),AND($Q$3=TRUE,$Q$7=TRUE))=TRUE,'Shots and Status'!$F$5,IF((OR($Q$2,$Q$7)=TRUE),'Shots and Status'!$D$5,'Shots and Status'!$C$5)))),0),"-")</f>
        <v>-</v>
      </c>
      <c r="J522" s="36" t="str">
        <f>IFERROR(ROUNDUP(IF(AND($Q$1=FALSE,$S$3=FALSE),"-",IF(AND($Q$1=TRUE,$S$3=TRUE),"-",IF(AND($Q$1=TRUE,$S$1=TRUE,$S$4=FALSE),VLOOKUP($E522,'Status Thresholds'!$E:$AS,14,FALSE),IF(AND($Q$1=TRUE,$S$4=FALSE),VLOOKUP($E522,'Status Thresholds'!$E:$AS,4,FALSE), IF(AND($Q$1=TRUE,$S$1=TRUE,$S$4=TRUE),VLOOKUP($E522,'Status Thresholds'!$E:$AS,19,FALSE),IF(AND($Q$1=TRUE,$S$4=TRUE),VLOOKUP($E522,'Status Thresholds'!$E:$AS,9,FALSE),IF(AND($S$3=TRUE,$S$1=TRUE,$S$4=FALSE),VLOOKUP($E522,'Status Thresholds'!$E:$AS,34,FALSE),IF(AND($S$3=TRUE,$S$4=FALSE),VLOOKUP($E522,'Status Thresholds'!$E:$AS,24,FALSE),IF(AND($S$3=TRUE,$S$1=TRUE,$S$4=TRUE),VLOOKUP($E522,'Status Thresholds'!$E:$AS,39,FALSE),IF(AND($S$3=TRUE,$S$4=TRUE),VLOOKUP($E522,'Status Thresholds'!$E:$AS,29,FALSE),""))))))))/IF(OR($Q$3=TRUE,AND($Q$2=TRUE,$Q$7=TRUE),AND($Q$3=TRUE,$Q$7=TRUE))=TRUE,'Shots and Status'!$F$5,IF((OR($Q$2,$Q$7)=TRUE),'Shots and Status'!$D$5,'Shots and Status'!$C$5)))),0),"-")</f>
        <v>-</v>
      </c>
      <c r="K522" s="36" t="str">
        <f>IFERROR(ROUNDUP(IF(AND($Q$1=FALSE,$S$3=FALSE),"-",IF(AND($Q$1=TRUE,$S$3=TRUE),"-",IF(AND($Q$1=TRUE,$S$1=TRUE,$S$4=FALSE),VLOOKUP($E522,'Status Thresholds'!$E:$AS,15,FALSE),IF(AND($Q$1=TRUE,$S$4=FALSE),VLOOKUP($E522,'Status Thresholds'!$E:$AS,5,FALSE), IF(AND($Q$1=TRUE,$S$1=TRUE,$S$4=TRUE),VLOOKUP($E522,'Status Thresholds'!$E:$AS,20,FALSE),IF(AND($Q$1=TRUE,$S$4=TRUE),VLOOKUP($E522,'Status Thresholds'!$E:$AS,10,FALSE),IF(AND($S$3=TRUE,$S$1=TRUE,$S$4=FALSE),VLOOKUP($E522,'Status Thresholds'!$E:$AS,35,FALSE),IF(AND($S$3=TRUE,$S$4=FALSE),VLOOKUP($E522,'Status Thresholds'!$E:$AS,25,FALSE),IF(AND($S$3=TRUE,$S$1=TRUE,$S$4=TRUE),VLOOKUP($E522,'Status Thresholds'!$E:$AS,40,FALSE),IF(AND($S$3=TRUE,$S$4=TRUE),VLOOKUP($E522,'Status Thresholds'!$E:$AS,30,FALSE),""))))))))/IF(OR($Q$3=TRUE,AND($Q$2=TRUE,$Q$7=TRUE),AND($Q$3=TRUE,$Q$7=TRUE))=TRUE,'Shots and Status'!$F$5,IF((OR($Q$2,$Q$7)=TRUE),'Shots and Status'!$D$5,'Shots and Status'!$C$5)))),0),"-")</f>
        <v>-</v>
      </c>
      <c r="L522" s="36" t="str">
        <f>IFERROR(IF(AND($Q$1=FALSE,$S$3=FALSE),"-",VLOOKUP($E522,'Status Thresholds'!$E:$AU,41,FALSE)),"-")</f>
        <v>-</v>
      </c>
      <c r="M522" s="36" t="str">
        <f>IFERROR(IF(AND($Q$1=FALSE,$S$3=FALSE),"-",VLOOKUP($E522,'Status Thresholds'!$E:$AU,42,FALSE)),"-")</f>
        <v>-</v>
      </c>
      <c r="N522" s="36" t="str">
        <f>IFERROR(IF(AND($Q$1=FALSE,$S$3=FALSE),"-",VLOOKUP($E522,'Status Thresholds'!$E:$AU,43,FALSE)),"-")</f>
        <v>-</v>
      </c>
    </row>
    <row r="523" spans="1:14" s="59" customFormat="1" x14ac:dyDescent="0.25">
      <c r="A523" s="46"/>
      <c r="B523" s="64" t="str">
        <f>VLOOKUP(C523,'Status Thresholds'!B:C,2,FALSE)</f>
        <v>MHGen</v>
      </c>
      <c r="C523" s="46" t="str">
        <f>IF(ISBLANK('KO Calc'!C519)=TRUE,"",'KO Calc'!C519)</f>
        <v>Najarala</v>
      </c>
      <c r="D523" s="60" t="s">
        <v>32</v>
      </c>
      <c r="E523" s="62" t="str">
        <f t="shared" si="15"/>
        <v>NajaralaSleep</v>
      </c>
      <c r="F523" s="59" t="s">
        <v>5</v>
      </c>
      <c r="G523" s="36" t="str">
        <f t="shared" si="16"/>
        <v>NajaralaSleep lvl 2</v>
      </c>
      <c r="H523" s="36" t="str">
        <f>IFERROR(ROUNDUP(IF(AND($Q$1=FALSE,$S$3=FALSE),"-",IF(AND($Q$1=TRUE,$S$3=TRUE),"-",IF(AND($Q$1=TRUE,$S$1=TRUE,$S$4=FALSE),VLOOKUP($E523,'Status Thresholds'!$E:$AS,12,FALSE),IF(AND($Q$1=TRUE,$S$4=FALSE),VLOOKUP($E523,'Status Thresholds'!$E:$AS,2,FALSE), IF(AND($Q$1=TRUE,$S$1=TRUE,$S$4=TRUE),VLOOKUP($E523,'Status Thresholds'!$E:$AS,17,FALSE),IF(AND($Q$1=TRUE,$S$4=TRUE),VLOOKUP($E523,'Status Thresholds'!$E:$AS,7,FALSE),IF(AND($S$3=TRUE,$S$1=TRUE,$S$4=FALSE),VLOOKUP($E523,'Status Thresholds'!$E:$AS,32,FALSE),IF(AND($S$3=TRUE,$S$4=FALSE),VLOOKUP($E523,'Status Thresholds'!$E:$AS,22,FALSE),IF(AND($S$3=TRUE,$S$1=TRUE,$S$4=TRUE),VLOOKUP($E523,'Status Thresholds'!$E:$AS,37,FALSE),IF(AND($S$3=TRUE,$S$4=TRUE),VLOOKUP($E523,'Status Thresholds'!$E:$AS,27,FALSE),""))))))))/IF(OR($Q$3=TRUE,AND($Q$2=TRUE,$Q$7=TRUE),AND($Q$3=TRUE,$Q$7=TRUE))=TRUE,'Shots and Status'!$F$5,IF((OR($Q$2,$Q$7)=TRUE),'Shots and Status'!$D$5,'Shots and Status'!$C$5)))),0),"-")</f>
        <v>-</v>
      </c>
      <c r="I523" s="36" t="str">
        <f>IFERROR(ROUNDUP(IF(AND($Q$1=FALSE,$S$3=FALSE),"-",IF(AND($Q$1=TRUE,$S$3=TRUE),"-",IF(AND($Q$1=TRUE,$S$1=TRUE,$S$4=FALSE),VLOOKUP($E523,'Status Thresholds'!$E:$AS,13,FALSE),IF(AND($Q$1=TRUE,$S$4=FALSE),VLOOKUP($E523,'Status Thresholds'!$E:$AS,3,FALSE), IF(AND($Q$1=TRUE,$S$1=TRUE,$S$4=TRUE),VLOOKUP($E523,'Status Thresholds'!$E:$AS,18,FALSE),IF(AND($Q$1=TRUE,$S$4=TRUE),VLOOKUP($E523,'Status Thresholds'!$E:$AS,8,FALSE),IF(AND($S$3=TRUE,$S$1=TRUE,$S$4=FALSE),VLOOKUP($E523,'Status Thresholds'!$E:$AS,33,FALSE),IF(AND($S$3=TRUE,$S$4=FALSE),VLOOKUP($E523,'Status Thresholds'!$E:$AS,23,FALSE),IF(AND($S$3=TRUE,$S$1=TRUE,$S$4=TRUE),VLOOKUP($E523,'Status Thresholds'!$E:$AS,38,FALSE),IF(AND($S$3=TRUE,$S$4=TRUE),VLOOKUP($E523,'Status Thresholds'!$E:$AS,28,FALSE),""))))))))/IF(OR($Q$3=TRUE,AND($Q$2=TRUE,$Q$7=TRUE),AND($Q$3=TRUE,$Q$7=TRUE))=TRUE,'Shots and Status'!$F$5,IF((OR($Q$2,$Q$7)=TRUE),'Shots and Status'!$D$5,'Shots and Status'!$C$5)))),0),"-")</f>
        <v>-</v>
      </c>
      <c r="J523" s="36" t="str">
        <f>IFERROR(ROUNDUP(IF(AND($Q$1=FALSE,$S$3=FALSE),"-",IF(AND($Q$1=TRUE,$S$3=TRUE),"-",IF(AND($Q$1=TRUE,$S$1=TRUE,$S$4=FALSE),VLOOKUP($E523,'Status Thresholds'!$E:$AS,14,FALSE),IF(AND($Q$1=TRUE,$S$4=FALSE),VLOOKUP($E523,'Status Thresholds'!$E:$AS,4,FALSE), IF(AND($Q$1=TRUE,$S$1=TRUE,$S$4=TRUE),VLOOKUP($E523,'Status Thresholds'!$E:$AS,19,FALSE),IF(AND($Q$1=TRUE,$S$4=TRUE),VLOOKUP($E523,'Status Thresholds'!$E:$AS,9,FALSE),IF(AND($S$3=TRUE,$S$1=TRUE,$S$4=FALSE),VLOOKUP($E523,'Status Thresholds'!$E:$AS,34,FALSE),IF(AND($S$3=TRUE,$S$4=FALSE),VLOOKUP($E523,'Status Thresholds'!$E:$AS,24,FALSE),IF(AND($S$3=TRUE,$S$1=TRUE,$S$4=TRUE),VLOOKUP($E523,'Status Thresholds'!$E:$AS,39,FALSE),IF(AND($S$3=TRUE,$S$4=TRUE),VLOOKUP($E523,'Status Thresholds'!$E:$AS,29,FALSE),""))))))))/IF(OR($Q$3=TRUE,AND($Q$2=TRUE,$Q$7=TRUE),AND($Q$3=TRUE,$Q$7=TRUE))=TRUE,'Shots and Status'!$F$5,IF((OR($Q$2,$Q$7)=TRUE),'Shots and Status'!$D$5,'Shots and Status'!$C$5)))),0),"-")</f>
        <v>-</v>
      </c>
      <c r="K523" s="36" t="str">
        <f>IFERROR(ROUNDUP(IF(AND($Q$1=FALSE,$S$3=FALSE),"-",IF(AND($Q$1=TRUE,$S$3=TRUE),"-",IF(AND($Q$1=TRUE,$S$1=TRUE,$S$4=FALSE),VLOOKUP($E523,'Status Thresholds'!$E:$AS,15,FALSE),IF(AND($Q$1=TRUE,$S$4=FALSE),VLOOKUP($E523,'Status Thresholds'!$E:$AS,5,FALSE), IF(AND($Q$1=TRUE,$S$1=TRUE,$S$4=TRUE),VLOOKUP($E523,'Status Thresholds'!$E:$AS,20,FALSE),IF(AND($Q$1=TRUE,$S$4=TRUE),VLOOKUP($E523,'Status Thresholds'!$E:$AS,10,FALSE),IF(AND($S$3=TRUE,$S$1=TRUE,$S$4=FALSE),VLOOKUP($E523,'Status Thresholds'!$E:$AS,35,FALSE),IF(AND($S$3=TRUE,$S$4=FALSE),VLOOKUP($E523,'Status Thresholds'!$E:$AS,25,FALSE),IF(AND($S$3=TRUE,$S$1=TRUE,$S$4=TRUE),VLOOKUP($E523,'Status Thresholds'!$E:$AS,40,FALSE),IF(AND($S$3=TRUE,$S$4=TRUE),VLOOKUP($E523,'Status Thresholds'!$E:$AS,30,FALSE),""))))))))/IF(OR($Q$3=TRUE,AND($Q$2=TRUE,$Q$7=TRUE),AND($Q$3=TRUE,$Q$7=TRUE))=TRUE,'Shots and Status'!$F$5,IF((OR($Q$2,$Q$7)=TRUE),'Shots and Status'!$D$5,'Shots and Status'!$C$5)))),0),"-")</f>
        <v>-</v>
      </c>
      <c r="L523" s="36" t="str">
        <f>IFERROR(IF(AND($Q$1=FALSE,$S$3=FALSE),"-",VLOOKUP($E523,'Status Thresholds'!$E:$AU,41,FALSE)),"-")</f>
        <v>-</v>
      </c>
      <c r="M523" s="36" t="str">
        <f>IFERROR(IF(AND($Q$1=FALSE,$S$3=FALSE),"-",VLOOKUP($E523,'Status Thresholds'!$E:$AU,42,FALSE)),"-")</f>
        <v>-</v>
      </c>
      <c r="N523" s="36" t="str">
        <f>IFERROR(IF(AND($Q$1=FALSE,$S$3=FALSE),"-",VLOOKUP($E523,'Status Thresholds'!$E:$AU,43,FALSE)),"-")</f>
        <v>-</v>
      </c>
    </row>
    <row r="524" spans="1:14" s="59" customFormat="1" x14ac:dyDescent="0.25">
      <c r="A524" s="46"/>
      <c r="B524" s="64" t="str">
        <f>VLOOKUP(C524,'Status Thresholds'!B:C,2,FALSE)</f>
        <v>MHGen</v>
      </c>
      <c r="C524" s="46" t="str">
        <f>IF(ISBLANK('KO Calc'!C520)=TRUE,"",'KO Calc'!C520)</f>
        <v>Najarala</v>
      </c>
      <c r="D524" s="58" t="s">
        <v>33</v>
      </c>
      <c r="E524" s="62" t="str">
        <f t="shared" si="15"/>
        <v>NajaralaPoison</v>
      </c>
      <c r="F524" s="59" t="s">
        <v>6</v>
      </c>
      <c r="G524" s="36" t="str">
        <f t="shared" si="16"/>
        <v>NajaralaPoison lvl 2</v>
      </c>
      <c r="H524" s="36" t="str">
        <f>IFERROR(ROUNDUP(IF(AND($Q$1=FALSE,$S$3=FALSE),"-",IF(AND($Q$1=TRUE,$S$3=TRUE),"-",IF(AND($Q$1=TRUE,$S$1=TRUE,$S$4=FALSE),VLOOKUP($E524,'Status Thresholds'!$E:$AS,12,FALSE),IF(AND($Q$1=TRUE,$S$4=FALSE),VLOOKUP($E524,'Status Thresholds'!$E:$AS,2,FALSE), IF(AND($Q$1=TRUE,$S$1=TRUE,$S$4=TRUE),VLOOKUP($E524,'Status Thresholds'!$E:$AS,17,FALSE),IF(AND($Q$1=TRUE,$S$4=TRUE),VLOOKUP($E524,'Status Thresholds'!$E:$AS,7,FALSE),IF(AND($S$3=TRUE,$S$1=TRUE,$S$4=FALSE),VLOOKUP($E524,'Status Thresholds'!$E:$AS,32,FALSE),IF(AND($S$3=TRUE,$S$4=FALSE),VLOOKUP($E524,'Status Thresholds'!$E:$AS,22,FALSE),IF(AND($S$3=TRUE,$S$1=TRUE,$S$4=TRUE),VLOOKUP($E524,'Status Thresholds'!$E:$AS,37,FALSE),IF(AND($S$3=TRUE,$S$4=TRUE),VLOOKUP($E524,'Status Thresholds'!$E:$AS,27,FALSE),""))))))))/IF(OR($Q$3=TRUE,AND($Q$2=TRUE,$Q$7=TRUE),AND($Q$3=TRUE,$Q$7=TRUE))=TRUE,'Shots and Status'!$F$5,IF((OR($Q$2,$Q$7)=TRUE),'Shots and Status'!$D$5,'Shots and Status'!$C$5)))),0),"-")</f>
        <v>-</v>
      </c>
      <c r="I524" s="36" t="str">
        <f>IFERROR(ROUNDUP(IF(AND($Q$1=FALSE,$S$3=FALSE),"-",IF(AND($Q$1=TRUE,$S$3=TRUE),"-",IF(AND($Q$1=TRUE,$S$1=TRUE,$S$4=FALSE),VLOOKUP($E524,'Status Thresholds'!$E:$AS,13,FALSE),IF(AND($Q$1=TRUE,$S$4=FALSE),VLOOKUP($E524,'Status Thresholds'!$E:$AS,3,FALSE), IF(AND($Q$1=TRUE,$S$1=TRUE,$S$4=TRUE),VLOOKUP($E524,'Status Thresholds'!$E:$AS,18,FALSE),IF(AND($Q$1=TRUE,$S$4=TRUE),VLOOKUP($E524,'Status Thresholds'!$E:$AS,8,FALSE),IF(AND($S$3=TRUE,$S$1=TRUE,$S$4=FALSE),VLOOKUP($E524,'Status Thresholds'!$E:$AS,33,FALSE),IF(AND($S$3=TRUE,$S$4=FALSE),VLOOKUP($E524,'Status Thresholds'!$E:$AS,23,FALSE),IF(AND($S$3=TRUE,$S$1=TRUE,$S$4=TRUE),VLOOKUP($E524,'Status Thresholds'!$E:$AS,38,FALSE),IF(AND($S$3=TRUE,$S$4=TRUE),VLOOKUP($E524,'Status Thresholds'!$E:$AS,28,FALSE),""))))))))/IF(OR($Q$3=TRUE,AND($Q$2=TRUE,$Q$7=TRUE),AND($Q$3=TRUE,$Q$7=TRUE))=TRUE,'Shots and Status'!$F$5,IF((OR($Q$2,$Q$7)=TRUE),'Shots and Status'!$D$5,'Shots and Status'!$C$5)))),0),"-")</f>
        <v>-</v>
      </c>
      <c r="J524" s="36" t="str">
        <f>IFERROR(ROUNDUP(IF(AND($Q$1=FALSE,$S$3=FALSE),"-",IF(AND($Q$1=TRUE,$S$3=TRUE),"-",IF(AND($Q$1=TRUE,$S$1=TRUE,$S$4=FALSE),VLOOKUP($E524,'Status Thresholds'!$E:$AS,14,FALSE),IF(AND($Q$1=TRUE,$S$4=FALSE),VLOOKUP($E524,'Status Thresholds'!$E:$AS,4,FALSE), IF(AND($Q$1=TRUE,$S$1=TRUE,$S$4=TRUE),VLOOKUP($E524,'Status Thresholds'!$E:$AS,19,FALSE),IF(AND($Q$1=TRUE,$S$4=TRUE),VLOOKUP($E524,'Status Thresholds'!$E:$AS,9,FALSE),IF(AND($S$3=TRUE,$S$1=TRUE,$S$4=FALSE),VLOOKUP($E524,'Status Thresholds'!$E:$AS,34,FALSE),IF(AND($S$3=TRUE,$S$4=FALSE),VLOOKUP($E524,'Status Thresholds'!$E:$AS,24,FALSE),IF(AND($S$3=TRUE,$S$1=TRUE,$S$4=TRUE),VLOOKUP($E524,'Status Thresholds'!$E:$AS,39,FALSE),IF(AND($S$3=TRUE,$S$4=TRUE),VLOOKUP($E524,'Status Thresholds'!$E:$AS,29,FALSE),""))))))))/IF(OR($Q$3=TRUE,AND($Q$2=TRUE,$Q$7=TRUE),AND($Q$3=TRUE,$Q$7=TRUE))=TRUE,'Shots and Status'!$F$5,IF((OR($Q$2,$Q$7)=TRUE),'Shots and Status'!$D$5,'Shots and Status'!$C$5)))),0),"-")</f>
        <v>-</v>
      </c>
      <c r="K524" s="36" t="str">
        <f>IFERROR(ROUNDUP(IF(AND($Q$1=FALSE,$S$3=FALSE),"-",IF(AND($Q$1=TRUE,$S$3=TRUE),"-",IF(AND($Q$1=TRUE,$S$1=TRUE,$S$4=FALSE),VLOOKUP($E524,'Status Thresholds'!$E:$AS,15,FALSE),IF(AND($Q$1=TRUE,$S$4=FALSE),VLOOKUP($E524,'Status Thresholds'!$E:$AS,5,FALSE), IF(AND($Q$1=TRUE,$S$1=TRUE,$S$4=TRUE),VLOOKUP($E524,'Status Thresholds'!$E:$AS,20,FALSE),IF(AND($Q$1=TRUE,$S$4=TRUE),VLOOKUP($E524,'Status Thresholds'!$E:$AS,10,FALSE),IF(AND($S$3=TRUE,$S$1=TRUE,$S$4=FALSE),VLOOKUP($E524,'Status Thresholds'!$E:$AS,35,FALSE),IF(AND($S$3=TRUE,$S$4=FALSE),VLOOKUP($E524,'Status Thresholds'!$E:$AS,25,FALSE),IF(AND($S$3=TRUE,$S$1=TRUE,$S$4=TRUE),VLOOKUP($E524,'Status Thresholds'!$E:$AS,40,FALSE),IF(AND($S$3=TRUE,$S$4=TRUE),VLOOKUP($E524,'Status Thresholds'!$E:$AS,30,FALSE),""))))))))/IF(OR($Q$3=TRUE,AND($Q$2=TRUE,$Q$7=TRUE),AND($Q$3=TRUE,$Q$7=TRUE))=TRUE,'Shots and Status'!$F$5,IF((OR($Q$2,$Q$7)=TRUE),'Shots and Status'!$D$5,'Shots and Status'!$C$5)))),0),"-")</f>
        <v>-</v>
      </c>
      <c r="L524" s="36" t="str">
        <f>IFERROR(IF(AND($Q$1=FALSE,$S$3=FALSE),"-",VLOOKUP($E524,'Status Thresholds'!$E:$AU,41,FALSE)),"-")</f>
        <v>-</v>
      </c>
      <c r="M524" s="36" t="str">
        <f>IFERROR(IF(AND($Q$1=FALSE,$S$3=FALSE),"-",VLOOKUP($E524,'Status Thresholds'!$E:$AU,42,FALSE)),"-")</f>
        <v>-</v>
      </c>
      <c r="N524" s="36" t="str">
        <f>IFERROR(IF(AND($Q$1=FALSE,$S$3=FALSE),"-",VLOOKUP($E524,'Status Thresholds'!$E:$AU,43,FALSE)),"-")</f>
        <v>-</v>
      </c>
    </row>
    <row r="525" spans="1:14" s="36" customFormat="1" x14ac:dyDescent="0.25">
      <c r="A525" s="46"/>
      <c r="B525" s="64" t="str">
        <f>VLOOKUP(C525,'Status Thresholds'!B:C,2,FALSE)</f>
        <v>MHGen</v>
      </c>
      <c r="C525" s="46" t="str">
        <f>IF(ISBLANK('KO Calc'!C521)=TRUE,"",'KO Calc'!C521)</f>
        <v>Najarala</v>
      </c>
      <c r="D525" s="57" t="s">
        <v>22</v>
      </c>
      <c r="E525" s="62" t="str">
        <f t="shared" si="15"/>
        <v>NajaralaExhaust</v>
      </c>
      <c r="F525" s="36" t="s">
        <v>8</v>
      </c>
      <c r="G525" s="36" t="str">
        <f t="shared" si="16"/>
        <v>NajaralaExhaust lvl 2</v>
      </c>
      <c r="H525" s="36" t="str">
        <f>IFERROR(ROUNDUP(IF(AND($Q$1=FALSE,$S$3=FALSE),"-",IF(AND($Q$1=TRUE,$S$3=TRUE),"-",IF(AND($Q$1=TRUE,$S$1=TRUE,$S$4=FALSE),VLOOKUP($E525,'Status Thresholds'!$E:$AS,12,FALSE),IF(AND($Q$1=TRUE,$S$4=FALSE),VLOOKUP($E525,'Status Thresholds'!$E:$AS,2,FALSE), IF(AND($Q$1=TRUE,$S$1=TRUE,$S$4=TRUE),VLOOKUP($E525,'Status Thresholds'!$E:$AS,17,FALSE),IF(AND($Q$1=TRUE,$S$4=TRUE),VLOOKUP($E525,'Status Thresholds'!$E:$AS,7,FALSE),IF(AND($S$3=TRUE,$S$1=TRUE,$S$4=FALSE),VLOOKUP($E525,'Status Thresholds'!$E:$AS,32,FALSE),IF(AND($S$3=TRUE,$S$4=FALSE),VLOOKUP($E525,'Status Thresholds'!$E:$AS,22,FALSE),IF(AND($S$3=TRUE,$S$1=TRUE,$S$4=TRUE),VLOOKUP($E525,'Status Thresholds'!$E:$AS,37,FALSE),IF(AND($S$3=TRUE,$S$4=TRUE),VLOOKUP($E525,'Status Thresholds'!$E:$AS,27,FALSE),""))))))))/IF(OR($Q$3=TRUE,AND($Q$2=TRUE,$Q$7=TRUE),AND($Q$3=TRUE,$Q$7=TRUE))=TRUE,'Shots and Status'!$F$5,IF((OR($Q$2,$Q$7)=TRUE),'Shots and Status'!$D$5,'Shots and Status'!$C$5)))),0),"-")</f>
        <v>-</v>
      </c>
      <c r="I525" s="36" t="str">
        <f>IFERROR(ROUNDUP(IF(AND($Q$1=FALSE,$S$3=FALSE),"-",IF(AND($Q$1=TRUE,$S$3=TRUE),"-",IF(AND($Q$1=TRUE,$S$1=TRUE,$S$4=FALSE),VLOOKUP($E525,'Status Thresholds'!$E:$AS,13,FALSE),IF(AND($Q$1=TRUE,$S$4=FALSE),VLOOKUP($E525,'Status Thresholds'!$E:$AS,3,FALSE), IF(AND($Q$1=TRUE,$S$1=TRUE,$S$4=TRUE),VLOOKUP($E525,'Status Thresholds'!$E:$AS,18,FALSE),IF(AND($Q$1=TRUE,$S$4=TRUE),VLOOKUP($E525,'Status Thresholds'!$E:$AS,8,FALSE),IF(AND($S$3=TRUE,$S$1=TRUE,$S$4=FALSE),VLOOKUP($E525,'Status Thresholds'!$E:$AS,33,FALSE),IF(AND($S$3=TRUE,$S$4=FALSE),VLOOKUP($E525,'Status Thresholds'!$E:$AS,23,FALSE),IF(AND($S$3=TRUE,$S$1=TRUE,$S$4=TRUE),VLOOKUP($E525,'Status Thresholds'!$E:$AS,38,FALSE),IF(AND($S$3=TRUE,$S$4=TRUE),VLOOKUP($E525,'Status Thresholds'!$E:$AS,28,FALSE),""))))))))/IF(OR($Q$3=TRUE,AND($Q$2=TRUE,$Q$7=TRUE),AND($Q$3=TRUE,$Q$7=TRUE))=TRUE,'Shots and Status'!$F$5,IF((OR($Q$2,$Q$7)=TRUE),'Shots and Status'!$D$5,'Shots and Status'!$C$5)))),0),"-")</f>
        <v>-</v>
      </c>
      <c r="J525" s="36" t="str">
        <f>IFERROR(ROUNDUP(IF(AND($Q$1=FALSE,$S$3=FALSE),"-",IF(AND($Q$1=TRUE,$S$3=TRUE),"-",IF(AND($Q$1=TRUE,$S$1=TRUE,$S$4=FALSE),VLOOKUP($E525,'Status Thresholds'!$E:$AS,14,FALSE),IF(AND($Q$1=TRUE,$S$4=FALSE),VLOOKUP($E525,'Status Thresholds'!$E:$AS,4,FALSE), IF(AND($Q$1=TRUE,$S$1=TRUE,$S$4=TRUE),VLOOKUP($E525,'Status Thresholds'!$E:$AS,19,FALSE),IF(AND($Q$1=TRUE,$S$4=TRUE),VLOOKUP($E525,'Status Thresholds'!$E:$AS,9,FALSE),IF(AND($S$3=TRUE,$S$1=TRUE,$S$4=FALSE),VLOOKUP($E525,'Status Thresholds'!$E:$AS,34,FALSE),IF(AND($S$3=TRUE,$S$4=FALSE),VLOOKUP($E525,'Status Thresholds'!$E:$AS,24,FALSE),IF(AND($S$3=TRUE,$S$1=TRUE,$S$4=TRUE),VLOOKUP($E525,'Status Thresholds'!$E:$AS,39,FALSE),IF(AND($S$3=TRUE,$S$4=TRUE),VLOOKUP($E525,'Status Thresholds'!$E:$AS,29,FALSE),""))))))))/IF(OR($Q$3=TRUE,AND($Q$2=TRUE,$Q$7=TRUE),AND($Q$3=TRUE,$Q$7=TRUE))=TRUE,'Shots and Status'!$F$5,IF((OR($Q$2,$Q$7)=TRUE),'Shots and Status'!$D$5,'Shots and Status'!$C$5)))),0),"-")</f>
        <v>-</v>
      </c>
      <c r="K525" s="36" t="str">
        <f>IFERROR(ROUNDUP(IF(AND($Q$1=FALSE,$S$3=FALSE),"-",IF(AND($Q$1=TRUE,$S$3=TRUE),"-",IF(AND($Q$1=TRUE,$S$1=TRUE,$S$4=FALSE),VLOOKUP($E525,'Status Thresholds'!$E:$AS,15,FALSE),IF(AND($Q$1=TRUE,$S$4=FALSE),VLOOKUP($E525,'Status Thresholds'!$E:$AS,5,FALSE), IF(AND($Q$1=TRUE,$S$1=TRUE,$S$4=TRUE),VLOOKUP($E525,'Status Thresholds'!$E:$AS,20,FALSE),IF(AND($Q$1=TRUE,$S$4=TRUE),VLOOKUP($E525,'Status Thresholds'!$E:$AS,10,FALSE),IF(AND($S$3=TRUE,$S$1=TRUE,$S$4=FALSE),VLOOKUP($E525,'Status Thresholds'!$E:$AS,35,FALSE),IF(AND($S$3=TRUE,$S$4=FALSE),VLOOKUP($E525,'Status Thresholds'!$E:$AS,25,FALSE),IF(AND($S$3=TRUE,$S$1=TRUE,$S$4=TRUE),VLOOKUP($E525,'Status Thresholds'!$E:$AS,40,FALSE),IF(AND($S$3=TRUE,$S$4=TRUE),VLOOKUP($E525,'Status Thresholds'!$E:$AS,30,FALSE),""))))))))/IF(OR($Q$3=TRUE,AND($Q$2=TRUE,$Q$7=TRUE),AND($Q$3=TRUE,$Q$7=TRUE))=TRUE,'Shots and Status'!$F$5,IF((OR($Q$2,$Q$7)=TRUE),'Shots and Status'!$D$5,'Shots and Status'!$C$5)))),0),"-")</f>
        <v>-</v>
      </c>
      <c r="L525" s="36" t="str">
        <f>IFERROR(IF(AND($Q$1=FALSE,$S$3=FALSE),"-",VLOOKUP($E525,'Status Thresholds'!$E:$AU,41,FALSE)),"-")</f>
        <v>-</v>
      </c>
      <c r="M525" s="36" t="str">
        <f>IFERROR(IF(AND($Q$1=FALSE,$S$3=FALSE),"-",VLOOKUP($E525,'Status Thresholds'!$E:$AU,42,FALSE)),"-")</f>
        <v>-</v>
      </c>
      <c r="N525" s="36" t="str">
        <f>IFERROR(IF(AND($Q$1=FALSE,$S$3=FALSE),"-",VLOOKUP($E525,'Status Thresholds'!$E:$AU,43,FALSE)),"-")</f>
        <v>-</v>
      </c>
    </row>
    <row r="526" spans="1:14" s="36" customFormat="1" x14ac:dyDescent="0.25">
      <c r="A526" s="46"/>
      <c r="B526" s="64" t="str">
        <f>VLOOKUP(C526,'Status Thresholds'!B:C,2,FALSE)</f>
        <v>MHGen</v>
      </c>
      <c r="C526" s="46" t="str">
        <f>IF(ISBLANK('KO Calc'!C522)=TRUE,"",'KO Calc'!C522)</f>
        <v>Najarala</v>
      </c>
      <c r="D526" s="67" t="s">
        <v>14</v>
      </c>
      <c r="E526" s="62" t="str">
        <f t="shared" si="15"/>
        <v>NajaralaKO</v>
      </c>
      <c r="F526" s="36" t="s">
        <v>21</v>
      </c>
      <c r="G526" s="36" t="str">
        <f t="shared" si="16"/>
        <v>NajaralaTriblast</v>
      </c>
      <c r="H526" s="36" t="str">
        <f>IF(AND($Q$1=FALSE,$S$3=FALSE),"-",IF(AND($Q$1=TRUE,$S$3=TRUE),"-",IF(AND($Q$1=FALSE,$S$3=FALSE),"-",IF(AND($Q$1=TRUE,$S$1=TRUE,$S$4=FALSE)=TRUE,IF(OR($Q$4=TRUE,$Q$5=TRUE,$S$2=TRUE),VLOOKUP($G526,'KO Calc'!$H:$AW,12,FALSE),VLOOKUP($G526,'KO Calc'!$H532:$AW532,12,FALSE)),IF(AND($Q$1=TRUE,$S$4=FALSE),IF(OR($Q$4=TRUE,$Q$5=TRUE,$S$2=TRUE),VLOOKUP($G526,'KO Calc'!$H:$AW,2,FALSE),VLOOKUP($G526,'KO Calc'!$H532:$AW532,2,FALSE)),
IF(AND($Q$1=TRUE,$S$1=TRUE,$S$4=TRUE)=TRUE,IF(OR($Q$4=TRUE,$Q$5=TRUE,$S$2=TRUE),VLOOKUP($G526,'KO Calc'!$H:$AW,17,FALSE),VLOOKUP($G526,'KO Calc'!$H532:$AW532,17,FALSE)),IF(AND($Q$1=TRUE,$S$4=TRUE),IF(OR($Q$4=TRUE,$Q$5=TRUE,$S$2=TRUE),VLOOKUP($G526,'KO Calc'!$H:$AW,7,FALSE),VLOOKUP($G526,'KO Calc'!$H532:$AW532,7,FALSE)),
IF(AND($S$3=TRUE,$S$1=TRUE,$S$4=FALSE)=TRUE,IF(OR($Q$4=TRUE,$Q$5=TRUE,$S$2=TRUE),VLOOKUP($G526,'KO Calc'!$H:$AW,32,FALSE),VLOOKUP($G526,'KO Calc'!$H532:$AW532,32,FALSE)),IF(AND($S$3=TRUE,$S$4=FALSE),IF(OR($Q$4=TRUE,$Q$5=TRUE,$S$2=TRUE),VLOOKUP($G526,'KO Calc'!$H:$AW,22,FALSE),VLOOKUP($G526,'KO Calc'!$H532:$AW532,22,FALSE)),
IF(AND($S$3=TRUE,$S$1=TRUE,$S$4=TRUE)=TRUE,IF(OR($Q$4=TRUE,$Q$5=TRUE,$S$2=TRUE),VLOOKUP($G526,'KO Calc'!$H:$AW,37,FALSE),VLOOKUP($G526,'KO Calc'!$H532:$AW532,37,FALSE)),IF(AND($S$3=TRUE,$S$4=TRUE),IF(OR($Q$4=TRUE,$Q$5=TRUE,$S$2=TRUE),VLOOKUP($G526,'KO Calc'!$H:$AW,27,FALSE),VLOOKUP($G526,'KO Calc'!$H532:$AW532,27,FALSE)))))))))))))</f>
        <v>-</v>
      </c>
      <c r="I526" s="36" t="str">
        <f>IF(AND($Q$1=FALSE,$S$3=FALSE),"-",IF(AND($Q$1=TRUE,$S$3=TRUE),"-",IF(AND($Q$1=FALSE,$S$3=FALSE),"-",IF(AND($Q$1=TRUE,$S$1=TRUE,$S$4=FALSE)=TRUE,IF(OR($Q$4=TRUE,$Q$5=TRUE,$S$2=TRUE),VLOOKUP($G526,'KO Calc'!$H:$AW,13,FALSE),VLOOKUP($G526,'KO Calc'!$H532:$AW532,13,FALSE)),IF(AND($Q$1=TRUE,$S$4=FALSE),IF(OR($Q$4=TRUE,$Q$5=TRUE,$S$2=TRUE),VLOOKUP($G526,'KO Calc'!$H:$AW,3,FALSE),VLOOKUP($G526,'KO Calc'!$H532:$AW532,3,FALSE)),
IF(AND($Q$1=TRUE,$S$1=TRUE,$S$4=TRUE)=TRUE,IF(OR($Q$4=TRUE,$Q$5=TRUE,$S$2=TRUE),VLOOKUP($G526,'KO Calc'!$H:$AW,18,FALSE),VLOOKUP($G526,'KO Calc'!$H532:$AW532,18,FALSE)),IF(AND($Q$1=TRUE,$S$4=TRUE),IF(OR($Q$4=TRUE,$Q$5=TRUE,$S$2=TRUE),VLOOKUP($G526,'KO Calc'!$H:$AW,8,FALSE),VLOOKUP($G526,'KO Calc'!$H532:$AW532,8,FALSE)),
IF(AND($S$3=TRUE,$S$1=TRUE,$S$4=FALSE)=TRUE,IF(OR($Q$4=TRUE,$Q$5=TRUE,$S$2=TRUE),VLOOKUP($G526,'KO Calc'!$H:$AW,33,FALSE),VLOOKUP($G526,'KO Calc'!$H532:$AW532,33,FALSE)),IF(AND($S$3=TRUE,$S$4=FALSE),IF(OR($Q$4=TRUE,$Q$5=TRUE,$S$2=TRUE),VLOOKUP($G526,'KO Calc'!$H:$AW,23,FALSE),VLOOKUP($G526,'KO Calc'!$H532:$AW532,23,FALSE)),
IF(AND($S$3=TRUE,$S$1=TRUE,$S$4=TRUE)=TRUE,IF(OR($Q$4=TRUE,$Q$5=TRUE,$S$2=TRUE),VLOOKUP($G526,'KO Calc'!$H:$AW,38,FALSE),VLOOKUP($G526,'KO Calc'!$H532:$AW532,38,FALSE)),IF(AND($S$3=TRUE,$S$4=TRUE),IF(OR($Q$4=TRUE,$Q$5=TRUE,$S$2=TRUE),VLOOKUP($G526,'KO Calc'!$H:$AW,28,FALSE),VLOOKUP($G526,'KO Calc'!$H532:$AW532,28,FALSE)))))))))))))</f>
        <v>-</v>
      </c>
      <c r="J526" s="36" t="str">
        <f>IF(AND($Q$1=FALSE,$S$3=FALSE),"-",IF(AND($Q$1=TRUE,$S$3=TRUE),"-",IF(AND($Q$1=FALSE,$S$3=FALSE),"-",IF(AND($Q$1=TRUE,$S$1=TRUE,$S$4=FALSE)=TRUE,IF(OR($Q$4=TRUE,$Q$5=TRUE,$S$2=TRUE),VLOOKUP($G526,'KO Calc'!$H:$AW,FALSE),VLOOKUP($G526,'KO Calc'!$H532:$AW532,14,FALSE)),IF(AND($Q$1=TRUE,$S$4=FALSE),IF(OR($Q$4=TRUE,$Q$5=TRUE,$S$2=TRUE),VLOOKUP($G526,'KO Calc'!$H:$AW,4,FALSE),VLOOKUP($G526,'KO Calc'!$H532:$AW532,4,FALSE)),
IF(AND($Q$1=TRUE,$S$1=TRUE,$S$4=TRUE)=TRUE,IF(OR($Q$4=TRUE,$Q$5=TRUE,$S$2=TRUE),VLOOKUP($G526,'KO Calc'!$H:$AW,19,FALSE),VLOOKUP($G526,'KO Calc'!$H532:$AW532,19,FALSE)),IF(AND($Q$1=TRUE,$S$4=TRUE),IF(OR($Q$4=TRUE,$Q$5=TRUE,$S$2=TRUE),VLOOKUP($G526,'KO Calc'!$H:$AW,9,FALSE),VLOOKUP($G526,'KO Calc'!$H532:$AW532,9,FALSE)),
IF(AND($S$3=TRUE,$S$1=TRUE,$S$4=FALSE)=TRUE,IF(OR($Q$4=TRUE,$Q$5=TRUE,$S$2=TRUE),VLOOKUP($G526,'KO Calc'!$H:$AW,34,FALSE),VLOOKUP($G526,'KO Calc'!$H532:$AW532,34,FALSE)),IF(AND($S$3=TRUE,$S$4=FALSE),IF(OR($Q$4=TRUE,$Q$5=TRUE,$S$2=TRUE),VLOOKUP($G526,'KO Calc'!$H:$AW,24,FALSE),VLOOKUP($G526,'KO Calc'!$H532:$AW532,24,FALSE)),
IF(AND($S$3=TRUE,$S$1=TRUE,$S$4=TRUE)=TRUE,IF(OR($Q$4=TRUE,$Q$5=TRUE,$S$2=TRUE),VLOOKUP($G526,'KO Calc'!$H:$AW,39,FALSE),VLOOKUP($G526,'KO Calc'!$H532:$AW532,39,FALSE)),IF(AND($S$3=TRUE,$S$4=TRUE),IF(OR($Q$4=TRUE,$Q$5=TRUE,$S$2=TRUE),VLOOKUP($G526,'KO Calc'!$H:$AW,29,FALSE),VLOOKUP($G526,'KO Calc'!$H532:$AW532,29,FALSE)))))))))))))</f>
        <v>-</v>
      </c>
      <c r="K526" s="36" t="str">
        <f>IF(AND($Q$1=FALSE,$S$3=FALSE),"-",IF(AND($Q$1=TRUE,$S$3=TRUE),"-",IF(AND($Q$1=FALSE,$S$3=FALSE),"-",IF(AND($Q$1=TRUE,$S$1=TRUE,$S$4=FALSE)=TRUE,IF(OR($Q$4=TRUE,$Q$5=TRUE,$S$2=TRUE),VLOOKUP($G526,'KO Calc'!$H:$AW,15,FALSE),VLOOKUP($G526,'KO Calc'!$H532:$AW532,15,FALSE)),IF(AND($Q$1=TRUE,$S$4=FALSE),IF(OR($Q$4=TRUE,$Q$5=TRUE,$S$2=TRUE),VLOOKUP($G526,'KO Calc'!$H:$AW,5,FALSE),VLOOKUP($G526,'KO Calc'!$H532:$AW532,5,FALSE)),
IF(AND($Q$1=TRUE,$S$1=TRUE,$S$4=TRUE)=TRUE,IF(OR($Q$4=TRUE,$Q$5=TRUE,$S$2=TRUE),VLOOKUP($G526,'KO Calc'!$H:$AW,20,FALSE),VLOOKUP($G526,'KO Calc'!$H532:$AW532,20,FALSE)),IF(AND($Q$1=TRUE,$S$4=TRUE),IF(OR($Q$4=TRUE,$Q$5=TRUE,$S$2=TRUE),VLOOKUP($G526,'KO Calc'!$H:$AW,10,FALSE),VLOOKUP($G526,'KO Calc'!$H532:$AW532,10,FALSE)),
IF(AND($S$3=TRUE,$S$1=TRUE,$S$4=FALSE)=TRUE,IF(OR($Q$4=TRUE,$Q$5=TRUE,$S$2=TRUE),VLOOKUP($G526,'KO Calc'!$H:$AW,35,FALSE),VLOOKUP($G526,'KO Calc'!$H532:$AW532,35,FALSE)),IF(AND($S$3=TRUE,$S$4=FALSE),IF(OR($Q$4=TRUE,$Q$5=TRUE,$S$2=TRUE),VLOOKUP($G526,'KO Calc'!$H:$AW,25,FALSE),VLOOKUP($G526,'KO Calc'!$H532:$AW532,25,FALSE)),
IF(AND($S$3=TRUE,$S$1=TRUE,$S$4=TRUE)=TRUE,IF(OR($Q$4=TRUE,$Q$5=TRUE,$S$2=TRUE),VLOOKUP($G526,'KO Calc'!$H:$AW,40,FALSE),VLOOKUP($G526,'KO Calc'!$H532:$AW532,40,FALSE)),IF(AND($S$3=TRUE,$S$4=TRUE),IF(OR($Q$4=TRUE,$Q$5=TRUE,$S$2=TRUE),VLOOKUP($G526,'KO Calc'!$H:$AW,30,FALSE),VLOOKUP($G526,'KO Calc'!$H532:$AW532,30,FALSE)))))))))))))</f>
        <v>-</v>
      </c>
      <c r="L526" s="36" t="str">
        <f>IFERROR(IF(AND($Q$1=FALSE,$S$3=FALSE),"-",VLOOKUP($E526,'Status Thresholds'!$E:$AU,41,FALSE)),"-")</f>
        <v>-</v>
      </c>
      <c r="M526" s="36" t="str">
        <f>IFERROR(IF(AND($Q$1=FALSE,$S$3=FALSE),"-",VLOOKUP($E526,'Status Thresholds'!$E:$AU,42,FALSE)),"-")</f>
        <v>-</v>
      </c>
      <c r="N526" s="36" t="str">
        <f>IFERROR(IF(AND($Q$1=FALSE,$S$3=FALSE),"-",VLOOKUP($E526,'Status Thresholds'!$E:$AU,43,FALSE)),"-")</f>
        <v>-</v>
      </c>
    </row>
    <row r="527" spans="1:14" x14ac:dyDescent="0.25">
      <c r="B527" s="64" t="str">
        <f>VLOOKUP(C527,'Status Thresholds'!B:C,2,FALSE)</f>
        <v>MHGen</v>
      </c>
      <c r="C527" s="46" t="str">
        <f>IF(ISBLANK('KO Calc'!C523)=TRUE,"",'KO Calc'!C523)</f>
        <v>Najarala</v>
      </c>
      <c r="D527" s="78" t="s">
        <v>207</v>
      </c>
      <c r="E527" s="62" t="str">
        <f t="shared" si="15"/>
        <v>NajaralaShock Trap</v>
      </c>
      <c r="F527" t="s">
        <v>13</v>
      </c>
      <c r="G527" s="36" t="str">
        <f t="shared" si="16"/>
        <v>NajaralaCrag 3</v>
      </c>
      <c r="H527" s="36" t="str">
        <f>IF(AND($Q$1=FALSE,$S$3=FALSE),"-",IF(AND($Q$1=TRUE,$S$3=TRUE),"-",IF(AND($Q$1=FALSE,$S$3=FALSE),"-",IF(AND($Q$1=TRUE,$S$1=TRUE,$S$4=FALSE)=TRUE,IF(OR($Q$4=TRUE,$Q$5=TRUE,$S$2=TRUE),VLOOKUP($G527,'KO Calc'!$H:$AW,12,FALSE),VLOOKUP($G527,'KO Calc'!$H533:$AW533,12,FALSE)),IF(AND($Q$1=TRUE,$S$4=FALSE),IF(OR($Q$4=TRUE,$Q$5=TRUE,$S$2=TRUE),VLOOKUP($G527,'KO Calc'!$H:$AW,2,FALSE),VLOOKUP($G527,'KO Calc'!$H533:$AW533,2,FALSE)),
IF(AND($Q$1=TRUE,$S$1=TRUE,$S$4=TRUE)=TRUE,IF(OR($Q$4=TRUE,$Q$5=TRUE,$S$2=TRUE),VLOOKUP($G527,'KO Calc'!$H:$AW,17,FALSE),VLOOKUP($G527,'KO Calc'!$H533:$AW533,17,FALSE)),IF(AND($Q$1=TRUE,$S$4=TRUE),IF(OR($Q$4=TRUE,$Q$5=TRUE,$S$2=TRUE),VLOOKUP($G527,'KO Calc'!$H:$AW,7,FALSE),VLOOKUP($G527,'KO Calc'!$H533:$AW533,7,FALSE)),
IF(AND($S$3=TRUE,$S$1=TRUE,$S$4=FALSE)=TRUE,IF(OR($Q$4=TRUE,$Q$5=TRUE,$S$2=TRUE),VLOOKUP($G527,'KO Calc'!$H:$AW,32,FALSE),VLOOKUP($G527,'KO Calc'!$H533:$AW533,32,FALSE)),IF(AND($S$3=TRUE,$S$4=FALSE),IF(OR($Q$4=TRUE,$Q$5=TRUE,$S$2=TRUE),VLOOKUP($G527,'KO Calc'!$H:$AW,22,FALSE),VLOOKUP($G527,'KO Calc'!$H533:$AW533,22,FALSE)),
IF(AND($S$3=TRUE,$S$1=TRUE,$S$4=TRUE)=TRUE,IF(OR($Q$4=TRUE,$Q$5=TRUE,$S$2=TRUE),VLOOKUP($G527,'KO Calc'!$H:$AW,37,FALSE),VLOOKUP($G527,'KO Calc'!$H533:$AW533,37,FALSE)),IF(AND($S$3=TRUE,$S$4=TRUE),IF(OR($Q$4=TRUE,$Q$5=TRUE,$S$2=TRUE),VLOOKUP($G527,'KO Calc'!$H:$AW,27,FALSE),VLOOKUP($G527,'KO Calc'!$H533:$AW533,27,FALSE)))))))))))))</f>
        <v>-</v>
      </c>
      <c r="I527" s="36" t="str">
        <f>IF(AND($Q$1=FALSE,$S$3=FALSE),"-",IF(AND($Q$1=TRUE,$S$3=TRUE),"-",IF(AND($Q$1=FALSE,$S$3=FALSE),"-",IF(AND($Q$1=TRUE,$S$1=TRUE,$S$4=FALSE)=TRUE,IF(OR($Q$4=TRUE,$Q$5=TRUE,$S$2=TRUE),VLOOKUP($G527,'KO Calc'!$H:$AW,13,FALSE),VLOOKUP($G527,'KO Calc'!$H533:$AW533,13,FALSE)),IF(AND($Q$1=TRUE,$S$4=FALSE),IF(OR($Q$4=TRUE,$Q$5=TRUE,$S$2=TRUE),VLOOKUP($G527,'KO Calc'!$H:$AW,3,FALSE),VLOOKUP($G527,'KO Calc'!$H533:$AW533,3,FALSE)),
IF(AND($Q$1=TRUE,$S$1=TRUE,$S$4=TRUE)=TRUE,IF(OR($Q$4=TRUE,$Q$5=TRUE,$S$2=TRUE),VLOOKUP($G527,'KO Calc'!$H:$AW,18,FALSE),VLOOKUP($G527,'KO Calc'!$H533:$AW533,18,FALSE)),IF(AND($Q$1=TRUE,$S$4=TRUE),IF(OR($Q$4=TRUE,$Q$5=TRUE,$S$2=TRUE),VLOOKUP($G527,'KO Calc'!$H:$AW,8,FALSE),VLOOKUP($G527,'KO Calc'!$H533:$AW533,8,FALSE)),
IF(AND($S$3=TRUE,$S$1=TRUE,$S$4=FALSE)=TRUE,IF(OR($Q$4=TRUE,$Q$5=TRUE,$S$2=TRUE),VLOOKUP($G527,'KO Calc'!$H:$AW,33,FALSE),VLOOKUP($G527,'KO Calc'!$H533:$AW533,33,FALSE)),IF(AND($S$3=TRUE,$S$4=FALSE),IF(OR($Q$4=TRUE,$Q$5=TRUE,$S$2=TRUE),VLOOKUP($G527,'KO Calc'!$H:$AW,23,FALSE),VLOOKUP($G527,'KO Calc'!$H533:$AW533,23,FALSE)),
IF(AND($S$3=TRUE,$S$1=TRUE,$S$4=TRUE)=TRUE,IF(OR($Q$4=TRUE,$Q$5=TRUE,$S$2=TRUE),VLOOKUP($G527,'KO Calc'!$H:$AW,38,FALSE),VLOOKUP($G527,'KO Calc'!$H533:$AW533,38,FALSE)),IF(AND($S$3=TRUE,$S$4=TRUE),IF(OR($Q$4=TRUE,$Q$5=TRUE,$S$2=TRUE),VLOOKUP($G527,'KO Calc'!$H:$AW,28,FALSE),VLOOKUP($G527,'KO Calc'!$H533:$AW533,28,FALSE)))))))))))))</f>
        <v>-</v>
      </c>
      <c r="J527" s="36" t="str">
        <f>IF(AND($Q$1=FALSE,$S$3=FALSE),"-",IF(AND($Q$1=TRUE,$S$3=TRUE),"-",IF(AND($Q$1=FALSE,$S$3=FALSE),"-",IF(AND($Q$1=TRUE,$S$1=TRUE,$S$4=FALSE)=TRUE,IF(OR($Q$4=TRUE,$Q$5=TRUE,$S$2=TRUE),VLOOKUP($G527,'KO Calc'!$H:$AW,FALSE),VLOOKUP($G527,'KO Calc'!$H533:$AW533,14,FALSE)),IF(AND($Q$1=TRUE,$S$4=FALSE),IF(OR($Q$4=TRUE,$Q$5=TRUE,$S$2=TRUE),VLOOKUP($G527,'KO Calc'!$H:$AW,4,FALSE),VLOOKUP($G527,'KO Calc'!$H533:$AW533,4,FALSE)),
IF(AND($Q$1=TRUE,$S$1=TRUE,$S$4=TRUE)=TRUE,IF(OR($Q$4=TRUE,$Q$5=TRUE,$S$2=TRUE),VLOOKUP($G527,'KO Calc'!$H:$AW,19,FALSE),VLOOKUP($G527,'KO Calc'!$H533:$AW533,19,FALSE)),IF(AND($Q$1=TRUE,$S$4=TRUE),IF(OR($Q$4=TRUE,$Q$5=TRUE,$S$2=TRUE),VLOOKUP($G527,'KO Calc'!$H:$AW,9,FALSE),VLOOKUP($G527,'KO Calc'!$H533:$AW533,9,FALSE)),
IF(AND($S$3=TRUE,$S$1=TRUE,$S$4=FALSE)=TRUE,IF(OR($Q$4=TRUE,$Q$5=TRUE,$S$2=TRUE),VLOOKUP($G527,'KO Calc'!$H:$AW,34,FALSE),VLOOKUP($G527,'KO Calc'!$H533:$AW533,34,FALSE)),IF(AND($S$3=TRUE,$S$4=FALSE),IF(OR($Q$4=TRUE,$Q$5=TRUE,$S$2=TRUE),VLOOKUP($G527,'KO Calc'!$H:$AW,24,FALSE),VLOOKUP($G527,'KO Calc'!$H533:$AW533,24,FALSE)),
IF(AND($S$3=TRUE,$S$1=TRUE,$S$4=TRUE)=TRUE,IF(OR($Q$4=TRUE,$Q$5=TRUE,$S$2=TRUE),VLOOKUP($G527,'KO Calc'!$H:$AW,39,FALSE),VLOOKUP($G527,'KO Calc'!$H533:$AW533,39,FALSE)),IF(AND($S$3=TRUE,$S$4=TRUE),IF(OR($Q$4=TRUE,$Q$5=TRUE,$S$2=TRUE),VLOOKUP($G527,'KO Calc'!$H:$AW,29,FALSE),VLOOKUP($G527,'KO Calc'!$H533:$AW533,29,FALSE)))))))))))))</f>
        <v>-</v>
      </c>
      <c r="K527" s="36" t="str">
        <f>IF(AND($Q$1=FALSE,$S$3=FALSE),"-",IF(AND($Q$1=TRUE,$S$3=TRUE),"-",IF(AND($Q$1=FALSE,$S$3=FALSE),"-",IF(AND($Q$1=TRUE,$S$1=TRUE,$S$4=FALSE)=TRUE,IF(OR($Q$4=TRUE,$Q$5=TRUE,$S$2=TRUE),VLOOKUP($G527,'KO Calc'!$H:$AW,15,FALSE),VLOOKUP($G527,'KO Calc'!$H533:$AW533,15,FALSE)),IF(AND($Q$1=TRUE,$S$4=FALSE),IF(OR($Q$4=TRUE,$Q$5=TRUE,$S$2=TRUE),VLOOKUP($G527,'KO Calc'!$H:$AW,5,FALSE),VLOOKUP($G527,'KO Calc'!$H533:$AW533,5,FALSE)),
IF(AND($Q$1=TRUE,$S$1=TRUE,$S$4=TRUE)=TRUE,IF(OR($Q$4=TRUE,$Q$5=TRUE,$S$2=TRUE),VLOOKUP($G527,'KO Calc'!$H:$AW,20,FALSE),VLOOKUP($G527,'KO Calc'!$H533:$AW533,20,FALSE)),IF(AND($Q$1=TRUE,$S$4=TRUE),IF(OR($Q$4=TRUE,$Q$5=TRUE,$S$2=TRUE),VLOOKUP($G527,'KO Calc'!$H:$AW,10,FALSE),VLOOKUP($G527,'KO Calc'!$H533:$AW533,10,FALSE)),
IF(AND($S$3=TRUE,$S$1=TRUE,$S$4=FALSE)=TRUE,IF(OR($Q$4=TRUE,$Q$5=TRUE,$S$2=TRUE),VLOOKUP($G527,'KO Calc'!$H:$AW,35,FALSE),VLOOKUP($G527,'KO Calc'!$H533:$AW533,35,FALSE)),IF(AND($S$3=TRUE,$S$4=FALSE),IF(OR($Q$4=TRUE,$Q$5=TRUE,$S$2=TRUE),VLOOKUP($G527,'KO Calc'!$H:$AW,25,FALSE),VLOOKUP($G527,'KO Calc'!$H533:$AW533,25,FALSE)),
IF(AND($S$3=TRUE,$S$1=TRUE,$S$4=TRUE)=TRUE,IF(OR($Q$4=TRUE,$Q$5=TRUE,$S$2=TRUE),VLOOKUP($G527,'KO Calc'!$H:$AW,40,FALSE),VLOOKUP($G527,'KO Calc'!$H533:$AW533,40,FALSE)),IF(AND($S$3=TRUE,$S$4=TRUE),IF(OR($Q$4=TRUE,$Q$5=TRUE,$S$2=TRUE),VLOOKUP($G527,'KO Calc'!$H:$AW,30,FALSE),VLOOKUP($G527,'KO Calc'!$H533:$AW533,30,FALSE)))))))))))))</f>
        <v>-</v>
      </c>
      <c r="L527" s="36" t="str">
        <f>IFERROR(IF(AND($Q$1=FALSE,$S$3=FALSE),"-",VLOOKUP($E527,'Status Thresholds'!$E:$AU,43,FALSE)),"-")</f>
        <v>-</v>
      </c>
      <c r="M527" s="36" t="str">
        <f>IFERROR(IF(AND($Q$1=FALSE,$S$3=FALSE),"-",VLOOKUP($E527,'Status Thresholds'!$E:$AU,41,FALSE)),"-")</f>
        <v>-</v>
      </c>
      <c r="N527" s="36" t="str">
        <f>IFERROR(IF(AND($Q$1=FALSE,$S$3=FALSE),"-",VLOOKUP($E527,'Status Thresholds'!$E:$AU,42,FALSE)),"-")</f>
        <v>-</v>
      </c>
    </row>
    <row r="528" spans="1:14" x14ac:dyDescent="0.25">
      <c r="B528" s="64" t="str">
        <f>VLOOKUP(C528,'Status Thresholds'!B:C,2,FALSE)</f>
        <v>MHGen</v>
      </c>
      <c r="C528" s="46" t="str">
        <f>IF(ISBLANK('KO Calc'!C524)=TRUE,"",'KO Calc'!C524)</f>
        <v>Najarala</v>
      </c>
      <c r="D528" s="78" t="s">
        <v>213</v>
      </c>
      <c r="E528" s="62" t="str">
        <f t="shared" si="15"/>
        <v>NajaralaPitfall Trap</v>
      </c>
      <c r="F528" t="s">
        <v>12</v>
      </c>
      <c r="G528" s="36" t="str">
        <f t="shared" si="16"/>
        <v>NajaralaCrag 2</v>
      </c>
      <c r="H528" s="36" t="str">
        <f>IF(AND($Q$1=FALSE,$S$3=FALSE),"-",IF(AND($Q$1=TRUE,$S$3=TRUE),"-",IF(AND($Q$1=FALSE,$S$3=FALSE),"-",IF(AND($Q$1=TRUE,$S$1=TRUE,$S$4=FALSE)=TRUE,IF(OR($Q$4=TRUE,$Q$5=TRUE,$S$2=TRUE),VLOOKUP($G528,'KO Calc'!$H:$AW,12,FALSE),VLOOKUP($G528,'KO Calc'!$H534:$AW534,12,FALSE)),IF(AND($Q$1=TRUE,$S$4=FALSE),IF(OR($Q$4=TRUE,$Q$5=TRUE,$S$2=TRUE),VLOOKUP($G528,'KO Calc'!$H:$AW,2,FALSE),VLOOKUP($G528,'KO Calc'!$H534:$AW534,2,FALSE)),
IF(AND($Q$1=TRUE,$S$1=TRUE,$S$4=TRUE)=TRUE,IF(OR($Q$4=TRUE,$Q$5=TRUE,$S$2=TRUE),VLOOKUP($G528,'KO Calc'!$H:$AW,17,FALSE),VLOOKUP($G528,'KO Calc'!$H534:$AW534,17,FALSE)),IF(AND($Q$1=TRUE,$S$4=TRUE),IF(OR($Q$4=TRUE,$Q$5=TRUE,$S$2=TRUE),VLOOKUP($G528,'KO Calc'!$H:$AW,7,FALSE),VLOOKUP($G528,'KO Calc'!$H534:$AW534,7,FALSE)),
IF(AND($S$3=TRUE,$S$1=TRUE,$S$4=FALSE)=TRUE,IF(OR($Q$4=TRUE,$Q$5=TRUE,$S$2=TRUE),VLOOKUP($G528,'KO Calc'!$H:$AW,32,FALSE),VLOOKUP($G528,'KO Calc'!$H534:$AW534,32,FALSE)),IF(AND($S$3=TRUE,$S$4=FALSE),IF(OR($Q$4=TRUE,$Q$5=TRUE,$S$2=TRUE),VLOOKUP($G528,'KO Calc'!$H:$AW,22,FALSE),VLOOKUP($G528,'KO Calc'!$H534:$AW534,22,FALSE)),
IF(AND($S$3=TRUE,$S$1=TRUE,$S$4=TRUE)=TRUE,IF(OR($Q$4=TRUE,$Q$5=TRUE,$S$2=TRUE),VLOOKUP($G528,'KO Calc'!$H:$AW,37,FALSE),VLOOKUP($G528,'KO Calc'!$H534:$AW534,37,FALSE)),IF(AND($S$3=TRUE,$S$4=TRUE),IF(OR($Q$4=TRUE,$Q$5=TRUE,$S$2=TRUE),VLOOKUP($G528,'KO Calc'!$H:$AW,27,FALSE),VLOOKUP($G528,'KO Calc'!$H534:$AW534,27,FALSE)))))))))))))</f>
        <v>-</v>
      </c>
      <c r="I528" s="36" t="str">
        <f>IF(AND($Q$1=FALSE,$S$3=FALSE),"-",IF(AND($Q$1=TRUE,$S$3=TRUE),"-",IF(AND($Q$1=FALSE,$S$3=FALSE),"-",IF(AND($Q$1=TRUE,$S$1=TRUE,$S$4=FALSE)=TRUE,IF(OR($Q$4=TRUE,$Q$5=TRUE,$S$2=TRUE),VLOOKUP($G528,'KO Calc'!$H:$AW,13,FALSE),VLOOKUP($G528,'KO Calc'!$H534:$AW534,13,FALSE)),IF(AND($Q$1=TRUE,$S$4=FALSE),IF(OR($Q$4=TRUE,$Q$5=TRUE,$S$2=TRUE),VLOOKUP($G528,'KO Calc'!$H:$AW,3,FALSE),VLOOKUP($G528,'KO Calc'!$H534:$AW534,3,FALSE)),
IF(AND($Q$1=TRUE,$S$1=TRUE,$S$4=TRUE)=TRUE,IF(OR($Q$4=TRUE,$Q$5=TRUE,$S$2=TRUE),VLOOKUP($G528,'KO Calc'!$H:$AW,18,FALSE),VLOOKUP($G528,'KO Calc'!$H534:$AW534,18,FALSE)),IF(AND($Q$1=TRUE,$S$4=TRUE),IF(OR($Q$4=TRUE,$Q$5=TRUE,$S$2=TRUE),VLOOKUP($G528,'KO Calc'!$H:$AW,8,FALSE),VLOOKUP($G528,'KO Calc'!$H534:$AW534,8,FALSE)),
IF(AND($S$3=TRUE,$S$1=TRUE,$S$4=FALSE)=TRUE,IF(OR($Q$4=TRUE,$Q$5=TRUE,$S$2=TRUE),VLOOKUP($G528,'KO Calc'!$H:$AW,33,FALSE),VLOOKUP($G528,'KO Calc'!$H534:$AW534,33,FALSE)),IF(AND($S$3=TRUE,$S$4=FALSE),IF(OR($Q$4=TRUE,$Q$5=TRUE,$S$2=TRUE),VLOOKUP($G528,'KO Calc'!$H:$AW,23,FALSE),VLOOKUP($G528,'KO Calc'!$H534:$AW534,23,FALSE)),
IF(AND($S$3=TRUE,$S$1=TRUE,$S$4=TRUE)=TRUE,IF(OR($Q$4=TRUE,$Q$5=TRUE,$S$2=TRUE),VLOOKUP($G528,'KO Calc'!$H:$AW,38,FALSE),VLOOKUP($G528,'KO Calc'!$H534:$AW534,38,FALSE)),IF(AND($S$3=TRUE,$S$4=TRUE),IF(OR($Q$4=TRUE,$Q$5=TRUE,$S$2=TRUE),VLOOKUP($G528,'KO Calc'!$H:$AW,28,FALSE),VLOOKUP($G528,'KO Calc'!$H534:$AW534,28,FALSE)))))))))))))</f>
        <v>-</v>
      </c>
      <c r="J528" s="36" t="str">
        <f>IF(AND($Q$1=FALSE,$S$3=FALSE),"-",IF(AND($Q$1=TRUE,$S$3=TRUE),"-",IF(AND($Q$1=FALSE,$S$3=FALSE),"-",IF(AND($Q$1=TRUE,$S$1=TRUE,$S$4=FALSE)=TRUE,IF(OR($Q$4=TRUE,$Q$5=TRUE,$S$2=TRUE),VLOOKUP($G528,'KO Calc'!$H:$AW,FALSE),VLOOKUP($G528,'KO Calc'!$H534:$AW534,14,FALSE)),IF(AND($Q$1=TRUE,$S$4=FALSE),IF(OR($Q$4=TRUE,$Q$5=TRUE,$S$2=TRUE),VLOOKUP($G528,'KO Calc'!$H:$AW,4,FALSE),VLOOKUP($G528,'KO Calc'!$H534:$AW534,4,FALSE)),
IF(AND($Q$1=TRUE,$S$1=TRUE,$S$4=TRUE)=TRUE,IF(OR($Q$4=TRUE,$Q$5=TRUE,$S$2=TRUE),VLOOKUP($G528,'KO Calc'!$H:$AW,19,FALSE),VLOOKUP($G528,'KO Calc'!$H534:$AW534,19,FALSE)),IF(AND($Q$1=TRUE,$S$4=TRUE),IF(OR($Q$4=TRUE,$Q$5=TRUE,$S$2=TRUE),VLOOKUP($G528,'KO Calc'!$H:$AW,9,FALSE),VLOOKUP($G528,'KO Calc'!$H534:$AW534,9,FALSE)),
IF(AND($S$3=TRUE,$S$1=TRUE,$S$4=FALSE)=TRUE,IF(OR($Q$4=TRUE,$Q$5=TRUE,$S$2=TRUE),VLOOKUP($G528,'KO Calc'!$H:$AW,34,FALSE),VLOOKUP($G528,'KO Calc'!$H534:$AW534,34,FALSE)),IF(AND($S$3=TRUE,$S$4=FALSE),IF(OR($Q$4=TRUE,$Q$5=TRUE,$S$2=TRUE),VLOOKUP($G528,'KO Calc'!$H:$AW,24,FALSE),VLOOKUP($G528,'KO Calc'!$H534:$AW534,24,FALSE)),
IF(AND($S$3=TRUE,$S$1=TRUE,$S$4=TRUE)=TRUE,IF(OR($Q$4=TRUE,$Q$5=TRUE,$S$2=TRUE),VLOOKUP($G528,'KO Calc'!$H:$AW,39,FALSE),VLOOKUP($G528,'KO Calc'!$H534:$AW534,39,FALSE)),IF(AND($S$3=TRUE,$S$4=TRUE),IF(OR($Q$4=TRUE,$Q$5=TRUE,$S$2=TRUE),VLOOKUP($G528,'KO Calc'!$H:$AW,29,FALSE),VLOOKUP($G528,'KO Calc'!$H534:$AW534,29,FALSE)))))))))))))</f>
        <v>-</v>
      </c>
      <c r="K528" s="36" t="str">
        <f>IF(AND($Q$1=FALSE,$S$3=FALSE),"-",IF(AND($Q$1=TRUE,$S$3=TRUE),"-",IF(AND($Q$1=FALSE,$S$3=FALSE),"-",IF(AND($Q$1=TRUE,$S$1=TRUE,$S$4=FALSE)=TRUE,IF(OR($Q$4=TRUE,$Q$5=TRUE,$S$2=TRUE),VLOOKUP($G528,'KO Calc'!$H:$AW,15,FALSE),VLOOKUP($G528,'KO Calc'!$H534:$AW534,15,FALSE)),IF(AND($Q$1=TRUE,$S$4=FALSE),IF(OR($Q$4=TRUE,$Q$5=TRUE,$S$2=TRUE),VLOOKUP($G528,'KO Calc'!$H:$AW,5,FALSE),VLOOKUP($G528,'KO Calc'!$H534:$AW534,5,FALSE)),
IF(AND($Q$1=TRUE,$S$1=TRUE,$S$4=TRUE)=TRUE,IF(OR($Q$4=TRUE,$Q$5=TRUE,$S$2=TRUE),VLOOKUP($G528,'KO Calc'!$H:$AW,20,FALSE),VLOOKUP($G528,'KO Calc'!$H534:$AW534,20,FALSE)),IF(AND($Q$1=TRUE,$S$4=TRUE),IF(OR($Q$4=TRUE,$Q$5=TRUE,$S$2=TRUE),VLOOKUP($G528,'KO Calc'!$H:$AW,10,FALSE),VLOOKUP($G528,'KO Calc'!$H534:$AW534,10,FALSE)),
IF(AND($S$3=TRUE,$S$1=TRUE,$S$4=FALSE)=TRUE,IF(OR($Q$4=TRUE,$Q$5=TRUE,$S$2=TRUE),VLOOKUP($G528,'KO Calc'!$H:$AW,35,FALSE),VLOOKUP($G528,'KO Calc'!$H534:$AW534,35,FALSE)),IF(AND($S$3=TRUE,$S$4=FALSE),IF(OR($Q$4=TRUE,$Q$5=TRUE,$S$2=TRUE),VLOOKUP($G528,'KO Calc'!$H:$AW,25,FALSE),VLOOKUP($G528,'KO Calc'!$H534:$AW534,25,FALSE)),
IF(AND($S$3=TRUE,$S$1=TRUE,$S$4=TRUE)=TRUE,IF(OR($Q$4=TRUE,$Q$5=TRUE,$S$2=TRUE),VLOOKUP($G528,'KO Calc'!$H:$AW,40,FALSE),VLOOKUP($G528,'KO Calc'!$H534:$AW534,40,FALSE)),IF(AND($S$3=TRUE,$S$4=TRUE),IF(OR($Q$4=TRUE,$Q$5=TRUE,$S$2=TRUE),VLOOKUP($G528,'KO Calc'!$H:$AW,30,FALSE),VLOOKUP($G528,'KO Calc'!$H534:$AW534,30,FALSE)))))))))))))</f>
        <v>-</v>
      </c>
      <c r="L528" s="36" t="str">
        <f>IFERROR(IF(AND($Q$1=FALSE,$S$3=FALSE),"-",VLOOKUP($E528,'Status Thresholds'!$E:$AU,43,FALSE)),"-")</f>
        <v>-</v>
      </c>
      <c r="M528" s="36" t="str">
        <f>IFERROR(IF(AND($Q$1=FALSE,$S$3=FALSE),"-",VLOOKUP($E528,'Status Thresholds'!$E:$AU,41,FALSE)),"-")</f>
        <v>-</v>
      </c>
      <c r="N528" s="36" t="str">
        <f>IFERROR(IF(AND($Q$1=FALSE,$S$3=FALSE),"-",VLOOKUP($E528,'Status Thresholds'!$E:$AU,42,FALSE)),"-")</f>
        <v>-</v>
      </c>
    </row>
    <row r="529" spans="1:14" x14ac:dyDescent="0.25">
      <c r="B529" s="64" t="str">
        <f>VLOOKUP(C529,'Status Thresholds'!B:C,2,FALSE)</f>
        <v>MHGen</v>
      </c>
      <c r="C529" s="46" t="str">
        <f>IF(ISBLANK('KO Calc'!C525)=TRUE,"",'KO Calc'!C525)</f>
        <v>Najarala</v>
      </c>
      <c r="D529" s="78"/>
      <c r="E529" s="62" t="str">
        <f t="shared" si="15"/>
        <v>Najarala</v>
      </c>
      <c r="F529" t="s">
        <v>11</v>
      </c>
      <c r="G529" s="36" t="str">
        <f t="shared" si="16"/>
        <v>NajaralaCrag 1</v>
      </c>
      <c r="H529" s="36" t="str">
        <f>IF(AND($Q$1=FALSE,$S$3=FALSE),"-",IF(AND($Q$1=TRUE,$S$3=TRUE),"-",IF(AND($Q$1=FALSE,$S$3=FALSE),"-",IF(AND($Q$1=TRUE,$S$1=TRUE,$S$4=FALSE)=TRUE,IF(OR($Q$4=TRUE,$Q$5=TRUE,$S$2=TRUE),VLOOKUP($G529,'KO Calc'!$H:$AW,12,FALSE),VLOOKUP($G529,'KO Calc'!$H535:$AW535,12,FALSE)),IF(AND($Q$1=TRUE,$S$4=FALSE),IF(OR($Q$4=TRUE,$Q$5=TRUE,$S$2=TRUE),VLOOKUP($G529,'KO Calc'!$H:$AW,2,FALSE),VLOOKUP($G529,'KO Calc'!$H535:$AW535,2,FALSE)),
IF(AND($Q$1=TRUE,$S$1=TRUE,$S$4=TRUE)=TRUE,IF(OR($Q$4=TRUE,$Q$5=TRUE,$S$2=TRUE),VLOOKUP($G529,'KO Calc'!$H:$AW,17,FALSE),VLOOKUP($G529,'KO Calc'!$H535:$AW535,17,FALSE)),IF(AND($Q$1=TRUE,$S$4=TRUE),IF(OR($Q$4=TRUE,$Q$5=TRUE,$S$2=TRUE),VLOOKUP($G529,'KO Calc'!$H:$AW,7,FALSE),VLOOKUP($G529,'KO Calc'!$H535:$AW535,7,FALSE)),
IF(AND($S$3=TRUE,$S$1=TRUE,$S$4=FALSE)=TRUE,IF(OR($Q$4=TRUE,$Q$5=TRUE,$S$2=TRUE),VLOOKUP($G529,'KO Calc'!$H:$AW,32,FALSE),VLOOKUP($G529,'KO Calc'!$H535:$AW535,32,FALSE)),IF(AND($S$3=TRUE,$S$4=FALSE),IF(OR($Q$4=TRUE,$Q$5=TRUE,$S$2=TRUE),VLOOKUP($G529,'KO Calc'!$H:$AW,22,FALSE),VLOOKUP($G529,'KO Calc'!$H535:$AW535,22,FALSE)),
IF(AND($S$3=TRUE,$S$1=TRUE,$S$4=TRUE)=TRUE,IF(OR($Q$4=TRUE,$Q$5=TRUE,$S$2=TRUE),VLOOKUP($G529,'KO Calc'!$H:$AW,37,FALSE),VLOOKUP($G529,'KO Calc'!$H535:$AW535,37,FALSE)),IF(AND($S$3=TRUE,$S$4=TRUE),IF(OR($Q$4=TRUE,$Q$5=TRUE,$S$2=TRUE),VLOOKUP($G529,'KO Calc'!$H:$AW,27,FALSE),VLOOKUP($G529,'KO Calc'!$H535:$AW535,27,FALSE)))))))))))))</f>
        <v>-</v>
      </c>
      <c r="I529" s="36" t="str">
        <f>IF(AND($Q$1=FALSE,$S$3=FALSE),"-",IF(AND($Q$1=TRUE,$S$3=TRUE),"-",IF(AND($Q$1=FALSE,$S$3=FALSE),"-",IF(AND($Q$1=TRUE,$S$1=TRUE,$S$4=FALSE)=TRUE,IF(OR($Q$4=TRUE,$Q$5=TRUE,$S$2=TRUE),VLOOKUP($G529,'KO Calc'!$H:$AW,13,FALSE),VLOOKUP($G529,'KO Calc'!$H535:$AW535,13,FALSE)),IF(AND($Q$1=TRUE,$S$4=FALSE),IF(OR($Q$4=TRUE,$Q$5=TRUE,$S$2=TRUE),VLOOKUP($G529,'KO Calc'!$H:$AW,3,FALSE),VLOOKUP($G529,'KO Calc'!$H535:$AW535,3,FALSE)),
IF(AND($Q$1=TRUE,$S$1=TRUE,$S$4=TRUE)=TRUE,IF(OR($Q$4=TRUE,$Q$5=TRUE,$S$2=TRUE),VLOOKUP($G529,'KO Calc'!$H:$AW,18,FALSE),VLOOKUP($G529,'KO Calc'!$H535:$AW535,18,FALSE)),IF(AND($Q$1=TRUE,$S$4=TRUE),IF(OR($Q$4=TRUE,$Q$5=TRUE,$S$2=TRUE),VLOOKUP($G529,'KO Calc'!$H:$AW,8,FALSE),VLOOKUP($G529,'KO Calc'!$H535:$AW535,8,FALSE)),
IF(AND($S$3=TRUE,$S$1=TRUE,$S$4=FALSE)=TRUE,IF(OR($Q$4=TRUE,$Q$5=TRUE,$S$2=TRUE),VLOOKUP($G529,'KO Calc'!$H:$AW,33,FALSE),VLOOKUP($G529,'KO Calc'!$H535:$AW535,33,FALSE)),IF(AND($S$3=TRUE,$S$4=FALSE),IF(OR($Q$4=TRUE,$Q$5=TRUE,$S$2=TRUE),VLOOKUP($G529,'KO Calc'!$H:$AW,23,FALSE),VLOOKUP($G529,'KO Calc'!$H535:$AW535,23,FALSE)),
IF(AND($S$3=TRUE,$S$1=TRUE,$S$4=TRUE)=TRUE,IF(OR($Q$4=TRUE,$Q$5=TRUE,$S$2=TRUE),VLOOKUP($G529,'KO Calc'!$H:$AW,38,FALSE),VLOOKUP($G529,'KO Calc'!$H535:$AW535,38,FALSE)),IF(AND($S$3=TRUE,$S$4=TRUE),IF(OR($Q$4=TRUE,$Q$5=TRUE,$S$2=TRUE),VLOOKUP($G529,'KO Calc'!$H:$AW,28,FALSE),VLOOKUP($G529,'KO Calc'!$H535:$AW535,28,FALSE)))))))))))))</f>
        <v>-</v>
      </c>
      <c r="J529" s="36" t="str">
        <f>IF(AND($Q$1=FALSE,$S$3=FALSE),"-",IF(AND($Q$1=TRUE,$S$3=TRUE),"-",IF(AND($Q$1=FALSE,$S$3=FALSE),"-",IF(AND($Q$1=TRUE,$S$1=TRUE,$S$4=FALSE)=TRUE,IF(OR($Q$4=TRUE,$Q$5=TRUE,$S$2=TRUE),VLOOKUP($G529,'KO Calc'!$H:$AW,FALSE),VLOOKUP($G529,'KO Calc'!$H535:$AW535,14,FALSE)),IF(AND($Q$1=TRUE,$S$4=FALSE),IF(OR($Q$4=TRUE,$Q$5=TRUE,$S$2=TRUE),VLOOKUP($G529,'KO Calc'!$H:$AW,4,FALSE),VLOOKUP($G529,'KO Calc'!$H535:$AW535,4,FALSE)),
IF(AND($Q$1=TRUE,$S$1=TRUE,$S$4=TRUE)=TRUE,IF(OR($Q$4=TRUE,$Q$5=TRUE,$S$2=TRUE),VLOOKUP($G529,'KO Calc'!$H:$AW,19,FALSE),VLOOKUP($G529,'KO Calc'!$H535:$AW535,19,FALSE)),IF(AND($Q$1=TRUE,$S$4=TRUE),IF(OR($Q$4=TRUE,$Q$5=TRUE,$S$2=TRUE),VLOOKUP($G529,'KO Calc'!$H:$AW,9,FALSE),VLOOKUP($G529,'KO Calc'!$H535:$AW535,9,FALSE)),
IF(AND($S$3=TRUE,$S$1=TRUE,$S$4=FALSE)=TRUE,IF(OR($Q$4=TRUE,$Q$5=TRUE,$S$2=TRUE),VLOOKUP($G529,'KO Calc'!$H:$AW,34,FALSE),VLOOKUP($G529,'KO Calc'!$H535:$AW535,34,FALSE)),IF(AND($S$3=TRUE,$S$4=FALSE),IF(OR($Q$4=TRUE,$Q$5=TRUE,$S$2=TRUE),VLOOKUP($G529,'KO Calc'!$H:$AW,24,FALSE),VLOOKUP($G529,'KO Calc'!$H535:$AW535,24,FALSE)),
IF(AND($S$3=TRUE,$S$1=TRUE,$S$4=TRUE)=TRUE,IF(OR($Q$4=TRUE,$Q$5=TRUE,$S$2=TRUE),VLOOKUP($G529,'KO Calc'!$H:$AW,39,FALSE),VLOOKUP($G529,'KO Calc'!$H535:$AW535,39,FALSE)),IF(AND($S$3=TRUE,$S$4=TRUE),IF(OR($Q$4=TRUE,$Q$5=TRUE,$S$2=TRUE),VLOOKUP($G529,'KO Calc'!$H:$AW,29,FALSE),VLOOKUP($G529,'KO Calc'!$H535:$AW535,29,FALSE)))))))))))))</f>
        <v>-</v>
      </c>
      <c r="K529" s="36" t="str">
        <f>IF(AND($Q$1=FALSE,$S$3=FALSE),"-",IF(AND($Q$1=TRUE,$S$3=TRUE),"-",IF(AND($Q$1=FALSE,$S$3=FALSE),"-",IF(AND($Q$1=TRUE,$S$1=TRUE,$S$4=FALSE)=TRUE,IF(OR($Q$4=TRUE,$Q$5=TRUE,$S$2=TRUE),VLOOKUP($G529,'KO Calc'!$H:$AW,15,FALSE),VLOOKUP($G529,'KO Calc'!$H535:$AW535,15,FALSE)),IF(AND($Q$1=TRUE,$S$4=FALSE),IF(OR($Q$4=TRUE,$Q$5=TRUE,$S$2=TRUE),VLOOKUP($G529,'KO Calc'!$H:$AW,5,FALSE),VLOOKUP($G529,'KO Calc'!$H535:$AW535,5,FALSE)),
IF(AND($Q$1=TRUE,$S$1=TRUE,$S$4=TRUE)=TRUE,IF(OR($Q$4=TRUE,$Q$5=TRUE,$S$2=TRUE),VLOOKUP($G529,'KO Calc'!$H:$AW,20,FALSE),VLOOKUP($G529,'KO Calc'!$H535:$AW535,20,FALSE)),IF(AND($Q$1=TRUE,$S$4=TRUE),IF(OR($Q$4=TRUE,$Q$5=TRUE,$S$2=TRUE),VLOOKUP($G529,'KO Calc'!$H:$AW,10,FALSE),VLOOKUP($G529,'KO Calc'!$H535:$AW535,10,FALSE)),
IF(AND($S$3=TRUE,$S$1=TRUE,$S$4=FALSE)=TRUE,IF(OR($Q$4=TRUE,$Q$5=TRUE,$S$2=TRUE),VLOOKUP($G529,'KO Calc'!$H:$AW,35,FALSE),VLOOKUP($G529,'KO Calc'!$H535:$AW535,35,FALSE)),IF(AND($S$3=TRUE,$S$4=FALSE),IF(OR($Q$4=TRUE,$Q$5=TRUE,$S$2=TRUE),VLOOKUP($G529,'KO Calc'!$H:$AW,25,FALSE),VLOOKUP($G529,'KO Calc'!$H535:$AW535,25,FALSE)),
IF(AND($S$3=TRUE,$S$1=TRUE,$S$4=TRUE)=TRUE,IF(OR($Q$4=TRUE,$Q$5=TRUE,$S$2=TRUE),VLOOKUP($G529,'KO Calc'!$H:$AW,40,FALSE),VLOOKUP($G529,'KO Calc'!$H535:$AW535,40,FALSE)),IF(AND($S$3=TRUE,$S$4=TRUE),IF(OR($Q$4=TRUE,$Q$5=TRUE,$S$2=TRUE),VLOOKUP($G529,'KO Calc'!$H:$AW,30,FALSE),VLOOKUP($G529,'KO Calc'!$H535:$AW535,30,FALSE)))))))))))))</f>
        <v>-</v>
      </c>
      <c r="L529" s="36" t="str">
        <f>IFERROR(VLOOKUP($E529,'Status Thresholds'!$E:$AS,41,FALSE),"-")</f>
        <v>-</v>
      </c>
    </row>
    <row r="530" spans="1:14" x14ac:dyDescent="0.25">
      <c r="B530" s="64" t="str">
        <f>VLOOKUP(C530,'Status Thresholds'!B:C,2,FALSE)</f>
        <v>MHGen</v>
      </c>
      <c r="C530" s="46" t="str">
        <f>IF(ISBLANK('KO Calc'!C526)=TRUE,"",'KO Calc'!C526)</f>
        <v>Najarala</v>
      </c>
      <c r="D530" s="78"/>
      <c r="E530" s="62"/>
      <c r="G530" s="36"/>
      <c r="L530" s="36" t="str">
        <f>IFERROR(VLOOKUP($E530,'Status Thresholds'!$E:$AS,41,FALSE),"-")</f>
        <v>-</v>
      </c>
    </row>
    <row r="531" spans="1:14" s="36" customFormat="1" x14ac:dyDescent="0.25">
      <c r="B531" s="64" t="str">
        <f>VLOOKUP(C531,'Status Thresholds'!B:C,2,FALSE)</f>
        <v>MHGen</v>
      </c>
      <c r="C531" s="46" t="str">
        <f>IF(ISBLANK('KO Calc'!C527)=TRUE,"",'KO Calc'!C527)</f>
        <v>Nargacuga</v>
      </c>
      <c r="D531" s="65" t="s">
        <v>0</v>
      </c>
      <c r="E531" s="62" t="str">
        <f t="shared" si="15"/>
        <v>NargacugaPara</v>
      </c>
      <c r="F531" s="36" t="s">
        <v>2</v>
      </c>
      <c r="G531" s="36" t="str">
        <f t="shared" si="16"/>
        <v>NargacugaPara lvl 2</v>
      </c>
      <c r="H531" s="36" t="str">
        <f>IFERROR(ROUNDUP(IF(AND($Q$1=FALSE,$S$3=FALSE),"-",IF(AND($Q$1=TRUE,$S$3=TRUE),"-",IF(AND($Q$1=TRUE,$S$1=TRUE,$S$4=FALSE),VLOOKUP($E531,'Status Thresholds'!$E:$AS,12,FALSE),IF(AND($Q$1=TRUE,$S$4=FALSE),VLOOKUP($E531,'Status Thresholds'!$E:$AS,2,FALSE), IF(AND($Q$1=TRUE,$S$1=TRUE,$S$4=TRUE),VLOOKUP($E531,'Status Thresholds'!$E:$AS,17,FALSE),IF(AND($Q$1=TRUE,$S$4=TRUE),VLOOKUP($E531,'Status Thresholds'!$E:$AS,7,FALSE),IF(AND($S$3=TRUE,$S$1=TRUE,$S$4=FALSE),VLOOKUP($E531,'Status Thresholds'!$E:$AS,32,FALSE),IF(AND($S$3=TRUE,$S$4=FALSE),VLOOKUP($E531,'Status Thresholds'!$E:$AS,22,FALSE),IF(AND($S$3=TRUE,$S$1=TRUE,$S$4=TRUE),VLOOKUP($E531,'Status Thresholds'!$E:$AS,37,FALSE),IF(AND($S$3=TRUE,$S$4=TRUE),VLOOKUP($E531,'Status Thresholds'!$E:$AS,27,FALSE),""))))))))/IF(OR($Q$3=TRUE,AND($Q$2=TRUE,$Q$7=TRUE),AND($Q$3=TRUE,$Q$7=TRUE))=TRUE,'Shots and Status'!$F$5,IF((OR($Q$2,$Q$7)=TRUE),'Shots and Status'!$D$5,'Shots and Status'!$C$5)))),0),"-")</f>
        <v>-</v>
      </c>
      <c r="I531" s="36" t="str">
        <f>IFERROR(ROUNDUP(IF(AND($Q$1=FALSE,$S$3=FALSE),"-",IF(AND($Q$1=TRUE,$S$3=TRUE),"-",IF(AND($Q$1=TRUE,$S$1=TRUE,$S$4=FALSE),VLOOKUP($E531,'Status Thresholds'!$E:$AS,13,FALSE),IF(AND($Q$1=TRUE,$S$4=FALSE),VLOOKUP($E531,'Status Thresholds'!$E:$AS,3,FALSE), IF(AND($Q$1=TRUE,$S$1=TRUE,$S$4=TRUE),VLOOKUP($E531,'Status Thresholds'!$E:$AS,18,FALSE),IF(AND($Q$1=TRUE,$S$4=TRUE),VLOOKUP($E531,'Status Thresholds'!$E:$AS,8,FALSE),IF(AND($S$3=TRUE,$S$1=TRUE,$S$4=FALSE),VLOOKUP($E531,'Status Thresholds'!$E:$AS,33,FALSE),IF(AND($S$3=TRUE,$S$4=FALSE),VLOOKUP($E531,'Status Thresholds'!$E:$AS,23,FALSE),IF(AND($S$3=TRUE,$S$1=TRUE,$S$4=TRUE),VLOOKUP($E531,'Status Thresholds'!$E:$AS,38,FALSE),IF(AND($S$3=TRUE,$S$4=TRUE),VLOOKUP($E531,'Status Thresholds'!$E:$AS,28,FALSE),""))))))))/IF(OR($Q$3=TRUE,AND($Q$2=TRUE,$Q$7=TRUE),AND($Q$3=TRUE,$Q$7=TRUE))=TRUE,'Shots and Status'!$F$5,IF((OR($Q$2,$Q$7)=TRUE),'Shots and Status'!$D$5,'Shots and Status'!$C$5)))),0),"-")</f>
        <v>-</v>
      </c>
      <c r="J531" s="36" t="str">
        <f>IFERROR(ROUNDUP(IF(AND($Q$1=FALSE,$S$3=FALSE),"-",IF(AND($Q$1=TRUE,$S$3=TRUE),"-",IF(AND($Q$1=TRUE,$S$1=TRUE,$S$4=FALSE),VLOOKUP($E531,'Status Thresholds'!$E:$AS,14,FALSE),IF(AND($Q$1=TRUE,$S$4=FALSE),VLOOKUP($E531,'Status Thresholds'!$E:$AS,4,FALSE), IF(AND($Q$1=TRUE,$S$1=TRUE,$S$4=TRUE),VLOOKUP($E531,'Status Thresholds'!$E:$AS,19,FALSE),IF(AND($Q$1=TRUE,$S$4=TRUE),VLOOKUP($E531,'Status Thresholds'!$E:$AS,9,FALSE),IF(AND($S$3=TRUE,$S$1=TRUE,$S$4=FALSE),VLOOKUP($E531,'Status Thresholds'!$E:$AS,34,FALSE),IF(AND($S$3=TRUE,$S$4=FALSE),VLOOKUP($E531,'Status Thresholds'!$E:$AS,24,FALSE),IF(AND($S$3=TRUE,$S$1=TRUE,$S$4=TRUE),VLOOKUP($E531,'Status Thresholds'!$E:$AS,39,FALSE),IF(AND($S$3=TRUE,$S$4=TRUE),VLOOKUP($E531,'Status Thresholds'!$E:$AS,29,FALSE),""))))))))/IF(OR($Q$3=TRUE,AND($Q$2=TRUE,$Q$7=TRUE),AND($Q$3=TRUE,$Q$7=TRUE))=TRUE,'Shots and Status'!$F$5,IF((OR($Q$2,$Q$7)=TRUE),'Shots and Status'!$D$5,'Shots and Status'!$C$5)))),0),"-")</f>
        <v>-</v>
      </c>
      <c r="K531" s="36" t="str">
        <f>IFERROR(ROUNDUP(IF(AND($Q$1=FALSE,$S$3=FALSE),"-",IF(AND($Q$1=TRUE,$S$3=TRUE),"-",IF(AND($Q$1=TRUE,$S$1=TRUE,$S$4=FALSE),VLOOKUP($E531,'Status Thresholds'!$E:$AS,15,FALSE),IF(AND($Q$1=TRUE,$S$4=FALSE),VLOOKUP($E531,'Status Thresholds'!$E:$AS,5,FALSE), IF(AND($Q$1=TRUE,$S$1=TRUE,$S$4=TRUE),VLOOKUP($E531,'Status Thresholds'!$E:$AS,20,FALSE),IF(AND($Q$1=TRUE,$S$4=TRUE),VLOOKUP($E531,'Status Thresholds'!$E:$AS,10,FALSE),IF(AND($S$3=TRUE,$S$1=TRUE,$S$4=FALSE),VLOOKUP($E531,'Status Thresholds'!$E:$AS,35,FALSE),IF(AND($S$3=TRUE,$S$4=FALSE),VLOOKUP($E531,'Status Thresholds'!$E:$AS,25,FALSE),IF(AND($S$3=TRUE,$S$1=TRUE,$S$4=TRUE),VLOOKUP($E531,'Status Thresholds'!$E:$AS,40,FALSE),IF(AND($S$3=TRUE,$S$4=TRUE),VLOOKUP($E531,'Status Thresholds'!$E:$AS,30,FALSE),""))))))))/IF(OR($Q$3=TRUE,AND($Q$2=TRUE,$Q$7=TRUE),AND($Q$3=TRUE,$Q$7=TRUE))=TRUE,'Shots and Status'!$F$5,IF((OR($Q$2,$Q$7)=TRUE),'Shots and Status'!$D$5,'Shots and Status'!$C$5)))),0),"-")</f>
        <v>-</v>
      </c>
      <c r="L531" s="36" t="str">
        <f>IFERROR(IF(AND($Q$1=FALSE,$S$3=FALSE),"-",VLOOKUP($E531,'Status Thresholds'!$E:$AU,41,FALSE)),"-")</f>
        <v>-</v>
      </c>
      <c r="M531" s="36" t="str">
        <f>IFERROR(IF(AND($Q$1=FALSE,$S$3=FALSE),"-",VLOOKUP($E531,'Status Thresholds'!$E:$AU,42,FALSE)),"-")</f>
        <v>-</v>
      </c>
      <c r="N531" s="36" t="str">
        <f>IFERROR(IF(AND($Q$1=FALSE,$S$3=FALSE),"-",VLOOKUP($E531,'Status Thresholds'!$E:$AU,43,FALSE)),"-")</f>
        <v>-</v>
      </c>
    </row>
    <row r="532" spans="1:14" s="59" customFormat="1" x14ac:dyDescent="0.25">
      <c r="A532" s="46"/>
      <c r="B532" s="64" t="str">
        <f>VLOOKUP(C532,'Status Thresholds'!B:C,2,FALSE)</f>
        <v>MHGen</v>
      </c>
      <c r="C532" s="46" t="str">
        <f>IF(ISBLANK('KO Calc'!C528)=TRUE,"",'KO Calc'!C528)</f>
        <v>Nargacuga</v>
      </c>
      <c r="D532" s="60" t="s">
        <v>32</v>
      </c>
      <c r="E532" s="62" t="str">
        <f t="shared" si="15"/>
        <v>NargacugaSleep</v>
      </c>
      <c r="F532" s="59" t="s">
        <v>5</v>
      </c>
      <c r="G532" s="36" t="str">
        <f t="shared" si="16"/>
        <v>NargacugaSleep lvl 2</v>
      </c>
      <c r="H532" s="36" t="str">
        <f>IFERROR(ROUNDUP(IF(AND($Q$1=FALSE,$S$3=FALSE),"-",IF(AND($Q$1=TRUE,$S$3=TRUE),"-",IF(AND($Q$1=TRUE,$S$1=TRUE,$S$4=FALSE),VLOOKUP($E532,'Status Thresholds'!$E:$AS,12,FALSE),IF(AND($Q$1=TRUE,$S$4=FALSE),VLOOKUP($E532,'Status Thresholds'!$E:$AS,2,FALSE), IF(AND($Q$1=TRUE,$S$1=TRUE,$S$4=TRUE),VLOOKUP($E532,'Status Thresholds'!$E:$AS,17,FALSE),IF(AND($Q$1=TRUE,$S$4=TRUE),VLOOKUP($E532,'Status Thresholds'!$E:$AS,7,FALSE),IF(AND($S$3=TRUE,$S$1=TRUE,$S$4=FALSE),VLOOKUP($E532,'Status Thresholds'!$E:$AS,32,FALSE),IF(AND($S$3=TRUE,$S$4=FALSE),VLOOKUP($E532,'Status Thresholds'!$E:$AS,22,FALSE),IF(AND($S$3=TRUE,$S$1=TRUE,$S$4=TRUE),VLOOKUP($E532,'Status Thresholds'!$E:$AS,37,FALSE),IF(AND($S$3=TRUE,$S$4=TRUE),VLOOKUP($E532,'Status Thresholds'!$E:$AS,27,FALSE),""))))))))/IF(OR($Q$3=TRUE,AND($Q$2=TRUE,$Q$7=TRUE),AND($Q$3=TRUE,$Q$7=TRUE))=TRUE,'Shots and Status'!$F$5,IF((OR($Q$2,$Q$7)=TRUE),'Shots and Status'!$D$5,'Shots and Status'!$C$5)))),0),"-")</f>
        <v>-</v>
      </c>
      <c r="I532" s="36" t="str">
        <f>IFERROR(ROUNDUP(IF(AND($Q$1=FALSE,$S$3=FALSE),"-",IF(AND($Q$1=TRUE,$S$3=TRUE),"-",IF(AND($Q$1=TRUE,$S$1=TRUE,$S$4=FALSE),VLOOKUP($E532,'Status Thresholds'!$E:$AS,13,FALSE),IF(AND($Q$1=TRUE,$S$4=FALSE),VLOOKUP($E532,'Status Thresholds'!$E:$AS,3,FALSE), IF(AND($Q$1=TRUE,$S$1=TRUE,$S$4=TRUE),VLOOKUP($E532,'Status Thresholds'!$E:$AS,18,FALSE),IF(AND($Q$1=TRUE,$S$4=TRUE),VLOOKUP($E532,'Status Thresholds'!$E:$AS,8,FALSE),IF(AND($S$3=TRUE,$S$1=TRUE,$S$4=FALSE),VLOOKUP($E532,'Status Thresholds'!$E:$AS,33,FALSE),IF(AND($S$3=TRUE,$S$4=FALSE),VLOOKUP($E532,'Status Thresholds'!$E:$AS,23,FALSE),IF(AND($S$3=TRUE,$S$1=TRUE,$S$4=TRUE),VLOOKUP($E532,'Status Thresholds'!$E:$AS,38,FALSE),IF(AND($S$3=TRUE,$S$4=TRUE),VLOOKUP($E532,'Status Thresholds'!$E:$AS,28,FALSE),""))))))))/IF(OR($Q$3=TRUE,AND($Q$2=TRUE,$Q$7=TRUE),AND($Q$3=TRUE,$Q$7=TRUE))=TRUE,'Shots and Status'!$F$5,IF((OR($Q$2,$Q$7)=TRUE),'Shots and Status'!$D$5,'Shots and Status'!$C$5)))),0),"-")</f>
        <v>-</v>
      </c>
      <c r="J532" s="36" t="str">
        <f>IFERROR(ROUNDUP(IF(AND($Q$1=FALSE,$S$3=FALSE),"-",IF(AND($Q$1=TRUE,$S$3=TRUE),"-",IF(AND($Q$1=TRUE,$S$1=TRUE,$S$4=FALSE),VLOOKUP($E532,'Status Thresholds'!$E:$AS,14,FALSE),IF(AND($Q$1=TRUE,$S$4=FALSE),VLOOKUP($E532,'Status Thresholds'!$E:$AS,4,FALSE), IF(AND($Q$1=TRUE,$S$1=TRUE,$S$4=TRUE),VLOOKUP($E532,'Status Thresholds'!$E:$AS,19,FALSE),IF(AND($Q$1=TRUE,$S$4=TRUE),VLOOKUP($E532,'Status Thresholds'!$E:$AS,9,FALSE),IF(AND($S$3=TRUE,$S$1=TRUE,$S$4=FALSE),VLOOKUP($E532,'Status Thresholds'!$E:$AS,34,FALSE),IF(AND($S$3=TRUE,$S$4=FALSE),VLOOKUP($E532,'Status Thresholds'!$E:$AS,24,FALSE),IF(AND($S$3=TRUE,$S$1=TRUE,$S$4=TRUE),VLOOKUP($E532,'Status Thresholds'!$E:$AS,39,FALSE),IF(AND($S$3=TRUE,$S$4=TRUE),VLOOKUP($E532,'Status Thresholds'!$E:$AS,29,FALSE),""))))))))/IF(OR($Q$3=TRUE,AND($Q$2=TRUE,$Q$7=TRUE),AND($Q$3=TRUE,$Q$7=TRUE))=TRUE,'Shots and Status'!$F$5,IF((OR($Q$2,$Q$7)=TRUE),'Shots and Status'!$D$5,'Shots and Status'!$C$5)))),0),"-")</f>
        <v>-</v>
      </c>
      <c r="K532" s="36" t="str">
        <f>IFERROR(ROUNDUP(IF(AND($Q$1=FALSE,$S$3=FALSE),"-",IF(AND($Q$1=TRUE,$S$3=TRUE),"-",IF(AND($Q$1=TRUE,$S$1=TRUE,$S$4=FALSE),VLOOKUP($E532,'Status Thresholds'!$E:$AS,15,FALSE),IF(AND($Q$1=TRUE,$S$4=FALSE),VLOOKUP($E532,'Status Thresholds'!$E:$AS,5,FALSE), IF(AND($Q$1=TRUE,$S$1=TRUE,$S$4=TRUE),VLOOKUP($E532,'Status Thresholds'!$E:$AS,20,FALSE),IF(AND($Q$1=TRUE,$S$4=TRUE),VLOOKUP($E532,'Status Thresholds'!$E:$AS,10,FALSE),IF(AND($S$3=TRUE,$S$1=TRUE,$S$4=FALSE),VLOOKUP($E532,'Status Thresholds'!$E:$AS,35,FALSE),IF(AND($S$3=TRUE,$S$4=FALSE),VLOOKUP($E532,'Status Thresholds'!$E:$AS,25,FALSE),IF(AND($S$3=TRUE,$S$1=TRUE,$S$4=TRUE),VLOOKUP($E532,'Status Thresholds'!$E:$AS,40,FALSE),IF(AND($S$3=TRUE,$S$4=TRUE),VLOOKUP($E532,'Status Thresholds'!$E:$AS,30,FALSE),""))))))))/IF(OR($Q$3=TRUE,AND($Q$2=TRUE,$Q$7=TRUE),AND($Q$3=TRUE,$Q$7=TRUE))=TRUE,'Shots and Status'!$F$5,IF((OR($Q$2,$Q$7)=TRUE),'Shots and Status'!$D$5,'Shots and Status'!$C$5)))),0),"-")</f>
        <v>-</v>
      </c>
      <c r="L532" s="36" t="str">
        <f>IFERROR(IF(AND($Q$1=FALSE,$S$3=FALSE),"-",VLOOKUP($E532,'Status Thresholds'!$E:$AU,41,FALSE)),"-")</f>
        <v>-</v>
      </c>
      <c r="M532" s="36" t="str">
        <f>IFERROR(IF(AND($Q$1=FALSE,$S$3=FALSE),"-",VLOOKUP($E532,'Status Thresholds'!$E:$AU,42,FALSE)),"-")</f>
        <v>-</v>
      </c>
      <c r="N532" s="36" t="str">
        <f>IFERROR(IF(AND($Q$1=FALSE,$S$3=FALSE),"-",VLOOKUP($E532,'Status Thresholds'!$E:$AU,43,FALSE)),"-")</f>
        <v>-</v>
      </c>
    </row>
    <row r="533" spans="1:14" s="59" customFormat="1" x14ac:dyDescent="0.25">
      <c r="A533" s="46"/>
      <c r="B533" s="64" t="str">
        <f>VLOOKUP(C533,'Status Thresholds'!B:C,2,FALSE)</f>
        <v>MHGen</v>
      </c>
      <c r="C533" s="46" t="str">
        <f>IF(ISBLANK('KO Calc'!C529)=TRUE,"",'KO Calc'!C529)</f>
        <v>Nargacuga</v>
      </c>
      <c r="D533" s="58" t="s">
        <v>33</v>
      </c>
      <c r="E533" s="62" t="str">
        <f t="shared" si="15"/>
        <v>NargacugaPoison</v>
      </c>
      <c r="F533" s="59" t="s">
        <v>6</v>
      </c>
      <c r="G533" s="36" t="str">
        <f t="shared" si="16"/>
        <v>NargacugaPoison lvl 2</v>
      </c>
      <c r="H533" s="36" t="str">
        <f>IFERROR(ROUNDUP(IF(AND($Q$1=FALSE,$S$3=FALSE),"-",IF(AND($Q$1=TRUE,$S$3=TRUE),"-",IF(AND($Q$1=TRUE,$S$1=TRUE,$S$4=FALSE),VLOOKUP($E533,'Status Thresholds'!$E:$AS,12,FALSE),IF(AND($Q$1=TRUE,$S$4=FALSE),VLOOKUP($E533,'Status Thresholds'!$E:$AS,2,FALSE), IF(AND($Q$1=TRUE,$S$1=TRUE,$S$4=TRUE),VLOOKUP($E533,'Status Thresholds'!$E:$AS,17,FALSE),IF(AND($Q$1=TRUE,$S$4=TRUE),VLOOKUP($E533,'Status Thresholds'!$E:$AS,7,FALSE),IF(AND($S$3=TRUE,$S$1=TRUE,$S$4=FALSE),VLOOKUP($E533,'Status Thresholds'!$E:$AS,32,FALSE),IF(AND($S$3=TRUE,$S$4=FALSE),VLOOKUP($E533,'Status Thresholds'!$E:$AS,22,FALSE),IF(AND($S$3=TRUE,$S$1=TRUE,$S$4=TRUE),VLOOKUP($E533,'Status Thresholds'!$E:$AS,37,FALSE),IF(AND($S$3=TRUE,$S$4=TRUE),VLOOKUP($E533,'Status Thresholds'!$E:$AS,27,FALSE),""))))))))/IF(OR($Q$3=TRUE,AND($Q$2=TRUE,$Q$7=TRUE),AND($Q$3=TRUE,$Q$7=TRUE))=TRUE,'Shots and Status'!$F$5,IF((OR($Q$2,$Q$7)=TRUE),'Shots and Status'!$D$5,'Shots and Status'!$C$5)))),0),"-")</f>
        <v>-</v>
      </c>
      <c r="I533" s="36" t="str">
        <f>IFERROR(ROUNDUP(IF(AND($Q$1=FALSE,$S$3=FALSE),"-",IF(AND($Q$1=TRUE,$S$3=TRUE),"-",IF(AND($Q$1=TRUE,$S$1=TRUE,$S$4=FALSE),VLOOKUP($E533,'Status Thresholds'!$E:$AS,13,FALSE),IF(AND($Q$1=TRUE,$S$4=FALSE),VLOOKUP($E533,'Status Thresholds'!$E:$AS,3,FALSE), IF(AND($Q$1=TRUE,$S$1=TRUE,$S$4=TRUE),VLOOKUP($E533,'Status Thresholds'!$E:$AS,18,FALSE),IF(AND($Q$1=TRUE,$S$4=TRUE),VLOOKUP($E533,'Status Thresholds'!$E:$AS,8,FALSE),IF(AND($S$3=TRUE,$S$1=TRUE,$S$4=FALSE),VLOOKUP($E533,'Status Thresholds'!$E:$AS,33,FALSE),IF(AND($S$3=TRUE,$S$4=FALSE),VLOOKUP($E533,'Status Thresholds'!$E:$AS,23,FALSE),IF(AND($S$3=TRUE,$S$1=TRUE,$S$4=TRUE),VLOOKUP($E533,'Status Thresholds'!$E:$AS,38,FALSE),IF(AND($S$3=TRUE,$S$4=TRUE),VLOOKUP($E533,'Status Thresholds'!$E:$AS,28,FALSE),""))))))))/IF(OR($Q$3=TRUE,AND($Q$2=TRUE,$Q$7=TRUE),AND($Q$3=TRUE,$Q$7=TRUE))=TRUE,'Shots and Status'!$F$5,IF((OR($Q$2,$Q$7)=TRUE),'Shots and Status'!$D$5,'Shots and Status'!$C$5)))),0),"-")</f>
        <v>-</v>
      </c>
      <c r="J533" s="36" t="str">
        <f>IFERROR(ROUNDUP(IF(AND($Q$1=FALSE,$S$3=FALSE),"-",IF(AND($Q$1=TRUE,$S$3=TRUE),"-",IF(AND($Q$1=TRUE,$S$1=TRUE,$S$4=FALSE),VLOOKUP($E533,'Status Thresholds'!$E:$AS,14,FALSE),IF(AND($Q$1=TRUE,$S$4=FALSE),VLOOKUP($E533,'Status Thresholds'!$E:$AS,4,FALSE), IF(AND($Q$1=TRUE,$S$1=TRUE,$S$4=TRUE),VLOOKUP($E533,'Status Thresholds'!$E:$AS,19,FALSE),IF(AND($Q$1=TRUE,$S$4=TRUE),VLOOKUP($E533,'Status Thresholds'!$E:$AS,9,FALSE),IF(AND($S$3=TRUE,$S$1=TRUE,$S$4=FALSE),VLOOKUP($E533,'Status Thresholds'!$E:$AS,34,FALSE),IF(AND($S$3=TRUE,$S$4=FALSE),VLOOKUP($E533,'Status Thresholds'!$E:$AS,24,FALSE),IF(AND($S$3=TRUE,$S$1=TRUE,$S$4=TRUE),VLOOKUP($E533,'Status Thresholds'!$E:$AS,39,FALSE),IF(AND($S$3=TRUE,$S$4=TRUE),VLOOKUP($E533,'Status Thresholds'!$E:$AS,29,FALSE),""))))))))/IF(OR($Q$3=TRUE,AND($Q$2=TRUE,$Q$7=TRUE),AND($Q$3=TRUE,$Q$7=TRUE))=TRUE,'Shots and Status'!$F$5,IF((OR($Q$2,$Q$7)=TRUE),'Shots and Status'!$D$5,'Shots and Status'!$C$5)))),0),"-")</f>
        <v>-</v>
      </c>
      <c r="K533" s="36" t="str">
        <f>IFERROR(ROUNDUP(IF(AND($Q$1=FALSE,$S$3=FALSE),"-",IF(AND($Q$1=TRUE,$S$3=TRUE),"-",IF(AND($Q$1=TRUE,$S$1=TRUE,$S$4=FALSE),VLOOKUP($E533,'Status Thresholds'!$E:$AS,15,FALSE),IF(AND($Q$1=TRUE,$S$4=FALSE),VLOOKUP($E533,'Status Thresholds'!$E:$AS,5,FALSE), IF(AND($Q$1=TRUE,$S$1=TRUE,$S$4=TRUE),VLOOKUP($E533,'Status Thresholds'!$E:$AS,20,FALSE),IF(AND($Q$1=TRUE,$S$4=TRUE),VLOOKUP($E533,'Status Thresholds'!$E:$AS,10,FALSE),IF(AND($S$3=TRUE,$S$1=TRUE,$S$4=FALSE),VLOOKUP($E533,'Status Thresholds'!$E:$AS,35,FALSE),IF(AND($S$3=TRUE,$S$4=FALSE),VLOOKUP($E533,'Status Thresholds'!$E:$AS,25,FALSE),IF(AND($S$3=TRUE,$S$1=TRUE,$S$4=TRUE),VLOOKUP($E533,'Status Thresholds'!$E:$AS,40,FALSE),IF(AND($S$3=TRUE,$S$4=TRUE),VLOOKUP($E533,'Status Thresholds'!$E:$AS,30,FALSE),""))))))))/IF(OR($Q$3=TRUE,AND($Q$2=TRUE,$Q$7=TRUE),AND($Q$3=TRUE,$Q$7=TRUE))=TRUE,'Shots and Status'!$F$5,IF((OR($Q$2,$Q$7)=TRUE),'Shots and Status'!$D$5,'Shots and Status'!$C$5)))),0),"-")</f>
        <v>-</v>
      </c>
      <c r="L533" s="36" t="str">
        <f>IFERROR(IF(AND($Q$1=FALSE,$S$3=FALSE),"-",VLOOKUP($E533,'Status Thresholds'!$E:$AU,41,FALSE)),"-")</f>
        <v>-</v>
      </c>
      <c r="M533" s="36" t="str">
        <f>IFERROR(IF(AND($Q$1=FALSE,$S$3=FALSE),"-",VLOOKUP($E533,'Status Thresholds'!$E:$AU,42,FALSE)),"-")</f>
        <v>-</v>
      </c>
      <c r="N533" s="36" t="str">
        <f>IFERROR(IF(AND($Q$1=FALSE,$S$3=FALSE),"-",VLOOKUP($E533,'Status Thresholds'!$E:$AU,43,FALSE)),"-")</f>
        <v>-</v>
      </c>
    </row>
    <row r="534" spans="1:14" s="36" customFormat="1" x14ac:dyDescent="0.25">
      <c r="A534" s="46"/>
      <c r="B534" s="64" t="str">
        <f>VLOOKUP(C534,'Status Thresholds'!B:C,2,FALSE)</f>
        <v>MHGen</v>
      </c>
      <c r="C534" s="46" t="str">
        <f>IF(ISBLANK('KO Calc'!C530)=TRUE,"",'KO Calc'!C530)</f>
        <v>Nargacuga</v>
      </c>
      <c r="D534" s="57" t="s">
        <v>22</v>
      </c>
      <c r="E534" s="62" t="str">
        <f t="shared" si="15"/>
        <v>NargacugaExhaust</v>
      </c>
      <c r="F534" s="36" t="s">
        <v>8</v>
      </c>
      <c r="G534" s="36" t="str">
        <f t="shared" si="16"/>
        <v>NargacugaExhaust lvl 2</v>
      </c>
      <c r="H534" s="36" t="str">
        <f>IFERROR(ROUNDUP(IF(AND($Q$1=FALSE,$S$3=FALSE),"-",IF(AND($Q$1=TRUE,$S$3=TRUE),"-",IF(AND($Q$1=TRUE,$S$1=TRUE,$S$4=FALSE),VLOOKUP($E534,'Status Thresholds'!$E:$AS,12,FALSE),IF(AND($Q$1=TRUE,$S$4=FALSE),VLOOKUP($E534,'Status Thresholds'!$E:$AS,2,FALSE), IF(AND($Q$1=TRUE,$S$1=TRUE,$S$4=TRUE),VLOOKUP($E534,'Status Thresholds'!$E:$AS,17,FALSE),IF(AND($Q$1=TRUE,$S$4=TRUE),VLOOKUP($E534,'Status Thresholds'!$E:$AS,7,FALSE),IF(AND($S$3=TRUE,$S$1=TRUE,$S$4=FALSE),VLOOKUP($E534,'Status Thresholds'!$E:$AS,32,FALSE),IF(AND($S$3=TRUE,$S$4=FALSE),VLOOKUP($E534,'Status Thresholds'!$E:$AS,22,FALSE),IF(AND($S$3=TRUE,$S$1=TRUE,$S$4=TRUE),VLOOKUP($E534,'Status Thresholds'!$E:$AS,37,FALSE),IF(AND($S$3=TRUE,$S$4=TRUE),VLOOKUP($E534,'Status Thresholds'!$E:$AS,27,FALSE),""))))))))/IF(OR($Q$3=TRUE,AND($Q$2=TRUE,$Q$7=TRUE),AND($Q$3=TRUE,$Q$7=TRUE))=TRUE,'Shots and Status'!$F$5,IF((OR($Q$2,$Q$7)=TRUE),'Shots and Status'!$D$5,'Shots and Status'!$C$5)))),0),"-")</f>
        <v>-</v>
      </c>
      <c r="I534" s="36" t="str">
        <f>IFERROR(ROUNDUP(IF(AND($Q$1=FALSE,$S$3=FALSE),"-",IF(AND($Q$1=TRUE,$S$3=TRUE),"-",IF(AND($Q$1=TRUE,$S$1=TRUE,$S$4=FALSE),VLOOKUP($E534,'Status Thresholds'!$E:$AS,13,FALSE),IF(AND($Q$1=TRUE,$S$4=FALSE),VLOOKUP($E534,'Status Thresholds'!$E:$AS,3,FALSE), IF(AND($Q$1=TRUE,$S$1=TRUE,$S$4=TRUE),VLOOKUP($E534,'Status Thresholds'!$E:$AS,18,FALSE),IF(AND($Q$1=TRUE,$S$4=TRUE),VLOOKUP($E534,'Status Thresholds'!$E:$AS,8,FALSE),IF(AND($S$3=TRUE,$S$1=TRUE,$S$4=FALSE),VLOOKUP($E534,'Status Thresholds'!$E:$AS,33,FALSE),IF(AND($S$3=TRUE,$S$4=FALSE),VLOOKUP($E534,'Status Thresholds'!$E:$AS,23,FALSE),IF(AND($S$3=TRUE,$S$1=TRUE,$S$4=TRUE),VLOOKUP($E534,'Status Thresholds'!$E:$AS,38,FALSE),IF(AND($S$3=TRUE,$S$4=TRUE),VLOOKUP($E534,'Status Thresholds'!$E:$AS,28,FALSE),""))))))))/IF(OR($Q$3=TRUE,AND($Q$2=TRUE,$Q$7=TRUE),AND($Q$3=TRUE,$Q$7=TRUE))=TRUE,'Shots and Status'!$F$5,IF((OR($Q$2,$Q$7)=TRUE),'Shots and Status'!$D$5,'Shots and Status'!$C$5)))),0),"-")</f>
        <v>-</v>
      </c>
      <c r="J534" s="36" t="str">
        <f>IFERROR(ROUNDUP(IF(AND($Q$1=FALSE,$S$3=FALSE),"-",IF(AND($Q$1=TRUE,$S$3=TRUE),"-",IF(AND($Q$1=TRUE,$S$1=TRUE,$S$4=FALSE),VLOOKUP($E534,'Status Thresholds'!$E:$AS,14,FALSE),IF(AND($Q$1=TRUE,$S$4=FALSE),VLOOKUP($E534,'Status Thresholds'!$E:$AS,4,FALSE), IF(AND($Q$1=TRUE,$S$1=TRUE,$S$4=TRUE),VLOOKUP($E534,'Status Thresholds'!$E:$AS,19,FALSE),IF(AND($Q$1=TRUE,$S$4=TRUE),VLOOKUP($E534,'Status Thresholds'!$E:$AS,9,FALSE),IF(AND($S$3=TRUE,$S$1=TRUE,$S$4=FALSE),VLOOKUP($E534,'Status Thresholds'!$E:$AS,34,FALSE),IF(AND($S$3=TRUE,$S$4=FALSE),VLOOKUP($E534,'Status Thresholds'!$E:$AS,24,FALSE),IF(AND($S$3=TRUE,$S$1=TRUE,$S$4=TRUE),VLOOKUP($E534,'Status Thresholds'!$E:$AS,39,FALSE),IF(AND($S$3=TRUE,$S$4=TRUE),VLOOKUP($E534,'Status Thresholds'!$E:$AS,29,FALSE),""))))))))/IF(OR($Q$3=TRUE,AND($Q$2=TRUE,$Q$7=TRUE),AND($Q$3=TRUE,$Q$7=TRUE))=TRUE,'Shots and Status'!$F$5,IF((OR($Q$2,$Q$7)=TRUE),'Shots and Status'!$D$5,'Shots and Status'!$C$5)))),0),"-")</f>
        <v>-</v>
      </c>
      <c r="K534" s="36" t="str">
        <f>IFERROR(ROUNDUP(IF(AND($Q$1=FALSE,$S$3=FALSE),"-",IF(AND($Q$1=TRUE,$S$3=TRUE),"-",IF(AND($Q$1=TRUE,$S$1=TRUE,$S$4=FALSE),VLOOKUP($E534,'Status Thresholds'!$E:$AS,15,FALSE),IF(AND($Q$1=TRUE,$S$4=FALSE),VLOOKUP($E534,'Status Thresholds'!$E:$AS,5,FALSE), IF(AND($Q$1=TRUE,$S$1=TRUE,$S$4=TRUE),VLOOKUP($E534,'Status Thresholds'!$E:$AS,20,FALSE),IF(AND($Q$1=TRUE,$S$4=TRUE),VLOOKUP($E534,'Status Thresholds'!$E:$AS,10,FALSE),IF(AND($S$3=TRUE,$S$1=TRUE,$S$4=FALSE),VLOOKUP($E534,'Status Thresholds'!$E:$AS,35,FALSE),IF(AND($S$3=TRUE,$S$4=FALSE),VLOOKUP($E534,'Status Thresholds'!$E:$AS,25,FALSE),IF(AND($S$3=TRUE,$S$1=TRUE,$S$4=TRUE),VLOOKUP($E534,'Status Thresholds'!$E:$AS,40,FALSE),IF(AND($S$3=TRUE,$S$4=TRUE),VLOOKUP($E534,'Status Thresholds'!$E:$AS,30,FALSE),""))))))))/IF(OR($Q$3=TRUE,AND($Q$2=TRUE,$Q$7=TRUE),AND($Q$3=TRUE,$Q$7=TRUE))=TRUE,'Shots and Status'!$F$5,IF((OR($Q$2,$Q$7)=TRUE),'Shots and Status'!$D$5,'Shots and Status'!$C$5)))),0),"-")</f>
        <v>-</v>
      </c>
      <c r="L534" s="36" t="str">
        <f>IFERROR(IF(AND($Q$1=FALSE,$S$3=FALSE),"-",VLOOKUP($E534,'Status Thresholds'!$E:$AU,41,FALSE)),"-")</f>
        <v>-</v>
      </c>
      <c r="M534" s="36" t="str">
        <f>IFERROR(IF(AND($Q$1=FALSE,$S$3=FALSE),"-",VLOOKUP($E534,'Status Thresholds'!$E:$AU,42,FALSE)),"-")</f>
        <v>-</v>
      </c>
      <c r="N534" s="36" t="str">
        <f>IFERROR(IF(AND($Q$1=FALSE,$S$3=FALSE),"-",VLOOKUP($E534,'Status Thresholds'!$E:$AU,43,FALSE)),"-")</f>
        <v>-</v>
      </c>
    </row>
    <row r="535" spans="1:14" s="36" customFormat="1" x14ac:dyDescent="0.25">
      <c r="A535" s="46"/>
      <c r="B535" s="64" t="str">
        <f>VLOOKUP(C535,'Status Thresholds'!B:C,2,FALSE)</f>
        <v>MHGen</v>
      </c>
      <c r="C535" s="46" t="str">
        <f>IF(ISBLANK('KO Calc'!C531)=TRUE,"",'KO Calc'!C531)</f>
        <v>Nargacuga</v>
      </c>
      <c r="D535" s="67" t="s">
        <v>14</v>
      </c>
      <c r="E535" s="62" t="str">
        <f t="shared" si="15"/>
        <v>NargacugaKO</v>
      </c>
      <c r="F535" s="36" t="s">
        <v>21</v>
      </c>
      <c r="G535" s="36" t="str">
        <f t="shared" si="16"/>
        <v>NargacugaTriblast</v>
      </c>
      <c r="H535" s="36" t="str">
        <f>IF(AND($Q$1=FALSE,$S$3=FALSE),"-",IF(AND($Q$1=TRUE,$S$3=TRUE),"-",IF(AND($Q$1=FALSE,$S$3=FALSE),"-",IF(AND($Q$1=TRUE,$S$1=TRUE,$S$4=FALSE)=TRUE,IF(OR($Q$4=TRUE,$Q$5=TRUE,$S$2=TRUE),VLOOKUP($G535,'KO Calc'!$H:$AW,12,FALSE),VLOOKUP($G535,'KO Calc'!$H541:$AW541,12,FALSE)),IF(AND($Q$1=TRUE,$S$4=FALSE),IF(OR($Q$4=TRUE,$Q$5=TRUE,$S$2=TRUE),VLOOKUP($G535,'KO Calc'!$H:$AW,2,FALSE),VLOOKUP($G535,'KO Calc'!$H541:$AW541,2,FALSE)),
IF(AND($Q$1=TRUE,$S$1=TRUE,$S$4=TRUE)=TRUE,IF(OR($Q$4=TRUE,$Q$5=TRUE,$S$2=TRUE),VLOOKUP($G535,'KO Calc'!$H:$AW,17,FALSE),VLOOKUP($G535,'KO Calc'!$H541:$AW541,17,FALSE)),IF(AND($Q$1=TRUE,$S$4=TRUE),IF(OR($Q$4=TRUE,$Q$5=TRUE,$S$2=TRUE),VLOOKUP($G535,'KO Calc'!$H:$AW,7,FALSE),VLOOKUP($G535,'KO Calc'!$H541:$AW541,7,FALSE)),
IF(AND($S$3=TRUE,$S$1=TRUE,$S$4=FALSE)=TRUE,IF(OR($Q$4=TRUE,$Q$5=TRUE,$S$2=TRUE),VLOOKUP($G535,'KO Calc'!$H:$AW,32,FALSE),VLOOKUP($G535,'KO Calc'!$H541:$AW541,32,FALSE)),IF(AND($S$3=TRUE,$S$4=FALSE),IF(OR($Q$4=TRUE,$Q$5=TRUE,$S$2=TRUE),VLOOKUP($G535,'KO Calc'!$H:$AW,22,FALSE),VLOOKUP($G535,'KO Calc'!$H541:$AW541,22,FALSE)),
IF(AND($S$3=TRUE,$S$1=TRUE,$S$4=TRUE)=TRUE,IF(OR($Q$4=TRUE,$Q$5=TRUE,$S$2=TRUE),VLOOKUP($G535,'KO Calc'!$H:$AW,37,FALSE),VLOOKUP($G535,'KO Calc'!$H541:$AW541,37,FALSE)),IF(AND($S$3=TRUE,$S$4=TRUE),IF(OR($Q$4=TRUE,$Q$5=TRUE,$S$2=TRUE),VLOOKUP($G535,'KO Calc'!$H:$AW,27,FALSE),VLOOKUP($G535,'KO Calc'!$H541:$AW541,27,FALSE)))))))))))))</f>
        <v>-</v>
      </c>
      <c r="I535" s="36" t="str">
        <f>IF(AND($Q$1=FALSE,$S$3=FALSE),"-",IF(AND($Q$1=TRUE,$S$3=TRUE),"-",IF(AND($Q$1=FALSE,$S$3=FALSE),"-",IF(AND($Q$1=TRUE,$S$1=TRUE,$S$4=FALSE)=TRUE,IF(OR($Q$4=TRUE,$Q$5=TRUE,$S$2=TRUE),VLOOKUP($G535,'KO Calc'!$H:$AW,13,FALSE),VLOOKUP($G535,'KO Calc'!$H541:$AW541,13,FALSE)),IF(AND($Q$1=TRUE,$S$4=FALSE),IF(OR($Q$4=TRUE,$Q$5=TRUE,$S$2=TRUE),VLOOKUP($G535,'KO Calc'!$H:$AW,3,FALSE),VLOOKUP($G535,'KO Calc'!$H541:$AW541,3,FALSE)),
IF(AND($Q$1=TRUE,$S$1=TRUE,$S$4=TRUE)=TRUE,IF(OR($Q$4=TRUE,$Q$5=TRUE,$S$2=TRUE),VLOOKUP($G535,'KO Calc'!$H:$AW,18,FALSE),VLOOKUP($G535,'KO Calc'!$H541:$AW541,18,FALSE)),IF(AND($Q$1=TRUE,$S$4=TRUE),IF(OR($Q$4=TRUE,$Q$5=TRUE,$S$2=TRUE),VLOOKUP($G535,'KO Calc'!$H:$AW,8,FALSE),VLOOKUP($G535,'KO Calc'!$H541:$AW541,8,FALSE)),
IF(AND($S$3=TRUE,$S$1=TRUE,$S$4=FALSE)=TRUE,IF(OR($Q$4=TRUE,$Q$5=TRUE,$S$2=TRUE),VLOOKUP($G535,'KO Calc'!$H:$AW,33,FALSE),VLOOKUP($G535,'KO Calc'!$H541:$AW541,33,FALSE)),IF(AND($S$3=TRUE,$S$4=FALSE),IF(OR($Q$4=TRUE,$Q$5=TRUE,$S$2=TRUE),VLOOKUP($G535,'KO Calc'!$H:$AW,23,FALSE),VLOOKUP($G535,'KO Calc'!$H541:$AW541,23,FALSE)),
IF(AND($S$3=TRUE,$S$1=TRUE,$S$4=TRUE)=TRUE,IF(OR($Q$4=TRUE,$Q$5=TRUE,$S$2=TRUE),VLOOKUP($G535,'KO Calc'!$H:$AW,38,FALSE),VLOOKUP($G535,'KO Calc'!$H541:$AW541,38,FALSE)),IF(AND($S$3=TRUE,$S$4=TRUE),IF(OR($Q$4=TRUE,$Q$5=TRUE,$S$2=TRUE),VLOOKUP($G535,'KO Calc'!$H:$AW,28,FALSE),VLOOKUP($G535,'KO Calc'!$H541:$AW541,28,FALSE)))))))))))))</f>
        <v>-</v>
      </c>
      <c r="J535" s="36" t="str">
        <f>IF(AND($Q$1=FALSE,$S$3=FALSE),"-",IF(AND($Q$1=TRUE,$S$3=TRUE),"-",IF(AND($Q$1=FALSE,$S$3=FALSE),"-",IF(AND($Q$1=TRUE,$S$1=TRUE,$S$4=FALSE)=TRUE,IF(OR($Q$4=TRUE,$Q$5=TRUE,$S$2=TRUE),VLOOKUP($G535,'KO Calc'!$H:$AW,FALSE),VLOOKUP($G535,'KO Calc'!$H541:$AW541,14,FALSE)),IF(AND($Q$1=TRUE,$S$4=FALSE),IF(OR($Q$4=TRUE,$Q$5=TRUE,$S$2=TRUE),VLOOKUP($G535,'KO Calc'!$H:$AW,4,FALSE),VLOOKUP($G535,'KO Calc'!$H541:$AW541,4,FALSE)),
IF(AND($Q$1=TRUE,$S$1=TRUE,$S$4=TRUE)=TRUE,IF(OR($Q$4=TRUE,$Q$5=TRUE,$S$2=TRUE),VLOOKUP($G535,'KO Calc'!$H:$AW,19,FALSE),VLOOKUP($G535,'KO Calc'!$H541:$AW541,19,FALSE)),IF(AND($Q$1=TRUE,$S$4=TRUE),IF(OR($Q$4=TRUE,$Q$5=TRUE,$S$2=TRUE),VLOOKUP($G535,'KO Calc'!$H:$AW,9,FALSE),VLOOKUP($G535,'KO Calc'!$H541:$AW541,9,FALSE)),
IF(AND($S$3=TRUE,$S$1=TRUE,$S$4=FALSE)=TRUE,IF(OR($Q$4=TRUE,$Q$5=TRUE,$S$2=TRUE),VLOOKUP($G535,'KO Calc'!$H:$AW,34,FALSE),VLOOKUP($G535,'KO Calc'!$H541:$AW541,34,FALSE)),IF(AND($S$3=TRUE,$S$4=FALSE),IF(OR($Q$4=TRUE,$Q$5=TRUE,$S$2=TRUE),VLOOKUP($G535,'KO Calc'!$H:$AW,24,FALSE),VLOOKUP($G535,'KO Calc'!$H541:$AW541,24,FALSE)),
IF(AND($S$3=TRUE,$S$1=TRUE,$S$4=TRUE)=TRUE,IF(OR($Q$4=TRUE,$Q$5=TRUE,$S$2=TRUE),VLOOKUP($G535,'KO Calc'!$H:$AW,39,FALSE),VLOOKUP($G535,'KO Calc'!$H541:$AW541,39,FALSE)),IF(AND($S$3=TRUE,$S$4=TRUE),IF(OR($Q$4=TRUE,$Q$5=TRUE,$S$2=TRUE),VLOOKUP($G535,'KO Calc'!$H:$AW,29,FALSE),VLOOKUP($G535,'KO Calc'!$H541:$AW541,29,FALSE)))))))))))))</f>
        <v>-</v>
      </c>
      <c r="K535" s="36" t="str">
        <f>IF(AND($Q$1=FALSE,$S$3=FALSE),"-",IF(AND($Q$1=TRUE,$S$3=TRUE),"-",IF(AND($Q$1=FALSE,$S$3=FALSE),"-",IF(AND($Q$1=TRUE,$S$1=TRUE,$S$4=FALSE)=TRUE,IF(OR($Q$4=TRUE,$Q$5=TRUE,$S$2=TRUE),VLOOKUP($G535,'KO Calc'!$H:$AW,15,FALSE),VLOOKUP($G535,'KO Calc'!$H541:$AW541,15,FALSE)),IF(AND($Q$1=TRUE,$S$4=FALSE),IF(OR($Q$4=TRUE,$Q$5=TRUE,$S$2=TRUE),VLOOKUP($G535,'KO Calc'!$H:$AW,5,FALSE),VLOOKUP($G535,'KO Calc'!$H541:$AW541,5,FALSE)),
IF(AND($Q$1=TRUE,$S$1=TRUE,$S$4=TRUE)=TRUE,IF(OR($Q$4=TRUE,$Q$5=TRUE,$S$2=TRUE),VLOOKUP($G535,'KO Calc'!$H:$AW,20,FALSE),VLOOKUP($G535,'KO Calc'!$H541:$AW541,20,FALSE)),IF(AND($Q$1=TRUE,$S$4=TRUE),IF(OR($Q$4=TRUE,$Q$5=TRUE,$S$2=TRUE),VLOOKUP($G535,'KO Calc'!$H:$AW,10,FALSE),VLOOKUP($G535,'KO Calc'!$H541:$AW541,10,FALSE)),
IF(AND($S$3=TRUE,$S$1=TRUE,$S$4=FALSE)=TRUE,IF(OR($Q$4=TRUE,$Q$5=TRUE,$S$2=TRUE),VLOOKUP($G535,'KO Calc'!$H:$AW,35,FALSE),VLOOKUP($G535,'KO Calc'!$H541:$AW541,35,FALSE)),IF(AND($S$3=TRUE,$S$4=FALSE),IF(OR($Q$4=TRUE,$Q$5=TRUE,$S$2=TRUE),VLOOKUP($G535,'KO Calc'!$H:$AW,25,FALSE),VLOOKUP($G535,'KO Calc'!$H541:$AW541,25,FALSE)),
IF(AND($S$3=TRUE,$S$1=TRUE,$S$4=TRUE)=TRUE,IF(OR($Q$4=TRUE,$Q$5=TRUE,$S$2=TRUE),VLOOKUP($G535,'KO Calc'!$H:$AW,40,FALSE),VLOOKUP($G535,'KO Calc'!$H541:$AW541,40,FALSE)),IF(AND($S$3=TRUE,$S$4=TRUE),IF(OR($Q$4=TRUE,$Q$5=TRUE,$S$2=TRUE),VLOOKUP($G535,'KO Calc'!$H:$AW,30,FALSE),VLOOKUP($G535,'KO Calc'!$H541:$AW541,30,FALSE)))))))))))))</f>
        <v>-</v>
      </c>
      <c r="L535" s="36" t="str">
        <f>IFERROR(IF(AND($Q$1=FALSE,$S$3=FALSE),"-",VLOOKUP($E535,'Status Thresholds'!$E:$AU,41,FALSE)),"-")</f>
        <v>-</v>
      </c>
      <c r="M535" s="36" t="str">
        <f>IFERROR(IF(AND($Q$1=FALSE,$S$3=FALSE),"-",VLOOKUP($E535,'Status Thresholds'!$E:$AU,42,FALSE)),"-")</f>
        <v>-</v>
      </c>
      <c r="N535" s="36" t="str">
        <f>IFERROR(IF(AND($Q$1=FALSE,$S$3=FALSE),"-",VLOOKUP($E535,'Status Thresholds'!$E:$AU,43,FALSE)),"-")</f>
        <v>-</v>
      </c>
    </row>
    <row r="536" spans="1:14" x14ac:dyDescent="0.25">
      <c r="B536" s="64" t="str">
        <f>VLOOKUP(C536,'Status Thresholds'!B:C,2,FALSE)</f>
        <v>MHGen</v>
      </c>
      <c r="C536" s="46" t="str">
        <f>IF(ISBLANK('KO Calc'!C532)=TRUE,"",'KO Calc'!C532)</f>
        <v>Nargacuga</v>
      </c>
      <c r="D536" s="78" t="s">
        <v>207</v>
      </c>
      <c r="E536" s="62" t="str">
        <f t="shared" si="15"/>
        <v>NargacugaShock Trap</v>
      </c>
      <c r="F536" t="s">
        <v>13</v>
      </c>
      <c r="G536" s="36" t="str">
        <f t="shared" si="16"/>
        <v>NargacugaCrag 3</v>
      </c>
      <c r="H536" s="36" t="str">
        <f>IF(AND($Q$1=FALSE,$S$3=FALSE),"-",IF(AND($Q$1=TRUE,$S$3=TRUE),"-",IF(AND($Q$1=FALSE,$S$3=FALSE),"-",IF(AND($Q$1=TRUE,$S$1=TRUE,$S$4=FALSE)=TRUE,IF(OR($Q$4=TRUE,$Q$5=TRUE,$S$2=TRUE),VLOOKUP($G536,'KO Calc'!$H:$AW,12,FALSE),VLOOKUP($G536,'KO Calc'!$H542:$AW542,12,FALSE)),IF(AND($Q$1=TRUE,$S$4=FALSE),IF(OR($Q$4=TRUE,$Q$5=TRUE,$S$2=TRUE),VLOOKUP($G536,'KO Calc'!$H:$AW,2,FALSE),VLOOKUP($G536,'KO Calc'!$H542:$AW542,2,FALSE)),
IF(AND($Q$1=TRUE,$S$1=TRUE,$S$4=TRUE)=TRUE,IF(OR($Q$4=TRUE,$Q$5=TRUE,$S$2=TRUE),VLOOKUP($G536,'KO Calc'!$H:$AW,17,FALSE),VLOOKUP($G536,'KO Calc'!$H542:$AW542,17,FALSE)),IF(AND($Q$1=TRUE,$S$4=TRUE),IF(OR($Q$4=TRUE,$Q$5=TRUE,$S$2=TRUE),VLOOKUP($G536,'KO Calc'!$H:$AW,7,FALSE),VLOOKUP($G536,'KO Calc'!$H542:$AW542,7,FALSE)),
IF(AND($S$3=TRUE,$S$1=TRUE,$S$4=FALSE)=TRUE,IF(OR($Q$4=TRUE,$Q$5=TRUE,$S$2=TRUE),VLOOKUP($G536,'KO Calc'!$H:$AW,32,FALSE),VLOOKUP($G536,'KO Calc'!$H542:$AW542,32,FALSE)),IF(AND($S$3=TRUE,$S$4=FALSE),IF(OR($Q$4=TRUE,$Q$5=TRUE,$S$2=TRUE),VLOOKUP($G536,'KO Calc'!$H:$AW,22,FALSE),VLOOKUP($G536,'KO Calc'!$H542:$AW542,22,FALSE)),
IF(AND($S$3=TRUE,$S$1=TRUE,$S$4=TRUE)=TRUE,IF(OR($Q$4=TRUE,$Q$5=TRUE,$S$2=TRUE),VLOOKUP($G536,'KO Calc'!$H:$AW,37,FALSE),VLOOKUP($G536,'KO Calc'!$H542:$AW542,37,FALSE)),IF(AND($S$3=TRUE,$S$4=TRUE),IF(OR($Q$4=TRUE,$Q$5=TRUE,$S$2=TRUE),VLOOKUP($G536,'KO Calc'!$H:$AW,27,FALSE),VLOOKUP($G536,'KO Calc'!$H542:$AW542,27,FALSE)))))))))))))</f>
        <v>-</v>
      </c>
      <c r="I536" s="36" t="str">
        <f>IF(AND($Q$1=FALSE,$S$3=FALSE),"-",IF(AND($Q$1=TRUE,$S$3=TRUE),"-",IF(AND($Q$1=FALSE,$S$3=FALSE),"-",IF(AND($Q$1=TRUE,$S$1=TRUE,$S$4=FALSE)=TRUE,IF(OR($Q$4=TRUE,$Q$5=TRUE,$S$2=TRUE),VLOOKUP($G536,'KO Calc'!$H:$AW,13,FALSE),VLOOKUP($G536,'KO Calc'!$H542:$AW542,13,FALSE)),IF(AND($Q$1=TRUE,$S$4=FALSE),IF(OR($Q$4=TRUE,$Q$5=TRUE,$S$2=TRUE),VLOOKUP($G536,'KO Calc'!$H:$AW,3,FALSE),VLOOKUP($G536,'KO Calc'!$H542:$AW542,3,FALSE)),
IF(AND($Q$1=TRUE,$S$1=TRUE,$S$4=TRUE)=TRUE,IF(OR($Q$4=TRUE,$Q$5=TRUE,$S$2=TRUE),VLOOKUP($G536,'KO Calc'!$H:$AW,18,FALSE),VLOOKUP($G536,'KO Calc'!$H542:$AW542,18,FALSE)),IF(AND($Q$1=TRUE,$S$4=TRUE),IF(OR($Q$4=TRUE,$Q$5=TRUE,$S$2=TRUE),VLOOKUP($G536,'KO Calc'!$H:$AW,8,FALSE),VLOOKUP($G536,'KO Calc'!$H542:$AW542,8,FALSE)),
IF(AND($S$3=TRUE,$S$1=TRUE,$S$4=FALSE)=TRUE,IF(OR($Q$4=TRUE,$Q$5=TRUE,$S$2=TRUE),VLOOKUP($G536,'KO Calc'!$H:$AW,33,FALSE),VLOOKUP($G536,'KO Calc'!$H542:$AW542,33,FALSE)),IF(AND($S$3=TRUE,$S$4=FALSE),IF(OR($Q$4=TRUE,$Q$5=TRUE,$S$2=TRUE),VLOOKUP($G536,'KO Calc'!$H:$AW,23,FALSE),VLOOKUP($G536,'KO Calc'!$H542:$AW542,23,FALSE)),
IF(AND($S$3=TRUE,$S$1=TRUE,$S$4=TRUE)=TRUE,IF(OR($Q$4=TRUE,$Q$5=TRUE,$S$2=TRUE),VLOOKUP($G536,'KO Calc'!$H:$AW,38,FALSE),VLOOKUP($G536,'KO Calc'!$H542:$AW542,38,FALSE)),IF(AND($S$3=TRUE,$S$4=TRUE),IF(OR($Q$4=TRUE,$Q$5=TRUE,$S$2=TRUE),VLOOKUP($G536,'KO Calc'!$H:$AW,28,FALSE),VLOOKUP($G536,'KO Calc'!$H542:$AW542,28,FALSE)))))))))))))</f>
        <v>-</v>
      </c>
      <c r="J536" s="36" t="str">
        <f>IF(AND($Q$1=FALSE,$S$3=FALSE),"-",IF(AND($Q$1=TRUE,$S$3=TRUE),"-",IF(AND($Q$1=FALSE,$S$3=FALSE),"-",IF(AND($Q$1=TRUE,$S$1=TRUE,$S$4=FALSE)=TRUE,IF(OR($Q$4=TRUE,$Q$5=TRUE,$S$2=TRUE),VLOOKUP($G536,'KO Calc'!$H:$AW,FALSE),VLOOKUP($G536,'KO Calc'!$H542:$AW542,14,FALSE)),IF(AND($Q$1=TRUE,$S$4=FALSE),IF(OR($Q$4=TRUE,$Q$5=TRUE,$S$2=TRUE),VLOOKUP($G536,'KO Calc'!$H:$AW,4,FALSE),VLOOKUP($G536,'KO Calc'!$H542:$AW542,4,FALSE)),
IF(AND($Q$1=TRUE,$S$1=TRUE,$S$4=TRUE)=TRUE,IF(OR($Q$4=TRUE,$Q$5=TRUE,$S$2=TRUE),VLOOKUP($G536,'KO Calc'!$H:$AW,19,FALSE),VLOOKUP($G536,'KO Calc'!$H542:$AW542,19,FALSE)),IF(AND($Q$1=TRUE,$S$4=TRUE),IF(OR($Q$4=TRUE,$Q$5=TRUE,$S$2=TRUE),VLOOKUP($G536,'KO Calc'!$H:$AW,9,FALSE),VLOOKUP($G536,'KO Calc'!$H542:$AW542,9,FALSE)),
IF(AND($S$3=TRUE,$S$1=TRUE,$S$4=FALSE)=TRUE,IF(OR($Q$4=TRUE,$Q$5=TRUE,$S$2=TRUE),VLOOKUP($G536,'KO Calc'!$H:$AW,34,FALSE),VLOOKUP($G536,'KO Calc'!$H542:$AW542,34,FALSE)),IF(AND($S$3=TRUE,$S$4=FALSE),IF(OR($Q$4=TRUE,$Q$5=TRUE,$S$2=TRUE),VLOOKUP($G536,'KO Calc'!$H:$AW,24,FALSE),VLOOKUP($G536,'KO Calc'!$H542:$AW542,24,FALSE)),
IF(AND($S$3=TRUE,$S$1=TRUE,$S$4=TRUE)=TRUE,IF(OR($Q$4=TRUE,$Q$5=TRUE,$S$2=TRUE),VLOOKUP($G536,'KO Calc'!$H:$AW,39,FALSE),VLOOKUP($G536,'KO Calc'!$H542:$AW542,39,FALSE)),IF(AND($S$3=TRUE,$S$4=TRUE),IF(OR($Q$4=TRUE,$Q$5=TRUE,$S$2=TRUE),VLOOKUP($G536,'KO Calc'!$H:$AW,29,FALSE),VLOOKUP($G536,'KO Calc'!$H542:$AW542,29,FALSE)))))))))))))</f>
        <v>-</v>
      </c>
      <c r="K536" s="36" t="str">
        <f>IF(AND($Q$1=FALSE,$S$3=FALSE),"-",IF(AND($Q$1=TRUE,$S$3=TRUE),"-",IF(AND($Q$1=FALSE,$S$3=FALSE),"-",IF(AND($Q$1=TRUE,$S$1=TRUE,$S$4=FALSE)=TRUE,IF(OR($Q$4=TRUE,$Q$5=TRUE,$S$2=TRUE),VLOOKUP($G536,'KO Calc'!$H:$AW,15,FALSE),VLOOKUP($G536,'KO Calc'!$H542:$AW542,15,FALSE)),IF(AND($Q$1=TRUE,$S$4=FALSE),IF(OR($Q$4=TRUE,$Q$5=TRUE,$S$2=TRUE),VLOOKUP($G536,'KO Calc'!$H:$AW,5,FALSE),VLOOKUP($G536,'KO Calc'!$H542:$AW542,5,FALSE)),
IF(AND($Q$1=TRUE,$S$1=TRUE,$S$4=TRUE)=TRUE,IF(OR($Q$4=TRUE,$Q$5=TRUE,$S$2=TRUE),VLOOKUP($G536,'KO Calc'!$H:$AW,20,FALSE),VLOOKUP($G536,'KO Calc'!$H542:$AW542,20,FALSE)),IF(AND($Q$1=TRUE,$S$4=TRUE),IF(OR($Q$4=TRUE,$Q$5=TRUE,$S$2=TRUE),VLOOKUP($G536,'KO Calc'!$H:$AW,10,FALSE),VLOOKUP($G536,'KO Calc'!$H542:$AW542,10,FALSE)),
IF(AND($S$3=TRUE,$S$1=TRUE,$S$4=FALSE)=TRUE,IF(OR($Q$4=TRUE,$Q$5=TRUE,$S$2=TRUE),VLOOKUP($G536,'KO Calc'!$H:$AW,35,FALSE),VLOOKUP($G536,'KO Calc'!$H542:$AW542,35,FALSE)),IF(AND($S$3=TRUE,$S$4=FALSE),IF(OR($Q$4=TRUE,$Q$5=TRUE,$S$2=TRUE),VLOOKUP($G536,'KO Calc'!$H:$AW,25,FALSE),VLOOKUP($G536,'KO Calc'!$H542:$AW542,25,FALSE)),
IF(AND($S$3=TRUE,$S$1=TRUE,$S$4=TRUE)=TRUE,IF(OR($Q$4=TRUE,$Q$5=TRUE,$S$2=TRUE),VLOOKUP($G536,'KO Calc'!$H:$AW,40,FALSE),VLOOKUP($G536,'KO Calc'!$H542:$AW542,40,FALSE)),IF(AND($S$3=TRUE,$S$4=TRUE),IF(OR($Q$4=TRUE,$Q$5=TRUE,$S$2=TRUE),VLOOKUP($G536,'KO Calc'!$H:$AW,30,FALSE),VLOOKUP($G536,'KO Calc'!$H542:$AW542,30,FALSE)))))))))))))</f>
        <v>-</v>
      </c>
      <c r="L536" s="36" t="str">
        <f>IFERROR(IF(AND($Q$1=FALSE,$S$3=FALSE),"-",VLOOKUP($E536,'Status Thresholds'!$E:$AU,43,FALSE)),"-")</f>
        <v>-</v>
      </c>
      <c r="M536" s="36" t="str">
        <f>IFERROR(IF(AND($Q$1=FALSE,$S$3=FALSE),"-",VLOOKUP($E536,'Status Thresholds'!$E:$AU,41,FALSE)),"-")</f>
        <v>-</v>
      </c>
      <c r="N536" s="36" t="str">
        <f>IFERROR(IF(AND($Q$1=FALSE,$S$3=FALSE),"-",VLOOKUP($E536,'Status Thresholds'!$E:$AU,42,FALSE)),"-")</f>
        <v>-</v>
      </c>
    </row>
    <row r="537" spans="1:14" x14ac:dyDescent="0.25">
      <c r="B537" s="64" t="str">
        <f>VLOOKUP(C537,'Status Thresholds'!B:C,2,FALSE)</f>
        <v>MHGen</v>
      </c>
      <c r="C537" s="46" t="str">
        <f>IF(ISBLANK('KO Calc'!C533)=TRUE,"",'KO Calc'!C533)</f>
        <v>Nargacuga</v>
      </c>
      <c r="D537" s="78" t="s">
        <v>213</v>
      </c>
      <c r="E537" s="62" t="str">
        <f t="shared" si="15"/>
        <v>NargacugaPitfall Trap</v>
      </c>
      <c r="F537" t="s">
        <v>12</v>
      </c>
      <c r="G537" s="36" t="str">
        <f t="shared" si="16"/>
        <v>NargacugaCrag 2</v>
      </c>
      <c r="H537" s="36" t="str">
        <f>IF(AND($Q$1=FALSE,$S$3=FALSE),"-",IF(AND($Q$1=TRUE,$S$3=TRUE),"-",IF(AND($Q$1=FALSE,$S$3=FALSE),"-",IF(AND($Q$1=TRUE,$S$1=TRUE,$S$4=FALSE)=TRUE,IF(OR($Q$4=TRUE,$Q$5=TRUE,$S$2=TRUE),VLOOKUP($G537,'KO Calc'!$H:$AW,12,FALSE),VLOOKUP($G537,'KO Calc'!$H543:$AW543,12,FALSE)),IF(AND($Q$1=TRUE,$S$4=FALSE),IF(OR($Q$4=TRUE,$Q$5=TRUE,$S$2=TRUE),VLOOKUP($G537,'KO Calc'!$H:$AW,2,FALSE),VLOOKUP($G537,'KO Calc'!$H543:$AW543,2,FALSE)),
IF(AND($Q$1=TRUE,$S$1=TRUE,$S$4=TRUE)=TRUE,IF(OR($Q$4=TRUE,$Q$5=TRUE,$S$2=TRUE),VLOOKUP($G537,'KO Calc'!$H:$AW,17,FALSE),VLOOKUP($G537,'KO Calc'!$H543:$AW543,17,FALSE)),IF(AND($Q$1=TRUE,$S$4=TRUE),IF(OR($Q$4=TRUE,$Q$5=TRUE,$S$2=TRUE),VLOOKUP($G537,'KO Calc'!$H:$AW,7,FALSE),VLOOKUP($G537,'KO Calc'!$H543:$AW543,7,FALSE)),
IF(AND($S$3=TRUE,$S$1=TRUE,$S$4=FALSE)=TRUE,IF(OR($Q$4=TRUE,$Q$5=TRUE,$S$2=TRUE),VLOOKUP($G537,'KO Calc'!$H:$AW,32,FALSE),VLOOKUP($G537,'KO Calc'!$H543:$AW543,32,FALSE)),IF(AND($S$3=TRUE,$S$4=FALSE),IF(OR($Q$4=TRUE,$Q$5=TRUE,$S$2=TRUE),VLOOKUP($G537,'KO Calc'!$H:$AW,22,FALSE),VLOOKUP($G537,'KO Calc'!$H543:$AW543,22,FALSE)),
IF(AND($S$3=TRUE,$S$1=TRUE,$S$4=TRUE)=TRUE,IF(OR($Q$4=TRUE,$Q$5=TRUE,$S$2=TRUE),VLOOKUP($G537,'KO Calc'!$H:$AW,37,FALSE),VLOOKUP($G537,'KO Calc'!$H543:$AW543,37,FALSE)),IF(AND($S$3=TRUE,$S$4=TRUE),IF(OR($Q$4=TRUE,$Q$5=TRUE,$S$2=TRUE),VLOOKUP($G537,'KO Calc'!$H:$AW,27,FALSE),VLOOKUP($G537,'KO Calc'!$H543:$AW543,27,FALSE)))))))))))))</f>
        <v>-</v>
      </c>
      <c r="I537" s="36" t="str">
        <f>IF(AND($Q$1=FALSE,$S$3=FALSE),"-",IF(AND($Q$1=TRUE,$S$3=TRUE),"-",IF(AND($Q$1=FALSE,$S$3=FALSE),"-",IF(AND($Q$1=TRUE,$S$1=TRUE,$S$4=FALSE)=TRUE,IF(OR($Q$4=TRUE,$Q$5=TRUE,$S$2=TRUE),VLOOKUP($G537,'KO Calc'!$H:$AW,13,FALSE),VLOOKUP($G537,'KO Calc'!$H543:$AW543,13,FALSE)),IF(AND($Q$1=TRUE,$S$4=FALSE),IF(OR($Q$4=TRUE,$Q$5=TRUE,$S$2=TRUE),VLOOKUP($G537,'KO Calc'!$H:$AW,3,FALSE),VLOOKUP($G537,'KO Calc'!$H543:$AW543,3,FALSE)),
IF(AND($Q$1=TRUE,$S$1=TRUE,$S$4=TRUE)=TRUE,IF(OR($Q$4=TRUE,$Q$5=TRUE,$S$2=TRUE),VLOOKUP($G537,'KO Calc'!$H:$AW,18,FALSE),VLOOKUP($G537,'KO Calc'!$H543:$AW543,18,FALSE)),IF(AND($Q$1=TRUE,$S$4=TRUE),IF(OR($Q$4=TRUE,$Q$5=TRUE,$S$2=TRUE),VLOOKUP($G537,'KO Calc'!$H:$AW,8,FALSE),VLOOKUP($G537,'KO Calc'!$H543:$AW543,8,FALSE)),
IF(AND($S$3=TRUE,$S$1=TRUE,$S$4=FALSE)=TRUE,IF(OR($Q$4=TRUE,$Q$5=TRUE,$S$2=TRUE),VLOOKUP($G537,'KO Calc'!$H:$AW,33,FALSE),VLOOKUP($G537,'KO Calc'!$H543:$AW543,33,FALSE)),IF(AND($S$3=TRUE,$S$4=FALSE),IF(OR($Q$4=TRUE,$Q$5=TRUE,$S$2=TRUE),VLOOKUP($G537,'KO Calc'!$H:$AW,23,FALSE),VLOOKUP($G537,'KO Calc'!$H543:$AW543,23,FALSE)),
IF(AND($S$3=TRUE,$S$1=TRUE,$S$4=TRUE)=TRUE,IF(OR($Q$4=TRUE,$Q$5=TRUE,$S$2=TRUE),VLOOKUP($G537,'KO Calc'!$H:$AW,38,FALSE),VLOOKUP($G537,'KO Calc'!$H543:$AW543,38,FALSE)),IF(AND($S$3=TRUE,$S$4=TRUE),IF(OR($Q$4=TRUE,$Q$5=TRUE,$S$2=TRUE),VLOOKUP($G537,'KO Calc'!$H:$AW,28,FALSE),VLOOKUP($G537,'KO Calc'!$H543:$AW543,28,FALSE)))))))))))))</f>
        <v>-</v>
      </c>
      <c r="J537" s="36" t="str">
        <f>IF(AND($Q$1=FALSE,$S$3=FALSE),"-",IF(AND($Q$1=TRUE,$S$3=TRUE),"-",IF(AND($Q$1=FALSE,$S$3=FALSE),"-",IF(AND($Q$1=TRUE,$S$1=TRUE,$S$4=FALSE)=TRUE,IF(OR($Q$4=TRUE,$Q$5=TRUE,$S$2=TRUE),VLOOKUP($G537,'KO Calc'!$H:$AW,FALSE),VLOOKUP($G537,'KO Calc'!$H543:$AW543,14,FALSE)),IF(AND($Q$1=TRUE,$S$4=FALSE),IF(OR($Q$4=TRUE,$Q$5=TRUE,$S$2=TRUE),VLOOKUP($G537,'KO Calc'!$H:$AW,4,FALSE),VLOOKUP($G537,'KO Calc'!$H543:$AW543,4,FALSE)),
IF(AND($Q$1=TRUE,$S$1=TRUE,$S$4=TRUE)=TRUE,IF(OR($Q$4=TRUE,$Q$5=TRUE,$S$2=TRUE),VLOOKUP($G537,'KO Calc'!$H:$AW,19,FALSE),VLOOKUP($G537,'KO Calc'!$H543:$AW543,19,FALSE)),IF(AND($Q$1=TRUE,$S$4=TRUE),IF(OR($Q$4=TRUE,$Q$5=TRUE,$S$2=TRUE),VLOOKUP($G537,'KO Calc'!$H:$AW,9,FALSE),VLOOKUP($G537,'KO Calc'!$H543:$AW543,9,FALSE)),
IF(AND($S$3=TRUE,$S$1=TRUE,$S$4=FALSE)=TRUE,IF(OR($Q$4=TRUE,$Q$5=TRUE,$S$2=TRUE),VLOOKUP($G537,'KO Calc'!$H:$AW,34,FALSE),VLOOKUP($G537,'KO Calc'!$H543:$AW543,34,FALSE)),IF(AND($S$3=TRUE,$S$4=FALSE),IF(OR($Q$4=TRUE,$Q$5=TRUE,$S$2=TRUE),VLOOKUP($G537,'KO Calc'!$H:$AW,24,FALSE),VLOOKUP($G537,'KO Calc'!$H543:$AW543,24,FALSE)),
IF(AND($S$3=TRUE,$S$1=TRUE,$S$4=TRUE)=TRUE,IF(OR($Q$4=TRUE,$Q$5=TRUE,$S$2=TRUE),VLOOKUP($G537,'KO Calc'!$H:$AW,39,FALSE),VLOOKUP($G537,'KO Calc'!$H543:$AW543,39,FALSE)),IF(AND($S$3=TRUE,$S$4=TRUE),IF(OR($Q$4=TRUE,$Q$5=TRUE,$S$2=TRUE),VLOOKUP($G537,'KO Calc'!$H:$AW,29,FALSE),VLOOKUP($G537,'KO Calc'!$H543:$AW543,29,FALSE)))))))))))))</f>
        <v>-</v>
      </c>
      <c r="K537" s="36" t="str">
        <f>IF(AND($Q$1=FALSE,$S$3=FALSE),"-",IF(AND($Q$1=TRUE,$S$3=TRUE),"-",IF(AND($Q$1=FALSE,$S$3=FALSE),"-",IF(AND($Q$1=TRUE,$S$1=TRUE,$S$4=FALSE)=TRUE,IF(OR($Q$4=TRUE,$Q$5=TRUE,$S$2=TRUE),VLOOKUP($G537,'KO Calc'!$H:$AW,15,FALSE),VLOOKUP($G537,'KO Calc'!$H543:$AW543,15,FALSE)),IF(AND($Q$1=TRUE,$S$4=FALSE),IF(OR($Q$4=TRUE,$Q$5=TRUE,$S$2=TRUE),VLOOKUP($G537,'KO Calc'!$H:$AW,5,FALSE),VLOOKUP($G537,'KO Calc'!$H543:$AW543,5,FALSE)),
IF(AND($Q$1=TRUE,$S$1=TRUE,$S$4=TRUE)=TRUE,IF(OR($Q$4=TRUE,$Q$5=TRUE,$S$2=TRUE),VLOOKUP($G537,'KO Calc'!$H:$AW,20,FALSE),VLOOKUP($G537,'KO Calc'!$H543:$AW543,20,FALSE)),IF(AND($Q$1=TRUE,$S$4=TRUE),IF(OR($Q$4=TRUE,$Q$5=TRUE,$S$2=TRUE),VLOOKUP($G537,'KO Calc'!$H:$AW,10,FALSE),VLOOKUP($G537,'KO Calc'!$H543:$AW543,10,FALSE)),
IF(AND($S$3=TRUE,$S$1=TRUE,$S$4=FALSE)=TRUE,IF(OR($Q$4=TRUE,$Q$5=TRUE,$S$2=TRUE),VLOOKUP($G537,'KO Calc'!$H:$AW,35,FALSE),VLOOKUP($G537,'KO Calc'!$H543:$AW543,35,FALSE)),IF(AND($S$3=TRUE,$S$4=FALSE),IF(OR($Q$4=TRUE,$Q$5=TRUE,$S$2=TRUE),VLOOKUP($G537,'KO Calc'!$H:$AW,25,FALSE),VLOOKUP($G537,'KO Calc'!$H543:$AW543,25,FALSE)),
IF(AND($S$3=TRUE,$S$1=TRUE,$S$4=TRUE)=TRUE,IF(OR($Q$4=TRUE,$Q$5=TRUE,$S$2=TRUE),VLOOKUP($G537,'KO Calc'!$H:$AW,40,FALSE),VLOOKUP($G537,'KO Calc'!$H543:$AW543,40,FALSE)),IF(AND($S$3=TRUE,$S$4=TRUE),IF(OR($Q$4=TRUE,$Q$5=TRUE,$S$2=TRUE),VLOOKUP($G537,'KO Calc'!$H:$AW,30,FALSE),VLOOKUP($G537,'KO Calc'!$H543:$AW543,30,FALSE)))))))))))))</f>
        <v>-</v>
      </c>
      <c r="L537" s="36" t="str">
        <f>IFERROR(IF(AND($Q$1=FALSE,$S$3=FALSE),"-",VLOOKUP($E537,'Status Thresholds'!$E:$AU,43,FALSE)),"-")</f>
        <v>-</v>
      </c>
      <c r="M537" s="36" t="str">
        <f>IFERROR(IF(AND($Q$1=FALSE,$S$3=FALSE),"-",VLOOKUP($E537,'Status Thresholds'!$E:$AU,41,FALSE)),"-")</f>
        <v>-</v>
      </c>
      <c r="N537" s="36" t="str">
        <f>IFERROR(IF(AND($Q$1=FALSE,$S$3=FALSE),"-",VLOOKUP($E537,'Status Thresholds'!$E:$AU,42,FALSE)),"-")</f>
        <v>-</v>
      </c>
    </row>
    <row r="538" spans="1:14" x14ac:dyDescent="0.25">
      <c r="B538" s="64" t="str">
        <f>VLOOKUP(C538,'Status Thresholds'!B:C,2,FALSE)</f>
        <v>MHGen</v>
      </c>
      <c r="C538" s="46" t="str">
        <f>IF(ISBLANK('KO Calc'!C534)=TRUE,"",'KO Calc'!C534)</f>
        <v>Nargacuga</v>
      </c>
      <c r="D538" s="78"/>
      <c r="E538" s="62" t="str">
        <f t="shared" si="15"/>
        <v>Nargacuga</v>
      </c>
      <c r="F538" t="s">
        <v>11</v>
      </c>
      <c r="G538" s="36" t="str">
        <f t="shared" si="16"/>
        <v>NargacugaCrag 1</v>
      </c>
      <c r="H538" s="36" t="str">
        <f>IF(AND($Q$1=FALSE,$S$3=FALSE),"-",IF(AND($Q$1=TRUE,$S$3=TRUE),"-",IF(AND($Q$1=FALSE,$S$3=FALSE),"-",IF(AND($Q$1=TRUE,$S$1=TRUE,$S$4=FALSE)=TRUE,IF(OR($Q$4=TRUE,$Q$5=TRUE,$S$2=TRUE),VLOOKUP($G538,'KO Calc'!$H:$AW,12,FALSE),VLOOKUP($G538,'KO Calc'!$H544:$AW544,12,FALSE)),IF(AND($Q$1=TRUE,$S$4=FALSE),IF(OR($Q$4=TRUE,$Q$5=TRUE,$S$2=TRUE),VLOOKUP($G538,'KO Calc'!$H:$AW,2,FALSE),VLOOKUP($G538,'KO Calc'!$H544:$AW544,2,FALSE)),
IF(AND($Q$1=TRUE,$S$1=TRUE,$S$4=TRUE)=TRUE,IF(OR($Q$4=TRUE,$Q$5=TRUE,$S$2=TRUE),VLOOKUP($G538,'KO Calc'!$H:$AW,17,FALSE),VLOOKUP($G538,'KO Calc'!$H544:$AW544,17,FALSE)),IF(AND($Q$1=TRUE,$S$4=TRUE),IF(OR($Q$4=TRUE,$Q$5=TRUE,$S$2=TRUE),VLOOKUP($G538,'KO Calc'!$H:$AW,7,FALSE),VLOOKUP($G538,'KO Calc'!$H544:$AW544,7,FALSE)),
IF(AND($S$3=TRUE,$S$1=TRUE,$S$4=FALSE)=TRUE,IF(OR($Q$4=TRUE,$Q$5=TRUE,$S$2=TRUE),VLOOKUP($G538,'KO Calc'!$H:$AW,32,FALSE),VLOOKUP($G538,'KO Calc'!$H544:$AW544,32,FALSE)),IF(AND($S$3=TRUE,$S$4=FALSE),IF(OR($Q$4=TRUE,$Q$5=TRUE,$S$2=TRUE),VLOOKUP($G538,'KO Calc'!$H:$AW,22,FALSE),VLOOKUP($G538,'KO Calc'!$H544:$AW544,22,FALSE)),
IF(AND($S$3=TRUE,$S$1=TRUE,$S$4=TRUE)=TRUE,IF(OR($Q$4=TRUE,$Q$5=TRUE,$S$2=TRUE),VLOOKUP($G538,'KO Calc'!$H:$AW,37,FALSE),VLOOKUP($G538,'KO Calc'!$H544:$AW544,37,FALSE)),IF(AND($S$3=TRUE,$S$4=TRUE),IF(OR($Q$4=TRUE,$Q$5=TRUE,$S$2=TRUE),VLOOKUP($G538,'KO Calc'!$H:$AW,27,FALSE),VLOOKUP($G538,'KO Calc'!$H544:$AW544,27,FALSE)))))))))))))</f>
        <v>-</v>
      </c>
      <c r="I538" s="36" t="str">
        <f>IF(AND($Q$1=FALSE,$S$3=FALSE),"-",IF(AND($Q$1=TRUE,$S$3=TRUE),"-",IF(AND($Q$1=FALSE,$S$3=FALSE),"-",IF(AND($Q$1=TRUE,$S$1=TRUE,$S$4=FALSE)=TRUE,IF(OR($Q$4=TRUE,$Q$5=TRUE,$S$2=TRUE),VLOOKUP($G538,'KO Calc'!$H:$AW,13,FALSE),VLOOKUP($G538,'KO Calc'!$H544:$AW544,13,FALSE)),IF(AND($Q$1=TRUE,$S$4=FALSE),IF(OR($Q$4=TRUE,$Q$5=TRUE,$S$2=TRUE),VLOOKUP($G538,'KO Calc'!$H:$AW,3,FALSE),VLOOKUP($G538,'KO Calc'!$H544:$AW544,3,FALSE)),
IF(AND($Q$1=TRUE,$S$1=TRUE,$S$4=TRUE)=TRUE,IF(OR($Q$4=TRUE,$Q$5=TRUE,$S$2=TRUE),VLOOKUP($G538,'KO Calc'!$H:$AW,18,FALSE),VLOOKUP($G538,'KO Calc'!$H544:$AW544,18,FALSE)),IF(AND($Q$1=TRUE,$S$4=TRUE),IF(OR($Q$4=TRUE,$Q$5=TRUE,$S$2=TRUE),VLOOKUP($G538,'KO Calc'!$H:$AW,8,FALSE),VLOOKUP($G538,'KO Calc'!$H544:$AW544,8,FALSE)),
IF(AND($S$3=TRUE,$S$1=TRUE,$S$4=FALSE)=TRUE,IF(OR($Q$4=TRUE,$Q$5=TRUE,$S$2=TRUE),VLOOKUP($G538,'KO Calc'!$H:$AW,33,FALSE),VLOOKUP($G538,'KO Calc'!$H544:$AW544,33,FALSE)),IF(AND($S$3=TRUE,$S$4=FALSE),IF(OR($Q$4=TRUE,$Q$5=TRUE,$S$2=TRUE),VLOOKUP($G538,'KO Calc'!$H:$AW,23,FALSE),VLOOKUP($G538,'KO Calc'!$H544:$AW544,23,FALSE)),
IF(AND($S$3=TRUE,$S$1=TRUE,$S$4=TRUE)=TRUE,IF(OR($Q$4=TRUE,$Q$5=TRUE,$S$2=TRUE),VLOOKUP($G538,'KO Calc'!$H:$AW,38,FALSE),VLOOKUP($G538,'KO Calc'!$H544:$AW544,38,FALSE)),IF(AND($S$3=TRUE,$S$4=TRUE),IF(OR($Q$4=TRUE,$Q$5=TRUE,$S$2=TRUE),VLOOKUP($G538,'KO Calc'!$H:$AW,28,FALSE),VLOOKUP($G538,'KO Calc'!$H544:$AW544,28,FALSE)))))))))))))</f>
        <v>-</v>
      </c>
      <c r="J538" s="36" t="str">
        <f>IF(AND($Q$1=FALSE,$S$3=FALSE),"-",IF(AND($Q$1=TRUE,$S$3=TRUE),"-",IF(AND($Q$1=FALSE,$S$3=FALSE),"-",IF(AND($Q$1=TRUE,$S$1=TRUE,$S$4=FALSE)=TRUE,IF(OR($Q$4=TRUE,$Q$5=TRUE,$S$2=TRUE),VLOOKUP($G538,'KO Calc'!$H:$AW,FALSE),VLOOKUP($G538,'KO Calc'!$H544:$AW544,14,FALSE)),IF(AND($Q$1=TRUE,$S$4=FALSE),IF(OR($Q$4=TRUE,$Q$5=TRUE,$S$2=TRUE),VLOOKUP($G538,'KO Calc'!$H:$AW,4,FALSE),VLOOKUP($G538,'KO Calc'!$H544:$AW544,4,FALSE)),
IF(AND($Q$1=TRUE,$S$1=TRUE,$S$4=TRUE)=TRUE,IF(OR($Q$4=TRUE,$Q$5=TRUE,$S$2=TRUE),VLOOKUP($G538,'KO Calc'!$H:$AW,19,FALSE),VLOOKUP($G538,'KO Calc'!$H544:$AW544,19,FALSE)),IF(AND($Q$1=TRUE,$S$4=TRUE),IF(OR($Q$4=TRUE,$Q$5=TRUE,$S$2=TRUE),VLOOKUP($G538,'KO Calc'!$H:$AW,9,FALSE),VLOOKUP($G538,'KO Calc'!$H544:$AW544,9,FALSE)),
IF(AND($S$3=TRUE,$S$1=TRUE,$S$4=FALSE)=TRUE,IF(OR($Q$4=TRUE,$Q$5=TRUE,$S$2=TRUE),VLOOKUP($G538,'KO Calc'!$H:$AW,34,FALSE),VLOOKUP($G538,'KO Calc'!$H544:$AW544,34,FALSE)),IF(AND($S$3=TRUE,$S$4=FALSE),IF(OR($Q$4=TRUE,$Q$5=TRUE,$S$2=TRUE),VLOOKUP($G538,'KO Calc'!$H:$AW,24,FALSE),VLOOKUP($G538,'KO Calc'!$H544:$AW544,24,FALSE)),
IF(AND($S$3=TRUE,$S$1=TRUE,$S$4=TRUE)=TRUE,IF(OR($Q$4=TRUE,$Q$5=TRUE,$S$2=TRUE),VLOOKUP($G538,'KO Calc'!$H:$AW,39,FALSE),VLOOKUP($G538,'KO Calc'!$H544:$AW544,39,FALSE)),IF(AND($S$3=TRUE,$S$4=TRUE),IF(OR($Q$4=TRUE,$Q$5=TRUE,$S$2=TRUE),VLOOKUP($G538,'KO Calc'!$H:$AW,29,FALSE),VLOOKUP($G538,'KO Calc'!$H544:$AW544,29,FALSE)))))))))))))</f>
        <v>-</v>
      </c>
      <c r="K538" s="36" t="str">
        <f>IF(AND($Q$1=FALSE,$S$3=FALSE),"-",IF(AND($Q$1=TRUE,$S$3=TRUE),"-",IF(AND($Q$1=FALSE,$S$3=FALSE),"-",IF(AND($Q$1=TRUE,$S$1=TRUE,$S$4=FALSE)=TRUE,IF(OR($Q$4=TRUE,$Q$5=TRUE,$S$2=TRUE),VLOOKUP($G538,'KO Calc'!$H:$AW,15,FALSE),VLOOKUP($G538,'KO Calc'!$H544:$AW544,15,FALSE)),IF(AND($Q$1=TRUE,$S$4=FALSE),IF(OR($Q$4=TRUE,$Q$5=TRUE,$S$2=TRUE),VLOOKUP($G538,'KO Calc'!$H:$AW,5,FALSE),VLOOKUP($G538,'KO Calc'!$H544:$AW544,5,FALSE)),
IF(AND($Q$1=TRUE,$S$1=TRUE,$S$4=TRUE)=TRUE,IF(OR($Q$4=TRUE,$Q$5=TRUE,$S$2=TRUE),VLOOKUP($G538,'KO Calc'!$H:$AW,20,FALSE),VLOOKUP($G538,'KO Calc'!$H544:$AW544,20,FALSE)),IF(AND($Q$1=TRUE,$S$4=TRUE),IF(OR($Q$4=TRUE,$Q$5=TRUE,$S$2=TRUE),VLOOKUP($G538,'KO Calc'!$H:$AW,10,FALSE),VLOOKUP($G538,'KO Calc'!$H544:$AW544,10,FALSE)),
IF(AND($S$3=TRUE,$S$1=TRUE,$S$4=FALSE)=TRUE,IF(OR($Q$4=TRUE,$Q$5=TRUE,$S$2=TRUE),VLOOKUP($G538,'KO Calc'!$H:$AW,35,FALSE),VLOOKUP($G538,'KO Calc'!$H544:$AW544,35,FALSE)),IF(AND($S$3=TRUE,$S$4=FALSE),IF(OR($Q$4=TRUE,$Q$5=TRUE,$S$2=TRUE),VLOOKUP($G538,'KO Calc'!$H:$AW,25,FALSE),VLOOKUP($G538,'KO Calc'!$H544:$AW544,25,FALSE)),
IF(AND($S$3=TRUE,$S$1=TRUE,$S$4=TRUE)=TRUE,IF(OR($Q$4=TRUE,$Q$5=TRUE,$S$2=TRUE),VLOOKUP($G538,'KO Calc'!$H:$AW,40,FALSE),VLOOKUP($G538,'KO Calc'!$H544:$AW544,40,FALSE)),IF(AND($S$3=TRUE,$S$4=TRUE),IF(OR($Q$4=TRUE,$Q$5=TRUE,$S$2=TRUE),VLOOKUP($G538,'KO Calc'!$H:$AW,30,FALSE),VLOOKUP($G538,'KO Calc'!$H544:$AW544,30,FALSE)))))))))))))</f>
        <v>-</v>
      </c>
      <c r="L538" s="36" t="str">
        <f>IFERROR(VLOOKUP($E538,'Status Thresholds'!$E:$AS,41,FALSE),"-")</f>
        <v>-</v>
      </c>
    </row>
    <row r="539" spans="1:14" x14ac:dyDescent="0.25">
      <c r="B539" s="64" t="str">
        <f>VLOOKUP(C539,'Status Thresholds'!B:C,2,FALSE)</f>
        <v>MHGen</v>
      </c>
      <c r="C539" s="46" t="str">
        <f>IF(ISBLANK('KO Calc'!C535)=TRUE,"",'KO Calc'!C535)</f>
        <v>Nargacuga</v>
      </c>
      <c r="D539" s="78"/>
      <c r="E539" s="62"/>
      <c r="G539" s="36"/>
      <c r="L539" s="36" t="str">
        <f>IFERROR(VLOOKUP($E539,'Status Thresholds'!$E:$AS,41,FALSE),"-")</f>
        <v>-</v>
      </c>
    </row>
    <row r="540" spans="1:14" s="36" customFormat="1" x14ac:dyDescent="0.25">
      <c r="B540" s="64" t="str">
        <f>VLOOKUP(C540,'Status Thresholds'!B:C,2,FALSE)</f>
        <v>MHGen</v>
      </c>
      <c r="C540" s="46" t="str">
        <f>IF(ISBLANK('KO Calc'!C536)=TRUE,"",'KO Calc'!C536)</f>
        <v>Narkos</v>
      </c>
      <c r="D540" s="65" t="s">
        <v>0</v>
      </c>
      <c r="E540" s="62" t="str">
        <f t="shared" si="15"/>
        <v>NarkosPara</v>
      </c>
      <c r="F540" s="36" t="s">
        <v>2</v>
      </c>
      <c r="G540" s="36" t="str">
        <f t="shared" si="16"/>
        <v>NarkosPara lvl 2</v>
      </c>
      <c r="H540" s="36" t="str">
        <f>IFERROR(ROUNDUP(IF(AND($Q$1=FALSE,$S$3=FALSE),"-",IF(AND($Q$1=TRUE,$S$3=TRUE),"-",IF(AND($Q$1=TRUE,$S$1=TRUE,$S$4=FALSE),VLOOKUP($E540,'Status Thresholds'!$E:$AS,12,FALSE),IF(AND($Q$1=TRUE,$S$4=FALSE),VLOOKUP($E540,'Status Thresholds'!$E:$AS,2,FALSE), IF(AND($Q$1=TRUE,$S$1=TRUE,$S$4=TRUE),VLOOKUP($E540,'Status Thresholds'!$E:$AS,17,FALSE),IF(AND($Q$1=TRUE,$S$4=TRUE),VLOOKUP($E540,'Status Thresholds'!$E:$AS,7,FALSE),IF(AND($S$3=TRUE,$S$1=TRUE,$S$4=FALSE),VLOOKUP($E540,'Status Thresholds'!$E:$AS,32,FALSE),IF(AND($S$3=TRUE,$S$4=FALSE),VLOOKUP($E540,'Status Thresholds'!$E:$AS,22,FALSE),IF(AND($S$3=TRUE,$S$1=TRUE,$S$4=TRUE),VLOOKUP($E540,'Status Thresholds'!$E:$AS,37,FALSE),IF(AND($S$3=TRUE,$S$4=TRUE),VLOOKUP($E540,'Status Thresholds'!$E:$AS,27,FALSE),""))))))))/IF(OR($Q$3=TRUE,AND($Q$2=TRUE,$Q$7=TRUE),AND($Q$3=TRUE,$Q$7=TRUE))=TRUE,'Shots and Status'!$F$5,IF((OR($Q$2,$Q$7)=TRUE),'Shots and Status'!$D$5,'Shots and Status'!$C$5)))),0),"-")</f>
        <v>-</v>
      </c>
      <c r="I540" s="36" t="str">
        <f>IFERROR(ROUNDUP(IF(AND($Q$1=FALSE,$S$3=FALSE),"-",IF(AND($Q$1=TRUE,$S$3=TRUE),"-",IF(AND($Q$1=TRUE,$S$1=TRUE,$S$4=FALSE),VLOOKUP($E540,'Status Thresholds'!$E:$AS,13,FALSE),IF(AND($Q$1=TRUE,$S$4=FALSE),VLOOKUP($E540,'Status Thresholds'!$E:$AS,3,FALSE), IF(AND($Q$1=TRUE,$S$1=TRUE,$S$4=TRUE),VLOOKUP($E540,'Status Thresholds'!$E:$AS,18,FALSE),IF(AND($Q$1=TRUE,$S$4=TRUE),VLOOKUP($E540,'Status Thresholds'!$E:$AS,8,FALSE),IF(AND($S$3=TRUE,$S$1=TRUE,$S$4=FALSE),VLOOKUP($E540,'Status Thresholds'!$E:$AS,33,FALSE),IF(AND($S$3=TRUE,$S$4=FALSE),VLOOKUP($E540,'Status Thresholds'!$E:$AS,23,FALSE),IF(AND($S$3=TRUE,$S$1=TRUE,$S$4=TRUE),VLOOKUP($E540,'Status Thresholds'!$E:$AS,38,FALSE),IF(AND($S$3=TRUE,$S$4=TRUE),VLOOKUP($E540,'Status Thresholds'!$E:$AS,28,FALSE),""))))))))/IF(OR($Q$3=TRUE,AND($Q$2=TRUE,$Q$7=TRUE),AND($Q$3=TRUE,$Q$7=TRUE))=TRUE,'Shots and Status'!$F$5,IF((OR($Q$2,$Q$7)=TRUE),'Shots and Status'!$D$5,'Shots and Status'!$C$5)))),0),"-")</f>
        <v>-</v>
      </c>
      <c r="J540" s="36" t="str">
        <f>IFERROR(ROUNDUP(IF(AND($Q$1=FALSE,$S$3=FALSE),"-",IF(AND($Q$1=TRUE,$S$3=TRUE),"-",IF(AND($Q$1=TRUE,$S$1=TRUE,$S$4=FALSE),VLOOKUP($E540,'Status Thresholds'!$E:$AS,14,FALSE),IF(AND($Q$1=TRUE,$S$4=FALSE),VLOOKUP($E540,'Status Thresholds'!$E:$AS,4,FALSE), IF(AND($Q$1=TRUE,$S$1=TRUE,$S$4=TRUE),VLOOKUP($E540,'Status Thresholds'!$E:$AS,19,FALSE),IF(AND($Q$1=TRUE,$S$4=TRUE),VLOOKUP($E540,'Status Thresholds'!$E:$AS,9,FALSE),IF(AND($S$3=TRUE,$S$1=TRUE,$S$4=FALSE),VLOOKUP($E540,'Status Thresholds'!$E:$AS,34,FALSE),IF(AND($S$3=TRUE,$S$4=FALSE),VLOOKUP($E540,'Status Thresholds'!$E:$AS,24,FALSE),IF(AND($S$3=TRUE,$S$1=TRUE,$S$4=TRUE),VLOOKUP($E540,'Status Thresholds'!$E:$AS,39,FALSE),IF(AND($S$3=TRUE,$S$4=TRUE),VLOOKUP($E540,'Status Thresholds'!$E:$AS,29,FALSE),""))))))))/IF(OR($Q$3=TRUE,AND($Q$2=TRUE,$Q$7=TRUE),AND($Q$3=TRUE,$Q$7=TRUE))=TRUE,'Shots and Status'!$F$5,IF((OR($Q$2,$Q$7)=TRUE),'Shots and Status'!$D$5,'Shots and Status'!$C$5)))),0),"-")</f>
        <v>-</v>
      </c>
      <c r="K540" s="36" t="str">
        <f>IFERROR(ROUNDUP(IF(AND($Q$1=FALSE,$S$3=FALSE),"-",IF(AND($Q$1=TRUE,$S$3=TRUE),"-",IF(AND($Q$1=TRUE,$S$1=TRUE,$S$4=FALSE),VLOOKUP($E540,'Status Thresholds'!$E:$AS,15,FALSE),IF(AND($Q$1=TRUE,$S$4=FALSE),VLOOKUP($E540,'Status Thresholds'!$E:$AS,5,FALSE), IF(AND($Q$1=TRUE,$S$1=TRUE,$S$4=TRUE),VLOOKUP($E540,'Status Thresholds'!$E:$AS,20,FALSE),IF(AND($Q$1=TRUE,$S$4=TRUE),VLOOKUP($E540,'Status Thresholds'!$E:$AS,10,FALSE),IF(AND($S$3=TRUE,$S$1=TRUE,$S$4=FALSE),VLOOKUP($E540,'Status Thresholds'!$E:$AS,35,FALSE),IF(AND($S$3=TRUE,$S$4=FALSE),VLOOKUP($E540,'Status Thresholds'!$E:$AS,25,FALSE),IF(AND($S$3=TRUE,$S$1=TRUE,$S$4=TRUE),VLOOKUP($E540,'Status Thresholds'!$E:$AS,40,FALSE),IF(AND($S$3=TRUE,$S$4=TRUE),VLOOKUP($E540,'Status Thresholds'!$E:$AS,30,FALSE),""))))))))/IF(OR($Q$3=TRUE,AND($Q$2=TRUE,$Q$7=TRUE),AND($Q$3=TRUE,$Q$7=TRUE))=TRUE,'Shots and Status'!$F$5,IF((OR($Q$2,$Q$7)=TRUE),'Shots and Status'!$D$5,'Shots and Status'!$C$5)))),0),"-")</f>
        <v>-</v>
      </c>
      <c r="L540" s="36" t="str">
        <f>IFERROR(IF(AND($Q$1=FALSE,$S$3=FALSE),"-",VLOOKUP($E540,'Status Thresholds'!$E:$AU,41,FALSE)),"-")</f>
        <v>-</v>
      </c>
      <c r="M540" s="36" t="str">
        <f>IFERROR(IF(AND($Q$1=FALSE,$S$3=FALSE),"-",VLOOKUP($E540,'Status Thresholds'!$E:$AU,42,FALSE)),"-")</f>
        <v>-</v>
      </c>
      <c r="N540" s="36" t="str">
        <f>IFERROR(IF(AND($Q$1=FALSE,$S$3=FALSE),"-",VLOOKUP($E540,'Status Thresholds'!$E:$AU,43,FALSE)),"-")</f>
        <v>-</v>
      </c>
    </row>
    <row r="541" spans="1:14" s="59" customFormat="1" x14ac:dyDescent="0.25">
      <c r="A541" s="46"/>
      <c r="B541" s="64" t="str">
        <f>VLOOKUP(C541,'Status Thresholds'!B:C,2,FALSE)</f>
        <v>MHGen</v>
      </c>
      <c r="C541" s="46" t="str">
        <f>IF(ISBLANK('KO Calc'!C537)=TRUE,"",'KO Calc'!C537)</f>
        <v>Narkos</v>
      </c>
      <c r="D541" s="60" t="s">
        <v>32</v>
      </c>
      <c r="E541" s="62" t="str">
        <f t="shared" si="15"/>
        <v>NarkosSleep</v>
      </c>
      <c r="F541" s="59" t="s">
        <v>5</v>
      </c>
      <c r="G541" s="36" t="str">
        <f t="shared" si="16"/>
        <v>NarkosSleep lvl 2</v>
      </c>
      <c r="H541" s="36" t="str">
        <f>IFERROR(ROUNDUP(IF(AND($Q$1=FALSE,$S$3=FALSE),"-",IF(AND($Q$1=TRUE,$S$3=TRUE),"-",IF(AND($Q$1=TRUE,$S$1=TRUE,$S$4=FALSE),VLOOKUP($E541,'Status Thresholds'!$E:$AS,12,FALSE),IF(AND($Q$1=TRUE,$S$4=FALSE),VLOOKUP($E541,'Status Thresholds'!$E:$AS,2,FALSE), IF(AND($Q$1=TRUE,$S$1=TRUE,$S$4=TRUE),VLOOKUP($E541,'Status Thresholds'!$E:$AS,17,FALSE),IF(AND($Q$1=TRUE,$S$4=TRUE),VLOOKUP($E541,'Status Thresholds'!$E:$AS,7,FALSE),IF(AND($S$3=TRUE,$S$1=TRUE,$S$4=FALSE),VLOOKUP($E541,'Status Thresholds'!$E:$AS,32,FALSE),IF(AND($S$3=TRUE,$S$4=FALSE),VLOOKUP($E541,'Status Thresholds'!$E:$AS,22,FALSE),IF(AND($S$3=TRUE,$S$1=TRUE,$S$4=TRUE),VLOOKUP($E541,'Status Thresholds'!$E:$AS,37,FALSE),IF(AND($S$3=TRUE,$S$4=TRUE),VLOOKUP($E541,'Status Thresholds'!$E:$AS,27,FALSE),""))))))))/IF(OR($Q$3=TRUE,AND($Q$2=TRUE,$Q$7=TRUE),AND($Q$3=TRUE,$Q$7=TRUE))=TRUE,'Shots and Status'!$F$5,IF((OR($Q$2,$Q$7)=TRUE),'Shots and Status'!$D$5,'Shots and Status'!$C$5)))),0),"-")</f>
        <v>-</v>
      </c>
      <c r="I541" s="36" t="str">
        <f>IFERROR(ROUNDUP(IF(AND($Q$1=FALSE,$S$3=FALSE),"-",IF(AND($Q$1=TRUE,$S$3=TRUE),"-",IF(AND($Q$1=TRUE,$S$1=TRUE,$S$4=FALSE),VLOOKUP($E541,'Status Thresholds'!$E:$AS,13,FALSE),IF(AND($Q$1=TRUE,$S$4=FALSE),VLOOKUP($E541,'Status Thresholds'!$E:$AS,3,FALSE), IF(AND($Q$1=TRUE,$S$1=TRUE,$S$4=TRUE),VLOOKUP($E541,'Status Thresholds'!$E:$AS,18,FALSE),IF(AND($Q$1=TRUE,$S$4=TRUE),VLOOKUP($E541,'Status Thresholds'!$E:$AS,8,FALSE),IF(AND($S$3=TRUE,$S$1=TRUE,$S$4=FALSE),VLOOKUP($E541,'Status Thresholds'!$E:$AS,33,FALSE),IF(AND($S$3=TRUE,$S$4=FALSE),VLOOKUP($E541,'Status Thresholds'!$E:$AS,23,FALSE),IF(AND($S$3=TRUE,$S$1=TRUE,$S$4=TRUE),VLOOKUP($E541,'Status Thresholds'!$E:$AS,38,FALSE),IF(AND($S$3=TRUE,$S$4=TRUE),VLOOKUP($E541,'Status Thresholds'!$E:$AS,28,FALSE),""))))))))/IF(OR($Q$3=TRUE,AND($Q$2=TRUE,$Q$7=TRUE),AND($Q$3=TRUE,$Q$7=TRUE))=TRUE,'Shots and Status'!$F$5,IF((OR($Q$2,$Q$7)=TRUE),'Shots and Status'!$D$5,'Shots and Status'!$C$5)))),0),"-")</f>
        <v>-</v>
      </c>
      <c r="J541" s="36" t="str">
        <f>IFERROR(ROUNDUP(IF(AND($Q$1=FALSE,$S$3=FALSE),"-",IF(AND($Q$1=TRUE,$S$3=TRUE),"-",IF(AND($Q$1=TRUE,$S$1=TRUE,$S$4=FALSE),VLOOKUP($E541,'Status Thresholds'!$E:$AS,14,FALSE),IF(AND($Q$1=TRUE,$S$4=FALSE),VLOOKUP($E541,'Status Thresholds'!$E:$AS,4,FALSE), IF(AND($Q$1=TRUE,$S$1=TRUE,$S$4=TRUE),VLOOKUP($E541,'Status Thresholds'!$E:$AS,19,FALSE),IF(AND($Q$1=TRUE,$S$4=TRUE),VLOOKUP($E541,'Status Thresholds'!$E:$AS,9,FALSE),IF(AND($S$3=TRUE,$S$1=TRUE,$S$4=FALSE),VLOOKUP($E541,'Status Thresholds'!$E:$AS,34,FALSE),IF(AND($S$3=TRUE,$S$4=FALSE),VLOOKUP($E541,'Status Thresholds'!$E:$AS,24,FALSE),IF(AND($S$3=TRUE,$S$1=TRUE,$S$4=TRUE),VLOOKUP($E541,'Status Thresholds'!$E:$AS,39,FALSE),IF(AND($S$3=TRUE,$S$4=TRUE),VLOOKUP($E541,'Status Thresholds'!$E:$AS,29,FALSE),""))))))))/IF(OR($Q$3=TRUE,AND($Q$2=TRUE,$Q$7=TRUE),AND($Q$3=TRUE,$Q$7=TRUE))=TRUE,'Shots and Status'!$F$5,IF((OR($Q$2,$Q$7)=TRUE),'Shots and Status'!$D$5,'Shots and Status'!$C$5)))),0),"-")</f>
        <v>-</v>
      </c>
      <c r="K541" s="36" t="str">
        <f>IFERROR(ROUNDUP(IF(AND($Q$1=FALSE,$S$3=FALSE),"-",IF(AND($Q$1=TRUE,$S$3=TRUE),"-",IF(AND($Q$1=TRUE,$S$1=TRUE,$S$4=FALSE),VLOOKUP($E541,'Status Thresholds'!$E:$AS,15,FALSE),IF(AND($Q$1=TRUE,$S$4=FALSE),VLOOKUP($E541,'Status Thresholds'!$E:$AS,5,FALSE), IF(AND($Q$1=TRUE,$S$1=TRUE,$S$4=TRUE),VLOOKUP($E541,'Status Thresholds'!$E:$AS,20,FALSE),IF(AND($Q$1=TRUE,$S$4=TRUE),VLOOKUP($E541,'Status Thresholds'!$E:$AS,10,FALSE),IF(AND($S$3=TRUE,$S$1=TRUE,$S$4=FALSE),VLOOKUP($E541,'Status Thresholds'!$E:$AS,35,FALSE),IF(AND($S$3=TRUE,$S$4=FALSE),VLOOKUP($E541,'Status Thresholds'!$E:$AS,25,FALSE),IF(AND($S$3=TRUE,$S$1=TRUE,$S$4=TRUE),VLOOKUP($E541,'Status Thresholds'!$E:$AS,40,FALSE),IF(AND($S$3=TRUE,$S$4=TRUE),VLOOKUP($E541,'Status Thresholds'!$E:$AS,30,FALSE),""))))))))/IF(OR($Q$3=TRUE,AND($Q$2=TRUE,$Q$7=TRUE),AND($Q$3=TRUE,$Q$7=TRUE))=TRUE,'Shots and Status'!$F$5,IF((OR($Q$2,$Q$7)=TRUE),'Shots and Status'!$D$5,'Shots and Status'!$C$5)))),0),"-")</f>
        <v>-</v>
      </c>
      <c r="L541" s="36" t="str">
        <f>IFERROR(IF(AND($Q$1=FALSE,$S$3=FALSE),"-",VLOOKUP($E541,'Status Thresholds'!$E:$AU,41,FALSE)),"-")</f>
        <v>-</v>
      </c>
      <c r="M541" s="36" t="str">
        <f>IFERROR(IF(AND($Q$1=FALSE,$S$3=FALSE),"-",VLOOKUP($E541,'Status Thresholds'!$E:$AU,42,FALSE)),"-")</f>
        <v>-</v>
      </c>
      <c r="N541" s="36" t="str">
        <f>IFERROR(IF(AND($Q$1=FALSE,$S$3=FALSE),"-",VLOOKUP($E541,'Status Thresholds'!$E:$AU,43,FALSE)),"-")</f>
        <v>-</v>
      </c>
    </row>
    <row r="542" spans="1:14" s="59" customFormat="1" x14ac:dyDescent="0.25">
      <c r="A542" s="46"/>
      <c r="B542" s="64" t="str">
        <f>VLOOKUP(C542,'Status Thresholds'!B:C,2,FALSE)</f>
        <v>MHGen</v>
      </c>
      <c r="C542" s="46" t="str">
        <f>IF(ISBLANK('KO Calc'!C538)=TRUE,"",'KO Calc'!C538)</f>
        <v>Narkos</v>
      </c>
      <c r="D542" s="58" t="s">
        <v>33</v>
      </c>
      <c r="E542" s="62" t="str">
        <f t="shared" si="15"/>
        <v>NarkosPoison</v>
      </c>
      <c r="F542" s="59" t="s">
        <v>6</v>
      </c>
      <c r="G542" s="36" t="str">
        <f t="shared" si="16"/>
        <v>NarkosPoison lvl 2</v>
      </c>
      <c r="H542" s="36" t="str">
        <f>IFERROR(ROUNDUP(IF(AND($Q$1=FALSE,$S$3=FALSE),"-",IF(AND($Q$1=TRUE,$S$3=TRUE),"-",IF(AND($Q$1=TRUE,$S$1=TRUE,$S$4=FALSE),VLOOKUP($E542,'Status Thresholds'!$E:$AS,12,FALSE),IF(AND($Q$1=TRUE,$S$4=FALSE),VLOOKUP($E542,'Status Thresholds'!$E:$AS,2,FALSE), IF(AND($Q$1=TRUE,$S$1=TRUE,$S$4=TRUE),VLOOKUP($E542,'Status Thresholds'!$E:$AS,17,FALSE),IF(AND($Q$1=TRUE,$S$4=TRUE),VLOOKUP($E542,'Status Thresholds'!$E:$AS,7,FALSE),IF(AND($S$3=TRUE,$S$1=TRUE,$S$4=FALSE),VLOOKUP($E542,'Status Thresholds'!$E:$AS,32,FALSE),IF(AND($S$3=TRUE,$S$4=FALSE),VLOOKUP($E542,'Status Thresholds'!$E:$AS,22,FALSE),IF(AND($S$3=TRUE,$S$1=TRUE,$S$4=TRUE),VLOOKUP($E542,'Status Thresholds'!$E:$AS,37,FALSE),IF(AND($S$3=TRUE,$S$4=TRUE),VLOOKUP($E542,'Status Thresholds'!$E:$AS,27,FALSE),""))))))))/IF(OR($Q$3=TRUE,AND($Q$2=TRUE,$Q$7=TRUE),AND($Q$3=TRUE,$Q$7=TRUE))=TRUE,'Shots and Status'!$F$5,IF((OR($Q$2,$Q$7)=TRUE),'Shots and Status'!$D$5,'Shots and Status'!$C$5)))),0),"-")</f>
        <v>-</v>
      </c>
      <c r="I542" s="36" t="str">
        <f>IFERROR(ROUNDUP(IF(AND($Q$1=FALSE,$S$3=FALSE),"-",IF(AND($Q$1=TRUE,$S$3=TRUE),"-",IF(AND($Q$1=TRUE,$S$1=TRUE,$S$4=FALSE),VLOOKUP($E542,'Status Thresholds'!$E:$AS,13,FALSE),IF(AND($Q$1=TRUE,$S$4=FALSE),VLOOKUP($E542,'Status Thresholds'!$E:$AS,3,FALSE), IF(AND($Q$1=TRUE,$S$1=TRUE,$S$4=TRUE),VLOOKUP($E542,'Status Thresholds'!$E:$AS,18,FALSE),IF(AND($Q$1=TRUE,$S$4=TRUE),VLOOKUP($E542,'Status Thresholds'!$E:$AS,8,FALSE),IF(AND($S$3=TRUE,$S$1=TRUE,$S$4=FALSE),VLOOKUP($E542,'Status Thresholds'!$E:$AS,33,FALSE),IF(AND($S$3=TRUE,$S$4=FALSE),VLOOKUP($E542,'Status Thresholds'!$E:$AS,23,FALSE),IF(AND($S$3=TRUE,$S$1=TRUE,$S$4=TRUE),VLOOKUP($E542,'Status Thresholds'!$E:$AS,38,FALSE),IF(AND($S$3=TRUE,$S$4=TRUE),VLOOKUP($E542,'Status Thresholds'!$E:$AS,28,FALSE),""))))))))/IF(OR($Q$3=TRUE,AND($Q$2=TRUE,$Q$7=TRUE),AND($Q$3=TRUE,$Q$7=TRUE))=TRUE,'Shots and Status'!$F$5,IF((OR($Q$2,$Q$7)=TRUE),'Shots and Status'!$D$5,'Shots and Status'!$C$5)))),0),"-")</f>
        <v>-</v>
      </c>
      <c r="J542" s="36" t="str">
        <f>IFERROR(ROUNDUP(IF(AND($Q$1=FALSE,$S$3=FALSE),"-",IF(AND($Q$1=TRUE,$S$3=TRUE),"-",IF(AND($Q$1=TRUE,$S$1=TRUE,$S$4=FALSE),VLOOKUP($E542,'Status Thresholds'!$E:$AS,14,FALSE),IF(AND($Q$1=TRUE,$S$4=FALSE),VLOOKUP($E542,'Status Thresholds'!$E:$AS,4,FALSE), IF(AND($Q$1=TRUE,$S$1=TRUE,$S$4=TRUE),VLOOKUP($E542,'Status Thresholds'!$E:$AS,19,FALSE),IF(AND($Q$1=TRUE,$S$4=TRUE),VLOOKUP($E542,'Status Thresholds'!$E:$AS,9,FALSE),IF(AND($S$3=TRUE,$S$1=TRUE,$S$4=FALSE),VLOOKUP($E542,'Status Thresholds'!$E:$AS,34,FALSE),IF(AND($S$3=TRUE,$S$4=FALSE),VLOOKUP($E542,'Status Thresholds'!$E:$AS,24,FALSE),IF(AND($S$3=TRUE,$S$1=TRUE,$S$4=TRUE),VLOOKUP($E542,'Status Thresholds'!$E:$AS,39,FALSE),IF(AND($S$3=TRUE,$S$4=TRUE),VLOOKUP($E542,'Status Thresholds'!$E:$AS,29,FALSE),""))))))))/IF(OR($Q$3=TRUE,AND($Q$2=TRUE,$Q$7=TRUE),AND($Q$3=TRUE,$Q$7=TRUE))=TRUE,'Shots and Status'!$F$5,IF((OR($Q$2,$Q$7)=TRUE),'Shots and Status'!$D$5,'Shots and Status'!$C$5)))),0),"-")</f>
        <v>-</v>
      </c>
      <c r="K542" s="36" t="str">
        <f>IFERROR(ROUNDUP(IF(AND($Q$1=FALSE,$S$3=FALSE),"-",IF(AND($Q$1=TRUE,$S$3=TRUE),"-",IF(AND($Q$1=TRUE,$S$1=TRUE,$S$4=FALSE),VLOOKUP($E542,'Status Thresholds'!$E:$AS,15,FALSE),IF(AND($Q$1=TRUE,$S$4=FALSE),VLOOKUP($E542,'Status Thresholds'!$E:$AS,5,FALSE), IF(AND($Q$1=TRUE,$S$1=TRUE,$S$4=TRUE),VLOOKUP($E542,'Status Thresholds'!$E:$AS,20,FALSE),IF(AND($Q$1=TRUE,$S$4=TRUE),VLOOKUP($E542,'Status Thresholds'!$E:$AS,10,FALSE),IF(AND($S$3=TRUE,$S$1=TRUE,$S$4=FALSE),VLOOKUP($E542,'Status Thresholds'!$E:$AS,35,FALSE),IF(AND($S$3=TRUE,$S$4=FALSE),VLOOKUP($E542,'Status Thresholds'!$E:$AS,25,FALSE),IF(AND($S$3=TRUE,$S$1=TRUE,$S$4=TRUE),VLOOKUP($E542,'Status Thresholds'!$E:$AS,40,FALSE),IF(AND($S$3=TRUE,$S$4=TRUE),VLOOKUP($E542,'Status Thresholds'!$E:$AS,30,FALSE),""))))))))/IF(OR($Q$3=TRUE,AND($Q$2=TRUE,$Q$7=TRUE),AND($Q$3=TRUE,$Q$7=TRUE))=TRUE,'Shots and Status'!$F$5,IF((OR($Q$2,$Q$7)=TRUE),'Shots and Status'!$D$5,'Shots and Status'!$C$5)))),0),"-")</f>
        <v>-</v>
      </c>
      <c r="L542" s="36" t="str">
        <f>IFERROR(IF(AND($Q$1=FALSE,$S$3=FALSE),"-",VLOOKUP($E542,'Status Thresholds'!$E:$AU,41,FALSE)),"-")</f>
        <v>-</v>
      </c>
      <c r="M542" s="36" t="str">
        <f>IFERROR(IF(AND($Q$1=FALSE,$S$3=FALSE),"-",VLOOKUP($E542,'Status Thresholds'!$E:$AU,42,FALSE)),"-")</f>
        <v>-</v>
      </c>
      <c r="N542" s="36" t="str">
        <f>IFERROR(IF(AND($Q$1=FALSE,$S$3=FALSE),"-",VLOOKUP($E542,'Status Thresholds'!$E:$AU,43,FALSE)),"-")</f>
        <v>-</v>
      </c>
    </row>
    <row r="543" spans="1:14" s="36" customFormat="1" x14ac:dyDescent="0.25">
      <c r="A543" s="46"/>
      <c r="B543" s="64" t="str">
        <f>VLOOKUP(C543,'Status Thresholds'!B:C,2,FALSE)</f>
        <v>MHGen</v>
      </c>
      <c r="C543" s="46" t="str">
        <f>IF(ISBLANK('KO Calc'!C539)=TRUE,"",'KO Calc'!C539)</f>
        <v>Narkos</v>
      </c>
      <c r="D543" s="57" t="s">
        <v>22</v>
      </c>
      <c r="E543" s="62" t="str">
        <f t="shared" si="15"/>
        <v>NarkosExhaust</v>
      </c>
      <c r="F543" s="36" t="s">
        <v>8</v>
      </c>
      <c r="G543" s="36" t="str">
        <f t="shared" si="16"/>
        <v>NarkosExhaust lvl 2</v>
      </c>
      <c r="H543" s="36" t="str">
        <f>IFERROR(ROUNDUP(IF(AND($Q$1=FALSE,$S$3=FALSE),"-",IF(AND($Q$1=TRUE,$S$3=TRUE),"-",IF(AND($Q$1=TRUE,$S$1=TRUE,$S$4=FALSE),VLOOKUP($E543,'Status Thresholds'!$E:$AS,12,FALSE),IF(AND($Q$1=TRUE,$S$4=FALSE),VLOOKUP($E543,'Status Thresholds'!$E:$AS,2,FALSE), IF(AND($Q$1=TRUE,$S$1=TRUE,$S$4=TRUE),VLOOKUP($E543,'Status Thresholds'!$E:$AS,17,FALSE),IF(AND($Q$1=TRUE,$S$4=TRUE),VLOOKUP($E543,'Status Thresholds'!$E:$AS,7,FALSE),IF(AND($S$3=TRUE,$S$1=TRUE,$S$4=FALSE),VLOOKUP($E543,'Status Thresholds'!$E:$AS,32,FALSE),IF(AND($S$3=TRUE,$S$4=FALSE),VLOOKUP($E543,'Status Thresholds'!$E:$AS,22,FALSE),IF(AND($S$3=TRUE,$S$1=TRUE,$S$4=TRUE),VLOOKUP($E543,'Status Thresholds'!$E:$AS,37,FALSE),IF(AND($S$3=TRUE,$S$4=TRUE),VLOOKUP($E543,'Status Thresholds'!$E:$AS,27,FALSE),""))))))))/IF(OR($Q$3=TRUE,AND($Q$2=TRUE,$Q$7=TRUE),AND($Q$3=TRUE,$Q$7=TRUE))=TRUE,'Shots and Status'!$F$5,IF((OR($Q$2,$Q$7)=TRUE),'Shots and Status'!$D$5,'Shots and Status'!$C$5)))),0),"-")</f>
        <v>-</v>
      </c>
      <c r="I543" s="36" t="str">
        <f>IFERROR(ROUNDUP(IF(AND($Q$1=FALSE,$S$3=FALSE),"-",IF(AND($Q$1=TRUE,$S$3=TRUE),"-",IF(AND($Q$1=TRUE,$S$1=TRUE,$S$4=FALSE),VLOOKUP($E543,'Status Thresholds'!$E:$AS,13,FALSE),IF(AND($Q$1=TRUE,$S$4=FALSE),VLOOKUP($E543,'Status Thresholds'!$E:$AS,3,FALSE), IF(AND($Q$1=TRUE,$S$1=TRUE,$S$4=TRUE),VLOOKUP($E543,'Status Thresholds'!$E:$AS,18,FALSE),IF(AND($Q$1=TRUE,$S$4=TRUE),VLOOKUP($E543,'Status Thresholds'!$E:$AS,8,FALSE),IF(AND($S$3=TRUE,$S$1=TRUE,$S$4=FALSE),VLOOKUP($E543,'Status Thresholds'!$E:$AS,33,FALSE),IF(AND($S$3=TRUE,$S$4=FALSE),VLOOKUP($E543,'Status Thresholds'!$E:$AS,23,FALSE),IF(AND($S$3=TRUE,$S$1=TRUE,$S$4=TRUE),VLOOKUP($E543,'Status Thresholds'!$E:$AS,38,FALSE),IF(AND($S$3=TRUE,$S$4=TRUE),VLOOKUP($E543,'Status Thresholds'!$E:$AS,28,FALSE),""))))))))/IF(OR($Q$3=TRUE,AND($Q$2=TRUE,$Q$7=TRUE),AND($Q$3=TRUE,$Q$7=TRUE))=TRUE,'Shots and Status'!$F$5,IF((OR($Q$2,$Q$7)=TRUE),'Shots and Status'!$D$5,'Shots and Status'!$C$5)))),0),"-")</f>
        <v>-</v>
      </c>
      <c r="J543" s="36" t="str">
        <f>IFERROR(ROUNDUP(IF(AND($Q$1=FALSE,$S$3=FALSE),"-",IF(AND($Q$1=TRUE,$S$3=TRUE),"-",IF(AND($Q$1=TRUE,$S$1=TRUE,$S$4=FALSE),VLOOKUP($E543,'Status Thresholds'!$E:$AS,14,FALSE),IF(AND($Q$1=TRUE,$S$4=FALSE),VLOOKUP($E543,'Status Thresholds'!$E:$AS,4,FALSE), IF(AND($Q$1=TRUE,$S$1=TRUE,$S$4=TRUE),VLOOKUP($E543,'Status Thresholds'!$E:$AS,19,FALSE),IF(AND($Q$1=TRUE,$S$4=TRUE),VLOOKUP($E543,'Status Thresholds'!$E:$AS,9,FALSE),IF(AND($S$3=TRUE,$S$1=TRUE,$S$4=FALSE),VLOOKUP($E543,'Status Thresholds'!$E:$AS,34,FALSE),IF(AND($S$3=TRUE,$S$4=FALSE),VLOOKUP($E543,'Status Thresholds'!$E:$AS,24,FALSE),IF(AND($S$3=TRUE,$S$1=TRUE,$S$4=TRUE),VLOOKUP($E543,'Status Thresholds'!$E:$AS,39,FALSE),IF(AND($S$3=TRUE,$S$4=TRUE),VLOOKUP($E543,'Status Thresholds'!$E:$AS,29,FALSE),""))))))))/IF(OR($Q$3=TRUE,AND($Q$2=TRUE,$Q$7=TRUE),AND($Q$3=TRUE,$Q$7=TRUE))=TRUE,'Shots and Status'!$F$5,IF((OR($Q$2,$Q$7)=TRUE),'Shots and Status'!$D$5,'Shots and Status'!$C$5)))),0),"-")</f>
        <v>-</v>
      </c>
      <c r="K543" s="36" t="str">
        <f>IFERROR(ROUNDUP(IF(AND($Q$1=FALSE,$S$3=FALSE),"-",IF(AND($Q$1=TRUE,$S$3=TRUE),"-",IF(AND($Q$1=TRUE,$S$1=TRUE,$S$4=FALSE),VLOOKUP($E543,'Status Thresholds'!$E:$AS,15,FALSE),IF(AND($Q$1=TRUE,$S$4=FALSE),VLOOKUP($E543,'Status Thresholds'!$E:$AS,5,FALSE), IF(AND($Q$1=TRUE,$S$1=TRUE,$S$4=TRUE),VLOOKUP($E543,'Status Thresholds'!$E:$AS,20,FALSE),IF(AND($Q$1=TRUE,$S$4=TRUE),VLOOKUP($E543,'Status Thresholds'!$E:$AS,10,FALSE),IF(AND($S$3=TRUE,$S$1=TRUE,$S$4=FALSE),VLOOKUP($E543,'Status Thresholds'!$E:$AS,35,FALSE),IF(AND($S$3=TRUE,$S$4=FALSE),VLOOKUP($E543,'Status Thresholds'!$E:$AS,25,FALSE),IF(AND($S$3=TRUE,$S$1=TRUE,$S$4=TRUE),VLOOKUP($E543,'Status Thresholds'!$E:$AS,40,FALSE),IF(AND($S$3=TRUE,$S$4=TRUE),VLOOKUP($E543,'Status Thresholds'!$E:$AS,30,FALSE),""))))))))/IF(OR($Q$3=TRUE,AND($Q$2=TRUE,$Q$7=TRUE),AND($Q$3=TRUE,$Q$7=TRUE))=TRUE,'Shots and Status'!$F$5,IF((OR($Q$2,$Q$7)=TRUE),'Shots and Status'!$D$5,'Shots and Status'!$C$5)))),0),"-")</f>
        <v>-</v>
      </c>
      <c r="L543" s="36" t="str">
        <f>IFERROR(IF(AND($Q$1=FALSE,$S$3=FALSE),"-",VLOOKUP($E543,'Status Thresholds'!$E:$AU,41,FALSE)),"-")</f>
        <v>-</v>
      </c>
      <c r="M543" s="36" t="str">
        <f>IFERROR(IF(AND($Q$1=FALSE,$S$3=FALSE),"-",VLOOKUP($E543,'Status Thresholds'!$E:$AU,42,FALSE)),"-")</f>
        <v>-</v>
      </c>
      <c r="N543" s="36" t="str">
        <f>IFERROR(IF(AND($Q$1=FALSE,$S$3=FALSE),"-",VLOOKUP($E543,'Status Thresholds'!$E:$AU,43,FALSE)),"-")</f>
        <v>-</v>
      </c>
    </row>
    <row r="544" spans="1:14" s="36" customFormat="1" x14ac:dyDescent="0.25">
      <c r="A544" s="46"/>
      <c r="B544" s="64" t="str">
        <f>VLOOKUP(C544,'Status Thresholds'!B:C,2,FALSE)</f>
        <v>MHGen</v>
      </c>
      <c r="C544" s="46" t="str">
        <f>IF(ISBLANK('KO Calc'!C540)=TRUE,"",'KO Calc'!C540)</f>
        <v>Narkos</v>
      </c>
      <c r="D544" s="67" t="s">
        <v>14</v>
      </c>
      <c r="E544" s="62" t="str">
        <f t="shared" si="15"/>
        <v>NarkosKO</v>
      </c>
      <c r="F544" s="36" t="s">
        <v>21</v>
      </c>
      <c r="G544" s="36" t="str">
        <f t="shared" si="16"/>
        <v>NarkosTriblast</v>
      </c>
      <c r="H544" s="36" t="str">
        <f>IF(AND($Q$1=FALSE,$S$3=FALSE),"-",IF(AND($Q$1=TRUE,$S$3=TRUE),"-",IF(AND($Q$1=FALSE,$S$3=FALSE),"-",IF(AND($Q$1=TRUE,$S$1=TRUE,$S$4=FALSE)=TRUE,IF(OR($Q$4=TRUE,$Q$5=TRUE,$S$2=TRUE),VLOOKUP($G544,'KO Calc'!$H:$AW,12,FALSE),VLOOKUP($G544,'KO Calc'!$H550:$AW550,12,FALSE)),IF(AND($Q$1=TRUE,$S$4=FALSE),IF(OR($Q$4=TRUE,$Q$5=TRUE,$S$2=TRUE),VLOOKUP($G544,'KO Calc'!$H:$AW,2,FALSE),VLOOKUP($G544,'KO Calc'!$H550:$AW550,2,FALSE)),
IF(AND($Q$1=TRUE,$S$1=TRUE,$S$4=TRUE)=TRUE,IF(OR($Q$4=TRUE,$Q$5=TRUE,$S$2=TRUE),VLOOKUP($G544,'KO Calc'!$H:$AW,17,FALSE),VLOOKUP($G544,'KO Calc'!$H550:$AW550,17,FALSE)),IF(AND($Q$1=TRUE,$S$4=TRUE),IF(OR($Q$4=TRUE,$Q$5=TRUE,$S$2=TRUE),VLOOKUP($G544,'KO Calc'!$H:$AW,7,FALSE),VLOOKUP($G544,'KO Calc'!$H550:$AW550,7,FALSE)),
IF(AND($S$3=TRUE,$S$1=TRUE,$S$4=FALSE)=TRUE,IF(OR($Q$4=TRUE,$Q$5=TRUE,$S$2=TRUE),VLOOKUP($G544,'KO Calc'!$H:$AW,32,FALSE),VLOOKUP($G544,'KO Calc'!$H550:$AW550,32,FALSE)),IF(AND($S$3=TRUE,$S$4=FALSE),IF(OR($Q$4=TRUE,$Q$5=TRUE,$S$2=TRUE),VLOOKUP($G544,'KO Calc'!$H:$AW,22,FALSE),VLOOKUP($G544,'KO Calc'!$H550:$AW550,22,FALSE)),
IF(AND($S$3=TRUE,$S$1=TRUE,$S$4=TRUE)=TRUE,IF(OR($Q$4=TRUE,$Q$5=TRUE,$S$2=TRUE),VLOOKUP($G544,'KO Calc'!$H:$AW,37,FALSE),VLOOKUP($G544,'KO Calc'!$H550:$AW550,37,FALSE)),IF(AND($S$3=TRUE,$S$4=TRUE),IF(OR($Q$4=TRUE,$Q$5=TRUE,$S$2=TRUE),VLOOKUP($G544,'KO Calc'!$H:$AW,27,FALSE),VLOOKUP($G544,'KO Calc'!$H550:$AW550,27,FALSE)))))))))))))</f>
        <v>-</v>
      </c>
      <c r="I544" s="36" t="str">
        <f>IF(AND($Q$1=FALSE,$S$3=FALSE),"-",IF(AND($Q$1=TRUE,$S$3=TRUE),"-",IF(AND($Q$1=FALSE,$S$3=FALSE),"-",IF(AND($Q$1=TRUE,$S$1=TRUE,$S$4=FALSE)=TRUE,IF(OR($Q$4=TRUE,$Q$5=TRUE,$S$2=TRUE),VLOOKUP($G544,'KO Calc'!$H:$AW,13,FALSE),VLOOKUP($G544,'KO Calc'!$H550:$AW550,13,FALSE)),IF(AND($Q$1=TRUE,$S$4=FALSE),IF(OR($Q$4=TRUE,$Q$5=TRUE,$S$2=TRUE),VLOOKUP($G544,'KO Calc'!$H:$AW,3,FALSE),VLOOKUP($G544,'KO Calc'!$H550:$AW550,3,FALSE)),
IF(AND($Q$1=TRUE,$S$1=TRUE,$S$4=TRUE)=TRUE,IF(OR($Q$4=TRUE,$Q$5=TRUE,$S$2=TRUE),VLOOKUP($G544,'KO Calc'!$H:$AW,18,FALSE),VLOOKUP($G544,'KO Calc'!$H550:$AW550,18,FALSE)),IF(AND($Q$1=TRUE,$S$4=TRUE),IF(OR($Q$4=TRUE,$Q$5=TRUE,$S$2=TRUE),VLOOKUP($G544,'KO Calc'!$H:$AW,8,FALSE),VLOOKUP($G544,'KO Calc'!$H550:$AW550,8,FALSE)),
IF(AND($S$3=TRUE,$S$1=TRUE,$S$4=FALSE)=TRUE,IF(OR($Q$4=TRUE,$Q$5=TRUE,$S$2=TRUE),VLOOKUP($G544,'KO Calc'!$H:$AW,33,FALSE),VLOOKUP($G544,'KO Calc'!$H550:$AW550,33,FALSE)),IF(AND($S$3=TRUE,$S$4=FALSE),IF(OR($Q$4=TRUE,$Q$5=TRUE,$S$2=TRUE),VLOOKUP($G544,'KO Calc'!$H:$AW,23,FALSE),VLOOKUP($G544,'KO Calc'!$H550:$AW550,23,FALSE)),
IF(AND($S$3=TRUE,$S$1=TRUE,$S$4=TRUE)=TRUE,IF(OR($Q$4=TRUE,$Q$5=TRUE,$S$2=TRUE),VLOOKUP($G544,'KO Calc'!$H:$AW,38,FALSE),VLOOKUP($G544,'KO Calc'!$H550:$AW550,38,FALSE)),IF(AND($S$3=TRUE,$S$4=TRUE),IF(OR($Q$4=TRUE,$Q$5=TRUE,$S$2=TRUE),VLOOKUP($G544,'KO Calc'!$H:$AW,28,FALSE),VLOOKUP($G544,'KO Calc'!$H550:$AW550,28,FALSE)))))))))))))</f>
        <v>-</v>
      </c>
      <c r="J544" s="36" t="str">
        <f>IF(AND($Q$1=FALSE,$S$3=FALSE),"-",IF(AND($Q$1=TRUE,$S$3=TRUE),"-",IF(AND($Q$1=FALSE,$S$3=FALSE),"-",IF(AND($Q$1=TRUE,$S$1=TRUE,$S$4=FALSE)=TRUE,IF(OR($Q$4=TRUE,$Q$5=TRUE,$S$2=TRUE),VLOOKUP($G544,'KO Calc'!$H:$AW,FALSE),VLOOKUP($G544,'KO Calc'!$H550:$AW550,14,FALSE)),IF(AND($Q$1=TRUE,$S$4=FALSE),IF(OR($Q$4=TRUE,$Q$5=TRUE,$S$2=TRUE),VLOOKUP($G544,'KO Calc'!$H:$AW,4,FALSE),VLOOKUP($G544,'KO Calc'!$H550:$AW550,4,FALSE)),
IF(AND($Q$1=TRUE,$S$1=TRUE,$S$4=TRUE)=TRUE,IF(OR($Q$4=TRUE,$Q$5=TRUE,$S$2=TRUE),VLOOKUP($G544,'KO Calc'!$H:$AW,19,FALSE),VLOOKUP($G544,'KO Calc'!$H550:$AW550,19,FALSE)),IF(AND($Q$1=TRUE,$S$4=TRUE),IF(OR($Q$4=TRUE,$Q$5=TRUE,$S$2=TRUE),VLOOKUP($G544,'KO Calc'!$H:$AW,9,FALSE),VLOOKUP($G544,'KO Calc'!$H550:$AW550,9,FALSE)),
IF(AND($S$3=TRUE,$S$1=TRUE,$S$4=FALSE)=TRUE,IF(OR($Q$4=TRUE,$Q$5=TRUE,$S$2=TRUE),VLOOKUP($G544,'KO Calc'!$H:$AW,34,FALSE),VLOOKUP($G544,'KO Calc'!$H550:$AW550,34,FALSE)),IF(AND($S$3=TRUE,$S$4=FALSE),IF(OR($Q$4=TRUE,$Q$5=TRUE,$S$2=TRUE),VLOOKUP($G544,'KO Calc'!$H:$AW,24,FALSE),VLOOKUP($G544,'KO Calc'!$H550:$AW550,24,FALSE)),
IF(AND($S$3=TRUE,$S$1=TRUE,$S$4=TRUE)=TRUE,IF(OR($Q$4=TRUE,$Q$5=TRUE,$S$2=TRUE),VLOOKUP($G544,'KO Calc'!$H:$AW,39,FALSE),VLOOKUP($G544,'KO Calc'!$H550:$AW550,39,FALSE)),IF(AND($S$3=TRUE,$S$4=TRUE),IF(OR($Q$4=TRUE,$Q$5=TRUE,$S$2=TRUE),VLOOKUP($G544,'KO Calc'!$H:$AW,29,FALSE),VLOOKUP($G544,'KO Calc'!$H550:$AW550,29,FALSE)))))))))))))</f>
        <v>-</v>
      </c>
      <c r="K544" s="36" t="str">
        <f>IF(AND($Q$1=FALSE,$S$3=FALSE),"-",IF(AND($Q$1=TRUE,$S$3=TRUE),"-",IF(AND($Q$1=FALSE,$S$3=FALSE),"-",IF(AND($Q$1=TRUE,$S$1=TRUE,$S$4=FALSE)=TRUE,IF(OR($Q$4=TRUE,$Q$5=TRUE,$S$2=TRUE),VLOOKUP($G544,'KO Calc'!$H:$AW,15,FALSE),VLOOKUP($G544,'KO Calc'!$H550:$AW550,15,FALSE)),IF(AND($Q$1=TRUE,$S$4=FALSE),IF(OR($Q$4=TRUE,$Q$5=TRUE,$S$2=TRUE),VLOOKUP($G544,'KO Calc'!$H:$AW,5,FALSE),VLOOKUP($G544,'KO Calc'!$H550:$AW550,5,FALSE)),
IF(AND($Q$1=TRUE,$S$1=TRUE,$S$4=TRUE)=TRUE,IF(OR($Q$4=TRUE,$Q$5=TRUE,$S$2=TRUE),VLOOKUP($G544,'KO Calc'!$H:$AW,20,FALSE),VLOOKUP($G544,'KO Calc'!$H550:$AW550,20,FALSE)),IF(AND($Q$1=TRUE,$S$4=TRUE),IF(OR($Q$4=TRUE,$Q$5=TRUE,$S$2=TRUE),VLOOKUP($G544,'KO Calc'!$H:$AW,10,FALSE),VLOOKUP($G544,'KO Calc'!$H550:$AW550,10,FALSE)),
IF(AND($S$3=TRUE,$S$1=TRUE,$S$4=FALSE)=TRUE,IF(OR($Q$4=TRUE,$Q$5=TRUE,$S$2=TRUE),VLOOKUP($G544,'KO Calc'!$H:$AW,35,FALSE),VLOOKUP($G544,'KO Calc'!$H550:$AW550,35,FALSE)),IF(AND($S$3=TRUE,$S$4=FALSE),IF(OR($Q$4=TRUE,$Q$5=TRUE,$S$2=TRUE),VLOOKUP($G544,'KO Calc'!$H:$AW,25,FALSE),VLOOKUP($G544,'KO Calc'!$H550:$AW550,25,FALSE)),
IF(AND($S$3=TRUE,$S$1=TRUE,$S$4=TRUE)=TRUE,IF(OR($Q$4=TRUE,$Q$5=TRUE,$S$2=TRUE),VLOOKUP($G544,'KO Calc'!$H:$AW,40,FALSE),VLOOKUP($G544,'KO Calc'!$H550:$AW550,40,FALSE)),IF(AND($S$3=TRUE,$S$4=TRUE),IF(OR($Q$4=TRUE,$Q$5=TRUE,$S$2=TRUE),VLOOKUP($G544,'KO Calc'!$H:$AW,30,FALSE),VLOOKUP($G544,'KO Calc'!$H550:$AW550,30,FALSE)))))))))))))</f>
        <v>-</v>
      </c>
      <c r="L544" s="36" t="str">
        <f>IFERROR(IF(AND($Q$1=FALSE,$S$3=FALSE),"-",VLOOKUP($E544,'Status Thresholds'!$E:$AU,41,FALSE)),"-")</f>
        <v>-</v>
      </c>
      <c r="M544" s="36" t="str">
        <f>IFERROR(IF(AND($Q$1=FALSE,$S$3=FALSE),"-",VLOOKUP($E544,'Status Thresholds'!$E:$AU,42,FALSE)),"-")</f>
        <v>-</v>
      </c>
      <c r="N544" s="36" t="str">
        <f>IFERROR(IF(AND($Q$1=FALSE,$S$3=FALSE),"-",VLOOKUP($E544,'Status Thresholds'!$E:$AU,43,FALSE)),"-")</f>
        <v>-</v>
      </c>
    </row>
    <row r="545" spans="1:18" x14ac:dyDescent="0.25">
      <c r="B545" s="64" t="str">
        <f>VLOOKUP(C545,'Status Thresholds'!B:C,2,FALSE)</f>
        <v>MHGen</v>
      </c>
      <c r="C545" s="46" t="str">
        <f>IF(ISBLANK('KO Calc'!C541)=TRUE,"",'KO Calc'!C541)</f>
        <v>Narkos</v>
      </c>
      <c r="D545" s="78" t="s">
        <v>207</v>
      </c>
      <c r="E545" s="62" t="str">
        <f t="shared" si="15"/>
        <v>NarkosShock Trap</v>
      </c>
      <c r="F545" t="s">
        <v>13</v>
      </c>
      <c r="G545" s="36" t="str">
        <f t="shared" si="16"/>
        <v>NarkosCrag 3</v>
      </c>
      <c r="H545" s="36" t="str">
        <f>IF(AND($Q$1=FALSE,$S$3=FALSE),"-",IF(AND($Q$1=TRUE,$S$3=TRUE),"-",IF(AND($Q$1=FALSE,$S$3=FALSE),"-",IF(AND($Q$1=TRUE,$S$1=TRUE,$S$4=FALSE)=TRUE,IF(OR($Q$4=TRUE,$Q$5=TRUE,$S$2=TRUE),VLOOKUP($G545,'KO Calc'!$H:$AW,12,FALSE),VLOOKUP($G545,'KO Calc'!$H551:$AW551,12,FALSE)),IF(AND($Q$1=TRUE,$S$4=FALSE),IF(OR($Q$4=TRUE,$Q$5=TRUE,$S$2=TRUE),VLOOKUP($G545,'KO Calc'!$H:$AW,2,FALSE),VLOOKUP($G545,'KO Calc'!$H551:$AW551,2,FALSE)),
IF(AND($Q$1=TRUE,$S$1=TRUE,$S$4=TRUE)=TRUE,IF(OR($Q$4=TRUE,$Q$5=TRUE,$S$2=TRUE),VLOOKUP($G545,'KO Calc'!$H:$AW,17,FALSE),VLOOKUP($G545,'KO Calc'!$H551:$AW551,17,FALSE)),IF(AND($Q$1=TRUE,$S$4=TRUE),IF(OR($Q$4=TRUE,$Q$5=TRUE,$S$2=TRUE),VLOOKUP($G545,'KO Calc'!$H:$AW,7,FALSE),VLOOKUP($G545,'KO Calc'!$H551:$AW551,7,FALSE)),
IF(AND($S$3=TRUE,$S$1=TRUE,$S$4=FALSE)=TRUE,IF(OR($Q$4=TRUE,$Q$5=TRUE,$S$2=TRUE),VLOOKUP($G545,'KO Calc'!$H:$AW,32,FALSE),VLOOKUP($G545,'KO Calc'!$H551:$AW551,32,FALSE)),IF(AND($S$3=TRUE,$S$4=FALSE),IF(OR($Q$4=TRUE,$Q$5=TRUE,$S$2=TRUE),VLOOKUP($G545,'KO Calc'!$H:$AW,22,FALSE),VLOOKUP($G545,'KO Calc'!$H551:$AW551,22,FALSE)),
IF(AND($S$3=TRUE,$S$1=TRUE,$S$4=TRUE)=TRUE,IF(OR($Q$4=TRUE,$Q$5=TRUE,$S$2=TRUE),VLOOKUP($G545,'KO Calc'!$H:$AW,37,FALSE),VLOOKUP($G545,'KO Calc'!$H551:$AW551,37,FALSE)),IF(AND($S$3=TRUE,$S$4=TRUE),IF(OR($Q$4=TRUE,$Q$5=TRUE,$S$2=TRUE),VLOOKUP($G545,'KO Calc'!$H:$AW,27,FALSE),VLOOKUP($G545,'KO Calc'!$H551:$AW551,27,FALSE)))))))))))))</f>
        <v>-</v>
      </c>
      <c r="I545" s="36" t="str">
        <f>IF(AND($Q$1=FALSE,$S$3=FALSE),"-",IF(AND($Q$1=TRUE,$S$3=TRUE),"-",IF(AND($Q$1=FALSE,$S$3=FALSE),"-",IF(AND($Q$1=TRUE,$S$1=TRUE,$S$4=FALSE)=TRUE,IF(OR($Q$4=TRUE,$Q$5=TRUE,$S$2=TRUE),VLOOKUP($G545,'KO Calc'!$H:$AW,13,FALSE),VLOOKUP($G545,'KO Calc'!$H551:$AW551,13,FALSE)),IF(AND($Q$1=TRUE,$S$4=FALSE),IF(OR($Q$4=TRUE,$Q$5=TRUE,$S$2=TRUE),VLOOKUP($G545,'KO Calc'!$H:$AW,3,FALSE),VLOOKUP($G545,'KO Calc'!$H551:$AW551,3,FALSE)),
IF(AND($Q$1=TRUE,$S$1=TRUE,$S$4=TRUE)=TRUE,IF(OR($Q$4=TRUE,$Q$5=TRUE,$S$2=TRUE),VLOOKUP($G545,'KO Calc'!$H:$AW,18,FALSE),VLOOKUP($G545,'KO Calc'!$H551:$AW551,18,FALSE)),IF(AND($Q$1=TRUE,$S$4=TRUE),IF(OR($Q$4=TRUE,$Q$5=TRUE,$S$2=TRUE),VLOOKUP($G545,'KO Calc'!$H:$AW,8,FALSE),VLOOKUP($G545,'KO Calc'!$H551:$AW551,8,FALSE)),
IF(AND($S$3=TRUE,$S$1=TRUE,$S$4=FALSE)=TRUE,IF(OR($Q$4=TRUE,$Q$5=TRUE,$S$2=TRUE),VLOOKUP($G545,'KO Calc'!$H:$AW,33,FALSE),VLOOKUP($G545,'KO Calc'!$H551:$AW551,33,FALSE)),IF(AND($S$3=TRUE,$S$4=FALSE),IF(OR($Q$4=TRUE,$Q$5=TRUE,$S$2=TRUE),VLOOKUP($G545,'KO Calc'!$H:$AW,23,FALSE),VLOOKUP($G545,'KO Calc'!$H551:$AW551,23,FALSE)),
IF(AND($S$3=TRUE,$S$1=TRUE,$S$4=TRUE)=TRUE,IF(OR($Q$4=TRUE,$Q$5=TRUE,$S$2=TRUE),VLOOKUP($G545,'KO Calc'!$H:$AW,38,FALSE),VLOOKUP($G545,'KO Calc'!$H551:$AW551,38,FALSE)),IF(AND($S$3=TRUE,$S$4=TRUE),IF(OR($Q$4=TRUE,$Q$5=TRUE,$S$2=TRUE),VLOOKUP($G545,'KO Calc'!$H:$AW,28,FALSE),VLOOKUP($G545,'KO Calc'!$H551:$AW551,28,FALSE)))))))))))))</f>
        <v>-</v>
      </c>
      <c r="J545" s="36" t="str">
        <f>IF(AND($Q$1=FALSE,$S$3=FALSE),"-",IF(AND($Q$1=TRUE,$S$3=TRUE),"-",IF(AND($Q$1=FALSE,$S$3=FALSE),"-",IF(AND($Q$1=TRUE,$S$1=TRUE,$S$4=FALSE)=TRUE,IF(OR($Q$4=TRUE,$Q$5=TRUE,$S$2=TRUE),VLOOKUP($G545,'KO Calc'!$H:$AW,FALSE),VLOOKUP($G545,'KO Calc'!$H551:$AW551,14,FALSE)),IF(AND($Q$1=TRUE,$S$4=FALSE),IF(OR($Q$4=TRUE,$Q$5=TRUE,$S$2=TRUE),VLOOKUP($G545,'KO Calc'!$H:$AW,4,FALSE),VLOOKUP($G545,'KO Calc'!$H551:$AW551,4,FALSE)),
IF(AND($Q$1=TRUE,$S$1=TRUE,$S$4=TRUE)=TRUE,IF(OR($Q$4=TRUE,$Q$5=TRUE,$S$2=TRUE),VLOOKUP($G545,'KO Calc'!$H:$AW,19,FALSE),VLOOKUP($G545,'KO Calc'!$H551:$AW551,19,FALSE)),IF(AND($Q$1=TRUE,$S$4=TRUE),IF(OR($Q$4=TRUE,$Q$5=TRUE,$S$2=TRUE),VLOOKUP($G545,'KO Calc'!$H:$AW,9,FALSE),VLOOKUP($G545,'KO Calc'!$H551:$AW551,9,FALSE)),
IF(AND($S$3=TRUE,$S$1=TRUE,$S$4=FALSE)=TRUE,IF(OR($Q$4=TRUE,$Q$5=TRUE,$S$2=TRUE),VLOOKUP($G545,'KO Calc'!$H:$AW,34,FALSE),VLOOKUP($G545,'KO Calc'!$H551:$AW551,34,FALSE)),IF(AND($S$3=TRUE,$S$4=FALSE),IF(OR($Q$4=TRUE,$Q$5=TRUE,$S$2=TRUE),VLOOKUP($G545,'KO Calc'!$H:$AW,24,FALSE),VLOOKUP($G545,'KO Calc'!$H551:$AW551,24,FALSE)),
IF(AND($S$3=TRUE,$S$1=TRUE,$S$4=TRUE)=TRUE,IF(OR($Q$4=TRUE,$Q$5=TRUE,$S$2=TRUE),VLOOKUP($G545,'KO Calc'!$H:$AW,39,FALSE),VLOOKUP($G545,'KO Calc'!$H551:$AW551,39,FALSE)),IF(AND($S$3=TRUE,$S$4=TRUE),IF(OR($Q$4=TRUE,$Q$5=TRUE,$S$2=TRUE),VLOOKUP($G545,'KO Calc'!$H:$AW,29,FALSE),VLOOKUP($G545,'KO Calc'!$H551:$AW551,29,FALSE)))))))))))))</f>
        <v>-</v>
      </c>
      <c r="K545" s="36" t="str">
        <f>IF(AND($Q$1=FALSE,$S$3=FALSE),"-",IF(AND($Q$1=TRUE,$S$3=TRUE),"-",IF(AND($Q$1=FALSE,$S$3=FALSE),"-",IF(AND($Q$1=TRUE,$S$1=TRUE,$S$4=FALSE)=TRUE,IF(OR($Q$4=TRUE,$Q$5=TRUE,$S$2=TRUE),VLOOKUP($G545,'KO Calc'!$H:$AW,15,FALSE),VLOOKUP($G545,'KO Calc'!$H551:$AW551,15,FALSE)),IF(AND($Q$1=TRUE,$S$4=FALSE),IF(OR($Q$4=TRUE,$Q$5=TRUE,$S$2=TRUE),VLOOKUP($G545,'KO Calc'!$H:$AW,5,FALSE),VLOOKUP($G545,'KO Calc'!$H551:$AW551,5,FALSE)),
IF(AND($Q$1=TRUE,$S$1=TRUE,$S$4=TRUE)=TRUE,IF(OR($Q$4=TRUE,$Q$5=TRUE,$S$2=TRUE),VLOOKUP($G545,'KO Calc'!$H:$AW,20,FALSE),VLOOKUP($G545,'KO Calc'!$H551:$AW551,20,FALSE)),IF(AND($Q$1=TRUE,$S$4=TRUE),IF(OR($Q$4=TRUE,$Q$5=TRUE,$S$2=TRUE),VLOOKUP($G545,'KO Calc'!$H:$AW,10,FALSE),VLOOKUP($G545,'KO Calc'!$H551:$AW551,10,FALSE)),
IF(AND($S$3=TRUE,$S$1=TRUE,$S$4=FALSE)=TRUE,IF(OR($Q$4=TRUE,$Q$5=TRUE,$S$2=TRUE),VLOOKUP($G545,'KO Calc'!$H:$AW,35,FALSE),VLOOKUP($G545,'KO Calc'!$H551:$AW551,35,FALSE)),IF(AND($S$3=TRUE,$S$4=FALSE),IF(OR($Q$4=TRUE,$Q$5=TRUE,$S$2=TRUE),VLOOKUP($G545,'KO Calc'!$H:$AW,25,FALSE),VLOOKUP($G545,'KO Calc'!$H551:$AW551,25,FALSE)),
IF(AND($S$3=TRUE,$S$1=TRUE,$S$4=TRUE)=TRUE,IF(OR($Q$4=TRUE,$Q$5=TRUE,$S$2=TRUE),VLOOKUP($G545,'KO Calc'!$H:$AW,40,FALSE),VLOOKUP($G545,'KO Calc'!$H551:$AW551,40,FALSE)),IF(AND($S$3=TRUE,$S$4=TRUE),IF(OR($Q$4=TRUE,$Q$5=TRUE,$S$2=TRUE),VLOOKUP($G545,'KO Calc'!$H:$AW,30,FALSE),VLOOKUP($G545,'KO Calc'!$H551:$AW551,30,FALSE)))))))))))))</f>
        <v>-</v>
      </c>
      <c r="L545" s="36" t="str">
        <f>IFERROR(IF(AND($Q$1=FALSE,$S$3=FALSE),"-",VLOOKUP($E545,'Status Thresholds'!$E:$AU,43,FALSE)),"-")</f>
        <v>-</v>
      </c>
      <c r="M545" s="36" t="str">
        <f>IFERROR(IF(AND($Q$1=FALSE,$S$3=FALSE),"-",VLOOKUP($E545,'Status Thresholds'!$E:$AU,41,FALSE)),"-")</f>
        <v>-</v>
      </c>
      <c r="N545" s="36" t="str">
        <f>IFERROR(IF(AND($Q$1=FALSE,$S$3=FALSE),"-",VLOOKUP($E545,'Status Thresholds'!$E:$AU,42,FALSE)),"-")</f>
        <v>-</v>
      </c>
    </row>
    <row r="546" spans="1:18" x14ac:dyDescent="0.25">
      <c r="B546" s="64" t="str">
        <f>VLOOKUP(C546,'Status Thresholds'!B:C,2,FALSE)</f>
        <v>MHGen</v>
      </c>
      <c r="C546" s="46" t="str">
        <f>IF(ISBLANK('KO Calc'!C542)=TRUE,"",'KO Calc'!C542)</f>
        <v>Narkos</v>
      </c>
      <c r="D546" s="78" t="s">
        <v>213</v>
      </c>
      <c r="E546" s="62" t="str">
        <f t="shared" si="15"/>
        <v>NarkosPitfall Trap</v>
      </c>
      <c r="F546" t="s">
        <v>12</v>
      </c>
      <c r="G546" s="36" t="str">
        <f t="shared" si="16"/>
        <v>NarkosCrag 2</v>
      </c>
      <c r="H546" s="36" t="str">
        <f>IF(AND($Q$1=FALSE,$S$3=FALSE),"-",IF(AND($Q$1=TRUE,$S$3=TRUE),"-",IF(AND($Q$1=FALSE,$S$3=FALSE),"-",IF(AND($Q$1=TRUE,$S$1=TRUE,$S$4=FALSE)=TRUE,IF(OR($Q$4=TRUE,$Q$5=TRUE,$S$2=TRUE),VLOOKUP($G546,'KO Calc'!$H:$AW,12,FALSE),VLOOKUP($G546,'KO Calc'!$H552:$AW552,12,FALSE)),IF(AND($Q$1=TRUE,$S$4=FALSE),IF(OR($Q$4=TRUE,$Q$5=TRUE,$S$2=TRUE),VLOOKUP($G546,'KO Calc'!$H:$AW,2,FALSE),VLOOKUP($G546,'KO Calc'!$H552:$AW552,2,FALSE)),
IF(AND($Q$1=TRUE,$S$1=TRUE,$S$4=TRUE)=TRUE,IF(OR($Q$4=TRUE,$Q$5=TRUE,$S$2=TRUE),VLOOKUP($G546,'KO Calc'!$H:$AW,17,FALSE),VLOOKUP($G546,'KO Calc'!$H552:$AW552,17,FALSE)),IF(AND($Q$1=TRUE,$S$4=TRUE),IF(OR($Q$4=TRUE,$Q$5=TRUE,$S$2=TRUE),VLOOKUP($G546,'KO Calc'!$H:$AW,7,FALSE),VLOOKUP($G546,'KO Calc'!$H552:$AW552,7,FALSE)),
IF(AND($S$3=TRUE,$S$1=TRUE,$S$4=FALSE)=TRUE,IF(OR($Q$4=TRUE,$Q$5=TRUE,$S$2=TRUE),VLOOKUP($G546,'KO Calc'!$H:$AW,32,FALSE),VLOOKUP($G546,'KO Calc'!$H552:$AW552,32,FALSE)),IF(AND($S$3=TRUE,$S$4=FALSE),IF(OR($Q$4=TRUE,$Q$5=TRUE,$S$2=TRUE),VLOOKUP($G546,'KO Calc'!$H:$AW,22,FALSE),VLOOKUP($G546,'KO Calc'!$H552:$AW552,22,FALSE)),
IF(AND($S$3=TRUE,$S$1=TRUE,$S$4=TRUE)=TRUE,IF(OR($Q$4=TRUE,$Q$5=TRUE,$S$2=TRUE),VLOOKUP($G546,'KO Calc'!$H:$AW,37,FALSE),VLOOKUP($G546,'KO Calc'!$H552:$AW552,37,FALSE)),IF(AND($S$3=TRUE,$S$4=TRUE),IF(OR($Q$4=TRUE,$Q$5=TRUE,$S$2=TRUE),VLOOKUP($G546,'KO Calc'!$H:$AW,27,FALSE),VLOOKUP($G546,'KO Calc'!$H552:$AW552,27,FALSE)))))))))))))</f>
        <v>-</v>
      </c>
      <c r="I546" s="36" t="str">
        <f>IF(AND($Q$1=FALSE,$S$3=FALSE),"-",IF(AND($Q$1=TRUE,$S$3=TRUE),"-",IF(AND($Q$1=FALSE,$S$3=FALSE),"-",IF(AND($Q$1=TRUE,$S$1=TRUE,$S$4=FALSE)=TRUE,IF(OR($Q$4=TRUE,$Q$5=TRUE,$S$2=TRUE),VLOOKUP($G546,'KO Calc'!$H:$AW,13,FALSE),VLOOKUP($G546,'KO Calc'!$H552:$AW552,13,FALSE)),IF(AND($Q$1=TRUE,$S$4=FALSE),IF(OR($Q$4=TRUE,$Q$5=TRUE,$S$2=TRUE),VLOOKUP($G546,'KO Calc'!$H:$AW,3,FALSE),VLOOKUP($G546,'KO Calc'!$H552:$AW552,3,FALSE)),
IF(AND($Q$1=TRUE,$S$1=TRUE,$S$4=TRUE)=TRUE,IF(OR($Q$4=TRUE,$Q$5=TRUE,$S$2=TRUE),VLOOKUP($G546,'KO Calc'!$H:$AW,18,FALSE),VLOOKUP($G546,'KO Calc'!$H552:$AW552,18,FALSE)),IF(AND($Q$1=TRUE,$S$4=TRUE),IF(OR($Q$4=TRUE,$Q$5=TRUE,$S$2=TRUE),VLOOKUP($G546,'KO Calc'!$H:$AW,8,FALSE),VLOOKUP($G546,'KO Calc'!$H552:$AW552,8,FALSE)),
IF(AND($S$3=TRUE,$S$1=TRUE,$S$4=FALSE)=TRUE,IF(OR($Q$4=TRUE,$Q$5=TRUE,$S$2=TRUE),VLOOKUP($G546,'KO Calc'!$H:$AW,33,FALSE),VLOOKUP($G546,'KO Calc'!$H552:$AW552,33,FALSE)),IF(AND($S$3=TRUE,$S$4=FALSE),IF(OR($Q$4=TRUE,$Q$5=TRUE,$S$2=TRUE),VLOOKUP($G546,'KO Calc'!$H:$AW,23,FALSE),VLOOKUP($G546,'KO Calc'!$H552:$AW552,23,FALSE)),
IF(AND($S$3=TRUE,$S$1=TRUE,$S$4=TRUE)=TRUE,IF(OR($Q$4=TRUE,$Q$5=TRUE,$S$2=TRUE),VLOOKUP($G546,'KO Calc'!$H:$AW,38,FALSE),VLOOKUP($G546,'KO Calc'!$H552:$AW552,38,FALSE)),IF(AND($S$3=TRUE,$S$4=TRUE),IF(OR($Q$4=TRUE,$Q$5=TRUE,$S$2=TRUE),VLOOKUP($G546,'KO Calc'!$H:$AW,28,FALSE),VLOOKUP($G546,'KO Calc'!$H552:$AW552,28,FALSE)))))))))))))</f>
        <v>-</v>
      </c>
      <c r="J546" s="36" t="str">
        <f>IF(AND($Q$1=FALSE,$S$3=FALSE),"-",IF(AND($Q$1=TRUE,$S$3=TRUE),"-",IF(AND($Q$1=FALSE,$S$3=FALSE),"-",IF(AND($Q$1=TRUE,$S$1=TRUE,$S$4=FALSE)=TRUE,IF(OR($Q$4=TRUE,$Q$5=TRUE,$S$2=TRUE),VLOOKUP($G546,'KO Calc'!$H:$AW,FALSE),VLOOKUP($G546,'KO Calc'!$H552:$AW552,14,FALSE)),IF(AND($Q$1=TRUE,$S$4=FALSE),IF(OR($Q$4=TRUE,$Q$5=TRUE,$S$2=TRUE),VLOOKUP($G546,'KO Calc'!$H:$AW,4,FALSE),VLOOKUP($G546,'KO Calc'!$H552:$AW552,4,FALSE)),
IF(AND($Q$1=TRUE,$S$1=TRUE,$S$4=TRUE)=TRUE,IF(OR($Q$4=TRUE,$Q$5=TRUE,$S$2=TRUE),VLOOKUP($G546,'KO Calc'!$H:$AW,19,FALSE),VLOOKUP($G546,'KO Calc'!$H552:$AW552,19,FALSE)),IF(AND($Q$1=TRUE,$S$4=TRUE),IF(OR($Q$4=TRUE,$Q$5=TRUE,$S$2=TRUE),VLOOKUP($G546,'KO Calc'!$H:$AW,9,FALSE),VLOOKUP($G546,'KO Calc'!$H552:$AW552,9,FALSE)),
IF(AND($S$3=TRUE,$S$1=TRUE,$S$4=FALSE)=TRUE,IF(OR($Q$4=TRUE,$Q$5=TRUE,$S$2=TRUE),VLOOKUP($G546,'KO Calc'!$H:$AW,34,FALSE),VLOOKUP($G546,'KO Calc'!$H552:$AW552,34,FALSE)),IF(AND($S$3=TRUE,$S$4=FALSE),IF(OR($Q$4=TRUE,$Q$5=TRUE,$S$2=TRUE),VLOOKUP($G546,'KO Calc'!$H:$AW,24,FALSE),VLOOKUP($G546,'KO Calc'!$H552:$AW552,24,FALSE)),
IF(AND($S$3=TRUE,$S$1=TRUE,$S$4=TRUE)=TRUE,IF(OR($Q$4=TRUE,$Q$5=TRUE,$S$2=TRUE),VLOOKUP($G546,'KO Calc'!$H:$AW,39,FALSE),VLOOKUP($G546,'KO Calc'!$H552:$AW552,39,FALSE)),IF(AND($S$3=TRUE,$S$4=TRUE),IF(OR($Q$4=TRUE,$Q$5=TRUE,$S$2=TRUE),VLOOKUP($G546,'KO Calc'!$H:$AW,29,FALSE),VLOOKUP($G546,'KO Calc'!$H552:$AW552,29,FALSE)))))))))))))</f>
        <v>-</v>
      </c>
      <c r="K546" s="36" t="str">
        <f>IF(AND($Q$1=FALSE,$S$3=FALSE),"-",IF(AND($Q$1=TRUE,$S$3=TRUE),"-",IF(AND($Q$1=FALSE,$S$3=FALSE),"-",IF(AND($Q$1=TRUE,$S$1=TRUE,$S$4=FALSE)=TRUE,IF(OR($Q$4=TRUE,$Q$5=TRUE,$S$2=TRUE),VLOOKUP($G546,'KO Calc'!$H:$AW,15,FALSE),VLOOKUP($G546,'KO Calc'!$H552:$AW552,15,FALSE)),IF(AND($Q$1=TRUE,$S$4=FALSE),IF(OR($Q$4=TRUE,$Q$5=TRUE,$S$2=TRUE),VLOOKUP($G546,'KO Calc'!$H:$AW,5,FALSE),VLOOKUP($G546,'KO Calc'!$H552:$AW552,5,FALSE)),
IF(AND($Q$1=TRUE,$S$1=TRUE,$S$4=TRUE)=TRUE,IF(OR($Q$4=TRUE,$Q$5=TRUE,$S$2=TRUE),VLOOKUP($G546,'KO Calc'!$H:$AW,20,FALSE),VLOOKUP($G546,'KO Calc'!$H552:$AW552,20,FALSE)),IF(AND($Q$1=TRUE,$S$4=TRUE),IF(OR($Q$4=TRUE,$Q$5=TRUE,$S$2=TRUE),VLOOKUP($G546,'KO Calc'!$H:$AW,10,FALSE),VLOOKUP($G546,'KO Calc'!$H552:$AW552,10,FALSE)),
IF(AND($S$3=TRUE,$S$1=TRUE,$S$4=FALSE)=TRUE,IF(OR($Q$4=TRUE,$Q$5=TRUE,$S$2=TRUE),VLOOKUP($G546,'KO Calc'!$H:$AW,35,FALSE),VLOOKUP($G546,'KO Calc'!$H552:$AW552,35,FALSE)),IF(AND($S$3=TRUE,$S$4=FALSE),IF(OR($Q$4=TRUE,$Q$5=TRUE,$S$2=TRUE),VLOOKUP($G546,'KO Calc'!$H:$AW,25,FALSE),VLOOKUP($G546,'KO Calc'!$H552:$AW552,25,FALSE)),
IF(AND($S$3=TRUE,$S$1=TRUE,$S$4=TRUE)=TRUE,IF(OR($Q$4=TRUE,$Q$5=TRUE,$S$2=TRUE),VLOOKUP($G546,'KO Calc'!$H:$AW,40,FALSE),VLOOKUP($G546,'KO Calc'!$H552:$AW552,40,FALSE)),IF(AND($S$3=TRUE,$S$4=TRUE),IF(OR($Q$4=TRUE,$Q$5=TRUE,$S$2=TRUE),VLOOKUP($G546,'KO Calc'!$H:$AW,30,FALSE),VLOOKUP($G546,'KO Calc'!$H552:$AW552,30,FALSE)))))))))))))</f>
        <v>-</v>
      </c>
      <c r="L546" s="36" t="str">
        <f>IFERROR(IF(AND($Q$1=FALSE,$S$3=FALSE),"-",VLOOKUP($E546,'Status Thresholds'!$E:$AU,43,FALSE)),"-")</f>
        <v>-</v>
      </c>
      <c r="M546" s="36" t="str">
        <f>IFERROR(IF(AND($Q$1=FALSE,$S$3=FALSE),"-",VLOOKUP($E546,'Status Thresholds'!$E:$AU,41,FALSE)),"-")</f>
        <v>-</v>
      </c>
      <c r="N546" s="36" t="str">
        <f>IFERROR(IF(AND($Q$1=FALSE,$S$3=FALSE),"-",VLOOKUP($E546,'Status Thresholds'!$E:$AU,42,FALSE)),"-")</f>
        <v>-</v>
      </c>
    </row>
    <row r="547" spans="1:18" x14ac:dyDescent="0.25">
      <c r="B547" s="64" t="str">
        <f>VLOOKUP(C547,'Status Thresholds'!B:C,2,FALSE)</f>
        <v>MHGen</v>
      </c>
      <c r="C547" s="46" t="str">
        <f>IF(ISBLANK('KO Calc'!C543)=TRUE,"",'KO Calc'!C543)</f>
        <v>Narkos</v>
      </c>
      <c r="D547" s="78"/>
      <c r="E547" s="62" t="str">
        <f t="shared" si="15"/>
        <v>Narkos</v>
      </c>
      <c r="F547" t="s">
        <v>11</v>
      </c>
      <c r="G547" s="36" t="str">
        <f t="shared" si="16"/>
        <v>NarkosCrag 1</v>
      </c>
      <c r="H547" s="36" t="str">
        <f>IF(AND($Q$1=FALSE,$S$3=FALSE),"-",IF(AND($Q$1=TRUE,$S$3=TRUE),"-",IF(AND($Q$1=FALSE,$S$3=FALSE),"-",IF(AND($Q$1=TRUE,$S$1=TRUE,$S$4=FALSE)=TRUE,IF(OR($Q$4=TRUE,$Q$5=TRUE,$S$2=TRUE),VLOOKUP($G547,'KO Calc'!$H:$AW,12,FALSE),VLOOKUP($G547,'KO Calc'!$H553:$AW553,12,FALSE)),IF(AND($Q$1=TRUE,$S$4=FALSE),IF(OR($Q$4=TRUE,$Q$5=TRUE,$S$2=TRUE),VLOOKUP($G547,'KO Calc'!$H:$AW,2,FALSE),VLOOKUP($G547,'KO Calc'!$H553:$AW553,2,FALSE)),
IF(AND($Q$1=TRUE,$S$1=TRUE,$S$4=TRUE)=TRUE,IF(OR($Q$4=TRUE,$Q$5=TRUE,$S$2=TRUE),VLOOKUP($G547,'KO Calc'!$H:$AW,17,FALSE),VLOOKUP($G547,'KO Calc'!$H553:$AW553,17,FALSE)),IF(AND($Q$1=TRUE,$S$4=TRUE),IF(OR($Q$4=TRUE,$Q$5=TRUE,$S$2=TRUE),VLOOKUP($G547,'KO Calc'!$H:$AW,7,FALSE),VLOOKUP($G547,'KO Calc'!$H553:$AW553,7,FALSE)),
IF(AND($S$3=TRUE,$S$1=TRUE,$S$4=FALSE)=TRUE,IF(OR($Q$4=TRUE,$Q$5=TRUE,$S$2=TRUE),VLOOKUP($G547,'KO Calc'!$H:$AW,32,FALSE),VLOOKUP($G547,'KO Calc'!$H553:$AW553,32,FALSE)),IF(AND($S$3=TRUE,$S$4=FALSE),IF(OR($Q$4=TRUE,$Q$5=TRUE,$S$2=TRUE),VLOOKUP($G547,'KO Calc'!$H:$AW,22,FALSE),VLOOKUP($G547,'KO Calc'!$H553:$AW553,22,FALSE)),
IF(AND($S$3=TRUE,$S$1=TRUE,$S$4=TRUE)=TRUE,IF(OR($Q$4=TRUE,$Q$5=TRUE,$S$2=TRUE),VLOOKUP($G547,'KO Calc'!$H:$AW,37,FALSE),VLOOKUP($G547,'KO Calc'!$H553:$AW553,37,FALSE)),IF(AND($S$3=TRUE,$S$4=TRUE),IF(OR($Q$4=TRUE,$Q$5=TRUE,$S$2=TRUE),VLOOKUP($G547,'KO Calc'!$H:$AW,27,FALSE),VLOOKUP($G547,'KO Calc'!$H553:$AW553,27,FALSE)))))))))))))</f>
        <v>-</v>
      </c>
      <c r="I547" s="36" t="str">
        <f>IF(AND($Q$1=FALSE,$S$3=FALSE),"-",IF(AND($Q$1=TRUE,$S$3=TRUE),"-",IF(AND($Q$1=FALSE,$S$3=FALSE),"-",IF(AND($Q$1=TRUE,$S$1=TRUE,$S$4=FALSE)=TRUE,IF(OR($Q$4=TRUE,$Q$5=TRUE,$S$2=TRUE),VLOOKUP($G547,'KO Calc'!$H:$AW,13,FALSE),VLOOKUP($G547,'KO Calc'!$H553:$AW553,13,FALSE)),IF(AND($Q$1=TRUE,$S$4=FALSE),IF(OR($Q$4=TRUE,$Q$5=TRUE,$S$2=TRUE),VLOOKUP($G547,'KO Calc'!$H:$AW,3,FALSE),VLOOKUP($G547,'KO Calc'!$H553:$AW553,3,FALSE)),
IF(AND($Q$1=TRUE,$S$1=TRUE,$S$4=TRUE)=TRUE,IF(OR($Q$4=TRUE,$Q$5=TRUE,$S$2=TRUE),VLOOKUP($G547,'KO Calc'!$H:$AW,18,FALSE),VLOOKUP($G547,'KO Calc'!$H553:$AW553,18,FALSE)),IF(AND($Q$1=TRUE,$S$4=TRUE),IF(OR($Q$4=TRUE,$Q$5=TRUE,$S$2=TRUE),VLOOKUP($G547,'KO Calc'!$H:$AW,8,FALSE),VLOOKUP($G547,'KO Calc'!$H553:$AW553,8,FALSE)),
IF(AND($S$3=TRUE,$S$1=TRUE,$S$4=FALSE)=TRUE,IF(OR($Q$4=TRUE,$Q$5=TRUE,$S$2=TRUE),VLOOKUP($G547,'KO Calc'!$H:$AW,33,FALSE),VLOOKUP($G547,'KO Calc'!$H553:$AW553,33,FALSE)),IF(AND($S$3=TRUE,$S$4=FALSE),IF(OR($Q$4=TRUE,$Q$5=TRUE,$S$2=TRUE),VLOOKUP($G547,'KO Calc'!$H:$AW,23,FALSE),VLOOKUP($G547,'KO Calc'!$H553:$AW553,23,FALSE)),
IF(AND($S$3=TRUE,$S$1=TRUE,$S$4=TRUE)=TRUE,IF(OR($Q$4=TRUE,$Q$5=TRUE,$S$2=TRUE),VLOOKUP($G547,'KO Calc'!$H:$AW,38,FALSE),VLOOKUP($G547,'KO Calc'!$H553:$AW553,38,FALSE)),IF(AND($S$3=TRUE,$S$4=TRUE),IF(OR($Q$4=TRUE,$Q$5=TRUE,$S$2=TRUE),VLOOKUP($G547,'KO Calc'!$H:$AW,28,FALSE),VLOOKUP($G547,'KO Calc'!$H553:$AW553,28,FALSE)))))))))))))</f>
        <v>-</v>
      </c>
      <c r="J547" s="36" t="str">
        <f>IF(AND($Q$1=FALSE,$S$3=FALSE),"-",IF(AND($Q$1=TRUE,$S$3=TRUE),"-",IF(AND($Q$1=FALSE,$S$3=FALSE),"-",IF(AND($Q$1=TRUE,$S$1=TRUE,$S$4=FALSE)=TRUE,IF(OR($Q$4=TRUE,$Q$5=TRUE,$S$2=TRUE),VLOOKUP($G547,'KO Calc'!$H:$AW,FALSE),VLOOKUP($G547,'KO Calc'!$H553:$AW553,14,FALSE)),IF(AND($Q$1=TRUE,$S$4=FALSE),IF(OR($Q$4=TRUE,$Q$5=TRUE,$S$2=TRUE),VLOOKUP($G547,'KO Calc'!$H:$AW,4,FALSE),VLOOKUP($G547,'KO Calc'!$H553:$AW553,4,FALSE)),
IF(AND($Q$1=TRUE,$S$1=TRUE,$S$4=TRUE)=TRUE,IF(OR($Q$4=TRUE,$Q$5=TRUE,$S$2=TRUE),VLOOKUP($G547,'KO Calc'!$H:$AW,19,FALSE),VLOOKUP($G547,'KO Calc'!$H553:$AW553,19,FALSE)),IF(AND($Q$1=TRUE,$S$4=TRUE),IF(OR($Q$4=TRUE,$Q$5=TRUE,$S$2=TRUE),VLOOKUP($G547,'KO Calc'!$H:$AW,9,FALSE),VLOOKUP($G547,'KO Calc'!$H553:$AW553,9,FALSE)),
IF(AND($S$3=TRUE,$S$1=TRUE,$S$4=FALSE)=TRUE,IF(OR($Q$4=TRUE,$Q$5=TRUE,$S$2=TRUE),VLOOKUP($G547,'KO Calc'!$H:$AW,34,FALSE),VLOOKUP($G547,'KO Calc'!$H553:$AW553,34,FALSE)),IF(AND($S$3=TRUE,$S$4=FALSE),IF(OR($Q$4=TRUE,$Q$5=TRUE,$S$2=TRUE),VLOOKUP($G547,'KO Calc'!$H:$AW,24,FALSE),VLOOKUP($G547,'KO Calc'!$H553:$AW553,24,FALSE)),
IF(AND($S$3=TRUE,$S$1=TRUE,$S$4=TRUE)=TRUE,IF(OR($Q$4=TRUE,$Q$5=TRUE,$S$2=TRUE),VLOOKUP($G547,'KO Calc'!$H:$AW,39,FALSE),VLOOKUP($G547,'KO Calc'!$H553:$AW553,39,FALSE)),IF(AND($S$3=TRUE,$S$4=TRUE),IF(OR($Q$4=TRUE,$Q$5=TRUE,$S$2=TRUE),VLOOKUP($G547,'KO Calc'!$H:$AW,29,FALSE),VLOOKUP($G547,'KO Calc'!$H553:$AW553,29,FALSE)))))))))))))</f>
        <v>-</v>
      </c>
      <c r="K547" s="36" t="str">
        <f>IF(AND($Q$1=FALSE,$S$3=FALSE),"-",IF(AND($Q$1=TRUE,$S$3=TRUE),"-",IF(AND($Q$1=FALSE,$S$3=FALSE),"-",IF(AND($Q$1=TRUE,$S$1=TRUE,$S$4=FALSE)=TRUE,IF(OR($Q$4=TRUE,$Q$5=TRUE,$S$2=TRUE),VLOOKUP($G547,'KO Calc'!$H:$AW,15,FALSE),VLOOKUP($G547,'KO Calc'!$H553:$AW553,15,FALSE)),IF(AND($Q$1=TRUE,$S$4=FALSE),IF(OR($Q$4=TRUE,$Q$5=TRUE,$S$2=TRUE),VLOOKUP($G547,'KO Calc'!$H:$AW,5,FALSE),VLOOKUP($G547,'KO Calc'!$H553:$AW553,5,FALSE)),
IF(AND($Q$1=TRUE,$S$1=TRUE,$S$4=TRUE)=TRUE,IF(OR($Q$4=TRUE,$Q$5=TRUE,$S$2=TRUE),VLOOKUP($G547,'KO Calc'!$H:$AW,20,FALSE),VLOOKUP($G547,'KO Calc'!$H553:$AW553,20,FALSE)),IF(AND($Q$1=TRUE,$S$4=TRUE),IF(OR($Q$4=TRUE,$Q$5=TRUE,$S$2=TRUE),VLOOKUP($G547,'KO Calc'!$H:$AW,10,FALSE),VLOOKUP($G547,'KO Calc'!$H553:$AW553,10,FALSE)),
IF(AND($S$3=TRUE,$S$1=TRUE,$S$4=FALSE)=TRUE,IF(OR($Q$4=TRUE,$Q$5=TRUE,$S$2=TRUE),VLOOKUP($G547,'KO Calc'!$H:$AW,35,FALSE),VLOOKUP($G547,'KO Calc'!$H553:$AW553,35,FALSE)),IF(AND($S$3=TRUE,$S$4=FALSE),IF(OR($Q$4=TRUE,$Q$5=TRUE,$S$2=TRUE),VLOOKUP($G547,'KO Calc'!$H:$AW,25,FALSE),VLOOKUP($G547,'KO Calc'!$H553:$AW553,25,FALSE)),
IF(AND($S$3=TRUE,$S$1=TRUE,$S$4=TRUE)=TRUE,IF(OR($Q$4=TRUE,$Q$5=TRUE,$S$2=TRUE),VLOOKUP($G547,'KO Calc'!$H:$AW,40,FALSE),VLOOKUP($G547,'KO Calc'!$H553:$AW553,40,FALSE)),IF(AND($S$3=TRUE,$S$4=TRUE),IF(OR($Q$4=TRUE,$Q$5=TRUE,$S$2=TRUE),VLOOKUP($G547,'KO Calc'!$H:$AW,30,FALSE),VLOOKUP($G547,'KO Calc'!$H553:$AW553,30,FALSE)))))))))))))</f>
        <v>-</v>
      </c>
      <c r="L547" s="36" t="str">
        <f>IFERROR(VLOOKUP($E547,'Status Thresholds'!$E:$AS,41,FALSE),"-")</f>
        <v>-</v>
      </c>
    </row>
    <row r="548" spans="1:18" x14ac:dyDescent="0.25">
      <c r="B548" s="64" t="str">
        <f>VLOOKUP(C548,'Status Thresholds'!B:C,2,FALSE)</f>
        <v>MHGen</v>
      </c>
      <c r="C548" s="46" t="str">
        <f>IF(ISBLANK('KO Calc'!C544)=TRUE,"",'KO Calc'!C544)</f>
        <v>Narkos</v>
      </c>
      <c r="D548" s="78"/>
      <c r="E548" s="62"/>
      <c r="G548" s="36"/>
      <c r="L548" s="36" t="str">
        <f>IFERROR(VLOOKUP($E548,'Status Thresholds'!$E:$AS,41,FALSE),"-")</f>
        <v>-</v>
      </c>
    </row>
    <row r="549" spans="1:18" s="36" customFormat="1" x14ac:dyDescent="0.25">
      <c r="B549" s="64" t="str">
        <f>VLOOKUP(C549,'Status Thresholds'!B:C,2,FALSE)</f>
        <v>MHGU</v>
      </c>
      <c r="C549" s="46" t="str">
        <f>IF(ISBLANK('KO Calc'!C545)=TRUE,"",'KO Calc'!C545)</f>
        <v>Nerscylla</v>
      </c>
      <c r="D549" s="65" t="s">
        <v>0</v>
      </c>
      <c r="E549" s="62" t="str">
        <f t="shared" si="15"/>
        <v>NerscyllaPara</v>
      </c>
      <c r="F549" s="36" t="s">
        <v>2</v>
      </c>
      <c r="G549" s="36" t="str">
        <f t="shared" si="16"/>
        <v>NerscyllaPara lvl 2</v>
      </c>
      <c r="H549" s="36" t="str">
        <f>IFERROR(ROUNDUP(IF(AND($Q$1=FALSE,$S$3=FALSE),"-",IF(AND($Q$1=TRUE,$S$3=TRUE),"-",IF(AND($Q$1=TRUE,$S$1=TRUE,$S$4=FALSE),VLOOKUP($E549,'Status Thresholds'!$E:$AS,12,FALSE),IF(AND($Q$1=TRUE,$S$4=FALSE),VLOOKUP($E549,'Status Thresholds'!$E:$AS,2,FALSE), IF(AND($Q$1=TRUE,$S$1=TRUE,$S$4=TRUE),VLOOKUP($E549,'Status Thresholds'!$E:$AS,17,FALSE),IF(AND($Q$1=TRUE,$S$4=TRUE),VLOOKUP($E549,'Status Thresholds'!$E:$AS,7,FALSE),IF(AND($S$3=TRUE,$S$1=TRUE,$S$4=FALSE),VLOOKUP($E549,'Status Thresholds'!$E:$AS,32,FALSE),IF(AND($S$3=TRUE,$S$4=FALSE),VLOOKUP($E549,'Status Thresholds'!$E:$AS,22,FALSE),IF(AND($S$3=TRUE,$S$1=TRUE,$S$4=TRUE),VLOOKUP($E549,'Status Thresholds'!$E:$AS,37,FALSE),IF(AND($S$3=TRUE,$S$4=TRUE),VLOOKUP($E549,'Status Thresholds'!$E:$AS,27,FALSE),""))))))))/IF(OR($Q$3=TRUE,AND($Q$2=TRUE,$Q$7=TRUE),AND($Q$3=TRUE,$Q$7=TRUE))=TRUE,'Shots and Status'!$F$5,IF((OR($Q$2,$Q$7)=TRUE),'Shots and Status'!$D$5,'Shots and Status'!$C$5)))),0),"-")</f>
        <v>-</v>
      </c>
      <c r="I549" s="36" t="str">
        <f>IFERROR(ROUNDUP(IF(AND($Q$1=FALSE,$S$3=FALSE),"-",IF(AND($Q$1=TRUE,$S$3=TRUE),"-",IF(AND($Q$1=TRUE,$S$1=TRUE,$S$4=FALSE),VLOOKUP($E549,'Status Thresholds'!$E:$AS,13,FALSE),IF(AND($Q$1=TRUE,$S$4=FALSE),VLOOKUP($E549,'Status Thresholds'!$E:$AS,3,FALSE), IF(AND($Q$1=TRUE,$S$1=TRUE,$S$4=TRUE),VLOOKUP($E549,'Status Thresholds'!$E:$AS,18,FALSE),IF(AND($Q$1=TRUE,$S$4=TRUE),VLOOKUP($E549,'Status Thresholds'!$E:$AS,8,FALSE),IF(AND($S$3=TRUE,$S$1=TRUE,$S$4=FALSE),VLOOKUP($E549,'Status Thresholds'!$E:$AS,33,FALSE),IF(AND($S$3=TRUE,$S$4=FALSE),VLOOKUP($E549,'Status Thresholds'!$E:$AS,23,FALSE),IF(AND($S$3=TRUE,$S$1=TRUE,$S$4=TRUE),VLOOKUP($E549,'Status Thresholds'!$E:$AS,38,FALSE),IF(AND($S$3=TRUE,$S$4=TRUE),VLOOKUP($E549,'Status Thresholds'!$E:$AS,28,FALSE),""))))))))/IF(OR($Q$3=TRUE,AND($Q$2=TRUE,$Q$7=TRUE),AND($Q$3=TRUE,$Q$7=TRUE))=TRUE,'Shots and Status'!$F$5,IF((OR($Q$2,$Q$7)=TRUE),'Shots and Status'!$D$5,'Shots and Status'!$C$5)))),0),"-")</f>
        <v>-</v>
      </c>
      <c r="J549" s="36" t="str">
        <f>IFERROR(ROUNDUP(IF(AND($Q$1=FALSE,$S$3=FALSE),"-",IF(AND($Q$1=TRUE,$S$3=TRUE),"-",IF(AND($Q$1=TRUE,$S$1=TRUE,$S$4=FALSE),VLOOKUP($E549,'Status Thresholds'!$E:$AS,14,FALSE),IF(AND($Q$1=TRUE,$S$4=FALSE),VLOOKUP($E549,'Status Thresholds'!$E:$AS,4,FALSE), IF(AND($Q$1=TRUE,$S$1=TRUE,$S$4=TRUE),VLOOKUP($E549,'Status Thresholds'!$E:$AS,19,FALSE),IF(AND($Q$1=TRUE,$S$4=TRUE),VLOOKUP($E549,'Status Thresholds'!$E:$AS,9,FALSE),IF(AND($S$3=TRUE,$S$1=TRUE,$S$4=FALSE),VLOOKUP($E549,'Status Thresholds'!$E:$AS,34,FALSE),IF(AND($S$3=TRUE,$S$4=FALSE),VLOOKUP($E549,'Status Thresholds'!$E:$AS,24,FALSE),IF(AND($S$3=TRUE,$S$1=TRUE,$S$4=TRUE),VLOOKUP($E549,'Status Thresholds'!$E:$AS,39,FALSE),IF(AND($S$3=TRUE,$S$4=TRUE),VLOOKUP($E549,'Status Thresholds'!$E:$AS,29,FALSE),""))))))))/IF(OR($Q$3=TRUE,AND($Q$2=TRUE,$Q$7=TRUE),AND($Q$3=TRUE,$Q$7=TRUE))=TRUE,'Shots and Status'!$F$5,IF((OR($Q$2,$Q$7)=TRUE),'Shots and Status'!$D$5,'Shots and Status'!$C$5)))),0),"-")</f>
        <v>-</v>
      </c>
      <c r="K549" s="36" t="str">
        <f>IFERROR(ROUNDUP(IF(AND($Q$1=FALSE,$S$3=FALSE),"-",IF(AND($Q$1=TRUE,$S$3=TRUE),"-",IF(AND($Q$1=TRUE,$S$1=TRUE,$S$4=FALSE),VLOOKUP($E549,'Status Thresholds'!$E:$AS,15,FALSE),IF(AND($Q$1=TRUE,$S$4=FALSE),VLOOKUP($E549,'Status Thresholds'!$E:$AS,5,FALSE), IF(AND($Q$1=TRUE,$S$1=TRUE,$S$4=TRUE),VLOOKUP($E549,'Status Thresholds'!$E:$AS,20,FALSE),IF(AND($Q$1=TRUE,$S$4=TRUE),VLOOKUP($E549,'Status Thresholds'!$E:$AS,10,FALSE),IF(AND($S$3=TRUE,$S$1=TRUE,$S$4=FALSE),VLOOKUP($E549,'Status Thresholds'!$E:$AS,35,FALSE),IF(AND($S$3=TRUE,$S$4=FALSE),VLOOKUP($E549,'Status Thresholds'!$E:$AS,25,FALSE),IF(AND($S$3=TRUE,$S$1=TRUE,$S$4=TRUE),VLOOKUP($E549,'Status Thresholds'!$E:$AS,40,FALSE),IF(AND($S$3=TRUE,$S$4=TRUE),VLOOKUP($E549,'Status Thresholds'!$E:$AS,30,FALSE),""))))))))/IF(OR($Q$3=TRUE,AND($Q$2=TRUE,$Q$7=TRUE),AND($Q$3=TRUE,$Q$7=TRUE))=TRUE,'Shots and Status'!$F$5,IF((OR($Q$2,$Q$7)=TRUE),'Shots and Status'!$D$5,'Shots and Status'!$C$5)))),0),"-")</f>
        <v>-</v>
      </c>
      <c r="L549" s="36" t="str">
        <f>IFERROR(IF(AND($Q$1=FALSE,$S$3=FALSE),"-",VLOOKUP($E549,'Status Thresholds'!$E:$AU,41,FALSE)),"-")</f>
        <v>-</v>
      </c>
      <c r="M549" s="36" t="str">
        <f>IFERROR(IF(AND($Q$1=FALSE,$S$3=FALSE),"-",VLOOKUP($E549,'Status Thresholds'!$E:$AU,42,FALSE)),"-")</f>
        <v>-</v>
      </c>
      <c r="N549" s="36" t="str">
        <f>IFERROR(IF(AND($Q$1=FALSE,$S$3=FALSE),"-",VLOOKUP($E549,'Status Thresholds'!$E:$AU,43,FALSE)),"-")</f>
        <v>-</v>
      </c>
    </row>
    <row r="550" spans="1:18" s="59" customFormat="1" x14ac:dyDescent="0.25">
      <c r="A550" s="46"/>
      <c r="B550" s="64" t="str">
        <f>VLOOKUP(C550,'Status Thresholds'!B:C,2,FALSE)</f>
        <v>MHGU</v>
      </c>
      <c r="C550" s="46" t="str">
        <f>IF(ISBLANK('KO Calc'!C546)=TRUE,"",'KO Calc'!C546)</f>
        <v>Nerscylla</v>
      </c>
      <c r="D550" s="60" t="s">
        <v>32</v>
      </c>
      <c r="E550" s="62" t="str">
        <f t="shared" si="15"/>
        <v>NerscyllaSleep</v>
      </c>
      <c r="F550" s="59" t="s">
        <v>5</v>
      </c>
      <c r="G550" s="36" t="str">
        <f t="shared" si="16"/>
        <v>NerscyllaSleep lvl 2</v>
      </c>
      <c r="H550" s="36" t="str">
        <f>IFERROR(ROUNDUP(IF(AND($Q$1=FALSE,$S$3=FALSE),"-",IF(AND($Q$1=TRUE,$S$3=TRUE),"-",IF(AND($Q$1=TRUE,$S$1=TRUE,$S$4=FALSE),VLOOKUP($E550,'Status Thresholds'!$E:$AS,12,FALSE),IF(AND($Q$1=TRUE,$S$4=FALSE),VLOOKUP($E550,'Status Thresholds'!$E:$AS,2,FALSE), IF(AND($Q$1=TRUE,$S$1=TRUE,$S$4=TRUE),VLOOKUP($E550,'Status Thresholds'!$E:$AS,17,FALSE),IF(AND($Q$1=TRUE,$S$4=TRUE),VLOOKUP($E550,'Status Thresholds'!$E:$AS,7,FALSE),IF(AND($S$3=TRUE,$S$1=TRUE,$S$4=FALSE),VLOOKUP($E550,'Status Thresholds'!$E:$AS,32,FALSE),IF(AND($S$3=TRUE,$S$4=FALSE),VLOOKUP($E550,'Status Thresholds'!$E:$AS,22,FALSE),IF(AND($S$3=TRUE,$S$1=TRUE,$S$4=TRUE),VLOOKUP($E550,'Status Thresholds'!$E:$AS,37,FALSE),IF(AND($S$3=TRUE,$S$4=TRUE),VLOOKUP($E550,'Status Thresholds'!$E:$AS,27,FALSE),""))))))))/IF(OR($Q$3=TRUE,AND($Q$2=TRUE,$Q$7=TRUE),AND($Q$3=TRUE,$Q$7=TRUE))=TRUE,'Shots and Status'!$F$5,IF((OR($Q$2,$Q$7)=TRUE),'Shots and Status'!$D$5,'Shots and Status'!$C$5)))),0),"-")</f>
        <v>-</v>
      </c>
      <c r="I550" s="36" t="str">
        <f>IFERROR(ROUNDUP(IF(AND($Q$1=FALSE,$S$3=FALSE),"-",IF(AND($Q$1=TRUE,$S$3=TRUE),"-",IF(AND($Q$1=TRUE,$S$1=TRUE,$S$4=FALSE),VLOOKUP($E550,'Status Thresholds'!$E:$AS,13,FALSE),IF(AND($Q$1=TRUE,$S$4=FALSE),VLOOKUP($E550,'Status Thresholds'!$E:$AS,3,FALSE), IF(AND($Q$1=TRUE,$S$1=TRUE,$S$4=TRUE),VLOOKUP($E550,'Status Thresholds'!$E:$AS,18,FALSE),IF(AND($Q$1=TRUE,$S$4=TRUE),VLOOKUP($E550,'Status Thresholds'!$E:$AS,8,FALSE),IF(AND($S$3=TRUE,$S$1=TRUE,$S$4=FALSE),VLOOKUP($E550,'Status Thresholds'!$E:$AS,33,FALSE),IF(AND($S$3=TRUE,$S$4=FALSE),VLOOKUP($E550,'Status Thresholds'!$E:$AS,23,FALSE),IF(AND($S$3=TRUE,$S$1=TRUE,$S$4=TRUE),VLOOKUP($E550,'Status Thresholds'!$E:$AS,38,FALSE),IF(AND($S$3=TRUE,$S$4=TRUE),VLOOKUP($E550,'Status Thresholds'!$E:$AS,28,FALSE),""))))))))/IF(OR($Q$3=TRUE,AND($Q$2=TRUE,$Q$7=TRUE),AND($Q$3=TRUE,$Q$7=TRUE))=TRUE,'Shots and Status'!$F$5,IF((OR($Q$2,$Q$7)=TRUE),'Shots and Status'!$D$5,'Shots and Status'!$C$5)))),0),"-")</f>
        <v>-</v>
      </c>
      <c r="J550" s="36" t="str">
        <f>IFERROR(ROUNDUP(IF(AND($Q$1=FALSE,$S$3=FALSE),"-",IF(AND($Q$1=TRUE,$S$3=TRUE),"-",IF(AND($Q$1=TRUE,$S$1=TRUE,$S$4=FALSE),VLOOKUP($E550,'Status Thresholds'!$E:$AS,14,FALSE),IF(AND($Q$1=TRUE,$S$4=FALSE),VLOOKUP($E550,'Status Thresholds'!$E:$AS,4,FALSE), IF(AND($Q$1=TRUE,$S$1=TRUE,$S$4=TRUE),VLOOKUP($E550,'Status Thresholds'!$E:$AS,19,FALSE),IF(AND($Q$1=TRUE,$S$4=TRUE),VLOOKUP($E550,'Status Thresholds'!$E:$AS,9,FALSE),IF(AND($S$3=TRUE,$S$1=TRUE,$S$4=FALSE),VLOOKUP($E550,'Status Thresholds'!$E:$AS,34,FALSE),IF(AND($S$3=TRUE,$S$4=FALSE),VLOOKUP($E550,'Status Thresholds'!$E:$AS,24,FALSE),IF(AND($S$3=TRUE,$S$1=TRUE,$S$4=TRUE),VLOOKUP($E550,'Status Thresholds'!$E:$AS,39,FALSE),IF(AND($S$3=TRUE,$S$4=TRUE),VLOOKUP($E550,'Status Thresholds'!$E:$AS,29,FALSE),""))))))))/IF(OR($Q$3=TRUE,AND($Q$2=TRUE,$Q$7=TRUE),AND($Q$3=TRUE,$Q$7=TRUE))=TRUE,'Shots and Status'!$F$5,IF((OR($Q$2,$Q$7)=TRUE),'Shots and Status'!$D$5,'Shots and Status'!$C$5)))),0),"-")</f>
        <v>-</v>
      </c>
      <c r="K550" s="36" t="str">
        <f>IFERROR(ROUNDUP(IF(AND($Q$1=FALSE,$S$3=FALSE),"-",IF(AND($Q$1=TRUE,$S$3=TRUE),"-",IF(AND($Q$1=TRUE,$S$1=TRUE,$S$4=FALSE),VLOOKUP($E550,'Status Thresholds'!$E:$AS,15,FALSE),IF(AND($Q$1=TRUE,$S$4=FALSE),VLOOKUP($E550,'Status Thresholds'!$E:$AS,5,FALSE), IF(AND($Q$1=TRUE,$S$1=TRUE,$S$4=TRUE),VLOOKUP($E550,'Status Thresholds'!$E:$AS,20,FALSE),IF(AND($Q$1=TRUE,$S$4=TRUE),VLOOKUP($E550,'Status Thresholds'!$E:$AS,10,FALSE),IF(AND($S$3=TRUE,$S$1=TRUE,$S$4=FALSE),VLOOKUP($E550,'Status Thresholds'!$E:$AS,35,FALSE),IF(AND($S$3=TRUE,$S$4=FALSE),VLOOKUP($E550,'Status Thresholds'!$E:$AS,25,FALSE),IF(AND($S$3=TRUE,$S$1=TRUE,$S$4=TRUE),VLOOKUP($E550,'Status Thresholds'!$E:$AS,40,FALSE),IF(AND($S$3=TRUE,$S$4=TRUE),VLOOKUP($E550,'Status Thresholds'!$E:$AS,30,FALSE),""))))))))/IF(OR($Q$3=TRUE,AND($Q$2=TRUE,$Q$7=TRUE),AND($Q$3=TRUE,$Q$7=TRUE))=TRUE,'Shots and Status'!$F$5,IF((OR($Q$2,$Q$7)=TRUE),'Shots and Status'!$D$5,'Shots and Status'!$C$5)))),0),"-")</f>
        <v>-</v>
      </c>
      <c r="L550" s="36" t="str">
        <f>IFERROR(IF(AND($Q$1=FALSE,$S$3=FALSE),"-",VLOOKUP($E550,'Status Thresholds'!$E:$AU,41,FALSE)),"-")</f>
        <v>-</v>
      </c>
      <c r="M550" s="36" t="str">
        <f>IFERROR(IF(AND($Q$1=FALSE,$S$3=FALSE),"-",VLOOKUP($E550,'Status Thresholds'!$E:$AU,42,FALSE)),"-")</f>
        <v>-</v>
      </c>
      <c r="N550" s="36" t="str">
        <f>IFERROR(IF(AND($Q$1=FALSE,$S$3=FALSE),"-",VLOOKUP($E550,'Status Thresholds'!$E:$AU,43,FALSE)),"-")</f>
        <v>-</v>
      </c>
    </row>
    <row r="551" spans="1:18" s="59" customFormat="1" x14ac:dyDescent="0.25">
      <c r="A551" s="46"/>
      <c r="B551" s="64" t="str">
        <f>VLOOKUP(C551,'Status Thresholds'!B:C,2,FALSE)</f>
        <v>MHGU</v>
      </c>
      <c r="C551" s="46" t="str">
        <f>IF(ISBLANK('KO Calc'!C547)=TRUE,"",'KO Calc'!C547)</f>
        <v>Nerscylla</v>
      </c>
      <c r="D551" s="58" t="s">
        <v>33</v>
      </c>
      <c r="E551" s="62" t="str">
        <f t="shared" si="15"/>
        <v>NerscyllaPoison</v>
      </c>
      <c r="F551" s="59" t="s">
        <v>6</v>
      </c>
      <c r="G551" s="36" t="str">
        <f t="shared" si="16"/>
        <v>NerscyllaPoison lvl 2</v>
      </c>
      <c r="H551" s="36" t="str">
        <f>IFERROR(ROUNDUP(IF(AND($Q$1=FALSE,$S$3=FALSE),"-",IF(AND($Q$1=TRUE,$S$3=TRUE),"-",IF(AND($Q$1=TRUE,$S$1=TRUE,$S$4=FALSE),VLOOKUP($E551,'Status Thresholds'!$E:$AS,12,FALSE),IF(AND($Q$1=TRUE,$S$4=FALSE),VLOOKUP($E551,'Status Thresholds'!$E:$AS,2,FALSE), IF(AND($Q$1=TRUE,$S$1=TRUE,$S$4=TRUE),VLOOKUP($E551,'Status Thresholds'!$E:$AS,17,FALSE),IF(AND($Q$1=TRUE,$S$4=TRUE),VLOOKUP($E551,'Status Thresholds'!$E:$AS,7,FALSE),IF(AND($S$3=TRUE,$S$1=TRUE,$S$4=FALSE),VLOOKUP($E551,'Status Thresholds'!$E:$AS,32,FALSE),IF(AND($S$3=TRUE,$S$4=FALSE),VLOOKUP($E551,'Status Thresholds'!$E:$AS,22,FALSE),IF(AND($S$3=TRUE,$S$1=TRUE,$S$4=TRUE),VLOOKUP($E551,'Status Thresholds'!$E:$AS,37,FALSE),IF(AND($S$3=TRUE,$S$4=TRUE),VLOOKUP($E551,'Status Thresholds'!$E:$AS,27,FALSE),""))))))))/IF(OR($Q$3=TRUE,AND($Q$2=TRUE,$Q$7=TRUE),AND($Q$3=TRUE,$Q$7=TRUE))=TRUE,'Shots and Status'!$F$5,IF((OR($Q$2,$Q$7)=TRUE),'Shots and Status'!$D$5,'Shots and Status'!$C$5)))),0),"-")</f>
        <v>-</v>
      </c>
      <c r="I551" s="36" t="str">
        <f>IFERROR(ROUNDUP(IF(AND($Q$1=FALSE,$S$3=FALSE),"-",IF(AND($Q$1=TRUE,$S$3=TRUE),"-",IF(AND($Q$1=TRUE,$S$1=TRUE,$S$4=FALSE),VLOOKUP($E551,'Status Thresholds'!$E:$AS,13,FALSE),IF(AND($Q$1=TRUE,$S$4=FALSE),VLOOKUP($E551,'Status Thresholds'!$E:$AS,3,FALSE), IF(AND($Q$1=TRUE,$S$1=TRUE,$S$4=TRUE),VLOOKUP($E551,'Status Thresholds'!$E:$AS,18,FALSE),IF(AND($Q$1=TRUE,$S$4=TRUE),VLOOKUP($E551,'Status Thresholds'!$E:$AS,8,FALSE),IF(AND($S$3=TRUE,$S$1=TRUE,$S$4=FALSE),VLOOKUP($E551,'Status Thresholds'!$E:$AS,33,FALSE),IF(AND($S$3=TRUE,$S$4=FALSE),VLOOKUP($E551,'Status Thresholds'!$E:$AS,23,FALSE),IF(AND($S$3=TRUE,$S$1=TRUE,$S$4=TRUE),VLOOKUP($E551,'Status Thresholds'!$E:$AS,38,FALSE),IF(AND($S$3=TRUE,$S$4=TRUE),VLOOKUP($E551,'Status Thresholds'!$E:$AS,28,FALSE),""))))))))/IF(OR($Q$3=TRUE,AND($Q$2=TRUE,$Q$7=TRUE),AND($Q$3=TRUE,$Q$7=TRUE))=TRUE,'Shots and Status'!$F$5,IF((OR($Q$2,$Q$7)=TRUE),'Shots and Status'!$D$5,'Shots and Status'!$C$5)))),0),"-")</f>
        <v>-</v>
      </c>
      <c r="J551" s="36" t="str">
        <f>IFERROR(ROUNDUP(IF(AND($Q$1=FALSE,$S$3=FALSE),"-",IF(AND($Q$1=TRUE,$S$3=TRUE),"-",IF(AND($Q$1=TRUE,$S$1=TRUE,$S$4=FALSE),VLOOKUP($E551,'Status Thresholds'!$E:$AS,14,FALSE),IF(AND($Q$1=TRUE,$S$4=FALSE),VLOOKUP($E551,'Status Thresholds'!$E:$AS,4,FALSE), IF(AND($Q$1=TRUE,$S$1=TRUE,$S$4=TRUE),VLOOKUP($E551,'Status Thresholds'!$E:$AS,19,FALSE),IF(AND($Q$1=TRUE,$S$4=TRUE),VLOOKUP($E551,'Status Thresholds'!$E:$AS,9,FALSE),IF(AND($S$3=TRUE,$S$1=TRUE,$S$4=FALSE),VLOOKUP($E551,'Status Thresholds'!$E:$AS,34,FALSE),IF(AND($S$3=TRUE,$S$4=FALSE),VLOOKUP($E551,'Status Thresholds'!$E:$AS,24,FALSE),IF(AND($S$3=TRUE,$S$1=TRUE,$S$4=TRUE),VLOOKUP($E551,'Status Thresholds'!$E:$AS,39,FALSE),IF(AND($S$3=TRUE,$S$4=TRUE),VLOOKUP($E551,'Status Thresholds'!$E:$AS,29,FALSE),""))))))))/IF(OR($Q$3=TRUE,AND($Q$2=TRUE,$Q$7=TRUE),AND($Q$3=TRUE,$Q$7=TRUE))=TRUE,'Shots and Status'!$F$5,IF((OR($Q$2,$Q$7)=TRUE),'Shots and Status'!$D$5,'Shots and Status'!$C$5)))),0),"-")</f>
        <v>-</v>
      </c>
      <c r="K551" s="36" t="str">
        <f>IFERROR(ROUNDUP(IF(AND($Q$1=FALSE,$S$3=FALSE),"-",IF(AND($Q$1=TRUE,$S$3=TRUE),"-",IF(AND($Q$1=TRUE,$S$1=TRUE,$S$4=FALSE),VLOOKUP($E551,'Status Thresholds'!$E:$AS,15,FALSE),IF(AND($Q$1=TRUE,$S$4=FALSE),VLOOKUP($E551,'Status Thresholds'!$E:$AS,5,FALSE), IF(AND($Q$1=TRUE,$S$1=TRUE,$S$4=TRUE),VLOOKUP($E551,'Status Thresholds'!$E:$AS,20,FALSE),IF(AND($Q$1=TRUE,$S$4=TRUE),VLOOKUP($E551,'Status Thresholds'!$E:$AS,10,FALSE),IF(AND($S$3=TRUE,$S$1=TRUE,$S$4=FALSE),VLOOKUP($E551,'Status Thresholds'!$E:$AS,35,FALSE),IF(AND($S$3=TRUE,$S$4=FALSE),VLOOKUP($E551,'Status Thresholds'!$E:$AS,25,FALSE),IF(AND($S$3=TRUE,$S$1=TRUE,$S$4=TRUE),VLOOKUP($E551,'Status Thresholds'!$E:$AS,40,FALSE),IF(AND($S$3=TRUE,$S$4=TRUE),VLOOKUP($E551,'Status Thresholds'!$E:$AS,30,FALSE),""))))))))/IF(OR($Q$3=TRUE,AND($Q$2=TRUE,$Q$7=TRUE),AND($Q$3=TRUE,$Q$7=TRUE))=TRUE,'Shots and Status'!$F$5,IF((OR($Q$2,$Q$7)=TRUE),'Shots and Status'!$D$5,'Shots and Status'!$C$5)))),0),"-")</f>
        <v>-</v>
      </c>
      <c r="L551" s="36" t="str">
        <f>IFERROR(IF(AND($Q$1=FALSE,$S$3=FALSE),"-",VLOOKUP($E551,'Status Thresholds'!$E:$AU,41,FALSE)),"-")</f>
        <v>-</v>
      </c>
      <c r="M551" s="36" t="str">
        <f>IFERROR(IF(AND($Q$1=FALSE,$S$3=FALSE),"-",VLOOKUP($E551,'Status Thresholds'!$E:$AU,42,FALSE)),"-")</f>
        <v>-</v>
      </c>
      <c r="N551" s="36" t="str">
        <f>IFERROR(IF(AND($Q$1=FALSE,$S$3=FALSE),"-",VLOOKUP($E551,'Status Thresholds'!$E:$AU,43,FALSE)),"-")</f>
        <v>-</v>
      </c>
    </row>
    <row r="552" spans="1:18" s="36" customFormat="1" x14ac:dyDescent="0.25">
      <c r="A552" s="46"/>
      <c r="B552" s="64" t="str">
        <f>VLOOKUP(C552,'Status Thresholds'!B:C,2,FALSE)</f>
        <v>MHGU</v>
      </c>
      <c r="C552" s="46" t="str">
        <f>IF(ISBLANK('KO Calc'!C548)=TRUE,"",'KO Calc'!C548)</f>
        <v>Nerscylla</v>
      </c>
      <c r="D552" s="57" t="s">
        <v>22</v>
      </c>
      <c r="E552" s="62" t="str">
        <f t="shared" si="15"/>
        <v>NerscyllaExhaust</v>
      </c>
      <c r="F552" s="36" t="s">
        <v>8</v>
      </c>
      <c r="G552" s="36" t="str">
        <f t="shared" si="16"/>
        <v>NerscyllaExhaust lvl 2</v>
      </c>
      <c r="H552" s="36" t="str">
        <f>IFERROR(ROUNDUP(IF(AND($Q$1=FALSE,$S$3=FALSE),"-",IF(AND($Q$1=TRUE,$S$3=TRUE),"-",IF(AND($Q$1=TRUE,$S$1=TRUE,$S$4=FALSE),VLOOKUP($E552,'Status Thresholds'!$E:$AS,12,FALSE),IF(AND($Q$1=TRUE,$S$4=FALSE),VLOOKUP($E552,'Status Thresholds'!$E:$AS,2,FALSE), IF(AND($Q$1=TRUE,$S$1=TRUE,$S$4=TRUE),VLOOKUP($E552,'Status Thresholds'!$E:$AS,17,FALSE),IF(AND($Q$1=TRUE,$S$4=TRUE),VLOOKUP($E552,'Status Thresholds'!$E:$AS,7,FALSE),IF(AND($S$3=TRUE,$S$1=TRUE,$S$4=FALSE),VLOOKUP($E552,'Status Thresholds'!$E:$AS,32,FALSE),IF(AND($S$3=TRUE,$S$4=FALSE),VLOOKUP($E552,'Status Thresholds'!$E:$AS,22,FALSE),IF(AND($S$3=TRUE,$S$1=TRUE,$S$4=TRUE),VLOOKUP($E552,'Status Thresholds'!$E:$AS,37,FALSE),IF(AND($S$3=TRUE,$S$4=TRUE),VLOOKUP($E552,'Status Thresholds'!$E:$AS,27,FALSE),""))))))))/IF(OR($Q$3=TRUE,AND($Q$2=TRUE,$Q$7=TRUE),AND($Q$3=TRUE,$Q$7=TRUE))=TRUE,'Shots and Status'!$F$5,IF((OR($Q$2,$Q$7)=TRUE),'Shots and Status'!$D$5,'Shots and Status'!$C$5)))),0),"-")</f>
        <v>-</v>
      </c>
      <c r="I552" s="36" t="str">
        <f>IFERROR(ROUNDUP(IF(AND($Q$1=FALSE,$S$3=FALSE),"-",IF(AND($Q$1=TRUE,$S$3=TRUE),"-",IF(AND($Q$1=TRUE,$S$1=TRUE,$S$4=FALSE),VLOOKUP($E552,'Status Thresholds'!$E:$AS,13,FALSE),IF(AND($Q$1=TRUE,$S$4=FALSE),VLOOKUP($E552,'Status Thresholds'!$E:$AS,3,FALSE), IF(AND($Q$1=TRUE,$S$1=TRUE,$S$4=TRUE),VLOOKUP($E552,'Status Thresholds'!$E:$AS,18,FALSE),IF(AND($Q$1=TRUE,$S$4=TRUE),VLOOKUP($E552,'Status Thresholds'!$E:$AS,8,FALSE),IF(AND($S$3=TRUE,$S$1=TRUE,$S$4=FALSE),VLOOKUP($E552,'Status Thresholds'!$E:$AS,33,FALSE),IF(AND($S$3=TRUE,$S$4=FALSE),VLOOKUP($E552,'Status Thresholds'!$E:$AS,23,FALSE),IF(AND($S$3=TRUE,$S$1=TRUE,$S$4=TRUE),VLOOKUP($E552,'Status Thresholds'!$E:$AS,38,FALSE),IF(AND($S$3=TRUE,$S$4=TRUE),VLOOKUP($E552,'Status Thresholds'!$E:$AS,28,FALSE),""))))))))/IF(OR($Q$3=TRUE,AND($Q$2=TRUE,$Q$7=TRUE),AND($Q$3=TRUE,$Q$7=TRUE))=TRUE,'Shots and Status'!$F$5,IF((OR($Q$2,$Q$7)=TRUE),'Shots and Status'!$D$5,'Shots and Status'!$C$5)))),0),"-")</f>
        <v>-</v>
      </c>
      <c r="J552" s="36" t="str">
        <f>IFERROR(ROUNDUP(IF(AND($Q$1=FALSE,$S$3=FALSE),"-",IF(AND($Q$1=TRUE,$S$3=TRUE),"-",IF(AND($Q$1=TRUE,$S$1=TRUE,$S$4=FALSE),VLOOKUP($E552,'Status Thresholds'!$E:$AS,14,FALSE),IF(AND($Q$1=TRUE,$S$4=FALSE),VLOOKUP($E552,'Status Thresholds'!$E:$AS,4,FALSE), IF(AND($Q$1=TRUE,$S$1=TRUE,$S$4=TRUE),VLOOKUP($E552,'Status Thresholds'!$E:$AS,19,FALSE),IF(AND($Q$1=TRUE,$S$4=TRUE),VLOOKUP($E552,'Status Thresholds'!$E:$AS,9,FALSE),IF(AND($S$3=TRUE,$S$1=TRUE,$S$4=FALSE),VLOOKUP($E552,'Status Thresholds'!$E:$AS,34,FALSE),IF(AND($S$3=TRUE,$S$4=FALSE),VLOOKUP($E552,'Status Thresholds'!$E:$AS,24,FALSE),IF(AND($S$3=TRUE,$S$1=TRUE,$S$4=TRUE),VLOOKUP($E552,'Status Thresholds'!$E:$AS,39,FALSE),IF(AND($S$3=TRUE,$S$4=TRUE),VLOOKUP($E552,'Status Thresholds'!$E:$AS,29,FALSE),""))))))))/IF(OR($Q$3=TRUE,AND($Q$2=TRUE,$Q$7=TRUE),AND($Q$3=TRUE,$Q$7=TRUE))=TRUE,'Shots and Status'!$F$5,IF((OR($Q$2,$Q$7)=TRUE),'Shots and Status'!$D$5,'Shots and Status'!$C$5)))),0),"-")</f>
        <v>-</v>
      </c>
      <c r="K552" s="36" t="str">
        <f>IFERROR(ROUNDUP(IF(AND($Q$1=FALSE,$S$3=FALSE),"-",IF(AND($Q$1=TRUE,$S$3=TRUE),"-",IF(AND($Q$1=TRUE,$S$1=TRUE,$S$4=FALSE),VLOOKUP($E552,'Status Thresholds'!$E:$AS,15,FALSE),IF(AND($Q$1=TRUE,$S$4=FALSE),VLOOKUP($E552,'Status Thresholds'!$E:$AS,5,FALSE), IF(AND($Q$1=TRUE,$S$1=TRUE,$S$4=TRUE),VLOOKUP($E552,'Status Thresholds'!$E:$AS,20,FALSE),IF(AND($Q$1=TRUE,$S$4=TRUE),VLOOKUP($E552,'Status Thresholds'!$E:$AS,10,FALSE),IF(AND($S$3=TRUE,$S$1=TRUE,$S$4=FALSE),VLOOKUP($E552,'Status Thresholds'!$E:$AS,35,FALSE),IF(AND($S$3=TRUE,$S$4=FALSE),VLOOKUP($E552,'Status Thresholds'!$E:$AS,25,FALSE),IF(AND($S$3=TRUE,$S$1=TRUE,$S$4=TRUE),VLOOKUP($E552,'Status Thresholds'!$E:$AS,40,FALSE),IF(AND($S$3=TRUE,$S$4=TRUE),VLOOKUP($E552,'Status Thresholds'!$E:$AS,30,FALSE),""))))))))/IF(OR($Q$3=TRUE,AND($Q$2=TRUE,$Q$7=TRUE),AND($Q$3=TRUE,$Q$7=TRUE))=TRUE,'Shots and Status'!$F$5,IF((OR($Q$2,$Q$7)=TRUE),'Shots and Status'!$D$5,'Shots and Status'!$C$5)))),0),"-")</f>
        <v>-</v>
      </c>
      <c r="L552" s="36" t="str">
        <f>IFERROR(IF(AND($Q$1=FALSE,$S$3=FALSE),"-",VLOOKUP($E552,'Status Thresholds'!$E:$AU,41,FALSE)),"-")</f>
        <v>-</v>
      </c>
      <c r="M552" s="36" t="str">
        <f>IFERROR(IF(AND($Q$1=FALSE,$S$3=FALSE),"-",VLOOKUP($E552,'Status Thresholds'!$E:$AU,42,FALSE)),"-")</f>
        <v>-</v>
      </c>
      <c r="N552" s="36" t="str">
        <f>IFERROR(IF(AND($Q$1=FALSE,$S$3=FALSE),"-",VLOOKUP($E552,'Status Thresholds'!$E:$AU,43,FALSE)),"-")</f>
        <v>-</v>
      </c>
    </row>
    <row r="553" spans="1:18" s="36" customFormat="1" x14ac:dyDescent="0.25">
      <c r="A553" s="46"/>
      <c r="B553" s="64" t="str">
        <f>VLOOKUP(C553,'Status Thresholds'!B:C,2,FALSE)</f>
        <v>MHGU</v>
      </c>
      <c r="C553" s="46" t="str">
        <f>IF(ISBLANK('KO Calc'!C549)=TRUE,"",'KO Calc'!C549)</f>
        <v>Nerscylla</v>
      </c>
      <c r="D553" s="67" t="s">
        <v>14</v>
      </c>
      <c r="E553" s="62" t="str">
        <f t="shared" si="15"/>
        <v>NerscyllaKO</v>
      </c>
      <c r="F553" s="36" t="s">
        <v>21</v>
      </c>
      <c r="G553" s="36" t="str">
        <f t="shared" si="16"/>
        <v>NerscyllaTriblast</v>
      </c>
      <c r="H553" s="36" t="str">
        <f>IF(AND($Q$1=FALSE,$S$3=FALSE),"-",IF(AND($Q$1=TRUE,$S$3=TRUE),"-",IF(AND($Q$1=FALSE,$S$3=FALSE),"-",IF(AND($Q$1=TRUE,$S$1=TRUE,$S$4=FALSE)=TRUE,IF(OR($Q$4=TRUE,$Q$5=TRUE,$S$2=TRUE),VLOOKUP($G553,'KO Calc'!$H:$AW,12,FALSE),VLOOKUP($G553,'KO Calc'!$H559:$AW559,12,FALSE)),IF(AND($Q$1=TRUE,$S$4=FALSE),IF(OR($Q$4=TRUE,$Q$5=TRUE,$S$2=TRUE),VLOOKUP($G553,'KO Calc'!$H:$AW,2,FALSE),VLOOKUP($G553,'KO Calc'!$H559:$AW559,2,FALSE)),
IF(AND($Q$1=TRUE,$S$1=TRUE,$S$4=TRUE)=TRUE,IF(OR($Q$4=TRUE,$Q$5=TRUE,$S$2=TRUE),VLOOKUP($G553,'KO Calc'!$H:$AW,17,FALSE),VLOOKUP($G553,'KO Calc'!$H559:$AW559,17,FALSE)),IF(AND($Q$1=TRUE,$S$4=TRUE),IF(OR($Q$4=TRUE,$Q$5=TRUE,$S$2=TRUE),VLOOKUP($G553,'KO Calc'!$H:$AW,7,FALSE),VLOOKUP($G553,'KO Calc'!$H559:$AW559,7,FALSE)),
IF(AND($S$3=TRUE,$S$1=TRUE,$S$4=FALSE)=TRUE,IF(OR($Q$4=TRUE,$Q$5=TRUE,$S$2=TRUE),VLOOKUP($G553,'KO Calc'!$H:$AW,32,FALSE),VLOOKUP($G553,'KO Calc'!$H559:$AW559,32,FALSE)),IF(AND($S$3=TRUE,$S$4=FALSE),IF(OR($Q$4=TRUE,$Q$5=TRUE,$S$2=TRUE),VLOOKUP($G553,'KO Calc'!$H:$AW,22,FALSE),VLOOKUP($G553,'KO Calc'!$H559:$AW559,22,FALSE)),
IF(AND($S$3=TRUE,$S$1=TRUE,$S$4=TRUE)=TRUE,IF(OR($Q$4=TRUE,$Q$5=TRUE,$S$2=TRUE),VLOOKUP($G553,'KO Calc'!$H:$AW,37,FALSE),VLOOKUP($G553,'KO Calc'!$H559:$AW559,37,FALSE)),IF(AND($S$3=TRUE,$S$4=TRUE),IF(OR($Q$4=TRUE,$Q$5=TRUE,$S$2=TRUE),VLOOKUP($G553,'KO Calc'!$H:$AW,27,FALSE),VLOOKUP($G553,'KO Calc'!$H559:$AW559,27,FALSE)))))))))))))</f>
        <v>-</v>
      </c>
      <c r="I553" s="36" t="str">
        <f>IF(AND($Q$1=FALSE,$S$3=FALSE),"-",IF(AND($Q$1=TRUE,$S$3=TRUE),"-",IF(AND($Q$1=FALSE,$S$3=FALSE),"-",IF(AND($Q$1=TRUE,$S$1=TRUE,$S$4=FALSE)=TRUE,IF(OR($Q$4=TRUE,$Q$5=TRUE,$S$2=TRUE),VLOOKUP($G553,'KO Calc'!$H:$AW,13,FALSE),VLOOKUP($G553,'KO Calc'!$H559:$AW559,13,FALSE)),IF(AND($Q$1=TRUE,$S$4=FALSE),IF(OR($Q$4=TRUE,$Q$5=TRUE,$S$2=TRUE),VLOOKUP($G553,'KO Calc'!$H:$AW,3,FALSE),VLOOKUP($G553,'KO Calc'!$H559:$AW559,3,FALSE)),
IF(AND($Q$1=TRUE,$S$1=TRUE,$S$4=TRUE)=TRUE,IF(OR($Q$4=TRUE,$Q$5=TRUE,$S$2=TRUE),VLOOKUP($G553,'KO Calc'!$H:$AW,18,FALSE),VLOOKUP($G553,'KO Calc'!$H559:$AW559,18,FALSE)),IF(AND($Q$1=TRUE,$S$4=TRUE),IF(OR($Q$4=TRUE,$Q$5=TRUE,$S$2=TRUE),VLOOKUP($G553,'KO Calc'!$H:$AW,8,FALSE),VLOOKUP($G553,'KO Calc'!$H559:$AW559,8,FALSE)),
IF(AND($S$3=TRUE,$S$1=TRUE,$S$4=FALSE)=TRUE,IF(OR($Q$4=TRUE,$Q$5=TRUE,$S$2=TRUE),VLOOKUP($G553,'KO Calc'!$H:$AW,33,FALSE),VLOOKUP($G553,'KO Calc'!$H559:$AW559,33,FALSE)),IF(AND($S$3=TRUE,$S$4=FALSE),IF(OR($Q$4=TRUE,$Q$5=TRUE,$S$2=TRUE),VLOOKUP($G553,'KO Calc'!$H:$AW,23,FALSE),VLOOKUP($G553,'KO Calc'!$H559:$AW559,23,FALSE)),
IF(AND($S$3=TRUE,$S$1=TRUE,$S$4=TRUE)=TRUE,IF(OR($Q$4=TRUE,$Q$5=TRUE,$S$2=TRUE),VLOOKUP($G553,'KO Calc'!$H:$AW,38,FALSE),VLOOKUP($G553,'KO Calc'!$H559:$AW559,38,FALSE)),IF(AND($S$3=TRUE,$S$4=TRUE),IF(OR($Q$4=TRUE,$Q$5=TRUE,$S$2=TRUE),VLOOKUP($G553,'KO Calc'!$H:$AW,28,FALSE),VLOOKUP($G553,'KO Calc'!$H559:$AW559,28,FALSE)))))))))))))</f>
        <v>-</v>
      </c>
      <c r="J553" s="36" t="str">
        <f>IF(AND($Q$1=FALSE,$S$3=FALSE),"-",IF(AND($Q$1=TRUE,$S$3=TRUE),"-",IF(AND($Q$1=FALSE,$S$3=FALSE),"-",IF(AND($Q$1=TRUE,$S$1=TRUE,$S$4=FALSE)=TRUE,IF(OR($Q$4=TRUE,$Q$5=TRUE,$S$2=TRUE),VLOOKUP($G553,'KO Calc'!$H:$AW,FALSE),VLOOKUP($G553,'KO Calc'!$H559:$AW559,14,FALSE)),IF(AND($Q$1=TRUE,$S$4=FALSE),IF(OR($Q$4=TRUE,$Q$5=TRUE,$S$2=TRUE),VLOOKUP($G553,'KO Calc'!$H:$AW,4,FALSE),VLOOKUP($G553,'KO Calc'!$H559:$AW559,4,FALSE)),
IF(AND($Q$1=TRUE,$S$1=TRUE,$S$4=TRUE)=TRUE,IF(OR($Q$4=TRUE,$Q$5=TRUE,$S$2=TRUE),VLOOKUP($G553,'KO Calc'!$H:$AW,19,FALSE),VLOOKUP($G553,'KO Calc'!$H559:$AW559,19,FALSE)),IF(AND($Q$1=TRUE,$S$4=TRUE),IF(OR($Q$4=TRUE,$Q$5=TRUE,$S$2=TRUE),VLOOKUP($G553,'KO Calc'!$H:$AW,9,FALSE),VLOOKUP($G553,'KO Calc'!$H559:$AW559,9,FALSE)),
IF(AND($S$3=TRUE,$S$1=TRUE,$S$4=FALSE)=TRUE,IF(OR($Q$4=TRUE,$Q$5=TRUE,$S$2=TRUE),VLOOKUP($G553,'KO Calc'!$H:$AW,34,FALSE),VLOOKUP($G553,'KO Calc'!$H559:$AW559,34,FALSE)),IF(AND($S$3=TRUE,$S$4=FALSE),IF(OR($Q$4=TRUE,$Q$5=TRUE,$S$2=TRUE),VLOOKUP($G553,'KO Calc'!$H:$AW,24,FALSE),VLOOKUP($G553,'KO Calc'!$H559:$AW559,24,FALSE)),
IF(AND($S$3=TRUE,$S$1=TRUE,$S$4=TRUE)=TRUE,IF(OR($Q$4=TRUE,$Q$5=TRUE,$S$2=TRUE),VLOOKUP($G553,'KO Calc'!$H:$AW,39,FALSE),VLOOKUP($G553,'KO Calc'!$H559:$AW559,39,FALSE)),IF(AND($S$3=TRUE,$S$4=TRUE),IF(OR($Q$4=TRUE,$Q$5=TRUE,$S$2=TRUE),VLOOKUP($G553,'KO Calc'!$H:$AW,29,FALSE),VLOOKUP($G553,'KO Calc'!$H559:$AW559,29,FALSE)))))))))))))</f>
        <v>-</v>
      </c>
      <c r="K553" s="36" t="str">
        <f>IF(AND($Q$1=FALSE,$S$3=FALSE),"-",IF(AND($Q$1=TRUE,$S$3=TRUE),"-",IF(AND($Q$1=FALSE,$S$3=FALSE),"-",IF(AND($Q$1=TRUE,$S$1=TRUE,$S$4=FALSE)=TRUE,IF(OR($Q$4=TRUE,$Q$5=TRUE,$S$2=TRUE),VLOOKUP($G553,'KO Calc'!$H:$AW,15,FALSE),VLOOKUP($G553,'KO Calc'!$H559:$AW559,15,FALSE)),IF(AND($Q$1=TRUE,$S$4=FALSE),IF(OR($Q$4=TRUE,$Q$5=TRUE,$S$2=TRUE),VLOOKUP($G553,'KO Calc'!$H:$AW,5,FALSE),VLOOKUP($G553,'KO Calc'!$H559:$AW559,5,FALSE)),
IF(AND($Q$1=TRUE,$S$1=TRUE,$S$4=TRUE)=TRUE,IF(OR($Q$4=TRUE,$Q$5=TRUE,$S$2=TRUE),VLOOKUP($G553,'KO Calc'!$H:$AW,20,FALSE),VLOOKUP($G553,'KO Calc'!$H559:$AW559,20,FALSE)),IF(AND($Q$1=TRUE,$S$4=TRUE),IF(OR($Q$4=TRUE,$Q$5=TRUE,$S$2=TRUE),VLOOKUP($G553,'KO Calc'!$H:$AW,10,FALSE),VLOOKUP($G553,'KO Calc'!$H559:$AW559,10,FALSE)),
IF(AND($S$3=TRUE,$S$1=TRUE,$S$4=FALSE)=TRUE,IF(OR($Q$4=TRUE,$Q$5=TRUE,$S$2=TRUE),VLOOKUP($G553,'KO Calc'!$H:$AW,35,FALSE),VLOOKUP($G553,'KO Calc'!$H559:$AW559,35,FALSE)),IF(AND($S$3=TRUE,$S$4=FALSE),IF(OR($Q$4=TRUE,$Q$5=TRUE,$S$2=TRUE),VLOOKUP($G553,'KO Calc'!$H:$AW,25,FALSE),VLOOKUP($G553,'KO Calc'!$H559:$AW559,25,FALSE)),
IF(AND($S$3=TRUE,$S$1=TRUE,$S$4=TRUE)=TRUE,IF(OR($Q$4=TRUE,$Q$5=TRUE,$S$2=TRUE),VLOOKUP($G553,'KO Calc'!$H:$AW,40,FALSE),VLOOKUP($G553,'KO Calc'!$H559:$AW559,40,FALSE)),IF(AND($S$3=TRUE,$S$4=TRUE),IF(OR($Q$4=TRUE,$Q$5=TRUE,$S$2=TRUE),VLOOKUP($G553,'KO Calc'!$H:$AW,30,FALSE),VLOOKUP($G553,'KO Calc'!$H559:$AW559,30,FALSE)))))))))))))</f>
        <v>-</v>
      </c>
      <c r="L553" s="36" t="str">
        <f>IFERROR(IF(AND($Q$1=FALSE,$S$3=FALSE),"-",VLOOKUP($E553,'Status Thresholds'!$E:$AU,41,FALSE)),"-")</f>
        <v>-</v>
      </c>
      <c r="M553" s="36" t="str">
        <f>IFERROR(IF(AND($Q$1=FALSE,$S$3=FALSE),"-",VLOOKUP($E553,'Status Thresholds'!$E:$AU,42,FALSE)),"-")</f>
        <v>-</v>
      </c>
      <c r="N553" s="36" t="str">
        <f>IFERROR(IF(AND($Q$1=FALSE,$S$3=FALSE),"-",VLOOKUP($E553,'Status Thresholds'!$E:$AU,43,FALSE)),"-")</f>
        <v>-</v>
      </c>
    </row>
    <row r="554" spans="1:18" x14ac:dyDescent="0.25">
      <c r="B554" s="64" t="str">
        <f>VLOOKUP(C554,'Status Thresholds'!B:C,2,FALSE)</f>
        <v>MHGU</v>
      </c>
      <c r="C554" s="46" t="str">
        <f>IF(ISBLANK('KO Calc'!C550)=TRUE,"",'KO Calc'!C550)</f>
        <v>Nerscylla</v>
      </c>
      <c r="D554" s="78" t="s">
        <v>207</v>
      </c>
      <c r="E554" s="62" t="str">
        <f t="shared" si="15"/>
        <v>NerscyllaShock Trap</v>
      </c>
      <c r="F554" t="s">
        <v>13</v>
      </c>
      <c r="G554" s="36" t="str">
        <f t="shared" si="16"/>
        <v>NerscyllaCrag 3</v>
      </c>
      <c r="H554" s="36" t="str">
        <f>IF(AND($Q$1=FALSE,$S$3=FALSE),"-",IF(AND($Q$1=TRUE,$S$3=TRUE),"-",IF(AND($Q$1=FALSE,$S$3=FALSE),"-",IF(AND($Q$1=TRUE,$S$1=TRUE,$S$4=FALSE)=TRUE,IF(OR($Q$4=TRUE,$Q$5=TRUE,$S$2=TRUE),VLOOKUP($G554,'KO Calc'!$H:$AW,12,FALSE),VLOOKUP($G554,'KO Calc'!$H560:$AW560,12,FALSE)),IF(AND($Q$1=TRUE,$S$4=FALSE),IF(OR($Q$4=TRUE,$Q$5=TRUE,$S$2=TRUE),VLOOKUP($G554,'KO Calc'!$H:$AW,2,FALSE),VLOOKUP($G554,'KO Calc'!$H560:$AW560,2,FALSE)),
IF(AND($Q$1=TRUE,$S$1=TRUE,$S$4=TRUE)=TRUE,IF(OR($Q$4=TRUE,$Q$5=TRUE,$S$2=TRUE),VLOOKUP($G554,'KO Calc'!$H:$AW,17,FALSE),VLOOKUP($G554,'KO Calc'!$H560:$AW560,17,FALSE)),IF(AND($Q$1=TRUE,$S$4=TRUE),IF(OR($Q$4=TRUE,$Q$5=TRUE,$S$2=TRUE),VLOOKUP($G554,'KO Calc'!$H:$AW,7,FALSE),VLOOKUP($G554,'KO Calc'!$H560:$AW560,7,FALSE)),
IF(AND($S$3=TRUE,$S$1=TRUE,$S$4=FALSE)=TRUE,IF(OR($Q$4=TRUE,$Q$5=TRUE,$S$2=TRUE),VLOOKUP($G554,'KO Calc'!$H:$AW,32,FALSE),VLOOKUP($G554,'KO Calc'!$H560:$AW560,32,FALSE)),IF(AND($S$3=TRUE,$S$4=FALSE),IF(OR($Q$4=TRUE,$Q$5=TRUE,$S$2=TRUE),VLOOKUP($G554,'KO Calc'!$H:$AW,22,FALSE),VLOOKUP($G554,'KO Calc'!$H560:$AW560,22,FALSE)),
IF(AND($S$3=TRUE,$S$1=TRUE,$S$4=TRUE)=TRUE,IF(OR($Q$4=TRUE,$Q$5=TRUE,$S$2=TRUE),VLOOKUP($G554,'KO Calc'!$H:$AW,37,FALSE),VLOOKUP($G554,'KO Calc'!$H560:$AW560,37,FALSE)),IF(AND($S$3=TRUE,$S$4=TRUE),IF(OR($Q$4=TRUE,$Q$5=TRUE,$S$2=TRUE),VLOOKUP($G554,'KO Calc'!$H:$AW,27,FALSE),VLOOKUP($G554,'KO Calc'!$H560:$AW560,27,FALSE)))))))))))))</f>
        <v>-</v>
      </c>
      <c r="I554" s="36" t="str">
        <f>IF(AND($Q$1=FALSE,$S$3=FALSE),"-",IF(AND($Q$1=TRUE,$S$3=TRUE),"-",IF(AND($Q$1=FALSE,$S$3=FALSE),"-",IF(AND($Q$1=TRUE,$S$1=TRUE,$S$4=FALSE)=TRUE,IF(OR($Q$4=TRUE,$Q$5=TRUE,$S$2=TRUE),VLOOKUP($G554,'KO Calc'!$H:$AW,13,FALSE),VLOOKUP($G554,'KO Calc'!$H560:$AW560,13,FALSE)),IF(AND($Q$1=TRUE,$S$4=FALSE),IF(OR($Q$4=TRUE,$Q$5=TRUE,$S$2=TRUE),VLOOKUP($G554,'KO Calc'!$H:$AW,3,FALSE),VLOOKUP($G554,'KO Calc'!$H560:$AW560,3,FALSE)),
IF(AND($Q$1=TRUE,$S$1=TRUE,$S$4=TRUE)=TRUE,IF(OR($Q$4=TRUE,$Q$5=TRUE,$S$2=TRUE),VLOOKUP($G554,'KO Calc'!$H:$AW,18,FALSE),VLOOKUP($G554,'KO Calc'!$H560:$AW560,18,FALSE)),IF(AND($Q$1=TRUE,$S$4=TRUE),IF(OR($Q$4=TRUE,$Q$5=TRUE,$S$2=TRUE),VLOOKUP($G554,'KO Calc'!$H:$AW,8,FALSE),VLOOKUP($G554,'KO Calc'!$H560:$AW560,8,FALSE)),
IF(AND($S$3=TRUE,$S$1=TRUE,$S$4=FALSE)=TRUE,IF(OR($Q$4=TRUE,$Q$5=TRUE,$S$2=TRUE),VLOOKUP($G554,'KO Calc'!$H:$AW,33,FALSE),VLOOKUP($G554,'KO Calc'!$H560:$AW560,33,FALSE)),IF(AND($S$3=TRUE,$S$4=FALSE),IF(OR($Q$4=TRUE,$Q$5=TRUE,$S$2=TRUE),VLOOKUP($G554,'KO Calc'!$H:$AW,23,FALSE),VLOOKUP($G554,'KO Calc'!$H560:$AW560,23,FALSE)),
IF(AND($S$3=TRUE,$S$1=TRUE,$S$4=TRUE)=TRUE,IF(OR($Q$4=TRUE,$Q$5=TRUE,$S$2=TRUE),VLOOKUP($G554,'KO Calc'!$H:$AW,38,FALSE),VLOOKUP($G554,'KO Calc'!$H560:$AW560,38,FALSE)),IF(AND($S$3=TRUE,$S$4=TRUE),IF(OR($Q$4=TRUE,$Q$5=TRUE,$S$2=TRUE),VLOOKUP($G554,'KO Calc'!$H:$AW,28,FALSE),VLOOKUP($G554,'KO Calc'!$H560:$AW560,28,FALSE)))))))))))))</f>
        <v>-</v>
      </c>
      <c r="J554" s="36" t="str">
        <f>IF(AND($Q$1=FALSE,$S$3=FALSE),"-",IF(AND($Q$1=TRUE,$S$3=TRUE),"-",IF(AND($Q$1=FALSE,$S$3=FALSE),"-",IF(AND($Q$1=TRUE,$S$1=TRUE,$S$4=FALSE)=TRUE,IF(OR($Q$4=TRUE,$Q$5=TRUE,$S$2=TRUE),VLOOKUP($G554,'KO Calc'!$H:$AW,FALSE),VLOOKUP($G554,'KO Calc'!$H560:$AW560,14,FALSE)),IF(AND($Q$1=TRUE,$S$4=FALSE),IF(OR($Q$4=TRUE,$Q$5=TRUE,$S$2=TRUE),VLOOKUP($G554,'KO Calc'!$H:$AW,4,FALSE),VLOOKUP($G554,'KO Calc'!$H560:$AW560,4,FALSE)),
IF(AND($Q$1=TRUE,$S$1=TRUE,$S$4=TRUE)=TRUE,IF(OR($Q$4=TRUE,$Q$5=TRUE,$S$2=TRUE),VLOOKUP($G554,'KO Calc'!$H:$AW,19,FALSE),VLOOKUP($G554,'KO Calc'!$H560:$AW560,19,FALSE)),IF(AND($Q$1=TRUE,$S$4=TRUE),IF(OR($Q$4=TRUE,$Q$5=TRUE,$S$2=TRUE),VLOOKUP($G554,'KO Calc'!$H:$AW,9,FALSE),VLOOKUP($G554,'KO Calc'!$H560:$AW560,9,FALSE)),
IF(AND($S$3=TRUE,$S$1=TRUE,$S$4=FALSE)=TRUE,IF(OR($Q$4=TRUE,$Q$5=TRUE,$S$2=TRUE),VLOOKUP($G554,'KO Calc'!$H:$AW,34,FALSE),VLOOKUP($G554,'KO Calc'!$H560:$AW560,34,FALSE)),IF(AND($S$3=TRUE,$S$4=FALSE),IF(OR($Q$4=TRUE,$Q$5=TRUE,$S$2=TRUE),VLOOKUP($G554,'KO Calc'!$H:$AW,24,FALSE),VLOOKUP($G554,'KO Calc'!$H560:$AW560,24,FALSE)),
IF(AND($S$3=TRUE,$S$1=TRUE,$S$4=TRUE)=TRUE,IF(OR($Q$4=TRUE,$Q$5=TRUE,$S$2=TRUE),VLOOKUP($G554,'KO Calc'!$H:$AW,39,FALSE),VLOOKUP($G554,'KO Calc'!$H560:$AW560,39,FALSE)),IF(AND($S$3=TRUE,$S$4=TRUE),IF(OR($Q$4=TRUE,$Q$5=TRUE,$S$2=TRUE),VLOOKUP($G554,'KO Calc'!$H:$AW,29,FALSE),VLOOKUP($G554,'KO Calc'!$H560:$AW560,29,FALSE)))))))))))))</f>
        <v>-</v>
      </c>
      <c r="K554" s="36" t="str">
        <f>IF(AND($Q$1=FALSE,$S$3=FALSE),"-",IF(AND($Q$1=TRUE,$S$3=TRUE),"-",IF(AND($Q$1=FALSE,$S$3=FALSE),"-",IF(AND($Q$1=TRUE,$S$1=TRUE,$S$4=FALSE)=TRUE,IF(OR($Q$4=TRUE,$Q$5=TRUE,$S$2=TRUE),VLOOKUP($G554,'KO Calc'!$H:$AW,15,FALSE),VLOOKUP($G554,'KO Calc'!$H560:$AW560,15,FALSE)),IF(AND($Q$1=TRUE,$S$4=FALSE),IF(OR($Q$4=TRUE,$Q$5=TRUE,$S$2=TRUE),VLOOKUP($G554,'KO Calc'!$H:$AW,5,FALSE),VLOOKUP($G554,'KO Calc'!$H560:$AW560,5,FALSE)),
IF(AND($Q$1=TRUE,$S$1=TRUE,$S$4=TRUE)=TRUE,IF(OR($Q$4=TRUE,$Q$5=TRUE,$S$2=TRUE),VLOOKUP($G554,'KO Calc'!$H:$AW,20,FALSE),VLOOKUP($G554,'KO Calc'!$H560:$AW560,20,FALSE)),IF(AND($Q$1=TRUE,$S$4=TRUE),IF(OR($Q$4=TRUE,$Q$5=TRUE,$S$2=TRUE),VLOOKUP($G554,'KO Calc'!$H:$AW,10,FALSE),VLOOKUP($G554,'KO Calc'!$H560:$AW560,10,FALSE)),
IF(AND($S$3=TRUE,$S$1=TRUE,$S$4=FALSE)=TRUE,IF(OR($Q$4=TRUE,$Q$5=TRUE,$S$2=TRUE),VLOOKUP($G554,'KO Calc'!$H:$AW,35,FALSE),VLOOKUP($G554,'KO Calc'!$H560:$AW560,35,FALSE)),IF(AND($S$3=TRUE,$S$4=FALSE),IF(OR($Q$4=TRUE,$Q$5=TRUE,$S$2=TRUE),VLOOKUP($G554,'KO Calc'!$H:$AW,25,FALSE),VLOOKUP($G554,'KO Calc'!$H560:$AW560,25,FALSE)),
IF(AND($S$3=TRUE,$S$1=TRUE,$S$4=TRUE)=TRUE,IF(OR($Q$4=TRUE,$Q$5=TRUE,$S$2=TRUE),VLOOKUP($G554,'KO Calc'!$H:$AW,40,FALSE),VLOOKUP($G554,'KO Calc'!$H560:$AW560,40,FALSE)),IF(AND($S$3=TRUE,$S$4=TRUE),IF(OR($Q$4=TRUE,$Q$5=TRUE,$S$2=TRUE),VLOOKUP($G554,'KO Calc'!$H:$AW,30,FALSE),VLOOKUP($G554,'KO Calc'!$H560:$AW560,30,FALSE)))))))))))))</f>
        <v>-</v>
      </c>
      <c r="L554" s="36" t="str">
        <f>IFERROR(IF(AND($Q$1=FALSE,$S$3=FALSE),"-",VLOOKUP($E554,'Status Thresholds'!$E:$AU,43,FALSE)),"-")</f>
        <v>-</v>
      </c>
      <c r="M554" s="36" t="str">
        <f>IFERROR(IF(AND($Q$1=FALSE,$S$3=FALSE),"-",VLOOKUP($E554,'Status Thresholds'!$E:$AU,41,FALSE)),"-")</f>
        <v>-</v>
      </c>
      <c r="N554" s="36" t="str">
        <f>IFERROR(IF(AND($Q$1=FALSE,$S$3=FALSE),"-",VLOOKUP($E554,'Status Thresholds'!$E:$AU,42,FALSE)),"-")</f>
        <v>-</v>
      </c>
    </row>
    <row r="555" spans="1:18" x14ac:dyDescent="0.25">
      <c r="B555" s="64" t="str">
        <f>VLOOKUP(C555,'Status Thresholds'!B:C,2,FALSE)</f>
        <v>MHGU</v>
      </c>
      <c r="C555" s="46" t="str">
        <f>IF(ISBLANK('KO Calc'!C551)=TRUE,"",'KO Calc'!C551)</f>
        <v>Nerscylla</v>
      </c>
      <c r="D555" s="78" t="s">
        <v>213</v>
      </c>
      <c r="E555" s="62" t="str">
        <f t="shared" si="15"/>
        <v>NerscyllaPitfall Trap</v>
      </c>
      <c r="F555" t="s">
        <v>12</v>
      </c>
      <c r="G555" s="36" t="str">
        <f t="shared" si="16"/>
        <v>NerscyllaCrag 2</v>
      </c>
      <c r="H555" s="36" t="str">
        <f>IF(AND($Q$1=FALSE,$S$3=FALSE),"-",IF(AND($Q$1=TRUE,$S$3=TRUE),"-",IF(AND($Q$1=FALSE,$S$3=FALSE),"-",IF(AND($Q$1=TRUE,$S$1=TRUE,$S$4=FALSE)=TRUE,IF(OR($Q$4=TRUE,$Q$5=TRUE,$S$2=TRUE),VLOOKUP($G555,'KO Calc'!$H:$AW,12,FALSE),VLOOKUP($G555,'KO Calc'!$H561:$AW561,12,FALSE)),IF(AND($Q$1=TRUE,$S$4=FALSE),IF(OR($Q$4=TRUE,$Q$5=TRUE,$S$2=TRUE),VLOOKUP($G555,'KO Calc'!$H:$AW,2,FALSE),VLOOKUP($G555,'KO Calc'!$H561:$AW561,2,FALSE)),
IF(AND($Q$1=TRUE,$S$1=TRUE,$S$4=TRUE)=TRUE,IF(OR($Q$4=TRUE,$Q$5=TRUE,$S$2=TRUE),VLOOKUP($G555,'KO Calc'!$H:$AW,17,FALSE),VLOOKUP($G555,'KO Calc'!$H561:$AW561,17,FALSE)),IF(AND($Q$1=TRUE,$S$4=TRUE),IF(OR($Q$4=TRUE,$Q$5=TRUE,$S$2=TRUE),VLOOKUP($G555,'KO Calc'!$H:$AW,7,FALSE),VLOOKUP($G555,'KO Calc'!$H561:$AW561,7,FALSE)),
IF(AND($S$3=TRUE,$S$1=TRUE,$S$4=FALSE)=TRUE,IF(OR($Q$4=TRUE,$Q$5=TRUE,$S$2=TRUE),VLOOKUP($G555,'KO Calc'!$H:$AW,32,FALSE),VLOOKUP($G555,'KO Calc'!$H561:$AW561,32,FALSE)),IF(AND($S$3=TRUE,$S$4=FALSE),IF(OR($Q$4=TRUE,$Q$5=TRUE,$S$2=TRUE),VLOOKUP($G555,'KO Calc'!$H:$AW,22,FALSE),VLOOKUP($G555,'KO Calc'!$H561:$AW561,22,FALSE)),
IF(AND($S$3=TRUE,$S$1=TRUE,$S$4=TRUE)=TRUE,IF(OR($Q$4=TRUE,$Q$5=TRUE,$S$2=TRUE),VLOOKUP($G555,'KO Calc'!$H:$AW,37,FALSE),VLOOKUP($G555,'KO Calc'!$H561:$AW561,37,FALSE)),IF(AND($S$3=TRUE,$S$4=TRUE),IF(OR($Q$4=TRUE,$Q$5=TRUE,$S$2=TRUE),VLOOKUP($G555,'KO Calc'!$H:$AW,27,FALSE),VLOOKUP($G555,'KO Calc'!$H561:$AW561,27,FALSE)))))))))))))</f>
        <v>-</v>
      </c>
      <c r="I555" s="36" t="str">
        <f>IF(AND($Q$1=FALSE,$S$3=FALSE),"-",IF(AND($Q$1=TRUE,$S$3=TRUE),"-",IF(AND($Q$1=FALSE,$S$3=FALSE),"-",IF(AND($Q$1=TRUE,$S$1=TRUE,$S$4=FALSE)=TRUE,IF(OR($Q$4=TRUE,$Q$5=TRUE,$S$2=TRUE),VLOOKUP($G555,'KO Calc'!$H:$AW,13,FALSE),VLOOKUP($G555,'KO Calc'!$H561:$AW561,13,FALSE)),IF(AND($Q$1=TRUE,$S$4=FALSE),IF(OR($Q$4=TRUE,$Q$5=TRUE,$S$2=TRUE),VLOOKUP($G555,'KO Calc'!$H:$AW,3,FALSE),VLOOKUP($G555,'KO Calc'!$H561:$AW561,3,FALSE)),
IF(AND($Q$1=TRUE,$S$1=TRUE,$S$4=TRUE)=TRUE,IF(OR($Q$4=TRUE,$Q$5=TRUE,$S$2=TRUE),VLOOKUP($G555,'KO Calc'!$H:$AW,18,FALSE),VLOOKUP($G555,'KO Calc'!$H561:$AW561,18,FALSE)),IF(AND($Q$1=TRUE,$S$4=TRUE),IF(OR($Q$4=TRUE,$Q$5=TRUE,$S$2=TRUE),VLOOKUP($G555,'KO Calc'!$H:$AW,8,FALSE),VLOOKUP($G555,'KO Calc'!$H561:$AW561,8,FALSE)),
IF(AND($S$3=TRUE,$S$1=TRUE,$S$4=FALSE)=TRUE,IF(OR($Q$4=TRUE,$Q$5=TRUE,$S$2=TRUE),VLOOKUP($G555,'KO Calc'!$H:$AW,33,FALSE),VLOOKUP($G555,'KO Calc'!$H561:$AW561,33,FALSE)),IF(AND($S$3=TRUE,$S$4=FALSE),IF(OR($Q$4=TRUE,$Q$5=TRUE,$S$2=TRUE),VLOOKUP($G555,'KO Calc'!$H:$AW,23,FALSE),VLOOKUP($G555,'KO Calc'!$H561:$AW561,23,FALSE)),
IF(AND($S$3=TRUE,$S$1=TRUE,$S$4=TRUE)=TRUE,IF(OR($Q$4=TRUE,$Q$5=TRUE,$S$2=TRUE),VLOOKUP($G555,'KO Calc'!$H:$AW,38,FALSE),VLOOKUP($G555,'KO Calc'!$H561:$AW561,38,FALSE)),IF(AND($S$3=TRUE,$S$4=TRUE),IF(OR($Q$4=TRUE,$Q$5=TRUE,$S$2=TRUE),VLOOKUP($G555,'KO Calc'!$H:$AW,28,FALSE),VLOOKUP($G555,'KO Calc'!$H561:$AW561,28,FALSE)))))))))))))</f>
        <v>-</v>
      </c>
      <c r="J555" s="36" t="str">
        <f>IF(AND($Q$1=FALSE,$S$3=FALSE),"-",IF(AND($Q$1=TRUE,$S$3=TRUE),"-",IF(AND($Q$1=FALSE,$S$3=FALSE),"-",IF(AND($Q$1=TRUE,$S$1=TRUE,$S$4=FALSE)=TRUE,IF(OR($Q$4=TRUE,$Q$5=TRUE,$S$2=TRUE),VLOOKUP($G555,'KO Calc'!$H:$AW,FALSE),VLOOKUP($G555,'KO Calc'!$H561:$AW561,14,FALSE)),IF(AND($Q$1=TRUE,$S$4=FALSE),IF(OR($Q$4=TRUE,$Q$5=TRUE,$S$2=TRUE),VLOOKUP($G555,'KO Calc'!$H:$AW,4,FALSE),VLOOKUP($G555,'KO Calc'!$H561:$AW561,4,FALSE)),
IF(AND($Q$1=TRUE,$S$1=TRUE,$S$4=TRUE)=TRUE,IF(OR($Q$4=TRUE,$Q$5=TRUE,$S$2=TRUE),VLOOKUP($G555,'KO Calc'!$H:$AW,19,FALSE),VLOOKUP($G555,'KO Calc'!$H561:$AW561,19,FALSE)),IF(AND($Q$1=TRUE,$S$4=TRUE),IF(OR($Q$4=TRUE,$Q$5=TRUE,$S$2=TRUE),VLOOKUP($G555,'KO Calc'!$H:$AW,9,FALSE),VLOOKUP($G555,'KO Calc'!$H561:$AW561,9,FALSE)),
IF(AND($S$3=TRUE,$S$1=TRUE,$S$4=FALSE)=TRUE,IF(OR($Q$4=TRUE,$Q$5=TRUE,$S$2=TRUE),VLOOKUP($G555,'KO Calc'!$H:$AW,34,FALSE),VLOOKUP($G555,'KO Calc'!$H561:$AW561,34,FALSE)),IF(AND($S$3=TRUE,$S$4=FALSE),IF(OR($Q$4=TRUE,$Q$5=TRUE,$S$2=TRUE),VLOOKUP($G555,'KO Calc'!$H:$AW,24,FALSE),VLOOKUP($G555,'KO Calc'!$H561:$AW561,24,FALSE)),
IF(AND($S$3=TRUE,$S$1=TRUE,$S$4=TRUE)=TRUE,IF(OR($Q$4=TRUE,$Q$5=TRUE,$S$2=TRUE),VLOOKUP($G555,'KO Calc'!$H:$AW,39,FALSE),VLOOKUP($G555,'KO Calc'!$H561:$AW561,39,FALSE)),IF(AND($S$3=TRUE,$S$4=TRUE),IF(OR($Q$4=TRUE,$Q$5=TRUE,$S$2=TRUE),VLOOKUP($G555,'KO Calc'!$H:$AW,29,FALSE),VLOOKUP($G555,'KO Calc'!$H561:$AW561,29,FALSE)))))))))))))</f>
        <v>-</v>
      </c>
      <c r="K555" s="36" t="str">
        <f>IF(AND($Q$1=FALSE,$S$3=FALSE),"-",IF(AND($Q$1=TRUE,$S$3=TRUE),"-",IF(AND($Q$1=FALSE,$S$3=FALSE),"-",IF(AND($Q$1=TRUE,$S$1=TRUE,$S$4=FALSE)=TRUE,IF(OR($Q$4=TRUE,$Q$5=TRUE,$S$2=TRUE),VLOOKUP($G555,'KO Calc'!$H:$AW,15,FALSE),VLOOKUP($G555,'KO Calc'!$H561:$AW561,15,FALSE)),IF(AND($Q$1=TRUE,$S$4=FALSE),IF(OR($Q$4=TRUE,$Q$5=TRUE,$S$2=TRUE),VLOOKUP($G555,'KO Calc'!$H:$AW,5,FALSE),VLOOKUP($G555,'KO Calc'!$H561:$AW561,5,FALSE)),
IF(AND($Q$1=TRUE,$S$1=TRUE,$S$4=TRUE)=TRUE,IF(OR($Q$4=TRUE,$Q$5=TRUE,$S$2=TRUE),VLOOKUP($G555,'KO Calc'!$H:$AW,20,FALSE),VLOOKUP($G555,'KO Calc'!$H561:$AW561,20,FALSE)),IF(AND($Q$1=TRUE,$S$4=TRUE),IF(OR($Q$4=TRUE,$Q$5=TRUE,$S$2=TRUE),VLOOKUP($G555,'KO Calc'!$H:$AW,10,FALSE),VLOOKUP($G555,'KO Calc'!$H561:$AW561,10,FALSE)),
IF(AND($S$3=TRUE,$S$1=TRUE,$S$4=FALSE)=TRUE,IF(OR($Q$4=TRUE,$Q$5=TRUE,$S$2=TRUE),VLOOKUP($G555,'KO Calc'!$H:$AW,35,FALSE),VLOOKUP($G555,'KO Calc'!$H561:$AW561,35,FALSE)),IF(AND($S$3=TRUE,$S$4=FALSE),IF(OR($Q$4=TRUE,$Q$5=TRUE,$S$2=TRUE),VLOOKUP($G555,'KO Calc'!$H:$AW,25,FALSE),VLOOKUP($G555,'KO Calc'!$H561:$AW561,25,FALSE)),
IF(AND($S$3=TRUE,$S$1=TRUE,$S$4=TRUE)=TRUE,IF(OR($Q$4=TRUE,$Q$5=TRUE,$S$2=TRUE),VLOOKUP($G555,'KO Calc'!$H:$AW,40,FALSE),VLOOKUP($G555,'KO Calc'!$H561:$AW561,40,FALSE)),IF(AND($S$3=TRUE,$S$4=TRUE),IF(OR($Q$4=TRUE,$Q$5=TRUE,$S$2=TRUE),VLOOKUP($G555,'KO Calc'!$H:$AW,30,FALSE),VLOOKUP($G555,'KO Calc'!$H561:$AW561,30,FALSE)))))))))))))</f>
        <v>-</v>
      </c>
      <c r="L555" s="36" t="str">
        <f>IFERROR(IF(AND($Q$1=FALSE,$S$3=FALSE),"-",VLOOKUP($E555,'Status Thresholds'!$E:$AU,43,FALSE)),"-")</f>
        <v>-</v>
      </c>
      <c r="M555" s="36" t="str">
        <f>IFERROR(IF(AND($Q$1=FALSE,$S$3=FALSE),"-",VLOOKUP($E555,'Status Thresholds'!$E:$AU,41,FALSE)),"-")</f>
        <v>-</v>
      </c>
      <c r="N555" s="36" t="str">
        <f>IFERROR(IF(AND($Q$1=FALSE,$S$3=FALSE),"-",VLOOKUP($E555,'Status Thresholds'!$E:$AU,42,FALSE)),"-")</f>
        <v>-</v>
      </c>
    </row>
    <row r="556" spans="1:18" x14ac:dyDescent="0.25">
      <c r="B556" s="64" t="str">
        <f>VLOOKUP(C556,'Status Thresholds'!B:C,2,FALSE)</f>
        <v>MHGU</v>
      </c>
      <c r="C556" s="46" t="str">
        <f>IF(ISBLANK('KO Calc'!C552)=TRUE,"",'KO Calc'!C552)</f>
        <v>Nerscylla</v>
      </c>
      <c r="D556" s="78"/>
      <c r="E556" s="62" t="str">
        <f t="shared" si="15"/>
        <v>Nerscylla</v>
      </c>
      <c r="F556" t="s">
        <v>11</v>
      </c>
      <c r="G556" s="36" t="str">
        <f t="shared" si="16"/>
        <v>NerscyllaCrag 1</v>
      </c>
      <c r="H556" s="36" t="str">
        <f>IF(AND($Q$1=FALSE,$S$3=FALSE),"-",IF(AND($Q$1=TRUE,$S$3=TRUE),"-",IF(AND($Q$1=FALSE,$S$3=FALSE),"-",IF(AND($Q$1=TRUE,$S$1=TRUE,$S$4=FALSE)=TRUE,IF(OR($Q$4=TRUE,$Q$5=TRUE,$S$2=TRUE),VLOOKUP($G556,'KO Calc'!$H:$AW,12,FALSE),VLOOKUP($G556,'KO Calc'!$H562:$AW562,12,FALSE)),IF(AND($Q$1=TRUE,$S$4=FALSE),IF(OR($Q$4=TRUE,$Q$5=TRUE,$S$2=TRUE),VLOOKUP($G556,'KO Calc'!$H:$AW,2,FALSE),VLOOKUP($G556,'KO Calc'!$H562:$AW562,2,FALSE)),
IF(AND($Q$1=TRUE,$S$1=TRUE,$S$4=TRUE)=TRUE,IF(OR($Q$4=TRUE,$Q$5=TRUE,$S$2=TRUE),VLOOKUP($G556,'KO Calc'!$H:$AW,17,FALSE),VLOOKUP($G556,'KO Calc'!$H562:$AW562,17,FALSE)),IF(AND($Q$1=TRUE,$S$4=TRUE),IF(OR($Q$4=TRUE,$Q$5=TRUE,$S$2=TRUE),VLOOKUP($G556,'KO Calc'!$H:$AW,7,FALSE),VLOOKUP($G556,'KO Calc'!$H562:$AW562,7,FALSE)),
IF(AND($S$3=TRUE,$S$1=TRUE,$S$4=FALSE)=TRUE,IF(OR($Q$4=TRUE,$Q$5=TRUE,$S$2=TRUE),VLOOKUP($G556,'KO Calc'!$H:$AW,32,FALSE),VLOOKUP($G556,'KO Calc'!$H562:$AW562,32,FALSE)),IF(AND($S$3=TRUE,$S$4=FALSE),IF(OR($Q$4=TRUE,$Q$5=TRUE,$S$2=TRUE),VLOOKUP($G556,'KO Calc'!$H:$AW,22,FALSE),VLOOKUP($G556,'KO Calc'!$H562:$AW562,22,FALSE)),
IF(AND($S$3=TRUE,$S$1=TRUE,$S$4=TRUE)=TRUE,IF(OR($Q$4=TRUE,$Q$5=TRUE,$S$2=TRUE),VLOOKUP($G556,'KO Calc'!$H:$AW,37,FALSE),VLOOKUP($G556,'KO Calc'!$H562:$AW562,37,FALSE)),IF(AND($S$3=TRUE,$S$4=TRUE),IF(OR($Q$4=TRUE,$Q$5=TRUE,$S$2=TRUE),VLOOKUP($G556,'KO Calc'!$H:$AW,27,FALSE),VLOOKUP($G556,'KO Calc'!$H562:$AW562,27,FALSE)))))))))))))</f>
        <v>-</v>
      </c>
      <c r="I556" s="36" t="str">
        <f>IF(AND($Q$1=FALSE,$S$3=FALSE),"-",IF(AND($Q$1=TRUE,$S$3=TRUE),"-",IF(AND($Q$1=FALSE,$S$3=FALSE),"-",IF(AND($Q$1=TRUE,$S$1=TRUE,$S$4=FALSE)=TRUE,IF(OR($Q$4=TRUE,$Q$5=TRUE,$S$2=TRUE),VLOOKUP($G556,'KO Calc'!$H:$AW,13,FALSE),VLOOKUP($G556,'KO Calc'!$H562:$AW562,13,FALSE)),IF(AND($Q$1=TRUE,$S$4=FALSE),IF(OR($Q$4=TRUE,$Q$5=TRUE,$S$2=TRUE),VLOOKUP($G556,'KO Calc'!$H:$AW,3,FALSE),VLOOKUP($G556,'KO Calc'!$H562:$AW562,3,FALSE)),
IF(AND($Q$1=TRUE,$S$1=TRUE,$S$4=TRUE)=TRUE,IF(OR($Q$4=TRUE,$Q$5=TRUE,$S$2=TRUE),VLOOKUP($G556,'KO Calc'!$H:$AW,18,FALSE),VLOOKUP($G556,'KO Calc'!$H562:$AW562,18,FALSE)),IF(AND($Q$1=TRUE,$S$4=TRUE),IF(OR($Q$4=TRUE,$Q$5=TRUE,$S$2=TRUE),VLOOKUP($G556,'KO Calc'!$H:$AW,8,FALSE),VLOOKUP($G556,'KO Calc'!$H562:$AW562,8,FALSE)),
IF(AND($S$3=TRUE,$S$1=TRUE,$S$4=FALSE)=TRUE,IF(OR($Q$4=TRUE,$Q$5=TRUE,$S$2=TRUE),VLOOKUP($G556,'KO Calc'!$H:$AW,33,FALSE),VLOOKUP($G556,'KO Calc'!$H562:$AW562,33,FALSE)),IF(AND($S$3=TRUE,$S$4=FALSE),IF(OR($Q$4=TRUE,$Q$5=TRUE,$S$2=TRUE),VLOOKUP($G556,'KO Calc'!$H:$AW,23,FALSE),VLOOKUP($G556,'KO Calc'!$H562:$AW562,23,FALSE)),
IF(AND($S$3=TRUE,$S$1=TRUE,$S$4=TRUE)=TRUE,IF(OR($Q$4=TRUE,$Q$5=TRUE,$S$2=TRUE),VLOOKUP($G556,'KO Calc'!$H:$AW,38,FALSE),VLOOKUP($G556,'KO Calc'!$H562:$AW562,38,FALSE)),IF(AND($S$3=TRUE,$S$4=TRUE),IF(OR($Q$4=TRUE,$Q$5=TRUE,$S$2=TRUE),VLOOKUP($G556,'KO Calc'!$H:$AW,28,FALSE),VLOOKUP($G556,'KO Calc'!$H562:$AW562,28,FALSE)))))))))))))</f>
        <v>-</v>
      </c>
      <c r="J556" s="36" t="str">
        <f>IF(AND($Q$1=FALSE,$S$3=FALSE),"-",IF(AND($Q$1=TRUE,$S$3=TRUE),"-",IF(AND($Q$1=FALSE,$S$3=FALSE),"-",IF(AND($Q$1=TRUE,$S$1=TRUE,$S$4=FALSE)=TRUE,IF(OR($Q$4=TRUE,$Q$5=TRUE,$S$2=TRUE),VLOOKUP($G556,'KO Calc'!$H:$AW,FALSE),VLOOKUP($G556,'KO Calc'!$H562:$AW562,14,FALSE)),IF(AND($Q$1=TRUE,$S$4=FALSE),IF(OR($Q$4=TRUE,$Q$5=TRUE,$S$2=TRUE),VLOOKUP($G556,'KO Calc'!$H:$AW,4,FALSE),VLOOKUP($G556,'KO Calc'!$H562:$AW562,4,FALSE)),
IF(AND($Q$1=TRUE,$S$1=TRUE,$S$4=TRUE)=TRUE,IF(OR($Q$4=TRUE,$Q$5=TRUE,$S$2=TRUE),VLOOKUP($G556,'KO Calc'!$H:$AW,19,FALSE),VLOOKUP($G556,'KO Calc'!$H562:$AW562,19,FALSE)),IF(AND($Q$1=TRUE,$S$4=TRUE),IF(OR($Q$4=TRUE,$Q$5=TRUE,$S$2=TRUE),VLOOKUP($G556,'KO Calc'!$H:$AW,9,FALSE),VLOOKUP($G556,'KO Calc'!$H562:$AW562,9,FALSE)),
IF(AND($S$3=TRUE,$S$1=TRUE,$S$4=FALSE)=TRUE,IF(OR($Q$4=TRUE,$Q$5=TRUE,$S$2=TRUE),VLOOKUP($G556,'KO Calc'!$H:$AW,34,FALSE),VLOOKUP($G556,'KO Calc'!$H562:$AW562,34,FALSE)),IF(AND($S$3=TRUE,$S$4=FALSE),IF(OR($Q$4=TRUE,$Q$5=TRUE,$S$2=TRUE),VLOOKUP($G556,'KO Calc'!$H:$AW,24,FALSE),VLOOKUP($G556,'KO Calc'!$H562:$AW562,24,FALSE)),
IF(AND($S$3=TRUE,$S$1=TRUE,$S$4=TRUE)=TRUE,IF(OR($Q$4=TRUE,$Q$5=TRUE,$S$2=TRUE),VLOOKUP($G556,'KO Calc'!$H:$AW,39,FALSE),VLOOKUP($G556,'KO Calc'!$H562:$AW562,39,FALSE)),IF(AND($S$3=TRUE,$S$4=TRUE),IF(OR($Q$4=TRUE,$Q$5=TRUE,$S$2=TRUE),VLOOKUP($G556,'KO Calc'!$H:$AW,29,FALSE),VLOOKUP($G556,'KO Calc'!$H562:$AW562,29,FALSE)))))))))))))</f>
        <v>-</v>
      </c>
      <c r="K556" s="36" t="str">
        <f>IF(AND($Q$1=FALSE,$S$3=FALSE),"-",IF(AND($Q$1=TRUE,$S$3=TRUE),"-",IF(AND($Q$1=FALSE,$S$3=FALSE),"-",IF(AND($Q$1=TRUE,$S$1=TRUE,$S$4=FALSE)=TRUE,IF(OR($Q$4=TRUE,$Q$5=TRUE,$S$2=TRUE),VLOOKUP($G556,'KO Calc'!$H:$AW,15,FALSE),VLOOKUP($G556,'KO Calc'!$H562:$AW562,15,FALSE)),IF(AND($Q$1=TRUE,$S$4=FALSE),IF(OR($Q$4=TRUE,$Q$5=TRUE,$S$2=TRUE),VLOOKUP($G556,'KO Calc'!$H:$AW,5,FALSE),VLOOKUP($G556,'KO Calc'!$H562:$AW562,5,FALSE)),
IF(AND($Q$1=TRUE,$S$1=TRUE,$S$4=TRUE)=TRUE,IF(OR($Q$4=TRUE,$Q$5=TRUE,$S$2=TRUE),VLOOKUP($G556,'KO Calc'!$H:$AW,20,FALSE),VLOOKUP($G556,'KO Calc'!$H562:$AW562,20,FALSE)),IF(AND($Q$1=TRUE,$S$4=TRUE),IF(OR($Q$4=TRUE,$Q$5=TRUE,$S$2=TRUE),VLOOKUP($G556,'KO Calc'!$H:$AW,10,FALSE),VLOOKUP($G556,'KO Calc'!$H562:$AW562,10,FALSE)),
IF(AND($S$3=TRUE,$S$1=TRUE,$S$4=FALSE)=TRUE,IF(OR($Q$4=TRUE,$Q$5=TRUE,$S$2=TRUE),VLOOKUP($G556,'KO Calc'!$H:$AW,35,FALSE),VLOOKUP($G556,'KO Calc'!$H562:$AW562,35,FALSE)),IF(AND($S$3=TRUE,$S$4=FALSE),IF(OR($Q$4=TRUE,$Q$5=TRUE,$S$2=TRUE),VLOOKUP($G556,'KO Calc'!$H:$AW,25,FALSE),VLOOKUP($G556,'KO Calc'!$H562:$AW562,25,FALSE)),
IF(AND($S$3=TRUE,$S$1=TRUE,$S$4=TRUE)=TRUE,IF(OR($Q$4=TRUE,$Q$5=TRUE,$S$2=TRUE),VLOOKUP($G556,'KO Calc'!$H:$AW,40,FALSE),VLOOKUP($G556,'KO Calc'!$H562:$AW562,40,FALSE)),IF(AND($S$3=TRUE,$S$4=TRUE),IF(OR($Q$4=TRUE,$Q$5=TRUE,$S$2=TRUE),VLOOKUP($G556,'KO Calc'!$H:$AW,30,FALSE),VLOOKUP($G556,'KO Calc'!$H562:$AW562,30,FALSE)))))))))))))</f>
        <v>-</v>
      </c>
      <c r="L556" s="36" t="str">
        <f>IFERROR(VLOOKUP($E556,'Status Thresholds'!$E:$AS,41,FALSE),"-")</f>
        <v>-</v>
      </c>
      <c r="R556" t="s">
        <v>202</v>
      </c>
    </row>
    <row r="557" spans="1:18" x14ac:dyDescent="0.25">
      <c r="B557" s="64" t="str">
        <f>VLOOKUP(C557,'Status Thresholds'!B:C,2,FALSE)</f>
        <v>MHGU</v>
      </c>
      <c r="C557" s="46" t="str">
        <f>IF(ISBLANK('KO Calc'!C553)=TRUE,"",'KO Calc'!C553)</f>
        <v>Nerscylla</v>
      </c>
      <c r="D557" s="78"/>
      <c r="E557" s="62"/>
      <c r="G557" s="36"/>
      <c r="L557" s="36" t="str">
        <f>IFERROR(VLOOKUP($E557,'Status Thresholds'!$E:$AS,41,FALSE),"-")</f>
        <v>-</v>
      </c>
    </row>
    <row r="558" spans="1:18" s="36" customFormat="1" x14ac:dyDescent="0.25">
      <c r="B558" s="64" t="str">
        <f>VLOOKUP(C558,'Status Thresholds'!B:C,2,FALSE)</f>
        <v>MHGen</v>
      </c>
      <c r="C558" s="46" t="str">
        <f>IF(ISBLANK('KO Calc'!C554)=TRUE,"",'KO Calc'!C554)</f>
        <v>Nibelsnarf</v>
      </c>
      <c r="D558" s="65" t="s">
        <v>0</v>
      </c>
      <c r="E558" s="62" t="str">
        <f t="shared" si="15"/>
        <v>NibelsnarfPara</v>
      </c>
      <c r="F558" s="36" t="s">
        <v>2</v>
      </c>
      <c r="G558" s="36" t="str">
        <f t="shared" si="16"/>
        <v>NibelsnarfPara lvl 2</v>
      </c>
      <c r="H558" s="36" t="str">
        <f>IFERROR(ROUNDUP(IF(AND($Q$1=FALSE,$S$3=FALSE),"-",IF(AND($Q$1=TRUE,$S$3=TRUE),"-",IF(AND($Q$1=TRUE,$S$1=TRUE,$S$4=FALSE),VLOOKUP($E558,'Status Thresholds'!$E:$AS,12,FALSE),IF(AND($Q$1=TRUE,$S$4=FALSE),VLOOKUP($E558,'Status Thresholds'!$E:$AS,2,FALSE), IF(AND($Q$1=TRUE,$S$1=TRUE,$S$4=TRUE),VLOOKUP($E558,'Status Thresholds'!$E:$AS,17,FALSE),IF(AND($Q$1=TRUE,$S$4=TRUE),VLOOKUP($E558,'Status Thresholds'!$E:$AS,7,FALSE),IF(AND($S$3=TRUE,$S$1=TRUE,$S$4=FALSE),VLOOKUP($E558,'Status Thresholds'!$E:$AS,32,FALSE),IF(AND($S$3=TRUE,$S$4=FALSE),VLOOKUP($E558,'Status Thresholds'!$E:$AS,22,FALSE),IF(AND($S$3=TRUE,$S$1=TRUE,$S$4=TRUE),VLOOKUP($E558,'Status Thresholds'!$E:$AS,37,FALSE),IF(AND($S$3=TRUE,$S$4=TRUE),VLOOKUP($E558,'Status Thresholds'!$E:$AS,27,FALSE),""))))))))/IF(OR($Q$3=TRUE,AND($Q$2=TRUE,$Q$7=TRUE),AND($Q$3=TRUE,$Q$7=TRUE))=TRUE,'Shots and Status'!$F$5,IF((OR($Q$2,$Q$7)=TRUE),'Shots and Status'!$D$5,'Shots and Status'!$C$5)))),0),"-")</f>
        <v>-</v>
      </c>
      <c r="I558" s="36" t="str">
        <f>IFERROR(ROUNDUP(IF(AND($Q$1=FALSE,$S$3=FALSE),"-",IF(AND($Q$1=TRUE,$S$3=TRUE),"-",IF(AND($Q$1=TRUE,$S$1=TRUE,$S$4=FALSE),VLOOKUP($E558,'Status Thresholds'!$E:$AS,13,FALSE),IF(AND($Q$1=TRUE,$S$4=FALSE),VLOOKUP($E558,'Status Thresholds'!$E:$AS,3,FALSE), IF(AND($Q$1=TRUE,$S$1=TRUE,$S$4=TRUE),VLOOKUP($E558,'Status Thresholds'!$E:$AS,18,FALSE),IF(AND($Q$1=TRUE,$S$4=TRUE),VLOOKUP($E558,'Status Thresholds'!$E:$AS,8,FALSE),IF(AND($S$3=TRUE,$S$1=TRUE,$S$4=FALSE),VLOOKUP($E558,'Status Thresholds'!$E:$AS,33,FALSE),IF(AND($S$3=TRUE,$S$4=FALSE),VLOOKUP($E558,'Status Thresholds'!$E:$AS,23,FALSE),IF(AND($S$3=TRUE,$S$1=TRUE,$S$4=TRUE),VLOOKUP($E558,'Status Thresholds'!$E:$AS,38,FALSE),IF(AND($S$3=TRUE,$S$4=TRUE),VLOOKUP($E558,'Status Thresholds'!$E:$AS,28,FALSE),""))))))))/IF(OR($Q$3=TRUE,AND($Q$2=TRUE,$Q$7=TRUE),AND($Q$3=TRUE,$Q$7=TRUE))=TRUE,'Shots and Status'!$F$5,IF((OR($Q$2,$Q$7)=TRUE),'Shots and Status'!$D$5,'Shots and Status'!$C$5)))),0),"-")</f>
        <v>-</v>
      </c>
      <c r="J558" s="36" t="str">
        <f>IFERROR(ROUNDUP(IF(AND($Q$1=FALSE,$S$3=FALSE),"-",IF(AND($Q$1=TRUE,$S$3=TRUE),"-",IF(AND($Q$1=TRUE,$S$1=TRUE,$S$4=FALSE),VLOOKUP($E558,'Status Thresholds'!$E:$AS,14,FALSE),IF(AND($Q$1=TRUE,$S$4=FALSE),VLOOKUP($E558,'Status Thresholds'!$E:$AS,4,FALSE), IF(AND($Q$1=TRUE,$S$1=TRUE,$S$4=TRUE),VLOOKUP($E558,'Status Thresholds'!$E:$AS,19,FALSE),IF(AND($Q$1=TRUE,$S$4=TRUE),VLOOKUP($E558,'Status Thresholds'!$E:$AS,9,FALSE),IF(AND($S$3=TRUE,$S$1=TRUE,$S$4=FALSE),VLOOKUP($E558,'Status Thresholds'!$E:$AS,34,FALSE),IF(AND($S$3=TRUE,$S$4=FALSE),VLOOKUP($E558,'Status Thresholds'!$E:$AS,24,FALSE),IF(AND($S$3=TRUE,$S$1=TRUE,$S$4=TRUE),VLOOKUP($E558,'Status Thresholds'!$E:$AS,39,FALSE),IF(AND($S$3=TRUE,$S$4=TRUE),VLOOKUP($E558,'Status Thresholds'!$E:$AS,29,FALSE),""))))))))/IF(OR($Q$3=TRUE,AND($Q$2=TRUE,$Q$7=TRUE),AND($Q$3=TRUE,$Q$7=TRUE))=TRUE,'Shots and Status'!$F$5,IF((OR($Q$2,$Q$7)=TRUE),'Shots and Status'!$D$5,'Shots and Status'!$C$5)))),0),"-")</f>
        <v>-</v>
      </c>
      <c r="K558" s="36" t="str">
        <f>IFERROR(ROUNDUP(IF(AND($Q$1=FALSE,$S$3=FALSE),"-",IF(AND($Q$1=TRUE,$S$3=TRUE),"-",IF(AND($Q$1=TRUE,$S$1=TRUE,$S$4=FALSE),VLOOKUP($E558,'Status Thresholds'!$E:$AS,15,FALSE),IF(AND($Q$1=TRUE,$S$4=FALSE),VLOOKUP($E558,'Status Thresholds'!$E:$AS,5,FALSE), IF(AND($Q$1=TRUE,$S$1=TRUE,$S$4=TRUE),VLOOKUP($E558,'Status Thresholds'!$E:$AS,20,FALSE),IF(AND($Q$1=TRUE,$S$4=TRUE),VLOOKUP($E558,'Status Thresholds'!$E:$AS,10,FALSE),IF(AND($S$3=TRUE,$S$1=TRUE,$S$4=FALSE),VLOOKUP($E558,'Status Thresholds'!$E:$AS,35,FALSE),IF(AND($S$3=TRUE,$S$4=FALSE),VLOOKUP($E558,'Status Thresholds'!$E:$AS,25,FALSE),IF(AND($S$3=TRUE,$S$1=TRUE,$S$4=TRUE),VLOOKUP($E558,'Status Thresholds'!$E:$AS,40,FALSE),IF(AND($S$3=TRUE,$S$4=TRUE),VLOOKUP($E558,'Status Thresholds'!$E:$AS,30,FALSE),""))))))))/IF(OR($Q$3=TRUE,AND($Q$2=TRUE,$Q$7=TRUE),AND($Q$3=TRUE,$Q$7=TRUE))=TRUE,'Shots and Status'!$F$5,IF((OR($Q$2,$Q$7)=TRUE),'Shots and Status'!$D$5,'Shots and Status'!$C$5)))),0),"-")</f>
        <v>-</v>
      </c>
      <c r="L558" s="36" t="str">
        <f>IFERROR(IF(AND($Q$1=FALSE,$S$3=FALSE),"-",VLOOKUP($E558,'Status Thresholds'!$E:$AU,41,FALSE)),"-")</f>
        <v>-</v>
      </c>
      <c r="M558" s="36" t="str">
        <f>IFERROR(IF(AND($Q$1=FALSE,$S$3=FALSE),"-",VLOOKUP($E558,'Status Thresholds'!$E:$AU,42,FALSE)),"-")</f>
        <v>-</v>
      </c>
      <c r="N558" s="36" t="str">
        <f>IFERROR(IF(AND($Q$1=FALSE,$S$3=FALSE),"-",VLOOKUP($E558,'Status Thresholds'!$E:$AU,43,FALSE)),"-")</f>
        <v>-</v>
      </c>
    </row>
    <row r="559" spans="1:18" s="59" customFormat="1" x14ac:dyDescent="0.25">
      <c r="A559" s="46"/>
      <c r="B559" s="64" t="str">
        <f>VLOOKUP(C559,'Status Thresholds'!B:C,2,FALSE)</f>
        <v>MHGen</v>
      </c>
      <c r="C559" s="46" t="str">
        <f>IF(ISBLANK('KO Calc'!C555)=TRUE,"",'KO Calc'!C555)</f>
        <v>Nibelsnarf</v>
      </c>
      <c r="D559" s="60" t="s">
        <v>32</v>
      </c>
      <c r="E559" s="62" t="str">
        <f t="shared" si="15"/>
        <v>NibelsnarfSleep</v>
      </c>
      <c r="F559" s="59" t="s">
        <v>5</v>
      </c>
      <c r="G559" s="36" t="str">
        <f t="shared" si="16"/>
        <v>NibelsnarfSleep lvl 2</v>
      </c>
      <c r="H559" s="36" t="str">
        <f>IFERROR(ROUNDUP(IF(AND($Q$1=FALSE,$S$3=FALSE),"-",IF(AND($Q$1=TRUE,$S$3=TRUE),"-",IF(AND($Q$1=TRUE,$S$1=TRUE,$S$4=FALSE),VLOOKUP($E559,'Status Thresholds'!$E:$AS,12,FALSE),IF(AND($Q$1=TRUE,$S$4=FALSE),VLOOKUP($E559,'Status Thresholds'!$E:$AS,2,FALSE), IF(AND($Q$1=TRUE,$S$1=TRUE,$S$4=TRUE),VLOOKUP($E559,'Status Thresholds'!$E:$AS,17,FALSE),IF(AND($Q$1=TRUE,$S$4=TRUE),VLOOKUP($E559,'Status Thresholds'!$E:$AS,7,FALSE),IF(AND($S$3=TRUE,$S$1=TRUE,$S$4=FALSE),VLOOKUP($E559,'Status Thresholds'!$E:$AS,32,FALSE),IF(AND($S$3=TRUE,$S$4=FALSE),VLOOKUP($E559,'Status Thresholds'!$E:$AS,22,FALSE),IF(AND($S$3=TRUE,$S$1=TRUE,$S$4=TRUE),VLOOKUP($E559,'Status Thresholds'!$E:$AS,37,FALSE),IF(AND($S$3=TRUE,$S$4=TRUE),VLOOKUP($E559,'Status Thresholds'!$E:$AS,27,FALSE),""))))))))/IF(OR($Q$3=TRUE,AND($Q$2=TRUE,$Q$7=TRUE),AND($Q$3=TRUE,$Q$7=TRUE))=TRUE,'Shots and Status'!$F$5,IF((OR($Q$2,$Q$7)=TRUE),'Shots and Status'!$D$5,'Shots and Status'!$C$5)))),0),"-")</f>
        <v>-</v>
      </c>
      <c r="I559" s="36" t="str">
        <f>IFERROR(ROUNDUP(IF(AND($Q$1=FALSE,$S$3=FALSE),"-",IF(AND($Q$1=TRUE,$S$3=TRUE),"-",IF(AND($Q$1=TRUE,$S$1=TRUE,$S$4=FALSE),VLOOKUP($E559,'Status Thresholds'!$E:$AS,13,FALSE),IF(AND($Q$1=TRUE,$S$4=FALSE),VLOOKUP($E559,'Status Thresholds'!$E:$AS,3,FALSE), IF(AND($Q$1=TRUE,$S$1=TRUE,$S$4=TRUE),VLOOKUP($E559,'Status Thresholds'!$E:$AS,18,FALSE),IF(AND($Q$1=TRUE,$S$4=TRUE),VLOOKUP($E559,'Status Thresholds'!$E:$AS,8,FALSE),IF(AND($S$3=TRUE,$S$1=TRUE,$S$4=FALSE),VLOOKUP($E559,'Status Thresholds'!$E:$AS,33,FALSE),IF(AND($S$3=TRUE,$S$4=FALSE),VLOOKUP($E559,'Status Thresholds'!$E:$AS,23,FALSE),IF(AND($S$3=TRUE,$S$1=TRUE,$S$4=TRUE),VLOOKUP($E559,'Status Thresholds'!$E:$AS,38,FALSE),IF(AND($S$3=TRUE,$S$4=TRUE),VLOOKUP($E559,'Status Thresholds'!$E:$AS,28,FALSE),""))))))))/IF(OR($Q$3=TRUE,AND($Q$2=TRUE,$Q$7=TRUE),AND($Q$3=TRUE,$Q$7=TRUE))=TRUE,'Shots and Status'!$F$5,IF((OR($Q$2,$Q$7)=TRUE),'Shots and Status'!$D$5,'Shots and Status'!$C$5)))),0),"-")</f>
        <v>-</v>
      </c>
      <c r="J559" s="36" t="str">
        <f>IFERROR(ROUNDUP(IF(AND($Q$1=FALSE,$S$3=FALSE),"-",IF(AND($Q$1=TRUE,$S$3=TRUE),"-",IF(AND($Q$1=TRUE,$S$1=TRUE,$S$4=FALSE),VLOOKUP($E559,'Status Thresholds'!$E:$AS,14,FALSE),IF(AND($Q$1=TRUE,$S$4=FALSE),VLOOKUP($E559,'Status Thresholds'!$E:$AS,4,FALSE), IF(AND($Q$1=TRUE,$S$1=TRUE,$S$4=TRUE),VLOOKUP($E559,'Status Thresholds'!$E:$AS,19,FALSE),IF(AND($Q$1=TRUE,$S$4=TRUE),VLOOKUP($E559,'Status Thresholds'!$E:$AS,9,FALSE),IF(AND($S$3=TRUE,$S$1=TRUE,$S$4=FALSE),VLOOKUP($E559,'Status Thresholds'!$E:$AS,34,FALSE),IF(AND($S$3=TRUE,$S$4=FALSE),VLOOKUP($E559,'Status Thresholds'!$E:$AS,24,FALSE),IF(AND($S$3=TRUE,$S$1=TRUE,$S$4=TRUE),VLOOKUP($E559,'Status Thresholds'!$E:$AS,39,FALSE),IF(AND($S$3=TRUE,$S$4=TRUE),VLOOKUP($E559,'Status Thresholds'!$E:$AS,29,FALSE),""))))))))/IF(OR($Q$3=TRUE,AND($Q$2=TRUE,$Q$7=TRUE),AND($Q$3=TRUE,$Q$7=TRUE))=TRUE,'Shots and Status'!$F$5,IF((OR($Q$2,$Q$7)=TRUE),'Shots and Status'!$D$5,'Shots and Status'!$C$5)))),0),"-")</f>
        <v>-</v>
      </c>
      <c r="K559" s="36" t="str">
        <f>IFERROR(ROUNDUP(IF(AND($Q$1=FALSE,$S$3=FALSE),"-",IF(AND($Q$1=TRUE,$S$3=TRUE),"-",IF(AND($Q$1=TRUE,$S$1=TRUE,$S$4=FALSE),VLOOKUP($E559,'Status Thresholds'!$E:$AS,15,FALSE),IF(AND($Q$1=TRUE,$S$4=FALSE),VLOOKUP($E559,'Status Thresholds'!$E:$AS,5,FALSE), IF(AND($Q$1=TRUE,$S$1=TRUE,$S$4=TRUE),VLOOKUP($E559,'Status Thresholds'!$E:$AS,20,FALSE),IF(AND($Q$1=TRUE,$S$4=TRUE),VLOOKUP($E559,'Status Thresholds'!$E:$AS,10,FALSE),IF(AND($S$3=TRUE,$S$1=TRUE,$S$4=FALSE),VLOOKUP($E559,'Status Thresholds'!$E:$AS,35,FALSE),IF(AND($S$3=TRUE,$S$4=FALSE),VLOOKUP($E559,'Status Thresholds'!$E:$AS,25,FALSE),IF(AND($S$3=TRUE,$S$1=TRUE,$S$4=TRUE),VLOOKUP($E559,'Status Thresholds'!$E:$AS,40,FALSE),IF(AND($S$3=TRUE,$S$4=TRUE),VLOOKUP($E559,'Status Thresholds'!$E:$AS,30,FALSE),""))))))))/IF(OR($Q$3=TRUE,AND($Q$2=TRUE,$Q$7=TRUE),AND($Q$3=TRUE,$Q$7=TRUE))=TRUE,'Shots and Status'!$F$5,IF((OR($Q$2,$Q$7)=TRUE),'Shots and Status'!$D$5,'Shots and Status'!$C$5)))),0),"-")</f>
        <v>-</v>
      </c>
      <c r="L559" s="36" t="str">
        <f>IFERROR(IF(AND($Q$1=FALSE,$S$3=FALSE),"-",VLOOKUP($E559,'Status Thresholds'!$E:$AU,41,FALSE)),"-")</f>
        <v>-</v>
      </c>
      <c r="M559" s="36" t="str">
        <f>IFERROR(IF(AND($Q$1=FALSE,$S$3=FALSE),"-",VLOOKUP($E559,'Status Thresholds'!$E:$AU,42,FALSE)),"-")</f>
        <v>-</v>
      </c>
      <c r="N559" s="36" t="str">
        <f>IFERROR(IF(AND($Q$1=FALSE,$S$3=FALSE),"-",VLOOKUP($E559,'Status Thresholds'!$E:$AU,43,FALSE)),"-")</f>
        <v>-</v>
      </c>
    </row>
    <row r="560" spans="1:18" s="59" customFormat="1" x14ac:dyDescent="0.25">
      <c r="A560" s="46"/>
      <c r="B560" s="64" t="str">
        <f>VLOOKUP(C560,'Status Thresholds'!B:C,2,FALSE)</f>
        <v>MHGen</v>
      </c>
      <c r="C560" s="46" t="str">
        <f>IF(ISBLANK('KO Calc'!C556)=TRUE,"",'KO Calc'!C556)</f>
        <v>Nibelsnarf</v>
      </c>
      <c r="D560" s="58" t="s">
        <v>33</v>
      </c>
      <c r="E560" s="62" t="str">
        <f t="shared" si="15"/>
        <v>NibelsnarfPoison</v>
      </c>
      <c r="F560" s="59" t="s">
        <v>6</v>
      </c>
      <c r="G560" s="36" t="str">
        <f t="shared" si="16"/>
        <v>NibelsnarfPoison lvl 2</v>
      </c>
      <c r="H560" s="36" t="str">
        <f>IFERROR(ROUNDUP(IF(AND($Q$1=FALSE,$S$3=FALSE),"-",IF(AND($Q$1=TRUE,$S$3=TRUE),"-",IF(AND($Q$1=TRUE,$S$1=TRUE,$S$4=FALSE),VLOOKUP($E560,'Status Thresholds'!$E:$AS,12,FALSE),IF(AND($Q$1=TRUE,$S$4=FALSE),VLOOKUP($E560,'Status Thresholds'!$E:$AS,2,FALSE), IF(AND($Q$1=TRUE,$S$1=TRUE,$S$4=TRUE),VLOOKUP($E560,'Status Thresholds'!$E:$AS,17,FALSE),IF(AND($Q$1=TRUE,$S$4=TRUE),VLOOKUP($E560,'Status Thresholds'!$E:$AS,7,FALSE),IF(AND($S$3=TRUE,$S$1=TRUE,$S$4=FALSE),VLOOKUP($E560,'Status Thresholds'!$E:$AS,32,FALSE),IF(AND($S$3=TRUE,$S$4=FALSE),VLOOKUP($E560,'Status Thresholds'!$E:$AS,22,FALSE),IF(AND($S$3=TRUE,$S$1=TRUE,$S$4=TRUE),VLOOKUP($E560,'Status Thresholds'!$E:$AS,37,FALSE),IF(AND($S$3=TRUE,$S$4=TRUE),VLOOKUP($E560,'Status Thresholds'!$E:$AS,27,FALSE),""))))))))/IF(OR($Q$3=TRUE,AND($Q$2=TRUE,$Q$7=TRUE),AND($Q$3=TRUE,$Q$7=TRUE))=TRUE,'Shots and Status'!$F$5,IF((OR($Q$2,$Q$7)=TRUE),'Shots and Status'!$D$5,'Shots and Status'!$C$5)))),0),"-")</f>
        <v>-</v>
      </c>
      <c r="I560" s="36" t="str">
        <f>IFERROR(ROUNDUP(IF(AND($Q$1=FALSE,$S$3=FALSE),"-",IF(AND($Q$1=TRUE,$S$3=TRUE),"-",IF(AND($Q$1=TRUE,$S$1=TRUE,$S$4=FALSE),VLOOKUP($E560,'Status Thresholds'!$E:$AS,13,FALSE),IF(AND($Q$1=TRUE,$S$4=FALSE),VLOOKUP($E560,'Status Thresholds'!$E:$AS,3,FALSE), IF(AND($Q$1=TRUE,$S$1=TRUE,$S$4=TRUE),VLOOKUP($E560,'Status Thresholds'!$E:$AS,18,FALSE),IF(AND($Q$1=TRUE,$S$4=TRUE),VLOOKUP($E560,'Status Thresholds'!$E:$AS,8,FALSE),IF(AND($S$3=TRUE,$S$1=TRUE,$S$4=FALSE),VLOOKUP($E560,'Status Thresholds'!$E:$AS,33,FALSE),IF(AND($S$3=TRUE,$S$4=FALSE),VLOOKUP($E560,'Status Thresholds'!$E:$AS,23,FALSE),IF(AND($S$3=TRUE,$S$1=TRUE,$S$4=TRUE),VLOOKUP($E560,'Status Thresholds'!$E:$AS,38,FALSE),IF(AND($S$3=TRUE,$S$4=TRUE),VLOOKUP($E560,'Status Thresholds'!$E:$AS,28,FALSE),""))))))))/IF(OR($Q$3=TRUE,AND($Q$2=TRUE,$Q$7=TRUE),AND($Q$3=TRUE,$Q$7=TRUE))=TRUE,'Shots and Status'!$F$5,IF((OR($Q$2,$Q$7)=TRUE),'Shots and Status'!$D$5,'Shots and Status'!$C$5)))),0),"-")</f>
        <v>-</v>
      </c>
      <c r="J560" s="36" t="str">
        <f>IFERROR(ROUNDUP(IF(AND($Q$1=FALSE,$S$3=FALSE),"-",IF(AND($Q$1=TRUE,$S$3=TRUE),"-",IF(AND($Q$1=TRUE,$S$1=TRUE,$S$4=FALSE),VLOOKUP($E560,'Status Thresholds'!$E:$AS,14,FALSE),IF(AND($Q$1=TRUE,$S$4=FALSE),VLOOKUP($E560,'Status Thresholds'!$E:$AS,4,FALSE), IF(AND($Q$1=TRUE,$S$1=TRUE,$S$4=TRUE),VLOOKUP($E560,'Status Thresholds'!$E:$AS,19,FALSE),IF(AND($Q$1=TRUE,$S$4=TRUE),VLOOKUP($E560,'Status Thresholds'!$E:$AS,9,FALSE),IF(AND($S$3=TRUE,$S$1=TRUE,$S$4=FALSE),VLOOKUP($E560,'Status Thresholds'!$E:$AS,34,FALSE),IF(AND($S$3=TRUE,$S$4=FALSE),VLOOKUP($E560,'Status Thresholds'!$E:$AS,24,FALSE),IF(AND($S$3=TRUE,$S$1=TRUE,$S$4=TRUE),VLOOKUP($E560,'Status Thresholds'!$E:$AS,39,FALSE),IF(AND($S$3=TRUE,$S$4=TRUE),VLOOKUP($E560,'Status Thresholds'!$E:$AS,29,FALSE),""))))))))/IF(OR($Q$3=TRUE,AND($Q$2=TRUE,$Q$7=TRUE),AND($Q$3=TRUE,$Q$7=TRUE))=TRUE,'Shots and Status'!$F$5,IF((OR($Q$2,$Q$7)=TRUE),'Shots and Status'!$D$5,'Shots and Status'!$C$5)))),0),"-")</f>
        <v>-</v>
      </c>
      <c r="K560" s="36" t="str">
        <f>IFERROR(ROUNDUP(IF(AND($Q$1=FALSE,$S$3=FALSE),"-",IF(AND($Q$1=TRUE,$S$3=TRUE),"-",IF(AND($Q$1=TRUE,$S$1=TRUE,$S$4=FALSE),VLOOKUP($E560,'Status Thresholds'!$E:$AS,15,FALSE),IF(AND($Q$1=TRUE,$S$4=FALSE),VLOOKUP($E560,'Status Thresholds'!$E:$AS,5,FALSE), IF(AND($Q$1=TRUE,$S$1=TRUE,$S$4=TRUE),VLOOKUP($E560,'Status Thresholds'!$E:$AS,20,FALSE),IF(AND($Q$1=TRUE,$S$4=TRUE),VLOOKUP($E560,'Status Thresholds'!$E:$AS,10,FALSE),IF(AND($S$3=TRUE,$S$1=TRUE,$S$4=FALSE),VLOOKUP($E560,'Status Thresholds'!$E:$AS,35,FALSE),IF(AND($S$3=TRUE,$S$4=FALSE),VLOOKUP($E560,'Status Thresholds'!$E:$AS,25,FALSE),IF(AND($S$3=TRUE,$S$1=TRUE,$S$4=TRUE),VLOOKUP($E560,'Status Thresholds'!$E:$AS,40,FALSE),IF(AND($S$3=TRUE,$S$4=TRUE),VLOOKUP($E560,'Status Thresholds'!$E:$AS,30,FALSE),""))))))))/IF(OR($Q$3=TRUE,AND($Q$2=TRUE,$Q$7=TRUE),AND($Q$3=TRUE,$Q$7=TRUE))=TRUE,'Shots and Status'!$F$5,IF((OR($Q$2,$Q$7)=TRUE),'Shots and Status'!$D$5,'Shots and Status'!$C$5)))),0),"-")</f>
        <v>-</v>
      </c>
      <c r="L560" s="36" t="str">
        <f>IFERROR(IF(AND($Q$1=FALSE,$S$3=FALSE),"-",VLOOKUP($E560,'Status Thresholds'!$E:$AU,41,FALSE)),"-")</f>
        <v>-</v>
      </c>
      <c r="M560" s="36" t="str">
        <f>IFERROR(IF(AND($Q$1=FALSE,$S$3=FALSE),"-",VLOOKUP($E560,'Status Thresholds'!$E:$AU,42,FALSE)),"-")</f>
        <v>-</v>
      </c>
      <c r="N560" s="36" t="str">
        <f>IFERROR(IF(AND($Q$1=FALSE,$S$3=FALSE),"-",VLOOKUP($E560,'Status Thresholds'!$E:$AU,43,FALSE)),"-")</f>
        <v>-</v>
      </c>
    </row>
    <row r="561" spans="1:14" s="36" customFormat="1" x14ac:dyDescent="0.25">
      <c r="A561" s="46"/>
      <c r="B561" s="64" t="str">
        <f>VLOOKUP(C561,'Status Thresholds'!B:C,2,FALSE)</f>
        <v>MHGen</v>
      </c>
      <c r="C561" s="46" t="str">
        <f>IF(ISBLANK('KO Calc'!C557)=TRUE,"",'KO Calc'!C557)</f>
        <v>Nibelsnarf</v>
      </c>
      <c r="D561" s="57" t="s">
        <v>22</v>
      </c>
      <c r="E561" s="62" t="str">
        <f t="shared" si="15"/>
        <v>NibelsnarfExhaust</v>
      </c>
      <c r="F561" s="36" t="s">
        <v>8</v>
      </c>
      <c r="G561" s="36" t="str">
        <f t="shared" si="16"/>
        <v>NibelsnarfExhaust lvl 2</v>
      </c>
      <c r="H561" s="36" t="str">
        <f>IFERROR(ROUNDUP(IF(AND($Q$1=FALSE,$S$3=FALSE),"-",IF(AND($Q$1=TRUE,$S$3=TRUE),"-",IF(AND($Q$1=TRUE,$S$1=TRUE,$S$4=FALSE),VLOOKUP($E561,'Status Thresholds'!$E:$AS,12,FALSE),IF(AND($Q$1=TRUE,$S$4=FALSE),VLOOKUP($E561,'Status Thresholds'!$E:$AS,2,FALSE), IF(AND($Q$1=TRUE,$S$1=TRUE,$S$4=TRUE),VLOOKUP($E561,'Status Thresholds'!$E:$AS,17,FALSE),IF(AND($Q$1=TRUE,$S$4=TRUE),VLOOKUP($E561,'Status Thresholds'!$E:$AS,7,FALSE),IF(AND($S$3=TRUE,$S$1=TRUE,$S$4=FALSE),VLOOKUP($E561,'Status Thresholds'!$E:$AS,32,FALSE),IF(AND($S$3=TRUE,$S$4=FALSE),VLOOKUP($E561,'Status Thresholds'!$E:$AS,22,FALSE),IF(AND($S$3=TRUE,$S$1=TRUE,$S$4=TRUE),VLOOKUP($E561,'Status Thresholds'!$E:$AS,37,FALSE),IF(AND($S$3=TRUE,$S$4=TRUE),VLOOKUP($E561,'Status Thresholds'!$E:$AS,27,FALSE),""))))))))/IF(OR($Q$3=TRUE,AND($Q$2=TRUE,$Q$7=TRUE),AND($Q$3=TRUE,$Q$7=TRUE))=TRUE,'Shots and Status'!$F$5,IF((OR($Q$2,$Q$7)=TRUE),'Shots and Status'!$D$5,'Shots and Status'!$C$5)))),0),"-")</f>
        <v>-</v>
      </c>
      <c r="I561" s="36" t="str">
        <f>IFERROR(ROUNDUP(IF(AND($Q$1=FALSE,$S$3=FALSE),"-",IF(AND($Q$1=TRUE,$S$3=TRUE),"-",IF(AND($Q$1=TRUE,$S$1=TRUE,$S$4=FALSE),VLOOKUP($E561,'Status Thresholds'!$E:$AS,13,FALSE),IF(AND($Q$1=TRUE,$S$4=FALSE),VLOOKUP($E561,'Status Thresholds'!$E:$AS,3,FALSE), IF(AND($Q$1=TRUE,$S$1=TRUE,$S$4=TRUE),VLOOKUP($E561,'Status Thresholds'!$E:$AS,18,FALSE),IF(AND($Q$1=TRUE,$S$4=TRUE),VLOOKUP($E561,'Status Thresholds'!$E:$AS,8,FALSE),IF(AND($S$3=TRUE,$S$1=TRUE,$S$4=FALSE),VLOOKUP($E561,'Status Thresholds'!$E:$AS,33,FALSE),IF(AND($S$3=TRUE,$S$4=FALSE),VLOOKUP($E561,'Status Thresholds'!$E:$AS,23,FALSE),IF(AND($S$3=TRUE,$S$1=TRUE,$S$4=TRUE),VLOOKUP($E561,'Status Thresholds'!$E:$AS,38,FALSE),IF(AND($S$3=TRUE,$S$4=TRUE),VLOOKUP($E561,'Status Thresholds'!$E:$AS,28,FALSE),""))))))))/IF(OR($Q$3=TRUE,AND($Q$2=TRUE,$Q$7=TRUE),AND($Q$3=TRUE,$Q$7=TRUE))=TRUE,'Shots and Status'!$F$5,IF((OR($Q$2,$Q$7)=TRUE),'Shots and Status'!$D$5,'Shots and Status'!$C$5)))),0),"-")</f>
        <v>-</v>
      </c>
      <c r="J561" s="36" t="str">
        <f>IFERROR(ROUNDUP(IF(AND($Q$1=FALSE,$S$3=FALSE),"-",IF(AND($Q$1=TRUE,$S$3=TRUE),"-",IF(AND($Q$1=TRUE,$S$1=TRUE,$S$4=FALSE),VLOOKUP($E561,'Status Thresholds'!$E:$AS,14,FALSE),IF(AND($Q$1=TRUE,$S$4=FALSE),VLOOKUP($E561,'Status Thresholds'!$E:$AS,4,FALSE), IF(AND($Q$1=TRUE,$S$1=TRUE,$S$4=TRUE),VLOOKUP($E561,'Status Thresholds'!$E:$AS,19,FALSE),IF(AND($Q$1=TRUE,$S$4=TRUE),VLOOKUP($E561,'Status Thresholds'!$E:$AS,9,FALSE),IF(AND($S$3=TRUE,$S$1=TRUE,$S$4=FALSE),VLOOKUP($E561,'Status Thresholds'!$E:$AS,34,FALSE),IF(AND($S$3=TRUE,$S$4=FALSE),VLOOKUP($E561,'Status Thresholds'!$E:$AS,24,FALSE),IF(AND($S$3=TRUE,$S$1=TRUE,$S$4=TRUE),VLOOKUP($E561,'Status Thresholds'!$E:$AS,39,FALSE),IF(AND($S$3=TRUE,$S$4=TRUE),VLOOKUP($E561,'Status Thresholds'!$E:$AS,29,FALSE),""))))))))/IF(OR($Q$3=TRUE,AND($Q$2=TRUE,$Q$7=TRUE),AND($Q$3=TRUE,$Q$7=TRUE))=TRUE,'Shots and Status'!$F$5,IF((OR($Q$2,$Q$7)=TRUE),'Shots and Status'!$D$5,'Shots and Status'!$C$5)))),0),"-")</f>
        <v>-</v>
      </c>
      <c r="K561" s="36" t="str">
        <f>IFERROR(ROUNDUP(IF(AND($Q$1=FALSE,$S$3=FALSE),"-",IF(AND($Q$1=TRUE,$S$3=TRUE),"-",IF(AND($Q$1=TRUE,$S$1=TRUE,$S$4=FALSE),VLOOKUP($E561,'Status Thresholds'!$E:$AS,15,FALSE),IF(AND($Q$1=TRUE,$S$4=FALSE),VLOOKUP($E561,'Status Thresholds'!$E:$AS,5,FALSE), IF(AND($Q$1=TRUE,$S$1=TRUE,$S$4=TRUE),VLOOKUP($E561,'Status Thresholds'!$E:$AS,20,FALSE),IF(AND($Q$1=TRUE,$S$4=TRUE),VLOOKUP($E561,'Status Thresholds'!$E:$AS,10,FALSE),IF(AND($S$3=TRUE,$S$1=TRUE,$S$4=FALSE),VLOOKUP($E561,'Status Thresholds'!$E:$AS,35,FALSE),IF(AND($S$3=TRUE,$S$4=FALSE),VLOOKUP($E561,'Status Thresholds'!$E:$AS,25,FALSE),IF(AND($S$3=TRUE,$S$1=TRUE,$S$4=TRUE),VLOOKUP($E561,'Status Thresholds'!$E:$AS,40,FALSE),IF(AND($S$3=TRUE,$S$4=TRUE),VLOOKUP($E561,'Status Thresholds'!$E:$AS,30,FALSE),""))))))))/IF(OR($Q$3=TRUE,AND($Q$2=TRUE,$Q$7=TRUE),AND($Q$3=TRUE,$Q$7=TRUE))=TRUE,'Shots and Status'!$F$5,IF((OR($Q$2,$Q$7)=TRUE),'Shots and Status'!$D$5,'Shots and Status'!$C$5)))),0),"-")</f>
        <v>-</v>
      </c>
      <c r="L561" s="36" t="str">
        <f>IFERROR(IF(AND($Q$1=FALSE,$S$3=FALSE),"-",VLOOKUP($E561,'Status Thresholds'!$E:$AU,41,FALSE)),"-")</f>
        <v>-</v>
      </c>
      <c r="M561" s="36" t="str">
        <f>IFERROR(IF(AND($Q$1=FALSE,$S$3=FALSE),"-",VLOOKUP($E561,'Status Thresholds'!$E:$AU,42,FALSE)),"-")</f>
        <v>-</v>
      </c>
      <c r="N561" s="36" t="str">
        <f>IFERROR(IF(AND($Q$1=FALSE,$S$3=FALSE),"-",VLOOKUP($E561,'Status Thresholds'!$E:$AU,43,FALSE)),"-")</f>
        <v>-</v>
      </c>
    </row>
    <row r="562" spans="1:14" s="36" customFormat="1" x14ac:dyDescent="0.25">
      <c r="A562" s="46"/>
      <c r="B562" s="64" t="str">
        <f>VLOOKUP(C562,'Status Thresholds'!B:C,2,FALSE)</f>
        <v>MHGen</v>
      </c>
      <c r="C562" s="46" t="str">
        <f>IF(ISBLANK('KO Calc'!C558)=TRUE,"",'KO Calc'!C558)</f>
        <v>Nibelsnarf</v>
      </c>
      <c r="D562" s="67" t="s">
        <v>14</v>
      </c>
      <c r="E562" s="62" t="str">
        <f t="shared" si="15"/>
        <v>NibelsnarfKO</v>
      </c>
      <c r="F562" s="36" t="s">
        <v>21</v>
      </c>
      <c r="G562" s="36" t="str">
        <f t="shared" si="16"/>
        <v>NibelsnarfTriblast</v>
      </c>
      <c r="H562" s="36" t="str">
        <f>IF(AND($Q$1=FALSE,$S$3=FALSE),"-",IF(AND($Q$1=TRUE,$S$3=TRUE),"-",IF(AND($Q$1=FALSE,$S$3=FALSE),"-",IF(AND($Q$1=TRUE,$S$1=TRUE,$S$4=FALSE)=TRUE,IF(OR($Q$4=TRUE,$Q$5=TRUE,$S$2=TRUE),VLOOKUP($G562,'KO Calc'!$H:$AW,12,FALSE),VLOOKUP($G562,'KO Calc'!$H568:$AW568,12,FALSE)),IF(AND($Q$1=TRUE,$S$4=FALSE),IF(OR($Q$4=TRUE,$Q$5=TRUE,$S$2=TRUE),VLOOKUP($G562,'KO Calc'!$H:$AW,2,FALSE),VLOOKUP($G562,'KO Calc'!$H568:$AW568,2,FALSE)),
IF(AND($Q$1=TRUE,$S$1=TRUE,$S$4=TRUE)=TRUE,IF(OR($Q$4=TRUE,$Q$5=TRUE,$S$2=TRUE),VLOOKUP($G562,'KO Calc'!$H:$AW,17,FALSE),VLOOKUP($G562,'KO Calc'!$H568:$AW568,17,FALSE)),IF(AND($Q$1=TRUE,$S$4=TRUE),IF(OR($Q$4=TRUE,$Q$5=TRUE,$S$2=TRUE),VLOOKUP($G562,'KO Calc'!$H:$AW,7,FALSE),VLOOKUP($G562,'KO Calc'!$H568:$AW568,7,FALSE)),
IF(AND($S$3=TRUE,$S$1=TRUE,$S$4=FALSE)=TRUE,IF(OR($Q$4=TRUE,$Q$5=TRUE,$S$2=TRUE),VLOOKUP($G562,'KO Calc'!$H:$AW,32,FALSE),VLOOKUP($G562,'KO Calc'!$H568:$AW568,32,FALSE)),IF(AND($S$3=TRUE,$S$4=FALSE),IF(OR($Q$4=TRUE,$Q$5=TRUE,$S$2=TRUE),VLOOKUP($G562,'KO Calc'!$H:$AW,22,FALSE),VLOOKUP($G562,'KO Calc'!$H568:$AW568,22,FALSE)),
IF(AND($S$3=TRUE,$S$1=TRUE,$S$4=TRUE)=TRUE,IF(OR($Q$4=TRUE,$Q$5=TRUE,$S$2=TRUE),VLOOKUP($G562,'KO Calc'!$H:$AW,37,FALSE),VLOOKUP($G562,'KO Calc'!$H568:$AW568,37,FALSE)),IF(AND($S$3=TRUE,$S$4=TRUE),IF(OR($Q$4=TRUE,$Q$5=TRUE,$S$2=TRUE),VLOOKUP($G562,'KO Calc'!$H:$AW,27,FALSE),VLOOKUP($G562,'KO Calc'!$H568:$AW568,27,FALSE)))))))))))))</f>
        <v>-</v>
      </c>
      <c r="I562" s="36" t="str">
        <f>IF(AND($Q$1=FALSE,$S$3=FALSE),"-",IF(AND($Q$1=TRUE,$S$3=TRUE),"-",IF(AND($Q$1=FALSE,$S$3=FALSE),"-",IF(AND($Q$1=TRUE,$S$1=TRUE,$S$4=FALSE)=TRUE,IF(OR($Q$4=TRUE,$Q$5=TRUE,$S$2=TRUE),VLOOKUP($G562,'KO Calc'!$H:$AW,13,FALSE),VLOOKUP($G562,'KO Calc'!$H568:$AW568,13,FALSE)),IF(AND($Q$1=TRUE,$S$4=FALSE),IF(OR($Q$4=TRUE,$Q$5=TRUE,$S$2=TRUE),VLOOKUP($G562,'KO Calc'!$H:$AW,3,FALSE),VLOOKUP($G562,'KO Calc'!$H568:$AW568,3,FALSE)),
IF(AND($Q$1=TRUE,$S$1=TRUE,$S$4=TRUE)=TRUE,IF(OR($Q$4=TRUE,$Q$5=TRUE,$S$2=TRUE),VLOOKUP($G562,'KO Calc'!$H:$AW,18,FALSE),VLOOKUP($G562,'KO Calc'!$H568:$AW568,18,FALSE)),IF(AND($Q$1=TRUE,$S$4=TRUE),IF(OR($Q$4=TRUE,$Q$5=TRUE,$S$2=TRUE),VLOOKUP($G562,'KO Calc'!$H:$AW,8,FALSE),VLOOKUP($G562,'KO Calc'!$H568:$AW568,8,FALSE)),
IF(AND($S$3=TRUE,$S$1=TRUE,$S$4=FALSE)=TRUE,IF(OR($Q$4=TRUE,$Q$5=TRUE,$S$2=TRUE),VLOOKUP($G562,'KO Calc'!$H:$AW,33,FALSE),VLOOKUP($G562,'KO Calc'!$H568:$AW568,33,FALSE)),IF(AND($S$3=TRUE,$S$4=FALSE),IF(OR($Q$4=TRUE,$Q$5=TRUE,$S$2=TRUE),VLOOKUP($G562,'KO Calc'!$H:$AW,23,FALSE),VLOOKUP($G562,'KO Calc'!$H568:$AW568,23,FALSE)),
IF(AND($S$3=TRUE,$S$1=TRUE,$S$4=TRUE)=TRUE,IF(OR($Q$4=TRUE,$Q$5=TRUE,$S$2=TRUE),VLOOKUP($G562,'KO Calc'!$H:$AW,38,FALSE),VLOOKUP($G562,'KO Calc'!$H568:$AW568,38,FALSE)),IF(AND($S$3=TRUE,$S$4=TRUE),IF(OR($Q$4=TRUE,$Q$5=TRUE,$S$2=TRUE),VLOOKUP($G562,'KO Calc'!$H:$AW,28,FALSE),VLOOKUP($G562,'KO Calc'!$H568:$AW568,28,FALSE)))))))))))))</f>
        <v>-</v>
      </c>
      <c r="J562" s="36" t="str">
        <f>IF(AND($Q$1=FALSE,$S$3=FALSE),"-",IF(AND($Q$1=TRUE,$S$3=TRUE),"-",IF(AND($Q$1=FALSE,$S$3=FALSE),"-",IF(AND($Q$1=TRUE,$S$1=TRUE,$S$4=FALSE)=TRUE,IF(OR($Q$4=TRUE,$Q$5=TRUE,$S$2=TRUE),VLOOKUP($G562,'KO Calc'!$H:$AW,FALSE),VLOOKUP($G562,'KO Calc'!$H568:$AW568,14,FALSE)),IF(AND($Q$1=TRUE,$S$4=FALSE),IF(OR($Q$4=TRUE,$Q$5=TRUE,$S$2=TRUE),VLOOKUP($G562,'KO Calc'!$H:$AW,4,FALSE),VLOOKUP($G562,'KO Calc'!$H568:$AW568,4,FALSE)),
IF(AND($Q$1=TRUE,$S$1=TRUE,$S$4=TRUE)=TRUE,IF(OR($Q$4=TRUE,$Q$5=TRUE,$S$2=TRUE),VLOOKUP($G562,'KO Calc'!$H:$AW,19,FALSE),VLOOKUP($G562,'KO Calc'!$H568:$AW568,19,FALSE)),IF(AND($Q$1=TRUE,$S$4=TRUE),IF(OR($Q$4=TRUE,$Q$5=TRUE,$S$2=TRUE),VLOOKUP($G562,'KO Calc'!$H:$AW,9,FALSE),VLOOKUP($G562,'KO Calc'!$H568:$AW568,9,FALSE)),
IF(AND($S$3=TRUE,$S$1=TRUE,$S$4=FALSE)=TRUE,IF(OR($Q$4=TRUE,$Q$5=TRUE,$S$2=TRUE),VLOOKUP($G562,'KO Calc'!$H:$AW,34,FALSE),VLOOKUP($G562,'KO Calc'!$H568:$AW568,34,FALSE)),IF(AND($S$3=TRUE,$S$4=FALSE),IF(OR($Q$4=TRUE,$Q$5=TRUE,$S$2=TRUE),VLOOKUP($G562,'KO Calc'!$H:$AW,24,FALSE),VLOOKUP($G562,'KO Calc'!$H568:$AW568,24,FALSE)),
IF(AND($S$3=TRUE,$S$1=TRUE,$S$4=TRUE)=TRUE,IF(OR($Q$4=TRUE,$Q$5=TRUE,$S$2=TRUE),VLOOKUP($G562,'KO Calc'!$H:$AW,39,FALSE),VLOOKUP($G562,'KO Calc'!$H568:$AW568,39,FALSE)),IF(AND($S$3=TRUE,$S$4=TRUE),IF(OR($Q$4=TRUE,$Q$5=TRUE,$S$2=TRUE),VLOOKUP($G562,'KO Calc'!$H:$AW,29,FALSE),VLOOKUP($G562,'KO Calc'!$H568:$AW568,29,FALSE)))))))))))))</f>
        <v>-</v>
      </c>
      <c r="K562" s="36" t="str">
        <f>IF(AND($Q$1=FALSE,$S$3=FALSE),"-",IF(AND($Q$1=TRUE,$S$3=TRUE),"-",IF(AND($Q$1=FALSE,$S$3=FALSE),"-",IF(AND($Q$1=TRUE,$S$1=TRUE,$S$4=FALSE)=TRUE,IF(OR($Q$4=TRUE,$Q$5=TRUE,$S$2=TRUE),VLOOKUP($G562,'KO Calc'!$H:$AW,15,FALSE),VLOOKUP($G562,'KO Calc'!$H568:$AW568,15,FALSE)),IF(AND($Q$1=TRUE,$S$4=FALSE),IF(OR($Q$4=TRUE,$Q$5=TRUE,$S$2=TRUE),VLOOKUP($G562,'KO Calc'!$H:$AW,5,FALSE),VLOOKUP($G562,'KO Calc'!$H568:$AW568,5,FALSE)),
IF(AND($Q$1=TRUE,$S$1=TRUE,$S$4=TRUE)=TRUE,IF(OR($Q$4=TRUE,$Q$5=TRUE,$S$2=TRUE),VLOOKUP($G562,'KO Calc'!$H:$AW,20,FALSE),VLOOKUP($G562,'KO Calc'!$H568:$AW568,20,FALSE)),IF(AND($Q$1=TRUE,$S$4=TRUE),IF(OR($Q$4=TRUE,$Q$5=TRUE,$S$2=TRUE),VLOOKUP($G562,'KO Calc'!$H:$AW,10,FALSE),VLOOKUP($G562,'KO Calc'!$H568:$AW568,10,FALSE)),
IF(AND($S$3=TRUE,$S$1=TRUE,$S$4=FALSE)=TRUE,IF(OR($Q$4=TRUE,$Q$5=TRUE,$S$2=TRUE),VLOOKUP($G562,'KO Calc'!$H:$AW,35,FALSE),VLOOKUP($G562,'KO Calc'!$H568:$AW568,35,FALSE)),IF(AND($S$3=TRUE,$S$4=FALSE),IF(OR($Q$4=TRUE,$Q$5=TRUE,$S$2=TRUE),VLOOKUP($G562,'KO Calc'!$H:$AW,25,FALSE),VLOOKUP($G562,'KO Calc'!$H568:$AW568,25,FALSE)),
IF(AND($S$3=TRUE,$S$1=TRUE,$S$4=TRUE)=TRUE,IF(OR($Q$4=TRUE,$Q$5=TRUE,$S$2=TRUE),VLOOKUP($G562,'KO Calc'!$H:$AW,40,FALSE),VLOOKUP($G562,'KO Calc'!$H568:$AW568,40,FALSE)),IF(AND($S$3=TRUE,$S$4=TRUE),IF(OR($Q$4=TRUE,$Q$5=TRUE,$S$2=TRUE),VLOOKUP($G562,'KO Calc'!$H:$AW,30,FALSE),VLOOKUP($G562,'KO Calc'!$H568:$AW568,30,FALSE)))))))))))))</f>
        <v>-</v>
      </c>
      <c r="L562" s="36" t="str">
        <f>IFERROR(IF(AND($Q$1=FALSE,$S$3=FALSE),"-",VLOOKUP($E562,'Status Thresholds'!$E:$AU,41,FALSE)),"-")</f>
        <v>-</v>
      </c>
      <c r="M562" s="36" t="str">
        <f>IFERROR(IF(AND($Q$1=FALSE,$S$3=FALSE),"-",VLOOKUP($E562,'Status Thresholds'!$E:$AU,42,FALSE)),"-")</f>
        <v>-</v>
      </c>
      <c r="N562" s="36" t="str">
        <f>IFERROR(IF(AND($Q$1=FALSE,$S$3=FALSE),"-",VLOOKUP($E562,'Status Thresholds'!$E:$AU,43,FALSE)),"-")</f>
        <v>-</v>
      </c>
    </row>
    <row r="563" spans="1:14" x14ac:dyDescent="0.25">
      <c r="B563" s="64" t="str">
        <f>VLOOKUP(C563,'Status Thresholds'!B:C,2,FALSE)</f>
        <v>MHGen</v>
      </c>
      <c r="C563" s="46" t="str">
        <f>IF(ISBLANK('KO Calc'!C559)=TRUE,"",'KO Calc'!C559)</f>
        <v>Nibelsnarf</v>
      </c>
      <c r="D563" s="78" t="s">
        <v>207</v>
      </c>
      <c r="E563" s="62" t="str">
        <f t="shared" si="15"/>
        <v>NibelsnarfShock Trap</v>
      </c>
      <c r="F563" t="s">
        <v>13</v>
      </c>
      <c r="G563" s="36" t="str">
        <f t="shared" si="16"/>
        <v>NibelsnarfCrag 3</v>
      </c>
      <c r="H563" s="36" t="str">
        <f>IF(AND($Q$1=FALSE,$S$3=FALSE),"-",IF(AND($Q$1=TRUE,$S$3=TRUE),"-",IF(AND($Q$1=FALSE,$S$3=FALSE),"-",IF(AND($Q$1=TRUE,$S$1=TRUE,$S$4=FALSE)=TRUE,IF(OR($Q$4=TRUE,$Q$5=TRUE,$S$2=TRUE),VLOOKUP($G563,'KO Calc'!$H:$AW,12,FALSE),VLOOKUP($G563,'KO Calc'!$H569:$AW569,12,FALSE)),IF(AND($Q$1=TRUE,$S$4=FALSE),IF(OR($Q$4=TRUE,$Q$5=TRUE,$S$2=TRUE),VLOOKUP($G563,'KO Calc'!$H:$AW,2,FALSE),VLOOKUP($G563,'KO Calc'!$H569:$AW569,2,FALSE)),
IF(AND($Q$1=TRUE,$S$1=TRUE,$S$4=TRUE)=TRUE,IF(OR($Q$4=TRUE,$Q$5=TRUE,$S$2=TRUE),VLOOKUP($G563,'KO Calc'!$H:$AW,17,FALSE),VLOOKUP($G563,'KO Calc'!$H569:$AW569,17,FALSE)),IF(AND($Q$1=TRUE,$S$4=TRUE),IF(OR($Q$4=TRUE,$Q$5=TRUE,$S$2=TRUE),VLOOKUP($G563,'KO Calc'!$H:$AW,7,FALSE),VLOOKUP($G563,'KO Calc'!$H569:$AW569,7,FALSE)),
IF(AND($S$3=TRUE,$S$1=TRUE,$S$4=FALSE)=TRUE,IF(OR($Q$4=TRUE,$Q$5=TRUE,$S$2=TRUE),VLOOKUP($G563,'KO Calc'!$H:$AW,32,FALSE),VLOOKUP($G563,'KO Calc'!$H569:$AW569,32,FALSE)),IF(AND($S$3=TRUE,$S$4=FALSE),IF(OR($Q$4=TRUE,$Q$5=TRUE,$S$2=TRUE),VLOOKUP($G563,'KO Calc'!$H:$AW,22,FALSE),VLOOKUP($G563,'KO Calc'!$H569:$AW569,22,FALSE)),
IF(AND($S$3=TRUE,$S$1=TRUE,$S$4=TRUE)=TRUE,IF(OR($Q$4=TRUE,$Q$5=TRUE,$S$2=TRUE),VLOOKUP($G563,'KO Calc'!$H:$AW,37,FALSE),VLOOKUP($G563,'KO Calc'!$H569:$AW569,37,FALSE)),IF(AND($S$3=TRUE,$S$4=TRUE),IF(OR($Q$4=TRUE,$Q$5=TRUE,$S$2=TRUE),VLOOKUP($G563,'KO Calc'!$H:$AW,27,FALSE),VLOOKUP($G563,'KO Calc'!$H569:$AW569,27,FALSE)))))))))))))</f>
        <v>-</v>
      </c>
      <c r="I563" s="36" t="str">
        <f>IF(AND($Q$1=FALSE,$S$3=FALSE),"-",IF(AND($Q$1=TRUE,$S$3=TRUE),"-",IF(AND($Q$1=FALSE,$S$3=FALSE),"-",IF(AND($Q$1=TRUE,$S$1=TRUE,$S$4=FALSE)=TRUE,IF(OR($Q$4=TRUE,$Q$5=TRUE,$S$2=TRUE),VLOOKUP($G563,'KO Calc'!$H:$AW,13,FALSE),VLOOKUP($G563,'KO Calc'!$H569:$AW569,13,FALSE)),IF(AND($Q$1=TRUE,$S$4=FALSE),IF(OR($Q$4=TRUE,$Q$5=TRUE,$S$2=TRUE),VLOOKUP($G563,'KO Calc'!$H:$AW,3,FALSE),VLOOKUP($G563,'KO Calc'!$H569:$AW569,3,FALSE)),
IF(AND($Q$1=TRUE,$S$1=TRUE,$S$4=TRUE)=TRUE,IF(OR($Q$4=TRUE,$Q$5=TRUE,$S$2=TRUE),VLOOKUP($G563,'KO Calc'!$H:$AW,18,FALSE),VLOOKUP($G563,'KO Calc'!$H569:$AW569,18,FALSE)),IF(AND($Q$1=TRUE,$S$4=TRUE),IF(OR($Q$4=TRUE,$Q$5=TRUE,$S$2=TRUE),VLOOKUP($G563,'KO Calc'!$H:$AW,8,FALSE),VLOOKUP($G563,'KO Calc'!$H569:$AW569,8,FALSE)),
IF(AND($S$3=TRUE,$S$1=TRUE,$S$4=FALSE)=TRUE,IF(OR($Q$4=TRUE,$Q$5=TRUE,$S$2=TRUE),VLOOKUP($G563,'KO Calc'!$H:$AW,33,FALSE),VLOOKUP($G563,'KO Calc'!$H569:$AW569,33,FALSE)),IF(AND($S$3=TRUE,$S$4=FALSE),IF(OR($Q$4=TRUE,$Q$5=TRUE,$S$2=TRUE),VLOOKUP($G563,'KO Calc'!$H:$AW,23,FALSE),VLOOKUP($G563,'KO Calc'!$H569:$AW569,23,FALSE)),
IF(AND($S$3=TRUE,$S$1=TRUE,$S$4=TRUE)=TRUE,IF(OR($Q$4=TRUE,$Q$5=TRUE,$S$2=TRUE),VLOOKUP($G563,'KO Calc'!$H:$AW,38,FALSE),VLOOKUP($G563,'KO Calc'!$H569:$AW569,38,FALSE)),IF(AND($S$3=TRUE,$S$4=TRUE),IF(OR($Q$4=TRUE,$Q$5=TRUE,$S$2=TRUE),VLOOKUP($G563,'KO Calc'!$H:$AW,28,FALSE),VLOOKUP($G563,'KO Calc'!$H569:$AW569,28,FALSE)))))))))))))</f>
        <v>-</v>
      </c>
      <c r="J563" s="36" t="str">
        <f>IF(AND($Q$1=FALSE,$S$3=FALSE),"-",IF(AND($Q$1=TRUE,$S$3=TRUE),"-",IF(AND($Q$1=FALSE,$S$3=FALSE),"-",IF(AND($Q$1=TRUE,$S$1=TRUE,$S$4=FALSE)=TRUE,IF(OR($Q$4=TRUE,$Q$5=TRUE,$S$2=TRUE),VLOOKUP($G563,'KO Calc'!$H:$AW,FALSE),VLOOKUP($G563,'KO Calc'!$H569:$AW569,14,FALSE)),IF(AND($Q$1=TRUE,$S$4=FALSE),IF(OR($Q$4=TRUE,$Q$5=TRUE,$S$2=TRUE),VLOOKUP($G563,'KO Calc'!$H:$AW,4,FALSE),VLOOKUP($G563,'KO Calc'!$H569:$AW569,4,FALSE)),
IF(AND($Q$1=TRUE,$S$1=TRUE,$S$4=TRUE)=TRUE,IF(OR($Q$4=TRUE,$Q$5=TRUE,$S$2=TRUE),VLOOKUP($G563,'KO Calc'!$H:$AW,19,FALSE),VLOOKUP($G563,'KO Calc'!$H569:$AW569,19,FALSE)),IF(AND($Q$1=TRUE,$S$4=TRUE),IF(OR($Q$4=TRUE,$Q$5=TRUE,$S$2=TRUE),VLOOKUP($G563,'KO Calc'!$H:$AW,9,FALSE),VLOOKUP($G563,'KO Calc'!$H569:$AW569,9,FALSE)),
IF(AND($S$3=TRUE,$S$1=TRUE,$S$4=FALSE)=TRUE,IF(OR($Q$4=TRUE,$Q$5=TRUE,$S$2=TRUE),VLOOKUP($G563,'KO Calc'!$H:$AW,34,FALSE),VLOOKUP($G563,'KO Calc'!$H569:$AW569,34,FALSE)),IF(AND($S$3=TRUE,$S$4=FALSE),IF(OR($Q$4=TRUE,$Q$5=TRUE,$S$2=TRUE),VLOOKUP($G563,'KO Calc'!$H:$AW,24,FALSE),VLOOKUP($G563,'KO Calc'!$H569:$AW569,24,FALSE)),
IF(AND($S$3=TRUE,$S$1=TRUE,$S$4=TRUE)=TRUE,IF(OR($Q$4=TRUE,$Q$5=TRUE,$S$2=TRUE),VLOOKUP($G563,'KO Calc'!$H:$AW,39,FALSE),VLOOKUP($G563,'KO Calc'!$H569:$AW569,39,FALSE)),IF(AND($S$3=TRUE,$S$4=TRUE),IF(OR($Q$4=TRUE,$Q$5=TRUE,$S$2=TRUE),VLOOKUP($G563,'KO Calc'!$H:$AW,29,FALSE),VLOOKUP($G563,'KO Calc'!$H569:$AW569,29,FALSE)))))))))))))</f>
        <v>-</v>
      </c>
      <c r="K563" s="36" t="str">
        <f>IF(AND($Q$1=FALSE,$S$3=FALSE),"-",IF(AND($Q$1=TRUE,$S$3=TRUE),"-",IF(AND($Q$1=FALSE,$S$3=FALSE),"-",IF(AND($Q$1=TRUE,$S$1=TRUE,$S$4=FALSE)=TRUE,IF(OR($Q$4=TRUE,$Q$5=TRUE,$S$2=TRUE),VLOOKUP($G563,'KO Calc'!$H:$AW,15,FALSE),VLOOKUP($G563,'KO Calc'!$H569:$AW569,15,FALSE)),IF(AND($Q$1=TRUE,$S$4=FALSE),IF(OR($Q$4=TRUE,$Q$5=TRUE,$S$2=TRUE),VLOOKUP($G563,'KO Calc'!$H:$AW,5,FALSE),VLOOKUP($G563,'KO Calc'!$H569:$AW569,5,FALSE)),
IF(AND($Q$1=TRUE,$S$1=TRUE,$S$4=TRUE)=TRUE,IF(OR($Q$4=TRUE,$Q$5=TRUE,$S$2=TRUE),VLOOKUP($G563,'KO Calc'!$H:$AW,20,FALSE),VLOOKUP($G563,'KO Calc'!$H569:$AW569,20,FALSE)),IF(AND($Q$1=TRUE,$S$4=TRUE),IF(OR($Q$4=TRUE,$Q$5=TRUE,$S$2=TRUE),VLOOKUP($G563,'KO Calc'!$H:$AW,10,FALSE),VLOOKUP($G563,'KO Calc'!$H569:$AW569,10,FALSE)),
IF(AND($S$3=TRUE,$S$1=TRUE,$S$4=FALSE)=TRUE,IF(OR($Q$4=TRUE,$Q$5=TRUE,$S$2=TRUE),VLOOKUP($G563,'KO Calc'!$H:$AW,35,FALSE),VLOOKUP($G563,'KO Calc'!$H569:$AW569,35,FALSE)),IF(AND($S$3=TRUE,$S$4=FALSE),IF(OR($Q$4=TRUE,$Q$5=TRUE,$S$2=TRUE),VLOOKUP($G563,'KO Calc'!$H:$AW,25,FALSE),VLOOKUP($G563,'KO Calc'!$H569:$AW569,25,FALSE)),
IF(AND($S$3=TRUE,$S$1=TRUE,$S$4=TRUE)=TRUE,IF(OR($Q$4=TRUE,$Q$5=TRUE,$S$2=TRUE),VLOOKUP($G563,'KO Calc'!$H:$AW,40,FALSE),VLOOKUP($G563,'KO Calc'!$H569:$AW569,40,FALSE)),IF(AND($S$3=TRUE,$S$4=TRUE),IF(OR($Q$4=TRUE,$Q$5=TRUE,$S$2=TRUE),VLOOKUP($G563,'KO Calc'!$H:$AW,30,FALSE),VLOOKUP($G563,'KO Calc'!$H569:$AW569,30,FALSE)))))))))))))</f>
        <v>-</v>
      </c>
      <c r="L563" s="36" t="str">
        <f>IFERROR(IF(AND($Q$1=FALSE,$S$3=FALSE),"-",VLOOKUP($E563,'Status Thresholds'!$E:$AU,43,FALSE)),"-")</f>
        <v>-</v>
      </c>
      <c r="M563" s="36" t="str">
        <f>IFERROR(IF(AND($Q$1=FALSE,$S$3=FALSE),"-",VLOOKUP($E563,'Status Thresholds'!$E:$AU,41,FALSE)),"-")</f>
        <v>-</v>
      </c>
      <c r="N563" s="36" t="str">
        <f>IFERROR(IF(AND($Q$1=FALSE,$S$3=FALSE),"-",VLOOKUP($E563,'Status Thresholds'!$E:$AU,42,FALSE)),"-")</f>
        <v>-</v>
      </c>
    </row>
    <row r="564" spans="1:14" x14ac:dyDescent="0.25">
      <c r="B564" s="64" t="str">
        <f>VLOOKUP(C564,'Status Thresholds'!B:C,2,FALSE)</f>
        <v>MHGen</v>
      </c>
      <c r="C564" s="46" t="str">
        <f>IF(ISBLANK('KO Calc'!C560)=TRUE,"",'KO Calc'!C560)</f>
        <v>Nibelsnarf</v>
      </c>
      <c r="D564" s="78" t="s">
        <v>213</v>
      </c>
      <c r="E564" s="62" t="str">
        <f t="shared" si="15"/>
        <v>NibelsnarfPitfall Trap</v>
      </c>
      <c r="F564" t="s">
        <v>12</v>
      </c>
      <c r="G564" s="36" t="str">
        <f t="shared" si="16"/>
        <v>NibelsnarfCrag 2</v>
      </c>
      <c r="H564" s="36" t="str">
        <f>IF(AND($Q$1=FALSE,$S$3=FALSE),"-",IF(AND($Q$1=TRUE,$S$3=TRUE),"-",IF(AND($Q$1=FALSE,$S$3=FALSE),"-",IF(AND($Q$1=TRUE,$S$1=TRUE,$S$4=FALSE)=TRUE,IF(OR($Q$4=TRUE,$Q$5=TRUE,$S$2=TRUE),VLOOKUP($G564,'KO Calc'!$H:$AW,12,FALSE),VLOOKUP($G564,'KO Calc'!$H570:$AW570,12,FALSE)),IF(AND($Q$1=TRUE,$S$4=FALSE),IF(OR($Q$4=TRUE,$Q$5=TRUE,$S$2=TRUE),VLOOKUP($G564,'KO Calc'!$H:$AW,2,FALSE),VLOOKUP($G564,'KO Calc'!$H570:$AW570,2,FALSE)),
IF(AND($Q$1=TRUE,$S$1=TRUE,$S$4=TRUE)=TRUE,IF(OR($Q$4=TRUE,$Q$5=TRUE,$S$2=TRUE),VLOOKUP($G564,'KO Calc'!$H:$AW,17,FALSE),VLOOKUP($G564,'KO Calc'!$H570:$AW570,17,FALSE)),IF(AND($Q$1=TRUE,$S$4=TRUE),IF(OR($Q$4=TRUE,$Q$5=TRUE,$S$2=TRUE),VLOOKUP($G564,'KO Calc'!$H:$AW,7,FALSE),VLOOKUP($G564,'KO Calc'!$H570:$AW570,7,FALSE)),
IF(AND($S$3=TRUE,$S$1=TRUE,$S$4=FALSE)=TRUE,IF(OR($Q$4=TRUE,$Q$5=TRUE,$S$2=TRUE),VLOOKUP($G564,'KO Calc'!$H:$AW,32,FALSE),VLOOKUP($G564,'KO Calc'!$H570:$AW570,32,FALSE)),IF(AND($S$3=TRUE,$S$4=FALSE),IF(OR($Q$4=TRUE,$Q$5=TRUE,$S$2=TRUE),VLOOKUP($G564,'KO Calc'!$H:$AW,22,FALSE),VLOOKUP($G564,'KO Calc'!$H570:$AW570,22,FALSE)),
IF(AND($S$3=TRUE,$S$1=TRUE,$S$4=TRUE)=TRUE,IF(OR($Q$4=TRUE,$Q$5=TRUE,$S$2=TRUE),VLOOKUP($G564,'KO Calc'!$H:$AW,37,FALSE),VLOOKUP($G564,'KO Calc'!$H570:$AW570,37,FALSE)),IF(AND($S$3=TRUE,$S$4=TRUE),IF(OR($Q$4=TRUE,$Q$5=TRUE,$S$2=TRUE),VLOOKUP($G564,'KO Calc'!$H:$AW,27,FALSE),VLOOKUP($G564,'KO Calc'!$H570:$AW570,27,FALSE)))))))))))))</f>
        <v>-</v>
      </c>
      <c r="I564" s="36" t="str">
        <f>IF(AND($Q$1=FALSE,$S$3=FALSE),"-",IF(AND($Q$1=TRUE,$S$3=TRUE),"-",IF(AND($Q$1=FALSE,$S$3=FALSE),"-",IF(AND($Q$1=TRUE,$S$1=TRUE,$S$4=FALSE)=TRUE,IF(OR($Q$4=TRUE,$Q$5=TRUE,$S$2=TRUE),VLOOKUP($G564,'KO Calc'!$H:$AW,13,FALSE),VLOOKUP($G564,'KO Calc'!$H570:$AW570,13,FALSE)),IF(AND($Q$1=TRUE,$S$4=FALSE),IF(OR($Q$4=TRUE,$Q$5=TRUE,$S$2=TRUE),VLOOKUP($G564,'KO Calc'!$H:$AW,3,FALSE),VLOOKUP($G564,'KO Calc'!$H570:$AW570,3,FALSE)),
IF(AND($Q$1=TRUE,$S$1=TRUE,$S$4=TRUE)=TRUE,IF(OR($Q$4=TRUE,$Q$5=TRUE,$S$2=TRUE),VLOOKUP($G564,'KO Calc'!$H:$AW,18,FALSE),VLOOKUP($G564,'KO Calc'!$H570:$AW570,18,FALSE)),IF(AND($Q$1=TRUE,$S$4=TRUE),IF(OR($Q$4=TRUE,$Q$5=TRUE,$S$2=TRUE),VLOOKUP($G564,'KO Calc'!$H:$AW,8,FALSE),VLOOKUP($G564,'KO Calc'!$H570:$AW570,8,FALSE)),
IF(AND($S$3=TRUE,$S$1=TRUE,$S$4=FALSE)=TRUE,IF(OR($Q$4=TRUE,$Q$5=TRUE,$S$2=TRUE),VLOOKUP($G564,'KO Calc'!$H:$AW,33,FALSE),VLOOKUP($G564,'KO Calc'!$H570:$AW570,33,FALSE)),IF(AND($S$3=TRUE,$S$4=FALSE),IF(OR($Q$4=TRUE,$Q$5=TRUE,$S$2=TRUE),VLOOKUP($G564,'KO Calc'!$H:$AW,23,FALSE),VLOOKUP($G564,'KO Calc'!$H570:$AW570,23,FALSE)),
IF(AND($S$3=TRUE,$S$1=TRUE,$S$4=TRUE)=TRUE,IF(OR($Q$4=TRUE,$Q$5=TRUE,$S$2=TRUE),VLOOKUP($G564,'KO Calc'!$H:$AW,38,FALSE),VLOOKUP($G564,'KO Calc'!$H570:$AW570,38,FALSE)),IF(AND($S$3=TRUE,$S$4=TRUE),IF(OR($Q$4=TRUE,$Q$5=TRUE,$S$2=TRUE),VLOOKUP($G564,'KO Calc'!$H:$AW,28,FALSE),VLOOKUP($G564,'KO Calc'!$H570:$AW570,28,FALSE)))))))))))))</f>
        <v>-</v>
      </c>
      <c r="J564" s="36" t="str">
        <f>IF(AND($Q$1=FALSE,$S$3=FALSE),"-",IF(AND($Q$1=TRUE,$S$3=TRUE),"-",IF(AND($Q$1=FALSE,$S$3=FALSE),"-",IF(AND($Q$1=TRUE,$S$1=TRUE,$S$4=FALSE)=TRUE,IF(OR($Q$4=TRUE,$Q$5=TRUE,$S$2=TRUE),VLOOKUP($G564,'KO Calc'!$H:$AW,FALSE),VLOOKUP($G564,'KO Calc'!$H570:$AW570,14,FALSE)),IF(AND($Q$1=TRUE,$S$4=FALSE),IF(OR($Q$4=TRUE,$Q$5=TRUE,$S$2=TRUE),VLOOKUP($G564,'KO Calc'!$H:$AW,4,FALSE),VLOOKUP($G564,'KO Calc'!$H570:$AW570,4,FALSE)),
IF(AND($Q$1=TRUE,$S$1=TRUE,$S$4=TRUE)=TRUE,IF(OR($Q$4=TRUE,$Q$5=TRUE,$S$2=TRUE),VLOOKUP($G564,'KO Calc'!$H:$AW,19,FALSE),VLOOKUP($G564,'KO Calc'!$H570:$AW570,19,FALSE)),IF(AND($Q$1=TRUE,$S$4=TRUE),IF(OR($Q$4=TRUE,$Q$5=TRUE,$S$2=TRUE),VLOOKUP($G564,'KO Calc'!$H:$AW,9,FALSE),VLOOKUP($G564,'KO Calc'!$H570:$AW570,9,FALSE)),
IF(AND($S$3=TRUE,$S$1=TRUE,$S$4=FALSE)=TRUE,IF(OR($Q$4=TRUE,$Q$5=TRUE,$S$2=TRUE),VLOOKUP($G564,'KO Calc'!$H:$AW,34,FALSE),VLOOKUP($G564,'KO Calc'!$H570:$AW570,34,FALSE)),IF(AND($S$3=TRUE,$S$4=FALSE),IF(OR($Q$4=TRUE,$Q$5=TRUE,$S$2=TRUE),VLOOKUP($G564,'KO Calc'!$H:$AW,24,FALSE),VLOOKUP($G564,'KO Calc'!$H570:$AW570,24,FALSE)),
IF(AND($S$3=TRUE,$S$1=TRUE,$S$4=TRUE)=TRUE,IF(OR($Q$4=TRUE,$Q$5=TRUE,$S$2=TRUE),VLOOKUP($G564,'KO Calc'!$H:$AW,39,FALSE),VLOOKUP($G564,'KO Calc'!$H570:$AW570,39,FALSE)),IF(AND($S$3=TRUE,$S$4=TRUE),IF(OR($Q$4=TRUE,$Q$5=TRUE,$S$2=TRUE),VLOOKUP($G564,'KO Calc'!$H:$AW,29,FALSE),VLOOKUP($G564,'KO Calc'!$H570:$AW570,29,FALSE)))))))))))))</f>
        <v>-</v>
      </c>
      <c r="K564" s="36" t="str">
        <f>IF(AND($Q$1=FALSE,$S$3=FALSE),"-",IF(AND($Q$1=TRUE,$S$3=TRUE),"-",IF(AND($Q$1=FALSE,$S$3=FALSE),"-",IF(AND($Q$1=TRUE,$S$1=TRUE,$S$4=FALSE)=TRUE,IF(OR($Q$4=TRUE,$Q$5=TRUE,$S$2=TRUE),VLOOKUP($G564,'KO Calc'!$H:$AW,15,FALSE),VLOOKUP($G564,'KO Calc'!$H570:$AW570,15,FALSE)),IF(AND($Q$1=TRUE,$S$4=FALSE),IF(OR($Q$4=TRUE,$Q$5=TRUE,$S$2=TRUE),VLOOKUP($G564,'KO Calc'!$H:$AW,5,FALSE),VLOOKUP($G564,'KO Calc'!$H570:$AW570,5,FALSE)),
IF(AND($Q$1=TRUE,$S$1=TRUE,$S$4=TRUE)=TRUE,IF(OR($Q$4=TRUE,$Q$5=TRUE,$S$2=TRUE),VLOOKUP($G564,'KO Calc'!$H:$AW,20,FALSE),VLOOKUP($G564,'KO Calc'!$H570:$AW570,20,FALSE)),IF(AND($Q$1=TRUE,$S$4=TRUE),IF(OR($Q$4=TRUE,$Q$5=TRUE,$S$2=TRUE),VLOOKUP($G564,'KO Calc'!$H:$AW,10,FALSE),VLOOKUP($G564,'KO Calc'!$H570:$AW570,10,FALSE)),
IF(AND($S$3=TRUE,$S$1=TRUE,$S$4=FALSE)=TRUE,IF(OR($Q$4=TRUE,$Q$5=TRUE,$S$2=TRUE),VLOOKUP($G564,'KO Calc'!$H:$AW,35,FALSE),VLOOKUP($G564,'KO Calc'!$H570:$AW570,35,FALSE)),IF(AND($S$3=TRUE,$S$4=FALSE),IF(OR($Q$4=TRUE,$Q$5=TRUE,$S$2=TRUE),VLOOKUP($G564,'KO Calc'!$H:$AW,25,FALSE),VLOOKUP($G564,'KO Calc'!$H570:$AW570,25,FALSE)),
IF(AND($S$3=TRUE,$S$1=TRUE,$S$4=TRUE)=TRUE,IF(OR($Q$4=TRUE,$Q$5=TRUE,$S$2=TRUE),VLOOKUP($G564,'KO Calc'!$H:$AW,40,FALSE),VLOOKUP($G564,'KO Calc'!$H570:$AW570,40,FALSE)),IF(AND($S$3=TRUE,$S$4=TRUE),IF(OR($Q$4=TRUE,$Q$5=TRUE,$S$2=TRUE),VLOOKUP($G564,'KO Calc'!$H:$AW,30,FALSE),VLOOKUP($G564,'KO Calc'!$H570:$AW570,30,FALSE)))))))))))))</f>
        <v>-</v>
      </c>
      <c r="L564" s="36" t="str">
        <f>IFERROR(IF(AND($Q$1=FALSE,$S$3=FALSE),"-",VLOOKUP($E564,'Status Thresholds'!$E:$AU,43,FALSE)),"-")</f>
        <v>-</v>
      </c>
      <c r="M564" s="36" t="str">
        <f>IFERROR(IF(AND($Q$1=FALSE,$S$3=FALSE),"-",VLOOKUP($E564,'Status Thresholds'!$E:$AU,41,FALSE)),"-")</f>
        <v>-</v>
      </c>
      <c r="N564" s="36" t="str">
        <f>IFERROR(IF(AND($Q$1=FALSE,$S$3=FALSE),"-",VLOOKUP($E564,'Status Thresholds'!$E:$AU,42,FALSE)),"-")</f>
        <v>-</v>
      </c>
    </row>
    <row r="565" spans="1:14" x14ac:dyDescent="0.25">
      <c r="B565" s="64" t="str">
        <f>VLOOKUP(C565,'Status Thresholds'!B:C,2,FALSE)</f>
        <v>MHGen</v>
      </c>
      <c r="C565" s="46" t="str">
        <f>IF(ISBLANK('KO Calc'!C561)=TRUE,"",'KO Calc'!C561)</f>
        <v>Nibelsnarf</v>
      </c>
      <c r="D565" s="78"/>
      <c r="E565" s="62" t="str">
        <f t="shared" si="15"/>
        <v>Nibelsnarf</v>
      </c>
      <c r="F565" t="s">
        <v>11</v>
      </c>
      <c r="G565" s="36" t="str">
        <f t="shared" si="16"/>
        <v>NibelsnarfCrag 1</v>
      </c>
      <c r="H565" s="36" t="str">
        <f>IF(AND($Q$1=FALSE,$S$3=FALSE),"-",IF(AND($Q$1=TRUE,$S$3=TRUE),"-",IF(AND($Q$1=FALSE,$S$3=FALSE),"-",IF(AND($Q$1=TRUE,$S$1=TRUE,$S$4=FALSE)=TRUE,IF(OR($Q$4=TRUE,$Q$5=TRUE,$S$2=TRUE),VLOOKUP($G565,'KO Calc'!$H:$AW,12,FALSE),VLOOKUP($G565,'KO Calc'!$H571:$AW571,12,FALSE)),IF(AND($Q$1=TRUE,$S$4=FALSE),IF(OR($Q$4=TRUE,$Q$5=TRUE,$S$2=TRUE),VLOOKUP($G565,'KO Calc'!$H:$AW,2,FALSE),VLOOKUP($G565,'KO Calc'!$H571:$AW571,2,FALSE)),
IF(AND($Q$1=TRUE,$S$1=TRUE,$S$4=TRUE)=TRUE,IF(OR($Q$4=TRUE,$Q$5=TRUE,$S$2=TRUE),VLOOKUP($G565,'KO Calc'!$H:$AW,17,FALSE),VLOOKUP($G565,'KO Calc'!$H571:$AW571,17,FALSE)),IF(AND($Q$1=TRUE,$S$4=TRUE),IF(OR($Q$4=TRUE,$Q$5=TRUE,$S$2=TRUE),VLOOKUP($G565,'KO Calc'!$H:$AW,7,FALSE),VLOOKUP($G565,'KO Calc'!$H571:$AW571,7,FALSE)),
IF(AND($S$3=TRUE,$S$1=TRUE,$S$4=FALSE)=TRUE,IF(OR($Q$4=TRUE,$Q$5=TRUE,$S$2=TRUE),VLOOKUP($G565,'KO Calc'!$H:$AW,32,FALSE),VLOOKUP($G565,'KO Calc'!$H571:$AW571,32,FALSE)),IF(AND($S$3=TRUE,$S$4=FALSE),IF(OR($Q$4=TRUE,$Q$5=TRUE,$S$2=TRUE),VLOOKUP($G565,'KO Calc'!$H:$AW,22,FALSE),VLOOKUP($G565,'KO Calc'!$H571:$AW571,22,FALSE)),
IF(AND($S$3=TRUE,$S$1=TRUE,$S$4=TRUE)=TRUE,IF(OR($Q$4=TRUE,$Q$5=TRUE,$S$2=TRUE),VLOOKUP($G565,'KO Calc'!$H:$AW,37,FALSE),VLOOKUP($G565,'KO Calc'!$H571:$AW571,37,FALSE)),IF(AND($S$3=TRUE,$S$4=TRUE),IF(OR($Q$4=TRUE,$Q$5=TRUE,$S$2=TRUE),VLOOKUP($G565,'KO Calc'!$H:$AW,27,FALSE),VLOOKUP($G565,'KO Calc'!$H571:$AW571,27,FALSE)))))))))))))</f>
        <v>-</v>
      </c>
      <c r="I565" s="36" t="str">
        <f>IF(AND($Q$1=FALSE,$S$3=FALSE),"-",IF(AND($Q$1=TRUE,$S$3=TRUE),"-",IF(AND($Q$1=FALSE,$S$3=FALSE),"-",IF(AND($Q$1=TRUE,$S$1=TRUE,$S$4=FALSE)=TRUE,IF(OR($Q$4=TRUE,$Q$5=TRUE,$S$2=TRUE),VLOOKUP($G565,'KO Calc'!$H:$AW,13,FALSE),VLOOKUP($G565,'KO Calc'!$H571:$AW571,13,FALSE)),IF(AND($Q$1=TRUE,$S$4=FALSE),IF(OR($Q$4=TRUE,$Q$5=TRUE,$S$2=TRUE),VLOOKUP($G565,'KO Calc'!$H:$AW,3,FALSE),VLOOKUP($G565,'KO Calc'!$H571:$AW571,3,FALSE)),
IF(AND($Q$1=TRUE,$S$1=TRUE,$S$4=TRUE)=TRUE,IF(OR($Q$4=TRUE,$Q$5=TRUE,$S$2=TRUE),VLOOKUP($G565,'KO Calc'!$H:$AW,18,FALSE),VLOOKUP($G565,'KO Calc'!$H571:$AW571,18,FALSE)),IF(AND($Q$1=TRUE,$S$4=TRUE),IF(OR($Q$4=TRUE,$Q$5=TRUE,$S$2=TRUE),VLOOKUP($G565,'KO Calc'!$H:$AW,8,FALSE),VLOOKUP($G565,'KO Calc'!$H571:$AW571,8,FALSE)),
IF(AND($S$3=TRUE,$S$1=TRUE,$S$4=FALSE)=TRUE,IF(OR($Q$4=TRUE,$Q$5=TRUE,$S$2=TRUE),VLOOKUP($G565,'KO Calc'!$H:$AW,33,FALSE),VLOOKUP($G565,'KO Calc'!$H571:$AW571,33,FALSE)),IF(AND($S$3=TRUE,$S$4=FALSE),IF(OR($Q$4=TRUE,$Q$5=TRUE,$S$2=TRUE),VLOOKUP($G565,'KO Calc'!$H:$AW,23,FALSE),VLOOKUP($G565,'KO Calc'!$H571:$AW571,23,FALSE)),
IF(AND($S$3=TRUE,$S$1=TRUE,$S$4=TRUE)=TRUE,IF(OR($Q$4=TRUE,$Q$5=TRUE,$S$2=TRUE),VLOOKUP($G565,'KO Calc'!$H:$AW,38,FALSE),VLOOKUP($G565,'KO Calc'!$H571:$AW571,38,FALSE)),IF(AND($S$3=TRUE,$S$4=TRUE),IF(OR($Q$4=TRUE,$Q$5=TRUE,$S$2=TRUE),VLOOKUP($G565,'KO Calc'!$H:$AW,28,FALSE),VLOOKUP($G565,'KO Calc'!$H571:$AW571,28,FALSE)))))))))))))</f>
        <v>-</v>
      </c>
      <c r="J565" s="36" t="str">
        <f>IF(AND($Q$1=FALSE,$S$3=FALSE),"-",IF(AND($Q$1=TRUE,$S$3=TRUE),"-",IF(AND($Q$1=FALSE,$S$3=FALSE),"-",IF(AND($Q$1=TRUE,$S$1=TRUE,$S$4=FALSE)=TRUE,IF(OR($Q$4=TRUE,$Q$5=TRUE,$S$2=TRUE),VLOOKUP($G565,'KO Calc'!$H:$AW,FALSE),VLOOKUP($G565,'KO Calc'!$H571:$AW571,14,FALSE)),IF(AND($Q$1=TRUE,$S$4=FALSE),IF(OR($Q$4=TRUE,$Q$5=TRUE,$S$2=TRUE),VLOOKUP($G565,'KO Calc'!$H:$AW,4,FALSE),VLOOKUP($G565,'KO Calc'!$H571:$AW571,4,FALSE)),
IF(AND($Q$1=TRUE,$S$1=TRUE,$S$4=TRUE)=TRUE,IF(OR($Q$4=TRUE,$Q$5=TRUE,$S$2=TRUE),VLOOKUP($G565,'KO Calc'!$H:$AW,19,FALSE),VLOOKUP($G565,'KO Calc'!$H571:$AW571,19,FALSE)),IF(AND($Q$1=TRUE,$S$4=TRUE),IF(OR($Q$4=TRUE,$Q$5=TRUE,$S$2=TRUE),VLOOKUP($G565,'KO Calc'!$H:$AW,9,FALSE),VLOOKUP($G565,'KO Calc'!$H571:$AW571,9,FALSE)),
IF(AND($S$3=TRUE,$S$1=TRUE,$S$4=FALSE)=TRUE,IF(OR($Q$4=TRUE,$Q$5=TRUE,$S$2=TRUE),VLOOKUP($G565,'KO Calc'!$H:$AW,34,FALSE),VLOOKUP($G565,'KO Calc'!$H571:$AW571,34,FALSE)),IF(AND($S$3=TRUE,$S$4=FALSE),IF(OR($Q$4=TRUE,$Q$5=TRUE,$S$2=TRUE),VLOOKUP($G565,'KO Calc'!$H:$AW,24,FALSE),VLOOKUP($G565,'KO Calc'!$H571:$AW571,24,FALSE)),
IF(AND($S$3=TRUE,$S$1=TRUE,$S$4=TRUE)=TRUE,IF(OR($Q$4=TRUE,$Q$5=TRUE,$S$2=TRUE),VLOOKUP($G565,'KO Calc'!$H:$AW,39,FALSE),VLOOKUP($G565,'KO Calc'!$H571:$AW571,39,FALSE)),IF(AND($S$3=TRUE,$S$4=TRUE),IF(OR($Q$4=TRUE,$Q$5=TRUE,$S$2=TRUE),VLOOKUP($G565,'KO Calc'!$H:$AW,29,FALSE),VLOOKUP($G565,'KO Calc'!$H571:$AW571,29,FALSE)))))))))))))</f>
        <v>-</v>
      </c>
      <c r="K565" s="36" t="str">
        <f>IF(AND($Q$1=FALSE,$S$3=FALSE),"-",IF(AND($Q$1=TRUE,$S$3=TRUE),"-",IF(AND($Q$1=FALSE,$S$3=FALSE),"-",IF(AND($Q$1=TRUE,$S$1=TRUE,$S$4=FALSE)=TRUE,IF(OR($Q$4=TRUE,$Q$5=TRUE,$S$2=TRUE),VLOOKUP($G565,'KO Calc'!$H:$AW,15,FALSE),VLOOKUP($G565,'KO Calc'!$H571:$AW571,15,FALSE)),IF(AND($Q$1=TRUE,$S$4=FALSE),IF(OR($Q$4=TRUE,$Q$5=TRUE,$S$2=TRUE),VLOOKUP($G565,'KO Calc'!$H:$AW,5,FALSE),VLOOKUP($G565,'KO Calc'!$H571:$AW571,5,FALSE)),
IF(AND($Q$1=TRUE,$S$1=TRUE,$S$4=TRUE)=TRUE,IF(OR($Q$4=TRUE,$Q$5=TRUE,$S$2=TRUE),VLOOKUP($G565,'KO Calc'!$H:$AW,20,FALSE),VLOOKUP($G565,'KO Calc'!$H571:$AW571,20,FALSE)),IF(AND($Q$1=TRUE,$S$4=TRUE),IF(OR($Q$4=TRUE,$Q$5=TRUE,$S$2=TRUE),VLOOKUP($G565,'KO Calc'!$H:$AW,10,FALSE),VLOOKUP($G565,'KO Calc'!$H571:$AW571,10,FALSE)),
IF(AND($S$3=TRUE,$S$1=TRUE,$S$4=FALSE)=TRUE,IF(OR($Q$4=TRUE,$Q$5=TRUE,$S$2=TRUE),VLOOKUP($G565,'KO Calc'!$H:$AW,35,FALSE),VLOOKUP($G565,'KO Calc'!$H571:$AW571,35,FALSE)),IF(AND($S$3=TRUE,$S$4=FALSE),IF(OR($Q$4=TRUE,$Q$5=TRUE,$S$2=TRUE),VLOOKUP($G565,'KO Calc'!$H:$AW,25,FALSE),VLOOKUP($G565,'KO Calc'!$H571:$AW571,25,FALSE)),
IF(AND($S$3=TRUE,$S$1=TRUE,$S$4=TRUE)=TRUE,IF(OR($Q$4=TRUE,$Q$5=TRUE,$S$2=TRUE),VLOOKUP($G565,'KO Calc'!$H:$AW,40,FALSE),VLOOKUP($G565,'KO Calc'!$H571:$AW571,40,FALSE)),IF(AND($S$3=TRUE,$S$4=TRUE),IF(OR($Q$4=TRUE,$Q$5=TRUE,$S$2=TRUE),VLOOKUP($G565,'KO Calc'!$H:$AW,30,FALSE),VLOOKUP($G565,'KO Calc'!$H571:$AW571,30,FALSE)))))))))))))</f>
        <v>-</v>
      </c>
      <c r="L565" s="36" t="str">
        <f>IFERROR(VLOOKUP($E565,'Status Thresholds'!$E:$AS,41,FALSE),"-")</f>
        <v>-</v>
      </c>
    </row>
    <row r="566" spans="1:14" x14ac:dyDescent="0.25">
      <c r="B566" s="64" t="str">
        <f>VLOOKUP(C566,'Status Thresholds'!B:C,2,FALSE)</f>
        <v>MHGen</v>
      </c>
      <c r="C566" s="46" t="str">
        <f>IF(ISBLANK('KO Calc'!C562)=TRUE,"",'KO Calc'!C562)</f>
        <v>Nibelsnarf</v>
      </c>
      <c r="D566" s="78"/>
      <c r="E566" s="62"/>
      <c r="G566" s="36"/>
      <c r="L566" s="36" t="str">
        <f>IFERROR(VLOOKUP($E566,'Status Thresholds'!$E:$AS,41,FALSE),"-")</f>
        <v>-</v>
      </c>
    </row>
    <row r="567" spans="1:14" s="36" customFormat="1" x14ac:dyDescent="0.25">
      <c r="B567" s="64" t="str">
        <f>VLOOKUP(C567,'Status Thresholds'!B:C,2,FALSE)</f>
        <v>Deviant</v>
      </c>
      <c r="C567" s="46" t="str">
        <f>IF(ISBLANK('KO Calc'!C563)=TRUE,"",'KO Calc'!C563)</f>
        <v>Nightcloak Malfestio</v>
      </c>
      <c r="D567" s="65" t="s">
        <v>0</v>
      </c>
      <c r="E567" s="62" t="str">
        <f t="shared" si="15"/>
        <v>Nightcloak MalfestioPara</v>
      </c>
      <c r="F567" s="36" t="s">
        <v>2</v>
      </c>
      <c r="G567" s="36" t="str">
        <f t="shared" si="16"/>
        <v>Nightcloak MalfestioPara lvl 2</v>
      </c>
      <c r="H567" s="36" t="str">
        <f>IFERROR(ROUNDUP(IF(AND($Q$1=FALSE,$S$3=FALSE),"-",IF(AND($Q$1=TRUE,$S$3=TRUE),"-",IF(AND($Q$1=TRUE,$S$1=TRUE,$S$4=FALSE),VLOOKUP($E567,'Status Thresholds'!$E:$AS,12,FALSE),IF(AND($Q$1=TRUE,$S$4=FALSE),VLOOKUP($E567,'Status Thresholds'!$E:$AS,2,FALSE), IF(AND($Q$1=TRUE,$S$1=TRUE,$S$4=TRUE),VLOOKUP($E567,'Status Thresholds'!$E:$AS,17,FALSE),IF(AND($Q$1=TRUE,$S$4=TRUE),VLOOKUP($E567,'Status Thresholds'!$E:$AS,7,FALSE),IF(AND($S$3=TRUE,$S$1=TRUE,$S$4=FALSE),VLOOKUP($E567,'Status Thresholds'!$E:$AS,32,FALSE),IF(AND($S$3=TRUE,$S$4=FALSE),VLOOKUP($E567,'Status Thresholds'!$E:$AS,22,FALSE),IF(AND($S$3=TRUE,$S$1=TRUE,$S$4=TRUE),VLOOKUP($E567,'Status Thresholds'!$E:$AS,37,FALSE),IF(AND($S$3=TRUE,$S$4=TRUE),VLOOKUP($E567,'Status Thresholds'!$E:$AS,27,FALSE),""))))))))/IF(OR($Q$3=TRUE,AND($Q$2=TRUE,$Q$7=TRUE),AND($Q$3=TRUE,$Q$7=TRUE))=TRUE,'Shots and Status'!$F$5,IF((OR($Q$2,$Q$7)=TRUE),'Shots and Status'!$D$5,'Shots and Status'!$C$5)))),0),"-")</f>
        <v>-</v>
      </c>
      <c r="I567" s="36" t="str">
        <f>IFERROR(ROUNDUP(IF(AND($Q$1=FALSE,$S$3=FALSE),"-",IF(AND($Q$1=TRUE,$S$3=TRUE),"-",IF(AND($Q$1=TRUE,$S$1=TRUE,$S$4=FALSE),VLOOKUP($E567,'Status Thresholds'!$E:$AS,13,FALSE),IF(AND($Q$1=TRUE,$S$4=FALSE),VLOOKUP($E567,'Status Thresholds'!$E:$AS,3,FALSE), IF(AND($Q$1=TRUE,$S$1=TRUE,$S$4=TRUE),VLOOKUP($E567,'Status Thresholds'!$E:$AS,18,FALSE),IF(AND($Q$1=TRUE,$S$4=TRUE),VLOOKUP($E567,'Status Thresholds'!$E:$AS,8,FALSE),IF(AND($S$3=TRUE,$S$1=TRUE,$S$4=FALSE),VLOOKUP($E567,'Status Thresholds'!$E:$AS,33,FALSE),IF(AND($S$3=TRUE,$S$4=FALSE),VLOOKUP($E567,'Status Thresholds'!$E:$AS,23,FALSE),IF(AND($S$3=TRUE,$S$1=TRUE,$S$4=TRUE),VLOOKUP($E567,'Status Thresholds'!$E:$AS,38,FALSE),IF(AND($S$3=TRUE,$S$4=TRUE),VLOOKUP($E567,'Status Thresholds'!$E:$AS,28,FALSE),""))))))))/IF(OR($Q$3=TRUE,AND($Q$2=TRUE,$Q$7=TRUE),AND($Q$3=TRUE,$Q$7=TRUE))=TRUE,'Shots and Status'!$F$5,IF((OR($Q$2,$Q$7)=TRUE),'Shots and Status'!$D$5,'Shots and Status'!$C$5)))),0),"-")</f>
        <v>-</v>
      </c>
      <c r="J567" s="36" t="str">
        <f>IFERROR(ROUNDUP(IF(AND($Q$1=FALSE,$S$3=FALSE),"-",IF(AND($Q$1=TRUE,$S$3=TRUE),"-",IF(AND($Q$1=TRUE,$S$1=TRUE,$S$4=FALSE),VLOOKUP($E567,'Status Thresholds'!$E:$AS,14,FALSE),IF(AND($Q$1=TRUE,$S$4=FALSE),VLOOKUP($E567,'Status Thresholds'!$E:$AS,4,FALSE), IF(AND($Q$1=TRUE,$S$1=TRUE,$S$4=TRUE),VLOOKUP($E567,'Status Thresholds'!$E:$AS,19,FALSE),IF(AND($Q$1=TRUE,$S$4=TRUE),VLOOKUP($E567,'Status Thresholds'!$E:$AS,9,FALSE),IF(AND($S$3=TRUE,$S$1=TRUE,$S$4=FALSE),VLOOKUP($E567,'Status Thresholds'!$E:$AS,34,FALSE),IF(AND($S$3=TRUE,$S$4=FALSE),VLOOKUP($E567,'Status Thresholds'!$E:$AS,24,FALSE),IF(AND($S$3=TRUE,$S$1=TRUE,$S$4=TRUE),VLOOKUP($E567,'Status Thresholds'!$E:$AS,39,FALSE),IF(AND($S$3=TRUE,$S$4=TRUE),VLOOKUP($E567,'Status Thresholds'!$E:$AS,29,FALSE),""))))))))/IF(OR($Q$3=TRUE,AND($Q$2=TRUE,$Q$7=TRUE),AND($Q$3=TRUE,$Q$7=TRUE))=TRUE,'Shots and Status'!$F$5,IF((OR($Q$2,$Q$7)=TRUE),'Shots and Status'!$D$5,'Shots and Status'!$C$5)))),0),"-")</f>
        <v>-</v>
      </c>
      <c r="K567" s="36" t="str">
        <f>IFERROR(ROUNDUP(IF(AND($Q$1=FALSE,$S$3=FALSE),"-",IF(AND($Q$1=TRUE,$S$3=TRUE),"-",IF(AND($Q$1=TRUE,$S$1=TRUE,$S$4=FALSE),VLOOKUP($E567,'Status Thresholds'!$E:$AS,15,FALSE),IF(AND($Q$1=TRUE,$S$4=FALSE),VLOOKUP($E567,'Status Thresholds'!$E:$AS,5,FALSE), IF(AND($Q$1=TRUE,$S$1=TRUE,$S$4=TRUE),VLOOKUP($E567,'Status Thresholds'!$E:$AS,20,FALSE),IF(AND($Q$1=TRUE,$S$4=TRUE),VLOOKUP($E567,'Status Thresholds'!$E:$AS,10,FALSE),IF(AND($S$3=TRUE,$S$1=TRUE,$S$4=FALSE),VLOOKUP($E567,'Status Thresholds'!$E:$AS,35,FALSE),IF(AND($S$3=TRUE,$S$4=FALSE),VLOOKUP($E567,'Status Thresholds'!$E:$AS,25,FALSE),IF(AND($S$3=TRUE,$S$1=TRUE,$S$4=TRUE),VLOOKUP($E567,'Status Thresholds'!$E:$AS,40,FALSE),IF(AND($S$3=TRUE,$S$4=TRUE),VLOOKUP($E567,'Status Thresholds'!$E:$AS,30,FALSE),""))))))))/IF(OR($Q$3=TRUE,AND($Q$2=TRUE,$Q$7=TRUE),AND($Q$3=TRUE,$Q$7=TRUE))=TRUE,'Shots and Status'!$F$5,IF((OR($Q$2,$Q$7)=TRUE),'Shots and Status'!$D$5,'Shots and Status'!$C$5)))),0),"-")</f>
        <v>-</v>
      </c>
      <c r="L567" s="36" t="str">
        <f>IFERROR(IF(AND($Q$1=FALSE,$S$3=FALSE),"-",VLOOKUP($E567,'Status Thresholds'!$E:$AU,41,FALSE)),"-")</f>
        <v>-</v>
      </c>
      <c r="M567" s="36" t="str">
        <f>IFERROR(IF(AND($Q$1=FALSE,$S$3=FALSE),"-",VLOOKUP($E567,'Status Thresholds'!$E:$AU,42,FALSE)),"-")</f>
        <v>-</v>
      </c>
      <c r="N567" s="36" t="str">
        <f>IFERROR(IF(AND($Q$1=FALSE,$S$3=FALSE),"-",VLOOKUP($E567,'Status Thresholds'!$E:$AU,43,FALSE)),"-")</f>
        <v>-</v>
      </c>
    </row>
    <row r="568" spans="1:14" s="59" customFormat="1" x14ac:dyDescent="0.25">
      <c r="A568" s="46"/>
      <c r="B568" s="64" t="str">
        <f>VLOOKUP(C568,'Status Thresholds'!B:C,2,FALSE)</f>
        <v>Deviant</v>
      </c>
      <c r="C568" s="46" t="str">
        <f>IF(ISBLANK('KO Calc'!C564)=TRUE,"",'KO Calc'!C564)</f>
        <v>Nightcloak Malfestio</v>
      </c>
      <c r="D568" s="60" t="s">
        <v>32</v>
      </c>
      <c r="E568" s="62" t="str">
        <f t="shared" si="15"/>
        <v>Nightcloak MalfestioSleep</v>
      </c>
      <c r="F568" s="59" t="s">
        <v>5</v>
      </c>
      <c r="G568" s="36" t="str">
        <f t="shared" si="16"/>
        <v>Nightcloak MalfestioSleep lvl 2</v>
      </c>
      <c r="H568" s="36" t="str">
        <f>IFERROR(ROUNDUP(IF(AND($Q$1=FALSE,$S$3=FALSE),"-",IF(AND($Q$1=TRUE,$S$3=TRUE),"-",IF(AND($Q$1=TRUE,$S$1=TRUE,$S$4=FALSE),VLOOKUP($E568,'Status Thresholds'!$E:$AS,12,FALSE),IF(AND($Q$1=TRUE,$S$4=FALSE),VLOOKUP($E568,'Status Thresholds'!$E:$AS,2,FALSE), IF(AND($Q$1=TRUE,$S$1=TRUE,$S$4=TRUE),VLOOKUP($E568,'Status Thresholds'!$E:$AS,17,FALSE),IF(AND($Q$1=TRUE,$S$4=TRUE),VLOOKUP($E568,'Status Thresholds'!$E:$AS,7,FALSE),IF(AND($S$3=TRUE,$S$1=TRUE,$S$4=FALSE),VLOOKUP($E568,'Status Thresholds'!$E:$AS,32,FALSE),IF(AND($S$3=TRUE,$S$4=FALSE),VLOOKUP($E568,'Status Thresholds'!$E:$AS,22,FALSE),IF(AND($S$3=TRUE,$S$1=TRUE,$S$4=TRUE),VLOOKUP($E568,'Status Thresholds'!$E:$AS,37,FALSE),IF(AND($S$3=TRUE,$S$4=TRUE),VLOOKUP($E568,'Status Thresholds'!$E:$AS,27,FALSE),""))))))))/IF(OR($Q$3=TRUE,AND($Q$2=TRUE,$Q$7=TRUE),AND($Q$3=TRUE,$Q$7=TRUE))=TRUE,'Shots and Status'!$F$5,IF((OR($Q$2,$Q$7)=TRUE),'Shots and Status'!$D$5,'Shots and Status'!$C$5)))),0),"-")</f>
        <v>-</v>
      </c>
      <c r="I568" s="36" t="str">
        <f>IFERROR(ROUNDUP(IF(AND($Q$1=FALSE,$S$3=FALSE),"-",IF(AND($Q$1=TRUE,$S$3=TRUE),"-",IF(AND($Q$1=TRUE,$S$1=TRUE,$S$4=FALSE),VLOOKUP($E568,'Status Thresholds'!$E:$AS,13,FALSE),IF(AND($Q$1=TRUE,$S$4=FALSE),VLOOKUP($E568,'Status Thresholds'!$E:$AS,3,FALSE), IF(AND($Q$1=TRUE,$S$1=TRUE,$S$4=TRUE),VLOOKUP($E568,'Status Thresholds'!$E:$AS,18,FALSE),IF(AND($Q$1=TRUE,$S$4=TRUE),VLOOKUP($E568,'Status Thresholds'!$E:$AS,8,FALSE),IF(AND($S$3=TRUE,$S$1=TRUE,$S$4=FALSE),VLOOKUP($E568,'Status Thresholds'!$E:$AS,33,FALSE),IF(AND($S$3=TRUE,$S$4=FALSE),VLOOKUP($E568,'Status Thresholds'!$E:$AS,23,FALSE),IF(AND($S$3=TRUE,$S$1=TRUE,$S$4=TRUE),VLOOKUP($E568,'Status Thresholds'!$E:$AS,38,FALSE),IF(AND($S$3=TRUE,$S$4=TRUE),VLOOKUP($E568,'Status Thresholds'!$E:$AS,28,FALSE),""))))))))/IF(OR($Q$3=TRUE,AND($Q$2=TRUE,$Q$7=TRUE),AND($Q$3=TRUE,$Q$7=TRUE))=TRUE,'Shots and Status'!$F$5,IF((OR($Q$2,$Q$7)=TRUE),'Shots and Status'!$D$5,'Shots and Status'!$C$5)))),0),"-")</f>
        <v>-</v>
      </c>
      <c r="J568" s="36" t="str">
        <f>IFERROR(ROUNDUP(IF(AND($Q$1=FALSE,$S$3=FALSE),"-",IF(AND($Q$1=TRUE,$S$3=TRUE),"-",IF(AND($Q$1=TRUE,$S$1=TRUE,$S$4=FALSE),VLOOKUP($E568,'Status Thresholds'!$E:$AS,14,FALSE),IF(AND($Q$1=TRUE,$S$4=FALSE),VLOOKUP($E568,'Status Thresholds'!$E:$AS,4,FALSE), IF(AND($Q$1=TRUE,$S$1=TRUE,$S$4=TRUE),VLOOKUP($E568,'Status Thresholds'!$E:$AS,19,FALSE),IF(AND($Q$1=TRUE,$S$4=TRUE),VLOOKUP($E568,'Status Thresholds'!$E:$AS,9,FALSE),IF(AND($S$3=TRUE,$S$1=TRUE,$S$4=FALSE),VLOOKUP($E568,'Status Thresholds'!$E:$AS,34,FALSE),IF(AND($S$3=TRUE,$S$4=FALSE),VLOOKUP($E568,'Status Thresholds'!$E:$AS,24,FALSE),IF(AND($S$3=TRUE,$S$1=TRUE,$S$4=TRUE),VLOOKUP($E568,'Status Thresholds'!$E:$AS,39,FALSE),IF(AND($S$3=TRUE,$S$4=TRUE),VLOOKUP($E568,'Status Thresholds'!$E:$AS,29,FALSE),""))))))))/IF(OR($Q$3=TRUE,AND($Q$2=TRUE,$Q$7=TRUE),AND($Q$3=TRUE,$Q$7=TRUE))=TRUE,'Shots and Status'!$F$5,IF((OR($Q$2,$Q$7)=TRUE),'Shots and Status'!$D$5,'Shots and Status'!$C$5)))),0),"-")</f>
        <v>-</v>
      </c>
      <c r="K568" s="36" t="str">
        <f>IFERROR(ROUNDUP(IF(AND($Q$1=FALSE,$S$3=FALSE),"-",IF(AND($Q$1=TRUE,$S$3=TRUE),"-",IF(AND($Q$1=TRUE,$S$1=TRUE,$S$4=FALSE),VLOOKUP($E568,'Status Thresholds'!$E:$AS,15,FALSE),IF(AND($Q$1=TRUE,$S$4=FALSE),VLOOKUP($E568,'Status Thresholds'!$E:$AS,5,FALSE), IF(AND($Q$1=TRUE,$S$1=TRUE,$S$4=TRUE),VLOOKUP($E568,'Status Thresholds'!$E:$AS,20,FALSE),IF(AND($Q$1=TRUE,$S$4=TRUE),VLOOKUP($E568,'Status Thresholds'!$E:$AS,10,FALSE),IF(AND($S$3=TRUE,$S$1=TRUE,$S$4=FALSE),VLOOKUP($E568,'Status Thresholds'!$E:$AS,35,FALSE),IF(AND($S$3=TRUE,$S$4=FALSE),VLOOKUP($E568,'Status Thresholds'!$E:$AS,25,FALSE),IF(AND($S$3=TRUE,$S$1=TRUE,$S$4=TRUE),VLOOKUP($E568,'Status Thresholds'!$E:$AS,40,FALSE),IF(AND($S$3=TRUE,$S$4=TRUE),VLOOKUP($E568,'Status Thresholds'!$E:$AS,30,FALSE),""))))))))/IF(OR($Q$3=TRUE,AND($Q$2=TRUE,$Q$7=TRUE),AND($Q$3=TRUE,$Q$7=TRUE))=TRUE,'Shots and Status'!$F$5,IF((OR($Q$2,$Q$7)=TRUE),'Shots and Status'!$D$5,'Shots and Status'!$C$5)))),0),"-")</f>
        <v>-</v>
      </c>
      <c r="L568" s="36" t="str">
        <f>IFERROR(IF(AND($Q$1=FALSE,$S$3=FALSE),"-",VLOOKUP($E568,'Status Thresholds'!$E:$AU,41,FALSE)),"-")</f>
        <v>-</v>
      </c>
      <c r="M568" s="36" t="str">
        <f>IFERROR(IF(AND($Q$1=FALSE,$S$3=FALSE),"-",VLOOKUP($E568,'Status Thresholds'!$E:$AU,42,FALSE)),"-")</f>
        <v>-</v>
      </c>
      <c r="N568" s="36" t="str">
        <f>IFERROR(IF(AND($Q$1=FALSE,$S$3=FALSE),"-",VLOOKUP($E568,'Status Thresholds'!$E:$AU,43,FALSE)),"-")</f>
        <v>-</v>
      </c>
    </row>
    <row r="569" spans="1:14" s="59" customFormat="1" x14ac:dyDescent="0.25">
      <c r="A569" s="46"/>
      <c r="B569" s="64" t="str">
        <f>VLOOKUP(C569,'Status Thresholds'!B:C,2,FALSE)</f>
        <v>Deviant</v>
      </c>
      <c r="C569" s="46" t="str">
        <f>IF(ISBLANK('KO Calc'!C565)=TRUE,"",'KO Calc'!C565)</f>
        <v>Nightcloak Malfestio</v>
      </c>
      <c r="D569" s="58" t="s">
        <v>33</v>
      </c>
      <c r="E569" s="62" t="str">
        <f t="shared" si="15"/>
        <v>Nightcloak MalfestioPoison</v>
      </c>
      <c r="F569" s="59" t="s">
        <v>6</v>
      </c>
      <c r="G569" s="36" t="str">
        <f t="shared" si="16"/>
        <v>Nightcloak MalfestioPoison lvl 2</v>
      </c>
      <c r="H569" s="36" t="str">
        <f>IFERROR(ROUNDUP(IF(AND($Q$1=FALSE,$S$3=FALSE),"-",IF(AND($Q$1=TRUE,$S$3=TRUE),"-",IF(AND($Q$1=TRUE,$S$1=TRUE,$S$4=FALSE),VLOOKUP($E569,'Status Thresholds'!$E:$AS,12,FALSE),IF(AND($Q$1=TRUE,$S$4=FALSE),VLOOKUP($E569,'Status Thresholds'!$E:$AS,2,FALSE), IF(AND($Q$1=TRUE,$S$1=TRUE,$S$4=TRUE),VLOOKUP($E569,'Status Thresholds'!$E:$AS,17,FALSE),IF(AND($Q$1=TRUE,$S$4=TRUE),VLOOKUP($E569,'Status Thresholds'!$E:$AS,7,FALSE),IF(AND($S$3=TRUE,$S$1=TRUE,$S$4=FALSE),VLOOKUP($E569,'Status Thresholds'!$E:$AS,32,FALSE),IF(AND($S$3=TRUE,$S$4=FALSE),VLOOKUP($E569,'Status Thresholds'!$E:$AS,22,FALSE),IF(AND($S$3=TRUE,$S$1=TRUE,$S$4=TRUE),VLOOKUP($E569,'Status Thresholds'!$E:$AS,37,FALSE),IF(AND($S$3=TRUE,$S$4=TRUE),VLOOKUP($E569,'Status Thresholds'!$E:$AS,27,FALSE),""))))))))/IF(OR($Q$3=TRUE,AND($Q$2=TRUE,$Q$7=TRUE),AND($Q$3=TRUE,$Q$7=TRUE))=TRUE,'Shots and Status'!$F$5,IF((OR($Q$2,$Q$7)=TRUE),'Shots and Status'!$D$5,'Shots and Status'!$C$5)))),0),"-")</f>
        <v>-</v>
      </c>
      <c r="I569" s="36" t="str">
        <f>IFERROR(ROUNDUP(IF(AND($Q$1=FALSE,$S$3=FALSE),"-",IF(AND($Q$1=TRUE,$S$3=TRUE),"-",IF(AND($Q$1=TRUE,$S$1=TRUE,$S$4=FALSE),VLOOKUP($E569,'Status Thresholds'!$E:$AS,13,FALSE),IF(AND($Q$1=TRUE,$S$4=FALSE),VLOOKUP($E569,'Status Thresholds'!$E:$AS,3,FALSE), IF(AND($Q$1=TRUE,$S$1=TRUE,$S$4=TRUE),VLOOKUP($E569,'Status Thresholds'!$E:$AS,18,FALSE),IF(AND($Q$1=TRUE,$S$4=TRUE),VLOOKUP($E569,'Status Thresholds'!$E:$AS,8,FALSE),IF(AND($S$3=TRUE,$S$1=TRUE,$S$4=FALSE),VLOOKUP($E569,'Status Thresholds'!$E:$AS,33,FALSE),IF(AND($S$3=TRUE,$S$4=FALSE),VLOOKUP($E569,'Status Thresholds'!$E:$AS,23,FALSE),IF(AND($S$3=TRUE,$S$1=TRUE,$S$4=TRUE),VLOOKUP($E569,'Status Thresholds'!$E:$AS,38,FALSE),IF(AND($S$3=TRUE,$S$4=TRUE),VLOOKUP($E569,'Status Thresholds'!$E:$AS,28,FALSE),""))))))))/IF(OR($Q$3=TRUE,AND($Q$2=TRUE,$Q$7=TRUE),AND($Q$3=TRUE,$Q$7=TRUE))=TRUE,'Shots and Status'!$F$5,IF((OR($Q$2,$Q$7)=TRUE),'Shots and Status'!$D$5,'Shots and Status'!$C$5)))),0),"-")</f>
        <v>-</v>
      </c>
      <c r="J569" s="36" t="str">
        <f>IFERROR(ROUNDUP(IF(AND($Q$1=FALSE,$S$3=FALSE),"-",IF(AND($Q$1=TRUE,$S$3=TRUE),"-",IF(AND($Q$1=TRUE,$S$1=TRUE,$S$4=FALSE),VLOOKUP($E569,'Status Thresholds'!$E:$AS,14,FALSE),IF(AND($Q$1=TRUE,$S$4=FALSE),VLOOKUP($E569,'Status Thresholds'!$E:$AS,4,FALSE), IF(AND($Q$1=TRUE,$S$1=TRUE,$S$4=TRUE),VLOOKUP($E569,'Status Thresholds'!$E:$AS,19,FALSE),IF(AND($Q$1=TRUE,$S$4=TRUE),VLOOKUP($E569,'Status Thresholds'!$E:$AS,9,FALSE),IF(AND($S$3=TRUE,$S$1=TRUE,$S$4=FALSE),VLOOKUP($E569,'Status Thresholds'!$E:$AS,34,FALSE),IF(AND($S$3=TRUE,$S$4=FALSE),VLOOKUP($E569,'Status Thresholds'!$E:$AS,24,FALSE),IF(AND($S$3=TRUE,$S$1=TRUE,$S$4=TRUE),VLOOKUP($E569,'Status Thresholds'!$E:$AS,39,FALSE),IF(AND($S$3=TRUE,$S$4=TRUE),VLOOKUP($E569,'Status Thresholds'!$E:$AS,29,FALSE),""))))))))/IF(OR($Q$3=TRUE,AND($Q$2=TRUE,$Q$7=TRUE),AND($Q$3=TRUE,$Q$7=TRUE))=TRUE,'Shots and Status'!$F$5,IF((OR($Q$2,$Q$7)=TRUE),'Shots and Status'!$D$5,'Shots and Status'!$C$5)))),0),"-")</f>
        <v>-</v>
      </c>
      <c r="K569" s="36" t="str">
        <f>IFERROR(ROUNDUP(IF(AND($Q$1=FALSE,$S$3=FALSE),"-",IF(AND($Q$1=TRUE,$S$3=TRUE),"-",IF(AND($Q$1=TRUE,$S$1=TRUE,$S$4=FALSE),VLOOKUP($E569,'Status Thresholds'!$E:$AS,15,FALSE),IF(AND($Q$1=TRUE,$S$4=FALSE),VLOOKUP($E569,'Status Thresholds'!$E:$AS,5,FALSE), IF(AND($Q$1=TRUE,$S$1=TRUE,$S$4=TRUE),VLOOKUP($E569,'Status Thresholds'!$E:$AS,20,FALSE),IF(AND($Q$1=TRUE,$S$4=TRUE),VLOOKUP($E569,'Status Thresholds'!$E:$AS,10,FALSE),IF(AND($S$3=TRUE,$S$1=TRUE,$S$4=FALSE),VLOOKUP($E569,'Status Thresholds'!$E:$AS,35,FALSE),IF(AND($S$3=TRUE,$S$4=FALSE),VLOOKUP($E569,'Status Thresholds'!$E:$AS,25,FALSE),IF(AND($S$3=TRUE,$S$1=TRUE,$S$4=TRUE),VLOOKUP($E569,'Status Thresholds'!$E:$AS,40,FALSE),IF(AND($S$3=TRUE,$S$4=TRUE),VLOOKUP($E569,'Status Thresholds'!$E:$AS,30,FALSE),""))))))))/IF(OR($Q$3=TRUE,AND($Q$2=TRUE,$Q$7=TRUE),AND($Q$3=TRUE,$Q$7=TRUE))=TRUE,'Shots and Status'!$F$5,IF((OR($Q$2,$Q$7)=TRUE),'Shots and Status'!$D$5,'Shots and Status'!$C$5)))),0),"-")</f>
        <v>-</v>
      </c>
      <c r="L569" s="36" t="str">
        <f>IFERROR(IF(AND($Q$1=FALSE,$S$3=FALSE),"-",VLOOKUP($E569,'Status Thresholds'!$E:$AU,41,FALSE)),"-")</f>
        <v>-</v>
      </c>
      <c r="M569" s="36" t="str">
        <f>IFERROR(IF(AND($Q$1=FALSE,$S$3=FALSE),"-",VLOOKUP($E569,'Status Thresholds'!$E:$AU,42,FALSE)),"-")</f>
        <v>-</v>
      </c>
      <c r="N569" s="36" t="str">
        <f>IFERROR(IF(AND($Q$1=FALSE,$S$3=FALSE),"-",VLOOKUP($E569,'Status Thresholds'!$E:$AU,43,FALSE)),"-")</f>
        <v>-</v>
      </c>
    </row>
    <row r="570" spans="1:14" s="36" customFormat="1" x14ac:dyDescent="0.25">
      <c r="A570" s="46"/>
      <c r="B570" s="64" t="str">
        <f>VLOOKUP(C570,'Status Thresholds'!B:C,2,FALSE)</f>
        <v>Deviant</v>
      </c>
      <c r="C570" s="46" t="str">
        <f>IF(ISBLANK('KO Calc'!C566)=TRUE,"",'KO Calc'!C566)</f>
        <v>Nightcloak Malfestio</v>
      </c>
      <c r="D570" s="57" t="s">
        <v>22</v>
      </c>
      <c r="E570" s="62" t="str">
        <f t="shared" si="15"/>
        <v>Nightcloak MalfestioExhaust</v>
      </c>
      <c r="F570" s="36" t="s">
        <v>8</v>
      </c>
      <c r="G570" s="36" t="str">
        <f t="shared" si="16"/>
        <v>Nightcloak MalfestioExhaust lvl 2</v>
      </c>
      <c r="H570" s="36" t="str">
        <f>IFERROR(ROUNDUP(IF(AND($Q$1=FALSE,$S$3=FALSE),"-",IF(AND($Q$1=TRUE,$S$3=TRUE),"-",IF(AND($Q$1=TRUE,$S$1=TRUE,$S$4=FALSE),VLOOKUP($E570,'Status Thresholds'!$E:$AS,12,FALSE),IF(AND($Q$1=TRUE,$S$4=FALSE),VLOOKUP($E570,'Status Thresholds'!$E:$AS,2,FALSE), IF(AND($Q$1=TRUE,$S$1=TRUE,$S$4=TRUE),VLOOKUP($E570,'Status Thresholds'!$E:$AS,17,FALSE),IF(AND($Q$1=TRUE,$S$4=TRUE),VLOOKUP($E570,'Status Thresholds'!$E:$AS,7,FALSE),IF(AND($S$3=TRUE,$S$1=TRUE,$S$4=FALSE),VLOOKUP($E570,'Status Thresholds'!$E:$AS,32,FALSE),IF(AND($S$3=TRUE,$S$4=FALSE),VLOOKUP($E570,'Status Thresholds'!$E:$AS,22,FALSE),IF(AND($S$3=TRUE,$S$1=TRUE,$S$4=TRUE),VLOOKUP($E570,'Status Thresholds'!$E:$AS,37,FALSE),IF(AND($S$3=TRUE,$S$4=TRUE),VLOOKUP($E570,'Status Thresholds'!$E:$AS,27,FALSE),""))))))))/IF(OR($Q$3=TRUE,AND($Q$2=TRUE,$Q$7=TRUE),AND($Q$3=TRUE,$Q$7=TRUE))=TRUE,'Shots and Status'!$F$5,IF((OR($Q$2,$Q$7)=TRUE),'Shots and Status'!$D$5,'Shots and Status'!$C$5)))),0),"-")</f>
        <v>-</v>
      </c>
      <c r="I570" s="36" t="str">
        <f>IFERROR(ROUNDUP(IF(AND($Q$1=FALSE,$S$3=FALSE),"-",IF(AND($Q$1=TRUE,$S$3=TRUE),"-",IF(AND($Q$1=TRUE,$S$1=TRUE,$S$4=FALSE),VLOOKUP($E570,'Status Thresholds'!$E:$AS,13,FALSE),IF(AND($Q$1=TRUE,$S$4=FALSE),VLOOKUP($E570,'Status Thresholds'!$E:$AS,3,FALSE), IF(AND($Q$1=TRUE,$S$1=TRUE,$S$4=TRUE),VLOOKUP($E570,'Status Thresholds'!$E:$AS,18,FALSE),IF(AND($Q$1=TRUE,$S$4=TRUE),VLOOKUP($E570,'Status Thresholds'!$E:$AS,8,FALSE),IF(AND($S$3=TRUE,$S$1=TRUE,$S$4=FALSE),VLOOKUP($E570,'Status Thresholds'!$E:$AS,33,FALSE),IF(AND($S$3=TRUE,$S$4=FALSE),VLOOKUP($E570,'Status Thresholds'!$E:$AS,23,FALSE),IF(AND($S$3=TRUE,$S$1=TRUE,$S$4=TRUE),VLOOKUP($E570,'Status Thresholds'!$E:$AS,38,FALSE),IF(AND($S$3=TRUE,$S$4=TRUE),VLOOKUP($E570,'Status Thresholds'!$E:$AS,28,FALSE),""))))))))/IF(OR($Q$3=TRUE,AND($Q$2=TRUE,$Q$7=TRUE),AND($Q$3=TRUE,$Q$7=TRUE))=TRUE,'Shots and Status'!$F$5,IF((OR($Q$2,$Q$7)=TRUE),'Shots and Status'!$D$5,'Shots and Status'!$C$5)))),0),"-")</f>
        <v>-</v>
      </c>
      <c r="J570" s="36" t="str">
        <f>IFERROR(ROUNDUP(IF(AND($Q$1=FALSE,$S$3=FALSE),"-",IF(AND($Q$1=TRUE,$S$3=TRUE),"-",IF(AND($Q$1=TRUE,$S$1=TRUE,$S$4=FALSE),VLOOKUP($E570,'Status Thresholds'!$E:$AS,14,FALSE),IF(AND($Q$1=TRUE,$S$4=FALSE),VLOOKUP($E570,'Status Thresholds'!$E:$AS,4,FALSE), IF(AND($Q$1=TRUE,$S$1=TRUE,$S$4=TRUE),VLOOKUP($E570,'Status Thresholds'!$E:$AS,19,FALSE),IF(AND($Q$1=TRUE,$S$4=TRUE),VLOOKUP($E570,'Status Thresholds'!$E:$AS,9,FALSE),IF(AND($S$3=TRUE,$S$1=TRUE,$S$4=FALSE),VLOOKUP($E570,'Status Thresholds'!$E:$AS,34,FALSE),IF(AND($S$3=TRUE,$S$4=FALSE),VLOOKUP($E570,'Status Thresholds'!$E:$AS,24,FALSE),IF(AND($S$3=TRUE,$S$1=TRUE,$S$4=TRUE),VLOOKUP($E570,'Status Thresholds'!$E:$AS,39,FALSE),IF(AND($S$3=TRUE,$S$4=TRUE),VLOOKUP($E570,'Status Thresholds'!$E:$AS,29,FALSE),""))))))))/IF(OR($Q$3=TRUE,AND($Q$2=TRUE,$Q$7=TRUE),AND($Q$3=TRUE,$Q$7=TRUE))=TRUE,'Shots and Status'!$F$5,IF((OR($Q$2,$Q$7)=TRUE),'Shots and Status'!$D$5,'Shots and Status'!$C$5)))),0),"-")</f>
        <v>-</v>
      </c>
      <c r="K570" s="36" t="str">
        <f>IFERROR(ROUNDUP(IF(AND($Q$1=FALSE,$S$3=FALSE),"-",IF(AND($Q$1=TRUE,$S$3=TRUE),"-",IF(AND($Q$1=TRUE,$S$1=TRUE,$S$4=FALSE),VLOOKUP($E570,'Status Thresholds'!$E:$AS,15,FALSE),IF(AND($Q$1=TRUE,$S$4=FALSE),VLOOKUP($E570,'Status Thresholds'!$E:$AS,5,FALSE), IF(AND($Q$1=TRUE,$S$1=TRUE,$S$4=TRUE),VLOOKUP($E570,'Status Thresholds'!$E:$AS,20,FALSE),IF(AND($Q$1=TRUE,$S$4=TRUE),VLOOKUP($E570,'Status Thresholds'!$E:$AS,10,FALSE),IF(AND($S$3=TRUE,$S$1=TRUE,$S$4=FALSE),VLOOKUP($E570,'Status Thresholds'!$E:$AS,35,FALSE),IF(AND($S$3=TRUE,$S$4=FALSE),VLOOKUP($E570,'Status Thresholds'!$E:$AS,25,FALSE),IF(AND($S$3=TRUE,$S$1=TRUE,$S$4=TRUE),VLOOKUP($E570,'Status Thresholds'!$E:$AS,40,FALSE),IF(AND($S$3=TRUE,$S$4=TRUE),VLOOKUP($E570,'Status Thresholds'!$E:$AS,30,FALSE),""))))))))/IF(OR($Q$3=TRUE,AND($Q$2=TRUE,$Q$7=TRUE),AND($Q$3=TRUE,$Q$7=TRUE))=TRUE,'Shots and Status'!$F$5,IF((OR($Q$2,$Q$7)=TRUE),'Shots and Status'!$D$5,'Shots and Status'!$C$5)))),0),"-")</f>
        <v>-</v>
      </c>
      <c r="L570" s="36" t="str">
        <f>IFERROR(IF(AND($Q$1=FALSE,$S$3=FALSE),"-",VLOOKUP($E570,'Status Thresholds'!$E:$AU,41,FALSE)),"-")</f>
        <v>-</v>
      </c>
      <c r="M570" s="36" t="str">
        <f>IFERROR(IF(AND($Q$1=FALSE,$S$3=FALSE),"-",VLOOKUP($E570,'Status Thresholds'!$E:$AU,42,FALSE)),"-")</f>
        <v>-</v>
      </c>
      <c r="N570" s="36" t="str">
        <f>IFERROR(IF(AND($Q$1=FALSE,$S$3=FALSE),"-",VLOOKUP($E570,'Status Thresholds'!$E:$AU,43,FALSE)),"-")</f>
        <v>-</v>
      </c>
    </row>
    <row r="571" spans="1:14" s="36" customFormat="1" x14ac:dyDescent="0.25">
      <c r="A571" s="46"/>
      <c r="B571" s="64" t="str">
        <f>VLOOKUP(C571,'Status Thresholds'!B:C,2,FALSE)</f>
        <v>Deviant</v>
      </c>
      <c r="C571" s="46" t="str">
        <f>IF(ISBLANK('KO Calc'!C567)=TRUE,"",'KO Calc'!C567)</f>
        <v>Nightcloak Malfestio</v>
      </c>
      <c r="D571" s="67" t="s">
        <v>14</v>
      </c>
      <c r="E571" s="62" t="str">
        <f t="shared" si="15"/>
        <v>Nightcloak MalfestioKO</v>
      </c>
      <c r="F571" s="36" t="s">
        <v>21</v>
      </c>
      <c r="G571" s="36" t="str">
        <f t="shared" si="16"/>
        <v>Nightcloak MalfestioTriblast</v>
      </c>
      <c r="H571" s="36" t="str">
        <f>IF(AND($Q$1=FALSE,$S$3=FALSE),"-",IF(AND($Q$1=TRUE,$S$3=TRUE),"-",IF(AND($Q$1=FALSE,$S$3=FALSE),"-",IF(AND($Q$1=TRUE,$S$1=TRUE,$S$4=FALSE)=TRUE,IF(OR($Q$4=TRUE,$Q$5=TRUE,$S$2=TRUE),VLOOKUP($G571,'KO Calc'!$H:$AW,12,FALSE),VLOOKUP($G571,'KO Calc'!$H577:$AW577,12,FALSE)),IF(AND($Q$1=TRUE,$S$4=FALSE),IF(OR($Q$4=TRUE,$Q$5=TRUE,$S$2=TRUE),VLOOKUP($G571,'KO Calc'!$H:$AW,2,FALSE),VLOOKUP($G571,'KO Calc'!$H577:$AW577,2,FALSE)),
IF(AND($Q$1=TRUE,$S$1=TRUE,$S$4=TRUE)=TRUE,IF(OR($Q$4=TRUE,$Q$5=TRUE,$S$2=TRUE),VLOOKUP($G571,'KO Calc'!$H:$AW,17,FALSE),VLOOKUP($G571,'KO Calc'!$H577:$AW577,17,FALSE)),IF(AND($Q$1=TRUE,$S$4=TRUE),IF(OR($Q$4=TRUE,$Q$5=TRUE,$S$2=TRUE),VLOOKUP($G571,'KO Calc'!$H:$AW,7,FALSE),VLOOKUP($G571,'KO Calc'!$H577:$AW577,7,FALSE)),
IF(AND($S$3=TRUE,$S$1=TRUE,$S$4=FALSE)=TRUE,IF(OR($Q$4=TRUE,$Q$5=TRUE,$S$2=TRUE),VLOOKUP($G571,'KO Calc'!$H:$AW,32,FALSE),VLOOKUP($G571,'KO Calc'!$H577:$AW577,32,FALSE)),IF(AND($S$3=TRUE,$S$4=FALSE),IF(OR($Q$4=TRUE,$Q$5=TRUE,$S$2=TRUE),VLOOKUP($G571,'KO Calc'!$H:$AW,22,FALSE),VLOOKUP($G571,'KO Calc'!$H577:$AW577,22,FALSE)),
IF(AND($S$3=TRUE,$S$1=TRUE,$S$4=TRUE)=TRUE,IF(OR($Q$4=TRUE,$Q$5=TRUE,$S$2=TRUE),VLOOKUP($G571,'KO Calc'!$H:$AW,37,FALSE),VLOOKUP($G571,'KO Calc'!$H577:$AW577,37,FALSE)),IF(AND($S$3=TRUE,$S$4=TRUE),IF(OR($Q$4=TRUE,$Q$5=TRUE,$S$2=TRUE),VLOOKUP($G571,'KO Calc'!$H:$AW,27,FALSE),VLOOKUP($G571,'KO Calc'!$H577:$AW577,27,FALSE)))))))))))))</f>
        <v>-</v>
      </c>
      <c r="I571" s="36" t="str">
        <f>IF(AND($Q$1=FALSE,$S$3=FALSE),"-",IF(AND($Q$1=TRUE,$S$3=TRUE),"-",IF(AND($Q$1=FALSE,$S$3=FALSE),"-",IF(AND($Q$1=TRUE,$S$1=TRUE,$S$4=FALSE)=TRUE,IF(OR($Q$4=TRUE,$Q$5=TRUE,$S$2=TRUE),VLOOKUP($G571,'KO Calc'!$H:$AW,13,FALSE),VLOOKUP($G571,'KO Calc'!$H577:$AW577,13,FALSE)),IF(AND($Q$1=TRUE,$S$4=FALSE),IF(OR($Q$4=TRUE,$Q$5=TRUE,$S$2=TRUE),VLOOKUP($G571,'KO Calc'!$H:$AW,3,FALSE),VLOOKUP($G571,'KO Calc'!$H577:$AW577,3,FALSE)),
IF(AND($Q$1=TRUE,$S$1=TRUE,$S$4=TRUE)=TRUE,IF(OR($Q$4=TRUE,$Q$5=TRUE,$S$2=TRUE),VLOOKUP($G571,'KO Calc'!$H:$AW,18,FALSE),VLOOKUP($G571,'KO Calc'!$H577:$AW577,18,FALSE)),IF(AND($Q$1=TRUE,$S$4=TRUE),IF(OR($Q$4=TRUE,$Q$5=TRUE,$S$2=TRUE),VLOOKUP($G571,'KO Calc'!$H:$AW,8,FALSE),VLOOKUP($G571,'KO Calc'!$H577:$AW577,8,FALSE)),
IF(AND($S$3=TRUE,$S$1=TRUE,$S$4=FALSE)=TRUE,IF(OR($Q$4=TRUE,$Q$5=TRUE,$S$2=TRUE),VLOOKUP($G571,'KO Calc'!$H:$AW,33,FALSE),VLOOKUP($G571,'KO Calc'!$H577:$AW577,33,FALSE)),IF(AND($S$3=TRUE,$S$4=FALSE),IF(OR($Q$4=TRUE,$Q$5=TRUE,$S$2=TRUE),VLOOKUP($G571,'KO Calc'!$H:$AW,23,FALSE),VLOOKUP($G571,'KO Calc'!$H577:$AW577,23,FALSE)),
IF(AND($S$3=TRUE,$S$1=TRUE,$S$4=TRUE)=TRUE,IF(OR($Q$4=TRUE,$Q$5=TRUE,$S$2=TRUE),VLOOKUP($G571,'KO Calc'!$H:$AW,38,FALSE),VLOOKUP($G571,'KO Calc'!$H577:$AW577,38,FALSE)),IF(AND($S$3=TRUE,$S$4=TRUE),IF(OR($Q$4=TRUE,$Q$5=TRUE,$S$2=TRUE),VLOOKUP($G571,'KO Calc'!$H:$AW,28,FALSE),VLOOKUP($G571,'KO Calc'!$H577:$AW577,28,FALSE)))))))))))))</f>
        <v>-</v>
      </c>
      <c r="J571" s="36" t="str">
        <f>IF(AND($Q$1=FALSE,$S$3=FALSE),"-",IF(AND($Q$1=TRUE,$S$3=TRUE),"-",IF(AND($Q$1=FALSE,$S$3=FALSE),"-",IF(AND($Q$1=TRUE,$S$1=TRUE,$S$4=FALSE)=TRUE,IF(OR($Q$4=TRUE,$Q$5=TRUE,$S$2=TRUE),VLOOKUP($G571,'KO Calc'!$H:$AW,FALSE),VLOOKUP($G571,'KO Calc'!$H577:$AW577,14,FALSE)),IF(AND($Q$1=TRUE,$S$4=FALSE),IF(OR($Q$4=TRUE,$Q$5=TRUE,$S$2=TRUE),VLOOKUP($G571,'KO Calc'!$H:$AW,4,FALSE),VLOOKUP($G571,'KO Calc'!$H577:$AW577,4,FALSE)),
IF(AND($Q$1=TRUE,$S$1=TRUE,$S$4=TRUE)=TRUE,IF(OR($Q$4=TRUE,$Q$5=TRUE,$S$2=TRUE),VLOOKUP($G571,'KO Calc'!$H:$AW,19,FALSE),VLOOKUP($G571,'KO Calc'!$H577:$AW577,19,FALSE)),IF(AND($Q$1=TRUE,$S$4=TRUE),IF(OR($Q$4=TRUE,$Q$5=TRUE,$S$2=TRUE),VLOOKUP($G571,'KO Calc'!$H:$AW,9,FALSE),VLOOKUP($G571,'KO Calc'!$H577:$AW577,9,FALSE)),
IF(AND($S$3=TRUE,$S$1=TRUE,$S$4=FALSE)=TRUE,IF(OR($Q$4=TRUE,$Q$5=TRUE,$S$2=TRUE),VLOOKUP($G571,'KO Calc'!$H:$AW,34,FALSE),VLOOKUP($G571,'KO Calc'!$H577:$AW577,34,FALSE)),IF(AND($S$3=TRUE,$S$4=FALSE),IF(OR($Q$4=TRUE,$Q$5=TRUE,$S$2=TRUE),VLOOKUP($G571,'KO Calc'!$H:$AW,24,FALSE),VLOOKUP($G571,'KO Calc'!$H577:$AW577,24,FALSE)),
IF(AND($S$3=TRUE,$S$1=TRUE,$S$4=TRUE)=TRUE,IF(OR($Q$4=TRUE,$Q$5=TRUE,$S$2=TRUE),VLOOKUP($G571,'KO Calc'!$H:$AW,39,FALSE),VLOOKUP($G571,'KO Calc'!$H577:$AW577,39,FALSE)),IF(AND($S$3=TRUE,$S$4=TRUE),IF(OR($Q$4=TRUE,$Q$5=TRUE,$S$2=TRUE),VLOOKUP($G571,'KO Calc'!$H:$AW,29,FALSE),VLOOKUP($G571,'KO Calc'!$H577:$AW577,29,FALSE)))))))))))))</f>
        <v>-</v>
      </c>
      <c r="K571" s="36" t="str">
        <f>IF(AND($Q$1=FALSE,$S$3=FALSE),"-",IF(AND($Q$1=TRUE,$S$3=TRUE),"-",IF(AND($Q$1=FALSE,$S$3=FALSE),"-",IF(AND($Q$1=TRUE,$S$1=TRUE,$S$4=FALSE)=TRUE,IF(OR($Q$4=TRUE,$Q$5=TRUE,$S$2=TRUE),VLOOKUP($G571,'KO Calc'!$H:$AW,15,FALSE),VLOOKUP($G571,'KO Calc'!$H577:$AW577,15,FALSE)),IF(AND($Q$1=TRUE,$S$4=FALSE),IF(OR($Q$4=TRUE,$Q$5=TRUE,$S$2=TRUE),VLOOKUP($G571,'KO Calc'!$H:$AW,5,FALSE),VLOOKUP($G571,'KO Calc'!$H577:$AW577,5,FALSE)),
IF(AND($Q$1=TRUE,$S$1=TRUE,$S$4=TRUE)=TRUE,IF(OR($Q$4=TRUE,$Q$5=TRUE,$S$2=TRUE),VLOOKUP($G571,'KO Calc'!$H:$AW,20,FALSE),VLOOKUP($G571,'KO Calc'!$H577:$AW577,20,FALSE)),IF(AND($Q$1=TRUE,$S$4=TRUE),IF(OR($Q$4=TRUE,$Q$5=TRUE,$S$2=TRUE),VLOOKUP($G571,'KO Calc'!$H:$AW,10,FALSE),VLOOKUP($G571,'KO Calc'!$H577:$AW577,10,FALSE)),
IF(AND($S$3=TRUE,$S$1=TRUE,$S$4=FALSE)=TRUE,IF(OR($Q$4=TRUE,$Q$5=TRUE,$S$2=TRUE),VLOOKUP($G571,'KO Calc'!$H:$AW,35,FALSE),VLOOKUP($G571,'KO Calc'!$H577:$AW577,35,FALSE)),IF(AND($S$3=TRUE,$S$4=FALSE),IF(OR($Q$4=TRUE,$Q$5=TRUE,$S$2=TRUE),VLOOKUP($G571,'KO Calc'!$H:$AW,25,FALSE),VLOOKUP($G571,'KO Calc'!$H577:$AW577,25,FALSE)),
IF(AND($S$3=TRUE,$S$1=TRUE,$S$4=TRUE)=TRUE,IF(OR($Q$4=TRUE,$Q$5=TRUE,$S$2=TRUE),VLOOKUP($G571,'KO Calc'!$H:$AW,40,FALSE),VLOOKUP($G571,'KO Calc'!$H577:$AW577,40,FALSE)),IF(AND($S$3=TRUE,$S$4=TRUE),IF(OR($Q$4=TRUE,$Q$5=TRUE,$S$2=TRUE),VLOOKUP($G571,'KO Calc'!$H:$AW,30,FALSE),VLOOKUP($G571,'KO Calc'!$H577:$AW577,30,FALSE)))))))))))))</f>
        <v>-</v>
      </c>
      <c r="L571" s="36" t="str">
        <f>IFERROR(IF(AND($Q$1=FALSE,$S$3=FALSE),"-",VLOOKUP($E571,'Status Thresholds'!$E:$AU,41,FALSE)),"-")</f>
        <v>-</v>
      </c>
      <c r="M571" s="36" t="str">
        <f>IFERROR(IF(AND($Q$1=FALSE,$S$3=FALSE),"-",VLOOKUP($E571,'Status Thresholds'!$E:$AU,42,FALSE)),"-")</f>
        <v>-</v>
      </c>
      <c r="N571" s="36" t="str">
        <f>IFERROR(IF(AND($Q$1=FALSE,$S$3=FALSE),"-",VLOOKUP($E571,'Status Thresholds'!$E:$AU,43,FALSE)),"-")</f>
        <v>-</v>
      </c>
    </row>
    <row r="572" spans="1:14" x14ac:dyDescent="0.25">
      <c r="B572" s="64" t="str">
        <f>VLOOKUP(C572,'Status Thresholds'!B:C,2,FALSE)</f>
        <v>Deviant</v>
      </c>
      <c r="C572" s="46" t="str">
        <f>IF(ISBLANK('KO Calc'!C568)=TRUE,"",'KO Calc'!C568)</f>
        <v>Nightcloak Malfestio</v>
      </c>
      <c r="D572" s="78" t="s">
        <v>207</v>
      </c>
      <c r="E572" s="62" t="str">
        <f t="shared" si="15"/>
        <v>Nightcloak MalfestioShock Trap</v>
      </c>
      <c r="F572" t="s">
        <v>13</v>
      </c>
      <c r="G572" s="36" t="str">
        <f t="shared" si="16"/>
        <v>Nightcloak MalfestioCrag 3</v>
      </c>
      <c r="H572" s="36" t="str">
        <f>IF(AND($Q$1=FALSE,$S$3=FALSE),"-",IF(AND($Q$1=TRUE,$S$3=TRUE),"-",IF(AND($Q$1=FALSE,$S$3=FALSE),"-",IF(AND($Q$1=TRUE,$S$1=TRUE,$S$4=FALSE)=TRUE,IF(OR($Q$4=TRUE,$Q$5=TRUE,$S$2=TRUE),VLOOKUP($G572,'KO Calc'!$H:$AW,12,FALSE),VLOOKUP($G572,'KO Calc'!$H578:$AW578,12,FALSE)),IF(AND($Q$1=TRUE,$S$4=FALSE),IF(OR($Q$4=TRUE,$Q$5=TRUE,$S$2=TRUE),VLOOKUP($G572,'KO Calc'!$H:$AW,2,FALSE),VLOOKUP($G572,'KO Calc'!$H578:$AW578,2,FALSE)),
IF(AND($Q$1=TRUE,$S$1=TRUE,$S$4=TRUE)=TRUE,IF(OR($Q$4=TRUE,$Q$5=TRUE,$S$2=TRUE),VLOOKUP($G572,'KO Calc'!$H:$AW,17,FALSE),VLOOKUP($G572,'KO Calc'!$H578:$AW578,17,FALSE)),IF(AND($Q$1=TRUE,$S$4=TRUE),IF(OR($Q$4=TRUE,$Q$5=TRUE,$S$2=TRUE),VLOOKUP($G572,'KO Calc'!$H:$AW,7,FALSE),VLOOKUP($G572,'KO Calc'!$H578:$AW578,7,FALSE)),
IF(AND($S$3=TRUE,$S$1=TRUE,$S$4=FALSE)=TRUE,IF(OR($Q$4=TRUE,$Q$5=TRUE,$S$2=TRUE),VLOOKUP($G572,'KO Calc'!$H:$AW,32,FALSE),VLOOKUP($G572,'KO Calc'!$H578:$AW578,32,FALSE)),IF(AND($S$3=TRUE,$S$4=FALSE),IF(OR($Q$4=TRUE,$Q$5=TRUE,$S$2=TRUE),VLOOKUP($G572,'KO Calc'!$H:$AW,22,FALSE),VLOOKUP($G572,'KO Calc'!$H578:$AW578,22,FALSE)),
IF(AND($S$3=TRUE,$S$1=TRUE,$S$4=TRUE)=TRUE,IF(OR($Q$4=TRUE,$Q$5=TRUE,$S$2=TRUE),VLOOKUP($G572,'KO Calc'!$H:$AW,37,FALSE),VLOOKUP($G572,'KO Calc'!$H578:$AW578,37,FALSE)),IF(AND($S$3=TRUE,$S$4=TRUE),IF(OR($Q$4=TRUE,$Q$5=TRUE,$S$2=TRUE),VLOOKUP($G572,'KO Calc'!$H:$AW,27,FALSE),VLOOKUP($G572,'KO Calc'!$H578:$AW578,27,FALSE)))))))))))))</f>
        <v>-</v>
      </c>
      <c r="I572" s="36" t="str">
        <f>IF(AND($Q$1=FALSE,$S$3=FALSE),"-",IF(AND($Q$1=TRUE,$S$3=TRUE),"-",IF(AND($Q$1=FALSE,$S$3=FALSE),"-",IF(AND($Q$1=TRUE,$S$1=TRUE,$S$4=FALSE)=TRUE,IF(OR($Q$4=TRUE,$Q$5=TRUE,$S$2=TRUE),VLOOKUP($G572,'KO Calc'!$H:$AW,13,FALSE),VLOOKUP($G572,'KO Calc'!$H578:$AW578,13,FALSE)),IF(AND($Q$1=TRUE,$S$4=FALSE),IF(OR($Q$4=TRUE,$Q$5=TRUE,$S$2=TRUE),VLOOKUP($G572,'KO Calc'!$H:$AW,3,FALSE),VLOOKUP($G572,'KO Calc'!$H578:$AW578,3,FALSE)),
IF(AND($Q$1=TRUE,$S$1=TRUE,$S$4=TRUE)=TRUE,IF(OR($Q$4=TRUE,$Q$5=TRUE,$S$2=TRUE),VLOOKUP($G572,'KO Calc'!$H:$AW,18,FALSE),VLOOKUP($G572,'KO Calc'!$H578:$AW578,18,FALSE)),IF(AND($Q$1=TRUE,$S$4=TRUE),IF(OR($Q$4=TRUE,$Q$5=TRUE,$S$2=TRUE),VLOOKUP($G572,'KO Calc'!$H:$AW,8,FALSE),VLOOKUP($G572,'KO Calc'!$H578:$AW578,8,FALSE)),
IF(AND($S$3=TRUE,$S$1=TRUE,$S$4=FALSE)=TRUE,IF(OR($Q$4=TRUE,$Q$5=TRUE,$S$2=TRUE),VLOOKUP($G572,'KO Calc'!$H:$AW,33,FALSE),VLOOKUP($G572,'KO Calc'!$H578:$AW578,33,FALSE)),IF(AND($S$3=TRUE,$S$4=FALSE),IF(OR($Q$4=TRUE,$Q$5=TRUE,$S$2=TRUE),VLOOKUP($G572,'KO Calc'!$H:$AW,23,FALSE),VLOOKUP($G572,'KO Calc'!$H578:$AW578,23,FALSE)),
IF(AND($S$3=TRUE,$S$1=TRUE,$S$4=TRUE)=TRUE,IF(OR($Q$4=TRUE,$Q$5=TRUE,$S$2=TRUE),VLOOKUP($G572,'KO Calc'!$H:$AW,38,FALSE),VLOOKUP($G572,'KO Calc'!$H578:$AW578,38,FALSE)),IF(AND($S$3=TRUE,$S$4=TRUE),IF(OR($Q$4=TRUE,$Q$5=TRUE,$S$2=TRUE),VLOOKUP($G572,'KO Calc'!$H:$AW,28,FALSE),VLOOKUP($G572,'KO Calc'!$H578:$AW578,28,FALSE)))))))))))))</f>
        <v>-</v>
      </c>
      <c r="J572" s="36" t="str">
        <f>IF(AND($Q$1=FALSE,$S$3=FALSE),"-",IF(AND($Q$1=TRUE,$S$3=TRUE),"-",IF(AND($Q$1=FALSE,$S$3=FALSE),"-",IF(AND($Q$1=TRUE,$S$1=TRUE,$S$4=FALSE)=TRUE,IF(OR($Q$4=TRUE,$Q$5=TRUE,$S$2=TRUE),VLOOKUP($G572,'KO Calc'!$H:$AW,FALSE),VLOOKUP($G572,'KO Calc'!$H578:$AW578,14,FALSE)),IF(AND($Q$1=TRUE,$S$4=FALSE),IF(OR($Q$4=TRUE,$Q$5=TRUE,$S$2=TRUE),VLOOKUP($G572,'KO Calc'!$H:$AW,4,FALSE),VLOOKUP($G572,'KO Calc'!$H578:$AW578,4,FALSE)),
IF(AND($Q$1=TRUE,$S$1=TRUE,$S$4=TRUE)=TRUE,IF(OR($Q$4=TRUE,$Q$5=TRUE,$S$2=TRUE),VLOOKUP($G572,'KO Calc'!$H:$AW,19,FALSE),VLOOKUP($G572,'KO Calc'!$H578:$AW578,19,FALSE)),IF(AND($Q$1=TRUE,$S$4=TRUE),IF(OR($Q$4=TRUE,$Q$5=TRUE,$S$2=TRUE),VLOOKUP($G572,'KO Calc'!$H:$AW,9,FALSE),VLOOKUP($G572,'KO Calc'!$H578:$AW578,9,FALSE)),
IF(AND($S$3=TRUE,$S$1=TRUE,$S$4=FALSE)=TRUE,IF(OR($Q$4=TRUE,$Q$5=TRUE,$S$2=TRUE),VLOOKUP($G572,'KO Calc'!$H:$AW,34,FALSE),VLOOKUP($G572,'KO Calc'!$H578:$AW578,34,FALSE)),IF(AND($S$3=TRUE,$S$4=FALSE),IF(OR($Q$4=TRUE,$Q$5=TRUE,$S$2=TRUE),VLOOKUP($G572,'KO Calc'!$H:$AW,24,FALSE),VLOOKUP($G572,'KO Calc'!$H578:$AW578,24,FALSE)),
IF(AND($S$3=TRUE,$S$1=TRUE,$S$4=TRUE)=TRUE,IF(OR($Q$4=TRUE,$Q$5=TRUE,$S$2=TRUE),VLOOKUP($G572,'KO Calc'!$H:$AW,39,FALSE),VLOOKUP($G572,'KO Calc'!$H578:$AW578,39,FALSE)),IF(AND($S$3=TRUE,$S$4=TRUE),IF(OR($Q$4=TRUE,$Q$5=TRUE,$S$2=TRUE),VLOOKUP($G572,'KO Calc'!$H:$AW,29,FALSE),VLOOKUP($G572,'KO Calc'!$H578:$AW578,29,FALSE)))))))))))))</f>
        <v>-</v>
      </c>
      <c r="K572" s="36" t="str">
        <f>IF(AND($Q$1=FALSE,$S$3=FALSE),"-",IF(AND($Q$1=TRUE,$S$3=TRUE),"-",IF(AND($Q$1=FALSE,$S$3=FALSE),"-",IF(AND($Q$1=TRUE,$S$1=TRUE,$S$4=FALSE)=TRUE,IF(OR($Q$4=TRUE,$Q$5=TRUE,$S$2=TRUE),VLOOKUP($G572,'KO Calc'!$H:$AW,15,FALSE),VLOOKUP($G572,'KO Calc'!$H578:$AW578,15,FALSE)),IF(AND($Q$1=TRUE,$S$4=FALSE),IF(OR($Q$4=TRUE,$Q$5=TRUE,$S$2=TRUE),VLOOKUP($G572,'KO Calc'!$H:$AW,5,FALSE),VLOOKUP($G572,'KO Calc'!$H578:$AW578,5,FALSE)),
IF(AND($Q$1=TRUE,$S$1=TRUE,$S$4=TRUE)=TRUE,IF(OR($Q$4=TRUE,$Q$5=TRUE,$S$2=TRUE),VLOOKUP($G572,'KO Calc'!$H:$AW,20,FALSE),VLOOKUP($G572,'KO Calc'!$H578:$AW578,20,FALSE)),IF(AND($Q$1=TRUE,$S$4=TRUE),IF(OR($Q$4=TRUE,$Q$5=TRUE,$S$2=TRUE),VLOOKUP($G572,'KO Calc'!$H:$AW,10,FALSE),VLOOKUP($G572,'KO Calc'!$H578:$AW578,10,FALSE)),
IF(AND($S$3=TRUE,$S$1=TRUE,$S$4=FALSE)=TRUE,IF(OR($Q$4=TRUE,$Q$5=TRUE,$S$2=TRUE),VLOOKUP($G572,'KO Calc'!$H:$AW,35,FALSE),VLOOKUP($G572,'KO Calc'!$H578:$AW578,35,FALSE)),IF(AND($S$3=TRUE,$S$4=FALSE),IF(OR($Q$4=TRUE,$Q$5=TRUE,$S$2=TRUE),VLOOKUP($G572,'KO Calc'!$H:$AW,25,FALSE),VLOOKUP($G572,'KO Calc'!$H578:$AW578,25,FALSE)),
IF(AND($S$3=TRUE,$S$1=TRUE,$S$4=TRUE)=TRUE,IF(OR($Q$4=TRUE,$Q$5=TRUE,$S$2=TRUE),VLOOKUP($G572,'KO Calc'!$H:$AW,40,FALSE),VLOOKUP($G572,'KO Calc'!$H578:$AW578,40,FALSE)),IF(AND($S$3=TRUE,$S$4=TRUE),IF(OR($Q$4=TRUE,$Q$5=TRUE,$S$2=TRUE),VLOOKUP($G572,'KO Calc'!$H:$AW,30,FALSE),VLOOKUP($G572,'KO Calc'!$H578:$AW578,30,FALSE)))))))))))))</f>
        <v>-</v>
      </c>
      <c r="L572" s="36" t="str">
        <f>IFERROR(IF(AND($Q$1=FALSE,$S$3=FALSE),"-",VLOOKUP($E572,'Status Thresholds'!$E:$AU,43,FALSE)),"-")</f>
        <v>-</v>
      </c>
      <c r="M572" s="36" t="str">
        <f>IFERROR(IF(AND($Q$1=FALSE,$S$3=FALSE),"-",VLOOKUP($E572,'Status Thresholds'!$E:$AU,41,FALSE)),"-")</f>
        <v>-</v>
      </c>
      <c r="N572" s="36" t="str">
        <f>IFERROR(IF(AND($Q$1=FALSE,$S$3=FALSE),"-",VLOOKUP($E572,'Status Thresholds'!$E:$AU,42,FALSE)),"-")</f>
        <v>-</v>
      </c>
    </row>
    <row r="573" spans="1:14" x14ac:dyDescent="0.25">
      <c r="B573" s="64" t="str">
        <f>VLOOKUP(C573,'Status Thresholds'!B:C,2,FALSE)</f>
        <v>Deviant</v>
      </c>
      <c r="C573" s="46" t="str">
        <f>IF(ISBLANK('KO Calc'!C569)=TRUE,"",'KO Calc'!C569)</f>
        <v>Nightcloak Malfestio</v>
      </c>
      <c r="D573" s="78" t="s">
        <v>213</v>
      </c>
      <c r="E573" s="62" t="str">
        <f t="shared" si="15"/>
        <v>Nightcloak MalfestioPitfall Trap</v>
      </c>
      <c r="F573" t="s">
        <v>12</v>
      </c>
      <c r="G573" s="36" t="str">
        <f t="shared" si="16"/>
        <v>Nightcloak MalfestioCrag 2</v>
      </c>
      <c r="H573" s="36" t="str">
        <f>IF(AND($Q$1=FALSE,$S$3=FALSE),"-",IF(AND($Q$1=TRUE,$S$3=TRUE),"-",IF(AND($Q$1=FALSE,$S$3=FALSE),"-",IF(AND($Q$1=TRUE,$S$1=TRUE,$S$4=FALSE)=TRUE,IF(OR($Q$4=TRUE,$Q$5=TRUE,$S$2=TRUE),VLOOKUP($G573,'KO Calc'!$H:$AW,12,FALSE),VLOOKUP($G573,'KO Calc'!$H579:$AW579,12,FALSE)),IF(AND($Q$1=TRUE,$S$4=FALSE),IF(OR($Q$4=TRUE,$Q$5=TRUE,$S$2=TRUE),VLOOKUP($G573,'KO Calc'!$H:$AW,2,FALSE),VLOOKUP($G573,'KO Calc'!$H579:$AW579,2,FALSE)),
IF(AND($Q$1=TRUE,$S$1=TRUE,$S$4=TRUE)=TRUE,IF(OR($Q$4=TRUE,$Q$5=TRUE,$S$2=TRUE),VLOOKUP($G573,'KO Calc'!$H:$AW,17,FALSE),VLOOKUP($G573,'KO Calc'!$H579:$AW579,17,FALSE)),IF(AND($Q$1=TRUE,$S$4=TRUE),IF(OR($Q$4=TRUE,$Q$5=TRUE,$S$2=TRUE),VLOOKUP($G573,'KO Calc'!$H:$AW,7,FALSE),VLOOKUP($G573,'KO Calc'!$H579:$AW579,7,FALSE)),
IF(AND($S$3=TRUE,$S$1=TRUE,$S$4=FALSE)=TRUE,IF(OR($Q$4=TRUE,$Q$5=TRUE,$S$2=TRUE),VLOOKUP($G573,'KO Calc'!$H:$AW,32,FALSE),VLOOKUP($G573,'KO Calc'!$H579:$AW579,32,FALSE)),IF(AND($S$3=TRUE,$S$4=FALSE),IF(OR($Q$4=TRUE,$Q$5=TRUE,$S$2=TRUE),VLOOKUP($G573,'KO Calc'!$H:$AW,22,FALSE),VLOOKUP($G573,'KO Calc'!$H579:$AW579,22,FALSE)),
IF(AND($S$3=TRUE,$S$1=TRUE,$S$4=TRUE)=TRUE,IF(OR($Q$4=TRUE,$Q$5=TRUE,$S$2=TRUE),VLOOKUP($G573,'KO Calc'!$H:$AW,37,FALSE),VLOOKUP($G573,'KO Calc'!$H579:$AW579,37,FALSE)),IF(AND($S$3=TRUE,$S$4=TRUE),IF(OR($Q$4=TRUE,$Q$5=TRUE,$S$2=TRUE),VLOOKUP($G573,'KO Calc'!$H:$AW,27,FALSE),VLOOKUP($G573,'KO Calc'!$H579:$AW579,27,FALSE)))))))))))))</f>
        <v>-</v>
      </c>
      <c r="I573" s="36" t="str">
        <f>IF(AND($Q$1=FALSE,$S$3=FALSE),"-",IF(AND($Q$1=TRUE,$S$3=TRUE),"-",IF(AND($Q$1=FALSE,$S$3=FALSE),"-",IF(AND($Q$1=TRUE,$S$1=TRUE,$S$4=FALSE)=TRUE,IF(OR($Q$4=TRUE,$Q$5=TRUE,$S$2=TRUE),VLOOKUP($G573,'KO Calc'!$H:$AW,13,FALSE),VLOOKUP($G573,'KO Calc'!$H579:$AW579,13,FALSE)),IF(AND($Q$1=TRUE,$S$4=FALSE),IF(OR($Q$4=TRUE,$Q$5=TRUE,$S$2=TRUE),VLOOKUP($G573,'KO Calc'!$H:$AW,3,FALSE),VLOOKUP($G573,'KO Calc'!$H579:$AW579,3,FALSE)),
IF(AND($Q$1=TRUE,$S$1=TRUE,$S$4=TRUE)=TRUE,IF(OR($Q$4=TRUE,$Q$5=TRUE,$S$2=TRUE),VLOOKUP($G573,'KO Calc'!$H:$AW,18,FALSE),VLOOKUP($G573,'KO Calc'!$H579:$AW579,18,FALSE)),IF(AND($Q$1=TRUE,$S$4=TRUE),IF(OR($Q$4=TRUE,$Q$5=TRUE,$S$2=TRUE),VLOOKUP($G573,'KO Calc'!$H:$AW,8,FALSE),VLOOKUP($G573,'KO Calc'!$H579:$AW579,8,FALSE)),
IF(AND($S$3=TRUE,$S$1=TRUE,$S$4=FALSE)=TRUE,IF(OR($Q$4=TRUE,$Q$5=TRUE,$S$2=TRUE),VLOOKUP($G573,'KO Calc'!$H:$AW,33,FALSE),VLOOKUP($G573,'KO Calc'!$H579:$AW579,33,FALSE)),IF(AND($S$3=TRUE,$S$4=FALSE),IF(OR($Q$4=TRUE,$Q$5=TRUE,$S$2=TRUE),VLOOKUP($G573,'KO Calc'!$H:$AW,23,FALSE),VLOOKUP($G573,'KO Calc'!$H579:$AW579,23,FALSE)),
IF(AND($S$3=TRUE,$S$1=TRUE,$S$4=TRUE)=TRUE,IF(OR($Q$4=TRUE,$Q$5=TRUE,$S$2=TRUE),VLOOKUP($G573,'KO Calc'!$H:$AW,38,FALSE),VLOOKUP($G573,'KO Calc'!$H579:$AW579,38,FALSE)),IF(AND($S$3=TRUE,$S$4=TRUE),IF(OR($Q$4=TRUE,$Q$5=TRUE,$S$2=TRUE),VLOOKUP($G573,'KO Calc'!$H:$AW,28,FALSE),VLOOKUP($G573,'KO Calc'!$H579:$AW579,28,FALSE)))))))))))))</f>
        <v>-</v>
      </c>
      <c r="J573" s="36" t="str">
        <f>IF(AND($Q$1=FALSE,$S$3=FALSE),"-",IF(AND($Q$1=TRUE,$S$3=TRUE),"-",IF(AND($Q$1=FALSE,$S$3=FALSE),"-",IF(AND($Q$1=TRUE,$S$1=TRUE,$S$4=FALSE)=TRUE,IF(OR($Q$4=TRUE,$Q$5=TRUE,$S$2=TRUE),VLOOKUP($G573,'KO Calc'!$H:$AW,FALSE),VLOOKUP($G573,'KO Calc'!$H579:$AW579,14,FALSE)),IF(AND($Q$1=TRUE,$S$4=FALSE),IF(OR($Q$4=TRUE,$Q$5=TRUE,$S$2=TRUE),VLOOKUP($G573,'KO Calc'!$H:$AW,4,FALSE),VLOOKUP($G573,'KO Calc'!$H579:$AW579,4,FALSE)),
IF(AND($Q$1=TRUE,$S$1=TRUE,$S$4=TRUE)=TRUE,IF(OR($Q$4=TRUE,$Q$5=TRUE,$S$2=TRUE),VLOOKUP($G573,'KO Calc'!$H:$AW,19,FALSE),VLOOKUP($G573,'KO Calc'!$H579:$AW579,19,FALSE)),IF(AND($Q$1=TRUE,$S$4=TRUE),IF(OR($Q$4=TRUE,$Q$5=TRUE,$S$2=TRUE),VLOOKUP($G573,'KO Calc'!$H:$AW,9,FALSE),VLOOKUP($G573,'KO Calc'!$H579:$AW579,9,FALSE)),
IF(AND($S$3=TRUE,$S$1=TRUE,$S$4=FALSE)=TRUE,IF(OR($Q$4=TRUE,$Q$5=TRUE,$S$2=TRUE),VLOOKUP($G573,'KO Calc'!$H:$AW,34,FALSE),VLOOKUP($G573,'KO Calc'!$H579:$AW579,34,FALSE)),IF(AND($S$3=TRUE,$S$4=FALSE),IF(OR($Q$4=TRUE,$Q$5=TRUE,$S$2=TRUE),VLOOKUP($G573,'KO Calc'!$H:$AW,24,FALSE),VLOOKUP($G573,'KO Calc'!$H579:$AW579,24,FALSE)),
IF(AND($S$3=TRUE,$S$1=TRUE,$S$4=TRUE)=TRUE,IF(OR($Q$4=TRUE,$Q$5=TRUE,$S$2=TRUE),VLOOKUP($G573,'KO Calc'!$H:$AW,39,FALSE),VLOOKUP($G573,'KO Calc'!$H579:$AW579,39,FALSE)),IF(AND($S$3=TRUE,$S$4=TRUE),IF(OR($Q$4=TRUE,$Q$5=TRUE,$S$2=TRUE),VLOOKUP($G573,'KO Calc'!$H:$AW,29,FALSE),VLOOKUP($G573,'KO Calc'!$H579:$AW579,29,FALSE)))))))))))))</f>
        <v>-</v>
      </c>
      <c r="K573" s="36" t="str">
        <f>IF(AND($Q$1=FALSE,$S$3=FALSE),"-",IF(AND($Q$1=TRUE,$S$3=TRUE),"-",IF(AND($Q$1=FALSE,$S$3=FALSE),"-",IF(AND($Q$1=TRUE,$S$1=TRUE,$S$4=FALSE)=TRUE,IF(OR($Q$4=TRUE,$Q$5=TRUE,$S$2=TRUE),VLOOKUP($G573,'KO Calc'!$H:$AW,15,FALSE),VLOOKUP($G573,'KO Calc'!$H579:$AW579,15,FALSE)),IF(AND($Q$1=TRUE,$S$4=FALSE),IF(OR($Q$4=TRUE,$Q$5=TRUE,$S$2=TRUE),VLOOKUP($G573,'KO Calc'!$H:$AW,5,FALSE),VLOOKUP($G573,'KO Calc'!$H579:$AW579,5,FALSE)),
IF(AND($Q$1=TRUE,$S$1=TRUE,$S$4=TRUE)=TRUE,IF(OR($Q$4=TRUE,$Q$5=TRUE,$S$2=TRUE),VLOOKUP($G573,'KO Calc'!$H:$AW,20,FALSE),VLOOKUP($G573,'KO Calc'!$H579:$AW579,20,FALSE)),IF(AND($Q$1=TRUE,$S$4=TRUE),IF(OR($Q$4=TRUE,$Q$5=TRUE,$S$2=TRUE),VLOOKUP($G573,'KO Calc'!$H:$AW,10,FALSE),VLOOKUP($G573,'KO Calc'!$H579:$AW579,10,FALSE)),
IF(AND($S$3=TRUE,$S$1=TRUE,$S$4=FALSE)=TRUE,IF(OR($Q$4=TRUE,$Q$5=TRUE,$S$2=TRUE),VLOOKUP($G573,'KO Calc'!$H:$AW,35,FALSE),VLOOKUP($G573,'KO Calc'!$H579:$AW579,35,FALSE)),IF(AND($S$3=TRUE,$S$4=FALSE),IF(OR($Q$4=TRUE,$Q$5=TRUE,$S$2=TRUE),VLOOKUP($G573,'KO Calc'!$H:$AW,25,FALSE),VLOOKUP($G573,'KO Calc'!$H579:$AW579,25,FALSE)),
IF(AND($S$3=TRUE,$S$1=TRUE,$S$4=TRUE)=TRUE,IF(OR($Q$4=TRUE,$Q$5=TRUE,$S$2=TRUE),VLOOKUP($G573,'KO Calc'!$H:$AW,40,FALSE),VLOOKUP($G573,'KO Calc'!$H579:$AW579,40,FALSE)),IF(AND($S$3=TRUE,$S$4=TRUE),IF(OR($Q$4=TRUE,$Q$5=TRUE,$S$2=TRUE),VLOOKUP($G573,'KO Calc'!$H:$AW,30,FALSE),VLOOKUP($G573,'KO Calc'!$H579:$AW579,30,FALSE)))))))))))))</f>
        <v>-</v>
      </c>
      <c r="L573" s="36" t="str">
        <f>IFERROR(IF(AND($Q$1=FALSE,$S$3=FALSE),"-",VLOOKUP($E573,'Status Thresholds'!$E:$AU,43,FALSE)),"-")</f>
        <v>-</v>
      </c>
      <c r="M573" s="36" t="str">
        <f>IFERROR(IF(AND($Q$1=FALSE,$S$3=FALSE),"-",VLOOKUP($E573,'Status Thresholds'!$E:$AU,41,FALSE)),"-")</f>
        <v>-</v>
      </c>
      <c r="N573" s="36" t="str">
        <f>IFERROR(IF(AND($Q$1=FALSE,$S$3=FALSE),"-",VLOOKUP($E573,'Status Thresholds'!$E:$AU,42,FALSE)),"-")</f>
        <v>-</v>
      </c>
    </row>
    <row r="574" spans="1:14" x14ac:dyDescent="0.25">
      <c r="B574" s="64" t="str">
        <f>VLOOKUP(C574,'Status Thresholds'!B:C,2,FALSE)</f>
        <v>Deviant</v>
      </c>
      <c r="C574" s="46" t="str">
        <f>IF(ISBLANK('KO Calc'!C570)=TRUE,"",'KO Calc'!C570)</f>
        <v>Nightcloak Malfestio</v>
      </c>
      <c r="D574" s="78"/>
      <c r="E574" s="62" t="str">
        <f t="shared" si="15"/>
        <v>Nightcloak Malfestio</v>
      </c>
      <c r="F574" t="s">
        <v>11</v>
      </c>
      <c r="G574" s="36" t="str">
        <f t="shared" si="16"/>
        <v>Nightcloak MalfestioCrag 1</v>
      </c>
      <c r="H574" s="36" t="str">
        <f>IF(AND($Q$1=FALSE,$S$3=FALSE),"-",IF(AND($Q$1=TRUE,$S$3=TRUE),"-",IF(AND($Q$1=FALSE,$S$3=FALSE),"-",IF(AND($Q$1=TRUE,$S$1=TRUE,$S$4=FALSE)=TRUE,IF(OR($Q$4=TRUE,$Q$5=TRUE,$S$2=TRUE),VLOOKUP($G574,'KO Calc'!$H:$AW,12,FALSE),VLOOKUP($G574,'KO Calc'!$H580:$AW580,12,FALSE)),IF(AND($Q$1=TRUE,$S$4=FALSE),IF(OR($Q$4=TRUE,$Q$5=TRUE,$S$2=TRUE),VLOOKUP($G574,'KO Calc'!$H:$AW,2,FALSE),VLOOKUP($G574,'KO Calc'!$H580:$AW580,2,FALSE)),
IF(AND($Q$1=TRUE,$S$1=TRUE,$S$4=TRUE)=TRUE,IF(OR($Q$4=TRUE,$Q$5=TRUE,$S$2=TRUE),VLOOKUP($G574,'KO Calc'!$H:$AW,17,FALSE),VLOOKUP($G574,'KO Calc'!$H580:$AW580,17,FALSE)),IF(AND($Q$1=TRUE,$S$4=TRUE),IF(OR($Q$4=TRUE,$Q$5=TRUE,$S$2=TRUE),VLOOKUP($G574,'KO Calc'!$H:$AW,7,FALSE),VLOOKUP($G574,'KO Calc'!$H580:$AW580,7,FALSE)),
IF(AND($S$3=TRUE,$S$1=TRUE,$S$4=FALSE)=TRUE,IF(OR($Q$4=TRUE,$Q$5=TRUE,$S$2=TRUE),VLOOKUP($G574,'KO Calc'!$H:$AW,32,FALSE),VLOOKUP($G574,'KO Calc'!$H580:$AW580,32,FALSE)),IF(AND($S$3=TRUE,$S$4=FALSE),IF(OR($Q$4=TRUE,$Q$5=TRUE,$S$2=TRUE),VLOOKUP($G574,'KO Calc'!$H:$AW,22,FALSE),VLOOKUP($G574,'KO Calc'!$H580:$AW580,22,FALSE)),
IF(AND($S$3=TRUE,$S$1=TRUE,$S$4=TRUE)=TRUE,IF(OR($Q$4=TRUE,$Q$5=TRUE,$S$2=TRUE),VLOOKUP($G574,'KO Calc'!$H:$AW,37,FALSE),VLOOKUP($G574,'KO Calc'!$H580:$AW580,37,FALSE)),IF(AND($S$3=TRUE,$S$4=TRUE),IF(OR($Q$4=TRUE,$Q$5=TRUE,$S$2=TRUE),VLOOKUP($G574,'KO Calc'!$H:$AW,27,FALSE),VLOOKUP($G574,'KO Calc'!$H580:$AW580,27,FALSE)))))))))))))</f>
        <v>-</v>
      </c>
      <c r="I574" s="36" t="str">
        <f>IF(AND($Q$1=FALSE,$S$3=FALSE),"-",IF(AND($Q$1=TRUE,$S$3=TRUE),"-",IF(AND($Q$1=FALSE,$S$3=FALSE),"-",IF(AND($Q$1=TRUE,$S$1=TRUE,$S$4=FALSE)=TRUE,IF(OR($Q$4=TRUE,$Q$5=TRUE,$S$2=TRUE),VLOOKUP($G574,'KO Calc'!$H:$AW,13,FALSE),VLOOKUP($G574,'KO Calc'!$H580:$AW580,13,FALSE)),IF(AND($Q$1=TRUE,$S$4=FALSE),IF(OR($Q$4=TRUE,$Q$5=TRUE,$S$2=TRUE),VLOOKUP($G574,'KO Calc'!$H:$AW,3,FALSE),VLOOKUP($G574,'KO Calc'!$H580:$AW580,3,FALSE)),
IF(AND($Q$1=TRUE,$S$1=TRUE,$S$4=TRUE)=TRUE,IF(OR($Q$4=TRUE,$Q$5=TRUE,$S$2=TRUE),VLOOKUP($G574,'KO Calc'!$H:$AW,18,FALSE),VLOOKUP($G574,'KO Calc'!$H580:$AW580,18,FALSE)),IF(AND($Q$1=TRUE,$S$4=TRUE),IF(OR($Q$4=TRUE,$Q$5=TRUE,$S$2=TRUE),VLOOKUP($G574,'KO Calc'!$H:$AW,8,FALSE),VLOOKUP($G574,'KO Calc'!$H580:$AW580,8,FALSE)),
IF(AND($S$3=TRUE,$S$1=TRUE,$S$4=FALSE)=TRUE,IF(OR($Q$4=TRUE,$Q$5=TRUE,$S$2=TRUE),VLOOKUP($G574,'KO Calc'!$H:$AW,33,FALSE),VLOOKUP($G574,'KO Calc'!$H580:$AW580,33,FALSE)),IF(AND($S$3=TRUE,$S$4=FALSE),IF(OR($Q$4=TRUE,$Q$5=TRUE,$S$2=TRUE),VLOOKUP($G574,'KO Calc'!$H:$AW,23,FALSE),VLOOKUP($G574,'KO Calc'!$H580:$AW580,23,FALSE)),
IF(AND($S$3=TRUE,$S$1=TRUE,$S$4=TRUE)=TRUE,IF(OR($Q$4=TRUE,$Q$5=TRUE,$S$2=TRUE),VLOOKUP($G574,'KO Calc'!$H:$AW,38,FALSE),VLOOKUP($G574,'KO Calc'!$H580:$AW580,38,FALSE)),IF(AND($S$3=TRUE,$S$4=TRUE),IF(OR($Q$4=TRUE,$Q$5=TRUE,$S$2=TRUE),VLOOKUP($G574,'KO Calc'!$H:$AW,28,FALSE),VLOOKUP($G574,'KO Calc'!$H580:$AW580,28,FALSE)))))))))))))</f>
        <v>-</v>
      </c>
      <c r="J574" s="36" t="str">
        <f>IF(AND($Q$1=FALSE,$S$3=FALSE),"-",IF(AND($Q$1=TRUE,$S$3=TRUE),"-",IF(AND($Q$1=FALSE,$S$3=FALSE),"-",IF(AND($Q$1=TRUE,$S$1=TRUE,$S$4=FALSE)=TRUE,IF(OR($Q$4=TRUE,$Q$5=TRUE,$S$2=TRUE),VLOOKUP($G574,'KO Calc'!$H:$AW,FALSE),VLOOKUP($G574,'KO Calc'!$H580:$AW580,14,FALSE)),IF(AND($Q$1=TRUE,$S$4=FALSE),IF(OR($Q$4=TRUE,$Q$5=TRUE,$S$2=TRUE),VLOOKUP($G574,'KO Calc'!$H:$AW,4,FALSE),VLOOKUP($G574,'KO Calc'!$H580:$AW580,4,FALSE)),
IF(AND($Q$1=TRUE,$S$1=TRUE,$S$4=TRUE)=TRUE,IF(OR($Q$4=TRUE,$Q$5=TRUE,$S$2=TRUE),VLOOKUP($G574,'KO Calc'!$H:$AW,19,FALSE),VLOOKUP($G574,'KO Calc'!$H580:$AW580,19,FALSE)),IF(AND($Q$1=TRUE,$S$4=TRUE),IF(OR($Q$4=TRUE,$Q$5=TRUE,$S$2=TRUE),VLOOKUP($G574,'KO Calc'!$H:$AW,9,FALSE),VLOOKUP($G574,'KO Calc'!$H580:$AW580,9,FALSE)),
IF(AND($S$3=TRUE,$S$1=TRUE,$S$4=FALSE)=TRUE,IF(OR($Q$4=TRUE,$Q$5=TRUE,$S$2=TRUE),VLOOKUP($G574,'KO Calc'!$H:$AW,34,FALSE),VLOOKUP($G574,'KO Calc'!$H580:$AW580,34,FALSE)),IF(AND($S$3=TRUE,$S$4=FALSE),IF(OR($Q$4=TRUE,$Q$5=TRUE,$S$2=TRUE),VLOOKUP($G574,'KO Calc'!$H:$AW,24,FALSE),VLOOKUP($G574,'KO Calc'!$H580:$AW580,24,FALSE)),
IF(AND($S$3=TRUE,$S$1=TRUE,$S$4=TRUE)=TRUE,IF(OR($Q$4=TRUE,$Q$5=TRUE,$S$2=TRUE),VLOOKUP($G574,'KO Calc'!$H:$AW,39,FALSE),VLOOKUP($G574,'KO Calc'!$H580:$AW580,39,FALSE)),IF(AND($S$3=TRUE,$S$4=TRUE),IF(OR($Q$4=TRUE,$Q$5=TRUE,$S$2=TRUE),VLOOKUP($G574,'KO Calc'!$H:$AW,29,FALSE),VLOOKUP($G574,'KO Calc'!$H580:$AW580,29,FALSE)))))))))))))</f>
        <v>-</v>
      </c>
      <c r="K574" s="36" t="str">
        <f>IF(AND($Q$1=FALSE,$S$3=FALSE),"-",IF(AND($Q$1=TRUE,$S$3=TRUE),"-",IF(AND($Q$1=FALSE,$S$3=FALSE),"-",IF(AND($Q$1=TRUE,$S$1=TRUE,$S$4=FALSE)=TRUE,IF(OR($Q$4=TRUE,$Q$5=TRUE,$S$2=TRUE),VLOOKUP($G574,'KO Calc'!$H:$AW,15,FALSE),VLOOKUP($G574,'KO Calc'!$H580:$AW580,15,FALSE)),IF(AND($Q$1=TRUE,$S$4=FALSE),IF(OR($Q$4=TRUE,$Q$5=TRUE,$S$2=TRUE),VLOOKUP($G574,'KO Calc'!$H:$AW,5,FALSE),VLOOKUP($G574,'KO Calc'!$H580:$AW580,5,FALSE)),
IF(AND($Q$1=TRUE,$S$1=TRUE,$S$4=TRUE)=TRUE,IF(OR($Q$4=TRUE,$Q$5=TRUE,$S$2=TRUE),VLOOKUP($G574,'KO Calc'!$H:$AW,20,FALSE),VLOOKUP($G574,'KO Calc'!$H580:$AW580,20,FALSE)),IF(AND($Q$1=TRUE,$S$4=TRUE),IF(OR($Q$4=TRUE,$Q$5=TRUE,$S$2=TRUE),VLOOKUP($G574,'KO Calc'!$H:$AW,10,FALSE),VLOOKUP($G574,'KO Calc'!$H580:$AW580,10,FALSE)),
IF(AND($S$3=TRUE,$S$1=TRUE,$S$4=FALSE)=TRUE,IF(OR($Q$4=TRUE,$Q$5=TRUE,$S$2=TRUE),VLOOKUP($G574,'KO Calc'!$H:$AW,35,FALSE),VLOOKUP($G574,'KO Calc'!$H580:$AW580,35,FALSE)),IF(AND($S$3=TRUE,$S$4=FALSE),IF(OR($Q$4=TRUE,$Q$5=TRUE,$S$2=TRUE),VLOOKUP($G574,'KO Calc'!$H:$AW,25,FALSE),VLOOKUP($G574,'KO Calc'!$H580:$AW580,25,FALSE)),
IF(AND($S$3=TRUE,$S$1=TRUE,$S$4=TRUE)=TRUE,IF(OR($Q$4=TRUE,$Q$5=TRUE,$S$2=TRUE),VLOOKUP($G574,'KO Calc'!$H:$AW,40,FALSE),VLOOKUP($G574,'KO Calc'!$H580:$AW580,40,FALSE)),IF(AND($S$3=TRUE,$S$4=TRUE),IF(OR($Q$4=TRUE,$Q$5=TRUE,$S$2=TRUE),VLOOKUP($G574,'KO Calc'!$H:$AW,30,FALSE),VLOOKUP($G574,'KO Calc'!$H580:$AW580,30,FALSE)))))))))))))</f>
        <v>-</v>
      </c>
      <c r="L574" s="36" t="str">
        <f>IFERROR(VLOOKUP($E574,'Status Thresholds'!$E:$AS,41,FALSE),"-")</f>
        <v>-</v>
      </c>
    </row>
    <row r="575" spans="1:14" x14ac:dyDescent="0.25">
      <c r="B575" s="64" t="str">
        <f>VLOOKUP(C575,'Status Thresholds'!B:C,2,FALSE)</f>
        <v>Deviant</v>
      </c>
      <c r="C575" s="46" t="str">
        <f>IF(ISBLANK('KO Calc'!C571)=TRUE,"",'KO Calc'!C571)</f>
        <v>Nightcloak Malfestio</v>
      </c>
      <c r="D575" s="78"/>
      <c r="E575" s="62"/>
      <c r="G575" s="36"/>
      <c r="L575" s="36" t="str">
        <f>IFERROR(VLOOKUP($E575,'Status Thresholds'!$E:$AS,41,FALSE),"-")</f>
        <v>-</v>
      </c>
    </row>
    <row r="576" spans="1:14" s="36" customFormat="1" x14ac:dyDescent="0.25">
      <c r="B576" s="64" t="str">
        <f>VLOOKUP(C576,'Status Thresholds'!B:C,2,FALSE)</f>
        <v>MHGen</v>
      </c>
      <c r="C576" s="46" t="str">
        <f>IF(ISBLANK('KO Calc'!C572)=TRUE,"",'KO Calc'!C572)</f>
        <v>Plesioth</v>
      </c>
      <c r="D576" s="65" t="s">
        <v>0</v>
      </c>
      <c r="E576" s="62" t="str">
        <f t="shared" si="15"/>
        <v>PlesiothPara</v>
      </c>
      <c r="F576" s="36" t="s">
        <v>2</v>
      </c>
      <c r="G576" s="36" t="str">
        <f t="shared" si="16"/>
        <v>PlesiothPara lvl 2</v>
      </c>
      <c r="H576" s="36" t="str">
        <f>IFERROR(ROUNDUP(IF(AND($Q$1=FALSE,$S$3=FALSE),"-",IF(AND($Q$1=TRUE,$S$3=TRUE),"-",IF(AND($Q$1=TRUE,$S$1=TRUE,$S$4=FALSE),VLOOKUP($E576,'Status Thresholds'!$E:$AS,12,FALSE),IF(AND($Q$1=TRUE,$S$4=FALSE),VLOOKUP($E576,'Status Thresholds'!$E:$AS,2,FALSE), IF(AND($Q$1=TRUE,$S$1=TRUE,$S$4=TRUE),VLOOKUP($E576,'Status Thresholds'!$E:$AS,17,FALSE),IF(AND($Q$1=TRUE,$S$4=TRUE),VLOOKUP($E576,'Status Thresholds'!$E:$AS,7,FALSE),IF(AND($S$3=TRUE,$S$1=TRUE,$S$4=FALSE),VLOOKUP($E576,'Status Thresholds'!$E:$AS,32,FALSE),IF(AND($S$3=TRUE,$S$4=FALSE),VLOOKUP($E576,'Status Thresholds'!$E:$AS,22,FALSE),IF(AND($S$3=TRUE,$S$1=TRUE,$S$4=TRUE),VLOOKUP($E576,'Status Thresholds'!$E:$AS,37,FALSE),IF(AND($S$3=TRUE,$S$4=TRUE),VLOOKUP($E576,'Status Thresholds'!$E:$AS,27,FALSE),""))))))))/IF(OR($Q$3=TRUE,AND($Q$2=TRUE,$Q$7=TRUE),AND($Q$3=TRUE,$Q$7=TRUE))=TRUE,'Shots and Status'!$F$5,IF((OR($Q$2,$Q$7)=TRUE),'Shots and Status'!$D$5,'Shots and Status'!$C$5)))),0),"-")</f>
        <v>-</v>
      </c>
      <c r="I576" s="36" t="str">
        <f>IFERROR(ROUNDUP(IF(AND($Q$1=FALSE,$S$3=FALSE),"-",IF(AND($Q$1=TRUE,$S$3=TRUE),"-",IF(AND($Q$1=TRUE,$S$1=TRUE,$S$4=FALSE),VLOOKUP($E576,'Status Thresholds'!$E:$AS,13,FALSE),IF(AND($Q$1=TRUE,$S$4=FALSE),VLOOKUP($E576,'Status Thresholds'!$E:$AS,3,FALSE), IF(AND($Q$1=TRUE,$S$1=TRUE,$S$4=TRUE),VLOOKUP($E576,'Status Thresholds'!$E:$AS,18,FALSE),IF(AND($Q$1=TRUE,$S$4=TRUE),VLOOKUP($E576,'Status Thresholds'!$E:$AS,8,FALSE),IF(AND($S$3=TRUE,$S$1=TRUE,$S$4=FALSE),VLOOKUP($E576,'Status Thresholds'!$E:$AS,33,FALSE),IF(AND($S$3=TRUE,$S$4=FALSE),VLOOKUP($E576,'Status Thresholds'!$E:$AS,23,FALSE),IF(AND($S$3=TRUE,$S$1=TRUE,$S$4=TRUE),VLOOKUP($E576,'Status Thresholds'!$E:$AS,38,FALSE),IF(AND($S$3=TRUE,$S$4=TRUE),VLOOKUP($E576,'Status Thresholds'!$E:$AS,28,FALSE),""))))))))/IF(OR($Q$3=TRUE,AND($Q$2=TRUE,$Q$7=TRUE),AND($Q$3=TRUE,$Q$7=TRUE))=TRUE,'Shots and Status'!$F$5,IF((OR($Q$2,$Q$7)=TRUE),'Shots and Status'!$D$5,'Shots and Status'!$C$5)))),0),"-")</f>
        <v>-</v>
      </c>
      <c r="J576" s="36" t="str">
        <f>IFERROR(ROUNDUP(IF(AND($Q$1=FALSE,$S$3=FALSE),"-",IF(AND($Q$1=TRUE,$S$3=TRUE),"-",IF(AND($Q$1=TRUE,$S$1=TRUE,$S$4=FALSE),VLOOKUP($E576,'Status Thresholds'!$E:$AS,14,FALSE),IF(AND($Q$1=TRUE,$S$4=FALSE),VLOOKUP($E576,'Status Thresholds'!$E:$AS,4,FALSE), IF(AND($Q$1=TRUE,$S$1=TRUE,$S$4=TRUE),VLOOKUP($E576,'Status Thresholds'!$E:$AS,19,FALSE),IF(AND($Q$1=TRUE,$S$4=TRUE),VLOOKUP($E576,'Status Thresholds'!$E:$AS,9,FALSE),IF(AND($S$3=TRUE,$S$1=TRUE,$S$4=FALSE),VLOOKUP($E576,'Status Thresholds'!$E:$AS,34,FALSE),IF(AND($S$3=TRUE,$S$4=FALSE),VLOOKUP($E576,'Status Thresholds'!$E:$AS,24,FALSE),IF(AND($S$3=TRUE,$S$1=TRUE,$S$4=TRUE),VLOOKUP($E576,'Status Thresholds'!$E:$AS,39,FALSE),IF(AND($S$3=TRUE,$S$4=TRUE),VLOOKUP($E576,'Status Thresholds'!$E:$AS,29,FALSE),""))))))))/IF(OR($Q$3=TRUE,AND($Q$2=TRUE,$Q$7=TRUE),AND($Q$3=TRUE,$Q$7=TRUE))=TRUE,'Shots and Status'!$F$5,IF((OR($Q$2,$Q$7)=TRUE),'Shots and Status'!$D$5,'Shots and Status'!$C$5)))),0),"-")</f>
        <v>-</v>
      </c>
      <c r="K576" s="36" t="str">
        <f>IFERROR(ROUNDUP(IF(AND($Q$1=FALSE,$S$3=FALSE),"-",IF(AND($Q$1=TRUE,$S$3=TRUE),"-",IF(AND($Q$1=TRUE,$S$1=TRUE,$S$4=FALSE),VLOOKUP($E576,'Status Thresholds'!$E:$AS,15,FALSE),IF(AND($Q$1=TRUE,$S$4=FALSE),VLOOKUP($E576,'Status Thresholds'!$E:$AS,5,FALSE), IF(AND($Q$1=TRUE,$S$1=TRUE,$S$4=TRUE),VLOOKUP($E576,'Status Thresholds'!$E:$AS,20,FALSE),IF(AND($Q$1=TRUE,$S$4=TRUE),VLOOKUP($E576,'Status Thresholds'!$E:$AS,10,FALSE),IF(AND($S$3=TRUE,$S$1=TRUE,$S$4=FALSE),VLOOKUP($E576,'Status Thresholds'!$E:$AS,35,FALSE),IF(AND($S$3=TRUE,$S$4=FALSE),VLOOKUP($E576,'Status Thresholds'!$E:$AS,25,FALSE),IF(AND($S$3=TRUE,$S$1=TRUE,$S$4=TRUE),VLOOKUP($E576,'Status Thresholds'!$E:$AS,40,FALSE),IF(AND($S$3=TRUE,$S$4=TRUE),VLOOKUP($E576,'Status Thresholds'!$E:$AS,30,FALSE),""))))))))/IF(OR($Q$3=TRUE,AND($Q$2=TRUE,$Q$7=TRUE),AND($Q$3=TRUE,$Q$7=TRUE))=TRUE,'Shots and Status'!$F$5,IF((OR($Q$2,$Q$7)=TRUE),'Shots and Status'!$D$5,'Shots and Status'!$C$5)))),0),"-")</f>
        <v>-</v>
      </c>
      <c r="L576" s="36" t="str">
        <f>IFERROR(IF(AND($Q$1=FALSE,$S$3=FALSE),"-",VLOOKUP($E576,'Status Thresholds'!$E:$AU,41,FALSE)),"-")</f>
        <v>-</v>
      </c>
      <c r="M576" s="36" t="str">
        <f>IFERROR(IF(AND($Q$1=FALSE,$S$3=FALSE),"-",VLOOKUP($E576,'Status Thresholds'!$E:$AU,42,FALSE)),"-")</f>
        <v>-</v>
      </c>
      <c r="N576" s="36" t="str">
        <f>IFERROR(IF(AND($Q$1=FALSE,$S$3=FALSE),"-",VLOOKUP($E576,'Status Thresholds'!$E:$AU,43,FALSE)),"-")</f>
        <v>-</v>
      </c>
    </row>
    <row r="577" spans="1:14" s="59" customFormat="1" x14ac:dyDescent="0.25">
      <c r="A577" s="46"/>
      <c r="B577" s="64" t="str">
        <f>VLOOKUP(C577,'Status Thresholds'!B:C,2,FALSE)</f>
        <v>MHGen</v>
      </c>
      <c r="C577" s="46" t="str">
        <f>IF(ISBLANK('KO Calc'!C573)=TRUE,"",'KO Calc'!C573)</f>
        <v>Plesioth</v>
      </c>
      <c r="D577" s="60" t="s">
        <v>32</v>
      </c>
      <c r="E577" s="62" t="str">
        <f t="shared" ref="E577:E646" si="17">C577&amp;D577</f>
        <v>PlesiothSleep</v>
      </c>
      <c r="F577" s="59" t="s">
        <v>5</v>
      </c>
      <c r="G577" s="36" t="str">
        <f t="shared" si="16"/>
        <v>PlesiothSleep lvl 2</v>
      </c>
      <c r="H577" s="36" t="str">
        <f>IFERROR(ROUNDUP(IF(AND($Q$1=FALSE,$S$3=FALSE),"-",IF(AND($Q$1=TRUE,$S$3=TRUE),"-",IF(AND($Q$1=TRUE,$S$1=TRUE,$S$4=FALSE),VLOOKUP($E577,'Status Thresholds'!$E:$AS,12,FALSE),IF(AND($Q$1=TRUE,$S$4=FALSE),VLOOKUP($E577,'Status Thresholds'!$E:$AS,2,FALSE), IF(AND($Q$1=TRUE,$S$1=TRUE,$S$4=TRUE),VLOOKUP($E577,'Status Thresholds'!$E:$AS,17,FALSE),IF(AND($Q$1=TRUE,$S$4=TRUE),VLOOKUP($E577,'Status Thresholds'!$E:$AS,7,FALSE),IF(AND($S$3=TRUE,$S$1=TRUE,$S$4=FALSE),VLOOKUP($E577,'Status Thresholds'!$E:$AS,32,FALSE),IF(AND($S$3=TRUE,$S$4=FALSE),VLOOKUP($E577,'Status Thresholds'!$E:$AS,22,FALSE),IF(AND($S$3=TRUE,$S$1=TRUE,$S$4=TRUE),VLOOKUP($E577,'Status Thresholds'!$E:$AS,37,FALSE),IF(AND($S$3=TRUE,$S$4=TRUE),VLOOKUP($E577,'Status Thresholds'!$E:$AS,27,FALSE),""))))))))/IF(OR($Q$3=TRUE,AND($Q$2=TRUE,$Q$7=TRUE),AND($Q$3=TRUE,$Q$7=TRUE))=TRUE,'Shots and Status'!$F$5,IF((OR($Q$2,$Q$7)=TRUE),'Shots and Status'!$D$5,'Shots and Status'!$C$5)))),0),"-")</f>
        <v>-</v>
      </c>
      <c r="I577" s="36" t="str">
        <f>IFERROR(ROUNDUP(IF(AND($Q$1=FALSE,$S$3=FALSE),"-",IF(AND($Q$1=TRUE,$S$3=TRUE),"-",IF(AND($Q$1=TRUE,$S$1=TRUE,$S$4=FALSE),VLOOKUP($E577,'Status Thresholds'!$E:$AS,13,FALSE),IF(AND($Q$1=TRUE,$S$4=FALSE),VLOOKUP($E577,'Status Thresholds'!$E:$AS,3,FALSE), IF(AND($Q$1=TRUE,$S$1=TRUE,$S$4=TRUE),VLOOKUP($E577,'Status Thresholds'!$E:$AS,18,FALSE),IF(AND($Q$1=TRUE,$S$4=TRUE),VLOOKUP($E577,'Status Thresholds'!$E:$AS,8,FALSE),IF(AND($S$3=TRUE,$S$1=TRUE,$S$4=FALSE),VLOOKUP($E577,'Status Thresholds'!$E:$AS,33,FALSE),IF(AND($S$3=TRUE,$S$4=FALSE),VLOOKUP($E577,'Status Thresholds'!$E:$AS,23,FALSE),IF(AND($S$3=TRUE,$S$1=TRUE,$S$4=TRUE),VLOOKUP($E577,'Status Thresholds'!$E:$AS,38,FALSE),IF(AND($S$3=TRUE,$S$4=TRUE),VLOOKUP($E577,'Status Thresholds'!$E:$AS,28,FALSE),""))))))))/IF(OR($Q$3=TRUE,AND($Q$2=TRUE,$Q$7=TRUE),AND($Q$3=TRUE,$Q$7=TRUE))=TRUE,'Shots and Status'!$F$5,IF((OR($Q$2,$Q$7)=TRUE),'Shots and Status'!$D$5,'Shots and Status'!$C$5)))),0),"-")</f>
        <v>-</v>
      </c>
      <c r="J577" s="36" t="str">
        <f>IFERROR(ROUNDUP(IF(AND($Q$1=FALSE,$S$3=FALSE),"-",IF(AND($Q$1=TRUE,$S$3=TRUE),"-",IF(AND($Q$1=TRUE,$S$1=TRUE,$S$4=FALSE),VLOOKUP($E577,'Status Thresholds'!$E:$AS,14,FALSE),IF(AND($Q$1=TRUE,$S$4=FALSE),VLOOKUP($E577,'Status Thresholds'!$E:$AS,4,FALSE), IF(AND($Q$1=TRUE,$S$1=TRUE,$S$4=TRUE),VLOOKUP($E577,'Status Thresholds'!$E:$AS,19,FALSE),IF(AND($Q$1=TRUE,$S$4=TRUE),VLOOKUP($E577,'Status Thresholds'!$E:$AS,9,FALSE),IF(AND($S$3=TRUE,$S$1=TRUE,$S$4=FALSE),VLOOKUP($E577,'Status Thresholds'!$E:$AS,34,FALSE),IF(AND($S$3=TRUE,$S$4=FALSE),VLOOKUP($E577,'Status Thresholds'!$E:$AS,24,FALSE),IF(AND($S$3=TRUE,$S$1=TRUE,$S$4=TRUE),VLOOKUP($E577,'Status Thresholds'!$E:$AS,39,FALSE),IF(AND($S$3=TRUE,$S$4=TRUE),VLOOKUP($E577,'Status Thresholds'!$E:$AS,29,FALSE),""))))))))/IF(OR($Q$3=TRUE,AND($Q$2=TRUE,$Q$7=TRUE),AND($Q$3=TRUE,$Q$7=TRUE))=TRUE,'Shots and Status'!$F$5,IF((OR($Q$2,$Q$7)=TRUE),'Shots and Status'!$D$5,'Shots and Status'!$C$5)))),0),"-")</f>
        <v>-</v>
      </c>
      <c r="K577" s="36" t="str">
        <f>IFERROR(ROUNDUP(IF(AND($Q$1=FALSE,$S$3=FALSE),"-",IF(AND($Q$1=TRUE,$S$3=TRUE),"-",IF(AND($Q$1=TRUE,$S$1=TRUE,$S$4=FALSE),VLOOKUP($E577,'Status Thresholds'!$E:$AS,15,FALSE),IF(AND($Q$1=TRUE,$S$4=FALSE),VLOOKUP($E577,'Status Thresholds'!$E:$AS,5,FALSE), IF(AND($Q$1=TRUE,$S$1=TRUE,$S$4=TRUE),VLOOKUP($E577,'Status Thresholds'!$E:$AS,20,FALSE),IF(AND($Q$1=TRUE,$S$4=TRUE),VLOOKUP($E577,'Status Thresholds'!$E:$AS,10,FALSE),IF(AND($S$3=TRUE,$S$1=TRUE,$S$4=FALSE),VLOOKUP($E577,'Status Thresholds'!$E:$AS,35,FALSE),IF(AND($S$3=TRUE,$S$4=FALSE),VLOOKUP($E577,'Status Thresholds'!$E:$AS,25,FALSE),IF(AND($S$3=TRUE,$S$1=TRUE,$S$4=TRUE),VLOOKUP($E577,'Status Thresholds'!$E:$AS,40,FALSE),IF(AND($S$3=TRUE,$S$4=TRUE),VLOOKUP($E577,'Status Thresholds'!$E:$AS,30,FALSE),""))))))))/IF(OR($Q$3=TRUE,AND($Q$2=TRUE,$Q$7=TRUE),AND($Q$3=TRUE,$Q$7=TRUE))=TRUE,'Shots and Status'!$F$5,IF((OR($Q$2,$Q$7)=TRUE),'Shots and Status'!$D$5,'Shots and Status'!$C$5)))),0),"-")</f>
        <v>-</v>
      </c>
      <c r="L577" s="36" t="str">
        <f>IFERROR(IF(AND($Q$1=FALSE,$S$3=FALSE),"-",VLOOKUP($E577,'Status Thresholds'!$E:$AU,41,FALSE)),"-")</f>
        <v>-</v>
      </c>
      <c r="M577" s="36" t="str">
        <f>IFERROR(IF(AND($Q$1=FALSE,$S$3=FALSE),"-",VLOOKUP($E577,'Status Thresholds'!$E:$AU,42,FALSE)),"-")</f>
        <v>-</v>
      </c>
      <c r="N577" s="36" t="str">
        <f>IFERROR(IF(AND($Q$1=FALSE,$S$3=FALSE),"-",VLOOKUP($E577,'Status Thresholds'!$E:$AU,43,FALSE)),"-")</f>
        <v>-</v>
      </c>
    </row>
    <row r="578" spans="1:14" s="59" customFormat="1" x14ac:dyDescent="0.25">
      <c r="A578" s="46"/>
      <c r="B578" s="64" t="str">
        <f>VLOOKUP(C578,'Status Thresholds'!B:C,2,FALSE)</f>
        <v>MHGen</v>
      </c>
      <c r="C578" s="46" t="str">
        <f>IF(ISBLANK('KO Calc'!C574)=TRUE,"",'KO Calc'!C574)</f>
        <v>Plesioth</v>
      </c>
      <c r="D578" s="58" t="s">
        <v>33</v>
      </c>
      <c r="E578" s="62" t="str">
        <f t="shared" si="17"/>
        <v>PlesiothPoison</v>
      </c>
      <c r="F578" s="59" t="s">
        <v>6</v>
      </c>
      <c r="G578" s="36" t="str">
        <f t="shared" si="16"/>
        <v>PlesiothPoison lvl 2</v>
      </c>
      <c r="H578" s="36" t="str">
        <f>IFERROR(ROUNDUP(IF(AND($Q$1=FALSE,$S$3=FALSE),"-",IF(AND($Q$1=TRUE,$S$3=TRUE),"-",IF(AND($Q$1=TRUE,$S$1=TRUE,$S$4=FALSE),VLOOKUP($E578,'Status Thresholds'!$E:$AS,12,FALSE),IF(AND($Q$1=TRUE,$S$4=FALSE),VLOOKUP($E578,'Status Thresholds'!$E:$AS,2,FALSE), IF(AND($Q$1=TRUE,$S$1=TRUE,$S$4=TRUE),VLOOKUP($E578,'Status Thresholds'!$E:$AS,17,FALSE),IF(AND($Q$1=TRUE,$S$4=TRUE),VLOOKUP($E578,'Status Thresholds'!$E:$AS,7,FALSE),IF(AND($S$3=TRUE,$S$1=TRUE,$S$4=FALSE),VLOOKUP($E578,'Status Thresholds'!$E:$AS,32,FALSE),IF(AND($S$3=TRUE,$S$4=FALSE),VLOOKUP($E578,'Status Thresholds'!$E:$AS,22,FALSE),IF(AND($S$3=TRUE,$S$1=TRUE,$S$4=TRUE),VLOOKUP($E578,'Status Thresholds'!$E:$AS,37,FALSE),IF(AND($S$3=TRUE,$S$4=TRUE),VLOOKUP($E578,'Status Thresholds'!$E:$AS,27,FALSE),""))))))))/IF(OR($Q$3=TRUE,AND($Q$2=TRUE,$Q$7=TRUE),AND($Q$3=TRUE,$Q$7=TRUE))=TRUE,'Shots and Status'!$F$5,IF((OR($Q$2,$Q$7)=TRUE),'Shots and Status'!$D$5,'Shots and Status'!$C$5)))),0),"-")</f>
        <v>-</v>
      </c>
      <c r="I578" s="36" t="str">
        <f>IFERROR(ROUNDUP(IF(AND($Q$1=FALSE,$S$3=FALSE),"-",IF(AND($Q$1=TRUE,$S$3=TRUE),"-",IF(AND($Q$1=TRUE,$S$1=TRUE,$S$4=FALSE),VLOOKUP($E578,'Status Thresholds'!$E:$AS,13,FALSE),IF(AND($Q$1=TRUE,$S$4=FALSE),VLOOKUP($E578,'Status Thresholds'!$E:$AS,3,FALSE), IF(AND($Q$1=TRUE,$S$1=TRUE,$S$4=TRUE),VLOOKUP($E578,'Status Thresholds'!$E:$AS,18,FALSE),IF(AND($Q$1=TRUE,$S$4=TRUE),VLOOKUP($E578,'Status Thresholds'!$E:$AS,8,FALSE),IF(AND($S$3=TRUE,$S$1=TRUE,$S$4=FALSE),VLOOKUP($E578,'Status Thresholds'!$E:$AS,33,FALSE),IF(AND($S$3=TRUE,$S$4=FALSE),VLOOKUP($E578,'Status Thresholds'!$E:$AS,23,FALSE),IF(AND($S$3=TRUE,$S$1=TRUE,$S$4=TRUE),VLOOKUP($E578,'Status Thresholds'!$E:$AS,38,FALSE),IF(AND($S$3=TRUE,$S$4=TRUE),VLOOKUP($E578,'Status Thresholds'!$E:$AS,28,FALSE),""))))))))/IF(OR($Q$3=TRUE,AND($Q$2=TRUE,$Q$7=TRUE),AND($Q$3=TRUE,$Q$7=TRUE))=TRUE,'Shots and Status'!$F$5,IF((OR($Q$2,$Q$7)=TRUE),'Shots and Status'!$D$5,'Shots and Status'!$C$5)))),0),"-")</f>
        <v>-</v>
      </c>
      <c r="J578" s="36" t="str">
        <f>IFERROR(ROUNDUP(IF(AND($Q$1=FALSE,$S$3=FALSE),"-",IF(AND($Q$1=TRUE,$S$3=TRUE),"-",IF(AND($Q$1=TRUE,$S$1=TRUE,$S$4=FALSE),VLOOKUP($E578,'Status Thresholds'!$E:$AS,14,FALSE),IF(AND($Q$1=TRUE,$S$4=FALSE),VLOOKUP($E578,'Status Thresholds'!$E:$AS,4,FALSE), IF(AND($Q$1=TRUE,$S$1=TRUE,$S$4=TRUE),VLOOKUP($E578,'Status Thresholds'!$E:$AS,19,FALSE),IF(AND($Q$1=TRUE,$S$4=TRUE),VLOOKUP($E578,'Status Thresholds'!$E:$AS,9,FALSE),IF(AND($S$3=TRUE,$S$1=TRUE,$S$4=FALSE),VLOOKUP($E578,'Status Thresholds'!$E:$AS,34,FALSE),IF(AND($S$3=TRUE,$S$4=FALSE),VLOOKUP($E578,'Status Thresholds'!$E:$AS,24,FALSE),IF(AND($S$3=TRUE,$S$1=TRUE,$S$4=TRUE),VLOOKUP($E578,'Status Thresholds'!$E:$AS,39,FALSE),IF(AND($S$3=TRUE,$S$4=TRUE),VLOOKUP($E578,'Status Thresholds'!$E:$AS,29,FALSE),""))))))))/IF(OR($Q$3=TRUE,AND($Q$2=TRUE,$Q$7=TRUE),AND($Q$3=TRUE,$Q$7=TRUE))=TRUE,'Shots and Status'!$F$5,IF((OR($Q$2,$Q$7)=TRUE),'Shots and Status'!$D$5,'Shots and Status'!$C$5)))),0),"-")</f>
        <v>-</v>
      </c>
      <c r="K578" s="36" t="str">
        <f>IFERROR(ROUNDUP(IF(AND($Q$1=FALSE,$S$3=FALSE),"-",IF(AND($Q$1=TRUE,$S$3=TRUE),"-",IF(AND($Q$1=TRUE,$S$1=TRUE,$S$4=FALSE),VLOOKUP($E578,'Status Thresholds'!$E:$AS,15,FALSE),IF(AND($Q$1=TRUE,$S$4=FALSE),VLOOKUP($E578,'Status Thresholds'!$E:$AS,5,FALSE), IF(AND($Q$1=TRUE,$S$1=TRUE,$S$4=TRUE),VLOOKUP($E578,'Status Thresholds'!$E:$AS,20,FALSE),IF(AND($Q$1=TRUE,$S$4=TRUE),VLOOKUP($E578,'Status Thresholds'!$E:$AS,10,FALSE),IF(AND($S$3=TRUE,$S$1=TRUE,$S$4=FALSE),VLOOKUP($E578,'Status Thresholds'!$E:$AS,35,FALSE),IF(AND($S$3=TRUE,$S$4=FALSE),VLOOKUP($E578,'Status Thresholds'!$E:$AS,25,FALSE),IF(AND($S$3=TRUE,$S$1=TRUE,$S$4=TRUE),VLOOKUP($E578,'Status Thresholds'!$E:$AS,40,FALSE),IF(AND($S$3=TRUE,$S$4=TRUE),VLOOKUP($E578,'Status Thresholds'!$E:$AS,30,FALSE),""))))))))/IF(OR($Q$3=TRUE,AND($Q$2=TRUE,$Q$7=TRUE),AND($Q$3=TRUE,$Q$7=TRUE))=TRUE,'Shots and Status'!$F$5,IF((OR($Q$2,$Q$7)=TRUE),'Shots and Status'!$D$5,'Shots and Status'!$C$5)))),0),"-")</f>
        <v>-</v>
      </c>
      <c r="L578" s="36" t="str">
        <f>IFERROR(IF(AND($Q$1=FALSE,$S$3=FALSE),"-",VLOOKUP($E578,'Status Thresholds'!$E:$AU,41,FALSE)),"-")</f>
        <v>-</v>
      </c>
      <c r="M578" s="36" t="str">
        <f>IFERROR(IF(AND($Q$1=FALSE,$S$3=FALSE),"-",VLOOKUP($E578,'Status Thresholds'!$E:$AU,42,FALSE)),"-")</f>
        <v>-</v>
      </c>
      <c r="N578" s="36" t="str">
        <f>IFERROR(IF(AND($Q$1=FALSE,$S$3=FALSE),"-",VLOOKUP($E578,'Status Thresholds'!$E:$AU,43,FALSE)),"-")</f>
        <v>-</v>
      </c>
    </row>
    <row r="579" spans="1:14" s="36" customFormat="1" x14ac:dyDescent="0.25">
      <c r="A579" s="46"/>
      <c r="B579" s="64" t="str">
        <f>VLOOKUP(C579,'Status Thresholds'!B:C,2,FALSE)</f>
        <v>MHGen</v>
      </c>
      <c r="C579" s="46" t="str">
        <f>IF(ISBLANK('KO Calc'!C575)=TRUE,"",'KO Calc'!C575)</f>
        <v>Plesioth</v>
      </c>
      <c r="D579" s="57" t="s">
        <v>22</v>
      </c>
      <c r="E579" s="62" t="str">
        <f t="shared" si="17"/>
        <v>PlesiothExhaust</v>
      </c>
      <c r="F579" s="36" t="s">
        <v>8</v>
      </c>
      <c r="G579" s="36" t="str">
        <f t="shared" si="16"/>
        <v>PlesiothExhaust lvl 2</v>
      </c>
      <c r="H579" s="36" t="str">
        <f>IFERROR(ROUNDUP(IF(AND($Q$1=FALSE,$S$3=FALSE),"-",IF(AND($Q$1=TRUE,$S$3=TRUE),"-",IF(AND($Q$1=TRUE,$S$1=TRUE,$S$4=FALSE),VLOOKUP($E579,'Status Thresholds'!$E:$AS,12,FALSE),IF(AND($Q$1=TRUE,$S$4=FALSE),VLOOKUP($E579,'Status Thresholds'!$E:$AS,2,FALSE), IF(AND($Q$1=TRUE,$S$1=TRUE,$S$4=TRUE),VLOOKUP($E579,'Status Thresholds'!$E:$AS,17,FALSE),IF(AND($Q$1=TRUE,$S$4=TRUE),VLOOKUP($E579,'Status Thresholds'!$E:$AS,7,FALSE),IF(AND($S$3=TRUE,$S$1=TRUE,$S$4=FALSE),VLOOKUP($E579,'Status Thresholds'!$E:$AS,32,FALSE),IF(AND($S$3=TRUE,$S$4=FALSE),VLOOKUP($E579,'Status Thresholds'!$E:$AS,22,FALSE),IF(AND($S$3=TRUE,$S$1=TRUE,$S$4=TRUE),VLOOKUP($E579,'Status Thresholds'!$E:$AS,37,FALSE),IF(AND($S$3=TRUE,$S$4=TRUE),VLOOKUP($E579,'Status Thresholds'!$E:$AS,27,FALSE),""))))))))/IF(OR($Q$3=TRUE,AND($Q$2=TRUE,$Q$7=TRUE),AND($Q$3=TRUE,$Q$7=TRUE))=TRUE,'Shots and Status'!$F$5,IF((OR($Q$2,$Q$7)=TRUE),'Shots and Status'!$D$5,'Shots and Status'!$C$5)))),0),"-")</f>
        <v>-</v>
      </c>
      <c r="I579" s="36" t="str">
        <f>IFERROR(ROUNDUP(IF(AND($Q$1=FALSE,$S$3=FALSE),"-",IF(AND($Q$1=TRUE,$S$3=TRUE),"-",IF(AND($Q$1=TRUE,$S$1=TRUE,$S$4=FALSE),VLOOKUP($E579,'Status Thresholds'!$E:$AS,13,FALSE),IF(AND($Q$1=TRUE,$S$4=FALSE),VLOOKUP($E579,'Status Thresholds'!$E:$AS,3,FALSE), IF(AND($Q$1=TRUE,$S$1=TRUE,$S$4=TRUE),VLOOKUP($E579,'Status Thresholds'!$E:$AS,18,FALSE),IF(AND($Q$1=TRUE,$S$4=TRUE),VLOOKUP($E579,'Status Thresholds'!$E:$AS,8,FALSE),IF(AND($S$3=TRUE,$S$1=TRUE,$S$4=FALSE),VLOOKUP($E579,'Status Thresholds'!$E:$AS,33,FALSE),IF(AND($S$3=TRUE,$S$4=FALSE),VLOOKUP($E579,'Status Thresholds'!$E:$AS,23,FALSE),IF(AND($S$3=TRUE,$S$1=TRUE,$S$4=TRUE),VLOOKUP($E579,'Status Thresholds'!$E:$AS,38,FALSE),IF(AND($S$3=TRUE,$S$4=TRUE),VLOOKUP($E579,'Status Thresholds'!$E:$AS,28,FALSE),""))))))))/IF(OR($Q$3=TRUE,AND($Q$2=TRUE,$Q$7=TRUE),AND($Q$3=TRUE,$Q$7=TRUE))=TRUE,'Shots and Status'!$F$5,IF((OR($Q$2,$Q$7)=TRUE),'Shots and Status'!$D$5,'Shots and Status'!$C$5)))),0),"-")</f>
        <v>-</v>
      </c>
      <c r="J579" s="36" t="str">
        <f>IFERROR(ROUNDUP(IF(AND($Q$1=FALSE,$S$3=FALSE),"-",IF(AND($Q$1=TRUE,$S$3=TRUE),"-",IF(AND($Q$1=TRUE,$S$1=TRUE,$S$4=FALSE),VLOOKUP($E579,'Status Thresholds'!$E:$AS,14,FALSE),IF(AND($Q$1=TRUE,$S$4=FALSE),VLOOKUP($E579,'Status Thresholds'!$E:$AS,4,FALSE), IF(AND($Q$1=TRUE,$S$1=TRUE,$S$4=TRUE),VLOOKUP($E579,'Status Thresholds'!$E:$AS,19,FALSE),IF(AND($Q$1=TRUE,$S$4=TRUE),VLOOKUP($E579,'Status Thresholds'!$E:$AS,9,FALSE),IF(AND($S$3=TRUE,$S$1=TRUE,$S$4=FALSE),VLOOKUP($E579,'Status Thresholds'!$E:$AS,34,FALSE),IF(AND($S$3=TRUE,$S$4=FALSE),VLOOKUP($E579,'Status Thresholds'!$E:$AS,24,FALSE),IF(AND($S$3=TRUE,$S$1=TRUE,$S$4=TRUE),VLOOKUP($E579,'Status Thresholds'!$E:$AS,39,FALSE),IF(AND($S$3=TRUE,$S$4=TRUE),VLOOKUP($E579,'Status Thresholds'!$E:$AS,29,FALSE),""))))))))/IF(OR($Q$3=TRUE,AND($Q$2=TRUE,$Q$7=TRUE),AND($Q$3=TRUE,$Q$7=TRUE))=TRUE,'Shots and Status'!$F$5,IF((OR($Q$2,$Q$7)=TRUE),'Shots and Status'!$D$5,'Shots and Status'!$C$5)))),0),"-")</f>
        <v>-</v>
      </c>
      <c r="K579" s="36" t="str">
        <f>IFERROR(ROUNDUP(IF(AND($Q$1=FALSE,$S$3=FALSE),"-",IF(AND($Q$1=TRUE,$S$3=TRUE),"-",IF(AND($Q$1=TRUE,$S$1=TRUE,$S$4=FALSE),VLOOKUP($E579,'Status Thresholds'!$E:$AS,15,FALSE),IF(AND($Q$1=TRUE,$S$4=FALSE),VLOOKUP($E579,'Status Thresholds'!$E:$AS,5,FALSE), IF(AND($Q$1=TRUE,$S$1=TRUE,$S$4=TRUE),VLOOKUP($E579,'Status Thresholds'!$E:$AS,20,FALSE),IF(AND($Q$1=TRUE,$S$4=TRUE),VLOOKUP($E579,'Status Thresholds'!$E:$AS,10,FALSE),IF(AND($S$3=TRUE,$S$1=TRUE,$S$4=FALSE),VLOOKUP($E579,'Status Thresholds'!$E:$AS,35,FALSE),IF(AND($S$3=TRUE,$S$4=FALSE),VLOOKUP($E579,'Status Thresholds'!$E:$AS,25,FALSE),IF(AND($S$3=TRUE,$S$1=TRUE,$S$4=TRUE),VLOOKUP($E579,'Status Thresholds'!$E:$AS,40,FALSE),IF(AND($S$3=TRUE,$S$4=TRUE),VLOOKUP($E579,'Status Thresholds'!$E:$AS,30,FALSE),""))))))))/IF(OR($Q$3=TRUE,AND($Q$2=TRUE,$Q$7=TRUE),AND($Q$3=TRUE,$Q$7=TRUE))=TRUE,'Shots and Status'!$F$5,IF((OR($Q$2,$Q$7)=TRUE),'Shots and Status'!$D$5,'Shots and Status'!$C$5)))),0),"-")</f>
        <v>-</v>
      </c>
      <c r="L579" s="36" t="str">
        <f>IFERROR(IF(AND($Q$1=FALSE,$S$3=FALSE),"-",VLOOKUP($E579,'Status Thresholds'!$E:$AU,41,FALSE)),"-")</f>
        <v>-</v>
      </c>
      <c r="M579" s="36" t="str">
        <f>IFERROR(IF(AND($Q$1=FALSE,$S$3=FALSE),"-",VLOOKUP($E579,'Status Thresholds'!$E:$AU,42,FALSE)),"-")</f>
        <v>-</v>
      </c>
      <c r="N579" s="36" t="str">
        <f>IFERROR(IF(AND($Q$1=FALSE,$S$3=FALSE),"-",VLOOKUP($E579,'Status Thresholds'!$E:$AU,43,FALSE)),"-")</f>
        <v>-</v>
      </c>
    </row>
    <row r="580" spans="1:14" s="36" customFormat="1" x14ac:dyDescent="0.25">
      <c r="A580" s="46"/>
      <c r="B580" s="64" t="str">
        <f>VLOOKUP(C580,'Status Thresholds'!B:C,2,FALSE)</f>
        <v>MHGen</v>
      </c>
      <c r="C580" s="46" t="str">
        <f>IF(ISBLANK('KO Calc'!C576)=TRUE,"",'KO Calc'!C576)</f>
        <v>Plesioth</v>
      </c>
      <c r="D580" s="67" t="s">
        <v>14</v>
      </c>
      <c r="E580" s="62" t="str">
        <f t="shared" si="17"/>
        <v>PlesiothKO</v>
      </c>
      <c r="F580" s="36" t="s">
        <v>21</v>
      </c>
      <c r="G580" s="36" t="str">
        <f t="shared" si="16"/>
        <v>PlesiothTriblast</v>
      </c>
      <c r="H580" s="36" t="str">
        <f>IF(AND($Q$1=FALSE,$S$3=FALSE),"-",IF(AND($Q$1=TRUE,$S$3=TRUE),"-",IF(AND($Q$1=FALSE,$S$3=FALSE),"-",IF(AND($Q$1=TRUE,$S$1=TRUE,$S$4=FALSE)=TRUE,IF(OR($Q$4=TRUE,$Q$5=TRUE,$S$2=TRUE),VLOOKUP($G580,'KO Calc'!$H:$AW,12,FALSE),VLOOKUP($G580,'KO Calc'!$H586:$AW586,12,FALSE)),IF(AND($Q$1=TRUE,$S$4=FALSE),IF(OR($Q$4=TRUE,$Q$5=TRUE,$S$2=TRUE),VLOOKUP($G580,'KO Calc'!$H:$AW,2,FALSE),VLOOKUP($G580,'KO Calc'!$H586:$AW586,2,FALSE)),
IF(AND($Q$1=TRUE,$S$1=TRUE,$S$4=TRUE)=TRUE,IF(OR($Q$4=TRUE,$Q$5=TRUE,$S$2=TRUE),VLOOKUP($G580,'KO Calc'!$H:$AW,17,FALSE),VLOOKUP($G580,'KO Calc'!$H586:$AW586,17,FALSE)),IF(AND($Q$1=TRUE,$S$4=TRUE),IF(OR($Q$4=TRUE,$Q$5=TRUE,$S$2=TRUE),VLOOKUP($G580,'KO Calc'!$H:$AW,7,FALSE),VLOOKUP($G580,'KO Calc'!$H586:$AW586,7,FALSE)),
IF(AND($S$3=TRUE,$S$1=TRUE,$S$4=FALSE)=TRUE,IF(OR($Q$4=TRUE,$Q$5=TRUE,$S$2=TRUE),VLOOKUP($G580,'KO Calc'!$H:$AW,32,FALSE),VLOOKUP($G580,'KO Calc'!$H586:$AW586,32,FALSE)),IF(AND($S$3=TRUE,$S$4=FALSE),IF(OR($Q$4=TRUE,$Q$5=TRUE,$S$2=TRUE),VLOOKUP($G580,'KO Calc'!$H:$AW,22,FALSE),VLOOKUP($G580,'KO Calc'!$H586:$AW586,22,FALSE)),
IF(AND($S$3=TRUE,$S$1=TRUE,$S$4=TRUE)=TRUE,IF(OR($Q$4=TRUE,$Q$5=TRUE,$S$2=TRUE),VLOOKUP($G580,'KO Calc'!$H:$AW,37,FALSE),VLOOKUP($G580,'KO Calc'!$H586:$AW586,37,FALSE)),IF(AND($S$3=TRUE,$S$4=TRUE),IF(OR($Q$4=TRUE,$Q$5=TRUE,$S$2=TRUE),VLOOKUP($G580,'KO Calc'!$H:$AW,27,FALSE),VLOOKUP($G580,'KO Calc'!$H586:$AW586,27,FALSE)))))))))))))</f>
        <v>-</v>
      </c>
      <c r="I580" s="36" t="str">
        <f>IF(AND($Q$1=FALSE,$S$3=FALSE),"-",IF(AND($Q$1=TRUE,$S$3=TRUE),"-",IF(AND($Q$1=FALSE,$S$3=FALSE),"-",IF(AND($Q$1=TRUE,$S$1=TRUE,$S$4=FALSE)=TRUE,IF(OR($Q$4=TRUE,$Q$5=TRUE,$S$2=TRUE),VLOOKUP($G580,'KO Calc'!$H:$AW,13,FALSE),VLOOKUP($G580,'KO Calc'!$H586:$AW586,13,FALSE)),IF(AND($Q$1=TRUE,$S$4=FALSE),IF(OR($Q$4=TRUE,$Q$5=TRUE,$S$2=TRUE),VLOOKUP($G580,'KO Calc'!$H:$AW,3,FALSE),VLOOKUP($G580,'KO Calc'!$H586:$AW586,3,FALSE)),
IF(AND($Q$1=TRUE,$S$1=TRUE,$S$4=TRUE)=TRUE,IF(OR($Q$4=TRUE,$Q$5=TRUE,$S$2=TRUE),VLOOKUP($G580,'KO Calc'!$H:$AW,18,FALSE),VLOOKUP($G580,'KO Calc'!$H586:$AW586,18,FALSE)),IF(AND($Q$1=TRUE,$S$4=TRUE),IF(OR($Q$4=TRUE,$Q$5=TRUE,$S$2=TRUE),VLOOKUP($G580,'KO Calc'!$H:$AW,8,FALSE),VLOOKUP($G580,'KO Calc'!$H586:$AW586,8,FALSE)),
IF(AND($S$3=TRUE,$S$1=TRUE,$S$4=FALSE)=TRUE,IF(OR($Q$4=TRUE,$Q$5=TRUE,$S$2=TRUE),VLOOKUP($G580,'KO Calc'!$H:$AW,33,FALSE),VLOOKUP($G580,'KO Calc'!$H586:$AW586,33,FALSE)),IF(AND($S$3=TRUE,$S$4=FALSE),IF(OR($Q$4=TRUE,$Q$5=TRUE,$S$2=TRUE),VLOOKUP($G580,'KO Calc'!$H:$AW,23,FALSE),VLOOKUP($G580,'KO Calc'!$H586:$AW586,23,FALSE)),
IF(AND($S$3=TRUE,$S$1=TRUE,$S$4=TRUE)=TRUE,IF(OR($Q$4=TRUE,$Q$5=TRUE,$S$2=TRUE),VLOOKUP($G580,'KO Calc'!$H:$AW,38,FALSE),VLOOKUP($G580,'KO Calc'!$H586:$AW586,38,FALSE)),IF(AND($S$3=TRUE,$S$4=TRUE),IF(OR($Q$4=TRUE,$Q$5=TRUE,$S$2=TRUE),VLOOKUP($G580,'KO Calc'!$H:$AW,28,FALSE),VLOOKUP($G580,'KO Calc'!$H586:$AW586,28,FALSE)))))))))))))</f>
        <v>-</v>
      </c>
      <c r="J580" s="36" t="str">
        <f>IF(AND($Q$1=FALSE,$S$3=FALSE),"-",IF(AND($Q$1=TRUE,$S$3=TRUE),"-",IF(AND($Q$1=FALSE,$S$3=FALSE),"-",IF(AND($Q$1=TRUE,$S$1=TRUE,$S$4=FALSE)=TRUE,IF(OR($Q$4=TRUE,$Q$5=TRUE,$S$2=TRUE),VLOOKUP($G580,'KO Calc'!$H:$AW,FALSE),VLOOKUP($G580,'KO Calc'!$H586:$AW586,14,FALSE)),IF(AND($Q$1=TRUE,$S$4=FALSE),IF(OR($Q$4=TRUE,$Q$5=TRUE,$S$2=TRUE),VLOOKUP($G580,'KO Calc'!$H:$AW,4,FALSE),VLOOKUP($G580,'KO Calc'!$H586:$AW586,4,FALSE)),
IF(AND($Q$1=TRUE,$S$1=TRUE,$S$4=TRUE)=TRUE,IF(OR($Q$4=TRUE,$Q$5=TRUE,$S$2=TRUE),VLOOKUP($G580,'KO Calc'!$H:$AW,19,FALSE),VLOOKUP($G580,'KO Calc'!$H586:$AW586,19,FALSE)),IF(AND($Q$1=TRUE,$S$4=TRUE),IF(OR($Q$4=TRUE,$Q$5=TRUE,$S$2=TRUE),VLOOKUP($G580,'KO Calc'!$H:$AW,9,FALSE),VLOOKUP($G580,'KO Calc'!$H586:$AW586,9,FALSE)),
IF(AND($S$3=TRUE,$S$1=TRUE,$S$4=FALSE)=TRUE,IF(OR($Q$4=TRUE,$Q$5=TRUE,$S$2=TRUE),VLOOKUP($G580,'KO Calc'!$H:$AW,34,FALSE),VLOOKUP($G580,'KO Calc'!$H586:$AW586,34,FALSE)),IF(AND($S$3=TRUE,$S$4=FALSE),IF(OR($Q$4=TRUE,$Q$5=TRUE,$S$2=TRUE),VLOOKUP($G580,'KO Calc'!$H:$AW,24,FALSE),VLOOKUP($G580,'KO Calc'!$H586:$AW586,24,FALSE)),
IF(AND($S$3=TRUE,$S$1=TRUE,$S$4=TRUE)=TRUE,IF(OR($Q$4=TRUE,$Q$5=TRUE,$S$2=TRUE),VLOOKUP($G580,'KO Calc'!$H:$AW,39,FALSE),VLOOKUP($G580,'KO Calc'!$H586:$AW586,39,FALSE)),IF(AND($S$3=TRUE,$S$4=TRUE),IF(OR($Q$4=TRUE,$Q$5=TRUE,$S$2=TRUE),VLOOKUP($G580,'KO Calc'!$H:$AW,29,FALSE),VLOOKUP($G580,'KO Calc'!$H586:$AW586,29,FALSE)))))))))))))</f>
        <v>-</v>
      </c>
      <c r="K580" s="36" t="str">
        <f>IF(AND($Q$1=FALSE,$S$3=FALSE),"-",IF(AND($Q$1=TRUE,$S$3=TRUE),"-",IF(AND($Q$1=FALSE,$S$3=FALSE),"-",IF(AND($Q$1=TRUE,$S$1=TRUE,$S$4=FALSE)=TRUE,IF(OR($Q$4=TRUE,$Q$5=TRUE,$S$2=TRUE),VLOOKUP($G580,'KO Calc'!$H:$AW,15,FALSE),VLOOKUP($G580,'KO Calc'!$H586:$AW586,15,FALSE)),IF(AND($Q$1=TRUE,$S$4=FALSE),IF(OR($Q$4=TRUE,$Q$5=TRUE,$S$2=TRUE),VLOOKUP($G580,'KO Calc'!$H:$AW,5,FALSE),VLOOKUP($G580,'KO Calc'!$H586:$AW586,5,FALSE)),
IF(AND($Q$1=TRUE,$S$1=TRUE,$S$4=TRUE)=TRUE,IF(OR($Q$4=TRUE,$Q$5=TRUE,$S$2=TRUE),VLOOKUP($G580,'KO Calc'!$H:$AW,20,FALSE),VLOOKUP($G580,'KO Calc'!$H586:$AW586,20,FALSE)),IF(AND($Q$1=TRUE,$S$4=TRUE),IF(OR($Q$4=TRUE,$Q$5=TRUE,$S$2=TRUE),VLOOKUP($G580,'KO Calc'!$H:$AW,10,FALSE),VLOOKUP($G580,'KO Calc'!$H586:$AW586,10,FALSE)),
IF(AND($S$3=TRUE,$S$1=TRUE,$S$4=FALSE)=TRUE,IF(OR($Q$4=TRUE,$Q$5=TRUE,$S$2=TRUE),VLOOKUP($G580,'KO Calc'!$H:$AW,35,FALSE),VLOOKUP($G580,'KO Calc'!$H586:$AW586,35,FALSE)),IF(AND($S$3=TRUE,$S$4=FALSE),IF(OR($Q$4=TRUE,$Q$5=TRUE,$S$2=TRUE),VLOOKUP($G580,'KO Calc'!$H:$AW,25,FALSE),VLOOKUP($G580,'KO Calc'!$H586:$AW586,25,FALSE)),
IF(AND($S$3=TRUE,$S$1=TRUE,$S$4=TRUE)=TRUE,IF(OR($Q$4=TRUE,$Q$5=TRUE,$S$2=TRUE),VLOOKUP($G580,'KO Calc'!$H:$AW,40,FALSE),VLOOKUP($G580,'KO Calc'!$H586:$AW586,40,FALSE)),IF(AND($S$3=TRUE,$S$4=TRUE),IF(OR($Q$4=TRUE,$Q$5=TRUE,$S$2=TRUE),VLOOKUP($G580,'KO Calc'!$H:$AW,30,FALSE),VLOOKUP($G580,'KO Calc'!$H586:$AW586,30,FALSE)))))))))))))</f>
        <v>-</v>
      </c>
      <c r="L580" s="36" t="str">
        <f>IFERROR(IF(AND($Q$1=FALSE,$S$3=FALSE),"-",VLOOKUP($E580,'Status Thresholds'!$E:$AU,41,FALSE)),"-")</f>
        <v>-</v>
      </c>
      <c r="M580" s="36" t="str">
        <f>IFERROR(IF(AND($Q$1=FALSE,$S$3=FALSE),"-",VLOOKUP($E580,'Status Thresholds'!$E:$AU,42,FALSE)),"-")</f>
        <v>-</v>
      </c>
      <c r="N580" s="36" t="str">
        <f>IFERROR(IF(AND($Q$1=FALSE,$S$3=FALSE),"-",VLOOKUP($E580,'Status Thresholds'!$E:$AU,43,FALSE)),"-")</f>
        <v>-</v>
      </c>
    </row>
    <row r="581" spans="1:14" x14ac:dyDescent="0.25">
      <c r="B581" s="64" t="str">
        <f>VLOOKUP(C581,'Status Thresholds'!B:C,2,FALSE)</f>
        <v>MHGen</v>
      </c>
      <c r="C581" s="46" t="str">
        <f>IF(ISBLANK('KO Calc'!C577)=TRUE,"",'KO Calc'!C577)</f>
        <v>Plesioth</v>
      </c>
      <c r="D581" s="78" t="s">
        <v>207</v>
      </c>
      <c r="E581" s="62" t="str">
        <f t="shared" si="17"/>
        <v>PlesiothShock Trap</v>
      </c>
      <c r="F581" t="s">
        <v>13</v>
      </c>
      <c r="G581" s="36" t="str">
        <f t="shared" ref="G581:G650" si="18">C581&amp;F581</f>
        <v>PlesiothCrag 3</v>
      </c>
      <c r="H581" s="36" t="str">
        <f>IF(AND($Q$1=FALSE,$S$3=FALSE),"-",IF(AND($Q$1=TRUE,$S$3=TRUE),"-",IF(AND($Q$1=FALSE,$S$3=FALSE),"-",IF(AND($Q$1=TRUE,$S$1=TRUE,$S$4=FALSE)=TRUE,IF(OR($Q$4=TRUE,$Q$5=TRUE,$S$2=TRUE),VLOOKUP($G581,'KO Calc'!$H:$AW,12,FALSE),VLOOKUP($G581,'KO Calc'!$H587:$AW587,12,FALSE)),IF(AND($Q$1=TRUE,$S$4=FALSE),IF(OR($Q$4=TRUE,$Q$5=TRUE,$S$2=TRUE),VLOOKUP($G581,'KO Calc'!$H:$AW,2,FALSE),VLOOKUP($G581,'KO Calc'!$H587:$AW587,2,FALSE)),
IF(AND($Q$1=TRUE,$S$1=TRUE,$S$4=TRUE)=TRUE,IF(OR($Q$4=TRUE,$Q$5=TRUE,$S$2=TRUE),VLOOKUP($G581,'KO Calc'!$H:$AW,17,FALSE),VLOOKUP($G581,'KO Calc'!$H587:$AW587,17,FALSE)),IF(AND($Q$1=TRUE,$S$4=TRUE),IF(OR($Q$4=TRUE,$Q$5=TRUE,$S$2=TRUE),VLOOKUP($G581,'KO Calc'!$H:$AW,7,FALSE),VLOOKUP($G581,'KO Calc'!$H587:$AW587,7,FALSE)),
IF(AND($S$3=TRUE,$S$1=TRUE,$S$4=FALSE)=TRUE,IF(OR($Q$4=TRUE,$Q$5=TRUE,$S$2=TRUE),VLOOKUP($G581,'KO Calc'!$H:$AW,32,FALSE),VLOOKUP($G581,'KO Calc'!$H587:$AW587,32,FALSE)),IF(AND($S$3=TRUE,$S$4=FALSE),IF(OR($Q$4=TRUE,$Q$5=TRUE,$S$2=TRUE),VLOOKUP($G581,'KO Calc'!$H:$AW,22,FALSE),VLOOKUP($G581,'KO Calc'!$H587:$AW587,22,FALSE)),
IF(AND($S$3=TRUE,$S$1=TRUE,$S$4=TRUE)=TRUE,IF(OR($Q$4=TRUE,$Q$5=TRUE,$S$2=TRUE),VLOOKUP($G581,'KO Calc'!$H:$AW,37,FALSE),VLOOKUP($G581,'KO Calc'!$H587:$AW587,37,FALSE)),IF(AND($S$3=TRUE,$S$4=TRUE),IF(OR($Q$4=TRUE,$Q$5=TRUE,$S$2=TRUE),VLOOKUP($G581,'KO Calc'!$H:$AW,27,FALSE),VLOOKUP($G581,'KO Calc'!$H587:$AW587,27,FALSE)))))))))))))</f>
        <v>-</v>
      </c>
      <c r="I581" s="36" t="str">
        <f>IF(AND($Q$1=FALSE,$S$3=FALSE),"-",IF(AND($Q$1=TRUE,$S$3=TRUE),"-",IF(AND($Q$1=FALSE,$S$3=FALSE),"-",IF(AND($Q$1=TRUE,$S$1=TRUE,$S$4=FALSE)=TRUE,IF(OR($Q$4=TRUE,$Q$5=TRUE,$S$2=TRUE),VLOOKUP($G581,'KO Calc'!$H:$AW,13,FALSE),VLOOKUP($G581,'KO Calc'!$H587:$AW587,13,FALSE)),IF(AND($Q$1=TRUE,$S$4=FALSE),IF(OR($Q$4=TRUE,$Q$5=TRUE,$S$2=TRUE),VLOOKUP($G581,'KO Calc'!$H:$AW,3,FALSE),VLOOKUP($G581,'KO Calc'!$H587:$AW587,3,FALSE)),
IF(AND($Q$1=TRUE,$S$1=TRUE,$S$4=TRUE)=TRUE,IF(OR($Q$4=TRUE,$Q$5=TRUE,$S$2=TRUE),VLOOKUP($G581,'KO Calc'!$H:$AW,18,FALSE),VLOOKUP($G581,'KO Calc'!$H587:$AW587,18,FALSE)),IF(AND($Q$1=TRUE,$S$4=TRUE),IF(OR($Q$4=TRUE,$Q$5=TRUE,$S$2=TRUE),VLOOKUP($G581,'KO Calc'!$H:$AW,8,FALSE),VLOOKUP($G581,'KO Calc'!$H587:$AW587,8,FALSE)),
IF(AND($S$3=TRUE,$S$1=TRUE,$S$4=FALSE)=TRUE,IF(OR($Q$4=TRUE,$Q$5=TRUE,$S$2=TRUE),VLOOKUP($G581,'KO Calc'!$H:$AW,33,FALSE),VLOOKUP($G581,'KO Calc'!$H587:$AW587,33,FALSE)),IF(AND($S$3=TRUE,$S$4=FALSE),IF(OR($Q$4=TRUE,$Q$5=TRUE,$S$2=TRUE),VLOOKUP($G581,'KO Calc'!$H:$AW,23,FALSE),VLOOKUP($G581,'KO Calc'!$H587:$AW587,23,FALSE)),
IF(AND($S$3=TRUE,$S$1=TRUE,$S$4=TRUE)=TRUE,IF(OR($Q$4=TRUE,$Q$5=TRUE,$S$2=TRUE),VLOOKUP($G581,'KO Calc'!$H:$AW,38,FALSE),VLOOKUP($G581,'KO Calc'!$H587:$AW587,38,FALSE)),IF(AND($S$3=TRUE,$S$4=TRUE),IF(OR($Q$4=TRUE,$Q$5=TRUE,$S$2=TRUE),VLOOKUP($G581,'KO Calc'!$H:$AW,28,FALSE),VLOOKUP($G581,'KO Calc'!$H587:$AW587,28,FALSE)))))))))))))</f>
        <v>-</v>
      </c>
      <c r="J581" s="36" t="str">
        <f>IF(AND($Q$1=FALSE,$S$3=FALSE),"-",IF(AND($Q$1=TRUE,$S$3=TRUE),"-",IF(AND($Q$1=FALSE,$S$3=FALSE),"-",IF(AND($Q$1=TRUE,$S$1=TRUE,$S$4=FALSE)=TRUE,IF(OR($Q$4=TRUE,$Q$5=TRUE,$S$2=TRUE),VLOOKUP($G581,'KO Calc'!$H:$AW,FALSE),VLOOKUP($G581,'KO Calc'!$H587:$AW587,14,FALSE)),IF(AND($Q$1=TRUE,$S$4=FALSE),IF(OR($Q$4=TRUE,$Q$5=TRUE,$S$2=TRUE),VLOOKUP($G581,'KO Calc'!$H:$AW,4,FALSE),VLOOKUP($G581,'KO Calc'!$H587:$AW587,4,FALSE)),
IF(AND($Q$1=TRUE,$S$1=TRUE,$S$4=TRUE)=TRUE,IF(OR($Q$4=TRUE,$Q$5=TRUE,$S$2=TRUE),VLOOKUP($G581,'KO Calc'!$H:$AW,19,FALSE),VLOOKUP($G581,'KO Calc'!$H587:$AW587,19,FALSE)),IF(AND($Q$1=TRUE,$S$4=TRUE),IF(OR($Q$4=TRUE,$Q$5=TRUE,$S$2=TRUE),VLOOKUP($G581,'KO Calc'!$H:$AW,9,FALSE),VLOOKUP($G581,'KO Calc'!$H587:$AW587,9,FALSE)),
IF(AND($S$3=TRUE,$S$1=TRUE,$S$4=FALSE)=TRUE,IF(OR($Q$4=TRUE,$Q$5=TRUE,$S$2=TRUE),VLOOKUP($G581,'KO Calc'!$H:$AW,34,FALSE),VLOOKUP($G581,'KO Calc'!$H587:$AW587,34,FALSE)),IF(AND($S$3=TRUE,$S$4=FALSE),IF(OR($Q$4=TRUE,$Q$5=TRUE,$S$2=TRUE),VLOOKUP($G581,'KO Calc'!$H:$AW,24,FALSE),VLOOKUP($G581,'KO Calc'!$H587:$AW587,24,FALSE)),
IF(AND($S$3=TRUE,$S$1=TRUE,$S$4=TRUE)=TRUE,IF(OR($Q$4=TRUE,$Q$5=TRUE,$S$2=TRUE),VLOOKUP($G581,'KO Calc'!$H:$AW,39,FALSE),VLOOKUP($G581,'KO Calc'!$H587:$AW587,39,FALSE)),IF(AND($S$3=TRUE,$S$4=TRUE),IF(OR($Q$4=TRUE,$Q$5=TRUE,$S$2=TRUE),VLOOKUP($G581,'KO Calc'!$H:$AW,29,FALSE),VLOOKUP($G581,'KO Calc'!$H587:$AW587,29,FALSE)))))))))))))</f>
        <v>-</v>
      </c>
      <c r="K581" s="36" t="str">
        <f>IF(AND($Q$1=FALSE,$S$3=FALSE),"-",IF(AND($Q$1=TRUE,$S$3=TRUE),"-",IF(AND($Q$1=FALSE,$S$3=FALSE),"-",IF(AND($Q$1=TRUE,$S$1=TRUE,$S$4=FALSE)=TRUE,IF(OR($Q$4=TRUE,$Q$5=TRUE,$S$2=TRUE),VLOOKUP($G581,'KO Calc'!$H:$AW,15,FALSE),VLOOKUP($G581,'KO Calc'!$H587:$AW587,15,FALSE)),IF(AND($Q$1=TRUE,$S$4=FALSE),IF(OR($Q$4=TRUE,$Q$5=TRUE,$S$2=TRUE),VLOOKUP($G581,'KO Calc'!$H:$AW,5,FALSE),VLOOKUP($G581,'KO Calc'!$H587:$AW587,5,FALSE)),
IF(AND($Q$1=TRUE,$S$1=TRUE,$S$4=TRUE)=TRUE,IF(OR($Q$4=TRUE,$Q$5=TRUE,$S$2=TRUE),VLOOKUP($G581,'KO Calc'!$H:$AW,20,FALSE),VLOOKUP($G581,'KO Calc'!$H587:$AW587,20,FALSE)),IF(AND($Q$1=TRUE,$S$4=TRUE),IF(OR($Q$4=TRUE,$Q$5=TRUE,$S$2=TRUE),VLOOKUP($G581,'KO Calc'!$H:$AW,10,FALSE),VLOOKUP($G581,'KO Calc'!$H587:$AW587,10,FALSE)),
IF(AND($S$3=TRUE,$S$1=TRUE,$S$4=FALSE)=TRUE,IF(OR($Q$4=TRUE,$Q$5=TRUE,$S$2=TRUE),VLOOKUP($G581,'KO Calc'!$H:$AW,35,FALSE),VLOOKUP($G581,'KO Calc'!$H587:$AW587,35,FALSE)),IF(AND($S$3=TRUE,$S$4=FALSE),IF(OR($Q$4=TRUE,$Q$5=TRUE,$S$2=TRUE),VLOOKUP($G581,'KO Calc'!$H:$AW,25,FALSE),VLOOKUP($G581,'KO Calc'!$H587:$AW587,25,FALSE)),
IF(AND($S$3=TRUE,$S$1=TRUE,$S$4=TRUE)=TRUE,IF(OR($Q$4=TRUE,$Q$5=TRUE,$S$2=TRUE),VLOOKUP($G581,'KO Calc'!$H:$AW,40,FALSE),VLOOKUP($G581,'KO Calc'!$H587:$AW587,40,FALSE)),IF(AND($S$3=TRUE,$S$4=TRUE),IF(OR($Q$4=TRUE,$Q$5=TRUE,$S$2=TRUE),VLOOKUP($G581,'KO Calc'!$H:$AW,30,FALSE),VLOOKUP($G581,'KO Calc'!$H587:$AW587,30,FALSE)))))))))))))</f>
        <v>-</v>
      </c>
      <c r="L581" s="36" t="str">
        <f>IFERROR(IF(AND($Q$1=FALSE,$S$3=FALSE),"-",VLOOKUP($E581,'Status Thresholds'!$E:$AU,43,FALSE)),"-")</f>
        <v>-</v>
      </c>
      <c r="M581" s="36" t="str">
        <f>IFERROR(IF(AND($Q$1=FALSE,$S$3=FALSE),"-",VLOOKUP($E581,'Status Thresholds'!$E:$AU,41,FALSE)),"-")</f>
        <v>-</v>
      </c>
      <c r="N581" s="36" t="str">
        <f>IFERROR(IF(AND($Q$1=FALSE,$S$3=FALSE),"-",VLOOKUP($E581,'Status Thresholds'!$E:$AU,42,FALSE)),"-")</f>
        <v>-</v>
      </c>
    </row>
    <row r="582" spans="1:14" x14ac:dyDescent="0.25">
      <c r="B582" s="64" t="str">
        <f>VLOOKUP(C582,'Status Thresholds'!B:C,2,FALSE)</f>
        <v>MHGen</v>
      </c>
      <c r="C582" s="46" t="str">
        <f>IF(ISBLANK('KO Calc'!C578)=TRUE,"",'KO Calc'!C578)</f>
        <v>Plesioth</v>
      </c>
      <c r="D582" s="78" t="s">
        <v>213</v>
      </c>
      <c r="E582" s="62" t="str">
        <f t="shared" si="17"/>
        <v>PlesiothPitfall Trap</v>
      </c>
      <c r="F582" t="s">
        <v>12</v>
      </c>
      <c r="G582" s="36" t="str">
        <f t="shared" si="18"/>
        <v>PlesiothCrag 2</v>
      </c>
      <c r="H582" s="36" t="str">
        <f>IF(AND($Q$1=FALSE,$S$3=FALSE),"-",IF(AND($Q$1=TRUE,$S$3=TRUE),"-",IF(AND($Q$1=FALSE,$S$3=FALSE),"-",IF(AND($Q$1=TRUE,$S$1=TRUE,$S$4=FALSE)=TRUE,IF(OR($Q$4=TRUE,$Q$5=TRUE,$S$2=TRUE),VLOOKUP($G582,'KO Calc'!$H:$AW,12,FALSE),VLOOKUP($G582,'KO Calc'!$H588:$AW588,12,FALSE)),IF(AND($Q$1=TRUE,$S$4=FALSE),IF(OR($Q$4=TRUE,$Q$5=TRUE,$S$2=TRUE),VLOOKUP($G582,'KO Calc'!$H:$AW,2,FALSE),VLOOKUP($G582,'KO Calc'!$H588:$AW588,2,FALSE)),
IF(AND($Q$1=TRUE,$S$1=TRUE,$S$4=TRUE)=TRUE,IF(OR($Q$4=TRUE,$Q$5=TRUE,$S$2=TRUE),VLOOKUP($G582,'KO Calc'!$H:$AW,17,FALSE),VLOOKUP($G582,'KO Calc'!$H588:$AW588,17,FALSE)),IF(AND($Q$1=TRUE,$S$4=TRUE),IF(OR($Q$4=TRUE,$Q$5=TRUE,$S$2=TRUE),VLOOKUP($G582,'KO Calc'!$H:$AW,7,FALSE),VLOOKUP($G582,'KO Calc'!$H588:$AW588,7,FALSE)),
IF(AND($S$3=TRUE,$S$1=TRUE,$S$4=FALSE)=TRUE,IF(OR($Q$4=TRUE,$Q$5=TRUE,$S$2=TRUE),VLOOKUP($G582,'KO Calc'!$H:$AW,32,FALSE),VLOOKUP($G582,'KO Calc'!$H588:$AW588,32,FALSE)),IF(AND($S$3=TRUE,$S$4=FALSE),IF(OR($Q$4=TRUE,$Q$5=TRUE,$S$2=TRUE),VLOOKUP($G582,'KO Calc'!$H:$AW,22,FALSE),VLOOKUP($G582,'KO Calc'!$H588:$AW588,22,FALSE)),
IF(AND($S$3=TRUE,$S$1=TRUE,$S$4=TRUE)=TRUE,IF(OR($Q$4=TRUE,$Q$5=TRUE,$S$2=TRUE),VLOOKUP($G582,'KO Calc'!$H:$AW,37,FALSE),VLOOKUP($G582,'KO Calc'!$H588:$AW588,37,FALSE)),IF(AND($S$3=TRUE,$S$4=TRUE),IF(OR($Q$4=TRUE,$Q$5=TRUE,$S$2=TRUE),VLOOKUP($G582,'KO Calc'!$H:$AW,27,FALSE),VLOOKUP($G582,'KO Calc'!$H588:$AW588,27,FALSE)))))))))))))</f>
        <v>-</v>
      </c>
      <c r="I582" s="36" t="str">
        <f>IF(AND($Q$1=FALSE,$S$3=FALSE),"-",IF(AND($Q$1=TRUE,$S$3=TRUE),"-",IF(AND($Q$1=FALSE,$S$3=FALSE),"-",IF(AND($Q$1=TRUE,$S$1=TRUE,$S$4=FALSE)=TRUE,IF(OR($Q$4=TRUE,$Q$5=TRUE,$S$2=TRUE),VLOOKUP($G582,'KO Calc'!$H:$AW,13,FALSE),VLOOKUP($G582,'KO Calc'!$H588:$AW588,13,FALSE)),IF(AND($Q$1=TRUE,$S$4=FALSE),IF(OR($Q$4=TRUE,$Q$5=TRUE,$S$2=TRUE),VLOOKUP($G582,'KO Calc'!$H:$AW,3,FALSE),VLOOKUP($G582,'KO Calc'!$H588:$AW588,3,FALSE)),
IF(AND($Q$1=TRUE,$S$1=TRUE,$S$4=TRUE)=TRUE,IF(OR($Q$4=TRUE,$Q$5=TRUE,$S$2=TRUE),VLOOKUP($G582,'KO Calc'!$H:$AW,18,FALSE),VLOOKUP($G582,'KO Calc'!$H588:$AW588,18,FALSE)),IF(AND($Q$1=TRUE,$S$4=TRUE),IF(OR($Q$4=TRUE,$Q$5=TRUE,$S$2=TRUE),VLOOKUP($G582,'KO Calc'!$H:$AW,8,FALSE),VLOOKUP($G582,'KO Calc'!$H588:$AW588,8,FALSE)),
IF(AND($S$3=TRUE,$S$1=TRUE,$S$4=FALSE)=TRUE,IF(OR($Q$4=TRUE,$Q$5=TRUE,$S$2=TRUE),VLOOKUP($G582,'KO Calc'!$H:$AW,33,FALSE),VLOOKUP($G582,'KO Calc'!$H588:$AW588,33,FALSE)),IF(AND($S$3=TRUE,$S$4=FALSE),IF(OR($Q$4=TRUE,$Q$5=TRUE,$S$2=TRUE),VLOOKUP($G582,'KO Calc'!$H:$AW,23,FALSE),VLOOKUP($G582,'KO Calc'!$H588:$AW588,23,FALSE)),
IF(AND($S$3=TRUE,$S$1=TRUE,$S$4=TRUE)=TRUE,IF(OR($Q$4=TRUE,$Q$5=TRUE,$S$2=TRUE),VLOOKUP($G582,'KO Calc'!$H:$AW,38,FALSE),VLOOKUP($G582,'KO Calc'!$H588:$AW588,38,FALSE)),IF(AND($S$3=TRUE,$S$4=TRUE),IF(OR($Q$4=TRUE,$Q$5=TRUE,$S$2=TRUE),VLOOKUP($G582,'KO Calc'!$H:$AW,28,FALSE),VLOOKUP($G582,'KO Calc'!$H588:$AW588,28,FALSE)))))))))))))</f>
        <v>-</v>
      </c>
      <c r="J582" s="36" t="str">
        <f>IF(AND($Q$1=FALSE,$S$3=FALSE),"-",IF(AND($Q$1=TRUE,$S$3=TRUE),"-",IF(AND($Q$1=FALSE,$S$3=FALSE),"-",IF(AND($Q$1=TRUE,$S$1=TRUE,$S$4=FALSE)=TRUE,IF(OR($Q$4=TRUE,$Q$5=TRUE,$S$2=TRUE),VLOOKUP($G582,'KO Calc'!$H:$AW,FALSE),VLOOKUP($G582,'KO Calc'!$H588:$AW588,14,FALSE)),IF(AND($Q$1=TRUE,$S$4=FALSE),IF(OR($Q$4=TRUE,$Q$5=TRUE,$S$2=TRUE),VLOOKUP($G582,'KO Calc'!$H:$AW,4,FALSE),VLOOKUP($G582,'KO Calc'!$H588:$AW588,4,FALSE)),
IF(AND($Q$1=TRUE,$S$1=TRUE,$S$4=TRUE)=TRUE,IF(OR($Q$4=TRUE,$Q$5=TRUE,$S$2=TRUE),VLOOKUP($G582,'KO Calc'!$H:$AW,19,FALSE),VLOOKUP($G582,'KO Calc'!$H588:$AW588,19,FALSE)),IF(AND($Q$1=TRUE,$S$4=TRUE),IF(OR($Q$4=TRUE,$Q$5=TRUE,$S$2=TRUE),VLOOKUP($G582,'KO Calc'!$H:$AW,9,FALSE),VLOOKUP($G582,'KO Calc'!$H588:$AW588,9,FALSE)),
IF(AND($S$3=TRUE,$S$1=TRUE,$S$4=FALSE)=TRUE,IF(OR($Q$4=TRUE,$Q$5=TRUE,$S$2=TRUE),VLOOKUP($G582,'KO Calc'!$H:$AW,34,FALSE),VLOOKUP($G582,'KO Calc'!$H588:$AW588,34,FALSE)),IF(AND($S$3=TRUE,$S$4=FALSE),IF(OR($Q$4=TRUE,$Q$5=TRUE,$S$2=TRUE),VLOOKUP($G582,'KO Calc'!$H:$AW,24,FALSE),VLOOKUP($G582,'KO Calc'!$H588:$AW588,24,FALSE)),
IF(AND($S$3=TRUE,$S$1=TRUE,$S$4=TRUE)=TRUE,IF(OR($Q$4=TRUE,$Q$5=TRUE,$S$2=TRUE),VLOOKUP($G582,'KO Calc'!$H:$AW,39,FALSE),VLOOKUP($G582,'KO Calc'!$H588:$AW588,39,FALSE)),IF(AND($S$3=TRUE,$S$4=TRUE),IF(OR($Q$4=TRUE,$Q$5=TRUE,$S$2=TRUE),VLOOKUP($G582,'KO Calc'!$H:$AW,29,FALSE),VLOOKUP($G582,'KO Calc'!$H588:$AW588,29,FALSE)))))))))))))</f>
        <v>-</v>
      </c>
      <c r="K582" s="36" t="str">
        <f>IF(AND($Q$1=FALSE,$S$3=FALSE),"-",IF(AND($Q$1=TRUE,$S$3=TRUE),"-",IF(AND($Q$1=FALSE,$S$3=FALSE),"-",IF(AND($Q$1=TRUE,$S$1=TRUE,$S$4=FALSE)=TRUE,IF(OR($Q$4=TRUE,$Q$5=TRUE,$S$2=TRUE),VLOOKUP($G582,'KO Calc'!$H:$AW,15,FALSE),VLOOKUP($G582,'KO Calc'!$H588:$AW588,15,FALSE)),IF(AND($Q$1=TRUE,$S$4=FALSE),IF(OR($Q$4=TRUE,$Q$5=TRUE,$S$2=TRUE),VLOOKUP($G582,'KO Calc'!$H:$AW,5,FALSE),VLOOKUP($G582,'KO Calc'!$H588:$AW588,5,FALSE)),
IF(AND($Q$1=TRUE,$S$1=TRUE,$S$4=TRUE)=TRUE,IF(OR($Q$4=TRUE,$Q$5=TRUE,$S$2=TRUE),VLOOKUP($G582,'KO Calc'!$H:$AW,20,FALSE),VLOOKUP($G582,'KO Calc'!$H588:$AW588,20,FALSE)),IF(AND($Q$1=TRUE,$S$4=TRUE),IF(OR($Q$4=TRUE,$Q$5=TRUE,$S$2=TRUE),VLOOKUP($G582,'KO Calc'!$H:$AW,10,FALSE),VLOOKUP($G582,'KO Calc'!$H588:$AW588,10,FALSE)),
IF(AND($S$3=TRUE,$S$1=TRUE,$S$4=FALSE)=TRUE,IF(OR($Q$4=TRUE,$Q$5=TRUE,$S$2=TRUE),VLOOKUP($G582,'KO Calc'!$H:$AW,35,FALSE),VLOOKUP($G582,'KO Calc'!$H588:$AW588,35,FALSE)),IF(AND($S$3=TRUE,$S$4=FALSE),IF(OR($Q$4=TRUE,$Q$5=TRUE,$S$2=TRUE),VLOOKUP($G582,'KO Calc'!$H:$AW,25,FALSE),VLOOKUP($G582,'KO Calc'!$H588:$AW588,25,FALSE)),
IF(AND($S$3=TRUE,$S$1=TRUE,$S$4=TRUE)=TRUE,IF(OR($Q$4=TRUE,$Q$5=TRUE,$S$2=TRUE),VLOOKUP($G582,'KO Calc'!$H:$AW,40,FALSE),VLOOKUP($G582,'KO Calc'!$H588:$AW588,40,FALSE)),IF(AND($S$3=TRUE,$S$4=TRUE),IF(OR($Q$4=TRUE,$Q$5=TRUE,$S$2=TRUE),VLOOKUP($G582,'KO Calc'!$H:$AW,30,FALSE),VLOOKUP($G582,'KO Calc'!$H588:$AW588,30,FALSE)))))))))))))</f>
        <v>-</v>
      </c>
      <c r="L582" s="36" t="str">
        <f>IFERROR(IF(AND($Q$1=FALSE,$S$3=FALSE),"-",VLOOKUP($E582,'Status Thresholds'!$E:$AU,43,FALSE)),"-")</f>
        <v>-</v>
      </c>
      <c r="M582" s="36" t="str">
        <f>IFERROR(IF(AND($Q$1=FALSE,$S$3=FALSE),"-",VLOOKUP($E582,'Status Thresholds'!$E:$AU,41,FALSE)),"-")</f>
        <v>-</v>
      </c>
      <c r="N582" s="36" t="str">
        <f>IFERROR(IF(AND($Q$1=FALSE,$S$3=FALSE),"-",VLOOKUP($E582,'Status Thresholds'!$E:$AU,42,FALSE)),"-")</f>
        <v>-</v>
      </c>
    </row>
    <row r="583" spans="1:14" x14ac:dyDescent="0.25">
      <c r="B583" s="64" t="str">
        <f>VLOOKUP(C583,'Status Thresholds'!B:C,2,FALSE)</f>
        <v>MHGen</v>
      </c>
      <c r="C583" s="46" t="str">
        <f>IF(ISBLANK('KO Calc'!C579)=TRUE,"",'KO Calc'!C579)</f>
        <v>Plesioth</v>
      </c>
      <c r="D583" s="78"/>
      <c r="E583" s="62" t="str">
        <f t="shared" si="17"/>
        <v>Plesioth</v>
      </c>
      <c r="F583" t="s">
        <v>11</v>
      </c>
      <c r="G583" s="36" t="str">
        <f t="shared" si="18"/>
        <v>PlesiothCrag 1</v>
      </c>
      <c r="H583" s="36" t="str">
        <f>IF(AND($Q$1=FALSE,$S$3=FALSE),"-",IF(AND($Q$1=TRUE,$S$3=TRUE),"-",IF(AND($Q$1=FALSE,$S$3=FALSE),"-",IF(AND($Q$1=TRUE,$S$1=TRUE,$S$4=FALSE)=TRUE,IF(OR($Q$4=TRUE,$Q$5=TRUE,$S$2=TRUE),VLOOKUP($G583,'KO Calc'!$H:$AW,12,FALSE),VLOOKUP($G583,'KO Calc'!$H589:$AW589,12,FALSE)),IF(AND($Q$1=TRUE,$S$4=FALSE),IF(OR($Q$4=TRUE,$Q$5=TRUE,$S$2=TRUE),VLOOKUP($G583,'KO Calc'!$H:$AW,2,FALSE),VLOOKUP($G583,'KO Calc'!$H589:$AW589,2,FALSE)),
IF(AND($Q$1=TRUE,$S$1=TRUE,$S$4=TRUE)=TRUE,IF(OR($Q$4=TRUE,$Q$5=TRUE,$S$2=TRUE),VLOOKUP($G583,'KO Calc'!$H:$AW,17,FALSE),VLOOKUP($G583,'KO Calc'!$H589:$AW589,17,FALSE)),IF(AND($Q$1=TRUE,$S$4=TRUE),IF(OR($Q$4=TRUE,$Q$5=TRUE,$S$2=TRUE),VLOOKUP($G583,'KO Calc'!$H:$AW,7,FALSE),VLOOKUP($G583,'KO Calc'!$H589:$AW589,7,FALSE)),
IF(AND($S$3=TRUE,$S$1=TRUE,$S$4=FALSE)=TRUE,IF(OR($Q$4=TRUE,$Q$5=TRUE,$S$2=TRUE),VLOOKUP($G583,'KO Calc'!$H:$AW,32,FALSE),VLOOKUP($G583,'KO Calc'!$H589:$AW589,32,FALSE)),IF(AND($S$3=TRUE,$S$4=FALSE),IF(OR($Q$4=TRUE,$Q$5=TRUE,$S$2=TRUE),VLOOKUP($G583,'KO Calc'!$H:$AW,22,FALSE),VLOOKUP($G583,'KO Calc'!$H589:$AW589,22,FALSE)),
IF(AND($S$3=TRUE,$S$1=TRUE,$S$4=TRUE)=TRUE,IF(OR($Q$4=TRUE,$Q$5=TRUE,$S$2=TRUE),VLOOKUP($G583,'KO Calc'!$H:$AW,37,FALSE),VLOOKUP($G583,'KO Calc'!$H589:$AW589,37,FALSE)),IF(AND($S$3=TRUE,$S$4=TRUE),IF(OR($Q$4=TRUE,$Q$5=TRUE,$S$2=TRUE),VLOOKUP($G583,'KO Calc'!$H:$AW,27,FALSE),VLOOKUP($G583,'KO Calc'!$H589:$AW589,27,FALSE)))))))))))))</f>
        <v>-</v>
      </c>
      <c r="I583" s="36" t="str">
        <f>IF(AND($Q$1=FALSE,$S$3=FALSE),"-",IF(AND($Q$1=TRUE,$S$3=TRUE),"-",IF(AND($Q$1=FALSE,$S$3=FALSE),"-",IF(AND($Q$1=TRUE,$S$1=TRUE,$S$4=FALSE)=TRUE,IF(OR($Q$4=TRUE,$Q$5=TRUE,$S$2=TRUE),VLOOKUP($G583,'KO Calc'!$H:$AW,13,FALSE),VLOOKUP($G583,'KO Calc'!$H589:$AW589,13,FALSE)),IF(AND($Q$1=TRUE,$S$4=FALSE),IF(OR($Q$4=TRUE,$Q$5=TRUE,$S$2=TRUE),VLOOKUP($G583,'KO Calc'!$H:$AW,3,FALSE),VLOOKUP($G583,'KO Calc'!$H589:$AW589,3,FALSE)),
IF(AND($Q$1=TRUE,$S$1=TRUE,$S$4=TRUE)=TRUE,IF(OR($Q$4=TRUE,$Q$5=TRUE,$S$2=TRUE),VLOOKUP($G583,'KO Calc'!$H:$AW,18,FALSE),VLOOKUP($G583,'KO Calc'!$H589:$AW589,18,FALSE)),IF(AND($Q$1=TRUE,$S$4=TRUE),IF(OR($Q$4=TRUE,$Q$5=TRUE,$S$2=TRUE),VLOOKUP($G583,'KO Calc'!$H:$AW,8,FALSE),VLOOKUP($G583,'KO Calc'!$H589:$AW589,8,FALSE)),
IF(AND($S$3=TRUE,$S$1=TRUE,$S$4=FALSE)=TRUE,IF(OR($Q$4=TRUE,$Q$5=TRUE,$S$2=TRUE),VLOOKUP($G583,'KO Calc'!$H:$AW,33,FALSE),VLOOKUP($G583,'KO Calc'!$H589:$AW589,33,FALSE)),IF(AND($S$3=TRUE,$S$4=FALSE),IF(OR($Q$4=TRUE,$Q$5=TRUE,$S$2=TRUE),VLOOKUP($G583,'KO Calc'!$H:$AW,23,FALSE),VLOOKUP($G583,'KO Calc'!$H589:$AW589,23,FALSE)),
IF(AND($S$3=TRUE,$S$1=TRUE,$S$4=TRUE)=TRUE,IF(OR($Q$4=TRUE,$Q$5=TRUE,$S$2=TRUE),VLOOKUP($G583,'KO Calc'!$H:$AW,38,FALSE),VLOOKUP($G583,'KO Calc'!$H589:$AW589,38,FALSE)),IF(AND($S$3=TRUE,$S$4=TRUE),IF(OR($Q$4=TRUE,$Q$5=TRUE,$S$2=TRUE),VLOOKUP($G583,'KO Calc'!$H:$AW,28,FALSE),VLOOKUP($G583,'KO Calc'!$H589:$AW589,28,FALSE)))))))))))))</f>
        <v>-</v>
      </c>
      <c r="J583" s="36" t="str">
        <f>IF(AND($Q$1=FALSE,$S$3=FALSE),"-",IF(AND($Q$1=TRUE,$S$3=TRUE),"-",IF(AND($Q$1=FALSE,$S$3=FALSE),"-",IF(AND($Q$1=TRUE,$S$1=TRUE,$S$4=FALSE)=TRUE,IF(OR($Q$4=TRUE,$Q$5=TRUE,$S$2=TRUE),VLOOKUP($G583,'KO Calc'!$H:$AW,FALSE),VLOOKUP($G583,'KO Calc'!$H589:$AW589,14,FALSE)),IF(AND($Q$1=TRUE,$S$4=FALSE),IF(OR($Q$4=TRUE,$Q$5=TRUE,$S$2=TRUE),VLOOKUP($G583,'KO Calc'!$H:$AW,4,FALSE),VLOOKUP($G583,'KO Calc'!$H589:$AW589,4,FALSE)),
IF(AND($Q$1=TRUE,$S$1=TRUE,$S$4=TRUE)=TRUE,IF(OR($Q$4=TRUE,$Q$5=TRUE,$S$2=TRUE),VLOOKUP($G583,'KO Calc'!$H:$AW,19,FALSE),VLOOKUP($G583,'KO Calc'!$H589:$AW589,19,FALSE)),IF(AND($Q$1=TRUE,$S$4=TRUE),IF(OR($Q$4=TRUE,$Q$5=TRUE,$S$2=TRUE),VLOOKUP($G583,'KO Calc'!$H:$AW,9,FALSE),VLOOKUP($G583,'KO Calc'!$H589:$AW589,9,FALSE)),
IF(AND($S$3=TRUE,$S$1=TRUE,$S$4=FALSE)=TRUE,IF(OR($Q$4=TRUE,$Q$5=TRUE,$S$2=TRUE),VLOOKUP($G583,'KO Calc'!$H:$AW,34,FALSE),VLOOKUP($G583,'KO Calc'!$H589:$AW589,34,FALSE)),IF(AND($S$3=TRUE,$S$4=FALSE),IF(OR($Q$4=TRUE,$Q$5=TRUE,$S$2=TRUE),VLOOKUP($G583,'KO Calc'!$H:$AW,24,FALSE),VLOOKUP($G583,'KO Calc'!$H589:$AW589,24,FALSE)),
IF(AND($S$3=TRUE,$S$1=TRUE,$S$4=TRUE)=TRUE,IF(OR($Q$4=TRUE,$Q$5=TRUE,$S$2=TRUE),VLOOKUP($G583,'KO Calc'!$H:$AW,39,FALSE),VLOOKUP($G583,'KO Calc'!$H589:$AW589,39,FALSE)),IF(AND($S$3=TRUE,$S$4=TRUE),IF(OR($Q$4=TRUE,$Q$5=TRUE,$S$2=TRUE),VLOOKUP($G583,'KO Calc'!$H:$AW,29,FALSE),VLOOKUP($G583,'KO Calc'!$H589:$AW589,29,FALSE)))))))))))))</f>
        <v>-</v>
      </c>
      <c r="K583" s="36" t="str">
        <f>IF(AND($Q$1=FALSE,$S$3=FALSE),"-",IF(AND($Q$1=TRUE,$S$3=TRUE),"-",IF(AND($Q$1=FALSE,$S$3=FALSE),"-",IF(AND($Q$1=TRUE,$S$1=TRUE,$S$4=FALSE)=TRUE,IF(OR($Q$4=TRUE,$Q$5=TRUE,$S$2=TRUE),VLOOKUP($G583,'KO Calc'!$H:$AW,15,FALSE),VLOOKUP($G583,'KO Calc'!$H589:$AW589,15,FALSE)),IF(AND($Q$1=TRUE,$S$4=FALSE),IF(OR($Q$4=TRUE,$Q$5=TRUE,$S$2=TRUE),VLOOKUP($G583,'KO Calc'!$H:$AW,5,FALSE),VLOOKUP($G583,'KO Calc'!$H589:$AW589,5,FALSE)),
IF(AND($Q$1=TRUE,$S$1=TRUE,$S$4=TRUE)=TRUE,IF(OR($Q$4=TRUE,$Q$5=TRUE,$S$2=TRUE),VLOOKUP($G583,'KO Calc'!$H:$AW,20,FALSE),VLOOKUP($G583,'KO Calc'!$H589:$AW589,20,FALSE)),IF(AND($Q$1=TRUE,$S$4=TRUE),IF(OR($Q$4=TRUE,$Q$5=TRUE,$S$2=TRUE),VLOOKUP($G583,'KO Calc'!$H:$AW,10,FALSE),VLOOKUP($G583,'KO Calc'!$H589:$AW589,10,FALSE)),
IF(AND($S$3=TRUE,$S$1=TRUE,$S$4=FALSE)=TRUE,IF(OR($Q$4=TRUE,$Q$5=TRUE,$S$2=TRUE),VLOOKUP($G583,'KO Calc'!$H:$AW,35,FALSE),VLOOKUP($G583,'KO Calc'!$H589:$AW589,35,FALSE)),IF(AND($S$3=TRUE,$S$4=FALSE),IF(OR($Q$4=TRUE,$Q$5=TRUE,$S$2=TRUE),VLOOKUP($G583,'KO Calc'!$H:$AW,25,FALSE),VLOOKUP($G583,'KO Calc'!$H589:$AW589,25,FALSE)),
IF(AND($S$3=TRUE,$S$1=TRUE,$S$4=TRUE)=TRUE,IF(OR($Q$4=TRUE,$Q$5=TRUE,$S$2=TRUE),VLOOKUP($G583,'KO Calc'!$H:$AW,40,FALSE),VLOOKUP($G583,'KO Calc'!$H589:$AW589,40,FALSE)),IF(AND($S$3=TRUE,$S$4=TRUE),IF(OR($Q$4=TRUE,$Q$5=TRUE,$S$2=TRUE),VLOOKUP($G583,'KO Calc'!$H:$AW,30,FALSE),VLOOKUP($G583,'KO Calc'!$H589:$AW589,30,FALSE)))))))))))))</f>
        <v>-</v>
      </c>
      <c r="L583" s="36" t="str">
        <f>IFERROR(VLOOKUP($E583,'Status Thresholds'!$E:$AS,41,FALSE),"-")</f>
        <v>-</v>
      </c>
    </row>
    <row r="584" spans="1:14" x14ac:dyDescent="0.25">
      <c r="B584" s="64" t="str">
        <f>VLOOKUP(C584,'Status Thresholds'!B:C,2,FALSE)</f>
        <v>MHGen</v>
      </c>
      <c r="C584" s="46" t="str">
        <f>IF(ISBLANK('KO Calc'!C580)=TRUE,"",'KO Calc'!C580)</f>
        <v>Plesioth</v>
      </c>
      <c r="D584" s="78"/>
      <c r="E584" s="62"/>
      <c r="G584" s="36"/>
      <c r="L584" s="36" t="str">
        <f>IFERROR(VLOOKUP($E584,'Status Thresholds'!$E:$AS,41,FALSE),"-")</f>
        <v>-</v>
      </c>
    </row>
    <row r="585" spans="1:14" s="36" customFormat="1" x14ac:dyDescent="0.25">
      <c r="B585" s="64" t="str">
        <f>VLOOKUP(C585,'Status Thresholds'!B:C,2,FALSE)</f>
        <v>MHGen</v>
      </c>
      <c r="C585" s="46" t="str">
        <f>IF(ISBLANK('KO Calc'!C581)=TRUE,"",'KO Calc'!C581)</f>
        <v>Rajang</v>
      </c>
      <c r="D585" s="65" t="s">
        <v>0</v>
      </c>
      <c r="E585" s="62" t="str">
        <f t="shared" si="17"/>
        <v>RajangPara</v>
      </c>
      <c r="F585" s="36" t="s">
        <v>2</v>
      </c>
      <c r="G585" s="36" t="str">
        <f t="shared" si="18"/>
        <v>RajangPara lvl 2</v>
      </c>
      <c r="H585" s="36" t="str">
        <f>IFERROR(ROUNDUP(IF(AND($Q$1=FALSE,$S$3=FALSE),"-",IF(AND($Q$1=TRUE,$S$3=TRUE),"-",IF(AND($Q$1=TRUE,$S$1=TRUE,$S$4=FALSE),VLOOKUP($E585,'Status Thresholds'!$E:$AS,12,FALSE),IF(AND($Q$1=TRUE,$S$4=FALSE),VLOOKUP($E585,'Status Thresholds'!$E:$AS,2,FALSE), IF(AND($Q$1=TRUE,$S$1=TRUE,$S$4=TRUE),VLOOKUP($E585,'Status Thresholds'!$E:$AS,17,FALSE),IF(AND($Q$1=TRUE,$S$4=TRUE),VLOOKUP($E585,'Status Thresholds'!$E:$AS,7,FALSE),IF(AND($S$3=TRUE,$S$1=TRUE,$S$4=FALSE),VLOOKUP($E585,'Status Thresholds'!$E:$AS,32,FALSE),IF(AND($S$3=TRUE,$S$4=FALSE),VLOOKUP($E585,'Status Thresholds'!$E:$AS,22,FALSE),IF(AND($S$3=TRUE,$S$1=TRUE,$S$4=TRUE),VLOOKUP($E585,'Status Thresholds'!$E:$AS,37,FALSE),IF(AND($S$3=TRUE,$S$4=TRUE),VLOOKUP($E585,'Status Thresholds'!$E:$AS,27,FALSE),""))))))))/IF(OR($Q$3=TRUE,AND($Q$2=TRUE,$Q$7=TRUE),AND($Q$3=TRUE,$Q$7=TRUE))=TRUE,'Shots and Status'!$F$5,IF((OR($Q$2,$Q$7)=TRUE),'Shots and Status'!$D$5,'Shots and Status'!$C$5)))),0),"-")</f>
        <v>-</v>
      </c>
      <c r="I585" s="36" t="str">
        <f>IFERROR(ROUNDUP(IF(AND($Q$1=FALSE,$S$3=FALSE),"-",IF(AND($Q$1=TRUE,$S$3=TRUE),"-",IF(AND($Q$1=TRUE,$S$1=TRUE,$S$4=FALSE),VLOOKUP($E585,'Status Thresholds'!$E:$AS,13,FALSE),IF(AND($Q$1=TRUE,$S$4=FALSE),VLOOKUP($E585,'Status Thresholds'!$E:$AS,3,FALSE), IF(AND($Q$1=TRUE,$S$1=TRUE,$S$4=TRUE),VLOOKUP($E585,'Status Thresholds'!$E:$AS,18,FALSE),IF(AND($Q$1=TRUE,$S$4=TRUE),VLOOKUP($E585,'Status Thresholds'!$E:$AS,8,FALSE),IF(AND($S$3=TRUE,$S$1=TRUE,$S$4=FALSE),VLOOKUP($E585,'Status Thresholds'!$E:$AS,33,FALSE),IF(AND($S$3=TRUE,$S$4=FALSE),VLOOKUP($E585,'Status Thresholds'!$E:$AS,23,FALSE),IF(AND($S$3=TRUE,$S$1=TRUE,$S$4=TRUE),VLOOKUP($E585,'Status Thresholds'!$E:$AS,38,FALSE),IF(AND($S$3=TRUE,$S$4=TRUE),VLOOKUP($E585,'Status Thresholds'!$E:$AS,28,FALSE),""))))))))/IF(OR($Q$3=TRUE,AND($Q$2=TRUE,$Q$7=TRUE),AND($Q$3=TRUE,$Q$7=TRUE))=TRUE,'Shots and Status'!$F$5,IF((OR($Q$2,$Q$7)=TRUE),'Shots and Status'!$D$5,'Shots and Status'!$C$5)))),0),"-")</f>
        <v>-</v>
      </c>
      <c r="J585" s="36" t="str">
        <f>IFERROR(ROUNDUP(IF(AND($Q$1=FALSE,$S$3=FALSE),"-",IF(AND($Q$1=TRUE,$S$3=TRUE),"-",IF(AND($Q$1=TRUE,$S$1=TRUE,$S$4=FALSE),VLOOKUP($E585,'Status Thresholds'!$E:$AS,14,FALSE),IF(AND($Q$1=TRUE,$S$4=FALSE),VLOOKUP($E585,'Status Thresholds'!$E:$AS,4,FALSE), IF(AND($Q$1=TRUE,$S$1=TRUE,$S$4=TRUE),VLOOKUP($E585,'Status Thresholds'!$E:$AS,19,FALSE),IF(AND($Q$1=TRUE,$S$4=TRUE),VLOOKUP($E585,'Status Thresholds'!$E:$AS,9,FALSE),IF(AND($S$3=TRUE,$S$1=TRUE,$S$4=FALSE),VLOOKUP($E585,'Status Thresholds'!$E:$AS,34,FALSE),IF(AND($S$3=TRUE,$S$4=FALSE),VLOOKUP($E585,'Status Thresholds'!$E:$AS,24,FALSE),IF(AND($S$3=TRUE,$S$1=TRUE,$S$4=TRUE),VLOOKUP($E585,'Status Thresholds'!$E:$AS,39,FALSE),IF(AND($S$3=TRUE,$S$4=TRUE),VLOOKUP($E585,'Status Thresholds'!$E:$AS,29,FALSE),""))))))))/IF(OR($Q$3=TRUE,AND($Q$2=TRUE,$Q$7=TRUE),AND($Q$3=TRUE,$Q$7=TRUE))=TRUE,'Shots and Status'!$F$5,IF((OR($Q$2,$Q$7)=TRUE),'Shots and Status'!$D$5,'Shots and Status'!$C$5)))),0),"-")</f>
        <v>-</v>
      </c>
      <c r="K585" s="36" t="str">
        <f>IFERROR(ROUNDUP(IF(AND($Q$1=FALSE,$S$3=FALSE),"-",IF(AND($Q$1=TRUE,$S$3=TRUE),"-",IF(AND($Q$1=TRUE,$S$1=TRUE,$S$4=FALSE),VLOOKUP($E585,'Status Thresholds'!$E:$AS,15,FALSE),IF(AND($Q$1=TRUE,$S$4=FALSE),VLOOKUP($E585,'Status Thresholds'!$E:$AS,5,FALSE), IF(AND($Q$1=TRUE,$S$1=TRUE,$S$4=TRUE),VLOOKUP($E585,'Status Thresholds'!$E:$AS,20,FALSE),IF(AND($Q$1=TRUE,$S$4=TRUE),VLOOKUP($E585,'Status Thresholds'!$E:$AS,10,FALSE),IF(AND($S$3=TRUE,$S$1=TRUE,$S$4=FALSE),VLOOKUP($E585,'Status Thresholds'!$E:$AS,35,FALSE),IF(AND($S$3=TRUE,$S$4=FALSE),VLOOKUP($E585,'Status Thresholds'!$E:$AS,25,FALSE),IF(AND($S$3=TRUE,$S$1=TRUE,$S$4=TRUE),VLOOKUP($E585,'Status Thresholds'!$E:$AS,40,FALSE),IF(AND($S$3=TRUE,$S$4=TRUE),VLOOKUP($E585,'Status Thresholds'!$E:$AS,30,FALSE),""))))))))/IF(OR($Q$3=TRUE,AND($Q$2=TRUE,$Q$7=TRUE),AND($Q$3=TRUE,$Q$7=TRUE))=TRUE,'Shots and Status'!$F$5,IF((OR($Q$2,$Q$7)=TRUE),'Shots and Status'!$D$5,'Shots and Status'!$C$5)))),0),"-")</f>
        <v>-</v>
      </c>
      <c r="L585" s="36" t="str">
        <f>IFERROR(IF(AND($Q$1=FALSE,$S$3=FALSE),"-",VLOOKUP($E585,'Status Thresholds'!$E:$AU,41,FALSE)),"-")</f>
        <v>-</v>
      </c>
      <c r="M585" s="36" t="str">
        <f>IFERROR(IF(AND($Q$1=FALSE,$S$3=FALSE),"-",VLOOKUP($E585,'Status Thresholds'!$E:$AU,42,FALSE)),"-")</f>
        <v>-</v>
      </c>
      <c r="N585" s="36" t="str">
        <f>IFERROR(IF(AND($Q$1=FALSE,$S$3=FALSE),"-",VLOOKUP($E585,'Status Thresholds'!$E:$AU,43,FALSE)),"-")</f>
        <v>-</v>
      </c>
    </row>
    <row r="586" spans="1:14" s="59" customFormat="1" x14ac:dyDescent="0.25">
      <c r="A586" s="46"/>
      <c r="B586" s="64" t="str">
        <f>VLOOKUP(C586,'Status Thresholds'!B:C,2,FALSE)</f>
        <v>MHGen</v>
      </c>
      <c r="C586" s="46" t="str">
        <f>IF(ISBLANK('KO Calc'!C582)=TRUE,"",'KO Calc'!C582)</f>
        <v>Rajang</v>
      </c>
      <c r="D586" s="60" t="s">
        <v>32</v>
      </c>
      <c r="E586" s="62" t="str">
        <f t="shared" si="17"/>
        <v>RajangSleep</v>
      </c>
      <c r="F586" s="59" t="s">
        <v>5</v>
      </c>
      <c r="G586" s="36" t="str">
        <f t="shared" si="18"/>
        <v>RajangSleep lvl 2</v>
      </c>
      <c r="H586" s="36" t="str">
        <f>IFERROR(ROUNDUP(IF(AND($Q$1=FALSE,$S$3=FALSE),"-",IF(AND($Q$1=TRUE,$S$3=TRUE),"-",IF(AND($Q$1=TRUE,$S$1=TRUE,$S$4=FALSE),VLOOKUP($E586,'Status Thresholds'!$E:$AS,12,FALSE),IF(AND($Q$1=TRUE,$S$4=FALSE),VLOOKUP($E586,'Status Thresholds'!$E:$AS,2,FALSE), IF(AND($Q$1=TRUE,$S$1=TRUE,$S$4=TRUE),VLOOKUP($E586,'Status Thresholds'!$E:$AS,17,FALSE),IF(AND($Q$1=TRUE,$S$4=TRUE),VLOOKUP($E586,'Status Thresholds'!$E:$AS,7,FALSE),IF(AND($S$3=TRUE,$S$1=TRUE,$S$4=FALSE),VLOOKUP($E586,'Status Thresholds'!$E:$AS,32,FALSE),IF(AND($S$3=TRUE,$S$4=FALSE),VLOOKUP($E586,'Status Thresholds'!$E:$AS,22,FALSE),IF(AND($S$3=TRUE,$S$1=TRUE,$S$4=TRUE),VLOOKUP($E586,'Status Thresholds'!$E:$AS,37,FALSE),IF(AND($S$3=TRUE,$S$4=TRUE),VLOOKUP($E586,'Status Thresholds'!$E:$AS,27,FALSE),""))))))))/IF(OR($Q$3=TRUE,AND($Q$2=TRUE,$Q$7=TRUE),AND($Q$3=TRUE,$Q$7=TRUE))=TRUE,'Shots and Status'!$F$5,IF((OR($Q$2,$Q$7)=TRUE),'Shots and Status'!$D$5,'Shots and Status'!$C$5)))),0),"-")</f>
        <v>-</v>
      </c>
      <c r="I586" s="36" t="str">
        <f>IFERROR(ROUNDUP(IF(AND($Q$1=FALSE,$S$3=FALSE),"-",IF(AND($Q$1=TRUE,$S$3=TRUE),"-",IF(AND($Q$1=TRUE,$S$1=TRUE,$S$4=FALSE),VLOOKUP($E586,'Status Thresholds'!$E:$AS,13,FALSE),IF(AND($Q$1=TRUE,$S$4=FALSE),VLOOKUP($E586,'Status Thresholds'!$E:$AS,3,FALSE), IF(AND($Q$1=TRUE,$S$1=TRUE,$S$4=TRUE),VLOOKUP($E586,'Status Thresholds'!$E:$AS,18,FALSE),IF(AND($Q$1=TRUE,$S$4=TRUE),VLOOKUP($E586,'Status Thresholds'!$E:$AS,8,FALSE),IF(AND($S$3=TRUE,$S$1=TRUE,$S$4=FALSE),VLOOKUP($E586,'Status Thresholds'!$E:$AS,33,FALSE),IF(AND($S$3=TRUE,$S$4=FALSE),VLOOKUP($E586,'Status Thresholds'!$E:$AS,23,FALSE),IF(AND($S$3=TRUE,$S$1=TRUE,$S$4=TRUE),VLOOKUP($E586,'Status Thresholds'!$E:$AS,38,FALSE),IF(AND($S$3=TRUE,$S$4=TRUE),VLOOKUP($E586,'Status Thresholds'!$E:$AS,28,FALSE),""))))))))/IF(OR($Q$3=TRUE,AND($Q$2=TRUE,$Q$7=TRUE),AND($Q$3=TRUE,$Q$7=TRUE))=TRUE,'Shots and Status'!$F$5,IF((OR($Q$2,$Q$7)=TRUE),'Shots and Status'!$D$5,'Shots and Status'!$C$5)))),0),"-")</f>
        <v>-</v>
      </c>
      <c r="J586" s="36" t="str">
        <f>IFERROR(ROUNDUP(IF(AND($Q$1=FALSE,$S$3=FALSE),"-",IF(AND($Q$1=TRUE,$S$3=TRUE),"-",IF(AND($Q$1=TRUE,$S$1=TRUE,$S$4=FALSE),VLOOKUP($E586,'Status Thresholds'!$E:$AS,14,FALSE),IF(AND($Q$1=TRUE,$S$4=FALSE),VLOOKUP($E586,'Status Thresholds'!$E:$AS,4,FALSE), IF(AND($Q$1=TRUE,$S$1=TRUE,$S$4=TRUE),VLOOKUP($E586,'Status Thresholds'!$E:$AS,19,FALSE),IF(AND($Q$1=TRUE,$S$4=TRUE),VLOOKUP($E586,'Status Thresholds'!$E:$AS,9,FALSE),IF(AND($S$3=TRUE,$S$1=TRUE,$S$4=FALSE),VLOOKUP($E586,'Status Thresholds'!$E:$AS,34,FALSE),IF(AND($S$3=TRUE,$S$4=FALSE),VLOOKUP($E586,'Status Thresholds'!$E:$AS,24,FALSE),IF(AND($S$3=TRUE,$S$1=TRUE,$S$4=TRUE),VLOOKUP($E586,'Status Thresholds'!$E:$AS,39,FALSE),IF(AND($S$3=TRUE,$S$4=TRUE),VLOOKUP($E586,'Status Thresholds'!$E:$AS,29,FALSE),""))))))))/IF(OR($Q$3=TRUE,AND($Q$2=TRUE,$Q$7=TRUE),AND($Q$3=TRUE,$Q$7=TRUE))=TRUE,'Shots and Status'!$F$5,IF((OR($Q$2,$Q$7)=TRUE),'Shots and Status'!$D$5,'Shots and Status'!$C$5)))),0),"-")</f>
        <v>-</v>
      </c>
      <c r="K586" s="36" t="str">
        <f>IFERROR(ROUNDUP(IF(AND($Q$1=FALSE,$S$3=FALSE),"-",IF(AND($Q$1=TRUE,$S$3=TRUE),"-",IF(AND($Q$1=TRUE,$S$1=TRUE,$S$4=FALSE),VLOOKUP($E586,'Status Thresholds'!$E:$AS,15,FALSE),IF(AND($Q$1=TRUE,$S$4=FALSE),VLOOKUP($E586,'Status Thresholds'!$E:$AS,5,FALSE), IF(AND($Q$1=TRUE,$S$1=TRUE,$S$4=TRUE),VLOOKUP($E586,'Status Thresholds'!$E:$AS,20,FALSE),IF(AND($Q$1=TRUE,$S$4=TRUE),VLOOKUP($E586,'Status Thresholds'!$E:$AS,10,FALSE),IF(AND($S$3=TRUE,$S$1=TRUE,$S$4=FALSE),VLOOKUP($E586,'Status Thresholds'!$E:$AS,35,FALSE),IF(AND($S$3=TRUE,$S$4=FALSE),VLOOKUP($E586,'Status Thresholds'!$E:$AS,25,FALSE),IF(AND($S$3=TRUE,$S$1=TRUE,$S$4=TRUE),VLOOKUP($E586,'Status Thresholds'!$E:$AS,40,FALSE),IF(AND($S$3=TRUE,$S$4=TRUE),VLOOKUP($E586,'Status Thresholds'!$E:$AS,30,FALSE),""))))))))/IF(OR($Q$3=TRUE,AND($Q$2=TRUE,$Q$7=TRUE),AND($Q$3=TRUE,$Q$7=TRUE))=TRUE,'Shots and Status'!$F$5,IF((OR($Q$2,$Q$7)=TRUE),'Shots and Status'!$D$5,'Shots and Status'!$C$5)))),0),"-")</f>
        <v>-</v>
      </c>
      <c r="L586" s="36" t="str">
        <f>IFERROR(IF(AND($Q$1=FALSE,$S$3=FALSE),"-",VLOOKUP($E586,'Status Thresholds'!$E:$AU,41,FALSE)),"-")</f>
        <v>-</v>
      </c>
      <c r="M586" s="36" t="str">
        <f>IFERROR(IF(AND($Q$1=FALSE,$S$3=FALSE),"-",VLOOKUP($E586,'Status Thresholds'!$E:$AU,42,FALSE)),"-")</f>
        <v>-</v>
      </c>
      <c r="N586" s="36" t="str">
        <f>IFERROR(IF(AND($Q$1=FALSE,$S$3=FALSE),"-",VLOOKUP($E586,'Status Thresholds'!$E:$AU,43,FALSE)),"-")</f>
        <v>-</v>
      </c>
    </row>
    <row r="587" spans="1:14" s="59" customFormat="1" x14ac:dyDescent="0.25">
      <c r="A587" s="46"/>
      <c r="B587" s="64" t="str">
        <f>VLOOKUP(C587,'Status Thresholds'!B:C,2,FALSE)</f>
        <v>MHGen</v>
      </c>
      <c r="C587" s="46" t="str">
        <f>IF(ISBLANK('KO Calc'!C583)=TRUE,"",'KO Calc'!C583)</f>
        <v>Rajang</v>
      </c>
      <c r="D587" s="58" t="s">
        <v>33</v>
      </c>
      <c r="E587" s="62" t="str">
        <f t="shared" si="17"/>
        <v>RajangPoison</v>
      </c>
      <c r="F587" s="59" t="s">
        <v>6</v>
      </c>
      <c r="G587" s="36" t="str">
        <f t="shared" si="18"/>
        <v>RajangPoison lvl 2</v>
      </c>
      <c r="H587" s="36" t="str">
        <f>IFERROR(ROUNDUP(IF(AND($Q$1=FALSE,$S$3=FALSE),"-",IF(AND($Q$1=TRUE,$S$3=TRUE),"-",IF(AND($Q$1=TRUE,$S$1=TRUE,$S$4=FALSE),VLOOKUP($E587,'Status Thresholds'!$E:$AS,12,FALSE),IF(AND($Q$1=TRUE,$S$4=FALSE),VLOOKUP($E587,'Status Thresholds'!$E:$AS,2,FALSE), IF(AND($Q$1=TRUE,$S$1=TRUE,$S$4=TRUE),VLOOKUP($E587,'Status Thresholds'!$E:$AS,17,FALSE),IF(AND($Q$1=TRUE,$S$4=TRUE),VLOOKUP($E587,'Status Thresholds'!$E:$AS,7,FALSE),IF(AND($S$3=TRUE,$S$1=TRUE,$S$4=FALSE),VLOOKUP($E587,'Status Thresholds'!$E:$AS,32,FALSE),IF(AND($S$3=TRUE,$S$4=FALSE),VLOOKUP($E587,'Status Thresholds'!$E:$AS,22,FALSE),IF(AND($S$3=TRUE,$S$1=TRUE,$S$4=TRUE),VLOOKUP($E587,'Status Thresholds'!$E:$AS,37,FALSE),IF(AND($S$3=TRUE,$S$4=TRUE),VLOOKUP($E587,'Status Thresholds'!$E:$AS,27,FALSE),""))))))))/IF(OR($Q$3=TRUE,AND($Q$2=TRUE,$Q$7=TRUE),AND($Q$3=TRUE,$Q$7=TRUE))=TRUE,'Shots and Status'!$F$5,IF((OR($Q$2,$Q$7)=TRUE),'Shots and Status'!$D$5,'Shots and Status'!$C$5)))),0),"-")</f>
        <v>-</v>
      </c>
      <c r="I587" s="36" t="str">
        <f>IFERROR(ROUNDUP(IF(AND($Q$1=FALSE,$S$3=FALSE),"-",IF(AND($Q$1=TRUE,$S$3=TRUE),"-",IF(AND($Q$1=TRUE,$S$1=TRUE,$S$4=FALSE),VLOOKUP($E587,'Status Thresholds'!$E:$AS,13,FALSE),IF(AND($Q$1=TRUE,$S$4=FALSE),VLOOKUP($E587,'Status Thresholds'!$E:$AS,3,FALSE), IF(AND($Q$1=TRUE,$S$1=TRUE,$S$4=TRUE),VLOOKUP($E587,'Status Thresholds'!$E:$AS,18,FALSE),IF(AND($Q$1=TRUE,$S$4=TRUE),VLOOKUP($E587,'Status Thresholds'!$E:$AS,8,FALSE),IF(AND($S$3=TRUE,$S$1=TRUE,$S$4=FALSE),VLOOKUP($E587,'Status Thresholds'!$E:$AS,33,FALSE),IF(AND($S$3=TRUE,$S$4=FALSE),VLOOKUP($E587,'Status Thresholds'!$E:$AS,23,FALSE),IF(AND($S$3=TRUE,$S$1=TRUE,$S$4=TRUE),VLOOKUP($E587,'Status Thresholds'!$E:$AS,38,FALSE),IF(AND($S$3=TRUE,$S$4=TRUE),VLOOKUP($E587,'Status Thresholds'!$E:$AS,28,FALSE),""))))))))/IF(OR($Q$3=TRUE,AND($Q$2=TRUE,$Q$7=TRUE),AND($Q$3=TRUE,$Q$7=TRUE))=TRUE,'Shots and Status'!$F$5,IF((OR($Q$2,$Q$7)=TRUE),'Shots and Status'!$D$5,'Shots and Status'!$C$5)))),0),"-")</f>
        <v>-</v>
      </c>
      <c r="J587" s="36" t="str">
        <f>IFERROR(ROUNDUP(IF(AND($Q$1=FALSE,$S$3=FALSE),"-",IF(AND($Q$1=TRUE,$S$3=TRUE),"-",IF(AND($Q$1=TRUE,$S$1=TRUE,$S$4=FALSE),VLOOKUP($E587,'Status Thresholds'!$E:$AS,14,FALSE),IF(AND($Q$1=TRUE,$S$4=FALSE),VLOOKUP($E587,'Status Thresholds'!$E:$AS,4,FALSE), IF(AND($Q$1=TRUE,$S$1=TRUE,$S$4=TRUE),VLOOKUP($E587,'Status Thresholds'!$E:$AS,19,FALSE),IF(AND($Q$1=TRUE,$S$4=TRUE),VLOOKUP($E587,'Status Thresholds'!$E:$AS,9,FALSE),IF(AND($S$3=TRUE,$S$1=TRUE,$S$4=FALSE),VLOOKUP($E587,'Status Thresholds'!$E:$AS,34,FALSE),IF(AND($S$3=TRUE,$S$4=FALSE),VLOOKUP($E587,'Status Thresholds'!$E:$AS,24,FALSE),IF(AND($S$3=TRUE,$S$1=TRUE,$S$4=TRUE),VLOOKUP($E587,'Status Thresholds'!$E:$AS,39,FALSE),IF(AND($S$3=TRUE,$S$4=TRUE),VLOOKUP($E587,'Status Thresholds'!$E:$AS,29,FALSE),""))))))))/IF(OR($Q$3=TRUE,AND($Q$2=TRUE,$Q$7=TRUE),AND($Q$3=TRUE,$Q$7=TRUE))=TRUE,'Shots and Status'!$F$5,IF((OR($Q$2,$Q$7)=TRUE),'Shots and Status'!$D$5,'Shots and Status'!$C$5)))),0),"-")</f>
        <v>-</v>
      </c>
      <c r="K587" s="36" t="str">
        <f>IFERROR(ROUNDUP(IF(AND($Q$1=FALSE,$S$3=FALSE),"-",IF(AND($Q$1=TRUE,$S$3=TRUE),"-",IF(AND($Q$1=TRUE,$S$1=TRUE,$S$4=FALSE),VLOOKUP($E587,'Status Thresholds'!$E:$AS,15,FALSE),IF(AND($Q$1=TRUE,$S$4=FALSE),VLOOKUP($E587,'Status Thresholds'!$E:$AS,5,FALSE), IF(AND($Q$1=TRUE,$S$1=TRUE,$S$4=TRUE),VLOOKUP($E587,'Status Thresholds'!$E:$AS,20,FALSE),IF(AND($Q$1=TRUE,$S$4=TRUE),VLOOKUP($E587,'Status Thresholds'!$E:$AS,10,FALSE),IF(AND($S$3=TRUE,$S$1=TRUE,$S$4=FALSE),VLOOKUP($E587,'Status Thresholds'!$E:$AS,35,FALSE),IF(AND($S$3=TRUE,$S$4=FALSE),VLOOKUP($E587,'Status Thresholds'!$E:$AS,25,FALSE),IF(AND($S$3=TRUE,$S$1=TRUE,$S$4=TRUE),VLOOKUP($E587,'Status Thresholds'!$E:$AS,40,FALSE),IF(AND($S$3=TRUE,$S$4=TRUE),VLOOKUP($E587,'Status Thresholds'!$E:$AS,30,FALSE),""))))))))/IF(OR($Q$3=TRUE,AND($Q$2=TRUE,$Q$7=TRUE),AND($Q$3=TRUE,$Q$7=TRUE))=TRUE,'Shots and Status'!$F$5,IF((OR($Q$2,$Q$7)=TRUE),'Shots and Status'!$D$5,'Shots and Status'!$C$5)))),0),"-")</f>
        <v>-</v>
      </c>
      <c r="L587" s="36" t="str">
        <f>IFERROR(IF(AND($Q$1=FALSE,$S$3=FALSE),"-",VLOOKUP($E587,'Status Thresholds'!$E:$AU,41,FALSE)),"-")</f>
        <v>-</v>
      </c>
      <c r="M587" s="36" t="str">
        <f>IFERROR(IF(AND($Q$1=FALSE,$S$3=FALSE),"-",VLOOKUP($E587,'Status Thresholds'!$E:$AU,42,FALSE)),"-")</f>
        <v>-</v>
      </c>
      <c r="N587" s="36" t="str">
        <f>IFERROR(IF(AND($Q$1=FALSE,$S$3=FALSE),"-",VLOOKUP($E587,'Status Thresholds'!$E:$AU,43,FALSE)),"-")</f>
        <v>-</v>
      </c>
    </row>
    <row r="588" spans="1:14" s="36" customFormat="1" x14ac:dyDescent="0.25">
      <c r="A588" s="46"/>
      <c r="B588" s="64" t="str">
        <f>VLOOKUP(C588,'Status Thresholds'!B:C,2,FALSE)</f>
        <v>MHGen</v>
      </c>
      <c r="C588" s="46" t="str">
        <f>IF(ISBLANK('KO Calc'!C584)=TRUE,"",'KO Calc'!C584)</f>
        <v>Rajang</v>
      </c>
      <c r="D588" s="57" t="s">
        <v>22</v>
      </c>
      <c r="E588" s="62" t="str">
        <f t="shared" si="17"/>
        <v>RajangExhaust</v>
      </c>
      <c r="F588" s="36" t="s">
        <v>8</v>
      </c>
      <c r="G588" s="36" t="str">
        <f t="shared" si="18"/>
        <v>RajangExhaust lvl 2</v>
      </c>
      <c r="H588" s="36" t="str">
        <f>IFERROR(ROUNDUP(IF(AND($Q$1=FALSE,$S$3=FALSE),"-",IF(AND($Q$1=TRUE,$S$3=TRUE),"-",IF(AND($Q$1=TRUE,$S$1=TRUE,$S$4=FALSE),VLOOKUP($E588,'Status Thresholds'!$E:$AS,12,FALSE),IF(AND($Q$1=TRUE,$S$4=FALSE),VLOOKUP($E588,'Status Thresholds'!$E:$AS,2,FALSE), IF(AND($Q$1=TRUE,$S$1=TRUE,$S$4=TRUE),VLOOKUP($E588,'Status Thresholds'!$E:$AS,17,FALSE),IF(AND($Q$1=TRUE,$S$4=TRUE),VLOOKUP($E588,'Status Thresholds'!$E:$AS,7,FALSE),IF(AND($S$3=TRUE,$S$1=TRUE,$S$4=FALSE),VLOOKUP($E588,'Status Thresholds'!$E:$AS,32,FALSE),IF(AND($S$3=TRUE,$S$4=FALSE),VLOOKUP($E588,'Status Thresholds'!$E:$AS,22,FALSE),IF(AND($S$3=TRUE,$S$1=TRUE,$S$4=TRUE),VLOOKUP($E588,'Status Thresholds'!$E:$AS,37,FALSE),IF(AND($S$3=TRUE,$S$4=TRUE),VLOOKUP($E588,'Status Thresholds'!$E:$AS,27,FALSE),""))))))))/IF(OR($Q$3=TRUE,AND($Q$2=TRUE,$Q$7=TRUE),AND($Q$3=TRUE,$Q$7=TRUE))=TRUE,'Shots and Status'!$F$5,IF((OR($Q$2,$Q$7)=TRUE),'Shots and Status'!$D$5,'Shots and Status'!$C$5)))),0),"-")</f>
        <v>-</v>
      </c>
      <c r="I588" s="36" t="str">
        <f>IFERROR(ROUNDUP(IF(AND($Q$1=FALSE,$S$3=FALSE),"-",IF(AND($Q$1=TRUE,$S$3=TRUE),"-",IF(AND($Q$1=TRUE,$S$1=TRUE,$S$4=FALSE),VLOOKUP($E588,'Status Thresholds'!$E:$AS,13,FALSE),IF(AND($Q$1=TRUE,$S$4=FALSE),VLOOKUP($E588,'Status Thresholds'!$E:$AS,3,FALSE), IF(AND($Q$1=TRUE,$S$1=TRUE,$S$4=TRUE),VLOOKUP($E588,'Status Thresholds'!$E:$AS,18,FALSE),IF(AND($Q$1=TRUE,$S$4=TRUE),VLOOKUP($E588,'Status Thresholds'!$E:$AS,8,FALSE),IF(AND($S$3=TRUE,$S$1=TRUE,$S$4=FALSE),VLOOKUP($E588,'Status Thresholds'!$E:$AS,33,FALSE),IF(AND($S$3=TRUE,$S$4=FALSE),VLOOKUP($E588,'Status Thresholds'!$E:$AS,23,FALSE),IF(AND($S$3=TRUE,$S$1=TRUE,$S$4=TRUE),VLOOKUP($E588,'Status Thresholds'!$E:$AS,38,FALSE),IF(AND($S$3=TRUE,$S$4=TRUE),VLOOKUP($E588,'Status Thresholds'!$E:$AS,28,FALSE),""))))))))/IF(OR($Q$3=TRUE,AND($Q$2=TRUE,$Q$7=TRUE),AND($Q$3=TRUE,$Q$7=TRUE))=TRUE,'Shots and Status'!$F$5,IF((OR($Q$2,$Q$7)=TRUE),'Shots and Status'!$D$5,'Shots and Status'!$C$5)))),0),"-")</f>
        <v>-</v>
      </c>
      <c r="J588" s="36" t="str">
        <f>IFERROR(ROUNDUP(IF(AND($Q$1=FALSE,$S$3=FALSE),"-",IF(AND($Q$1=TRUE,$S$3=TRUE),"-",IF(AND($Q$1=TRUE,$S$1=TRUE,$S$4=FALSE),VLOOKUP($E588,'Status Thresholds'!$E:$AS,14,FALSE),IF(AND($Q$1=TRUE,$S$4=FALSE),VLOOKUP($E588,'Status Thresholds'!$E:$AS,4,FALSE), IF(AND($Q$1=TRUE,$S$1=TRUE,$S$4=TRUE),VLOOKUP($E588,'Status Thresholds'!$E:$AS,19,FALSE),IF(AND($Q$1=TRUE,$S$4=TRUE),VLOOKUP($E588,'Status Thresholds'!$E:$AS,9,FALSE),IF(AND($S$3=TRUE,$S$1=TRUE,$S$4=FALSE),VLOOKUP($E588,'Status Thresholds'!$E:$AS,34,FALSE),IF(AND($S$3=TRUE,$S$4=FALSE),VLOOKUP($E588,'Status Thresholds'!$E:$AS,24,FALSE),IF(AND($S$3=TRUE,$S$1=TRUE,$S$4=TRUE),VLOOKUP($E588,'Status Thresholds'!$E:$AS,39,FALSE),IF(AND($S$3=TRUE,$S$4=TRUE),VLOOKUP($E588,'Status Thresholds'!$E:$AS,29,FALSE),""))))))))/IF(OR($Q$3=TRUE,AND($Q$2=TRUE,$Q$7=TRUE),AND($Q$3=TRUE,$Q$7=TRUE))=TRUE,'Shots and Status'!$F$5,IF((OR($Q$2,$Q$7)=TRUE),'Shots and Status'!$D$5,'Shots and Status'!$C$5)))),0),"-")</f>
        <v>-</v>
      </c>
      <c r="K588" s="36" t="str">
        <f>IFERROR(ROUNDUP(IF(AND($Q$1=FALSE,$S$3=FALSE),"-",IF(AND($Q$1=TRUE,$S$3=TRUE),"-",IF(AND($Q$1=TRUE,$S$1=TRUE,$S$4=FALSE),VLOOKUP($E588,'Status Thresholds'!$E:$AS,15,FALSE),IF(AND($Q$1=TRUE,$S$4=FALSE),VLOOKUP($E588,'Status Thresholds'!$E:$AS,5,FALSE), IF(AND($Q$1=TRUE,$S$1=TRUE,$S$4=TRUE),VLOOKUP($E588,'Status Thresholds'!$E:$AS,20,FALSE),IF(AND($Q$1=TRUE,$S$4=TRUE),VLOOKUP($E588,'Status Thresholds'!$E:$AS,10,FALSE),IF(AND($S$3=TRUE,$S$1=TRUE,$S$4=FALSE),VLOOKUP($E588,'Status Thresholds'!$E:$AS,35,FALSE),IF(AND($S$3=TRUE,$S$4=FALSE),VLOOKUP($E588,'Status Thresholds'!$E:$AS,25,FALSE),IF(AND($S$3=TRUE,$S$1=TRUE,$S$4=TRUE),VLOOKUP($E588,'Status Thresholds'!$E:$AS,40,FALSE),IF(AND($S$3=TRUE,$S$4=TRUE),VLOOKUP($E588,'Status Thresholds'!$E:$AS,30,FALSE),""))))))))/IF(OR($Q$3=TRUE,AND($Q$2=TRUE,$Q$7=TRUE),AND($Q$3=TRUE,$Q$7=TRUE))=TRUE,'Shots and Status'!$F$5,IF((OR($Q$2,$Q$7)=TRUE),'Shots and Status'!$D$5,'Shots and Status'!$C$5)))),0),"-")</f>
        <v>-</v>
      </c>
      <c r="L588" s="36" t="str">
        <f>IFERROR(IF(AND($Q$1=FALSE,$S$3=FALSE),"-",VLOOKUP($E588,'Status Thresholds'!$E:$AU,41,FALSE)),"-")</f>
        <v>-</v>
      </c>
      <c r="M588" s="36" t="str">
        <f>IFERROR(IF(AND($Q$1=FALSE,$S$3=FALSE),"-",VLOOKUP($E588,'Status Thresholds'!$E:$AU,42,FALSE)),"-")</f>
        <v>-</v>
      </c>
      <c r="N588" s="36" t="str">
        <f>IFERROR(IF(AND($Q$1=FALSE,$S$3=FALSE),"-",VLOOKUP($E588,'Status Thresholds'!$E:$AU,43,FALSE)),"-")</f>
        <v>-</v>
      </c>
    </row>
    <row r="589" spans="1:14" s="36" customFormat="1" x14ac:dyDescent="0.25">
      <c r="A589" s="46"/>
      <c r="B589" s="64" t="str">
        <f>VLOOKUP(C589,'Status Thresholds'!B:C,2,FALSE)</f>
        <v>MHGen</v>
      </c>
      <c r="C589" s="46" t="str">
        <f>IF(ISBLANK('KO Calc'!C585)=TRUE,"",'KO Calc'!C585)</f>
        <v>Rajang</v>
      </c>
      <c r="D589" s="67" t="s">
        <v>14</v>
      </c>
      <c r="E589" s="62" t="str">
        <f t="shared" si="17"/>
        <v>RajangKO</v>
      </c>
      <c r="F589" s="36" t="s">
        <v>21</v>
      </c>
      <c r="G589" s="36" t="str">
        <f t="shared" si="18"/>
        <v>RajangTriblast</v>
      </c>
      <c r="H589" s="36" t="str">
        <f>IF(AND($Q$1=FALSE,$S$3=FALSE),"-",IF(AND($Q$1=TRUE,$S$3=TRUE),"-",IF(AND($Q$1=FALSE,$S$3=FALSE),"-",IF(AND($Q$1=TRUE,$S$1=TRUE,$S$4=FALSE)=TRUE,IF(OR($Q$4=TRUE,$Q$5=TRUE,$S$2=TRUE),VLOOKUP($G589,'KO Calc'!$H:$AW,12,FALSE),VLOOKUP($G589,'KO Calc'!$H595:$AW595,12,FALSE)),IF(AND($Q$1=TRUE,$S$4=FALSE),IF(OR($Q$4=TRUE,$Q$5=TRUE,$S$2=TRUE),VLOOKUP($G589,'KO Calc'!$H:$AW,2,FALSE),VLOOKUP($G589,'KO Calc'!$H595:$AW595,2,FALSE)),
IF(AND($Q$1=TRUE,$S$1=TRUE,$S$4=TRUE)=TRUE,IF(OR($Q$4=TRUE,$Q$5=TRUE,$S$2=TRUE),VLOOKUP($G589,'KO Calc'!$H:$AW,17,FALSE),VLOOKUP($G589,'KO Calc'!$H595:$AW595,17,FALSE)),IF(AND($Q$1=TRUE,$S$4=TRUE),IF(OR($Q$4=TRUE,$Q$5=TRUE,$S$2=TRUE),VLOOKUP($G589,'KO Calc'!$H:$AW,7,FALSE),VLOOKUP($G589,'KO Calc'!$H595:$AW595,7,FALSE)),
IF(AND($S$3=TRUE,$S$1=TRUE,$S$4=FALSE)=TRUE,IF(OR($Q$4=TRUE,$Q$5=TRUE,$S$2=TRUE),VLOOKUP($G589,'KO Calc'!$H:$AW,32,FALSE),VLOOKUP($G589,'KO Calc'!$H595:$AW595,32,FALSE)),IF(AND($S$3=TRUE,$S$4=FALSE),IF(OR($Q$4=TRUE,$Q$5=TRUE,$S$2=TRUE),VLOOKUP($G589,'KO Calc'!$H:$AW,22,FALSE),VLOOKUP($G589,'KO Calc'!$H595:$AW595,22,FALSE)),
IF(AND($S$3=TRUE,$S$1=TRUE,$S$4=TRUE)=TRUE,IF(OR($Q$4=TRUE,$Q$5=TRUE,$S$2=TRUE),VLOOKUP($G589,'KO Calc'!$H:$AW,37,FALSE),VLOOKUP($G589,'KO Calc'!$H595:$AW595,37,FALSE)),IF(AND($S$3=TRUE,$S$4=TRUE),IF(OR($Q$4=TRUE,$Q$5=TRUE,$S$2=TRUE),VLOOKUP($G589,'KO Calc'!$H:$AW,27,FALSE),VLOOKUP($G589,'KO Calc'!$H595:$AW595,27,FALSE)))))))))))))</f>
        <v>-</v>
      </c>
      <c r="I589" s="36" t="str">
        <f>IF(AND($Q$1=FALSE,$S$3=FALSE),"-",IF(AND($Q$1=TRUE,$S$3=TRUE),"-",IF(AND($Q$1=FALSE,$S$3=FALSE),"-",IF(AND($Q$1=TRUE,$S$1=TRUE,$S$4=FALSE)=TRUE,IF(OR($Q$4=TRUE,$Q$5=TRUE,$S$2=TRUE),VLOOKUP($G589,'KO Calc'!$H:$AW,13,FALSE),VLOOKUP($G589,'KO Calc'!$H595:$AW595,13,FALSE)),IF(AND($Q$1=TRUE,$S$4=FALSE),IF(OR($Q$4=TRUE,$Q$5=TRUE,$S$2=TRUE),VLOOKUP($G589,'KO Calc'!$H:$AW,3,FALSE),VLOOKUP($G589,'KO Calc'!$H595:$AW595,3,FALSE)),
IF(AND($Q$1=TRUE,$S$1=TRUE,$S$4=TRUE)=TRUE,IF(OR($Q$4=TRUE,$Q$5=TRUE,$S$2=TRUE),VLOOKUP($G589,'KO Calc'!$H:$AW,18,FALSE),VLOOKUP($G589,'KO Calc'!$H595:$AW595,18,FALSE)),IF(AND($Q$1=TRUE,$S$4=TRUE),IF(OR($Q$4=TRUE,$Q$5=TRUE,$S$2=TRUE),VLOOKUP($G589,'KO Calc'!$H:$AW,8,FALSE),VLOOKUP($G589,'KO Calc'!$H595:$AW595,8,FALSE)),
IF(AND($S$3=TRUE,$S$1=TRUE,$S$4=FALSE)=TRUE,IF(OR($Q$4=TRUE,$Q$5=TRUE,$S$2=TRUE),VLOOKUP($G589,'KO Calc'!$H:$AW,33,FALSE),VLOOKUP($G589,'KO Calc'!$H595:$AW595,33,FALSE)),IF(AND($S$3=TRUE,$S$4=FALSE),IF(OR($Q$4=TRUE,$Q$5=TRUE,$S$2=TRUE),VLOOKUP($G589,'KO Calc'!$H:$AW,23,FALSE),VLOOKUP($G589,'KO Calc'!$H595:$AW595,23,FALSE)),
IF(AND($S$3=TRUE,$S$1=TRUE,$S$4=TRUE)=TRUE,IF(OR($Q$4=TRUE,$Q$5=TRUE,$S$2=TRUE),VLOOKUP($G589,'KO Calc'!$H:$AW,38,FALSE),VLOOKUP($G589,'KO Calc'!$H595:$AW595,38,FALSE)),IF(AND($S$3=TRUE,$S$4=TRUE),IF(OR($Q$4=TRUE,$Q$5=TRUE,$S$2=TRUE),VLOOKUP($G589,'KO Calc'!$H:$AW,28,FALSE),VLOOKUP($G589,'KO Calc'!$H595:$AW595,28,FALSE)))))))))))))</f>
        <v>-</v>
      </c>
      <c r="J589" s="36" t="str">
        <f>IF(AND($Q$1=FALSE,$S$3=FALSE),"-",IF(AND($Q$1=TRUE,$S$3=TRUE),"-",IF(AND($Q$1=FALSE,$S$3=FALSE),"-",IF(AND($Q$1=TRUE,$S$1=TRUE,$S$4=FALSE)=TRUE,IF(OR($Q$4=TRUE,$Q$5=TRUE,$S$2=TRUE),VLOOKUP($G589,'KO Calc'!$H:$AW,FALSE),VLOOKUP($G589,'KO Calc'!$H595:$AW595,14,FALSE)),IF(AND($Q$1=TRUE,$S$4=FALSE),IF(OR($Q$4=TRUE,$Q$5=TRUE,$S$2=TRUE),VLOOKUP($G589,'KO Calc'!$H:$AW,4,FALSE),VLOOKUP($G589,'KO Calc'!$H595:$AW595,4,FALSE)),
IF(AND($Q$1=TRUE,$S$1=TRUE,$S$4=TRUE)=TRUE,IF(OR($Q$4=TRUE,$Q$5=TRUE,$S$2=TRUE),VLOOKUP($G589,'KO Calc'!$H:$AW,19,FALSE),VLOOKUP($G589,'KO Calc'!$H595:$AW595,19,FALSE)),IF(AND($Q$1=TRUE,$S$4=TRUE),IF(OR($Q$4=TRUE,$Q$5=TRUE,$S$2=TRUE),VLOOKUP($G589,'KO Calc'!$H:$AW,9,FALSE),VLOOKUP($G589,'KO Calc'!$H595:$AW595,9,FALSE)),
IF(AND($S$3=TRUE,$S$1=TRUE,$S$4=FALSE)=TRUE,IF(OR($Q$4=TRUE,$Q$5=TRUE,$S$2=TRUE),VLOOKUP($G589,'KO Calc'!$H:$AW,34,FALSE),VLOOKUP($G589,'KO Calc'!$H595:$AW595,34,FALSE)),IF(AND($S$3=TRUE,$S$4=FALSE),IF(OR($Q$4=TRUE,$Q$5=TRUE,$S$2=TRUE),VLOOKUP($G589,'KO Calc'!$H:$AW,24,FALSE),VLOOKUP($G589,'KO Calc'!$H595:$AW595,24,FALSE)),
IF(AND($S$3=TRUE,$S$1=TRUE,$S$4=TRUE)=TRUE,IF(OR($Q$4=TRUE,$Q$5=TRUE,$S$2=TRUE),VLOOKUP($G589,'KO Calc'!$H:$AW,39,FALSE),VLOOKUP($G589,'KO Calc'!$H595:$AW595,39,FALSE)),IF(AND($S$3=TRUE,$S$4=TRUE),IF(OR($Q$4=TRUE,$Q$5=TRUE,$S$2=TRUE),VLOOKUP($G589,'KO Calc'!$H:$AW,29,FALSE),VLOOKUP($G589,'KO Calc'!$H595:$AW595,29,FALSE)))))))))))))</f>
        <v>-</v>
      </c>
      <c r="K589" s="36" t="str">
        <f>IF(AND($Q$1=FALSE,$S$3=FALSE),"-",IF(AND($Q$1=TRUE,$S$3=TRUE),"-",IF(AND($Q$1=FALSE,$S$3=FALSE),"-",IF(AND($Q$1=TRUE,$S$1=TRUE,$S$4=FALSE)=TRUE,IF(OR($Q$4=TRUE,$Q$5=TRUE,$S$2=TRUE),VLOOKUP($G589,'KO Calc'!$H:$AW,15,FALSE),VLOOKUP($G589,'KO Calc'!$H595:$AW595,15,FALSE)),IF(AND($Q$1=TRUE,$S$4=FALSE),IF(OR($Q$4=TRUE,$Q$5=TRUE,$S$2=TRUE),VLOOKUP($G589,'KO Calc'!$H:$AW,5,FALSE),VLOOKUP($G589,'KO Calc'!$H595:$AW595,5,FALSE)),
IF(AND($Q$1=TRUE,$S$1=TRUE,$S$4=TRUE)=TRUE,IF(OR($Q$4=TRUE,$Q$5=TRUE,$S$2=TRUE),VLOOKUP($G589,'KO Calc'!$H:$AW,20,FALSE),VLOOKUP($G589,'KO Calc'!$H595:$AW595,20,FALSE)),IF(AND($Q$1=TRUE,$S$4=TRUE),IF(OR($Q$4=TRUE,$Q$5=TRUE,$S$2=TRUE),VLOOKUP($G589,'KO Calc'!$H:$AW,10,FALSE),VLOOKUP($G589,'KO Calc'!$H595:$AW595,10,FALSE)),
IF(AND($S$3=TRUE,$S$1=TRUE,$S$4=FALSE)=TRUE,IF(OR($Q$4=TRUE,$Q$5=TRUE,$S$2=TRUE),VLOOKUP($G589,'KO Calc'!$H:$AW,35,FALSE),VLOOKUP($G589,'KO Calc'!$H595:$AW595,35,FALSE)),IF(AND($S$3=TRUE,$S$4=FALSE),IF(OR($Q$4=TRUE,$Q$5=TRUE,$S$2=TRUE),VLOOKUP($G589,'KO Calc'!$H:$AW,25,FALSE),VLOOKUP($G589,'KO Calc'!$H595:$AW595,25,FALSE)),
IF(AND($S$3=TRUE,$S$1=TRUE,$S$4=TRUE)=TRUE,IF(OR($Q$4=TRUE,$Q$5=TRUE,$S$2=TRUE),VLOOKUP($G589,'KO Calc'!$H:$AW,40,FALSE),VLOOKUP($G589,'KO Calc'!$H595:$AW595,40,FALSE)),IF(AND($S$3=TRUE,$S$4=TRUE),IF(OR($Q$4=TRUE,$Q$5=TRUE,$S$2=TRUE),VLOOKUP($G589,'KO Calc'!$H:$AW,30,FALSE),VLOOKUP($G589,'KO Calc'!$H595:$AW595,30,FALSE)))))))))))))</f>
        <v>-</v>
      </c>
      <c r="L589" s="36" t="str">
        <f>IFERROR(IF(AND($Q$1=FALSE,$S$3=FALSE),"-",VLOOKUP($E589,'Status Thresholds'!$E:$AU,41,FALSE)),"-")</f>
        <v>-</v>
      </c>
      <c r="M589" s="36" t="str">
        <f>IFERROR(IF(AND($Q$1=FALSE,$S$3=FALSE),"-",VLOOKUP($E589,'Status Thresholds'!$E:$AU,42,FALSE)),"-")</f>
        <v>-</v>
      </c>
      <c r="N589" s="36" t="str">
        <f>IFERROR(IF(AND($Q$1=FALSE,$S$3=FALSE),"-",VLOOKUP($E589,'Status Thresholds'!$E:$AU,43,FALSE)),"-")</f>
        <v>-</v>
      </c>
    </row>
    <row r="590" spans="1:14" x14ac:dyDescent="0.25">
      <c r="B590" s="64" t="str">
        <f>VLOOKUP(C590,'Status Thresholds'!B:C,2,FALSE)</f>
        <v>MHGen</v>
      </c>
      <c r="C590" s="46" t="str">
        <f>IF(ISBLANK('KO Calc'!C586)=TRUE,"",'KO Calc'!C586)</f>
        <v>Rajang</v>
      </c>
      <c r="D590" s="78" t="s">
        <v>207</v>
      </c>
      <c r="E590" s="62" t="str">
        <f t="shared" si="17"/>
        <v>RajangShock Trap</v>
      </c>
      <c r="F590" t="s">
        <v>13</v>
      </c>
      <c r="G590" s="36" t="str">
        <f t="shared" si="18"/>
        <v>RajangCrag 3</v>
      </c>
      <c r="H590" s="36" t="str">
        <f>IF(AND($Q$1=FALSE,$S$3=FALSE),"-",IF(AND($Q$1=TRUE,$S$3=TRUE),"-",IF(AND($Q$1=FALSE,$S$3=FALSE),"-",IF(AND($Q$1=TRUE,$S$1=TRUE,$S$4=FALSE)=TRUE,IF(OR($Q$4=TRUE,$Q$5=TRUE,$S$2=TRUE),VLOOKUP($G590,'KO Calc'!$H:$AW,12,FALSE),VLOOKUP($G590,'KO Calc'!$H596:$AW596,12,FALSE)),IF(AND($Q$1=TRUE,$S$4=FALSE),IF(OR($Q$4=TRUE,$Q$5=TRUE,$S$2=TRUE),VLOOKUP($G590,'KO Calc'!$H:$AW,2,FALSE),VLOOKUP($G590,'KO Calc'!$H596:$AW596,2,FALSE)),
IF(AND($Q$1=TRUE,$S$1=TRUE,$S$4=TRUE)=TRUE,IF(OR($Q$4=TRUE,$Q$5=TRUE,$S$2=TRUE),VLOOKUP($G590,'KO Calc'!$H:$AW,17,FALSE),VLOOKUP($G590,'KO Calc'!$H596:$AW596,17,FALSE)),IF(AND($Q$1=TRUE,$S$4=TRUE),IF(OR($Q$4=TRUE,$Q$5=TRUE,$S$2=TRUE),VLOOKUP($G590,'KO Calc'!$H:$AW,7,FALSE),VLOOKUP($G590,'KO Calc'!$H596:$AW596,7,FALSE)),
IF(AND($S$3=TRUE,$S$1=TRUE,$S$4=FALSE)=TRUE,IF(OR($Q$4=TRUE,$Q$5=TRUE,$S$2=TRUE),VLOOKUP($G590,'KO Calc'!$H:$AW,32,FALSE),VLOOKUP($G590,'KO Calc'!$H596:$AW596,32,FALSE)),IF(AND($S$3=TRUE,$S$4=FALSE),IF(OR($Q$4=TRUE,$Q$5=TRUE,$S$2=TRUE),VLOOKUP($G590,'KO Calc'!$H:$AW,22,FALSE),VLOOKUP($G590,'KO Calc'!$H596:$AW596,22,FALSE)),
IF(AND($S$3=TRUE,$S$1=TRUE,$S$4=TRUE)=TRUE,IF(OR($Q$4=TRUE,$Q$5=TRUE,$S$2=TRUE),VLOOKUP($G590,'KO Calc'!$H:$AW,37,FALSE),VLOOKUP($G590,'KO Calc'!$H596:$AW596,37,FALSE)),IF(AND($S$3=TRUE,$S$4=TRUE),IF(OR($Q$4=TRUE,$Q$5=TRUE,$S$2=TRUE),VLOOKUP($G590,'KO Calc'!$H:$AW,27,FALSE),VLOOKUP($G590,'KO Calc'!$H596:$AW596,27,FALSE)))))))))))))</f>
        <v>-</v>
      </c>
      <c r="I590" s="36" t="str">
        <f>IF(AND($Q$1=FALSE,$S$3=FALSE),"-",IF(AND($Q$1=TRUE,$S$3=TRUE),"-",IF(AND($Q$1=FALSE,$S$3=FALSE),"-",IF(AND($Q$1=TRUE,$S$1=TRUE,$S$4=FALSE)=TRUE,IF(OR($Q$4=TRUE,$Q$5=TRUE,$S$2=TRUE),VLOOKUP($G590,'KO Calc'!$H:$AW,13,FALSE),VLOOKUP($G590,'KO Calc'!$H596:$AW596,13,FALSE)),IF(AND($Q$1=TRUE,$S$4=FALSE),IF(OR($Q$4=TRUE,$Q$5=TRUE,$S$2=TRUE),VLOOKUP($G590,'KO Calc'!$H:$AW,3,FALSE),VLOOKUP($G590,'KO Calc'!$H596:$AW596,3,FALSE)),
IF(AND($Q$1=TRUE,$S$1=TRUE,$S$4=TRUE)=TRUE,IF(OR($Q$4=TRUE,$Q$5=TRUE,$S$2=TRUE),VLOOKUP($G590,'KO Calc'!$H:$AW,18,FALSE),VLOOKUP($G590,'KO Calc'!$H596:$AW596,18,FALSE)),IF(AND($Q$1=TRUE,$S$4=TRUE),IF(OR($Q$4=TRUE,$Q$5=TRUE,$S$2=TRUE),VLOOKUP($G590,'KO Calc'!$H:$AW,8,FALSE),VLOOKUP($G590,'KO Calc'!$H596:$AW596,8,FALSE)),
IF(AND($S$3=TRUE,$S$1=TRUE,$S$4=FALSE)=TRUE,IF(OR($Q$4=TRUE,$Q$5=TRUE,$S$2=TRUE),VLOOKUP($G590,'KO Calc'!$H:$AW,33,FALSE),VLOOKUP($G590,'KO Calc'!$H596:$AW596,33,FALSE)),IF(AND($S$3=TRUE,$S$4=FALSE),IF(OR($Q$4=TRUE,$Q$5=TRUE,$S$2=TRUE),VLOOKUP($G590,'KO Calc'!$H:$AW,23,FALSE),VLOOKUP($G590,'KO Calc'!$H596:$AW596,23,FALSE)),
IF(AND($S$3=TRUE,$S$1=TRUE,$S$4=TRUE)=TRUE,IF(OR($Q$4=TRUE,$Q$5=TRUE,$S$2=TRUE),VLOOKUP($G590,'KO Calc'!$H:$AW,38,FALSE),VLOOKUP($G590,'KO Calc'!$H596:$AW596,38,FALSE)),IF(AND($S$3=TRUE,$S$4=TRUE),IF(OR($Q$4=TRUE,$Q$5=TRUE,$S$2=TRUE),VLOOKUP($G590,'KO Calc'!$H:$AW,28,FALSE),VLOOKUP($G590,'KO Calc'!$H596:$AW596,28,FALSE)))))))))))))</f>
        <v>-</v>
      </c>
      <c r="J590" s="36" t="str">
        <f>IF(AND($Q$1=FALSE,$S$3=FALSE),"-",IF(AND($Q$1=TRUE,$S$3=TRUE),"-",IF(AND($Q$1=FALSE,$S$3=FALSE),"-",IF(AND($Q$1=TRUE,$S$1=TRUE,$S$4=FALSE)=TRUE,IF(OR($Q$4=TRUE,$Q$5=TRUE,$S$2=TRUE),VLOOKUP($G590,'KO Calc'!$H:$AW,FALSE),VLOOKUP($G590,'KO Calc'!$H596:$AW596,14,FALSE)),IF(AND($Q$1=TRUE,$S$4=FALSE),IF(OR($Q$4=TRUE,$Q$5=TRUE,$S$2=TRUE),VLOOKUP($G590,'KO Calc'!$H:$AW,4,FALSE),VLOOKUP($G590,'KO Calc'!$H596:$AW596,4,FALSE)),
IF(AND($Q$1=TRUE,$S$1=TRUE,$S$4=TRUE)=TRUE,IF(OR($Q$4=TRUE,$Q$5=TRUE,$S$2=TRUE),VLOOKUP($G590,'KO Calc'!$H:$AW,19,FALSE),VLOOKUP($G590,'KO Calc'!$H596:$AW596,19,FALSE)),IF(AND($Q$1=TRUE,$S$4=TRUE),IF(OR($Q$4=TRUE,$Q$5=TRUE,$S$2=TRUE),VLOOKUP($G590,'KO Calc'!$H:$AW,9,FALSE),VLOOKUP($G590,'KO Calc'!$H596:$AW596,9,FALSE)),
IF(AND($S$3=TRUE,$S$1=TRUE,$S$4=FALSE)=TRUE,IF(OR($Q$4=TRUE,$Q$5=TRUE,$S$2=TRUE),VLOOKUP($G590,'KO Calc'!$H:$AW,34,FALSE),VLOOKUP($G590,'KO Calc'!$H596:$AW596,34,FALSE)),IF(AND($S$3=TRUE,$S$4=FALSE),IF(OR($Q$4=TRUE,$Q$5=TRUE,$S$2=TRUE),VLOOKUP($G590,'KO Calc'!$H:$AW,24,FALSE),VLOOKUP($G590,'KO Calc'!$H596:$AW596,24,FALSE)),
IF(AND($S$3=TRUE,$S$1=TRUE,$S$4=TRUE)=TRUE,IF(OR($Q$4=TRUE,$Q$5=TRUE,$S$2=TRUE),VLOOKUP($G590,'KO Calc'!$H:$AW,39,FALSE),VLOOKUP($G590,'KO Calc'!$H596:$AW596,39,FALSE)),IF(AND($S$3=TRUE,$S$4=TRUE),IF(OR($Q$4=TRUE,$Q$5=TRUE,$S$2=TRUE),VLOOKUP($G590,'KO Calc'!$H:$AW,29,FALSE),VLOOKUP($G590,'KO Calc'!$H596:$AW596,29,FALSE)))))))))))))</f>
        <v>-</v>
      </c>
      <c r="K590" s="36" t="str">
        <f>IF(AND($Q$1=FALSE,$S$3=FALSE),"-",IF(AND($Q$1=TRUE,$S$3=TRUE),"-",IF(AND($Q$1=FALSE,$S$3=FALSE),"-",IF(AND($Q$1=TRUE,$S$1=TRUE,$S$4=FALSE)=TRUE,IF(OR($Q$4=TRUE,$Q$5=TRUE,$S$2=TRUE),VLOOKUP($G590,'KO Calc'!$H:$AW,15,FALSE),VLOOKUP($G590,'KO Calc'!$H596:$AW596,15,FALSE)),IF(AND($Q$1=TRUE,$S$4=FALSE),IF(OR($Q$4=TRUE,$Q$5=TRUE,$S$2=TRUE),VLOOKUP($G590,'KO Calc'!$H:$AW,5,FALSE),VLOOKUP($G590,'KO Calc'!$H596:$AW596,5,FALSE)),
IF(AND($Q$1=TRUE,$S$1=TRUE,$S$4=TRUE)=TRUE,IF(OR($Q$4=TRUE,$Q$5=TRUE,$S$2=TRUE),VLOOKUP($G590,'KO Calc'!$H:$AW,20,FALSE),VLOOKUP($G590,'KO Calc'!$H596:$AW596,20,FALSE)),IF(AND($Q$1=TRUE,$S$4=TRUE),IF(OR($Q$4=TRUE,$Q$5=TRUE,$S$2=TRUE),VLOOKUP($G590,'KO Calc'!$H:$AW,10,FALSE),VLOOKUP($G590,'KO Calc'!$H596:$AW596,10,FALSE)),
IF(AND($S$3=TRUE,$S$1=TRUE,$S$4=FALSE)=TRUE,IF(OR($Q$4=TRUE,$Q$5=TRUE,$S$2=TRUE),VLOOKUP($G590,'KO Calc'!$H:$AW,35,FALSE),VLOOKUP($G590,'KO Calc'!$H596:$AW596,35,FALSE)),IF(AND($S$3=TRUE,$S$4=FALSE),IF(OR($Q$4=TRUE,$Q$5=TRUE,$S$2=TRUE),VLOOKUP($G590,'KO Calc'!$H:$AW,25,FALSE),VLOOKUP($G590,'KO Calc'!$H596:$AW596,25,FALSE)),
IF(AND($S$3=TRUE,$S$1=TRUE,$S$4=TRUE)=TRUE,IF(OR($Q$4=TRUE,$Q$5=TRUE,$S$2=TRUE),VLOOKUP($G590,'KO Calc'!$H:$AW,40,FALSE),VLOOKUP($G590,'KO Calc'!$H596:$AW596,40,FALSE)),IF(AND($S$3=TRUE,$S$4=TRUE),IF(OR($Q$4=TRUE,$Q$5=TRUE,$S$2=TRUE),VLOOKUP($G590,'KO Calc'!$H:$AW,30,FALSE),VLOOKUP($G590,'KO Calc'!$H596:$AW596,30,FALSE)))))))))))))</f>
        <v>-</v>
      </c>
      <c r="L590" s="36" t="str">
        <f>IFERROR(IF(AND($Q$1=FALSE,$S$3=FALSE),"-",VLOOKUP($E590,'Status Thresholds'!$E:$AU,43,FALSE)),"-")</f>
        <v>-</v>
      </c>
      <c r="M590" s="36" t="str">
        <f>IFERROR(IF(AND($Q$1=FALSE,$S$3=FALSE),"-",VLOOKUP($E590,'Status Thresholds'!$E:$AU,41,FALSE)),"-")</f>
        <v>-</v>
      </c>
      <c r="N590" s="36" t="str">
        <f>IFERROR(IF(AND($Q$1=FALSE,$S$3=FALSE),"-",VLOOKUP($E590,'Status Thresholds'!$E:$AU,42,FALSE)),"-")</f>
        <v>-</v>
      </c>
    </row>
    <row r="591" spans="1:14" x14ac:dyDescent="0.25">
      <c r="B591" s="64" t="str">
        <f>VLOOKUP(C591,'Status Thresholds'!B:C,2,FALSE)</f>
        <v>MHGen</v>
      </c>
      <c r="C591" s="46" t="str">
        <f>IF(ISBLANK('KO Calc'!C587)=TRUE,"",'KO Calc'!C587)</f>
        <v>Rajang</v>
      </c>
      <c r="D591" s="78" t="s">
        <v>213</v>
      </c>
      <c r="E591" s="62" t="str">
        <f t="shared" si="17"/>
        <v>RajangPitfall Trap</v>
      </c>
      <c r="F591" t="s">
        <v>12</v>
      </c>
      <c r="G591" s="36" t="str">
        <f t="shared" si="18"/>
        <v>RajangCrag 2</v>
      </c>
      <c r="H591" s="36" t="str">
        <f>IF(AND($Q$1=FALSE,$S$3=FALSE),"-",IF(AND($Q$1=TRUE,$S$3=TRUE),"-",IF(AND($Q$1=FALSE,$S$3=FALSE),"-",IF(AND($Q$1=TRUE,$S$1=TRUE,$S$4=FALSE)=TRUE,IF(OR($Q$4=TRUE,$Q$5=TRUE,$S$2=TRUE),VLOOKUP($G591,'KO Calc'!$H:$AW,12,FALSE),VLOOKUP($G591,'KO Calc'!$H597:$AW597,12,FALSE)),IF(AND($Q$1=TRUE,$S$4=FALSE),IF(OR($Q$4=TRUE,$Q$5=TRUE,$S$2=TRUE),VLOOKUP($G591,'KO Calc'!$H:$AW,2,FALSE),VLOOKUP($G591,'KO Calc'!$H597:$AW597,2,FALSE)),
IF(AND($Q$1=TRUE,$S$1=TRUE,$S$4=TRUE)=TRUE,IF(OR($Q$4=TRUE,$Q$5=TRUE,$S$2=TRUE),VLOOKUP($G591,'KO Calc'!$H:$AW,17,FALSE),VLOOKUP($G591,'KO Calc'!$H597:$AW597,17,FALSE)),IF(AND($Q$1=TRUE,$S$4=TRUE),IF(OR($Q$4=TRUE,$Q$5=TRUE,$S$2=TRUE),VLOOKUP($G591,'KO Calc'!$H:$AW,7,FALSE),VLOOKUP($G591,'KO Calc'!$H597:$AW597,7,FALSE)),
IF(AND($S$3=TRUE,$S$1=TRUE,$S$4=FALSE)=TRUE,IF(OR($Q$4=TRUE,$Q$5=TRUE,$S$2=TRUE),VLOOKUP($G591,'KO Calc'!$H:$AW,32,FALSE),VLOOKUP($G591,'KO Calc'!$H597:$AW597,32,FALSE)),IF(AND($S$3=TRUE,$S$4=FALSE),IF(OR($Q$4=TRUE,$Q$5=TRUE,$S$2=TRUE),VLOOKUP($G591,'KO Calc'!$H:$AW,22,FALSE),VLOOKUP($G591,'KO Calc'!$H597:$AW597,22,FALSE)),
IF(AND($S$3=TRUE,$S$1=TRUE,$S$4=TRUE)=TRUE,IF(OR($Q$4=TRUE,$Q$5=TRUE,$S$2=TRUE),VLOOKUP($G591,'KO Calc'!$H:$AW,37,FALSE),VLOOKUP($G591,'KO Calc'!$H597:$AW597,37,FALSE)),IF(AND($S$3=TRUE,$S$4=TRUE),IF(OR($Q$4=TRUE,$Q$5=TRUE,$S$2=TRUE),VLOOKUP($G591,'KO Calc'!$H:$AW,27,FALSE),VLOOKUP($G591,'KO Calc'!$H597:$AW597,27,FALSE)))))))))))))</f>
        <v>-</v>
      </c>
      <c r="I591" s="36" t="str">
        <f>IF(AND($Q$1=FALSE,$S$3=FALSE),"-",IF(AND($Q$1=TRUE,$S$3=TRUE),"-",IF(AND($Q$1=FALSE,$S$3=FALSE),"-",IF(AND($Q$1=TRUE,$S$1=TRUE,$S$4=FALSE)=TRUE,IF(OR($Q$4=TRUE,$Q$5=TRUE,$S$2=TRUE),VLOOKUP($G591,'KO Calc'!$H:$AW,13,FALSE),VLOOKUP($G591,'KO Calc'!$H597:$AW597,13,FALSE)),IF(AND($Q$1=TRUE,$S$4=FALSE),IF(OR($Q$4=TRUE,$Q$5=TRUE,$S$2=TRUE),VLOOKUP($G591,'KO Calc'!$H:$AW,3,FALSE),VLOOKUP($G591,'KO Calc'!$H597:$AW597,3,FALSE)),
IF(AND($Q$1=TRUE,$S$1=TRUE,$S$4=TRUE)=TRUE,IF(OR($Q$4=TRUE,$Q$5=TRUE,$S$2=TRUE),VLOOKUP($G591,'KO Calc'!$H:$AW,18,FALSE),VLOOKUP($G591,'KO Calc'!$H597:$AW597,18,FALSE)),IF(AND($Q$1=TRUE,$S$4=TRUE),IF(OR($Q$4=TRUE,$Q$5=TRUE,$S$2=TRUE),VLOOKUP($G591,'KO Calc'!$H:$AW,8,FALSE),VLOOKUP($G591,'KO Calc'!$H597:$AW597,8,FALSE)),
IF(AND($S$3=TRUE,$S$1=TRUE,$S$4=FALSE)=TRUE,IF(OR($Q$4=TRUE,$Q$5=TRUE,$S$2=TRUE),VLOOKUP($G591,'KO Calc'!$H:$AW,33,FALSE),VLOOKUP($G591,'KO Calc'!$H597:$AW597,33,FALSE)),IF(AND($S$3=TRUE,$S$4=FALSE),IF(OR($Q$4=TRUE,$Q$5=TRUE,$S$2=TRUE),VLOOKUP($G591,'KO Calc'!$H:$AW,23,FALSE),VLOOKUP($G591,'KO Calc'!$H597:$AW597,23,FALSE)),
IF(AND($S$3=TRUE,$S$1=TRUE,$S$4=TRUE)=TRUE,IF(OR($Q$4=TRUE,$Q$5=TRUE,$S$2=TRUE),VLOOKUP($G591,'KO Calc'!$H:$AW,38,FALSE),VLOOKUP($G591,'KO Calc'!$H597:$AW597,38,FALSE)),IF(AND($S$3=TRUE,$S$4=TRUE),IF(OR($Q$4=TRUE,$Q$5=TRUE,$S$2=TRUE),VLOOKUP($G591,'KO Calc'!$H:$AW,28,FALSE),VLOOKUP($G591,'KO Calc'!$H597:$AW597,28,FALSE)))))))))))))</f>
        <v>-</v>
      </c>
      <c r="J591" s="36" t="str">
        <f>IF(AND($Q$1=FALSE,$S$3=FALSE),"-",IF(AND($Q$1=TRUE,$S$3=TRUE),"-",IF(AND($Q$1=FALSE,$S$3=FALSE),"-",IF(AND($Q$1=TRUE,$S$1=TRUE,$S$4=FALSE)=TRUE,IF(OR($Q$4=TRUE,$Q$5=TRUE,$S$2=TRUE),VLOOKUP($G591,'KO Calc'!$H:$AW,FALSE),VLOOKUP($G591,'KO Calc'!$H597:$AW597,14,FALSE)),IF(AND($Q$1=TRUE,$S$4=FALSE),IF(OR($Q$4=TRUE,$Q$5=TRUE,$S$2=TRUE),VLOOKUP($G591,'KO Calc'!$H:$AW,4,FALSE),VLOOKUP($G591,'KO Calc'!$H597:$AW597,4,FALSE)),
IF(AND($Q$1=TRUE,$S$1=TRUE,$S$4=TRUE)=TRUE,IF(OR($Q$4=TRUE,$Q$5=TRUE,$S$2=TRUE),VLOOKUP($G591,'KO Calc'!$H:$AW,19,FALSE),VLOOKUP($G591,'KO Calc'!$H597:$AW597,19,FALSE)),IF(AND($Q$1=TRUE,$S$4=TRUE),IF(OR($Q$4=TRUE,$Q$5=TRUE,$S$2=TRUE),VLOOKUP($G591,'KO Calc'!$H:$AW,9,FALSE),VLOOKUP($G591,'KO Calc'!$H597:$AW597,9,FALSE)),
IF(AND($S$3=TRUE,$S$1=TRUE,$S$4=FALSE)=TRUE,IF(OR($Q$4=TRUE,$Q$5=TRUE,$S$2=TRUE),VLOOKUP($G591,'KO Calc'!$H:$AW,34,FALSE),VLOOKUP($G591,'KO Calc'!$H597:$AW597,34,FALSE)),IF(AND($S$3=TRUE,$S$4=FALSE),IF(OR($Q$4=TRUE,$Q$5=TRUE,$S$2=TRUE),VLOOKUP($G591,'KO Calc'!$H:$AW,24,FALSE),VLOOKUP($G591,'KO Calc'!$H597:$AW597,24,FALSE)),
IF(AND($S$3=TRUE,$S$1=TRUE,$S$4=TRUE)=TRUE,IF(OR($Q$4=TRUE,$Q$5=TRUE,$S$2=TRUE),VLOOKUP($G591,'KO Calc'!$H:$AW,39,FALSE),VLOOKUP($G591,'KO Calc'!$H597:$AW597,39,FALSE)),IF(AND($S$3=TRUE,$S$4=TRUE),IF(OR($Q$4=TRUE,$Q$5=TRUE,$S$2=TRUE),VLOOKUP($G591,'KO Calc'!$H:$AW,29,FALSE),VLOOKUP($G591,'KO Calc'!$H597:$AW597,29,FALSE)))))))))))))</f>
        <v>-</v>
      </c>
      <c r="K591" s="36" t="str">
        <f>IF(AND($Q$1=FALSE,$S$3=FALSE),"-",IF(AND($Q$1=TRUE,$S$3=TRUE),"-",IF(AND($Q$1=FALSE,$S$3=FALSE),"-",IF(AND($Q$1=TRUE,$S$1=TRUE,$S$4=FALSE)=TRUE,IF(OR($Q$4=TRUE,$Q$5=TRUE,$S$2=TRUE),VLOOKUP($G591,'KO Calc'!$H:$AW,15,FALSE),VLOOKUP($G591,'KO Calc'!$H597:$AW597,15,FALSE)),IF(AND($Q$1=TRUE,$S$4=FALSE),IF(OR($Q$4=TRUE,$Q$5=TRUE,$S$2=TRUE),VLOOKUP($G591,'KO Calc'!$H:$AW,5,FALSE),VLOOKUP($G591,'KO Calc'!$H597:$AW597,5,FALSE)),
IF(AND($Q$1=TRUE,$S$1=TRUE,$S$4=TRUE)=TRUE,IF(OR($Q$4=TRUE,$Q$5=TRUE,$S$2=TRUE),VLOOKUP($G591,'KO Calc'!$H:$AW,20,FALSE),VLOOKUP($G591,'KO Calc'!$H597:$AW597,20,FALSE)),IF(AND($Q$1=TRUE,$S$4=TRUE),IF(OR($Q$4=TRUE,$Q$5=TRUE,$S$2=TRUE),VLOOKUP($G591,'KO Calc'!$H:$AW,10,FALSE),VLOOKUP($G591,'KO Calc'!$H597:$AW597,10,FALSE)),
IF(AND($S$3=TRUE,$S$1=TRUE,$S$4=FALSE)=TRUE,IF(OR($Q$4=TRUE,$Q$5=TRUE,$S$2=TRUE),VLOOKUP($G591,'KO Calc'!$H:$AW,35,FALSE),VLOOKUP($G591,'KO Calc'!$H597:$AW597,35,FALSE)),IF(AND($S$3=TRUE,$S$4=FALSE),IF(OR($Q$4=TRUE,$Q$5=TRUE,$S$2=TRUE),VLOOKUP($G591,'KO Calc'!$H:$AW,25,FALSE),VLOOKUP($G591,'KO Calc'!$H597:$AW597,25,FALSE)),
IF(AND($S$3=TRUE,$S$1=TRUE,$S$4=TRUE)=TRUE,IF(OR($Q$4=TRUE,$Q$5=TRUE,$S$2=TRUE),VLOOKUP($G591,'KO Calc'!$H:$AW,40,FALSE),VLOOKUP($G591,'KO Calc'!$H597:$AW597,40,FALSE)),IF(AND($S$3=TRUE,$S$4=TRUE),IF(OR($Q$4=TRUE,$Q$5=TRUE,$S$2=TRUE),VLOOKUP($G591,'KO Calc'!$H:$AW,30,FALSE),VLOOKUP($G591,'KO Calc'!$H597:$AW597,30,FALSE)))))))))))))</f>
        <v>-</v>
      </c>
      <c r="L591" s="36" t="str">
        <f>IFERROR(IF(AND($Q$1=FALSE,$S$3=FALSE),"-",VLOOKUP($E591,'Status Thresholds'!$E:$AU,43,FALSE)),"-")</f>
        <v>-</v>
      </c>
      <c r="M591" s="36" t="str">
        <f>IFERROR(IF(AND($Q$1=FALSE,$S$3=FALSE),"-",VLOOKUP($E591,'Status Thresholds'!$E:$AU,41,FALSE)),"-")</f>
        <v>-</v>
      </c>
      <c r="N591" s="36" t="str">
        <f>IFERROR(IF(AND($Q$1=FALSE,$S$3=FALSE),"-",VLOOKUP($E591,'Status Thresholds'!$E:$AU,42,FALSE)),"-")</f>
        <v>-</v>
      </c>
    </row>
    <row r="592" spans="1:14" x14ac:dyDescent="0.25">
      <c r="B592" s="64" t="str">
        <f>VLOOKUP(C592,'Status Thresholds'!B:C,2,FALSE)</f>
        <v>MHGen</v>
      </c>
      <c r="C592" s="46" t="str">
        <f>IF(ISBLANK('KO Calc'!C588)=TRUE,"",'KO Calc'!C588)</f>
        <v>Rajang</v>
      </c>
      <c r="D592" s="78"/>
      <c r="E592" s="62" t="str">
        <f t="shared" si="17"/>
        <v>Rajang</v>
      </c>
      <c r="F592" t="s">
        <v>11</v>
      </c>
      <c r="G592" s="36" t="str">
        <f t="shared" si="18"/>
        <v>RajangCrag 1</v>
      </c>
      <c r="H592" s="36" t="str">
        <f>IF(AND($Q$1=FALSE,$S$3=FALSE),"-",IF(AND($Q$1=TRUE,$S$3=TRUE),"-",IF(AND($Q$1=FALSE,$S$3=FALSE),"-",IF(AND($Q$1=TRUE,$S$1=TRUE,$S$4=FALSE)=TRUE,IF(OR($Q$4=TRUE,$Q$5=TRUE,$S$2=TRUE),VLOOKUP($G592,'KO Calc'!$H:$AW,12,FALSE),VLOOKUP($G592,'KO Calc'!$H598:$AW598,12,FALSE)),IF(AND($Q$1=TRUE,$S$4=FALSE),IF(OR($Q$4=TRUE,$Q$5=TRUE,$S$2=TRUE),VLOOKUP($G592,'KO Calc'!$H:$AW,2,FALSE),VLOOKUP($G592,'KO Calc'!$H598:$AW598,2,FALSE)),
IF(AND($Q$1=TRUE,$S$1=TRUE,$S$4=TRUE)=TRUE,IF(OR($Q$4=TRUE,$Q$5=TRUE,$S$2=TRUE),VLOOKUP($G592,'KO Calc'!$H:$AW,17,FALSE),VLOOKUP($G592,'KO Calc'!$H598:$AW598,17,FALSE)),IF(AND($Q$1=TRUE,$S$4=TRUE),IF(OR($Q$4=TRUE,$Q$5=TRUE,$S$2=TRUE),VLOOKUP($G592,'KO Calc'!$H:$AW,7,FALSE),VLOOKUP($G592,'KO Calc'!$H598:$AW598,7,FALSE)),
IF(AND($S$3=TRUE,$S$1=TRUE,$S$4=FALSE)=TRUE,IF(OR($Q$4=TRUE,$Q$5=TRUE,$S$2=TRUE),VLOOKUP($G592,'KO Calc'!$H:$AW,32,FALSE),VLOOKUP($G592,'KO Calc'!$H598:$AW598,32,FALSE)),IF(AND($S$3=TRUE,$S$4=FALSE),IF(OR($Q$4=TRUE,$Q$5=TRUE,$S$2=TRUE),VLOOKUP($G592,'KO Calc'!$H:$AW,22,FALSE),VLOOKUP($G592,'KO Calc'!$H598:$AW598,22,FALSE)),
IF(AND($S$3=TRUE,$S$1=TRUE,$S$4=TRUE)=TRUE,IF(OR($Q$4=TRUE,$Q$5=TRUE,$S$2=TRUE),VLOOKUP($G592,'KO Calc'!$H:$AW,37,FALSE),VLOOKUP($G592,'KO Calc'!$H598:$AW598,37,FALSE)),IF(AND($S$3=TRUE,$S$4=TRUE),IF(OR($Q$4=TRUE,$Q$5=TRUE,$S$2=TRUE),VLOOKUP($G592,'KO Calc'!$H:$AW,27,FALSE),VLOOKUP($G592,'KO Calc'!$H598:$AW598,27,FALSE)))))))))))))</f>
        <v>-</v>
      </c>
      <c r="I592" s="36" t="str">
        <f>IF(AND($Q$1=FALSE,$S$3=FALSE),"-",IF(AND($Q$1=TRUE,$S$3=TRUE),"-",IF(AND($Q$1=FALSE,$S$3=FALSE),"-",IF(AND($Q$1=TRUE,$S$1=TRUE,$S$4=FALSE)=TRUE,IF(OR($Q$4=TRUE,$Q$5=TRUE,$S$2=TRUE),VLOOKUP($G592,'KO Calc'!$H:$AW,13,FALSE),VLOOKUP($G592,'KO Calc'!$H598:$AW598,13,FALSE)),IF(AND($Q$1=TRUE,$S$4=FALSE),IF(OR($Q$4=TRUE,$Q$5=TRUE,$S$2=TRUE),VLOOKUP($G592,'KO Calc'!$H:$AW,3,FALSE),VLOOKUP($G592,'KO Calc'!$H598:$AW598,3,FALSE)),
IF(AND($Q$1=TRUE,$S$1=TRUE,$S$4=TRUE)=TRUE,IF(OR($Q$4=TRUE,$Q$5=TRUE,$S$2=TRUE),VLOOKUP($G592,'KO Calc'!$H:$AW,18,FALSE),VLOOKUP($G592,'KO Calc'!$H598:$AW598,18,FALSE)),IF(AND($Q$1=TRUE,$S$4=TRUE),IF(OR($Q$4=TRUE,$Q$5=TRUE,$S$2=TRUE),VLOOKUP($G592,'KO Calc'!$H:$AW,8,FALSE),VLOOKUP($G592,'KO Calc'!$H598:$AW598,8,FALSE)),
IF(AND($S$3=TRUE,$S$1=TRUE,$S$4=FALSE)=TRUE,IF(OR($Q$4=TRUE,$Q$5=TRUE,$S$2=TRUE),VLOOKUP($G592,'KO Calc'!$H:$AW,33,FALSE),VLOOKUP($G592,'KO Calc'!$H598:$AW598,33,FALSE)),IF(AND($S$3=TRUE,$S$4=FALSE),IF(OR($Q$4=TRUE,$Q$5=TRUE,$S$2=TRUE),VLOOKUP($G592,'KO Calc'!$H:$AW,23,FALSE),VLOOKUP($G592,'KO Calc'!$H598:$AW598,23,FALSE)),
IF(AND($S$3=TRUE,$S$1=TRUE,$S$4=TRUE)=TRUE,IF(OR($Q$4=TRUE,$Q$5=TRUE,$S$2=TRUE),VLOOKUP($G592,'KO Calc'!$H:$AW,38,FALSE),VLOOKUP($G592,'KO Calc'!$H598:$AW598,38,FALSE)),IF(AND($S$3=TRUE,$S$4=TRUE),IF(OR($Q$4=TRUE,$Q$5=TRUE,$S$2=TRUE),VLOOKUP($G592,'KO Calc'!$H:$AW,28,FALSE),VLOOKUP($G592,'KO Calc'!$H598:$AW598,28,FALSE)))))))))))))</f>
        <v>-</v>
      </c>
      <c r="J592" s="36" t="str">
        <f>IF(AND($Q$1=FALSE,$S$3=FALSE),"-",IF(AND($Q$1=TRUE,$S$3=TRUE),"-",IF(AND($Q$1=FALSE,$S$3=FALSE),"-",IF(AND($Q$1=TRUE,$S$1=TRUE,$S$4=FALSE)=TRUE,IF(OR($Q$4=TRUE,$Q$5=TRUE,$S$2=TRUE),VLOOKUP($G592,'KO Calc'!$H:$AW,FALSE),VLOOKUP($G592,'KO Calc'!$H598:$AW598,14,FALSE)),IF(AND($Q$1=TRUE,$S$4=FALSE),IF(OR($Q$4=TRUE,$Q$5=TRUE,$S$2=TRUE),VLOOKUP($G592,'KO Calc'!$H:$AW,4,FALSE),VLOOKUP($G592,'KO Calc'!$H598:$AW598,4,FALSE)),
IF(AND($Q$1=TRUE,$S$1=TRUE,$S$4=TRUE)=TRUE,IF(OR($Q$4=TRUE,$Q$5=TRUE,$S$2=TRUE),VLOOKUP($G592,'KO Calc'!$H:$AW,19,FALSE),VLOOKUP($G592,'KO Calc'!$H598:$AW598,19,FALSE)),IF(AND($Q$1=TRUE,$S$4=TRUE),IF(OR($Q$4=TRUE,$Q$5=TRUE,$S$2=TRUE),VLOOKUP($G592,'KO Calc'!$H:$AW,9,FALSE),VLOOKUP($G592,'KO Calc'!$H598:$AW598,9,FALSE)),
IF(AND($S$3=TRUE,$S$1=TRUE,$S$4=FALSE)=TRUE,IF(OR($Q$4=TRUE,$Q$5=TRUE,$S$2=TRUE),VLOOKUP($G592,'KO Calc'!$H:$AW,34,FALSE),VLOOKUP($G592,'KO Calc'!$H598:$AW598,34,FALSE)),IF(AND($S$3=TRUE,$S$4=FALSE),IF(OR($Q$4=TRUE,$Q$5=TRUE,$S$2=TRUE),VLOOKUP($G592,'KO Calc'!$H:$AW,24,FALSE),VLOOKUP($G592,'KO Calc'!$H598:$AW598,24,FALSE)),
IF(AND($S$3=TRUE,$S$1=TRUE,$S$4=TRUE)=TRUE,IF(OR($Q$4=TRUE,$Q$5=TRUE,$S$2=TRUE),VLOOKUP($G592,'KO Calc'!$H:$AW,39,FALSE),VLOOKUP($G592,'KO Calc'!$H598:$AW598,39,FALSE)),IF(AND($S$3=TRUE,$S$4=TRUE),IF(OR($Q$4=TRUE,$Q$5=TRUE,$S$2=TRUE),VLOOKUP($G592,'KO Calc'!$H:$AW,29,FALSE),VLOOKUP($G592,'KO Calc'!$H598:$AW598,29,FALSE)))))))))))))</f>
        <v>-</v>
      </c>
      <c r="K592" s="36" t="str">
        <f>IF(AND($Q$1=FALSE,$S$3=FALSE),"-",IF(AND($Q$1=TRUE,$S$3=TRUE),"-",IF(AND($Q$1=FALSE,$S$3=FALSE),"-",IF(AND($Q$1=TRUE,$S$1=TRUE,$S$4=FALSE)=TRUE,IF(OR($Q$4=TRUE,$Q$5=TRUE,$S$2=TRUE),VLOOKUP($G592,'KO Calc'!$H:$AW,15,FALSE),VLOOKUP($G592,'KO Calc'!$H598:$AW598,15,FALSE)),IF(AND($Q$1=TRUE,$S$4=FALSE),IF(OR($Q$4=TRUE,$Q$5=TRUE,$S$2=TRUE),VLOOKUP($G592,'KO Calc'!$H:$AW,5,FALSE),VLOOKUP($G592,'KO Calc'!$H598:$AW598,5,FALSE)),
IF(AND($Q$1=TRUE,$S$1=TRUE,$S$4=TRUE)=TRUE,IF(OR($Q$4=TRUE,$Q$5=TRUE,$S$2=TRUE),VLOOKUP($G592,'KO Calc'!$H:$AW,20,FALSE),VLOOKUP($G592,'KO Calc'!$H598:$AW598,20,FALSE)),IF(AND($Q$1=TRUE,$S$4=TRUE),IF(OR($Q$4=TRUE,$Q$5=TRUE,$S$2=TRUE),VLOOKUP($G592,'KO Calc'!$H:$AW,10,FALSE),VLOOKUP($G592,'KO Calc'!$H598:$AW598,10,FALSE)),
IF(AND($S$3=TRUE,$S$1=TRUE,$S$4=FALSE)=TRUE,IF(OR($Q$4=TRUE,$Q$5=TRUE,$S$2=TRUE),VLOOKUP($G592,'KO Calc'!$H:$AW,35,FALSE),VLOOKUP($G592,'KO Calc'!$H598:$AW598,35,FALSE)),IF(AND($S$3=TRUE,$S$4=FALSE),IF(OR($Q$4=TRUE,$Q$5=TRUE,$S$2=TRUE),VLOOKUP($G592,'KO Calc'!$H:$AW,25,FALSE),VLOOKUP($G592,'KO Calc'!$H598:$AW598,25,FALSE)),
IF(AND($S$3=TRUE,$S$1=TRUE,$S$4=TRUE)=TRUE,IF(OR($Q$4=TRUE,$Q$5=TRUE,$S$2=TRUE),VLOOKUP($G592,'KO Calc'!$H:$AW,40,FALSE),VLOOKUP($G592,'KO Calc'!$H598:$AW598,40,FALSE)),IF(AND($S$3=TRUE,$S$4=TRUE),IF(OR($Q$4=TRUE,$Q$5=TRUE,$S$2=TRUE),VLOOKUP($G592,'KO Calc'!$H:$AW,30,FALSE),VLOOKUP($G592,'KO Calc'!$H598:$AW598,30,FALSE)))))))))))))</f>
        <v>-</v>
      </c>
      <c r="L592" s="36" t="str">
        <f>IFERROR(VLOOKUP($E592,'Status Thresholds'!$E:$AS,41,FALSE),"-")</f>
        <v>-</v>
      </c>
    </row>
    <row r="593" spans="1:14" x14ac:dyDescent="0.25">
      <c r="B593" s="64" t="str">
        <f>VLOOKUP(C593,'Status Thresholds'!B:C,2,FALSE)</f>
        <v>MHGen</v>
      </c>
      <c r="C593" s="46" t="str">
        <f>IF(ISBLANK('KO Calc'!C589)=TRUE,"",'KO Calc'!C589)</f>
        <v>Rajang</v>
      </c>
      <c r="D593" s="78"/>
      <c r="E593" s="62"/>
      <c r="G593" s="36"/>
      <c r="L593" s="36" t="str">
        <f>IFERROR(VLOOKUP($E593,'Status Thresholds'!$E:$AS,41,FALSE),"-")</f>
        <v>-</v>
      </c>
    </row>
    <row r="594" spans="1:14" s="36" customFormat="1" x14ac:dyDescent="0.25">
      <c r="B594" s="64" t="str">
        <f>VLOOKUP(C594,'Status Thresholds'!B:C,2,FALSE)</f>
        <v>MHGen</v>
      </c>
      <c r="C594" s="46" t="str">
        <f>IF(ISBLANK('KO Calc'!C590)=TRUE,"",'KO Calc'!C590)</f>
        <v>Rajang (Furious)</v>
      </c>
      <c r="D594" s="65" t="s">
        <v>0</v>
      </c>
      <c r="E594" s="62" t="str">
        <f t="shared" si="17"/>
        <v>Rajang (Furious)Para</v>
      </c>
      <c r="F594" s="36" t="s">
        <v>2</v>
      </c>
      <c r="G594" s="36" t="str">
        <f t="shared" si="18"/>
        <v>Rajang (Furious)Para lvl 2</v>
      </c>
      <c r="H594" s="36" t="str">
        <f>IFERROR(ROUNDUP(IF(AND($Q$1=FALSE,$S$3=FALSE),"-",IF(AND($Q$1=TRUE,$S$3=TRUE),"-",IF(AND($Q$1=TRUE,$S$1=TRUE,$S$4=FALSE),VLOOKUP($E594,'Status Thresholds'!$E:$AS,12,FALSE),IF(AND($Q$1=TRUE,$S$4=FALSE),VLOOKUP($E594,'Status Thresholds'!$E:$AS,2,FALSE), IF(AND($Q$1=TRUE,$S$1=TRUE,$S$4=TRUE),VLOOKUP($E594,'Status Thresholds'!$E:$AS,17,FALSE),IF(AND($Q$1=TRUE,$S$4=TRUE),VLOOKUP($E594,'Status Thresholds'!$E:$AS,7,FALSE),IF(AND($S$3=TRUE,$S$1=TRUE,$S$4=FALSE),VLOOKUP($E594,'Status Thresholds'!$E:$AS,32,FALSE),IF(AND($S$3=TRUE,$S$4=FALSE),VLOOKUP($E594,'Status Thresholds'!$E:$AS,22,FALSE),IF(AND($S$3=TRUE,$S$1=TRUE,$S$4=TRUE),VLOOKUP($E594,'Status Thresholds'!$E:$AS,37,FALSE),IF(AND($S$3=TRUE,$S$4=TRUE),VLOOKUP($E594,'Status Thresholds'!$E:$AS,27,FALSE),""))))))))/IF(OR($Q$3=TRUE,AND($Q$2=TRUE,$Q$7=TRUE),AND($Q$3=TRUE,$Q$7=TRUE))=TRUE,'Shots and Status'!$F$5,IF((OR($Q$2,$Q$7)=TRUE),'Shots and Status'!$D$5,'Shots and Status'!$C$5)))),0),"-")</f>
        <v>-</v>
      </c>
      <c r="I594" s="36" t="str">
        <f>IFERROR(ROUNDUP(IF(AND($Q$1=FALSE,$S$3=FALSE),"-",IF(AND($Q$1=TRUE,$S$3=TRUE),"-",IF(AND($Q$1=TRUE,$S$1=TRUE,$S$4=FALSE),VLOOKUP($E594,'Status Thresholds'!$E:$AS,13,FALSE),IF(AND($Q$1=TRUE,$S$4=FALSE),VLOOKUP($E594,'Status Thresholds'!$E:$AS,3,FALSE), IF(AND($Q$1=TRUE,$S$1=TRUE,$S$4=TRUE),VLOOKUP($E594,'Status Thresholds'!$E:$AS,18,FALSE),IF(AND($Q$1=TRUE,$S$4=TRUE),VLOOKUP($E594,'Status Thresholds'!$E:$AS,8,FALSE),IF(AND($S$3=TRUE,$S$1=TRUE,$S$4=FALSE),VLOOKUP($E594,'Status Thresholds'!$E:$AS,33,FALSE),IF(AND($S$3=TRUE,$S$4=FALSE),VLOOKUP($E594,'Status Thresholds'!$E:$AS,23,FALSE),IF(AND($S$3=TRUE,$S$1=TRUE,$S$4=TRUE),VLOOKUP($E594,'Status Thresholds'!$E:$AS,38,FALSE),IF(AND($S$3=TRUE,$S$4=TRUE),VLOOKUP($E594,'Status Thresholds'!$E:$AS,28,FALSE),""))))))))/IF(OR($Q$3=TRUE,AND($Q$2=TRUE,$Q$7=TRUE),AND($Q$3=TRUE,$Q$7=TRUE))=TRUE,'Shots and Status'!$F$5,IF((OR($Q$2,$Q$7)=TRUE),'Shots and Status'!$D$5,'Shots and Status'!$C$5)))),0),"-")</f>
        <v>-</v>
      </c>
      <c r="J594" s="36" t="str">
        <f>IFERROR(ROUNDUP(IF(AND($Q$1=FALSE,$S$3=FALSE),"-",IF(AND($Q$1=TRUE,$S$3=TRUE),"-",IF(AND($Q$1=TRUE,$S$1=TRUE,$S$4=FALSE),VLOOKUP($E594,'Status Thresholds'!$E:$AS,14,FALSE),IF(AND($Q$1=TRUE,$S$4=FALSE),VLOOKUP($E594,'Status Thresholds'!$E:$AS,4,FALSE), IF(AND($Q$1=TRUE,$S$1=TRUE,$S$4=TRUE),VLOOKUP($E594,'Status Thresholds'!$E:$AS,19,FALSE),IF(AND($Q$1=TRUE,$S$4=TRUE),VLOOKUP($E594,'Status Thresholds'!$E:$AS,9,FALSE),IF(AND($S$3=TRUE,$S$1=TRUE,$S$4=FALSE),VLOOKUP($E594,'Status Thresholds'!$E:$AS,34,FALSE),IF(AND($S$3=TRUE,$S$4=FALSE),VLOOKUP($E594,'Status Thresholds'!$E:$AS,24,FALSE),IF(AND($S$3=TRUE,$S$1=TRUE,$S$4=TRUE),VLOOKUP($E594,'Status Thresholds'!$E:$AS,39,FALSE),IF(AND($S$3=TRUE,$S$4=TRUE),VLOOKUP($E594,'Status Thresholds'!$E:$AS,29,FALSE),""))))))))/IF(OR($Q$3=TRUE,AND($Q$2=TRUE,$Q$7=TRUE),AND($Q$3=TRUE,$Q$7=TRUE))=TRUE,'Shots and Status'!$F$5,IF((OR($Q$2,$Q$7)=TRUE),'Shots and Status'!$D$5,'Shots and Status'!$C$5)))),0),"-")</f>
        <v>-</v>
      </c>
      <c r="K594" s="36" t="str">
        <f>IFERROR(ROUNDUP(IF(AND($Q$1=FALSE,$S$3=FALSE),"-",IF(AND($Q$1=TRUE,$S$3=TRUE),"-",IF(AND($Q$1=TRUE,$S$1=TRUE,$S$4=FALSE),VLOOKUP($E594,'Status Thresholds'!$E:$AS,15,FALSE),IF(AND($Q$1=TRUE,$S$4=FALSE),VLOOKUP($E594,'Status Thresholds'!$E:$AS,5,FALSE), IF(AND($Q$1=TRUE,$S$1=TRUE,$S$4=TRUE),VLOOKUP($E594,'Status Thresholds'!$E:$AS,20,FALSE),IF(AND($Q$1=TRUE,$S$4=TRUE),VLOOKUP($E594,'Status Thresholds'!$E:$AS,10,FALSE),IF(AND($S$3=TRUE,$S$1=TRUE,$S$4=FALSE),VLOOKUP($E594,'Status Thresholds'!$E:$AS,35,FALSE),IF(AND($S$3=TRUE,$S$4=FALSE),VLOOKUP($E594,'Status Thresholds'!$E:$AS,25,FALSE),IF(AND($S$3=TRUE,$S$1=TRUE,$S$4=TRUE),VLOOKUP($E594,'Status Thresholds'!$E:$AS,40,FALSE),IF(AND($S$3=TRUE,$S$4=TRUE),VLOOKUP($E594,'Status Thresholds'!$E:$AS,30,FALSE),""))))))))/IF(OR($Q$3=TRUE,AND($Q$2=TRUE,$Q$7=TRUE),AND($Q$3=TRUE,$Q$7=TRUE))=TRUE,'Shots and Status'!$F$5,IF((OR($Q$2,$Q$7)=TRUE),'Shots and Status'!$D$5,'Shots and Status'!$C$5)))),0),"-")</f>
        <v>-</v>
      </c>
      <c r="L594" s="36" t="str">
        <f>IFERROR(IF(AND($Q$1=FALSE,$S$3=FALSE),"-",VLOOKUP($E594,'Status Thresholds'!$E:$AU,41,FALSE)),"-")</f>
        <v>-</v>
      </c>
      <c r="M594" s="36" t="str">
        <f>IFERROR(IF(AND($Q$1=FALSE,$S$3=FALSE),"-",VLOOKUP($E594,'Status Thresholds'!$E:$AU,42,FALSE)),"-")</f>
        <v>-</v>
      </c>
      <c r="N594" s="36" t="str">
        <f>IFERROR(IF(AND($Q$1=FALSE,$S$3=FALSE),"-",VLOOKUP($E594,'Status Thresholds'!$E:$AU,43,FALSE)),"-")</f>
        <v>-</v>
      </c>
    </row>
    <row r="595" spans="1:14" s="59" customFormat="1" x14ac:dyDescent="0.25">
      <c r="A595" s="46"/>
      <c r="B595" s="64" t="str">
        <f>VLOOKUP(C595,'Status Thresholds'!B:C,2,FALSE)</f>
        <v>MHGen</v>
      </c>
      <c r="C595" s="46" t="str">
        <f>IF(ISBLANK('KO Calc'!C591)=TRUE,"",'KO Calc'!C591)</f>
        <v>Rajang (Furious)</v>
      </c>
      <c r="D595" s="60" t="s">
        <v>32</v>
      </c>
      <c r="E595" s="62" t="str">
        <f t="shared" si="17"/>
        <v>Rajang (Furious)Sleep</v>
      </c>
      <c r="F595" s="59" t="s">
        <v>5</v>
      </c>
      <c r="G595" s="36" t="str">
        <f t="shared" si="18"/>
        <v>Rajang (Furious)Sleep lvl 2</v>
      </c>
      <c r="H595" s="36" t="str">
        <f>IFERROR(ROUNDUP(IF(AND($Q$1=FALSE,$S$3=FALSE),"-",IF(AND($Q$1=TRUE,$S$3=TRUE),"-",IF(AND($Q$1=TRUE,$S$1=TRUE,$S$4=FALSE),VLOOKUP($E595,'Status Thresholds'!$E:$AS,12,FALSE),IF(AND($Q$1=TRUE,$S$4=FALSE),VLOOKUP($E595,'Status Thresholds'!$E:$AS,2,FALSE), IF(AND($Q$1=TRUE,$S$1=TRUE,$S$4=TRUE),VLOOKUP($E595,'Status Thresholds'!$E:$AS,17,FALSE),IF(AND($Q$1=TRUE,$S$4=TRUE),VLOOKUP($E595,'Status Thresholds'!$E:$AS,7,FALSE),IF(AND($S$3=TRUE,$S$1=TRUE,$S$4=FALSE),VLOOKUP($E595,'Status Thresholds'!$E:$AS,32,FALSE),IF(AND($S$3=TRUE,$S$4=FALSE),VLOOKUP($E595,'Status Thresholds'!$E:$AS,22,FALSE),IF(AND($S$3=TRUE,$S$1=TRUE,$S$4=TRUE),VLOOKUP($E595,'Status Thresholds'!$E:$AS,37,FALSE),IF(AND($S$3=TRUE,$S$4=TRUE),VLOOKUP($E595,'Status Thresholds'!$E:$AS,27,FALSE),""))))))))/IF(OR($Q$3=TRUE,AND($Q$2=TRUE,$Q$7=TRUE),AND($Q$3=TRUE,$Q$7=TRUE))=TRUE,'Shots and Status'!$F$5,IF((OR($Q$2,$Q$7)=TRUE),'Shots and Status'!$D$5,'Shots and Status'!$C$5)))),0),"-")</f>
        <v>-</v>
      </c>
      <c r="I595" s="36" t="str">
        <f>IFERROR(ROUNDUP(IF(AND($Q$1=FALSE,$S$3=FALSE),"-",IF(AND($Q$1=TRUE,$S$3=TRUE),"-",IF(AND($Q$1=TRUE,$S$1=TRUE,$S$4=FALSE),VLOOKUP($E595,'Status Thresholds'!$E:$AS,13,FALSE),IF(AND($Q$1=TRUE,$S$4=FALSE),VLOOKUP($E595,'Status Thresholds'!$E:$AS,3,FALSE), IF(AND($Q$1=TRUE,$S$1=TRUE,$S$4=TRUE),VLOOKUP($E595,'Status Thresholds'!$E:$AS,18,FALSE),IF(AND($Q$1=TRUE,$S$4=TRUE),VLOOKUP($E595,'Status Thresholds'!$E:$AS,8,FALSE),IF(AND($S$3=TRUE,$S$1=TRUE,$S$4=FALSE),VLOOKUP($E595,'Status Thresholds'!$E:$AS,33,FALSE),IF(AND($S$3=TRUE,$S$4=FALSE),VLOOKUP($E595,'Status Thresholds'!$E:$AS,23,FALSE),IF(AND($S$3=TRUE,$S$1=TRUE,$S$4=TRUE),VLOOKUP($E595,'Status Thresholds'!$E:$AS,38,FALSE),IF(AND($S$3=TRUE,$S$4=TRUE),VLOOKUP($E595,'Status Thresholds'!$E:$AS,28,FALSE),""))))))))/IF(OR($Q$3=TRUE,AND($Q$2=TRUE,$Q$7=TRUE),AND($Q$3=TRUE,$Q$7=TRUE))=TRUE,'Shots and Status'!$F$5,IF((OR($Q$2,$Q$7)=TRUE),'Shots and Status'!$D$5,'Shots and Status'!$C$5)))),0),"-")</f>
        <v>-</v>
      </c>
      <c r="J595" s="36" t="str">
        <f>IFERROR(ROUNDUP(IF(AND($Q$1=FALSE,$S$3=FALSE),"-",IF(AND($Q$1=TRUE,$S$3=TRUE),"-",IF(AND($Q$1=TRUE,$S$1=TRUE,$S$4=FALSE),VLOOKUP($E595,'Status Thresholds'!$E:$AS,14,FALSE),IF(AND($Q$1=TRUE,$S$4=FALSE),VLOOKUP($E595,'Status Thresholds'!$E:$AS,4,FALSE), IF(AND($Q$1=TRUE,$S$1=TRUE,$S$4=TRUE),VLOOKUP($E595,'Status Thresholds'!$E:$AS,19,FALSE),IF(AND($Q$1=TRUE,$S$4=TRUE),VLOOKUP($E595,'Status Thresholds'!$E:$AS,9,FALSE),IF(AND($S$3=TRUE,$S$1=TRUE,$S$4=FALSE),VLOOKUP($E595,'Status Thresholds'!$E:$AS,34,FALSE),IF(AND($S$3=TRUE,$S$4=FALSE),VLOOKUP($E595,'Status Thresholds'!$E:$AS,24,FALSE),IF(AND($S$3=TRUE,$S$1=TRUE,$S$4=TRUE),VLOOKUP($E595,'Status Thresholds'!$E:$AS,39,FALSE),IF(AND($S$3=TRUE,$S$4=TRUE),VLOOKUP($E595,'Status Thresholds'!$E:$AS,29,FALSE),""))))))))/IF(OR($Q$3=TRUE,AND($Q$2=TRUE,$Q$7=TRUE),AND($Q$3=TRUE,$Q$7=TRUE))=TRUE,'Shots and Status'!$F$5,IF((OR($Q$2,$Q$7)=TRUE),'Shots and Status'!$D$5,'Shots and Status'!$C$5)))),0),"-")</f>
        <v>-</v>
      </c>
      <c r="K595" s="36" t="str">
        <f>IFERROR(ROUNDUP(IF(AND($Q$1=FALSE,$S$3=FALSE),"-",IF(AND($Q$1=TRUE,$S$3=TRUE),"-",IF(AND($Q$1=TRUE,$S$1=TRUE,$S$4=FALSE),VLOOKUP($E595,'Status Thresholds'!$E:$AS,15,FALSE),IF(AND($Q$1=TRUE,$S$4=FALSE),VLOOKUP($E595,'Status Thresholds'!$E:$AS,5,FALSE), IF(AND($Q$1=TRUE,$S$1=TRUE,$S$4=TRUE),VLOOKUP($E595,'Status Thresholds'!$E:$AS,20,FALSE),IF(AND($Q$1=TRUE,$S$4=TRUE),VLOOKUP($E595,'Status Thresholds'!$E:$AS,10,FALSE),IF(AND($S$3=TRUE,$S$1=TRUE,$S$4=FALSE),VLOOKUP($E595,'Status Thresholds'!$E:$AS,35,FALSE),IF(AND($S$3=TRUE,$S$4=FALSE),VLOOKUP($E595,'Status Thresholds'!$E:$AS,25,FALSE),IF(AND($S$3=TRUE,$S$1=TRUE,$S$4=TRUE),VLOOKUP($E595,'Status Thresholds'!$E:$AS,40,FALSE),IF(AND($S$3=TRUE,$S$4=TRUE),VLOOKUP($E595,'Status Thresholds'!$E:$AS,30,FALSE),""))))))))/IF(OR($Q$3=TRUE,AND($Q$2=TRUE,$Q$7=TRUE),AND($Q$3=TRUE,$Q$7=TRUE))=TRUE,'Shots and Status'!$F$5,IF((OR($Q$2,$Q$7)=TRUE),'Shots and Status'!$D$5,'Shots and Status'!$C$5)))),0),"-")</f>
        <v>-</v>
      </c>
      <c r="L595" s="36" t="str">
        <f>IFERROR(IF(AND($Q$1=FALSE,$S$3=FALSE),"-",VLOOKUP($E595,'Status Thresholds'!$E:$AU,41,FALSE)),"-")</f>
        <v>-</v>
      </c>
      <c r="M595" s="36" t="str">
        <f>IFERROR(IF(AND($Q$1=FALSE,$S$3=FALSE),"-",VLOOKUP($E595,'Status Thresholds'!$E:$AU,42,FALSE)),"-")</f>
        <v>-</v>
      </c>
      <c r="N595" s="36" t="str">
        <f>IFERROR(IF(AND($Q$1=FALSE,$S$3=FALSE),"-",VLOOKUP($E595,'Status Thresholds'!$E:$AU,43,FALSE)),"-")</f>
        <v>-</v>
      </c>
    </row>
    <row r="596" spans="1:14" s="59" customFormat="1" x14ac:dyDescent="0.25">
      <c r="A596" s="46"/>
      <c r="B596" s="64" t="str">
        <f>VLOOKUP(C596,'Status Thresholds'!B:C,2,FALSE)</f>
        <v>MHGen</v>
      </c>
      <c r="C596" s="46" t="str">
        <f>IF(ISBLANK('KO Calc'!C592)=TRUE,"",'KO Calc'!C592)</f>
        <v>Rajang (Furious)</v>
      </c>
      <c r="D596" s="58" t="s">
        <v>33</v>
      </c>
      <c r="E596" s="62" t="str">
        <f t="shared" si="17"/>
        <v>Rajang (Furious)Poison</v>
      </c>
      <c r="F596" s="59" t="s">
        <v>6</v>
      </c>
      <c r="G596" s="36" t="str">
        <f t="shared" si="18"/>
        <v>Rajang (Furious)Poison lvl 2</v>
      </c>
      <c r="H596" s="36" t="str">
        <f>IFERROR(ROUNDUP(IF(AND($Q$1=FALSE,$S$3=FALSE),"-",IF(AND($Q$1=TRUE,$S$3=TRUE),"-",IF(AND($Q$1=TRUE,$S$1=TRUE,$S$4=FALSE),VLOOKUP($E596,'Status Thresholds'!$E:$AS,12,FALSE),IF(AND($Q$1=TRUE,$S$4=FALSE),VLOOKUP($E596,'Status Thresholds'!$E:$AS,2,FALSE), IF(AND($Q$1=TRUE,$S$1=TRUE,$S$4=TRUE),VLOOKUP($E596,'Status Thresholds'!$E:$AS,17,FALSE),IF(AND($Q$1=TRUE,$S$4=TRUE),VLOOKUP($E596,'Status Thresholds'!$E:$AS,7,FALSE),IF(AND($S$3=TRUE,$S$1=TRUE,$S$4=FALSE),VLOOKUP($E596,'Status Thresholds'!$E:$AS,32,FALSE),IF(AND($S$3=TRUE,$S$4=FALSE),VLOOKUP($E596,'Status Thresholds'!$E:$AS,22,FALSE),IF(AND($S$3=TRUE,$S$1=TRUE,$S$4=TRUE),VLOOKUP($E596,'Status Thresholds'!$E:$AS,37,FALSE),IF(AND($S$3=TRUE,$S$4=TRUE),VLOOKUP($E596,'Status Thresholds'!$E:$AS,27,FALSE),""))))))))/IF(OR($Q$3=TRUE,AND($Q$2=TRUE,$Q$7=TRUE),AND($Q$3=TRUE,$Q$7=TRUE))=TRUE,'Shots and Status'!$F$5,IF((OR($Q$2,$Q$7)=TRUE),'Shots and Status'!$D$5,'Shots and Status'!$C$5)))),0),"-")</f>
        <v>-</v>
      </c>
      <c r="I596" s="36" t="str">
        <f>IFERROR(ROUNDUP(IF(AND($Q$1=FALSE,$S$3=FALSE),"-",IF(AND($Q$1=TRUE,$S$3=TRUE),"-",IF(AND($Q$1=TRUE,$S$1=TRUE,$S$4=FALSE),VLOOKUP($E596,'Status Thresholds'!$E:$AS,13,FALSE),IF(AND($Q$1=TRUE,$S$4=FALSE),VLOOKUP($E596,'Status Thresholds'!$E:$AS,3,FALSE), IF(AND($Q$1=TRUE,$S$1=TRUE,$S$4=TRUE),VLOOKUP($E596,'Status Thresholds'!$E:$AS,18,FALSE),IF(AND($Q$1=TRUE,$S$4=TRUE),VLOOKUP($E596,'Status Thresholds'!$E:$AS,8,FALSE),IF(AND($S$3=TRUE,$S$1=TRUE,$S$4=FALSE),VLOOKUP($E596,'Status Thresholds'!$E:$AS,33,FALSE),IF(AND($S$3=TRUE,$S$4=FALSE),VLOOKUP($E596,'Status Thresholds'!$E:$AS,23,FALSE),IF(AND($S$3=TRUE,$S$1=TRUE,$S$4=TRUE),VLOOKUP($E596,'Status Thresholds'!$E:$AS,38,FALSE),IF(AND($S$3=TRUE,$S$4=TRUE),VLOOKUP($E596,'Status Thresholds'!$E:$AS,28,FALSE),""))))))))/IF(OR($Q$3=TRUE,AND($Q$2=TRUE,$Q$7=TRUE),AND($Q$3=TRUE,$Q$7=TRUE))=TRUE,'Shots and Status'!$F$5,IF((OR($Q$2,$Q$7)=TRUE),'Shots and Status'!$D$5,'Shots and Status'!$C$5)))),0),"-")</f>
        <v>-</v>
      </c>
      <c r="J596" s="36" t="str">
        <f>IFERROR(ROUNDUP(IF(AND($Q$1=FALSE,$S$3=FALSE),"-",IF(AND($Q$1=TRUE,$S$3=TRUE),"-",IF(AND($Q$1=TRUE,$S$1=TRUE,$S$4=FALSE),VLOOKUP($E596,'Status Thresholds'!$E:$AS,14,FALSE),IF(AND($Q$1=TRUE,$S$4=FALSE),VLOOKUP($E596,'Status Thresholds'!$E:$AS,4,FALSE), IF(AND($Q$1=TRUE,$S$1=TRUE,$S$4=TRUE),VLOOKUP($E596,'Status Thresholds'!$E:$AS,19,FALSE),IF(AND($Q$1=TRUE,$S$4=TRUE),VLOOKUP($E596,'Status Thresholds'!$E:$AS,9,FALSE),IF(AND($S$3=TRUE,$S$1=TRUE,$S$4=FALSE),VLOOKUP($E596,'Status Thresholds'!$E:$AS,34,FALSE),IF(AND($S$3=TRUE,$S$4=FALSE),VLOOKUP($E596,'Status Thresholds'!$E:$AS,24,FALSE),IF(AND($S$3=TRUE,$S$1=TRUE,$S$4=TRUE),VLOOKUP($E596,'Status Thresholds'!$E:$AS,39,FALSE),IF(AND($S$3=TRUE,$S$4=TRUE),VLOOKUP($E596,'Status Thresholds'!$E:$AS,29,FALSE),""))))))))/IF(OR($Q$3=TRUE,AND($Q$2=TRUE,$Q$7=TRUE),AND($Q$3=TRUE,$Q$7=TRUE))=TRUE,'Shots and Status'!$F$5,IF((OR($Q$2,$Q$7)=TRUE),'Shots and Status'!$D$5,'Shots and Status'!$C$5)))),0),"-")</f>
        <v>-</v>
      </c>
      <c r="K596" s="36" t="str">
        <f>IFERROR(ROUNDUP(IF(AND($Q$1=FALSE,$S$3=FALSE),"-",IF(AND($Q$1=TRUE,$S$3=TRUE),"-",IF(AND($Q$1=TRUE,$S$1=TRUE,$S$4=FALSE),VLOOKUP($E596,'Status Thresholds'!$E:$AS,15,FALSE),IF(AND($Q$1=TRUE,$S$4=FALSE),VLOOKUP($E596,'Status Thresholds'!$E:$AS,5,FALSE), IF(AND($Q$1=TRUE,$S$1=TRUE,$S$4=TRUE),VLOOKUP($E596,'Status Thresholds'!$E:$AS,20,FALSE),IF(AND($Q$1=TRUE,$S$4=TRUE),VLOOKUP($E596,'Status Thresholds'!$E:$AS,10,FALSE),IF(AND($S$3=TRUE,$S$1=TRUE,$S$4=FALSE),VLOOKUP($E596,'Status Thresholds'!$E:$AS,35,FALSE),IF(AND($S$3=TRUE,$S$4=FALSE),VLOOKUP($E596,'Status Thresholds'!$E:$AS,25,FALSE),IF(AND($S$3=TRUE,$S$1=TRUE,$S$4=TRUE),VLOOKUP($E596,'Status Thresholds'!$E:$AS,40,FALSE),IF(AND($S$3=TRUE,$S$4=TRUE),VLOOKUP($E596,'Status Thresholds'!$E:$AS,30,FALSE),""))))))))/IF(OR($Q$3=TRUE,AND($Q$2=TRUE,$Q$7=TRUE),AND($Q$3=TRUE,$Q$7=TRUE))=TRUE,'Shots and Status'!$F$5,IF((OR($Q$2,$Q$7)=TRUE),'Shots and Status'!$D$5,'Shots and Status'!$C$5)))),0),"-")</f>
        <v>-</v>
      </c>
      <c r="L596" s="36" t="str">
        <f>IFERROR(IF(AND($Q$1=FALSE,$S$3=FALSE),"-",VLOOKUP($E596,'Status Thresholds'!$E:$AU,41,FALSE)),"-")</f>
        <v>-</v>
      </c>
      <c r="M596" s="36" t="str">
        <f>IFERROR(IF(AND($Q$1=FALSE,$S$3=FALSE),"-",VLOOKUP($E596,'Status Thresholds'!$E:$AU,42,FALSE)),"-")</f>
        <v>-</v>
      </c>
      <c r="N596" s="36" t="str">
        <f>IFERROR(IF(AND($Q$1=FALSE,$S$3=FALSE),"-",VLOOKUP($E596,'Status Thresholds'!$E:$AU,43,FALSE)),"-")</f>
        <v>-</v>
      </c>
    </row>
    <row r="597" spans="1:14" s="36" customFormat="1" x14ac:dyDescent="0.25">
      <c r="A597" s="46"/>
      <c r="B597" s="64" t="str">
        <f>VLOOKUP(C597,'Status Thresholds'!B:C,2,FALSE)</f>
        <v>MHGen</v>
      </c>
      <c r="C597" s="46" t="str">
        <f>IF(ISBLANK('KO Calc'!C593)=TRUE,"",'KO Calc'!C593)</f>
        <v>Rajang (Furious)</v>
      </c>
      <c r="D597" s="57" t="s">
        <v>22</v>
      </c>
      <c r="E597" s="62" t="str">
        <f t="shared" si="17"/>
        <v>Rajang (Furious)Exhaust</v>
      </c>
      <c r="F597" s="36" t="s">
        <v>8</v>
      </c>
      <c r="G597" s="36" t="str">
        <f t="shared" si="18"/>
        <v>Rajang (Furious)Exhaust lvl 2</v>
      </c>
      <c r="H597" s="36" t="str">
        <f>IFERROR(ROUNDUP(IF(AND($Q$1=FALSE,$S$3=FALSE),"-",IF(AND($Q$1=TRUE,$S$3=TRUE),"-",IF(AND($Q$1=TRUE,$S$1=TRUE,$S$4=FALSE),VLOOKUP($E597,'Status Thresholds'!$E:$AS,12,FALSE),IF(AND($Q$1=TRUE,$S$4=FALSE),VLOOKUP($E597,'Status Thresholds'!$E:$AS,2,FALSE), IF(AND($Q$1=TRUE,$S$1=TRUE,$S$4=TRUE),VLOOKUP($E597,'Status Thresholds'!$E:$AS,17,FALSE),IF(AND($Q$1=TRUE,$S$4=TRUE),VLOOKUP($E597,'Status Thresholds'!$E:$AS,7,FALSE),IF(AND($S$3=TRUE,$S$1=TRUE,$S$4=FALSE),VLOOKUP($E597,'Status Thresholds'!$E:$AS,32,FALSE),IF(AND($S$3=TRUE,$S$4=FALSE),VLOOKUP($E597,'Status Thresholds'!$E:$AS,22,FALSE),IF(AND($S$3=TRUE,$S$1=TRUE,$S$4=TRUE),VLOOKUP($E597,'Status Thresholds'!$E:$AS,37,FALSE),IF(AND($S$3=TRUE,$S$4=TRUE),VLOOKUP($E597,'Status Thresholds'!$E:$AS,27,FALSE),""))))))))/IF(OR($Q$3=TRUE,AND($Q$2=TRUE,$Q$7=TRUE),AND($Q$3=TRUE,$Q$7=TRUE))=TRUE,'Shots and Status'!$F$5,IF((OR($Q$2,$Q$7)=TRUE),'Shots and Status'!$D$5,'Shots and Status'!$C$5)))),0),"-")</f>
        <v>-</v>
      </c>
      <c r="I597" s="36" t="str">
        <f>IFERROR(ROUNDUP(IF(AND($Q$1=FALSE,$S$3=FALSE),"-",IF(AND($Q$1=TRUE,$S$3=TRUE),"-",IF(AND($Q$1=TRUE,$S$1=TRUE,$S$4=FALSE),VLOOKUP($E597,'Status Thresholds'!$E:$AS,13,FALSE),IF(AND($Q$1=TRUE,$S$4=FALSE),VLOOKUP($E597,'Status Thresholds'!$E:$AS,3,FALSE), IF(AND($Q$1=TRUE,$S$1=TRUE,$S$4=TRUE),VLOOKUP($E597,'Status Thresholds'!$E:$AS,18,FALSE),IF(AND($Q$1=TRUE,$S$4=TRUE),VLOOKUP($E597,'Status Thresholds'!$E:$AS,8,FALSE),IF(AND($S$3=TRUE,$S$1=TRUE,$S$4=FALSE),VLOOKUP($E597,'Status Thresholds'!$E:$AS,33,FALSE),IF(AND($S$3=TRUE,$S$4=FALSE),VLOOKUP($E597,'Status Thresholds'!$E:$AS,23,FALSE),IF(AND($S$3=TRUE,$S$1=TRUE,$S$4=TRUE),VLOOKUP($E597,'Status Thresholds'!$E:$AS,38,FALSE),IF(AND($S$3=TRUE,$S$4=TRUE),VLOOKUP($E597,'Status Thresholds'!$E:$AS,28,FALSE),""))))))))/IF(OR($Q$3=TRUE,AND($Q$2=TRUE,$Q$7=TRUE),AND($Q$3=TRUE,$Q$7=TRUE))=TRUE,'Shots and Status'!$F$5,IF((OR($Q$2,$Q$7)=TRUE),'Shots and Status'!$D$5,'Shots and Status'!$C$5)))),0),"-")</f>
        <v>-</v>
      </c>
      <c r="J597" s="36" t="str">
        <f>IFERROR(ROUNDUP(IF(AND($Q$1=FALSE,$S$3=FALSE),"-",IF(AND($Q$1=TRUE,$S$3=TRUE),"-",IF(AND($Q$1=TRUE,$S$1=TRUE,$S$4=FALSE),VLOOKUP($E597,'Status Thresholds'!$E:$AS,14,FALSE),IF(AND($Q$1=TRUE,$S$4=FALSE),VLOOKUP($E597,'Status Thresholds'!$E:$AS,4,FALSE), IF(AND($Q$1=TRUE,$S$1=TRUE,$S$4=TRUE),VLOOKUP($E597,'Status Thresholds'!$E:$AS,19,FALSE),IF(AND($Q$1=TRUE,$S$4=TRUE),VLOOKUP($E597,'Status Thresholds'!$E:$AS,9,FALSE),IF(AND($S$3=TRUE,$S$1=TRUE,$S$4=FALSE),VLOOKUP($E597,'Status Thresholds'!$E:$AS,34,FALSE),IF(AND($S$3=TRUE,$S$4=FALSE),VLOOKUP($E597,'Status Thresholds'!$E:$AS,24,FALSE),IF(AND($S$3=TRUE,$S$1=TRUE,$S$4=TRUE),VLOOKUP($E597,'Status Thresholds'!$E:$AS,39,FALSE),IF(AND($S$3=TRUE,$S$4=TRUE),VLOOKUP($E597,'Status Thresholds'!$E:$AS,29,FALSE),""))))))))/IF(OR($Q$3=TRUE,AND($Q$2=TRUE,$Q$7=TRUE),AND($Q$3=TRUE,$Q$7=TRUE))=TRUE,'Shots and Status'!$F$5,IF((OR($Q$2,$Q$7)=TRUE),'Shots and Status'!$D$5,'Shots and Status'!$C$5)))),0),"-")</f>
        <v>-</v>
      </c>
      <c r="K597" s="36" t="str">
        <f>IFERROR(ROUNDUP(IF(AND($Q$1=FALSE,$S$3=FALSE),"-",IF(AND($Q$1=TRUE,$S$3=TRUE),"-",IF(AND($Q$1=TRUE,$S$1=TRUE,$S$4=FALSE),VLOOKUP($E597,'Status Thresholds'!$E:$AS,15,FALSE),IF(AND($Q$1=TRUE,$S$4=FALSE),VLOOKUP($E597,'Status Thresholds'!$E:$AS,5,FALSE), IF(AND($Q$1=TRUE,$S$1=TRUE,$S$4=TRUE),VLOOKUP($E597,'Status Thresholds'!$E:$AS,20,FALSE),IF(AND($Q$1=TRUE,$S$4=TRUE),VLOOKUP($E597,'Status Thresholds'!$E:$AS,10,FALSE),IF(AND($S$3=TRUE,$S$1=TRUE,$S$4=FALSE),VLOOKUP($E597,'Status Thresholds'!$E:$AS,35,FALSE),IF(AND($S$3=TRUE,$S$4=FALSE),VLOOKUP($E597,'Status Thresholds'!$E:$AS,25,FALSE),IF(AND($S$3=TRUE,$S$1=TRUE,$S$4=TRUE),VLOOKUP($E597,'Status Thresholds'!$E:$AS,40,FALSE),IF(AND($S$3=TRUE,$S$4=TRUE),VLOOKUP($E597,'Status Thresholds'!$E:$AS,30,FALSE),""))))))))/IF(OR($Q$3=TRUE,AND($Q$2=TRUE,$Q$7=TRUE),AND($Q$3=TRUE,$Q$7=TRUE))=TRUE,'Shots and Status'!$F$5,IF((OR($Q$2,$Q$7)=TRUE),'Shots and Status'!$D$5,'Shots and Status'!$C$5)))),0),"-")</f>
        <v>-</v>
      </c>
      <c r="L597" s="36" t="str">
        <f>IFERROR(IF(AND($Q$1=FALSE,$S$3=FALSE),"-",VLOOKUP($E597,'Status Thresholds'!$E:$AU,41,FALSE)),"-")</f>
        <v>-</v>
      </c>
      <c r="M597" s="36" t="str">
        <f>IFERROR(IF(AND($Q$1=FALSE,$S$3=FALSE),"-",VLOOKUP($E597,'Status Thresholds'!$E:$AU,42,FALSE)),"-")</f>
        <v>-</v>
      </c>
      <c r="N597" s="36" t="str">
        <f>IFERROR(IF(AND($Q$1=FALSE,$S$3=FALSE),"-",VLOOKUP($E597,'Status Thresholds'!$E:$AU,43,FALSE)),"-")</f>
        <v>-</v>
      </c>
    </row>
    <row r="598" spans="1:14" s="36" customFormat="1" x14ac:dyDescent="0.25">
      <c r="A598" s="46"/>
      <c r="B598" s="64" t="str">
        <f>VLOOKUP(C598,'Status Thresholds'!B:C,2,FALSE)</f>
        <v>MHGen</v>
      </c>
      <c r="C598" s="46" t="str">
        <f>IF(ISBLANK('KO Calc'!C594)=TRUE,"",'KO Calc'!C594)</f>
        <v>Rajang (Furious)</v>
      </c>
      <c r="D598" s="67" t="s">
        <v>14</v>
      </c>
      <c r="E598" s="62" t="str">
        <f t="shared" si="17"/>
        <v>Rajang (Furious)KO</v>
      </c>
      <c r="F598" s="36" t="s">
        <v>21</v>
      </c>
      <c r="G598" s="36" t="str">
        <f t="shared" si="18"/>
        <v>Rajang (Furious)Triblast</v>
      </c>
      <c r="H598" s="36" t="str">
        <f>IF(AND($Q$1=FALSE,$S$3=FALSE),"-",IF(AND($Q$1=TRUE,$S$3=TRUE),"-",IF(AND($Q$1=FALSE,$S$3=FALSE),"-",IF(AND($Q$1=TRUE,$S$1=TRUE,$S$4=FALSE)=TRUE,IF(OR($Q$4=TRUE,$Q$5=TRUE,$S$2=TRUE),VLOOKUP($G598,'KO Calc'!$H:$AW,12,FALSE),VLOOKUP($G598,'KO Calc'!$H604:$AW604,12,FALSE)),IF(AND($Q$1=TRUE,$S$4=FALSE),IF(OR($Q$4=TRUE,$Q$5=TRUE,$S$2=TRUE),VLOOKUP($G598,'KO Calc'!$H:$AW,2,FALSE),VLOOKUP($G598,'KO Calc'!$H604:$AW604,2,FALSE)),
IF(AND($Q$1=TRUE,$S$1=TRUE,$S$4=TRUE)=TRUE,IF(OR($Q$4=TRUE,$Q$5=TRUE,$S$2=TRUE),VLOOKUP($G598,'KO Calc'!$H:$AW,17,FALSE),VLOOKUP($G598,'KO Calc'!$H604:$AW604,17,FALSE)),IF(AND($Q$1=TRUE,$S$4=TRUE),IF(OR($Q$4=TRUE,$Q$5=TRUE,$S$2=TRUE),VLOOKUP($G598,'KO Calc'!$H:$AW,7,FALSE),VLOOKUP($G598,'KO Calc'!$H604:$AW604,7,FALSE)),
IF(AND($S$3=TRUE,$S$1=TRUE,$S$4=FALSE)=TRUE,IF(OR($Q$4=TRUE,$Q$5=TRUE,$S$2=TRUE),VLOOKUP($G598,'KO Calc'!$H:$AW,32,FALSE),VLOOKUP($G598,'KO Calc'!$H604:$AW604,32,FALSE)),IF(AND($S$3=TRUE,$S$4=FALSE),IF(OR($Q$4=TRUE,$Q$5=TRUE,$S$2=TRUE),VLOOKUP($G598,'KO Calc'!$H:$AW,22,FALSE),VLOOKUP($G598,'KO Calc'!$H604:$AW604,22,FALSE)),
IF(AND($S$3=TRUE,$S$1=TRUE,$S$4=TRUE)=TRUE,IF(OR($Q$4=TRUE,$Q$5=TRUE,$S$2=TRUE),VLOOKUP($G598,'KO Calc'!$H:$AW,37,FALSE),VLOOKUP($G598,'KO Calc'!$H604:$AW604,37,FALSE)),IF(AND($S$3=TRUE,$S$4=TRUE),IF(OR($Q$4=TRUE,$Q$5=TRUE,$S$2=TRUE),VLOOKUP($G598,'KO Calc'!$H:$AW,27,FALSE),VLOOKUP($G598,'KO Calc'!$H604:$AW604,27,FALSE)))))))))))))</f>
        <v>-</v>
      </c>
      <c r="I598" s="36" t="str">
        <f>IF(AND($Q$1=FALSE,$S$3=FALSE),"-",IF(AND($Q$1=TRUE,$S$3=TRUE),"-",IF(AND($Q$1=FALSE,$S$3=FALSE),"-",IF(AND($Q$1=TRUE,$S$1=TRUE,$S$4=FALSE)=TRUE,IF(OR($Q$4=TRUE,$Q$5=TRUE,$S$2=TRUE),VLOOKUP($G598,'KO Calc'!$H:$AW,13,FALSE),VLOOKUP($G598,'KO Calc'!$H604:$AW604,13,FALSE)),IF(AND($Q$1=TRUE,$S$4=FALSE),IF(OR($Q$4=TRUE,$Q$5=TRUE,$S$2=TRUE),VLOOKUP($G598,'KO Calc'!$H:$AW,3,FALSE),VLOOKUP($G598,'KO Calc'!$H604:$AW604,3,FALSE)),
IF(AND($Q$1=TRUE,$S$1=TRUE,$S$4=TRUE)=TRUE,IF(OR($Q$4=TRUE,$Q$5=TRUE,$S$2=TRUE),VLOOKUP($G598,'KO Calc'!$H:$AW,18,FALSE),VLOOKUP($G598,'KO Calc'!$H604:$AW604,18,FALSE)),IF(AND($Q$1=TRUE,$S$4=TRUE),IF(OR($Q$4=TRUE,$Q$5=TRUE,$S$2=TRUE),VLOOKUP($G598,'KO Calc'!$H:$AW,8,FALSE),VLOOKUP($G598,'KO Calc'!$H604:$AW604,8,FALSE)),
IF(AND($S$3=TRUE,$S$1=TRUE,$S$4=FALSE)=TRUE,IF(OR($Q$4=TRUE,$Q$5=TRUE,$S$2=TRUE),VLOOKUP($G598,'KO Calc'!$H:$AW,33,FALSE),VLOOKUP($G598,'KO Calc'!$H604:$AW604,33,FALSE)),IF(AND($S$3=TRUE,$S$4=FALSE),IF(OR($Q$4=TRUE,$Q$5=TRUE,$S$2=TRUE),VLOOKUP($G598,'KO Calc'!$H:$AW,23,FALSE),VLOOKUP($G598,'KO Calc'!$H604:$AW604,23,FALSE)),
IF(AND($S$3=TRUE,$S$1=TRUE,$S$4=TRUE)=TRUE,IF(OR($Q$4=TRUE,$Q$5=TRUE,$S$2=TRUE),VLOOKUP($G598,'KO Calc'!$H:$AW,38,FALSE),VLOOKUP($G598,'KO Calc'!$H604:$AW604,38,FALSE)),IF(AND($S$3=TRUE,$S$4=TRUE),IF(OR($Q$4=TRUE,$Q$5=TRUE,$S$2=TRUE),VLOOKUP($G598,'KO Calc'!$H:$AW,28,FALSE),VLOOKUP($G598,'KO Calc'!$H604:$AW604,28,FALSE)))))))))))))</f>
        <v>-</v>
      </c>
      <c r="J598" s="36" t="str">
        <f>IF(AND($Q$1=FALSE,$S$3=FALSE),"-",IF(AND($Q$1=TRUE,$S$3=TRUE),"-",IF(AND($Q$1=FALSE,$S$3=FALSE),"-",IF(AND($Q$1=TRUE,$S$1=TRUE,$S$4=FALSE)=TRUE,IF(OR($Q$4=TRUE,$Q$5=TRUE,$S$2=TRUE),VLOOKUP($G598,'KO Calc'!$H:$AW,FALSE),VLOOKUP($G598,'KO Calc'!$H604:$AW604,14,FALSE)),IF(AND($Q$1=TRUE,$S$4=FALSE),IF(OR($Q$4=TRUE,$Q$5=TRUE,$S$2=TRUE),VLOOKUP($G598,'KO Calc'!$H:$AW,4,FALSE),VLOOKUP($G598,'KO Calc'!$H604:$AW604,4,FALSE)),
IF(AND($Q$1=TRUE,$S$1=TRUE,$S$4=TRUE)=TRUE,IF(OR($Q$4=TRUE,$Q$5=TRUE,$S$2=TRUE),VLOOKUP($G598,'KO Calc'!$H:$AW,19,FALSE),VLOOKUP($G598,'KO Calc'!$H604:$AW604,19,FALSE)),IF(AND($Q$1=TRUE,$S$4=TRUE),IF(OR($Q$4=TRUE,$Q$5=TRUE,$S$2=TRUE),VLOOKUP($G598,'KO Calc'!$H:$AW,9,FALSE),VLOOKUP($G598,'KO Calc'!$H604:$AW604,9,FALSE)),
IF(AND($S$3=TRUE,$S$1=TRUE,$S$4=FALSE)=TRUE,IF(OR($Q$4=TRUE,$Q$5=TRUE,$S$2=TRUE),VLOOKUP($G598,'KO Calc'!$H:$AW,34,FALSE),VLOOKUP($G598,'KO Calc'!$H604:$AW604,34,FALSE)),IF(AND($S$3=TRUE,$S$4=FALSE),IF(OR($Q$4=TRUE,$Q$5=TRUE,$S$2=TRUE),VLOOKUP($G598,'KO Calc'!$H:$AW,24,FALSE),VLOOKUP($G598,'KO Calc'!$H604:$AW604,24,FALSE)),
IF(AND($S$3=TRUE,$S$1=TRUE,$S$4=TRUE)=TRUE,IF(OR($Q$4=TRUE,$Q$5=TRUE,$S$2=TRUE),VLOOKUP($G598,'KO Calc'!$H:$AW,39,FALSE),VLOOKUP($G598,'KO Calc'!$H604:$AW604,39,FALSE)),IF(AND($S$3=TRUE,$S$4=TRUE),IF(OR($Q$4=TRUE,$Q$5=TRUE,$S$2=TRUE),VLOOKUP($G598,'KO Calc'!$H:$AW,29,FALSE),VLOOKUP($G598,'KO Calc'!$H604:$AW604,29,FALSE)))))))))))))</f>
        <v>-</v>
      </c>
      <c r="K598" s="36" t="str">
        <f>IF(AND($Q$1=FALSE,$S$3=FALSE),"-",IF(AND($Q$1=TRUE,$S$3=TRUE),"-",IF(AND($Q$1=FALSE,$S$3=FALSE),"-",IF(AND($Q$1=TRUE,$S$1=TRUE,$S$4=FALSE)=TRUE,IF(OR($Q$4=TRUE,$Q$5=TRUE,$S$2=TRUE),VLOOKUP($G598,'KO Calc'!$H:$AW,15,FALSE),VLOOKUP($G598,'KO Calc'!$H604:$AW604,15,FALSE)),IF(AND($Q$1=TRUE,$S$4=FALSE),IF(OR($Q$4=TRUE,$Q$5=TRUE,$S$2=TRUE),VLOOKUP($G598,'KO Calc'!$H:$AW,5,FALSE),VLOOKUP($G598,'KO Calc'!$H604:$AW604,5,FALSE)),
IF(AND($Q$1=TRUE,$S$1=TRUE,$S$4=TRUE)=TRUE,IF(OR($Q$4=TRUE,$Q$5=TRUE,$S$2=TRUE),VLOOKUP($G598,'KO Calc'!$H:$AW,20,FALSE),VLOOKUP($G598,'KO Calc'!$H604:$AW604,20,FALSE)),IF(AND($Q$1=TRUE,$S$4=TRUE),IF(OR($Q$4=TRUE,$Q$5=TRUE,$S$2=TRUE),VLOOKUP($G598,'KO Calc'!$H:$AW,10,FALSE),VLOOKUP($G598,'KO Calc'!$H604:$AW604,10,FALSE)),
IF(AND($S$3=TRUE,$S$1=TRUE,$S$4=FALSE)=TRUE,IF(OR($Q$4=TRUE,$Q$5=TRUE,$S$2=TRUE),VLOOKUP($G598,'KO Calc'!$H:$AW,35,FALSE),VLOOKUP($G598,'KO Calc'!$H604:$AW604,35,FALSE)),IF(AND($S$3=TRUE,$S$4=FALSE),IF(OR($Q$4=TRUE,$Q$5=TRUE,$S$2=TRUE),VLOOKUP($G598,'KO Calc'!$H:$AW,25,FALSE),VLOOKUP($G598,'KO Calc'!$H604:$AW604,25,FALSE)),
IF(AND($S$3=TRUE,$S$1=TRUE,$S$4=TRUE)=TRUE,IF(OR($Q$4=TRUE,$Q$5=TRUE,$S$2=TRUE),VLOOKUP($G598,'KO Calc'!$H:$AW,40,FALSE),VLOOKUP($G598,'KO Calc'!$H604:$AW604,40,FALSE)),IF(AND($S$3=TRUE,$S$4=TRUE),IF(OR($Q$4=TRUE,$Q$5=TRUE,$S$2=TRUE),VLOOKUP($G598,'KO Calc'!$H:$AW,30,FALSE),VLOOKUP($G598,'KO Calc'!$H604:$AW604,30,FALSE)))))))))))))</f>
        <v>-</v>
      </c>
      <c r="L598" s="36" t="str">
        <f>IFERROR(IF(AND($Q$1=FALSE,$S$3=FALSE),"-",VLOOKUP($E598,'Status Thresholds'!$E:$AU,41,FALSE)),"-")</f>
        <v>-</v>
      </c>
      <c r="M598" s="36" t="str">
        <f>IFERROR(IF(AND($Q$1=FALSE,$S$3=FALSE),"-",VLOOKUP($E598,'Status Thresholds'!$E:$AU,42,FALSE)),"-")</f>
        <v>-</v>
      </c>
      <c r="N598" s="36" t="str">
        <f>IFERROR(IF(AND($Q$1=FALSE,$S$3=FALSE),"-",VLOOKUP($E598,'Status Thresholds'!$E:$AU,43,FALSE)),"-")</f>
        <v>-</v>
      </c>
    </row>
    <row r="599" spans="1:14" x14ac:dyDescent="0.25">
      <c r="B599" s="64" t="str">
        <f>VLOOKUP(C599,'Status Thresholds'!B:C,2,FALSE)</f>
        <v>MHGen</v>
      </c>
      <c r="C599" s="46" t="str">
        <f>IF(ISBLANK('KO Calc'!C595)=TRUE,"",'KO Calc'!C595)</f>
        <v>Rajang (Furious)</v>
      </c>
      <c r="D599" s="78" t="s">
        <v>207</v>
      </c>
      <c r="E599" s="62" t="str">
        <f t="shared" si="17"/>
        <v>Rajang (Furious)Shock Trap</v>
      </c>
      <c r="F599" t="s">
        <v>13</v>
      </c>
      <c r="G599" s="36" t="str">
        <f t="shared" si="18"/>
        <v>Rajang (Furious)Crag 3</v>
      </c>
      <c r="H599" s="36" t="str">
        <f>IF(AND($Q$1=FALSE,$S$3=FALSE),"-",IF(AND($Q$1=TRUE,$S$3=TRUE),"-",IF(AND($Q$1=FALSE,$S$3=FALSE),"-",IF(AND($Q$1=TRUE,$S$1=TRUE,$S$4=FALSE)=TRUE,IF(OR($Q$4=TRUE,$Q$5=TRUE,$S$2=TRUE),VLOOKUP($G599,'KO Calc'!$H:$AW,12,FALSE),VLOOKUP($G599,'KO Calc'!$H605:$AW605,12,FALSE)),IF(AND($Q$1=TRUE,$S$4=FALSE),IF(OR($Q$4=TRUE,$Q$5=TRUE,$S$2=TRUE),VLOOKUP($G599,'KO Calc'!$H:$AW,2,FALSE),VLOOKUP($G599,'KO Calc'!$H605:$AW605,2,FALSE)),
IF(AND($Q$1=TRUE,$S$1=TRUE,$S$4=TRUE)=TRUE,IF(OR($Q$4=TRUE,$Q$5=TRUE,$S$2=TRUE),VLOOKUP($G599,'KO Calc'!$H:$AW,17,FALSE),VLOOKUP($G599,'KO Calc'!$H605:$AW605,17,FALSE)),IF(AND($Q$1=TRUE,$S$4=TRUE),IF(OR($Q$4=TRUE,$Q$5=TRUE,$S$2=TRUE),VLOOKUP($G599,'KO Calc'!$H:$AW,7,FALSE),VLOOKUP($G599,'KO Calc'!$H605:$AW605,7,FALSE)),
IF(AND($S$3=TRUE,$S$1=TRUE,$S$4=FALSE)=TRUE,IF(OR($Q$4=TRUE,$Q$5=TRUE,$S$2=TRUE),VLOOKUP($G599,'KO Calc'!$H:$AW,32,FALSE),VLOOKUP($G599,'KO Calc'!$H605:$AW605,32,FALSE)),IF(AND($S$3=TRUE,$S$4=FALSE),IF(OR($Q$4=TRUE,$Q$5=TRUE,$S$2=TRUE),VLOOKUP($G599,'KO Calc'!$H:$AW,22,FALSE),VLOOKUP($G599,'KO Calc'!$H605:$AW605,22,FALSE)),
IF(AND($S$3=TRUE,$S$1=TRUE,$S$4=TRUE)=TRUE,IF(OR($Q$4=TRUE,$Q$5=TRUE,$S$2=TRUE),VLOOKUP($G599,'KO Calc'!$H:$AW,37,FALSE),VLOOKUP($G599,'KO Calc'!$H605:$AW605,37,FALSE)),IF(AND($S$3=TRUE,$S$4=TRUE),IF(OR($Q$4=TRUE,$Q$5=TRUE,$S$2=TRUE),VLOOKUP($G599,'KO Calc'!$H:$AW,27,FALSE),VLOOKUP($G599,'KO Calc'!$H605:$AW605,27,FALSE)))))))))))))</f>
        <v>-</v>
      </c>
      <c r="I599" s="36" t="str">
        <f>IF(AND($Q$1=FALSE,$S$3=FALSE),"-",IF(AND($Q$1=TRUE,$S$3=TRUE),"-",IF(AND($Q$1=FALSE,$S$3=FALSE),"-",IF(AND($Q$1=TRUE,$S$1=TRUE,$S$4=FALSE)=TRUE,IF(OR($Q$4=TRUE,$Q$5=TRUE,$S$2=TRUE),VLOOKUP($G599,'KO Calc'!$H:$AW,13,FALSE),VLOOKUP($G599,'KO Calc'!$H605:$AW605,13,FALSE)),IF(AND($Q$1=TRUE,$S$4=FALSE),IF(OR($Q$4=TRUE,$Q$5=TRUE,$S$2=TRUE),VLOOKUP($G599,'KO Calc'!$H:$AW,3,FALSE),VLOOKUP($G599,'KO Calc'!$H605:$AW605,3,FALSE)),
IF(AND($Q$1=TRUE,$S$1=TRUE,$S$4=TRUE)=TRUE,IF(OR($Q$4=TRUE,$Q$5=TRUE,$S$2=TRUE),VLOOKUP($G599,'KO Calc'!$H:$AW,18,FALSE),VLOOKUP($G599,'KO Calc'!$H605:$AW605,18,FALSE)),IF(AND($Q$1=TRUE,$S$4=TRUE),IF(OR($Q$4=TRUE,$Q$5=TRUE,$S$2=TRUE),VLOOKUP($G599,'KO Calc'!$H:$AW,8,FALSE),VLOOKUP($G599,'KO Calc'!$H605:$AW605,8,FALSE)),
IF(AND($S$3=TRUE,$S$1=TRUE,$S$4=FALSE)=TRUE,IF(OR($Q$4=TRUE,$Q$5=TRUE,$S$2=TRUE),VLOOKUP($G599,'KO Calc'!$H:$AW,33,FALSE),VLOOKUP($G599,'KO Calc'!$H605:$AW605,33,FALSE)),IF(AND($S$3=TRUE,$S$4=FALSE),IF(OR($Q$4=TRUE,$Q$5=TRUE,$S$2=TRUE),VLOOKUP($G599,'KO Calc'!$H:$AW,23,FALSE),VLOOKUP($G599,'KO Calc'!$H605:$AW605,23,FALSE)),
IF(AND($S$3=TRUE,$S$1=TRUE,$S$4=TRUE)=TRUE,IF(OR($Q$4=TRUE,$Q$5=TRUE,$S$2=TRUE),VLOOKUP($G599,'KO Calc'!$H:$AW,38,FALSE),VLOOKUP($G599,'KO Calc'!$H605:$AW605,38,FALSE)),IF(AND($S$3=TRUE,$S$4=TRUE),IF(OR($Q$4=TRUE,$Q$5=TRUE,$S$2=TRUE),VLOOKUP($G599,'KO Calc'!$H:$AW,28,FALSE),VLOOKUP($G599,'KO Calc'!$H605:$AW605,28,FALSE)))))))))))))</f>
        <v>-</v>
      </c>
      <c r="J599" s="36" t="str">
        <f>IF(AND($Q$1=FALSE,$S$3=FALSE),"-",IF(AND($Q$1=TRUE,$S$3=TRUE),"-",IF(AND($Q$1=FALSE,$S$3=FALSE),"-",IF(AND($Q$1=TRUE,$S$1=TRUE,$S$4=FALSE)=TRUE,IF(OR($Q$4=TRUE,$Q$5=TRUE,$S$2=TRUE),VLOOKUP($G599,'KO Calc'!$H:$AW,FALSE),VLOOKUP($G599,'KO Calc'!$H605:$AW605,14,FALSE)),IF(AND($Q$1=TRUE,$S$4=FALSE),IF(OR($Q$4=TRUE,$Q$5=TRUE,$S$2=TRUE),VLOOKUP($G599,'KO Calc'!$H:$AW,4,FALSE),VLOOKUP($G599,'KO Calc'!$H605:$AW605,4,FALSE)),
IF(AND($Q$1=TRUE,$S$1=TRUE,$S$4=TRUE)=TRUE,IF(OR($Q$4=TRUE,$Q$5=TRUE,$S$2=TRUE),VLOOKUP($G599,'KO Calc'!$H:$AW,19,FALSE),VLOOKUP($G599,'KO Calc'!$H605:$AW605,19,FALSE)),IF(AND($Q$1=TRUE,$S$4=TRUE),IF(OR($Q$4=TRUE,$Q$5=TRUE,$S$2=TRUE),VLOOKUP($G599,'KO Calc'!$H:$AW,9,FALSE),VLOOKUP($G599,'KO Calc'!$H605:$AW605,9,FALSE)),
IF(AND($S$3=TRUE,$S$1=TRUE,$S$4=FALSE)=TRUE,IF(OR($Q$4=TRUE,$Q$5=TRUE,$S$2=TRUE),VLOOKUP($G599,'KO Calc'!$H:$AW,34,FALSE),VLOOKUP($G599,'KO Calc'!$H605:$AW605,34,FALSE)),IF(AND($S$3=TRUE,$S$4=FALSE),IF(OR($Q$4=TRUE,$Q$5=TRUE,$S$2=TRUE),VLOOKUP($G599,'KO Calc'!$H:$AW,24,FALSE),VLOOKUP($G599,'KO Calc'!$H605:$AW605,24,FALSE)),
IF(AND($S$3=TRUE,$S$1=TRUE,$S$4=TRUE)=TRUE,IF(OR($Q$4=TRUE,$Q$5=TRUE,$S$2=TRUE),VLOOKUP($G599,'KO Calc'!$H:$AW,39,FALSE),VLOOKUP($G599,'KO Calc'!$H605:$AW605,39,FALSE)),IF(AND($S$3=TRUE,$S$4=TRUE),IF(OR($Q$4=TRUE,$Q$5=TRUE,$S$2=TRUE),VLOOKUP($G599,'KO Calc'!$H:$AW,29,FALSE),VLOOKUP($G599,'KO Calc'!$H605:$AW605,29,FALSE)))))))))))))</f>
        <v>-</v>
      </c>
      <c r="K599" s="36" t="str">
        <f>IF(AND($Q$1=FALSE,$S$3=FALSE),"-",IF(AND($Q$1=TRUE,$S$3=TRUE),"-",IF(AND($Q$1=FALSE,$S$3=FALSE),"-",IF(AND($Q$1=TRUE,$S$1=TRUE,$S$4=FALSE)=TRUE,IF(OR($Q$4=TRUE,$Q$5=TRUE,$S$2=TRUE),VLOOKUP($G599,'KO Calc'!$H:$AW,15,FALSE),VLOOKUP($G599,'KO Calc'!$H605:$AW605,15,FALSE)),IF(AND($Q$1=TRUE,$S$4=FALSE),IF(OR($Q$4=TRUE,$Q$5=TRUE,$S$2=TRUE),VLOOKUP($G599,'KO Calc'!$H:$AW,5,FALSE),VLOOKUP($G599,'KO Calc'!$H605:$AW605,5,FALSE)),
IF(AND($Q$1=TRUE,$S$1=TRUE,$S$4=TRUE)=TRUE,IF(OR($Q$4=TRUE,$Q$5=TRUE,$S$2=TRUE),VLOOKUP($G599,'KO Calc'!$H:$AW,20,FALSE),VLOOKUP($G599,'KO Calc'!$H605:$AW605,20,FALSE)),IF(AND($Q$1=TRUE,$S$4=TRUE),IF(OR($Q$4=TRUE,$Q$5=TRUE,$S$2=TRUE),VLOOKUP($G599,'KO Calc'!$H:$AW,10,FALSE),VLOOKUP($G599,'KO Calc'!$H605:$AW605,10,FALSE)),
IF(AND($S$3=TRUE,$S$1=TRUE,$S$4=FALSE)=TRUE,IF(OR($Q$4=TRUE,$Q$5=TRUE,$S$2=TRUE),VLOOKUP($G599,'KO Calc'!$H:$AW,35,FALSE),VLOOKUP($G599,'KO Calc'!$H605:$AW605,35,FALSE)),IF(AND($S$3=TRUE,$S$4=FALSE),IF(OR($Q$4=TRUE,$Q$5=TRUE,$S$2=TRUE),VLOOKUP($G599,'KO Calc'!$H:$AW,25,FALSE),VLOOKUP($G599,'KO Calc'!$H605:$AW605,25,FALSE)),
IF(AND($S$3=TRUE,$S$1=TRUE,$S$4=TRUE)=TRUE,IF(OR($Q$4=TRUE,$Q$5=TRUE,$S$2=TRUE),VLOOKUP($G599,'KO Calc'!$H:$AW,40,FALSE),VLOOKUP($G599,'KO Calc'!$H605:$AW605,40,FALSE)),IF(AND($S$3=TRUE,$S$4=TRUE),IF(OR($Q$4=TRUE,$Q$5=TRUE,$S$2=TRUE),VLOOKUP($G599,'KO Calc'!$H:$AW,30,FALSE),VLOOKUP($G599,'KO Calc'!$H605:$AW605,30,FALSE)))))))))))))</f>
        <v>-</v>
      </c>
      <c r="L599" s="36" t="str">
        <f>IFERROR(IF(AND($Q$1=FALSE,$S$3=FALSE),"-",VLOOKUP($E599,'Status Thresholds'!$E:$AU,43,FALSE)),"-")</f>
        <v>-</v>
      </c>
      <c r="M599" s="36" t="str">
        <f>IFERROR(IF(AND($Q$1=FALSE,$S$3=FALSE),"-",VLOOKUP($E599,'Status Thresholds'!$E:$AU,41,FALSE)),"-")</f>
        <v>-</v>
      </c>
      <c r="N599" s="36" t="str">
        <f>IFERROR(IF(AND($Q$1=FALSE,$S$3=FALSE),"-",VLOOKUP($E599,'Status Thresholds'!$E:$AU,42,FALSE)),"-")</f>
        <v>-</v>
      </c>
    </row>
    <row r="600" spans="1:14" x14ac:dyDescent="0.25">
      <c r="B600" s="64" t="str">
        <f>VLOOKUP(C600,'Status Thresholds'!B:C,2,FALSE)</f>
        <v>MHGen</v>
      </c>
      <c r="C600" s="46" t="str">
        <f>IF(ISBLANK('KO Calc'!C596)=TRUE,"",'KO Calc'!C596)</f>
        <v>Rajang (Furious)</v>
      </c>
      <c r="D600" s="78" t="s">
        <v>213</v>
      </c>
      <c r="E600" s="62" t="str">
        <f t="shared" si="17"/>
        <v>Rajang (Furious)Pitfall Trap</v>
      </c>
      <c r="F600" t="s">
        <v>12</v>
      </c>
      <c r="G600" s="36" t="str">
        <f t="shared" si="18"/>
        <v>Rajang (Furious)Crag 2</v>
      </c>
      <c r="H600" s="36" t="str">
        <f>IF(AND($Q$1=FALSE,$S$3=FALSE),"-",IF(AND($Q$1=TRUE,$S$3=TRUE),"-",IF(AND($Q$1=FALSE,$S$3=FALSE),"-",IF(AND($Q$1=TRUE,$S$1=TRUE,$S$4=FALSE)=TRUE,IF(OR($Q$4=TRUE,$Q$5=TRUE,$S$2=TRUE),VLOOKUP($G600,'KO Calc'!$H:$AW,12,FALSE),VLOOKUP($G600,'KO Calc'!$H606:$AW606,12,FALSE)),IF(AND($Q$1=TRUE,$S$4=FALSE),IF(OR($Q$4=TRUE,$Q$5=TRUE,$S$2=TRUE),VLOOKUP($G600,'KO Calc'!$H:$AW,2,FALSE),VLOOKUP($G600,'KO Calc'!$H606:$AW606,2,FALSE)),
IF(AND($Q$1=TRUE,$S$1=TRUE,$S$4=TRUE)=TRUE,IF(OR($Q$4=TRUE,$Q$5=TRUE,$S$2=TRUE),VLOOKUP($G600,'KO Calc'!$H:$AW,17,FALSE),VLOOKUP($G600,'KO Calc'!$H606:$AW606,17,FALSE)),IF(AND($Q$1=TRUE,$S$4=TRUE),IF(OR($Q$4=TRUE,$Q$5=TRUE,$S$2=TRUE),VLOOKUP($G600,'KO Calc'!$H:$AW,7,FALSE),VLOOKUP($G600,'KO Calc'!$H606:$AW606,7,FALSE)),
IF(AND($S$3=TRUE,$S$1=TRUE,$S$4=FALSE)=TRUE,IF(OR($Q$4=TRUE,$Q$5=TRUE,$S$2=TRUE),VLOOKUP($G600,'KO Calc'!$H:$AW,32,FALSE),VLOOKUP($G600,'KO Calc'!$H606:$AW606,32,FALSE)),IF(AND($S$3=TRUE,$S$4=FALSE),IF(OR($Q$4=TRUE,$Q$5=TRUE,$S$2=TRUE),VLOOKUP($G600,'KO Calc'!$H:$AW,22,FALSE),VLOOKUP($G600,'KO Calc'!$H606:$AW606,22,FALSE)),
IF(AND($S$3=TRUE,$S$1=TRUE,$S$4=TRUE)=TRUE,IF(OR($Q$4=TRUE,$Q$5=TRUE,$S$2=TRUE),VLOOKUP($G600,'KO Calc'!$H:$AW,37,FALSE),VLOOKUP($G600,'KO Calc'!$H606:$AW606,37,FALSE)),IF(AND($S$3=TRUE,$S$4=TRUE),IF(OR($Q$4=TRUE,$Q$5=TRUE,$S$2=TRUE),VLOOKUP($G600,'KO Calc'!$H:$AW,27,FALSE),VLOOKUP($G600,'KO Calc'!$H606:$AW606,27,FALSE)))))))))))))</f>
        <v>-</v>
      </c>
      <c r="I600" s="36" t="str">
        <f>IF(AND($Q$1=FALSE,$S$3=FALSE),"-",IF(AND($Q$1=TRUE,$S$3=TRUE),"-",IF(AND($Q$1=FALSE,$S$3=FALSE),"-",IF(AND($Q$1=TRUE,$S$1=TRUE,$S$4=FALSE)=TRUE,IF(OR($Q$4=TRUE,$Q$5=TRUE,$S$2=TRUE),VLOOKUP($G600,'KO Calc'!$H:$AW,13,FALSE),VLOOKUP($G600,'KO Calc'!$H606:$AW606,13,FALSE)),IF(AND($Q$1=TRUE,$S$4=FALSE),IF(OR($Q$4=TRUE,$Q$5=TRUE,$S$2=TRUE),VLOOKUP($G600,'KO Calc'!$H:$AW,3,FALSE),VLOOKUP($G600,'KO Calc'!$H606:$AW606,3,FALSE)),
IF(AND($Q$1=TRUE,$S$1=TRUE,$S$4=TRUE)=TRUE,IF(OR($Q$4=TRUE,$Q$5=TRUE,$S$2=TRUE),VLOOKUP($G600,'KO Calc'!$H:$AW,18,FALSE),VLOOKUP($G600,'KO Calc'!$H606:$AW606,18,FALSE)),IF(AND($Q$1=TRUE,$S$4=TRUE),IF(OR($Q$4=TRUE,$Q$5=TRUE,$S$2=TRUE),VLOOKUP($G600,'KO Calc'!$H:$AW,8,FALSE),VLOOKUP($G600,'KO Calc'!$H606:$AW606,8,FALSE)),
IF(AND($S$3=TRUE,$S$1=TRUE,$S$4=FALSE)=TRUE,IF(OR($Q$4=TRUE,$Q$5=TRUE,$S$2=TRUE),VLOOKUP($G600,'KO Calc'!$H:$AW,33,FALSE),VLOOKUP($G600,'KO Calc'!$H606:$AW606,33,FALSE)),IF(AND($S$3=TRUE,$S$4=FALSE),IF(OR($Q$4=TRUE,$Q$5=TRUE,$S$2=TRUE),VLOOKUP($G600,'KO Calc'!$H:$AW,23,FALSE),VLOOKUP($G600,'KO Calc'!$H606:$AW606,23,FALSE)),
IF(AND($S$3=TRUE,$S$1=TRUE,$S$4=TRUE)=TRUE,IF(OR($Q$4=TRUE,$Q$5=TRUE,$S$2=TRUE),VLOOKUP($G600,'KO Calc'!$H:$AW,38,FALSE),VLOOKUP($G600,'KO Calc'!$H606:$AW606,38,FALSE)),IF(AND($S$3=TRUE,$S$4=TRUE),IF(OR($Q$4=TRUE,$Q$5=TRUE,$S$2=TRUE),VLOOKUP($G600,'KO Calc'!$H:$AW,28,FALSE),VLOOKUP($G600,'KO Calc'!$H606:$AW606,28,FALSE)))))))))))))</f>
        <v>-</v>
      </c>
      <c r="J600" s="36" t="str">
        <f>IF(AND($Q$1=FALSE,$S$3=FALSE),"-",IF(AND($Q$1=TRUE,$S$3=TRUE),"-",IF(AND($Q$1=FALSE,$S$3=FALSE),"-",IF(AND($Q$1=TRUE,$S$1=TRUE,$S$4=FALSE)=TRUE,IF(OR($Q$4=TRUE,$Q$5=TRUE,$S$2=TRUE),VLOOKUP($G600,'KO Calc'!$H:$AW,FALSE),VLOOKUP($G600,'KO Calc'!$H606:$AW606,14,FALSE)),IF(AND($Q$1=TRUE,$S$4=FALSE),IF(OR($Q$4=TRUE,$Q$5=TRUE,$S$2=TRUE),VLOOKUP($G600,'KO Calc'!$H:$AW,4,FALSE),VLOOKUP($G600,'KO Calc'!$H606:$AW606,4,FALSE)),
IF(AND($Q$1=TRUE,$S$1=TRUE,$S$4=TRUE)=TRUE,IF(OR($Q$4=TRUE,$Q$5=TRUE,$S$2=TRUE),VLOOKUP($G600,'KO Calc'!$H:$AW,19,FALSE),VLOOKUP($G600,'KO Calc'!$H606:$AW606,19,FALSE)),IF(AND($Q$1=TRUE,$S$4=TRUE),IF(OR($Q$4=TRUE,$Q$5=TRUE,$S$2=TRUE),VLOOKUP($G600,'KO Calc'!$H:$AW,9,FALSE),VLOOKUP($G600,'KO Calc'!$H606:$AW606,9,FALSE)),
IF(AND($S$3=TRUE,$S$1=TRUE,$S$4=FALSE)=TRUE,IF(OR($Q$4=TRUE,$Q$5=TRUE,$S$2=TRUE),VLOOKUP($G600,'KO Calc'!$H:$AW,34,FALSE),VLOOKUP($G600,'KO Calc'!$H606:$AW606,34,FALSE)),IF(AND($S$3=TRUE,$S$4=FALSE),IF(OR($Q$4=TRUE,$Q$5=TRUE,$S$2=TRUE),VLOOKUP($G600,'KO Calc'!$H:$AW,24,FALSE),VLOOKUP($G600,'KO Calc'!$H606:$AW606,24,FALSE)),
IF(AND($S$3=TRUE,$S$1=TRUE,$S$4=TRUE)=TRUE,IF(OR($Q$4=TRUE,$Q$5=TRUE,$S$2=TRUE),VLOOKUP($G600,'KO Calc'!$H:$AW,39,FALSE),VLOOKUP($G600,'KO Calc'!$H606:$AW606,39,FALSE)),IF(AND($S$3=TRUE,$S$4=TRUE),IF(OR($Q$4=TRUE,$Q$5=TRUE,$S$2=TRUE),VLOOKUP($G600,'KO Calc'!$H:$AW,29,FALSE),VLOOKUP($G600,'KO Calc'!$H606:$AW606,29,FALSE)))))))))))))</f>
        <v>-</v>
      </c>
      <c r="K600" s="36" t="str">
        <f>IF(AND($Q$1=FALSE,$S$3=FALSE),"-",IF(AND($Q$1=TRUE,$S$3=TRUE),"-",IF(AND($Q$1=FALSE,$S$3=FALSE),"-",IF(AND($Q$1=TRUE,$S$1=TRUE,$S$4=FALSE)=TRUE,IF(OR($Q$4=TRUE,$Q$5=TRUE,$S$2=TRUE),VLOOKUP($G600,'KO Calc'!$H:$AW,15,FALSE),VLOOKUP($G600,'KO Calc'!$H606:$AW606,15,FALSE)),IF(AND($Q$1=TRUE,$S$4=FALSE),IF(OR($Q$4=TRUE,$Q$5=TRUE,$S$2=TRUE),VLOOKUP($G600,'KO Calc'!$H:$AW,5,FALSE),VLOOKUP($G600,'KO Calc'!$H606:$AW606,5,FALSE)),
IF(AND($Q$1=TRUE,$S$1=TRUE,$S$4=TRUE)=TRUE,IF(OR($Q$4=TRUE,$Q$5=TRUE,$S$2=TRUE),VLOOKUP($G600,'KO Calc'!$H:$AW,20,FALSE),VLOOKUP($G600,'KO Calc'!$H606:$AW606,20,FALSE)),IF(AND($Q$1=TRUE,$S$4=TRUE),IF(OR($Q$4=TRUE,$Q$5=TRUE,$S$2=TRUE),VLOOKUP($G600,'KO Calc'!$H:$AW,10,FALSE),VLOOKUP($G600,'KO Calc'!$H606:$AW606,10,FALSE)),
IF(AND($S$3=TRUE,$S$1=TRUE,$S$4=FALSE)=TRUE,IF(OR($Q$4=TRUE,$Q$5=TRUE,$S$2=TRUE),VLOOKUP($G600,'KO Calc'!$H:$AW,35,FALSE),VLOOKUP($G600,'KO Calc'!$H606:$AW606,35,FALSE)),IF(AND($S$3=TRUE,$S$4=FALSE),IF(OR($Q$4=TRUE,$Q$5=TRUE,$S$2=TRUE),VLOOKUP($G600,'KO Calc'!$H:$AW,25,FALSE),VLOOKUP($G600,'KO Calc'!$H606:$AW606,25,FALSE)),
IF(AND($S$3=TRUE,$S$1=TRUE,$S$4=TRUE)=TRUE,IF(OR($Q$4=TRUE,$Q$5=TRUE,$S$2=TRUE),VLOOKUP($G600,'KO Calc'!$H:$AW,40,FALSE),VLOOKUP($G600,'KO Calc'!$H606:$AW606,40,FALSE)),IF(AND($S$3=TRUE,$S$4=TRUE),IF(OR($Q$4=TRUE,$Q$5=TRUE,$S$2=TRUE),VLOOKUP($G600,'KO Calc'!$H:$AW,30,FALSE),VLOOKUP($G600,'KO Calc'!$H606:$AW606,30,FALSE)))))))))))))</f>
        <v>-</v>
      </c>
      <c r="L600" s="36" t="str">
        <f>IFERROR(IF(AND($Q$1=FALSE,$S$3=FALSE),"-",VLOOKUP($E600,'Status Thresholds'!$E:$AU,43,FALSE)),"-")</f>
        <v>-</v>
      </c>
      <c r="M600" s="36" t="str">
        <f>IFERROR(IF(AND($Q$1=FALSE,$S$3=FALSE),"-",VLOOKUP($E600,'Status Thresholds'!$E:$AU,41,FALSE)),"-")</f>
        <v>-</v>
      </c>
      <c r="N600" s="36" t="str">
        <f>IFERROR(IF(AND($Q$1=FALSE,$S$3=FALSE),"-",VLOOKUP($E600,'Status Thresholds'!$E:$AU,42,FALSE)),"-")</f>
        <v>-</v>
      </c>
    </row>
    <row r="601" spans="1:14" x14ac:dyDescent="0.25">
      <c r="B601" s="64" t="str">
        <f>VLOOKUP(C601,'Status Thresholds'!B:C,2,FALSE)</f>
        <v>MHGen</v>
      </c>
      <c r="C601" s="46" t="str">
        <f>IF(ISBLANK('KO Calc'!C597)=TRUE,"",'KO Calc'!C597)</f>
        <v>Rajang (Furious)</v>
      </c>
      <c r="D601" s="78"/>
      <c r="E601" s="62" t="str">
        <f t="shared" si="17"/>
        <v>Rajang (Furious)</v>
      </c>
      <c r="F601" t="s">
        <v>11</v>
      </c>
      <c r="G601" s="36" t="str">
        <f t="shared" si="18"/>
        <v>Rajang (Furious)Crag 1</v>
      </c>
      <c r="H601" s="36" t="str">
        <f>IF(AND($Q$1=FALSE,$S$3=FALSE),"-",IF(AND($Q$1=TRUE,$S$3=TRUE),"-",IF(AND($Q$1=FALSE,$S$3=FALSE),"-",IF(AND($Q$1=TRUE,$S$1=TRUE,$S$4=FALSE)=TRUE,IF(OR($Q$4=TRUE,$Q$5=TRUE,$S$2=TRUE),VLOOKUP($G601,'KO Calc'!$H:$AW,12,FALSE),VLOOKUP($G601,'KO Calc'!$H607:$AW607,12,FALSE)),IF(AND($Q$1=TRUE,$S$4=FALSE),IF(OR($Q$4=TRUE,$Q$5=TRUE,$S$2=TRUE),VLOOKUP($G601,'KO Calc'!$H:$AW,2,FALSE),VLOOKUP($G601,'KO Calc'!$H607:$AW607,2,FALSE)),
IF(AND($Q$1=TRUE,$S$1=TRUE,$S$4=TRUE)=TRUE,IF(OR($Q$4=TRUE,$Q$5=TRUE,$S$2=TRUE),VLOOKUP($G601,'KO Calc'!$H:$AW,17,FALSE),VLOOKUP($G601,'KO Calc'!$H607:$AW607,17,FALSE)),IF(AND($Q$1=TRUE,$S$4=TRUE),IF(OR($Q$4=TRUE,$Q$5=TRUE,$S$2=TRUE),VLOOKUP($G601,'KO Calc'!$H:$AW,7,FALSE),VLOOKUP($G601,'KO Calc'!$H607:$AW607,7,FALSE)),
IF(AND($S$3=TRUE,$S$1=TRUE,$S$4=FALSE)=TRUE,IF(OR($Q$4=TRUE,$Q$5=TRUE,$S$2=TRUE),VLOOKUP($G601,'KO Calc'!$H:$AW,32,FALSE),VLOOKUP($G601,'KO Calc'!$H607:$AW607,32,FALSE)),IF(AND($S$3=TRUE,$S$4=FALSE),IF(OR($Q$4=TRUE,$Q$5=TRUE,$S$2=TRUE),VLOOKUP($G601,'KO Calc'!$H:$AW,22,FALSE),VLOOKUP($G601,'KO Calc'!$H607:$AW607,22,FALSE)),
IF(AND($S$3=TRUE,$S$1=TRUE,$S$4=TRUE)=TRUE,IF(OR($Q$4=TRUE,$Q$5=TRUE,$S$2=TRUE),VLOOKUP($G601,'KO Calc'!$H:$AW,37,FALSE),VLOOKUP($G601,'KO Calc'!$H607:$AW607,37,FALSE)),IF(AND($S$3=TRUE,$S$4=TRUE),IF(OR($Q$4=TRUE,$Q$5=TRUE,$S$2=TRUE),VLOOKUP($G601,'KO Calc'!$H:$AW,27,FALSE),VLOOKUP($G601,'KO Calc'!$H607:$AW607,27,FALSE)))))))))))))</f>
        <v>-</v>
      </c>
      <c r="I601" s="36" t="str">
        <f>IF(AND($Q$1=FALSE,$S$3=FALSE),"-",IF(AND($Q$1=TRUE,$S$3=TRUE),"-",IF(AND($Q$1=FALSE,$S$3=FALSE),"-",IF(AND($Q$1=TRUE,$S$1=TRUE,$S$4=FALSE)=TRUE,IF(OR($Q$4=TRUE,$Q$5=TRUE,$S$2=TRUE),VLOOKUP($G601,'KO Calc'!$H:$AW,13,FALSE),VLOOKUP($G601,'KO Calc'!$H607:$AW607,13,FALSE)),IF(AND($Q$1=TRUE,$S$4=FALSE),IF(OR($Q$4=TRUE,$Q$5=TRUE,$S$2=TRUE),VLOOKUP($G601,'KO Calc'!$H:$AW,3,FALSE),VLOOKUP($G601,'KO Calc'!$H607:$AW607,3,FALSE)),
IF(AND($Q$1=TRUE,$S$1=TRUE,$S$4=TRUE)=TRUE,IF(OR($Q$4=TRUE,$Q$5=TRUE,$S$2=TRUE),VLOOKUP($G601,'KO Calc'!$H:$AW,18,FALSE),VLOOKUP($G601,'KO Calc'!$H607:$AW607,18,FALSE)),IF(AND($Q$1=TRUE,$S$4=TRUE),IF(OR($Q$4=TRUE,$Q$5=TRUE,$S$2=TRUE),VLOOKUP($G601,'KO Calc'!$H:$AW,8,FALSE),VLOOKUP($G601,'KO Calc'!$H607:$AW607,8,FALSE)),
IF(AND($S$3=TRUE,$S$1=TRUE,$S$4=FALSE)=TRUE,IF(OR($Q$4=TRUE,$Q$5=TRUE,$S$2=TRUE),VLOOKUP($G601,'KO Calc'!$H:$AW,33,FALSE),VLOOKUP($G601,'KO Calc'!$H607:$AW607,33,FALSE)),IF(AND($S$3=TRUE,$S$4=FALSE),IF(OR($Q$4=TRUE,$Q$5=TRUE,$S$2=TRUE),VLOOKUP($G601,'KO Calc'!$H:$AW,23,FALSE),VLOOKUP($G601,'KO Calc'!$H607:$AW607,23,FALSE)),
IF(AND($S$3=TRUE,$S$1=TRUE,$S$4=TRUE)=TRUE,IF(OR($Q$4=TRUE,$Q$5=TRUE,$S$2=TRUE),VLOOKUP($G601,'KO Calc'!$H:$AW,38,FALSE),VLOOKUP($G601,'KO Calc'!$H607:$AW607,38,FALSE)),IF(AND($S$3=TRUE,$S$4=TRUE),IF(OR($Q$4=TRUE,$Q$5=TRUE,$S$2=TRUE),VLOOKUP($G601,'KO Calc'!$H:$AW,28,FALSE),VLOOKUP($G601,'KO Calc'!$H607:$AW607,28,FALSE)))))))))))))</f>
        <v>-</v>
      </c>
      <c r="J601" s="36" t="str">
        <f>IF(AND($Q$1=FALSE,$S$3=FALSE),"-",IF(AND($Q$1=TRUE,$S$3=TRUE),"-",IF(AND($Q$1=FALSE,$S$3=FALSE),"-",IF(AND($Q$1=TRUE,$S$1=TRUE,$S$4=FALSE)=TRUE,IF(OR($Q$4=TRUE,$Q$5=TRUE,$S$2=TRUE),VLOOKUP($G601,'KO Calc'!$H:$AW,FALSE),VLOOKUP($G601,'KO Calc'!$H607:$AW607,14,FALSE)),IF(AND($Q$1=TRUE,$S$4=FALSE),IF(OR($Q$4=TRUE,$Q$5=TRUE,$S$2=TRUE),VLOOKUP($G601,'KO Calc'!$H:$AW,4,FALSE),VLOOKUP($G601,'KO Calc'!$H607:$AW607,4,FALSE)),
IF(AND($Q$1=TRUE,$S$1=TRUE,$S$4=TRUE)=TRUE,IF(OR($Q$4=TRUE,$Q$5=TRUE,$S$2=TRUE),VLOOKUP($G601,'KO Calc'!$H:$AW,19,FALSE),VLOOKUP($G601,'KO Calc'!$H607:$AW607,19,FALSE)),IF(AND($Q$1=TRUE,$S$4=TRUE),IF(OR($Q$4=TRUE,$Q$5=TRUE,$S$2=TRUE),VLOOKUP($G601,'KO Calc'!$H:$AW,9,FALSE),VLOOKUP($G601,'KO Calc'!$H607:$AW607,9,FALSE)),
IF(AND($S$3=TRUE,$S$1=TRUE,$S$4=FALSE)=TRUE,IF(OR($Q$4=TRUE,$Q$5=TRUE,$S$2=TRUE),VLOOKUP($G601,'KO Calc'!$H:$AW,34,FALSE),VLOOKUP($G601,'KO Calc'!$H607:$AW607,34,FALSE)),IF(AND($S$3=TRUE,$S$4=FALSE),IF(OR($Q$4=TRUE,$Q$5=TRUE,$S$2=TRUE),VLOOKUP($G601,'KO Calc'!$H:$AW,24,FALSE),VLOOKUP($G601,'KO Calc'!$H607:$AW607,24,FALSE)),
IF(AND($S$3=TRUE,$S$1=TRUE,$S$4=TRUE)=TRUE,IF(OR($Q$4=TRUE,$Q$5=TRUE,$S$2=TRUE),VLOOKUP($G601,'KO Calc'!$H:$AW,39,FALSE),VLOOKUP($G601,'KO Calc'!$H607:$AW607,39,FALSE)),IF(AND($S$3=TRUE,$S$4=TRUE),IF(OR($Q$4=TRUE,$Q$5=TRUE,$S$2=TRUE),VLOOKUP($G601,'KO Calc'!$H:$AW,29,FALSE),VLOOKUP($G601,'KO Calc'!$H607:$AW607,29,FALSE)))))))))))))</f>
        <v>-</v>
      </c>
      <c r="K601" s="36" t="str">
        <f>IF(AND($Q$1=FALSE,$S$3=FALSE),"-",IF(AND($Q$1=TRUE,$S$3=TRUE),"-",IF(AND($Q$1=FALSE,$S$3=FALSE),"-",IF(AND($Q$1=TRUE,$S$1=TRUE,$S$4=FALSE)=TRUE,IF(OR($Q$4=TRUE,$Q$5=TRUE,$S$2=TRUE),VLOOKUP($G601,'KO Calc'!$H:$AW,15,FALSE),VLOOKUP($G601,'KO Calc'!$H607:$AW607,15,FALSE)),IF(AND($Q$1=TRUE,$S$4=FALSE),IF(OR($Q$4=TRUE,$Q$5=TRUE,$S$2=TRUE),VLOOKUP($G601,'KO Calc'!$H:$AW,5,FALSE),VLOOKUP($G601,'KO Calc'!$H607:$AW607,5,FALSE)),
IF(AND($Q$1=TRUE,$S$1=TRUE,$S$4=TRUE)=TRUE,IF(OR($Q$4=TRUE,$Q$5=TRUE,$S$2=TRUE),VLOOKUP($G601,'KO Calc'!$H:$AW,20,FALSE),VLOOKUP($G601,'KO Calc'!$H607:$AW607,20,FALSE)),IF(AND($Q$1=TRUE,$S$4=TRUE),IF(OR($Q$4=TRUE,$Q$5=TRUE,$S$2=TRUE),VLOOKUP($G601,'KO Calc'!$H:$AW,10,FALSE),VLOOKUP($G601,'KO Calc'!$H607:$AW607,10,FALSE)),
IF(AND($S$3=TRUE,$S$1=TRUE,$S$4=FALSE)=TRUE,IF(OR($Q$4=TRUE,$Q$5=TRUE,$S$2=TRUE),VLOOKUP($G601,'KO Calc'!$H:$AW,35,FALSE),VLOOKUP($G601,'KO Calc'!$H607:$AW607,35,FALSE)),IF(AND($S$3=TRUE,$S$4=FALSE),IF(OR($Q$4=TRUE,$Q$5=TRUE,$S$2=TRUE),VLOOKUP($G601,'KO Calc'!$H:$AW,25,FALSE),VLOOKUP($G601,'KO Calc'!$H607:$AW607,25,FALSE)),
IF(AND($S$3=TRUE,$S$1=TRUE,$S$4=TRUE)=TRUE,IF(OR($Q$4=TRUE,$Q$5=TRUE,$S$2=TRUE),VLOOKUP($G601,'KO Calc'!$H:$AW,40,FALSE),VLOOKUP($G601,'KO Calc'!$H607:$AW607,40,FALSE)),IF(AND($S$3=TRUE,$S$4=TRUE),IF(OR($Q$4=TRUE,$Q$5=TRUE,$S$2=TRUE),VLOOKUP($G601,'KO Calc'!$H:$AW,30,FALSE),VLOOKUP($G601,'KO Calc'!$H607:$AW607,30,FALSE)))))))))))))</f>
        <v>-</v>
      </c>
      <c r="L601" s="36" t="str">
        <f>IFERROR(VLOOKUP($E601,'Status Thresholds'!$E:$AS,41,FALSE),"-")</f>
        <v>-</v>
      </c>
    </row>
    <row r="602" spans="1:14" x14ac:dyDescent="0.25">
      <c r="B602" s="64" t="str">
        <f>VLOOKUP(C602,'Status Thresholds'!B:C,2,FALSE)</f>
        <v>MHGen</v>
      </c>
      <c r="C602" s="46" t="str">
        <f>IF(ISBLANK('KO Calc'!C598)=TRUE,"",'KO Calc'!C598)</f>
        <v>Rajang (Furious)</v>
      </c>
      <c r="D602" s="78"/>
      <c r="E602" s="62"/>
      <c r="G602" s="36"/>
      <c r="L602" s="36" t="str">
        <f>IFERROR(VLOOKUP($E602,'Status Thresholds'!$E:$AS,41,FALSE),"-")</f>
        <v>-</v>
      </c>
    </row>
    <row r="603" spans="1:14" s="36" customFormat="1" x14ac:dyDescent="0.25">
      <c r="B603" s="64" t="str">
        <f>VLOOKUP(C603,'Status Thresholds'!B:C,2,FALSE)</f>
        <v>MHGen</v>
      </c>
      <c r="C603" s="46" t="str">
        <f>IF(ISBLANK('KO Calc'!C599)=TRUE,"",'KO Calc'!C599)</f>
        <v>Rathalos</v>
      </c>
      <c r="D603" s="65" t="s">
        <v>0</v>
      </c>
      <c r="E603" s="62" t="str">
        <f t="shared" si="17"/>
        <v>RathalosPara</v>
      </c>
      <c r="F603" s="36" t="s">
        <v>2</v>
      </c>
      <c r="G603" s="36" t="str">
        <f t="shared" si="18"/>
        <v>RathalosPara lvl 2</v>
      </c>
      <c r="H603" s="36" t="str">
        <f>IFERROR(ROUNDUP(IF(AND($Q$1=FALSE,$S$3=FALSE),"-",IF(AND($Q$1=TRUE,$S$3=TRUE),"-",IF(AND($Q$1=TRUE,$S$1=TRUE,$S$4=FALSE),VLOOKUP($E603,'Status Thresholds'!$E:$AS,12,FALSE),IF(AND($Q$1=TRUE,$S$4=FALSE),VLOOKUP($E603,'Status Thresholds'!$E:$AS,2,FALSE), IF(AND($Q$1=TRUE,$S$1=TRUE,$S$4=TRUE),VLOOKUP($E603,'Status Thresholds'!$E:$AS,17,FALSE),IF(AND($Q$1=TRUE,$S$4=TRUE),VLOOKUP($E603,'Status Thresholds'!$E:$AS,7,FALSE),IF(AND($S$3=TRUE,$S$1=TRUE,$S$4=FALSE),VLOOKUP($E603,'Status Thresholds'!$E:$AS,32,FALSE),IF(AND($S$3=TRUE,$S$4=FALSE),VLOOKUP($E603,'Status Thresholds'!$E:$AS,22,FALSE),IF(AND($S$3=TRUE,$S$1=TRUE,$S$4=TRUE),VLOOKUP($E603,'Status Thresholds'!$E:$AS,37,FALSE),IF(AND($S$3=TRUE,$S$4=TRUE),VLOOKUP($E603,'Status Thresholds'!$E:$AS,27,FALSE),""))))))))/IF(OR($Q$3=TRUE,AND($Q$2=TRUE,$Q$7=TRUE),AND($Q$3=TRUE,$Q$7=TRUE))=TRUE,'Shots and Status'!$F$5,IF((OR($Q$2,$Q$7)=TRUE),'Shots and Status'!$D$5,'Shots and Status'!$C$5)))),0),"-")</f>
        <v>-</v>
      </c>
      <c r="I603" s="36" t="str">
        <f>IFERROR(ROUNDUP(IF(AND($Q$1=FALSE,$S$3=FALSE),"-",IF(AND($Q$1=TRUE,$S$3=TRUE),"-",IF(AND($Q$1=TRUE,$S$1=TRUE,$S$4=FALSE),VLOOKUP($E603,'Status Thresholds'!$E:$AS,13,FALSE),IF(AND($Q$1=TRUE,$S$4=FALSE),VLOOKUP($E603,'Status Thresholds'!$E:$AS,3,FALSE), IF(AND($Q$1=TRUE,$S$1=TRUE,$S$4=TRUE),VLOOKUP($E603,'Status Thresholds'!$E:$AS,18,FALSE),IF(AND($Q$1=TRUE,$S$4=TRUE),VLOOKUP($E603,'Status Thresholds'!$E:$AS,8,FALSE),IF(AND($S$3=TRUE,$S$1=TRUE,$S$4=FALSE),VLOOKUP($E603,'Status Thresholds'!$E:$AS,33,FALSE),IF(AND($S$3=TRUE,$S$4=FALSE),VLOOKUP($E603,'Status Thresholds'!$E:$AS,23,FALSE),IF(AND($S$3=TRUE,$S$1=TRUE,$S$4=TRUE),VLOOKUP($E603,'Status Thresholds'!$E:$AS,38,FALSE),IF(AND($S$3=TRUE,$S$4=TRUE),VLOOKUP($E603,'Status Thresholds'!$E:$AS,28,FALSE),""))))))))/IF(OR($Q$3=TRUE,AND($Q$2=TRUE,$Q$7=TRUE),AND($Q$3=TRUE,$Q$7=TRUE))=TRUE,'Shots and Status'!$F$5,IF((OR($Q$2,$Q$7)=TRUE),'Shots and Status'!$D$5,'Shots and Status'!$C$5)))),0),"-")</f>
        <v>-</v>
      </c>
      <c r="J603" s="36" t="str">
        <f>IFERROR(ROUNDUP(IF(AND($Q$1=FALSE,$S$3=FALSE),"-",IF(AND($Q$1=TRUE,$S$3=TRUE),"-",IF(AND($Q$1=TRUE,$S$1=TRUE,$S$4=FALSE),VLOOKUP($E603,'Status Thresholds'!$E:$AS,14,FALSE),IF(AND($Q$1=TRUE,$S$4=FALSE),VLOOKUP($E603,'Status Thresholds'!$E:$AS,4,FALSE), IF(AND($Q$1=TRUE,$S$1=TRUE,$S$4=TRUE),VLOOKUP($E603,'Status Thresholds'!$E:$AS,19,FALSE),IF(AND($Q$1=TRUE,$S$4=TRUE),VLOOKUP($E603,'Status Thresholds'!$E:$AS,9,FALSE),IF(AND($S$3=TRUE,$S$1=TRUE,$S$4=FALSE),VLOOKUP($E603,'Status Thresholds'!$E:$AS,34,FALSE),IF(AND($S$3=TRUE,$S$4=FALSE),VLOOKUP($E603,'Status Thresholds'!$E:$AS,24,FALSE),IF(AND($S$3=TRUE,$S$1=TRUE,$S$4=TRUE),VLOOKUP($E603,'Status Thresholds'!$E:$AS,39,FALSE),IF(AND($S$3=TRUE,$S$4=TRUE),VLOOKUP($E603,'Status Thresholds'!$E:$AS,29,FALSE),""))))))))/IF(OR($Q$3=TRUE,AND($Q$2=TRUE,$Q$7=TRUE),AND($Q$3=TRUE,$Q$7=TRUE))=TRUE,'Shots and Status'!$F$5,IF((OR($Q$2,$Q$7)=TRUE),'Shots and Status'!$D$5,'Shots and Status'!$C$5)))),0),"-")</f>
        <v>-</v>
      </c>
      <c r="K603" s="36" t="str">
        <f>IFERROR(ROUNDUP(IF(AND($Q$1=FALSE,$S$3=FALSE),"-",IF(AND($Q$1=TRUE,$S$3=TRUE),"-",IF(AND($Q$1=TRUE,$S$1=TRUE,$S$4=FALSE),VLOOKUP($E603,'Status Thresholds'!$E:$AS,15,FALSE),IF(AND($Q$1=TRUE,$S$4=FALSE),VLOOKUP($E603,'Status Thresholds'!$E:$AS,5,FALSE), IF(AND($Q$1=TRUE,$S$1=TRUE,$S$4=TRUE),VLOOKUP($E603,'Status Thresholds'!$E:$AS,20,FALSE),IF(AND($Q$1=TRUE,$S$4=TRUE),VLOOKUP($E603,'Status Thresholds'!$E:$AS,10,FALSE),IF(AND($S$3=TRUE,$S$1=TRUE,$S$4=FALSE),VLOOKUP($E603,'Status Thresholds'!$E:$AS,35,FALSE),IF(AND($S$3=TRUE,$S$4=FALSE),VLOOKUP($E603,'Status Thresholds'!$E:$AS,25,FALSE),IF(AND($S$3=TRUE,$S$1=TRUE,$S$4=TRUE),VLOOKUP($E603,'Status Thresholds'!$E:$AS,40,FALSE),IF(AND($S$3=TRUE,$S$4=TRUE),VLOOKUP($E603,'Status Thresholds'!$E:$AS,30,FALSE),""))))))))/IF(OR($Q$3=TRUE,AND($Q$2=TRUE,$Q$7=TRUE),AND($Q$3=TRUE,$Q$7=TRUE))=TRUE,'Shots and Status'!$F$5,IF((OR($Q$2,$Q$7)=TRUE),'Shots and Status'!$D$5,'Shots and Status'!$C$5)))),0),"-")</f>
        <v>-</v>
      </c>
      <c r="L603" s="36" t="str">
        <f>IFERROR(IF(AND($Q$1=FALSE,$S$3=FALSE),"-",VLOOKUP($E603,'Status Thresholds'!$E:$AU,41,FALSE)),"-")</f>
        <v>-</v>
      </c>
      <c r="M603" s="36" t="str">
        <f>IFERROR(IF(AND($Q$1=FALSE,$S$3=FALSE),"-",VLOOKUP($E603,'Status Thresholds'!$E:$AU,42,FALSE)),"-")</f>
        <v>-</v>
      </c>
      <c r="N603" s="36" t="str">
        <f>IFERROR(IF(AND($Q$1=FALSE,$S$3=FALSE),"-",VLOOKUP($E603,'Status Thresholds'!$E:$AU,43,FALSE)),"-")</f>
        <v>-</v>
      </c>
    </row>
    <row r="604" spans="1:14" s="59" customFormat="1" x14ac:dyDescent="0.25">
      <c r="A604" s="46"/>
      <c r="B604" s="64" t="str">
        <f>VLOOKUP(C604,'Status Thresholds'!B:C,2,FALSE)</f>
        <v>MHGen</v>
      </c>
      <c r="C604" s="46" t="str">
        <f>IF(ISBLANK('KO Calc'!C600)=TRUE,"",'KO Calc'!C600)</f>
        <v>Rathalos</v>
      </c>
      <c r="D604" s="60" t="s">
        <v>32</v>
      </c>
      <c r="E604" s="62" t="str">
        <f t="shared" si="17"/>
        <v>RathalosSleep</v>
      </c>
      <c r="F604" s="59" t="s">
        <v>5</v>
      </c>
      <c r="G604" s="36" t="str">
        <f t="shared" si="18"/>
        <v>RathalosSleep lvl 2</v>
      </c>
      <c r="H604" s="36" t="str">
        <f>IFERROR(ROUNDUP(IF(AND($Q$1=FALSE,$S$3=FALSE),"-",IF(AND($Q$1=TRUE,$S$3=TRUE),"-",IF(AND($Q$1=TRUE,$S$1=TRUE,$S$4=FALSE),VLOOKUP($E604,'Status Thresholds'!$E:$AS,12,FALSE),IF(AND($Q$1=TRUE,$S$4=FALSE),VLOOKUP($E604,'Status Thresholds'!$E:$AS,2,FALSE), IF(AND($Q$1=TRUE,$S$1=TRUE,$S$4=TRUE),VLOOKUP($E604,'Status Thresholds'!$E:$AS,17,FALSE),IF(AND($Q$1=TRUE,$S$4=TRUE),VLOOKUP($E604,'Status Thresholds'!$E:$AS,7,FALSE),IF(AND($S$3=TRUE,$S$1=TRUE,$S$4=FALSE),VLOOKUP($E604,'Status Thresholds'!$E:$AS,32,FALSE),IF(AND($S$3=TRUE,$S$4=FALSE),VLOOKUP($E604,'Status Thresholds'!$E:$AS,22,FALSE),IF(AND($S$3=TRUE,$S$1=TRUE,$S$4=TRUE),VLOOKUP($E604,'Status Thresholds'!$E:$AS,37,FALSE),IF(AND($S$3=TRUE,$S$4=TRUE),VLOOKUP($E604,'Status Thresholds'!$E:$AS,27,FALSE),""))))))))/IF(OR($Q$3=TRUE,AND($Q$2=TRUE,$Q$7=TRUE),AND($Q$3=TRUE,$Q$7=TRUE))=TRUE,'Shots and Status'!$F$5,IF((OR($Q$2,$Q$7)=TRUE),'Shots and Status'!$D$5,'Shots and Status'!$C$5)))),0),"-")</f>
        <v>-</v>
      </c>
      <c r="I604" s="36" t="str">
        <f>IFERROR(ROUNDUP(IF(AND($Q$1=FALSE,$S$3=FALSE),"-",IF(AND($Q$1=TRUE,$S$3=TRUE),"-",IF(AND($Q$1=TRUE,$S$1=TRUE,$S$4=FALSE),VLOOKUP($E604,'Status Thresholds'!$E:$AS,13,FALSE),IF(AND($Q$1=TRUE,$S$4=FALSE),VLOOKUP($E604,'Status Thresholds'!$E:$AS,3,FALSE), IF(AND($Q$1=TRUE,$S$1=TRUE,$S$4=TRUE),VLOOKUP($E604,'Status Thresholds'!$E:$AS,18,FALSE),IF(AND($Q$1=TRUE,$S$4=TRUE),VLOOKUP($E604,'Status Thresholds'!$E:$AS,8,FALSE),IF(AND($S$3=TRUE,$S$1=TRUE,$S$4=FALSE),VLOOKUP($E604,'Status Thresholds'!$E:$AS,33,FALSE),IF(AND($S$3=TRUE,$S$4=FALSE),VLOOKUP($E604,'Status Thresholds'!$E:$AS,23,FALSE),IF(AND($S$3=TRUE,$S$1=TRUE,$S$4=TRUE),VLOOKUP($E604,'Status Thresholds'!$E:$AS,38,FALSE),IF(AND($S$3=TRUE,$S$4=TRUE),VLOOKUP($E604,'Status Thresholds'!$E:$AS,28,FALSE),""))))))))/IF(OR($Q$3=TRUE,AND($Q$2=TRUE,$Q$7=TRUE),AND($Q$3=TRUE,$Q$7=TRUE))=TRUE,'Shots and Status'!$F$5,IF((OR($Q$2,$Q$7)=TRUE),'Shots and Status'!$D$5,'Shots and Status'!$C$5)))),0),"-")</f>
        <v>-</v>
      </c>
      <c r="J604" s="36" t="str">
        <f>IFERROR(ROUNDUP(IF(AND($Q$1=FALSE,$S$3=FALSE),"-",IF(AND($Q$1=TRUE,$S$3=TRUE),"-",IF(AND($Q$1=TRUE,$S$1=TRUE,$S$4=FALSE),VLOOKUP($E604,'Status Thresholds'!$E:$AS,14,FALSE),IF(AND($Q$1=TRUE,$S$4=FALSE),VLOOKUP($E604,'Status Thresholds'!$E:$AS,4,FALSE), IF(AND($Q$1=TRUE,$S$1=TRUE,$S$4=TRUE),VLOOKUP($E604,'Status Thresholds'!$E:$AS,19,FALSE),IF(AND($Q$1=TRUE,$S$4=TRUE),VLOOKUP($E604,'Status Thresholds'!$E:$AS,9,FALSE),IF(AND($S$3=TRUE,$S$1=TRUE,$S$4=FALSE),VLOOKUP($E604,'Status Thresholds'!$E:$AS,34,FALSE),IF(AND($S$3=TRUE,$S$4=FALSE),VLOOKUP($E604,'Status Thresholds'!$E:$AS,24,FALSE),IF(AND($S$3=TRUE,$S$1=TRUE,$S$4=TRUE),VLOOKUP($E604,'Status Thresholds'!$E:$AS,39,FALSE),IF(AND($S$3=TRUE,$S$4=TRUE),VLOOKUP($E604,'Status Thresholds'!$E:$AS,29,FALSE),""))))))))/IF(OR($Q$3=TRUE,AND($Q$2=TRUE,$Q$7=TRUE),AND($Q$3=TRUE,$Q$7=TRUE))=TRUE,'Shots and Status'!$F$5,IF((OR($Q$2,$Q$7)=TRUE),'Shots and Status'!$D$5,'Shots and Status'!$C$5)))),0),"-")</f>
        <v>-</v>
      </c>
      <c r="K604" s="36" t="str">
        <f>IFERROR(ROUNDUP(IF(AND($Q$1=FALSE,$S$3=FALSE),"-",IF(AND($Q$1=TRUE,$S$3=TRUE),"-",IF(AND($Q$1=TRUE,$S$1=TRUE,$S$4=FALSE),VLOOKUP($E604,'Status Thresholds'!$E:$AS,15,FALSE),IF(AND($Q$1=TRUE,$S$4=FALSE),VLOOKUP($E604,'Status Thresholds'!$E:$AS,5,FALSE), IF(AND($Q$1=TRUE,$S$1=TRUE,$S$4=TRUE),VLOOKUP($E604,'Status Thresholds'!$E:$AS,20,FALSE),IF(AND($Q$1=TRUE,$S$4=TRUE),VLOOKUP($E604,'Status Thresholds'!$E:$AS,10,FALSE),IF(AND($S$3=TRUE,$S$1=TRUE,$S$4=FALSE),VLOOKUP($E604,'Status Thresholds'!$E:$AS,35,FALSE),IF(AND($S$3=TRUE,$S$4=FALSE),VLOOKUP($E604,'Status Thresholds'!$E:$AS,25,FALSE),IF(AND($S$3=TRUE,$S$1=TRUE,$S$4=TRUE),VLOOKUP($E604,'Status Thresholds'!$E:$AS,40,FALSE),IF(AND($S$3=TRUE,$S$4=TRUE),VLOOKUP($E604,'Status Thresholds'!$E:$AS,30,FALSE),""))))))))/IF(OR($Q$3=TRUE,AND($Q$2=TRUE,$Q$7=TRUE),AND($Q$3=TRUE,$Q$7=TRUE))=TRUE,'Shots and Status'!$F$5,IF((OR($Q$2,$Q$7)=TRUE),'Shots and Status'!$D$5,'Shots and Status'!$C$5)))),0),"-")</f>
        <v>-</v>
      </c>
      <c r="L604" s="36" t="str">
        <f>IFERROR(IF(AND($Q$1=FALSE,$S$3=FALSE),"-",VLOOKUP($E604,'Status Thresholds'!$E:$AU,41,FALSE)),"-")</f>
        <v>-</v>
      </c>
      <c r="M604" s="36" t="str">
        <f>IFERROR(IF(AND($Q$1=FALSE,$S$3=FALSE),"-",VLOOKUP($E604,'Status Thresholds'!$E:$AU,42,FALSE)),"-")</f>
        <v>-</v>
      </c>
      <c r="N604" s="36" t="str">
        <f>IFERROR(IF(AND($Q$1=FALSE,$S$3=FALSE),"-",VLOOKUP($E604,'Status Thresholds'!$E:$AU,43,FALSE)),"-")</f>
        <v>-</v>
      </c>
    </row>
    <row r="605" spans="1:14" s="59" customFormat="1" x14ac:dyDescent="0.25">
      <c r="A605" s="46"/>
      <c r="B605" s="64" t="str">
        <f>VLOOKUP(C605,'Status Thresholds'!B:C,2,FALSE)</f>
        <v>MHGen</v>
      </c>
      <c r="C605" s="46" t="str">
        <f>IF(ISBLANK('KO Calc'!C601)=TRUE,"",'KO Calc'!C601)</f>
        <v>Rathalos</v>
      </c>
      <c r="D605" s="58" t="s">
        <v>33</v>
      </c>
      <c r="E605" s="62" t="str">
        <f t="shared" si="17"/>
        <v>RathalosPoison</v>
      </c>
      <c r="F605" s="59" t="s">
        <v>6</v>
      </c>
      <c r="G605" s="36" t="str">
        <f t="shared" si="18"/>
        <v>RathalosPoison lvl 2</v>
      </c>
      <c r="H605" s="36" t="str">
        <f>IFERROR(ROUNDUP(IF(AND($Q$1=FALSE,$S$3=FALSE),"-",IF(AND($Q$1=TRUE,$S$3=TRUE),"-",IF(AND($Q$1=TRUE,$S$1=TRUE,$S$4=FALSE),VLOOKUP($E605,'Status Thresholds'!$E:$AS,12,FALSE),IF(AND($Q$1=TRUE,$S$4=FALSE),VLOOKUP($E605,'Status Thresholds'!$E:$AS,2,FALSE), IF(AND($Q$1=TRUE,$S$1=TRUE,$S$4=TRUE),VLOOKUP($E605,'Status Thresholds'!$E:$AS,17,FALSE),IF(AND($Q$1=TRUE,$S$4=TRUE),VLOOKUP($E605,'Status Thresholds'!$E:$AS,7,FALSE),IF(AND($S$3=TRUE,$S$1=TRUE,$S$4=FALSE),VLOOKUP($E605,'Status Thresholds'!$E:$AS,32,FALSE),IF(AND($S$3=TRUE,$S$4=FALSE),VLOOKUP($E605,'Status Thresholds'!$E:$AS,22,FALSE),IF(AND($S$3=TRUE,$S$1=TRUE,$S$4=TRUE),VLOOKUP($E605,'Status Thresholds'!$E:$AS,37,FALSE),IF(AND($S$3=TRUE,$S$4=TRUE),VLOOKUP($E605,'Status Thresholds'!$E:$AS,27,FALSE),""))))))))/IF(OR($Q$3=TRUE,AND($Q$2=TRUE,$Q$7=TRUE),AND($Q$3=TRUE,$Q$7=TRUE))=TRUE,'Shots and Status'!$F$5,IF((OR($Q$2,$Q$7)=TRUE),'Shots and Status'!$D$5,'Shots and Status'!$C$5)))),0),"-")</f>
        <v>-</v>
      </c>
      <c r="I605" s="36" t="str">
        <f>IFERROR(ROUNDUP(IF(AND($Q$1=FALSE,$S$3=FALSE),"-",IF(AND($Q$1=TRUE,$S$3=TRUE),"-",IF(AND($Q$1=TRUE,$S$1=TRUE,$S$4=FALSE),VLOOKUP($E605,'Status Thresholds'!$E:$AS,13,FALSE),IF(AND($Q$1=TRUE,$S$4=FALSE),VLOOKUP($E605,'Status Thresholds'!$E:$AS,3,FALSE), IF(AND($Q$1=TRUE,$S$1=TRUE,$S$4=TRUE),VLOOKUP($E605,'Status Thresholds'!$E:$AS,18,FALSE),IF(AND($Q$1=TRUE,$S$4=TRUE),VLOOKUP($E605,'Status Thresholds'!$E:$AS,8,FALSE),IF(AND($S$3=TRUE,$S$1=TRUE,$S$4=FALSE),VLOOKUP($E605,'Status Thresholds'!$E:$AS,33,FALSE),IF(AND($S$3=TRUE,$S$4=FALSE),VLOOKUP($E605,'Status Thresholds'!$E:$AS,23,FALSE),IF(AND($S$3=TRUE,$S$1=TRUE,$S$4=TRUE),VLOOKUP($E605,'Status Thresholds'!$E:$AS,38,FALSE),IF(AND($S$3=TRUE,$S$4=TRUE),VLOOKUP($E605,'Status Thresholds'!$E:$AS,28,FALSE),""))))))))/IF(OR($Q$3=TRUE,AND($Q$2=TRUE,$Q$7=TRUE),AND($Q$3=TRUE,$Q$7=TRUE))=TRUE,'Shots and Status'!$F$5,IF((OR($Q$2,$Q$7)=TRUE),'Shots and Status'!$D$5,'Shots and Status'!$C$5)))),0),"-")</f>
        <v>-</v>
      </c>
      <c r="J605" s="36" t="str">
        <f>IFERROR(ROUNDUP(IF(AND($Q$1=FALSE,$S$3=FALSE),"-",IF(AND($Q$1=TRUE,$S$3=TRUE),"-",IF(AND($Q$1=TRUE,$S$1=TRUE,$S$4=FALSE),VLOOKUP($E605,'Status Thresholds'!$E:$AS,14,FALSE),IF(AND($Q$1=TRUE,$S$4=FALSE),VLOOKUP($E605,'Status Thresholds'!$E:$AS,4,FALSE), IF(AND($Q$1=TRUE,$S$1=TRUE,$S$4=TRUE),VLOOKUP($E605,'Status Thresholds'!$E:$AS,19,FALSE),IF(AND($Q$1=TRUE,$S$4=TRUE),VLOOKUP($E605,'Status Thresholds'!$E:$AS,9,FALSE),IF(AND($S$3=TRUE,$S$1=TRUE,$S$4=FALSE),VLOOKUP($E605,'Status Thresholds'!$E:$AS,34,FALSE),IF(AND($S$3=TRUE,$S$4=FALSE),VLOOKUP($E605,'Status Thresholds'!$E:$AS,24,FALSE),IF(AND($S$3=TRUE,$S$1=TRUE,$S$4=TRUE),VLOOKUP($E605,'Status Thresholds'!$E:$AS,39,FALSE),IF(AND($S$3=TRUE,$S$4=TRUE),VLOOKUP($E605,'Status Thresholds'!$E:$AS,29,FALSE),""))))))))/IF(OR($Q$3=TRUE,AND($Q$2=TRUE,$Q$7=TRUE),AND($Q$3=TRUE,$Q$7=TRUE))=TRUE,'Shots and Status'!$F$5,IF((OR($Q$2,$Q$7)=TRUE),'Shots and Status'!$D$5,'Shots and Status'!$C$5)))),0),"-")</f>
        <v>-</v>
      </c>
      <c r="K605" s="36" t="str">
        <f>IFERROR(ROUNDUP(IF(AND($Q$1=FALSE,$S$3=FALSE),"-",IF(AND($Q$1=TRUE,$S$3=TRUE),"-",IF(AND($Q$1=TRUE,$S$1=TRUE,$S$4=FALSE),VLOOKUP($E605,'Status Thresholds'!$E:$AS,15,FALSE),IF(AND($Q$1=TRUE,$S$4=FALSE),VLOOKUP($E605,'Status Thresholds'!$E:$AS,5,FALSE), IF(AND($Q$1=TRUE,$S$1=TRUE,$S$4=TRUE),VLOOKUP($E605,'Status Thresholds'!$E:$AS,20,FALSE),IF(AND($Q$1=TRUE,$S$4=TRUE),VLOOKUP($E605,'Status Thresholds'!$E:$AS,10,FALSE),IF(AND($S$3=TRUE,$S$1=TRUE,$S$4=FALSE),VLOOKUP($E605,'Status Thresholds'!$E:$AS,35,FALSE),IF(AND($S$3=TRUE,$S$4=FALSE),VLOOKUP($E605,'Status Thresholds'!$E:$AS,25,FALSE),IF(AND($S$3=TRUE,$S$1=TRUE,$S$4=TRUE),VLOOKUP($E605,'Status Thresholds'!$E:$AS,40,FALSE),IF(AND($S$3=TRUE,$S$4=TRUE),VLOOKUP($E605,'Status Thresholds'!$E:$AS,30,FALSE),""))))))))/IF(OR($Q$3=TRUE,AND($Q$2=TRUE,$Q$7=TRUE),AND($Q$3=TRUE,$Q$7=TRUE))=TRUE,'Shots and Status'!$F$5,IF((OR($Q$2,$Q$7)=TRUE),'Shots and Status'!$D$5,'Shots and Status'!$C$5)))),0),"-")</f>
        <v>-</v>
      </c>
      <c r="L605" s="36" t="str">
        <f>IFERROR(IF(AND($Q$1=FALSE,$S$3=FALSE),"-",VLOOKUP($E605,'Status Thresholds'!$E:$AU,41,FALSE)),"-")</f>
        <v>-</v>
      </c>
      <c r="M605" s="36" t="str">
        <f>IFERROR(IF(AND($Q$1=FALSE,$S$3=FALSE),"-",VLOOKUP($E605,'Status Thresholds'!$E:$AU,42,FALSE)),"-")</f>
        <v>-</v>
      </c>
      <c r="N605" s="36" t="str">
        <f>IFERROR(IF(AND($Q$1=FALSE,$S$3=FALSE),"-",VLOOKUP($E605,'Status Thresholds'!$E:$AU,43,FALSE)),"-")</f>
        <v>-</v>
      </c>
    </row>
    <row r="606" spans="1:14" s="36" customFormat="1" x14ac:dyDescent="0.25">
      <c r="A606" s="46"/>
      <c r="B606" s="64" t="str">
        <f>VLOOKUP(C606,'Status Thresholds'!B:C,2,FALSE)</f>
        <v>MHGen</v>
      </c>
      <c r="C606" s="46" t="str">
        <f>IF(ISBLANK('KO Calc'!C602)=TRUE,"",'KO Calc'!C602)</f>
        <v>Rathalos</v>
      </c>
      <c r="D606" s="57" t="s">
        <v>22</v>
      </c>
      <c r="E606" s="62" t="str">
        <f t="shared" si="17"/>
        <v>RathalosExhaust</v>
      </c>
      <c r="F606" s="36" t="s">
        <v>8</v>
      </c>
      <c r="G606" s="36" t="str">
        <f t="shared" si="18"/>
        <v>RathalosExhaust lvl 2</v>
      </c>
      <c r="H606" s="36" t="str">
        <f>IFERROR(ROUNDUP(IF(AND($Q$1=FALSE,$S$3=FALSE),"-",IF(AND($Q$1=TRUE,$S$3=TRUE),"-",IF(AND($Q$1=TRUE,$S$1=TRUE,$S$4=FALSE),VLOOKUP($E606,'Status Thresholds'!$E:$AS,12,FALSE),IF(AND($Q$1=TRUE,$S$4=FALSE),VLOOKUP($E606,'Status Thresholds'!$E:$AS,2,FALSE), IF(AND($Q$1=TRUE,$S$1=TRUE,$S$4=TRUE),VLOOKUP($E606,'Status Thresholds'!$E:$AS,17,FALSE),IF(AND($Q$1=TRUE,$S$4=TRUE),VLOOKUP($E606,'Status Thresholds'!$E:$AS,7,FALSE),IF(AND($S$3=TRUE,$S$1=TRUE,$S$4=FALSE),VLOOKUP($E606,'Status Thresholds'!$E:$AS,32,FALSE),IF(AND($S$3=TRUE,$S$4=FALSE),VLOOKUP($E606,'Status Thresholds'!$E:$AS,22,FALSE),IF(AND($S$3=TRUE,$S$1=TRUE,$S$4=TRUE),VLOOKUP($E606,'Status Thresholds'!$E:$AS,37,FALSE),IF(AND($S$3=TRUE,$S$4=TRUE),VLOOKUP($E606,'Status Thresholds'!$E:$AS,27,FALSE),""))))))))/IF(OR($Q$3=TRUE,AND($Q$2=TRUE,$Q$7=TRUE),AND($Q$3=TRUE,$Q$7=TRUE))=TRUE,'Shots and Status'!$F$5,IF((OR($Q$2,$Q$7)=TRUE),'Shots and Status'!$D$5,'Shots and Status'!$C$5)))),0),"-")</f>
        <v>-</v>
      </c>
      <c r="I606" s="36" t="str">
        <f>IFERROR(ROUNDUP(IF(AND($Q$1=FALSE,$S$3=FALSE),"-",IF(AND($Q$1=TRUE,$S$3=TRUE),"-",IF(AND($Q$1=TRUE,$S$1=TRUE,$S$4=FALSE),VLOOKUP($E606,'Status Thresholds'!$E:$AS,13,FALSE),IF(AND($Q$1=TRUE,$S$4=FALSE),VLOOKUP($E606,'Status Thresholds'!$E:$AS,3,FALSE), IF(AND($Q$1=TRUE,$S$1=TRUE,$S$4=TRUE),VLOOKUP($E606,'Status Thresholds'!$E:$AS,18,FALSE),IF(AND($Q$1=TRUE,$S$4=TRUE),VLOOKUP($E606,'Status Thresholds'!$E:$AS,8,FALSE),IF(AND($S$3=TRUE,$S$1=TRUE,$S$4=FALSE),VLOOKUP($E606,'Status Thresholds'!$E:$AS,33,FALSE),IF(AND($S$3=TRUE,$S$4=FALSE),VLOOKUP($E606,'Status Thresholds'!$E:$AS,23,FALSE),IF(AND($S$3=TRUE,$S$1=TRUE,$S$4=TRUE),VLOOKUP($E606,'Status Thresholds'!$E:$AS,38,FALSE),IF(AND($S$3=TRUE,$S$4=TRUE),VLOOKUP($E606,'Status Thresholds'!$E:$AS,28,FALSE),""))))))))/IF(OR($Q$3=TRUE,AND($Q$2=TRUE,$Q$7=TRUE),AND($Q$3=TRUE,$Q$7=TRUE))=TRUE,'Shots and Status'!$F$5,IF((OR($Q$2,$Q$7)=TRUE),'Shots and Status'!$D$5,'Shots and Status'!$C$5)))),0),"-")</f>
        <v>-</v>
      </c>
      <c r="J606" s="36" t="str">
        <f>IFERROR(ROUNDUP(IF(AND($Q$1=FALSE,$S$3=FALSE),"-",IF(AND($Q$1=TRUE,$S$3=TRUE),"-",IF(AND($Q$1=TRUE,$S$1=TRUE,$S$4=FALSE),VLOOKUP($E606,'Status Thresholds'!$E:$AS,14,FALSE),IF(AND($Q$1=TRUE,$S$4=FALSE),VLOOKUP($E606,'Status Thresholds'!$E:$AS,4,FALSE), IF(AND($Q$1=TRUE,$S$1=TRUE,$S$4=TRUE),VLOOKUP($E606,'Status Thresholds'!$E:$AS,19,FALSE),IF(AND($Q$1=TRUE,$S$4=TRUE),VLOOKUP($E606,'Status Thresholds'!$E:$AS,9,FALSE),IF(AND($S$3=TRUE,$S$1=TRUE,$S$4=FALSE),VLOOKUP($E606,'Status Thresholds'!$E:$AS,34,FALSE),IF(AND($S$3=TRUE,$S$4=FALSE),VLOOKUP($E606,'Status Thresholds'!$E:$AS,24,FALSE),IF(AND($S$3=TRUE,$S$1=TRUE,$S$4=TRUE),VLOOKUP($E606,'Status Thresholds'!$E:$AS,39,FALSE),IF(AND($S$3=TRUE,$S$4=TRUE),VLOOKUP($E606,'Status Thresholds'!$E:$AS,29,FALSE),""))))))))/IF(OR($Q$3=TRUE,AND($Q$2=TRUE,$Q$7=TRUE),AND($Q$3=TRUE,$Q$7=TRUE))=TRUE,'Shots and Status'!$F$5,IF((OR($Q$2,$Q$7)=TRUE),'Shots and Status'!$D$5,'Shots and Status'!$C$5)))),0),"-")</f>
        <v>-</v>
      </c>
      <c r="K606" s="36" t="str">
        <f>IFERROR(ROUNDUP(IF(AND($Q$1=FALSE,$S$3=FALSE),"-",IF(AND($Q$1=TRUE,$S$3=TRUE),"-",IF(AND($Q$1=TRUE,$S$1=TRUE,$S$4=FALSE),VLOOKUP($E606,'Status Thresholds'!$E:$AS,15,FALSE),IF(AND($Q$1=TRUE,$S$4=FALSE),VLOOKUP($E606,'Status Thresholds'!$E:$AS,5,FALSE), IF(AND($Q$1=TRUE,$S$1=TRUE,$S$4=TRUE),VLOOKUP($E606,'Status Thresholds'!$E:$AS,20,FALSE),IF(AND($Q$1=TRUE,$S$4=TRUE),VLOOKUP($E606,'Status Thresholds'!$E:$AS,10,FALSE),IF(AND($S$3=TRUE,$S$1=TRUE,$S$4=FALSE),VLOOKUP($E606,'Status Thresholds'!$E:$AS,35,FALSE),IF(AND($S$3=TRUE,$S$4=FALSE),VLOOKUP($E606,'Status Thresholds'!$E:$AS,25,FALSE),IF(AND($S$3=TRUE,$S$1=TRUE,$S$4=TRUE),VLOOKUP($E606,'Status Thresholds'!$E:$AS,40,FALSE),IF(AND($S$3=TRUE,$S$4=TRUE),VLOOKUP($E606,'Status Thresholds'!$E:$AS,30,FALSE),""))))))))/IF(OR($Q$3=TRUE,AND($Q$2=TRUE,$Q$7=TRUE),AND($Q$3=TRUE,$Q$7=TRUE))=TRUE,'Shots and Status'!$F$5,IF((OR($Q$2,$Q$7)=TRUE),'Shots and Status'!$D$5,'Shots and Status'!$C$5)))),0),"-")</f>
        <v>-</v>
      </c>
      <c r="L606" s="36" t="str">
        <f>IFERROR(IF(AND($Q$1=FALSE,$S$3=FALSE),"-",VLOOKUP($E606,'Status Thresholds'!$E:$AU,41,FALSE)),"-")</f>
        <v>-</v>
      </c>
      <c r="M606" s="36" t="str">
        <f>IFERROR(IF(AND($Q$1=FALSE,$S$3=FALSE),"-",VLOOKUP($E606,'Status Thresholds'!$E:$AU,42,FALSE)),"-")</f>
        <v>-</v>
      </c>
      <c r="N606" s="36" t="str">
        <f>IFERROR(IF(AND($Q$1=FALSE,$S$3=FALSE),"-",VLOOKUP($E606,'Status Thresholds'!$E:$AU,43,FALSE)),"-")</f>
        <v>-</v>
      </c>
    </row>
    <row r="607" spans="1:14" s="36" customFormat="1" x14ac:dyDescent="0.25">
      <c r="A607" s="46"/>
      <c r="B607" s="64" t="str">
        <f>VLOOKUP(C607,'Status Thresholds'!B:C,2,FALSE)</f>
        <v>MHGen</v>
      </c>
      <c r="C607" s="46" t="str">
        <f>IF(ISBLANK('KO Calc'!C603)=TRUE,"",'KO Calc'!C603)</f>
        <v>Rathalos</v>
      </c>
      <c r="D607" s="67" t="s">
        <v>14</v>
      </c>
      <c r="E607" s="62" t="str">
        <f t="shared" si="17"/>
        <v>RathalosKO</v>
      </c>
      <c r="F607" s="36" t="s">
        <v>21</v>
      </c>
      <c r="G607" s="36" t="str">
        <f t="shared" si="18"/>
        <v>RathalosTriblast</v>
      </c>
      <c r="H607" s="36" t="str">
        <f>IF(AND($Q$1=FALSE,$S$3=FALSE),"-",IF(AND($Q$1=TRUE,$S$3=TRUE),"-",IF(AND($Q$1=FALSE,$S$3=FALSE),"-",IF(AND($Q$1=TRUE,$S$1=TRUE,$S$4=FALSE)=TRUE,IF(OR($Q$4=TRUE,$Q$5=TRUE,$S$2=TRUE),VLOOKUP($G607,'KO Calc'!$H:$AW,12,FALSE),VLOOKUP($G607,'KO Calc'!$H613:$AW613,12,FALSE)),IF(AND($Q$1=TRUE,$S$4=FALSE),IF(OR($Q$4=TRUE,$Q$5=TRUE,$S$2=TRUE),VLOOKUP($G607,'KO Calc'!$H:$AW,2,FALSE),VLOOKUP($G607,'KO Calc'!$H613:$AW613,2,FALSE)),
IF(AND($Q$1=TRUE,$S$1=TRUE,$S$4=TRUE)=TRUE,IF(OR($Q$4=TRUE,$Q$5=TRUE,$S$2=TRUE),VLOOKUP($G607,'KO Calc'!$H:$AW,17,FALSE),VLOOKUP($G607,'KO Calc'!$H613:$AW613,17,FALSE)),IF(AND($Q$1=TRUE,$S$4=TRUE),IF(OR($Q$4=TRUE,$Q$5=TRUE,$S$2=TRUE),VLOOKUP($G607,'KO Calc'!$H:$AW,7,FALSE),VLOOKUP($G607,'KO Calc'!$H613:$AW613,7,FALSE)),
IF(AND($S$3=TRUE,$S$1=TRUE,$S$4=FALSE)=TRUE,IF(OR($Q$4=TRUE,$Q$5=TRUE,$S$2=TRUE),VLOOKUP($G607,'KO Calc'!$H:$AW,32,FALSE),VLOOKUP($G607,'KO Calc'!$H613:$AW613,32,FALSE)),IF(AND($S$3=TRUE,$S$4=FALSE),IF(OR($Q$4=TRUE,$Q$5=TRUE,$S$2=TRUE),VLOOKUP($G607,'KO Calc'!$H:$AW,22,FALSE),VLOOKUP($G607,'KO Calc'!$H613:$AW613,22,FALSE)),
IF(AND($S$3=TRUE,$S$1=TRUE,$S$4=TRUE)=TRUE,IF(OR($Q$4=TRUE,$Q$5=TRUE,$S$2=TRUE),VLOOKUP($G607,'KO Calc'!$H:$AW,37,FALSE),VLOOKUP($G607,'KO Calc'!$H613:$AW613,37,FALSE)),IF(AND($S$3=TRUE,$S$4=TRUE),IF(OR($Q$4=TRUE,$Q$5=TRUE,$S$2=TRUE),VLOOKUP($G607,'KO Calc'!$H:$AW,27,FALSE),VLOOKUP($G607,'KO Calc'!$H613:$AW613,27,FALSE)))))))))))))</f>
        <v>-</v>
      </c>
      <c r="I607" s="36" t="str">
        <f>IF(AND($Q$1=FALSE,$S$3=FALSE),"-",IF(AND($Q$1=TRUE,$S$3=TRUE),"-",IF(AND($Q$1=FALSE,$S$3=FALSE),"-",IF(AND($Q$1=TRUE,$S$1=TRUE,$S$4=FALSE)=TRUE,IF(OR($Q$4=TRUE,$Q$5=TRUE,$S$2=TRUE),VLOOKUP($G607,'KO Calc'!$H:$AW,13,FALSE),VLOOKUP($G607,'KO Calc'!$H613:$AW613,13,FALSE)),IF(AND($Q$1=TRUE,$S$4=FALSE),IF(OR($Q$4=TRUE,$Q$5=TRUE,$S$2=TRUE),VLOOKUP($G607,'KO Calc'!$H:$AW,3,FALSE),VLOOKUP($G607,'KO Calc'!$H613:$AW613,3,FALSE)),
IF(AND($Q$1=TRUE,$S$1=TRUE,$S$4=TRUE)=TRUE,IF(OR($Q$4=TRUE,$Q$5=TRUE,$S$2=TRUE),VLOOKUP($G607,'KO Calc'!$H:$AW,18,FALSE),VLOOKUP($G607,'KO Calc'!$H613:$AW613,18,FALSE)),IF(AND($Q$1=TRUE,$S$4=TRUE),IF(OR($Q$4=TRUE,$Q$5=TRUE,$S$2=TRUE),VLOOKUP($G607,'KO Calc'!$H:$AW,8,FALSE),VLOOKUP($G607,'KO Calc'!$H613:$AW613,8,FALSE)),
IF(AND($S$3=TRUE,$S$1=TRUE,$S$4=FALSE)=TRUE,IF(OR($Q$4=TRUE,$Q$5=TRUE,$S$2=TRUE),VLOOKUP($G607,'KO Calc'!$H:$AW,33,FALSE),VLOOKUP($G607,'KO Calc'!$H613:$AW613,33,FALSE)),IF(AND($S$3=TRUE,$S$4=FALSE),IF(OR($Q$4=TRUE,$Q$5=TRUE,$S$2=TRUE),VLOOKUP($G607,'KO Calc'!$H:$AW,23,FALSE),VLOOKUP($G607,'KO Calc'!$H613:$AW613,23,FALSE)),
IF(AND($S$3=TRUE,$S$1=TRUE,$S$4=TRUE)=TRUE,IF(OR($Q$4=TRUE,$Q$5=TRUE,$S$2=TRUE),VLOOKUP($G607,'KO Calc'!$H:$AW,38,FALSE),VLOOKUP($G607,'KO Calc'!$H613:$AW613,38,FALSE)),IF(AND($S$3=TRUE,$S$4=TRUE),IF(OR($Q$4=TRUE,$Q$5=TRUE,$S$2=TRUE),VLOOKUP($G607,'KO Calc'!$H:$AW,28,FALSE),VLOOKUP($G607,'KO Calc'!$H613:$AW613,28,FALSE)))))))))))))</f>
        <v>-</v>
      </c>
      <c r="J607" s="36" t="str">
        <f>IF(AND($Q$1=FALSE,$S$3=FALSE),"-",IF(AND($Q$1=TRUE,$S$3=TRUE),"-",IF(AND($Q$1=FALSE,$S$3=FALSE),"-",IF(AND($Q$1=TRUE,$S$1=TRUE,$S$4=FALSE)=TRUE,IF(OR($Q$4=TRUE,$Q$5=TRUE,$S$2=TRUE),VLOOKUP($G607,'KO Calc'!$H:$AW,FALSE),VLOOKUP($G607,'KO Calc'!$H613:$AW613,14,FALSE)),IF(AND($Q$1=TRUE,$S$4=FALSE),IF(OR($Q$4=TRUE,$Q$5=TRUE,$S$2=TRUE),VLOOKUP($G607,'KO Calc'!$H:$AW,4,FALSE),VLOOKUP($G607,'KO Calc'!$H613:$AW613,4,FALSE)),
IF(AND($Q$1=TRUE,$S$1=TRUE,$S$4=TRUE)=TRUE,IF(OR($Q$4=TRUE,$Q$5=TRUE,$S$2=TRUE),VLOOKUP($G607,'KO Calc'!$H:$AW,19,FALSE),VLOOKUP($G607,'KO Calc'!$H613:$AW613,19,FALSE)),IF(AND($Q$1=TRUE,$S$4=TRUE),IF(OR($Q$4=TRUE,$Q$5=TRUE,$S$2=TRUE),VLOOKUP($G607,'KO Calc'!$H:$AW,9,FALSE),VLOOKUP($G607,'KO Calc'!$H613:$AW613,9,FALSE)),
IF(AND($S$3=TRUE,$S$1=TRUE,$S$4=FALSE)=TRUE,IF(OR($Q$4=TRUE,$Q$5=TRUE,$S$2=TRUE),VLOOKUP($G607,'KO Calc'!$H:$AW,34,FALSE),VLOOKUP($G607,'KO Calc'!$H613:$AW613,34,FALSE)),IF(AND($S$3=TRUE,$S$4=FALSE),IF(OR($Q$4=TRUE,$Q$5=TRUE,$S$2=TRUE),VLOOKUP($G607,'KO Calc'!$H:$AW,24,FALSE),VLOOKUP($G607,'KO Calc'!$H613:$AW613,24,FALSE)),
IF(AND($S$3=TRUE,$S$1=TRUE,$S$4=TRUE)=TRUE,IF(OR($Q$4=TRUE,$Q$5=TRUE,$S$2=TRUE),VLOOKUP($G607,'KO Calc'!$H:$AW,39,FALSE),VLOOKUP($G607,'KO Calc'!$H613:$AW613,39,FALSE)),IF(AND($S$3=TRUE,$S$4=TRUE),IF(OR($Q$4=TRUE,$Q$5=TRUE,$S$2=TRUE),VLOOKUP($G607,'KO Calc'!$H:$AW,29,FALSE),VLOOKUP($G607,'KO Calc'!$H613:$AW613,29,FALSE)))))))))))))</f>
        <v>-</v>
      </c>
      <c r="K607" s="36" t="str">
        <f>IF(AND($Q$1=FALSE,$S$3=FALSE),"-",IF(AND($Q$1=TRUE,$S$3=TRUE),"-",IF(AND($Q$1=FALSE,$S$3=FALSE),"-",IF(AND($Q$1=TRUE,$S$1=TRUE,$S$4=FALSE)=TRUE,IF(OR($Q$4=TRUE,$Q$5=TRUE,$S$2=TRUE),VLOOKUP($G607,'KO Calc'!$H:$AW,15,FALSE),VLOOKUP($G607,'KO Calc'!$H613:$AW613,15,FALSE)),IF(AND($Q$1=TRUE,$S$4=FALSE),IF(OR($Q$4=TRUE,$Q$5=TRUE,$S$2=TRUE),VLOOKUP($G607,'KO Calc'!$H:$AW,5,FALSE),VLOOKUP($G607,'KO Calc'!$H613:$AW613,5,FALSE)),
IF(AND($Q$1=TRUE,$S$1=TRUE,$S$4=TRUE)=TRUE,IF(OR($Q$4=TRUE,$Q$5=TRUE,$S$2=TRUE),VLOOKUP($G607,'KO Calc'!$H:$AW,20,FALSE),VLOOKUP($G607,'KO Calc'!$H613:$AW613,20,FALSE)),IF(AND($Q$1=TRUE,$S$4=TRUE),IF(OR($Q$4=TRUE,$Q$5=TRUE,$S$2=TRUE),VLOOKUP($G607,'KO Calc'!$H:$AW,10,FALSE),VLOOKUP($G607,'KO Calc'!$H613:$AW613,10,FALSE)),
IF(AND($S$3=TRUE,$S$1=TRUE,$S$4=FALSE)=TRUE,IF(OR($Q$4=TRUE,$Q$5=TRUE,$S$2=TRUE),VLOOKUP($G607,'KO Calc'!$H:$AW,35,FALSE),VLOOKUP($G607,'KO Calc'!$H613:$AW613,35,FALSE)),IF(AND($S$3=TRUE,$S$4=FALSE),IF(OR($Q$4=TRUE,$Q$5=TRUE,$S$2=TRUE),VLOOKUP($G607,'KO Calc'!$H:$AW,25,FALSE),VLOOKUP($G607,'KO Calc'!$H613:$AW613,25,FALSE)),
IF(AND($S$3=TRUE,$S$1=TRUE,$S$4=TRUE)=TRUE,IF(OR($Q$4=TRUE,$Q$5=TRUE,$S$2=TRUE),VLOOKUP($G607,'KO Calc'!$H:$AW,40,FALSE),VLOOKUP($G607,'KO Calc'!$H613:$AW613,40,FALSE)),IF(AND($S$3=TRUE,$S$4=TRUE),IF(OR($Q$4=TRUE,$Q$5=TRUE,$S$2=TRUE),VLOOKUP($G607,'KO Calc'!$H:$AW,30,FALSE),VLOOKUP($G607,'KO Calc'!$H613:$AW613,30,FALSE)))))))))))))</f>
        <v>-</v>
      </c>
      <c r="L607" s="36" t="str">
        <f>IFERROR(IF(AND($Q$1=FALSE,$S$3=FALSE),"-",VLOOKUP($E607,'Status Thresholds'!$E:$AU,41,FALSE)),"-")</f>
        <v>-</v>
      </c>
      <c r="M607" s="36" t="str">
        <f>IFERROR(IF(AND($Q$1=FALSE,$S$3=FALSE),"-",VLOOKUP($E607,'Status Thresholds'!$E:$AU,42,FALSE)),"-")</f>
        <v>-</v>
      </c>
      <c r="N607" s="36" t="str">
        <f>IFERROR(IF(AND($Q$1=FALSE,$S$3=FALSE),"-",VLOOKUP($E607,'Status Thresholds'!$E:$AU,43,FALSE)),"-")</f>
        <v>-</v>
      </c>
    </row>
    <row r="608" spans="1:14" x14ac:dyDescent="0.25">
      <c r="B608" s="64" t="str">
        <f>VLOOKUP(C608,'Status Thresholds'!B:C,2,FALSE)</f>
        <v>MHGen</v>
      </c>
      <c r="C608" s="46" t="str">
        <f>IF(ISBLANK('KO Calc'!C604)=TRUE,"",'KO Calc'!C604)</f>
        <v>Rathalos</v>
      </c>
      <c r="D608" s="78" t="s">
        <v>207</v>
      </c>
      <c r="E608" s="62" t="str">
        <f t="shared" si="17"/>
        <v>RathalosShock Trap</v>
      </c>
      <c r="F608" t="s">
        <v>13</v>
      </c>
      <c r="G608" s="36" t="str">
        <f t="shared" si="18"/>
        <v>RathalosCrag 3</v>
      </c>
      <c r="H608" s="36" t="str">
        <f>IF(AND($Q$1=FALSE,$S$3=FALSE),"-",IF(AND($Q$1=TRUE,$S$3=TRUE),"-",IF(AND($Q$1=FALSE,$S$3=FALSE),"-",IF(AND($Q$1=TRUE,$S$1=TRUE,$S$4=FALSE)=TRUE,IF(OR($Q$4=TRUE,$Q$5=TRUE,$S$2=TRUE),VLOOKUP($G608,'KO Calc'!$H:$AW,12,FALSE),VLOOKUP($G608,'KO Calc'!$H614:$AW614,12,FALSE)),IF(AND($Q$1=TRUE,$S$4=FALSE),IF(OR($Q$4=TRUE,$Q$5=TRUE,$S$2=TRUE),VLOOKUP($G608,'KO Calc'!$H:$AW,2,FALSE),VLOOKUP($G608,'KO Calc'!$H614:$AW614,2,FALSE)),
IF(AND($Q$1=TRUE,$S$1=TRUE,$S$4=TRUE)=TRUE,IF(OR($Q$4=TRUE,$Q$5=TRUE,$S$2=TRUE),VLOOKUP($G608,'KO Calc'!$H:$AW,17,FALSE),VLOOKUP($G608,'KO Calc'!$H614:$AW614,17,FALSE)),IF(AND($Q$1=TRUE,$S$4=TRUE),IF(OR($Q$4=TRUE,$Q$5=TRUE,$S$2=TRUE),VLOOKUP($G608,'KO Calc'!$H:$AW,7,FALSE),VLOOKUP($G608,'KO Calc'!$H614:$AW614,7,FALSE)),
IF(AND($S$3=TRUE,$S$1=TRUE,$S$4=FALSE)=TRUE,IF(OR($Q$4=TRUE,$Q$5=TRUE,$S$2=TRUE),VLOOKUP($G608,'KO Calc'!$H:$AW,32,FALSE),VLOOKUP($G608,'KO Calc'!$H614:$AW614,32,FALSE)),IF(AND($S$3=TRUE,$S$4=FALSE),IF(OR($Q$4=TRUE,$Q$5=TRUE,$S$2=TRUE),VLOOKUP($G608,'KO Calc'!$H:$AW,22,FALSE),VLOOKUP($G608,'KO Calc'!$H614:$AW614,22,FALSE)),
IF(AND($S$3=TRUE,$S$1=TRUE,$S$4=TRUE)=TRUE,IF(OR($Q$4=TRUE,$Q$5=TRUE,$S$2=TRUE),VLOOKUP($G608,'KO Calc'!$H:$AW,37,FALSE),VLOOKUP($G608,'KO Calc'!$H614:$AW614,37,FALSE)),IF(AND($S$3=TRUE,$S$4=TRUE),IF(OR($Q$4=TRUE,$Q$5=TRUE,$S$2=TRUE),VLOOKUP($G608,'KO Calc'!$H:$AW,27,FALSE),VLOOKUP($G608,'KO Calc'!$H614:$AW614,27,FALSE)))))))))))))</f>
        <v>-</v>
      </c>
      <c r="I608" s="36" t="str">
        <f>IF(AND($Q$1=FALSE,$S$3=FALSE),"-",IF(AND($Q$1=TRUE,$S$3=TRUE),"-",IF(AND($Q$1=FALSE,$S$3=FALSE),"-",IF(AND($Q$1=TRUE,$S$1=TRUE,$S$4=FALSE)=TRUE,IF(OR($Q$4=TRUE,$Q$5=TRUE,$S$2=TRUE),VLOOKUP($G608,'KO Calc'!$H:$AW,13,FALSE),VLOOKUP($G608,'KO Calc'!$H614:$AW614,13,FALSE)),IF(AND($Q$1=TRUE,$S$4=FALSE),IF(OR($Q$4=TRUE,$Q$5=TRUE,$S$2=TRUE),VLOOKUP($G608,'KO Calc'!$H:$AW,3,FALSE),VLOOKUP($G608,'KO Calc'!$H614:$AW614,3,FALSE)),
IF(AND($Q$1=TRUE,$S$1=TRUE,$S$4=TRUE)=TRUE,IF(OR($Q$4=TRUE,$Q$5=TRUE,$S$2=TRUE),VLOOKUP($G608,'KO Calc'!$H:$AW,18,FALSE),VLOOKUP($G608,'KO Calc'!$H614:$AW614,18,FALSE)),IF(AND($Q$1=TRUE,$S$4=TRUE),IF(OR($Q$4=TRUE,$Q$5=TRUE,$S$2=TRUE),VLOOKUP($G608,'KO Calc'!$H:$AW,8,FALSE),VLOOKUP($G608,'KO Calc'!$H614:$AW614,8,FALSE)),
IF(AND($S$3=TRUE,$S$1=TRUE,$S$4=FALSE)=TRUE,IF(OR($Q$4=TRUE,$Q$5=TRUE,$S$2=TRUE),VLOOKUP($G608,'KO Calc'!$H:$AW,33,FALSE),VLOOKUP($G608,'KO Calc'!$H614:$AW614,33,FALSE)),IF(AND($S$3=TRUE,$S$4=FALSE),IF(OR($Q$4=TRUE,$Q$5=TRUE,$S$2=TRUE),VLOOKUP($G608,'KO Calc'!$H:$AW,23,FALSE),VLOOKUP($G608,'KO Calc'!$H614:$AW614,23,FALSE)),
IF(AND($S$3=TRUE,$S$1=TRUE,$S$4=TRUE)=TRUE,IF(OR($Q$4=TRUE,$Q$5=TRUE,$S$2=TRUE),VLOOKUP($G608,'KO Calc'!$H:$AW,38,FALSE),VLOOKUP($G608,'KO Calc'!$H614:$AW614,38,FALSE)),IF(AND($S$3=TRUE,$S$4=TRUE),IF(OR($Q$4=TRUE,$Q$5=TRUE,$S$2=TRUE),VLOOKUP($G608,'KO Calc'!$H:$AW,28,FALSE),VLOOKUP($G608,'KO Calc'!$H614:$AW614,28,FALSE)))))))))))))</f>
        <v>-</v>
      </c>
      <c r="J608" s="36" t="str">
        <f>IF(AND($Q$1=FALSE,$S$3=FALSE),"-",IF(AND($Q$1=TRUE,$S$3=TRUE),"-",IF(AND($Q$1=FALSE,$S$3=FALSE),"-",IF(AND($Q$1=TRUE,$S$1=TRUE,$S$4=FALSE)=TRUE,IF(OR($Q$4=TRUE,$Q$5=TRUE,$S$2=TRUE),VLOOKUP($G608,'KO Calc'!$H:$AW,FALSE),VLOOKUP($G608,'KO Calc'!$H614:$AW614,14,FALSE)),IF(AND($Q$1=TRUE,$S$4=FALSE),IF(OR($Q$4=TRUE,$Q$5=TRUE,$S$2=TRUE),VLOOKUP($G608,'KO Calc'!$H:$AW,4,FALSE),VLOOKUP($G608,'KO Calc'!$H614:$AW614,4,FALSE)),
IF(AND($Q$1=TRUE,$S$1=TRUE,$S$4=TRUE)=TRUE,IF(OR($Q$4=TRUE,$Q$5=TRUE,$S$2=TRUE),VLOOKUP($G608,'KO Calc'!$H:$AW,19,FALSE),VLOOKUP($G608,'KO Calc'!$H614:$AW614,19,FALSE)),IF(AND($Q$1=TRUE,$S$4=TRUE),IF(OR($Q$4=TRUE,$Q$5=TRUE,$S$2=TRUE),VLOOKUP($G608,'KO Calc'!$H:$AW,9,FALSE),VLOOKUP($G608,'KO Calc'!$H614:$AW614,9,FALSE)),
IF(AND($S$3=TRUE,$S$1=TRUE,$S$4=FALSE)=TRUE,IF(OR($Q$4=TRUE,$Q$5=TRUE,$S$2=TRUE),VLOOKUP($G608,'KO Calc'!$H:$AW,34,FALSE),VLOOKUP($G608,'KO Calc'!$H614:$AW614,34,FALSE)),IF(AND($S$3=TRUE,$S$4=FALSE),IF(OR($Q$4=TRUE,$Q$5=TRUE,$S$2=TRUE),VLOOKUP($G608,'KO Calc'!$H:$AW,24,FALSE),VLOOKUP($G608,'KO Calc'!$H614:$AW614,24,FALSE)),
IF(AND($S$3=TRUE,$S$1=TRUE,$S$4=TRUE)=TRUE,IF(OR($Q$4=TRUE,$Q$5=TRUE,$S$2=TRUE),VLOOKUP($G608,'KO Calc'!$H:$AW,39,FALSE),VLOOKUP($G608,'KO Calc'!$H614:$AW614,39,FALSE)),IF(AND($S$3=TRUE,$S$4=TRUE),IF(OR($Q$4=TRUE,$Q$5=TRUE,$S$2=TRUE),VLOOKUP($G608,'KO Calc'!$H:$AW,29,FALSE),VLOOKUP($G608,'KO Calc'!$H614:$AW614,29,FALSE)))))))))))))</f>
        <v>-</v>
      </c>
      <c r="K608" s="36" t="str">
        <f>IF(AND($Q$1=FALSE,$S$3=FALSE),"-",IF(AND($Q$1=TRUE,$S$3=TRUE),"-",IF(AND($Q$1=FALSE,$S$3=FALSE),"-",IF(AND($Q$1=TRUE,$S$1=TRUE,$S$4=FALSE)=TRUE,IF(OR($Q$4=TRUE,$Q$5=TRUE,$S$2=TRUE),VLOOKUP($G608,'KO Calc'!$H:$AW,15,FALSE),VLOOKUP($G608,'KO Calc'!$H614:$AW614,15,FALSE)),IF(AND($Q$1=TRUE,$S$4=FALSE),IF(OR($Q$4=TRUE,$Q$5=TRUE,$S$2=TRUE),VLOOKUP($G608,'KO Calc'!$H:$AW,5,FALSE),VLOOKUP($G608,'KO Calc'!$H614:$AW614,5,FALSE)),
IF(AND($Q$1=TRUE,$S$1=TRUE,$S$4=TRUE)=TRUE,IF(OR($Q$4=TRUE,$Q$5=TRUE,$S$2=TRUE),VLOOKUP($G608,'KO Calc'!$H:$AW,20,FALSE),VLOOKUP($G608,'KO Calc'!$H614:$AW614,20,FALSE)),IF(AND($Q$1=TRUE,$S$4=TRUE),IF(OR($Q$4=TRUE,$Q$5=TRUE,$S$2=TRUE),VLOOKUP($G608,'KO Calc'!$H:$AW,10,FALSE),VLOOKUP($G608,'KO Calc'!$H614:$AW614,10,FALSE)),
IF(AND($S$3=TRUE,$S$1=TRUE,$S$4=FALSE)=TRUE,IF(OR($Q$4=TRUE,$Q$5=TRUE,$S$2=TRUE),VLOOKUP($G608,'KO Calc'!$H:$AW,35,FALSE),VLOOKUP($G608,'KO Calc'!$H614:$AW614,35,FALSE)),IF(AND($S$3=TRUE,$S$4=FALSE),IF(OR($Q$4=TRUE,$Q$5=TRUE,$S$2=TRUE),VLOOKUP($G608,'KO Calc'!$H:$AW,25,FALSE),VLOOKUP($G608,'KO Calc'!$H614:$AW614,25,FALSE)),
IF(AND($S$3=TRUE,$S$1=TRUE,$S$4=TRUE)=TRUE,IF(OR($Q$4=TRUE,$Q$5=TRUE,$S$2=TRUE),VLOOKUP($G608,'KO Calc'!$H:$AW,40,FALSE),VLOOKUP($G608,'KO Calc'!$H614:$AW614,40,FALSE)),IF(AND($S$3=TRUE,$S$4=TRUE),IF(OR($Q$4=TRUE,$Q$5=TRUE,$S$2=TRUE),VLOOKUP($G608,'KO Calc'!$H:$AW,30,FALSE),VLOOKUP($G608,'KO Calc'!$H614:$AW614,30,FALSE)))))))))))))</f>
        <v>-</v>
      </c>
      <c r="L608" s="36" t="str">
        <f>IFERROR(IF(AND($Q$1=FALSE,$S$3=FALSE),"-",VLOOKUP($E608,'Status Thresholds'!$E:$AU,43,FALSE)),"-")</f>
        <v>-</v>
      </c>
      <c r="M608" s="36" t="str">
        <f>IFERROR(IF(AND($Q$1=FALSE,$S$3=FALSE),"-",VLOOKUP($E608,'Status Thresholds'!$E:$AU,41,FALSE)),"-")</f>
        <v>-</v>
      </c>
      <c r="N608" s="36" t="str">
        <f>IFERROR(IF(AND($Q$1=FALSE,$S$3=FALSE),"-",VLOOKUP($E608,'Status Thresholds'!$E:$AU,42,FALSE)),"-")</f>
        <v>-</v>
      </c>
    </row>
    <row r="609" spans="1:14" x14ac:dyDescent="0.25">
      <c r="B609" s="64" t="str">
        <f>VLOOKUP(C609,'Status Thresholds'!B:C,2,FALSE)</f>
        <v>MHGen</v>
      </c>
      <c r="C609" s="46" t="str">
        <f>IF(ISBLANK('KO Calc'!C605)=TRUE,"",'KO Calc'!C605)</f>
        <v>Rathalos</v>
      </c>
      <c r="D609" s="78" t="s">
        <v>213</v>
      </c>
      <c r="E609" s="62" t="str">
        <f t="shared" si="17"/>
        <v>RathalosPitfall Trap</v>
      </c>
      <c r="F609" t="s">
        <v>12</v>
      </c>
      <c r="G609" s="36" t="str">
        <f t="shared" si="18"/>
        <v>RathalosCrag 2</v>
      </c>
      <c r="H609" s="36" t="str">
        <f>IF(AND($Q$1=FALSE,$S$3=FALSE),"-",IF(AND($Q$1=TRUE,$S$3=TRUE),"-",IF(AND($Q$1=FALSE,$S$3=FALSE),"-",IF(AND($Q$1=TRUE,$S$1=TRUE,$S$4=FALSE)=TRUE,IF(OR($Q$4=TRUE,$Q$5=TRUE,$S$2=TRUE),VLOOKUP($G609,'KO Calc'!$H:$AW,12,FALSE),VLOOKUP($G609,'KO Calc'!$H615:$AW615,12,FALSE)),IF(AND($Q$1=TRUE,$S$4=FALSE),IF(OR($Q$4=TRUE,$Q$5=TRUE,$S$2=TRUE),VLOOKUP($G609,'KO Calc'!$H:$AW,2,FALSE),VLOOKUP($G609,'KO Calc'!$H615:$AW615,2,FALSE)),
IF(AND($Q$1=TRUE,$S$1=TRUE,$S$4=TRUE)=TRUE,IF(OR($Q$4=TRUE,$Q$5=TRUE,$S$2=TRUE),VLOOKUP($G609,'KO Calc'!$H:$AW,17,FALSE),VLOOKUP($G609,'KO Calc'!$H615:$AW615,17,FALSE)),IF(AND($Q$1=TRUE,$S$4=TRUE),IF(OR($Q$4=TRUE,$Q$5=TRUE,$S$2=TRUE),VLOOKUP($G609,'KO Calc'!$H:$AW,7,FALSE),VLOOKUP($G609,'KO Calc'!$H615:$AW615,7,FALSE)),
IF(AND($S$3=TRUE,$S$1=TRUE,$S$4=FALSE)=TRUE,IF(OR($Q$4=TRUE,$Q$5=TRUE,$S$2=TRUE),VLOOKUP($G609,'KO Calc'!$H:$AW,32,FALSE),VLOOKUP($G609,'KO Calc'!$H615:$AW615,32,FALSE)),IF(AND($S$3=TRUE,$S$4=FALSE),IF(OR($Q$4=TRUE,$Q$5=TRUE,$S$2=TRUE),VLOOKUP($G609,'KO Calc'!$H:$AW,22,FALSE),VLOOKUP($G609,'KO Calc'!$H615:$AW615,22,FALSE)),
IF(AND($S$3=TRUE,$S$1=TRUE,$S$4=TRUE)=TRUE,IF(OR($Q$4=TRUE,$Q$5=TRUE,$S$2=TRUE),VLOOKUP($G609,'KO Calc'!$H:$AW,37,FALSE),VLOOKUP($G609,'KO Calc'!$H615:$AW615,37,FALSE)),IF(AND($S$3=TRUE,$S$4=TRUE),IF(OR($Q$4=TRUE,$Q$5=TRUE,$S$2=TRUE),VLOOKUP($G609,'KO Calc'!$H:$AW,27,FALSE),VLOOKUP($G609,'KO Calc'!$H615:$AW615,27,FALSE)))))))))))))</f>
        <v>-</v>
      </c>
      <c r="I609" s="36" t="str">
        <f>IF(AND($Q$1=FALSE,$S$3=FALSE),"-",IF(AND($Q$1=TRUE,$S$3=TRUE),"-",IF(AND($Q$1=FALSE,$S$3=FALSE),"-",IF(AND($Q$1=TRUE,$S$1=TRUE,$S$4=FALSE)=TRUE,IF(OR($Q$4=TRUE,$Q$5=TRUE,$S$2=TRUE),VLOOKUP($G609,'KO Calc'!$H:$AW,13,FALSE),VLOOKUP($G609,'KO Calc'!$H615:$AW615,13,FALSE)),IF(AND($Q$1=TRUE,$S$4=FALSE),IF(OR($Q$4=TRUE,$Q$5=TRUE,$S$2=TRUE),VLOOKUP($G609,'KO Calc'!$H:$AW,3,FALSE),VLOOKUP($G609,'KO Calc'!$H615:$AW615,3,FALSE)),
IF(AND($Q$1=TRUE,$S$1=TRUE,$S$4=TRUE)=TRUE,IF(OR($Q$4=TRUE,$Q$5=TRUE,$S$2=TRUE),VLOOKUP($G609,'KO Calc'!$H:$AW,18,FALSE),VLOOKUP($G609,'KO Calc'!$H615:$AW615,18,FALSE)),IF(AND($Q$1=TRUE,$S$4=TRUE),IF(OR($Q$4=TRUE,$Q$5=TRUE,$S$2=TRUE),VLOOKUP($G609,'KO Calc'!$H:$AW,8,FALSE),VLOOKUP($G609,'KO Calc'!$H615:$AW615,8,FALSE)),
IF(AND($S$3=TRUE,$S$1=TRUE,$S$4=FALSE)=TRUE,IF(OR($Q$4=TRUE,$Q$5=TRUE,$S$2=TRUE),VLOOKUP($G609,'KO Calc'!$H:$AW,33,FALSE),VLOOKUP($G609,'KO Calc'!$H615:$AW615,33,FALSE)),IF(AND($S$3=TRUE,$S$4=FALSE),IF(OR($Q$4=TRUE,$Q$5=TRUE,$S$2=TRUE),VLOOKUP($G609,'KO Calc'!$H:$AW,23,FALSE),VLOOKUP($G609,'KO Calc'!$H615:$AW615,23,FALSE)),
IF(AND($S$3=TRUE,$S$1=TRUE,$S$4=TRUE)=TRUE,IF(OR($Q$4=TRUE,$Q$5=TRUE,$S$2=TRUE),VLOOKUP($G609,'KO Calc'!$H:$AW,38,FALSE),VLOOKUP($G609,'KO Calc'!$H615:$AW615,38,FALSE)),IF(AND($S$3=TRUE,$S$4=TRUE),IF(OR($Q$4=TRUE,$Q$5=TRUE,$S$2=TRUE),VLOOKUP($G609,'KO Calc'!$H:$AW,28,FALSE),VLOOKUP($G609,'KO Calc'!$H615:$AW615,28,FALSE)))))))))))))</f>
        <v>-</v>
      </c>
      <c r="J609" s="36" t="str">
        <f>IF(AND($Q$1=FALSE,$S$3=FALSE),"-",IF(AND($Q$1=TRUE,$S$3=TRUE),"-",IF(AND($Q$1=FALSE,$S$3=FALSE),"-",IF(AND($Q$1=TRUE,$S$1=TRUE,$S$4=FALSE)=TRUE,IF(OR($Q$4=TRUE,$Q$5=TRUE,$S$2=TRUE),VLOOKUP($G609,'KO Calc'!$H:$AW,FALSE),VLOOKUP($G609,'KO Calc'!$H615:$AW615,14,FALSE)),IF(AND($Q$1=TRUE,$S$4=FALSE),IF(OR($Q$4=TRUE,$Q$5=TRUE,$S$2=TRUE),VLOOKUP($G609,'KO Calc'!$H:$AW,4,FALSE),VLOOKUP($G609,'KO Calc'!$H615:$AW615,4,FALSE)),
IF(AND($Q$1=TRUE,$S$1=TRUE,$S$4=TRUE)=TRUE,IF(OR($Q$4=TRUE,$Q$5=TRUE,$S$2=TRUE),VLOOKUP($G609,'KO Calc'!$H:$AW,19,FALSE),VLOOKUP($G609,'KO Calc'!$H615:$AW615,19,FALSE)),IF(AND($Q$1=TRUE,$S$4=TRUE),IF(OR($Q$4=TRUE,$Q$5=TRUE,$S$2=TRUE),VLOOKUP($G609,'KO Calc'!$H:$AW,9,FALSE),VLOOKUP($G609,'KO Calc'!$H615:$AW615,9,FALSE)),
IF(AND($S$3=TRUE,$S$1=TRUE,$S$4=FALSE)=TRUE,IF(OR($Q$4=TRUE,$Q$5=TRUE,$S$2=TRUE),VLOOKUP($G609,'KO Calc'!$H:$AW,34,FALSE),VLOOKUP($G609,'KO Calc'!$H615:$AW615,34,FALSE)),IF(AND($S$3=TRUE,$S$4=FALSE),IF(OR($Q$4=TRUE,$Q$5=TRUE,$S$2=TRUE),VLOOKUP($G609,'KO Calc'!$H:$AW,24,FALSE),VLOOKUP($G609,'KO Calc'!$H615:$AW615,24,FALSE)),
IF(AND($S$3=TRUE,$S$1=TRUE,$S$4=TRUE)=TRUE,IF(OR($Q$4=TRUE,$Q$5=TRUE,$S$2=TRUE),VLOOKUP($G609,'KO Calc'!$H:$AW,39,FALSE),VLOOKUP($G609,'KO Calc'!$H615:$AW615,39,FALSE)),IF(AND($S$3=TRUE,$S$4=TRUE),IF(OR($Q$4=TRUE,$Q$5=TRUE,$S$2=TRUE),VLOOKUP($G609,'KO Calc'!$H:$AW,29,FALSE),VLOOKUP($G609,'KO Calc'!$H615:$AW615,29,FALSE)))))))))))))</f>
        <v>-</v>
      </c>
      <c r="K609" s="36" t="str">
        <f>IF(AND($Q$1=FALSE,$S$3=FALSE),"-",IF(AND($Q$1=TRUE,$S$3=TRUE),"-",IF(AND($Q$1=FALSE,$S$3=FALSE),"-",IF(AND($Q$1=TRUE,$S$1=TRUE,$S$4=FALSE)=TRUE,IF(OR($Q$4=TRUE,$Q$5=TRUE,$S$2=TRUE),VLOOKUP($G609,'KO Calc'!$H:$AW,15,FALSE),VLOOKUP($G609,'KO Calc'!$H615:$AW615,15,FALSE)),IF(AND($Q$1=TRUE,$S$4=FALSE),IF(OR($Q$4=TRUE,$Q$5=TRUE,$S$2=TRUE),VLOOKUP($G609,'KO Calc'!$H:$AW,5,FALSE),VLOOKUP($G609,'KO Calc'!$H615:$AW615,5,FALSE)),
IF(AND($Q$1=TRUE,$S$1=TRUE,$S$4=TRUE)=TRUE,IF(OR($Q$4=TRUE,$Q$5=TRUE,$S$2=TRUE),VLOOKUP($G609,'KO Calc'!$H:$AW,20,FALSE),VLOOKUP($G609,'KO Calc'!$H615:$AW615,20,FALSE)),IF(AND($Q$1=TRUE,$S$4=TRUE),IF(OR($Q$4=TRUE,$Q$5=TRUE,$S$2=TRUE),VLOOKUP($G609,'KO Calc'!$H:$AW,10,FALSE),VLOOKUP($G609,'KO Calc'!$H615:$AW615,10,FALSE)),
IF(AND($S$3=TRUE,$S$1=TRUE,$S$4=FALSE)=TRUE,IF(OR($Q$4=TRUE,$Q$5=TRUE,$S$2=TRUE),VLOOKUP($G609,'KO Calc'!$H:$AW,35,FALSE),VLOOKUP($G609,'KO Calc'!$H615:$AW615,35,FALSE)),IF(AND($S$3=TRUE,$S$4=FALSE),IF(OR($Q$4=TRUE,$Q$5=TRUE,$S$2=TRUE),VLOOKUP($G609,'KO Calc'!$H:$AW,25,FALSE),VLOOKUP($G609,'KO Calc'!$H615:$AW615,25,FALSE)),
IF(AND($S$3=TRUE,$S$1=TRUE,$S$4=TRUE)=TRUE,IF(OR($Q$4=TRUE,$Q$5=TRUE,$S$2=TRUE),VLOOKUP($G609,'KO Calc'!$H:$AW,40,FALSE),VLOOKUP($G609,'KO Calc'!$H615:$AW615,40,FALSE)),IF(AND($S$3=TRUE,$S$4=TRUE),IF(OR($Q$4=TRUE,$Q$5=TRUE,$S$2=TRUE),VLOOKUP($G609,'KO Calc'!$H:$AW,30,FALSE),VLOOKUP($G609,'KO Calc'!$H615:$AW615,30,FALSE)))))))))))))</f>
        <v>-</v>
      </c>
      <c r="L609" s="36" t="str">
        <f>IFERROR(IF(AND($Q$1=FALSE,$S$3=FALSE),"-",VLOOKUP($E609,'Status Thresholds'!$E:$AU,43,FALSE)),"-")</f>
        <v>-</v>
      </c>
      <c r="M609" s="36" t="str">
        <f>IFERROR(IF(AND($Q$1=FALSE,$S$3=FALSE),"-",VLOOKUP($E609,'Status Thresholds'!$E:$AU,41,FALSE)),"-")</f>
        <v>-</v>
      </c>
      <c r="N609" s="36" t="str">
        <f>IFERROR(IF(AND($Q$1=FALSE,$S$3=FALSE),"-",VLOOKUP($E609,'Status Thresholds'!$E:$AU,42,FALSE)),"-")</f>
        <v>-</v>
      </c>
    </row>
    <row r="610" spans="1:14" x14ac:dyDescent="0.25">
      <c r="B610" s="64" t="str">
        <f>VLOOKUP(C610,'Status Thresholds'!B:C,2,FALSE)</f>
        <v>MHGen</v>
      </c>
      <c r="C610" s="46" t="str">
        <f>IF(ISBLANK('KO Calc'!C606)=TRUE,"",'KO Calc'!C606)</f>
        <v>Rathalos</v>
      </c>
      <c r="D610" s="78"/>
      <c r="E610" s="62" t="str">
        <f t="shared" si="17"/>
        <v>Rathalos</v>
      </c>
      <c r="F610" t="s">
        <v>11</v>
      </c>
      <c r="G610" s="36" t="str">
        <f t="shared" si="18"/>
        <v>RathalosCrag 1</v>
      </c>
      <c r="H610" s="36" t="str">
        <f>IF(AND($Q$1=FALSE,$S$3=FALSE),"-",IF(AND($Q$1=TRUE,$S$3=TRUE),"-",IF(AND($Q$1=FALSE,$S$3=FALSE),"-",IF(AND($Q$1=TRUE,$S$1=TRUE,$S$4=FALSE)=TRUE,IF(OR($Q$4=TRUE,$Q$5=TRUE,$S$2=TRUE),VLOOKUP($G610,'KO Calc'!$H:$AW,12,FALSE),VLOOKUP($G610,'KO Calc'!$H616:$AW616,12,FALSE)),IF(AND($Q$1=TRUE,$S$4=FALSE),IF(OR($Q$4=TRUE,$Q$5=TRUE,$S$2=TRUE),VLOOKUP($G610,'KO Calc'!$H:$AW,2,FALSE),VLOOKUP($G610,'KO Calc'!$H616:$AW616,2,FALSE)),
IF(AND($Q$1=TRUE,$S$1=TRUE,$S$4=TRUE)=TRUE,IF(OR($Q$4=TRUE,$Q$5=TRUE,$S$2=TRUE),VLOOKUP($G610,'KO Calc'!$H:$AW,17,FALSE),VLOOKUP($G610,'KO Calc'!$H616:$AW616,17,FALSE)),IF(AND($Q$1=TRUE,$S$4=TRUE),IF(OR($Q$4=TRUE,$Q$5=TRUE,$S$2=TRUE),VLOOKUP($G610,'KO Calc'!$H:$AW,7,FALSE),VLOOKUP($G610,'KO Calc'!$H616:$AW616,7,FALSE)),
IF(AND($S$3=TRUE,$S$1=TRUE,$S$4=FALSE)=TRUE,IF(OR($Q$4=TRUE,$Q$5=TRUE,$S$2=TRUE),VLOOKUP($G610,'KO Calc'!$H:$AW,32,FALSE),VLOOKUP($G610,'KO Calc'!$H616:$AW616,32,FALSE)),IF(AND($S$3=TRUE,$S$4=FALSE),IF(OR($Q$4=TRUE,$Q$5=TRUE,$S$2=TRUE),VLOOKUP($G610,'KO Calc'!$H:$AW,22,FALSE),VLOOKUP($G610,'KO Calc'!$H616:$AW616,22,FALSE)),
IF(AND($S$3=TRUE,$S$1=TRUE,$S$4=TRUE)=TRUE,IF(OR($Q$4=TRUE,$Q$5=TRUE,$S$2=TRUE),VLOOKUP($G610,'KO Calc'!$H:$AW,37,FALSE),VLOOKUP($G610,'KO Calc'!$H616:$AW616,37,FALSE)),IF(AND($S$3=TRUE,$S$4=TRUE),IF(OR($Q$4=TRUE,$Q$5=TRUE,$S$2=TRUE),VLOOKUP($G610,'KO Calc'!$H:$AW,27,FALSE),VLOOKUP($G610,'KO Calc'!$H616:$AW616,27,FALSE)))))))))))))</f>
        <v>-</v>
      </c>
      <c r="I610" s="36" t="str">
        <f>IF(AND($Q$1=FALSE,$S$3=FALSE),"-",IF(AND($Q$1=TRUE,$S$3=TRUE),"-",IF(AND($Q$1=FALSE,$S$3=FALSE),"-",IF(AND($Q$1=TRUE,$S$1=TRUE,$S$4=FALSE)=TRUE,IF(OR($Q$4=TRUE,$Q$5=TRUE,$S$2=TRUE),VLOOKUP($G610,'KO Calc'!$H:$AW,13,FALSE),VLOOKUP($G610,'KO Calc'!$H616:$AW616,13,FALSE)),IF(AND($Q$1=TRUE,$S$4=FALSE),IF(OR($Q$4=TRUE,$Q$5=TRUE,$S$2=TRUE),VLOOKUP($G610,'KO Calc'!$H:$AW,3,FALSE),VLOOKUP($G610,'KO Calc'!$H616:$AW616,3,FALSE)),
IF(AND($Q$1=TRUE,$S$1=TRUE,$S$4=TRUE)=TRUE,IF(OR($Q$4=TRUE,$Q$5=TRUE,$S$2=TRUE),VLOOKUP($G610,'KO Calc'!$H:$AW,18,FALSE),VLOOKUP($G610,'KO Calc'!$H616:$AW616,18,FALSE)),IF(AND($Q$1=TRUE,$S$4=TRUE),IF(OR($Q$4=TRUE,$Q$5=TRUE,$S$2=TRUE),VLOOKUP($G610,'KO Calc'!$H:$AW,8,FALSE),VLOOKUP($G610,'KO Calc'!$H616:$AW616,8,FALSE)),
IF(AND($S$3=TRUE,$S$1=TRUE,$S$4=FALSE)=TRUE,IF(OR($Q$4=TRUE,$Q$5=TRUE,$S$2=TRUE),VLOOKUP($G610,'KO Calc'!$H:$AW,33,FALSE),VLOOKUP($G610,'KO Calc'!$H616:$AW616,33,FALSE)),IF(AND($S$3=TRUE,$S$4=FALSE),IF(OR($Q$4=TRUE,$Q$5=TRUE,$S$2=TRUE),VLOOKUP($G610,'KO Calc'!$H:$AW,23,FALSE),VLOOKUP($G610,'KO Calc'!$H616:$AW616,23,FALSE)),
IF(AND($S$3=TRUE,$S$1=TRUE,$S$4=TRUE)=TRUE,IF(OR($Q$4=TRUE,$Q$5=TRUE,$S$2=TRUE),VLOOKUP($G610,'KO Calc'!$H:$AW,38,FALSE),VLOOKUP($G610,'KO Calc'!$H616:$AW616,38,FALSE)),IF(AND($S$3=TRUE,$S$4=TRUE),IF(OR($Q$4=TRUE,$Q$5=TRUE,$S$2=TRUE),VLOOKUP($G610,'KO Calc'!$H:$AW,28,FALSE),VLOOKUP($G610,'KO Calc'!$H616:$AW616,28,FALSE)))))))))))))</f>
        <v>-</v>
      </c>
      <c r="J610" s="36" t="str">
        <f>IF(AND($Q$1=FALSE,$S$3=FALSE),"-",IF(AND($Q$1=TRUE,$S$3=TRUE),"-",IF(AND($Q$1=FALSE,$S$3=FALSE),"-",IF(AND($Q$1=TRUE,$S$1=TRUE,$S$4=FALSE)=TRUE,IF(OR($Q$4=TRUE,$Q$5=TRUE,$S$2=TRUE),VLOOKUP($G610,'KO Calc'!$H:$AW,FALSE),VLOOKUP($G610,'KO Calc'!$H616:$AW616,14,FALSE)),IF(AND($Q$1=TRUE,$S$4=FALSE),IF(OR($Q$4=TRUE,$Q$5=TRUE,$S$2=TRUE),VLOOKUP($G610,'KO Calc'!$H:$AW,4,FALSE),VLOOKUP($G610,'KO Calc'!$H616:$AW616,4,FALSE)),
IF(AND($Q$1=TRUE,$S$1=TRUE,$S$4=TRUE)=TRUE,IF(OR($Q$4=TRUE,$Q$5=TRUE,$S$2=TRUE),VLOOKUP($G610,'KO Calc'!$H:$AW,19,FALSE),VLOOKUP($G610,'KO Calc'!$H616:$AW616,19,FALSE)),IF(AND($Q$1=TRUE,$S$4=TRUE),IF(OR($Q$4=TRUE,$Q$5=TRUE,$S$2=TRUE),VLOOKUP($G610,'KO Calc'!$H:$AW,9,FALSE),VLOOKUP($G610,'KO Calc'!$H616:$AW616,9,FALSE)),
IF(AND($S$3=TRUE,$S$1=TRUE,$S$4=FALSE)=TRUE,IF(OR($Q$4=TRUE,$Q$5=TRUE,$S$2=TRUE),VLOOKUP($G610,'KO Calc'!$H:$AW,34,FALSE),VLOOKUP($G610,'KO Calc'!$H616:$AW616,34,FALSE)),IF(AND($S$3=TRUE,$S$4=FALSE),IF(OR($Q$4=TRUE,$Q$5=TRUE,$S$2=TRUE),VLOOKUP($G610,'KO Calc'!$H:$AW,24,FALSE),VLOOKUP($G610,'KO Calc'!$H616:$AW616,24,FALSE)),
IF(AND($S$3=TRUE,$S$1=TRUE,$S$4=TRUE)=TRUE,IF(OR($Q$4=TRUE,$Q$5=TRUE,$S$2=TRUE),VLOOKUP($G610,'KO Calc'!$H:$AW,39,FALSE),VLOOKUP($G610,'KO Calc'!$H616:$AW616,39,FALSE)),IF(AND($S$3=TRUE,$S$4=TRUE),IF(OR($Q$4=TRUE,$Q$5=TRUE,$S$2=TRUE),VLOOKUP($G610,'KO Calc'!$H:$AW,29,FALSE),VLOOKUP($G610,'KO Calc'!$H616:$AW616,29,FALSE)))))))))))))</f>
        <v>-</v>
      </c>
      <c r="K610" s="36" t="str">
        <f>IF(AND($Q$1=FALSE,$S$3=FALSE),"-",IF(AND($Q$1=TRUE,$S$3=TRUE),"-",IF(AND($Q$1=FALSE,$S$3=FALSE),"-",IF(AND($Q$1=TRUE,$S$1=TRUE,$S$4=FALSE)=TRUE,IF(OR($Q$4=TRUE,$Q$5=TRUE,$S$2=TRUE),VLOOKUP($G610,'KO Calc'!$H:$AW,15,FALSE),VLOOKUP($G610,'KO Calc'!$H616:$AW616,15,FALSE)),IF(AND($Q$1=TRUE,$S$4=FALSE),IF(OR($Q$4=TRUE,$Q$5=TRUE,$S$2=TRUE),VLOOKUP($G610,'KO Calc'!$H:$AW,5,FALSE),VLOOKUP($G610,'KO Calc'!$H616:$AW616,5,FALSE)),
IF(AND($Q$1=TRUE,$S$1=TRUE,$S$4=TRUE)=TRUE,IF(OR($Q$4=TRUE,$Q$5=TRUE,$S$2=TRUE),VLOOKUP($G610,'KO Calc'!$H:$AW,20,FALSE),VLOOKUP($G610,'KO Calc'!$H616:$AW616,20,FALSE)),IF(AND($Q$1=TRUE,$S$4=TRUE),IF(OR($Q$4=TRUE,$Q$5=TRUE,$S$2=TRUE),VLOOKUP($G610,'KO Calc'!$H:$AW,10,FALSE),VLOOKUP($G610,'KO Calc'!$H616:$AW616,10,FALSE)),
IF(AND($S$3=TRUE,$S$1=TRUE,$S$4=FALSE)=TRUE,IF(OR($Q$4=TRUE,$Q$5=TRUE,$S$2=TRUE),VLOOKUP($G610,'KO Calc'!$H:$AW,35,FALSE),VLOOKUP($G610,'KO Calc'!$H616:$AW616,35,FALSE)),IF(AND($S$3=TRUE,$S$4=FALSE),IF(OR($Q$4=TRUE,$Q$5=TRUE,$S$2=TRUE),VLOOKUP($G610,'KO Calc'!$H:$AW,25,FALSE),VLOOKUP($G610,'KO Calc'!$H616:$AW616,25,FALSE)),
IF(AND($S$3=TRUE,$S$1=TRUE,$S$4=TRUE)=TRUE,IF(OR($Q$4=TRUE,$Q$5=TRUE,$S$2=TRUE),VLOOKUP($G610,'KO Calc'!$H:$AW,40,FALSE),VLOOKUP($G610,'KO Calc'!$H616:$AW616,40,FALSE)),IF(AND($S$3=TRUE,$S$4=TRUE),IF(OR($Q$4=TRUE,$Q$5=TRUE,$S$2=TRUE),VLOOKUP($G610,'KO Calc'!$H:$AW,30,FALSE),VLOOKUP($G610,'KO Calc'!$H616:$AW616,30,FALSE)))))))))))))</f>
        <v>-</v>
      </c>
      <c r="L610" s="36" t="str">
        <f>IFERROR(VLOOKUP($E610,'Status Thresholds'!$E:$AS,41,FALSE),"-")</f>
        <v>-</v>
      </c>
    </row>
    <row r="611" spans="1:14" x14ac:dyDescent="0.25">
      <c r="B611" s="64" t="str">
        <f>VLOOKUP(C611,'Status Thresholds'!B:C,2,FALSE)</f>
        <v>MHGen</v>
      </c>
      <c r="C611" s="46" t="str">
        <f>IF(ISBLANK('KO Calc'!C607)=TRUE,"",'KO Calc'!C607)</f>
        <v>Rathalos</v>
      </c>
      <c r="D611" s="78"/>
      <c r="E611" s="62"/>
      <c r="G611" s="36"/>
      <c r="L611" s="36" t="str">
        <f>IFERROR(VLOOKUP($E611,'Status Thresholds'!$E:$AS,41,FALSE),"-")</f>
        <v>-</v>
      </c>
    </row>
    <row r="612" spans="1:14" s="36" customFormat="1" x14ac:dyDescent="0.25">
      <c r="B612" s="64" t="str">
        <f>VLOOKUP(C612,'Status Thresholds'!B:C,2,FALSE)</f>
        <v>MHGen</v>
      </c>
      <c r="C612" s="46" t="str">
        <f>IF(ISBLANK('KO Calc'!C608)=TRUE,"",'KO Calc'!C608)</f>
        <v>Rathalos (Silver)</v>
      </c>
      <c r="D612" s="65" t="s">
        <v>0</v>
      </c>
      <c r="E612" s="62" t="str">
        <f t="shared" si="17"/>
        <v>Rathalos (Silver)Para</v>
      </c>
      <c r="F612" s="36" t="s">
        <v>2</v>
      </c>
      <c r="G612" s="36" t="str">
        <f t="shared" si="18"/>
        <v>Rathalos (Silver)Para lvl 2</v>
      </c>
      <c r="H612" s="36" t="str">
        <f>IFERROR(ROUNDUP(IF(AND($Q$1=FALSE,$S$3=FALSE),"-",IF(AND($Q$1=TRUE,$S$3=TRUE),"-",IF(AND($Q$1=TRUE,$S$1=TRUE,$S$4=FALSE),VLOOKUP($E612,'Status Thresholds'!$E:$AS,12,FALSE),IF(AND($Q$1=TRUE,$S$4=FALSE),VLOOKUP($E612,'Status Thresholds'!$E:$AS,2,FALSE), IF(AND($Q$1=TRUE,$S$1=TRUE,$S$4=TRUE),VLOOKUP($E612,'Status Thresholds'!$E:$AS,17,FALSE),IF(AND($Q$1=TRUE,$S$4=TRUE),VLOOKUP($E612,'Status Thresholds'!$E:$AS,7,FALSE),IF(AND($S$3=TRUE,$S$1=TRUE,$S$4=FALSE),VLOOKUP($E612,'Status Thresholds'!$E:$AS,32,FALSE),IF(AND($S$3=TRUE,$S$4=FALSE),VLOOKUP($E612,'Status Thresholds'!$E:$AS,22,FALSE),IF(AND($S$3=TRUE,$S$1=TRUE,$S$4=TRUE),VLOOKUP($E612,'Status Thresholds'!$E:$AS,37,FALSE),IF(AND($S$3=TRUE,$S$4=TRUE),VLOOKUP($E612,'Status Thresholds'!$E:$AS,27,FALSE),""))))))))/IF(OR($Q$3=TRUE,AND($Q$2=TRUE,$Q$7=TRUE),AND($Q$3=TRUE,$Q$7=TRUE))=TRUE,'Shots and Status'!$F$5,IF((OR($Q$2,$Q$7)=TRUE),'Shots and Status'!$D$5,'Shots and Status'!$C$5)))),0),"-")</f>
        <v>-</v>
      </c>
      <c r="I612" s="36" t="str">
        <f>IFERROR(ROUNDUP(IF(AND($Q$1=FALSE,$S$3=FALSE),"-",IF(AND($Q$1=TRUE,$S$3=TRUE),"-",IF(AND($Q$1=TRUE,$S$1=TRUE,$S$4=FALSE),VLOOKUP($E612,'Status Thresholds'!$E:$AS,13,FALSE),IF(AND($Q$1=TRUE,$S$4=FALSE),VLOOKUP($E612,'Status Thresholds'!$E:$AS,3,FALSE), IF(AND($Q$1=TRUE,$S$1=TRUE,$S$4=TRUE),VLOOKUP($E612,'Status Thresholds'!$E:$AS,18,FALSE),IF(AND($Q$1=TRUE,$S$4=TRUE),VLOOKUP($E612,'Status Thresholds'!$E:$AS,8,FALSE),IF(AND($S$3=TRUE,$S$1=TRUE,$S$4=FALSE),VLOOKUP($E612,'Status Thresholds'!$E:$AS,33,FALSE),IF(AND($S$3=TRUE,$S$4=FALSE),VLOOKUP($E612,'Status Thresholds'!$E:$AS,23,FALSE),IF(AND($S$3=TRUE,$S$1=TRUE,$S$4=TRUE),VLOOKUP($E612,'Status Thresholds'!$E:$AS,38,FALSE),IF(AND($S$3=TRUE,$S$4=TRUE),VLOOKUP($E612,'Status Thresholds'!$E:$AS,28,FALSE),""))))))))/IF(OR($Q$3=TRUE,AND($Q$2=TRUE,$Q$7=TRUE),AND($Q$3=TRUE,$Q$7=TRUE))=TRUE,'Shots and Status'!$F$5,IF((OR($Q$2,$Q$7)=TRUE),'Shots and Status'!$D$5,'Shots and Status'!$C$5)))),0),"-")</f>
        <v>-</v>
      </c>
      <c r="J612" s="36" t="str">
        <f>IFERROR(ROUNDUP(IF(AND($Q$1=FALSE,$S$3=FALSE),"-",IF(AND($Q$1=TRUE,$S$3=TRUE),"-",IF(AND($Q$1=TRUE,$S$1=TRUE,$S$4=FALSE),VLOOKUP($E612,'Status Thresholds'!$E:$AS,14,FALSE),IF(AND($Q$1=TRUE,$S$4=FALSE),VLOOKUP($E612,'Status Thresholds'!$E:$AS,4,FALSE), IF(AND($Q$1=TRUE,$S$1=TRUE,$S$4=TRUE),VLOOKUP($E612,'Status Thresholds'!$E:$AS,19,FALSE),IF(AND($Q$1=TRUE,$S$4=TRUE),VLOOKUP($E612,'Status Thresholds'!$E:$AS,9,FALSE),IF(AND($S$3=TRUE,$S$1=TRUE,$S$4=FALSE),VLOOKUP($E612,'Status Thresholds'!$E:$AS,34,FALSE),IF(AND($S$3=TRUE,$S$4=FALSE),VLOOKUP($E612,'Status Thresholds'!$E:$AS,24,FALSE),IF(AND($S$3=TRUE,$S$1=TRUE,$S$4=TRUE),VLOOKUP($E612,'Status Thresholds'!$E:$AS,39,FALSE),IF(AND($S$3=TRUE,$S$4=TRUE),VLOOKUP($E612,'Status Thresholds'!$E:$AS,29,FALSE),""))))))))/IF(OR($Q$3=TRUE,AND($Q$2=TRUE,$Q$7=TRUE),AND($Q$3=TRUE,$Q$7=TRUE))=TRUE,'Shots and Status'!$F$5,IF((OR($Q$2,$Q$7)=TRUE),'Shots and Status'!$D$5,'Shots and Status'!$C$5)))),0),"-")</f>
        <v>-</v>
      </c>
      <c r="K612" s="36" t="str">
        <f>IFERROR(ROUNDUP(IF(AND($Q$1=FALSE,$S$3=FALSE),"-",IF(AND($Q$1=TRUE,$S$3=TRUE),"-",IF(AND($Q$1=TRUE,$S$1=TRUE,$S$4=FALSE),VLOOKUP($E612,'Status Thresholds'!$E:$AS,15,FALSE),IF(AND($Q$1=TRUE,$S$4=FALSE),VLOOKUP($E612,'Status Thresholds'!$E:$AS,5,FALSE), IF(AND($Q$1=TRUE,$S$1=TRUE,$S$4=TRUE),VLOOKUP($E612,'Status Thresholds'!$E:$AS,20,FALSE),IF(AND($Q$1=TRUE,$S$4=TRUE),VLOOKUP($E612,'Status Thresholds'!$E:$AS,10,FALSE),IF(AND($S$3=TRUE,$S$1=TRUE,$S$4=FALSE),VLOOKUP($E612,'Status Thresholds'!$E:$AS,35,FALSE),IF(AND($S$3=TRUE,$S$4=FALSE),VLOOKUP($E612,'Status Thresholds'!$E:$AS,25,FALSE),IF(AND($S$3=TRUE,$S$1=TRUE,$S$4=TRUE),VLOOKUP($E612,'Status Thresholds'!$E:$AS,40,FALSE),IF(AND($S$3=TRUE,$S$4=TRUE),VLOOKUP($E612,'Status Thresholds'!$E:$AS,30,FALSE),""))))))))/IF(OR($Q$3=TRUE,AND($Q$2=TRUE,$Q$7=TRUE),AND($Q$3=TRUE,$Q$7=TRUE))=TRUE,'Shots and Status'!$F$5,IF((OR($Q$2,$Q$7)=TRUE),'Shots and Status'!$D$5,'Shots and Status'!$C$5)))),0),"-")</f>
        <v>-</v>
      </c>
      <c r="L612" s="36" t="str">
        <f>IFERROR(IF(AND($Q$1=FALSE,$S$3=FALSE),"-",VLOOKUP($E612,'Status Thresholds'!$E:$AU,41,FALSE)),"-")</f>
        <v>-</v>
      </c>
      <c r="M612" s="36" t="str">
        <f>IFERROR(IF(AND($Q$1=FALSE,$S$3=FALSE),"-",VLOOKUP($E612,'Status Thresholds'!$E:$AU,42,FALSE)),"-")</f>
        <v>-</v>
      </c>
      <c r="N612" s="36" t="str">
        <f>IFERROR(IF(AND($Q$1=FALSE,$S$3=FALSE),"-",VLOOKUP($E612,'Status Thresholds'!$E:$AU,43,FALSE)),"-")</f>
        <v>-</v>
      </c>
    </row>
    <row r="613" spans="1:14" s="59" customFormat="1" x14ac:dyDescent="0.25">
      <c r="A613" s="46"/>
      <c r="B613" s="64" t="str">
        <f>VLOOKUP(C613,'Status Thresholds'!B:C,2,FALSE)</f>
        <v>MHGen</v>
      </c>
      <c r="C613" s="46" t="str">
        <f>IF(ISBLANK('KO Calc'!C609)=TRUE,"",'KO Calc'!C609)</f>
        <v>Rathalos (Silver)</v>
      </c>
      <c r="D613" s="60" t="s">
        <v>32</v>
      </c>
      <c r="E613" s="62" t="str">
        <f t="shared" si="17"/>
        <v>Rathalos (Silver)Sleep</v>
      </c>
      <c r="F613" s="59" t="s">
        <v>5</v>
      </c>
      <c r="G613" s="36" t="str">
        <f t="shared" si="18"/>
        <v>Rathalos (Silver)Sleep lvl 2</v>
      </c>
      <c r="H613" s="36" t="str">
        <f>IFERROR(ROUNDUP(IF(AND($Q$1=FALSE,$S$3=FALSE),"-",IF(AND($Q$1=TRUE,$S$3=TRUE),"-",IF(AND($Q$1=TRUE,$S$1=TRUE,$S$4=FALSE),VLOOKUP($E613,'Status Thresholds'!$E:$AS,12,FALSE),IF(AND($Q$1=TRUE,$S$4=FALSE),VLOOKUP($E613,'Status Thresholds'!$E:$AS,2,FALSE), IF(AND($Q$1=TRUE,$S$1=TRUE,$S$4=TRUE),VLOOKUP($E613,'Status Thresholds'!$E:$AS,17,FALSE),IF(AND($Q$1=TRUE,$S$4=TRUE),VLOOKUP($E613,'Status Thresholds'!$E:$AS,7,FALSE),IF(AND($S$3=TRUE,$S$1=TRUE,$S$4=FALSE),VLOOKUP($E613,'Status Thresholds'!$E:$AS,32,FALSE),IF(AND($S$3=TRUE,$S$4=FALSE),VLOOKUP($E613,'Status Thresholds'!$E:$AS,22,FALSE),IF(AND($S$3=TRUE,$S$1=TRUE,$S$4=TRUE),VLOOKUP($E613,'Status Thresholds'!$E:$AS,37,FALSE),IF(AND($S$3=TRUE,$S$4=TRUE),VLOOKUP($E613,'Status Thresholds'!$E:$AS,27,FALSE),""))))))))/IF(OR($Q$3=TRUE,AND($Q$2=TRUE,$Q$7=TRUE),AND($Q$3=TRUE,$Q$7=TRUE))=TRUE,'Shots and Status'!$F$5,IF((OR($Q$2,$Q$7)=TRUE),'Shots and Status'!$D$5,'Shots and Status'!$C$5)))),0),"-")</f>
        <v>-</v>
      </c>
      <c r="I613" s="36" t="str">
        <f>IFERROR(ROUNDUP(IF(AND($Q$1=FALSE,$S$3=FALSE),"-",IF(AND($Q$1=TRUE,$S$3=TRUE),"-",IF(AND($Q$1=TRUE,$S$1=TRUE,$S$4=FALSE),VLOOKUP($E613,'Status Thresholds'!$E:$AS,13,FALSE),IF(AND($Q$1=TRUE,$S$4=FALSE),VLOOKUP($E613,'Status Thresholds'!$E:$AS,3,FALSE), IF(AND($Q$1=TRUE,$S$1=TRUE,$S$4=TRUE),VLOOKUP($E613,'Status Thresholds'!$E:$AS,18,FALSE),IF(AND($Q$1=TRUE,$S$4=TRUE),VLOOKUP($E613,'Status Thresholds'!$E:$AS,8,FALSE),IF(AND($S$3=TRUE,$S$1=TRUE,$S$4=FALSE),VLOOKUP($E613,'Status Thresholds'!$E:$AS,33,FALSE),IF(AND($S$3=TRUE,$S$4=FALSE),VLOOKUP($E613,'Status Thresholds'!$E:$AS,23,FALSE),IF(AND($S$3=TRUE,$S$1=TRUE,$S$4=TRUE),VLOOKUP($E613,'Status Thresholds'!$E:$AS,38,FALSE),IF(AND($S$3=TRUE,$S$4=TRUE),VLOOKUP($E613,'Status Thresholds'!$E:$AS,28,FALSE),""))))))))/IF(OR($Q$3=TRUE,AND($Q$2=TRUE,$Q$7=TRUE),AND($Q$3=TRUE,$Q$7=TRUE))=TRUE,'Shots and Status'!$F$5,IF((OR($Q$2,$Q$7)=TRUE),'Shots and Status'!$D$5,'Shots and Status'!$C$5)))),0),"-")</f>
        <v>-</v>
      </c>
      <c r="J613" s="36" t="str">
        <f>IFERROR(ROUNDUP(IF(AND($Q$1=FALSE,$S$3=FALSE),"-",IF(AND($Q$1=TRUE,$S$3=TRUE),"-",IF(AND($Q$1=TRUE,$S$1=TRUE,$S$4=FALSE),VLOOKUP($E613,'Status Thresholds'!$E:$AS,14,FALSE),IF(AND($Q$1=TRUE,$S$4=FALSE),VLOOKUP($E613,'Status Thresholds'!$E:$AS,4,FALSE), IF(AND($Q$1=TRUE,$S$1=TRUE,$S$4=TRUE),VLOOKUP($E613,'Status Thresholds'!$E:$AS,19,FALSE),IF(AND($Q$1=TRUE,$S$4=TRUE),VLOOKUP($E613,'Status Thresholds'!$E:$AS,9,FALSE),IF(AND($S$3=TRUE,$S$1=TRUE,$S$4=FALSE),VLOOKUP($E613,'Status Thresholds'!$E:$AS,34,FALSE),IF(AND($S$3=TRUE,$S$4=FALSE),VLOOKUP($E613,'Status Thresholds'!$E:$AS,24,FALSE),IF(AND($S$3=TRUE,$S$1=TRUE,$S$4=TRUE),VLOOKUP($E613,'Status Thresholds'!$E:$AS,39,FALSE),IF(AND($S$3=TRUE,$S$4=TRUE),VLOOKUP($E613,'Status Thresholds'!$E:$AS,29,FALSE),""))))))))/IF(OR($Q$3=TRUE,AND($Q$2=TRUE,$Q$7=TRUE),AND($Q$3=TRUE,$Q$7=TRUE))=TRUE,'Shots and Status'!$F$5,IF((OR($Q$2,$Q$7)=TRUE),'Shots and Status'!$D$5,'Shots and Status'!$C$5)))),0),"-")</f>
        <v>-</v>
      </c>
      <c r="K613" s="36" t="str">
        <f>IFERROR(ROUNDUP(IF(AND($Q$1=FALSE,$S$3=FALSE),"-",IF(AND($Q$1=TRUE,$S$3=TRUE),"-",IF(AND($Q$1=TRUE,$S$1=TRUE,$S$4=FALSE),VLOOKUP($E613,'Status Thresholds'!$E:$AS,15,FALSE),IF(AND($Q$1=TRUE,$S$4=FALSE),VLOOKUP($E613,'Status Thresholds'!$E:$AS,5,FALSE), IF(AND($Q$1=TRUE,$S$1=TRUE,$S$4=TRUE),VLOOKUP($E613,'Status Thresholds'!$E:$AS,20,FALSE),IF(AND($Q$1=TRUE,$S$4=TRUE),VLOOKUP($E613,'Status Thresholds'!$E:$AS,10,FALSE),IF(AND($S$3=TRUE,$S$1=TRUE,$S$4=FALSE),VLOOKUP($E613,'Status Thresholds'!$E:$AS,35,FALSE),IF(AND($S$3=TRUE,$S$4=FALSE),VLOOKUP($E613,'Status Thresholds'!$E:$AS,25,FALSE),IF(AND($S$3=TRUE,$S$1=TRUE,$S$4=TRUE),VLOOKUP($E613,'Status Thresholds'!$E:$AS,40,FALSE),IF(AND($S$3=TRUE,$S$4=TRUE),VLOOKUP($E613,'Status Thresholds'!$E:$AS,30,FALSE),""))))))))/IF(OR($Q$3=TRUE,AND($Q$2=TRUE,$Q$7=TRUE),AND($Q$3=TRUE,$Q$7=TRUE))=TRUE,'Shots and Status'!$F$5,IF((OR($Q$2,$Q$7)=TRUE),'Shots and Status'!$D$5,'Shots and Status'!$C$5)))),0),"-")</f>
        <v>-</v>
      </c>
      <c r="L613" s="36" t="str">
        <f>IFERROR(IF(AND($Q$1=FALSE,$S$3=FALSE),"-",VLOOKUP($E613,'Status Thresholds'!$E:$AU,41,FALSE)),"-")</f>
        <v>-</v>
      </c>
      <c r="M613" s="36" t="str">
        <f>IFERROR(IF(AND($Q$1=FALSE,$S$3=FALSE),"-",VLOOKUP($E613,'Status Thresholds'!$E:$AU,42,FALSE)),"-")</f>
        <v>-</v>
      </c>
      <c r="N613" s="36" t="str">
        <f>IFERROR(IF(AND($Q$1=FALSE,$S$3=FALSE),"-",VLOOKUP($E613,'Status Thresholds'!$E:$AU,43,FALSE)),"-")</f>
        <v>-</v>
      </c>
    </row>
    <row r="614" spans="1:14" s="59" customFormat="1" x14ac:dyDescent="0.25">
      <c r="A614" s="46"/>
      <c r="B614" s="64" t="str">
        <f>VLOOKUP(C614,'Status Thresholds'!B:C,2,FALSE)</f>
        <v>MHGen</v>
      </c>
      <c r="C614" s="46" t="str">
        <f>IF(ISBLANK('KO Calc'!C610)=TRUE,"",'KO Calc'!C610)</f>
        <v>Rathalos (Silver)</v>
      </c>
      <c r="D614" s="58" t="s">
        <v>33</v>
      </c>
      <c r="E614" s="62" t="str">
        <f t="shared" si="17"/>
        <v>Rathalos (Silver)Poison</v>
      </c>
      <c r="F614" s="59" t="s">
        <v>6</v>
      </c>
      <c r="G614" s="36" t="str">
        <f t="shared" si="18"/>
        <v>Rathalos (Silver)Poison lvl 2</v>
      </c>
      <c r="H614" s="36" t="str">
        <f>IFERROR(ROUNDUP(IF(AND($Q$1=FALSE,$S$3=FALSE),"-",IF(AND($Q$1=TRUE,$S$3=TRUE),"-",IF(AND($Q$1=TRUE,$S$1=TRUE,$S$4=FALSE),VLOOKUP($E614,'Status Thresholds'!$E:$AS,12,FALSE),IF(AND($Q$1=TRUE,$S$4=FALSE),VLOOKUP($E614,'Status Thresholds'!$E:$AS,2,FALSE), IF(AND($Q$1=TRUE,$S$1=TRUE,$S$4=TRUE),VLOOKUP($E614,'Status Thresholds'!$E:$AS,17,FALSE),IF(AND($Q$1=TRUE,$S$4=TRUE),VLOOKUP($E614,'Status Thresholds'!$E:$AS,7,FALSE),IF(AND($S$3=TRUE,$S$1=TRUE,$S$4=FALSE),VLOOKUP($E614,'Status Thresholds'!$E:$AS,32,FALSE),IF(AND($S$3=TRUE,$S$4=FALSE),VLOOKUP($E614,'Status Thresholds'!$E:$AS,22,FALSE),IF(AND($S$3=TRUE,$S$1=TRUE,$S$4=TRUE),VLOOKUP($E614,'Status Thresholds'!$E:$AS,37,FALSE),IF(AND($S$3=TRUE,$S$4=TRUE),VLOOKUP($E614,'Status Thresholds'!$E:$AS,27,FALSE),""))))))))/IF(OR($Q$3=TRUE,AND($Q$2=TRUE,$Q$7=TRUE),AND($Q$3=TRUE,$Q$7=TRUE))=TRUE,'Shots and Status'!$F$5,IF((OR($Q$2,$Q$7)=TRUE),'Shots and Status'!$D$5,'Shots and Status'!$C$5)))),0),"-")</f>
        <v>-</v>
      </c>
      <c r="I614" s="36" t="str">
        <f>IFERROR(ROUNDUP(IF(AND($Q$1=FALSE,$S$3=FALSE),"-",IF(AND($Q$1=TRUE,$S$3=TRUE),"-",IF(AND($Q$1=TRUE,$S$1=TRUE,$S$4=FALSE),VLOOKUP($E614,'Status Thresholds'!$E:$AS,13,FALSE),IF(AND($Q$1=TRUE,$S$4=FALSE),VLOOKUP($E614,'Status Thresholds'!$E:$AS,3,FALSE), IF(AND($Q$1=TRUE,$S$1=TRUE,$S$4=TRUE),VLOOKUP($E614,'Status Thresholds'!$E:$AS,18,FALSE),IF(AND($Q$1=TRUE,$S$4=TRUE),VLOOKUP($E614,'Status Thresholds'!$E:$AS,8,FALSE),IF(AND($S$3=TRUE,$S$1=TRUE,$S$4=FALSE),VLOOKUP($E614,'Status Thresholds'!$E:$AS,33,FALSE),IF(AND($S$3=TRUE,$S$4=FALSE),VLOOKUP($E614,'Status Thresholds'!$E:$AS,23,FALSE),IF(AND($S$3=TRUE,$S$1=TRUE,$S$4=TRUE),VLOOKUP($E614,'Status Thresholds'!$E:$AS,38,FALSE),IF(AND($S$3=TRUE,$S$4=TRUE),VLOOKUP($E614,'Status Thresholds'!$E:$AS,28,FALSE),""))))))))/IF(OR($Q$3=TRUE,AND($Q$2=TRUE,$Q$7=TRUE),AND($Q$3=TRUE,$Q$7=TRUE))=TRUE,'Shots and Status'!$F$5,IF((OR($Q$2,$Q$7)=TRUE),'Shots and Status'!$D$5,'Shots and Status'!$C$5)))),0),"-")</f>
        <v>-</v>
      </c>
      <c r="J614" s="36" t="str">
        <f>IFERROR(ROUNDUP(IF(AND($Q$1=FALSE,$S$3=FALSE),"-",IF(AND($Q$1=TRUE,$S$3=TRUE),"-",IF(AND($Q$1=TRUE,$S$1=TRUE,$S$4=FALSE),VLOOKUP($E614,'Status Thresholds'!$E:$AS,14,FALSE),IF(AND($Q$1=TRUE,$S$4=FALSE),VLOOKUP($E614,'Status Thresholds'!$E:$AS,4,FALSE), IF(AND($Q$1=TRUE,$S$1=TRUE,$S$4=TRUE),VLOOKUP($E614,'Status Thresholds'!$E:$AS,19,FALSE),IF(AND($Q$1=TRUE,$S$4=TRUE),VLOOKUP($E614,'Status Thresholds'!$E:$AS,9,FALSE),IF(AND($S$3=TRUE,$S$1=TRUE,$S$4=FALSE),VLOOKUP($E614,'Status Thresholds'!$E:$AS,34,FALSE),IF(AND($S$3=TRUE,$S$4=FALSE),VLOOKUP($E614,'Status Thresholds'!$E:$AS,24,FALSE),IF(AND($S$3=TRUE,$S$1=TRUE,$S$4=TRUE),VLOOKUP($E614,'Status Thresholds'!$E:$AS,39,FALSE),IF(AND($S$3=TRUE,$S$4=TRUE),VLOOKUP($E614,'Status Thresholds'!$E:$AS,29,FALSE),""))))))))/IF(OR($Q$3=TRUE,AND($Q$2=TRUE,$Q$7=TRUE),AND($Q$3=TRUE,$Q$7=TRUE))=TRUE,'Shots and Status'!$F$5,IF((OR($Q$2,$Q$7)=TRUE),'Shots and Status'!$D$5,'Shots and Status'!$C$5)))),0),"-")</f>
        <v>-</v>
      </c>
      <c r="K614" s="36" t="str">
        <f>IFERROR(ROUNDUP(IF(AND($Q$1=FALSE,$S$3=FALSE),"-",IF(AND($Q$1=TRUE,$S$3=TRUE),"-",IF(AND($Q$1=TRUE,$S$1=TRUE,$S$4=FALSE),VLOOKUP($E614,'Status Thresholds'!$E:$AS,15,FALSE),IF(AND($Q$1=TRUE,$S$4=FALSE),VLOOKUP($E614,'Status Thresholds'!$E:$AS,5,FALSE), IF(AND($Q$1=TRUE,$S$1=TRUE,$S$4=TRUE),VLOOKUP($E614,'Status Thresholds'!$E:$AS,20,FALSE),IF(AND($Q$1=TRUE,$S$4=TRUE),VLOOKUP($E614,'Status Thresholds'!$E:$AS,10,FALSE),IF(AND($S$3=TRUE,$S$1=TRUE,$S$4=FALSE),VLOOKUP($E614,'Status Thresholds'!$E:$AS,35,FALSE),IF(AND($S$3=TRUE,$S$4=FALSE),VLOOKUP($E614,'Status Thresholds'!$E:$AS,25,FALSE),IF(AND($S$3=TRUE,$S$1=TRUE,$S$4=TRUE),VLOOKUP($E614,'Status Thresholds'!$E:$AS,40,FALSE),IF(AND($S$3=TRUE,$S$4=TRUE),VLOOKUP($E614,'Status Thresholds'!$E:$AS,30,FALSE),""))))))))/IF(OR($Q$3=TRUE,AND($Q$2=TRUE,$Q$7=TRUE),AND($Q$3=TRUE,$Q$7=TRUE))=TRUE,'Shots and Status'!$F$5,IF((OR($Q$2,$Q$7)=TRUE),'Shots and Status'!$D$5,'Shots and Status'!$C$5)))),0),"-")</f>
        <v>-</v>
      </c>
      <c r="L614" s="36" t="str">
        <f>IFERROR(IF(AND($Q$1=FALSE,$S$3=FALSE),"-",VLOOKUP($E614,'Status Thresholds'!$E:$AU,41,FALSE)),"-")</f>
        <v>-</v>
      </c>
      <c r="M614" s="36" t="str">
        <f>IFERROR(IF(AND($Q$1=FALSE,$S$3=FALSE),"-",VLOOKUP($E614,'Status Thresholds'!$E:$AU,42,FALSE)),"-")</f>
        <v>-</v>
      </c>
      <c r="N614" s="36" t="str">
        <f>IFERROR(IF(AND($Q$1=FALSE,$S$3=FALSE),"-",VLOOKUP($E614,'Status Thresholds'!$E:$AU,43,FALSE)),"-")</f>
        <v>-</v>
      </c>
    </row>
    <row r="615" spans="1:14" s="36" customFormat="1" x14ac:dyDescent="0.25">
      <c r="A615" s="46"/>
      <c r="B615" s="64" t="str">
        <f>VLOOKUP(C615,'Status Thresholds'!B:C,2,FALSE)</f>
        <v>MHGen</v>
      </c>
      <c r="C615" s="46" t="str">
        <f>IF(ISBLANK('KO Calc'!C611)=TRUE,"",'KO Calc'!C611)</f>
        <v>Rathalos (Silver)</v>
      </c>
      <c r="D615" s="57" t="s">
        <v>22</v>
      </c>
      <c r="E615" s="62" t="str">
        <f t="shared" si="17"/>
        <v>Rathalos (Silver)Exhaust</v>
      </c>
      <c r="F615" s="36" t="s">
        <v>8</v>
      </c>
      <c r="G615" s="36" t="str">
        <f t="shared" si="18"/>
        <v>Rathalos (Silver)Exhaust lvl 2</v>
      </c>
      <c r="H615" s="36" t="str">
        <f>IFERROR(ROUNDUP(IF(AND($Q$1=FALSE,$S$3=FALSE),"-",IF(AND($Q$1=TRUE,$S$3=TRUE),"-",IF(AND($Q$1=TRUE,$S$1=TRUE,$S$4=FALSE),VLOOKUP($E615,'Status Thresholds'!$E:$AS,12,FALSE),IF(AND($Q$1=TRUE,$S$4=FALSE),VLOOKUP($E615,'Status Thresholds'!$E:$AS,2,FALSE), IF(AND($Q$1=TRUE,$S$1=TRUE,$S$4=TRUE),VLOOKUP($E615,'Status Thresholds'!$E:$AS,17,FALSE),IF(AND($Q$1=TRUE,$S$4=TRUE),VLOOKUP($E615,'Status Thresholds'!$E:$AS,7,FALSE),IF(AND($S$3=TRUE,$S$1=TRUE,$S$4=FALSE),VLOOKUP($E615,'Status Thresholds'!$E:$AS,32,FALSE),IF(AND($S$3=TRUE,$S$4=FALSE),VLOOKUP($E615,'Status Thresholds'!$E:$AS,22,FALSE),IF(AND($S$3=TRUE,$S$1=TRUE,$S$4=TRUE),VLOOKUP($E615,'Status Thresholds'!$E:$AS,37,FALSE),IF(AND($S$3=TRUE,$S$4=TRUE),VLOOKUP($E615,'Status Thresholds'!$E:$AS,27,FALSE),""))))))))/IF(OR($Q$3=TRUE,AND($Q$2=TRUE,$Q$7=TRUE),AND($Q$3=TRUE,$Q$7=TRUE))=TRUE,'Shots and Status'!$F$5,IF((OR($Q$2,$Q$7)=TRUE),'Shots and Status'!$D$5,'Shots and Status'!$C$5)))),0),"-")</f>
        <v>-</v>
      </c>
      <c r="I615" s="36" t="str">
        <f>IFERROR(ROUNDUP(IF(AND($Q$1=FALSE,$S$3=FALSE),"-",IF(AND($Q$1=TRUE,$S$3=TRUE),"-",IF(AND($Q$1=TRUE,$S$1=TRUE,$S$4=FALSE),VLOOKUP($E615,'Status Thresholds'!$E:$AS,13,FALSE),IF(AND($Q$1=TRUE,$S$4=FALSE),VLOOKUP($E615,'Status Thresholds'!$E:$AS,3,FALSE), IF(AND($Q$1=TRUE,$S$1=TRUE,$S$4=TRUE),VLOOKUP($E615,'Status Thresholds'!$E:$AS,18,FALSE),IF(AND($Q$1=TRUE,$S$4=TRUE),VLOOKUP($E615,'Status Thresholds'!$E:$AS,8,FALSE),IF(AND($S$3=TRUE,$S$1=TRUE,$S$4=FALSE),VLOOKUP($E615,'Status Thresholds'!$E:$AS,33,FALSE),IF(AND($S$3=TRUE,$S$4=FALSE),VLOOKUP($E615,'Status Thresholds'!$E:$AS,23,FALSE),IF(AND($S$3=TRUE,$S$1=TRUE,$S$4=TRUE),VLOOKUP($E615,'Status Thresholds'!$E:$AS,38,FALSE),IF(AND($S$3=TRUE,$S$4=TRUE),VLOOKUP($E615,'Status Thresholds'!$E:$AS,28,FALSE),""))))))))/IF(OR($Q$3=TRUE,AND($Q$2=TRUE,$Q$7=TRUE),AND($Q$3=TRUE,$Q$7=TRUE))=TRUE,'Shots and Status'!$F$5,IF((OR($Q$2,$Q$7)=TRUE),'Shots and Status'!$D$5,'Shots and Status'!$C$5)))),0),"-")</f>
        <v>-</v>
      </c>
      <c r="J615" s="36" t="str">
        <f>IFERROR(ROUNDUP(IF(AND($Q$1=FALSE,$S$3=FALSE),"-",IF(AND($Q$1=TRUE,$S$3=TRUE),"-",IF(AND($Q$1=TRUE,$S$1=TRUE,$S$4=FALSE),VLOOKUP($E615,'Status Thresholds'!$E:$AS,14,FALSE),IF(AND($Q$1=TRUE,$S$4=FALSE),VLOOKUP($E615,'Status Thresholds'!$E:$AS,4,FALSE), IF(AND($Q$1=TRUE,$S$1=TRUE,$S$4=TRUE),VLOOKUP($E615,'Status Thresholds'!$E:$AS,19,FALSE),IF(AND($Q$1=TRUE,$S$4=TRUE),VLOOKUP($E615,'Status Thresholds'!$E:$AS,9,FALSE),IF(AND($S$3=TRUE,$S$1=TRUE,$S$4=FALSE),VLOOKUP($E615,'Status Thresholds'!$E:$AS,34,FALSE),IF(AND($S$3=TRUE,$S$4=FALSE),VLOOKUP($E615,'Status Thresholds'!$E:$AS,24,FALSE),IF(AND($S$3=TRUE,$S$1=TRUE,$S$4=TRUE),VLOOKUP($E615,'Status Thresholds'!$E:$AS,39,FALSE),IF(AND($S$3=TRUE,$S$4=TRUE),VLOOKUP($E615,'Status Thresholds'!$E:$AS,29,FALSE),""))))))))/IF(OR($Q$3=TRUE,AND($Q$2=TRUE,$Q$7=TRUE),AND($Q$3=TRUE,$Q$7=TRUE))=TRUE,'Shots and Status'!$F$5,IF((OR($Q$2,$Q$7)=TRUE),'Shots and Status'!$D$5,'Shots and Status'!$C$5)))),0),"-")</f>
        <v>-</v>
      </c>
      <c r="K615" s="36" t="str">
        <f>IFERROR(ROUNDUP(IF(AND($Q$1=FALSE,$S$3=FALSE),"-",IF(AND($Q$1=TRUE,$S$3=TRUE),"-",IF(AND($Q$1=TRUE,$S$1=TRUE,$S$4=FALSE),VLOOKUP($E615,'Status Thresholds'!$E:$AS,15,FALSE),IF(AND($Q$1=TRUE,$S$4=FALSE),VLOOKUP($E615,'Status Thresholds'!$E:$AS,5,FALSE), IF(AND($Q$1=TRUE,$S$1=TRUE,$S$4=TRUE),VLOOKUP($E615,'Status Thresholds'!$E:$AS,20,FALSE),IF(AND($Q$1=TRUE,$S$4=TRUE),VLOOKUP($E615,'Status Thresholds'!$E:$AS,10,FALSE),IF(AND($S$3=TRUE,$S$1=TRUE,$S$4=FALSE),VLOOKUP($E615,'Status Thresholds'!$E:$AS,35,FALSE),IF(AND($S$3=TRUE,$S$4=FALSE),VLOOKUP($E615,'Status Thresholds'!$E:$AS,25,FALSE),IF(AND($S$3=TRUE,$S$1=TRUE,$S$4=TRUE),VLOOKUP($E615,'Status Thresholds'!$E:$AS,40,FALSE),IF(AND($S$3=TRUE,$S$4=TRUE),VLOOKUP($E615,'Status Thresholds'!$E:$AS,30,FALSE),""))))))))/IF(OR($Q$3=TRUE,AND($Q$2=TRUE,$Q$7=TRUE),AND($Q$3=TRUE,$Q$7=TRUE))=TRUE,'Shots and Status'!$F$5,IF((OR($Q$2,$Q$7)=TRUE),'Shots and Status'!$D$5,'Shots and Status'!$C$5)))),0),"-")</f>
        <v>-</v>
      </c>
      <c r="L615" s="36" t="str">
        <f>IFERROR(IF(AND($Q$1=FALSE,$S$3=FALSE),"-",VLOOKUP($E615,'Status Thresholds'!$E:$AU,41,FALSE)),"-")</f>
        <v>-</v>
      </c>
      <c r="M615" s="36" t="str">
        <f>IFERROR(IF(AND($Q$1=FALSE,$S$3=FALSE),"-",VLOOKUP($E615,'Status Thresholds'!$E:$AU,42,FALSE)),"-")</f>
        <v>-</v>
      </c>
      <c r="N615" s="36" t="str">
        <f>IFERROR(IF(AND($Q$1=FALSE,$S$3=FALSE),"-",VLOOKUP($E615,'Status Thresholds'!$E:$AU,43,FALSE)),"-")</f>
        <v>-</v>
      </c>
    </row>
    <row r="616" spans="1:14" s="36" customFormat="1" x14ac:dyDescent="0.25">
      <c r="A616" s="46"/>
      <c r="B616" s="64" t="str">
        <f>VLOOKUP(C616,'Status Thresholds'!B:C,2,FALSE)</f>
        <v>MHGen</v>
      </c>
      <c r="C616" s="46" t="str">
        <f>IF(ISBLANK('KO Calc'!C612)=TRUE,"",'KO Calc'!C612)</f>
        <v>Rathalos (Silver)</v>
      </c>
      <c r="D616" s="67" t="s">
        <v>14</v>
      </c>
      <c r="E616" s="62" t="str">
        <f t="shared" si="17"/>
        <v>Rathalos (Silver)KO</v>
      </c>
      <c r="F616" s="36" t="s">
        <v>21</v>
      </c>
      <c r="G616" s="36" t="str">
        <f t="shared" si="18"/>
        <v>Rathalos (Silver)Triblast</v>
      </c>
      <c r="H616" s="36" t="str">
        <f>IF(AND($Q$1=FALSE,$S$3=FALSE),"-",IF(AND($Q$1=TRUE,$S$3=TRUE),"-",IF(AND($Q$1=FALSE,$S$3=FALSE),"-",IF(AND($Q$1=TRUE,$S$1=TRUE,$S$4=FALSE)=TRUE,IF(OR($Q$4=TRUE,$Q$5=TRUE,$S$2=TRUE),VLOOKUP($G616,'KO Calc'!$H:$AW,12,FALSE),VLOOKUP($G616,'KO Calc'!$H622:$AW622,12,FALSE)),IF(AND($Q$1=TRUE,$S$4=FALSE),IF(OR($Q$4=TRUE,$Q$5=TRUE,$S$2=TRUE),VLOOKUP($G616,'KO Calc'!$H:$AW,2,FALSE),VLOOKUP($G616,'KO Calc'!$H622:$AW622,2,FALSE)),
IF(AND($Q$1=TRUE,$S$1=TRUE,$S$4=TRUE)=TRUE,IF(OR($Q$4=TRUE,$Q$5=TRUE,$S$2=TRUE),VLOOKUP($G616,'KO Calc'!$H:$AW,17,FALSE),VLOOKUP($G616,'KO Calc'!$H622:$AW622,17,FALSE)),IF(AND($Q$1=TRUE,$S$4=TRUE),IF(OR($Q$4=TRUE,$Q$5=TRUE,$S$2=TRUE),VLOOKUP($G616,'KO Calc'!$H:$AW,7,FALSE),VLOOKUP($G616,'KO Calc'!$H622:$AW622,7,FALSE)),
IF(AND($S$3=TRUE,$S$1=TRUE,$S$4=FALSE)=TRUE,IF(OR($Q$4=TRUE,$Q$5=TRUE,$S$2=TRUE),VLOOKUP($G616,'KO Calc'!$H:$AW,32,FALSE),VLOOKUP($G616,'KO Calc'!$H622:$AW622,32,FALSE)),IF(AND($S$3=TRUE,$S$4=FALSE),IF(OR($Q$4=TRUE,$Q$5=TRUE,$S$2=TRUE),VLOOKUP($G616,'KO Calc'!$H:$AW,22,FALSE),VLOOKUP($G616,'KO Calc'!$H622:$AW622,22,FALSE)),
IF(AND($S$3=TRUE,$S$1=TRUE,$S$4=TRUE)=TRUE,IF(OR($Q$4=TRUE,$Q$5=TRUE,$S$2=TRUE),VLOOKUP($G616,'KO Calc'!$H:$AW,37,FALSE),VLOOKUP($G616,'KO Calc'!$H622:$AW622,37,FALSE)),IF(AND($S$3=TRUE,$S$4=TRUE),IF(OR($Q$4=TRUE,$Q$5=TRUE,$S$2=TRUE),VLOOKUP($G616,'KO Calc'!$H:$AW,27,FALSE),VLOOKUP($G616,'KO Calc'!$H622:$AW622,27,FALSE)))))))))))))</f>
        <v>-</v>
      </c>
      <c r="I616" s="36" t="str">
        <f>IF(AND($Q$1=FALSE,$S$3=FALSE),"-",IF(AND($Q$1=TRUE,$S$3=TRUE),"-",IF(AND($Q$1=FALSE,$S$3=FALSE),"-",IF(AND($Q$1=TRUE,$S$1=TRUE,$S$4=FALSE)=TRUE,IF(OR($Q$4=TRUE,$Q$5=TRUE,$S$2=TRUE),VLOOKUP($G616,'KO Calc'!$H:$AW,13,FALSE),VLOOKUP($G616,'KO Calc'!$H622:$AW622,13,FALSE)),IF(AND($Q$1=TRUE,$S$4=FALSE),IF(OR($Q$4=TRUE,$Q$5=TRUE,$S$2=TRUE),VLOOKUP($G616,'KO Calc'!$H:$AW,3,FALSE),VLOOKUP($G616,'KO Calc'!$H622:$AW622,3,FALSE)),
IF(AND($Q$1=TRUE,$S$1=TRUE,$S$4=TRUE)=TRUE,IF(OR($Q$4=TRUE,$Q$5=TRUE,$S$2=TRUE),VLOOKUP($G616,'KO Calc'!$H:$AW,18,FALSE),VLOOKUP($G616,'KO Calc'!$H622:$AW622,18,FALSE)),IF(AND($Q$1=TRUE,$S$4=TRUE),IF(OR($Q$4=TRUE,$Q$5=TRUE,$S$2=TRUE),VLOOKUP($G616,'KO Calc'!$H:$AW,8,FALSE),VLOOKUP($G616,'KO Calc'!$H622:$AW622,8,FALSE)),
IF(AND($S$3=TRUE,$S$1=TRUE,$S$4=FALSE)=TRUE,IF(OR($Q$4=TRUE,$Q$5=TRUE,$S$2=TRUE),VLOOKUP($G616,'KO Calc'!$H:$AW,33,FALSE),VLOOKUP($G616,'KO Calc'!$H622:$AW622,33,FALSE)),IF(AND($S$3=TRUE,$S$4=FALSE),IF(OR($Q$4=TRUE,$Q$5=TRUE,$S$2=TRUE),VLOOKUP($G616,'KO Calc'!$H:$AW,23,FALSE),VLOOKUP($G616,'KO Calc'!$H622:$AW622,23,FALSE)),
IF(AND($S$3=TRUE,$S$1=TRUE,$S$4=TRUE)=TRUE,IF(OR($Q$4=TRUE,$Q$5=TRUE,$S$2=TRUE),VLOOKUP($G616,'KO Calc'!$H:$AW,38,FALSE),VLOOKUP($G616,'KO Calc'!$H622:$AW622,38,FALSE)),IF(AND($S$3=TRUE,$S$4=TRUE),IF(OR($Q$4=TRUE,$Q$5=TRUE,$S$2=TRUE),VLOOKUP($G616,'KO Calc'!$H:$AW,28,FALSE),VLOOKUP($G616,'KO Calc'!$H622:$AW622,28,FALSE)))))))))))))</f>
        <v>-</v>
      </c>
      <c r="J616" s="36" t="str">
        <f>IF(AND($Q$1=FALSE,$S$3=FALSE),"-",IF(AND($Q$1=TRUE,$S$3=TRUE),"-",IF(AND($Q$1=FALSE,$S$3=FALSE),"-",IF(AND($Q$1=TRUE,$S$1=TRUE,$S$4=FALSE)=TRUE,IF(OR($Q$4=TRUE,$Q$5=TRUE,$S$2=TRUE),VLOOKUP($G616,'KO Calc'!$H:$AW,FALSE),VLOOKUP($G616,'KO Calc'!$H622:$AW622,14,FALSE)),IF(AND($Q$1=TRUE,$S$4=FALSE),IF(OR($Q$4=TRUE,$Q$5=TRUE,$S$2=TRUE),VLOOKUP($G616,'KO Calc'!$H:$AW,4,FALSE),VLOOKUP($G616,'KO Calc'!$H622:$AW622,4,FALSE)),
IF(AND($Q$1=TRUE,$S$1=TRUE,$S$4=TRUE)=TRUE,IF(OR($Q$4=TRUE,$Q$5=TRUE,$S$2=TRUE),VLOOKUP($G616,'KO Calc'!$H:$AW,19,FALSE),VLOOKUP($G616,'KO Calc'!$H622:$AW622,19,FALSE)),IF(AND($Q$1=TRUE,$S$4=TRUE),IF(OR($Q$4=TRUE,$Q$5=TRUE,$S$2=TRUE),VLOOKUP($G616,'KO Calc'!$H:$AW,9,FALSE),VLOOKUP($G616,'KO Calc'!$H622:$AW622,9,FALSE)),
IF(AND($S$3=TRUE,$S$1=TRUE,$S$4=FALSE)=TRUE,IF(OR($Q$4=TRUE,$Q$5=TRUE,$S$2=TRUE),VLOOKUP($G616,'KO Calc'!$H:$AW,34,FALSE),VLOOKUP($G616,'KO Calc'!$H622:$AW622,34,FALSE)),IF(AND($S$3=TRUE,$S$4=FALSE),IF(OR($Q$4=TRUE,$Q$5=TRUE,$S$2=TRUE),VLOOKUP($G616,'KO Calc'!$H:$AW,24,FALSE),VLOOKUP($G616,'KO Calc'!$H622:$AW622,24,FALSE)),
IF(AND($S$3=TRUE,$S$1=TRUE,$S$4=TRUE)=TRUE,IF(OR($Q$4=TRUE,$Q$5=TRUE,$S$2=TRUE),VLOOKUP($G616,'KO Calc'!$H:$AW,39,FALSE),VLOOKUP($G616,'KO Calc'!$H622:$AW622,39,FALSE)),IF(AND($S$3=TRUE,$S$4=TRUE),IF(OR($Q$4=TRUE,$Q$5=TRUE,$S$2=TRUE),VLOOKUP($G616,'KO Calc'!$H:$AW,29,FALSE),VLOOKUP($G616,'KO Calc'!$H622:$AW622,29,FALSE)))))))))))))</f>
        <v>-</v>
      </c>
      <c r="K616" s="36" t="str">
        <f>IF(AND($Q$1=FALSE,$S$3=FALSE),"-",IF(AND($Q$1=TRUE,$S$3=TRUE),"-",IF(AND($Q$1=FALSE,$S$3=FALSE),"-",IF(AND($Q$1=TRUE,$S$1=TRUE,$S$4=FALSE)=TRUE,IF(OR($Q$4=TRUE,$Q$5=TRUE,$S$2=TRUE),VLOOKUP($G616,'KO Calc'!$H:$AW,15,FALSE),VLOOKUP($G616,'KO Calc'!$H622:$AW622,15,FALSE)),IF(AND($Q$1=TRUE,$S$4=FALSE),IF(OR($Q$4=TRUE,$Q$5=TRUE,$S$2=TRUE),VLOOKUP($G616,'KO Calc'!$H:$AW,5,FALSE),VLOOKUP($G616,'KO Calc'!$H622:$AW622,5,FALSE)),
IF(AND($Q$1=TRUE,$S$1=TRUE,$S$4=TRUE)=TRUE,IF(OR($Q$4=TRUE,$Q$5=TRUE,$S$2=TRUE),VLOOKUP($G616,'KO Calc'!$H:$AW,20,FALSE),VLOOKUP($G616,'KO Calc'!$H622:$AW622,20,FALSE)),IF(AND($Q$1=TRUE,$S$4=TRUE),IF(OR($Q$4=TRUE,$Q$5=TRUE,$S$2=TRUE),VLOOKUP($G616,'KO Calc'!$H:$AW,10,FALSE),VLOOKUP($G616,'KO Calc'!$H622:$AW622,10,FALSE)),
IF(AND($S$3=TRUE,$S$1=TRUE,$S$4=FALSE)=TRUE,IF(OR($Q$4=TRUE,$Q$5=TRUE,$S$2=TRUE),VLOOKUP($G616,'KO Calc'!$H:$AW,35,FALSE),VLOOKUP($G616,'KO Calc'!$H622:$AW622,35,FALSE)),IF(AND($S$3=TRUE,$S$4=FALSE),IF(OR($Q$4=TRUE,$Q$5=TRUE,$S$2=TRUE),VLOOKUP($G616,'KO Calc'!$H:$AW,25,FALSE),VLOOKUP($G616,'KO Calc'!$H622:$AW622,25,FALSE)),
IF(AND($S$3=TRUE,$S$1=TRUE,$S$4=TRUE)=TRUE,IF(OR($Q$4=TRUE,$Q$5=TRUE,$S$2=TRUE),VLOOKUP($G616,'KO Calc'!$H:$AW,40,FALSE),VLOOKUP($G616,'KO Calc'!$H622:$AW622,40,FALSE)),IF(AND($S$3=TRUE,$S$4=TRUE),IF(OR($Q$4=TRUE,$Q$5=TRUE,$S$2=TRUE),VLOOKUP($G616,'KO Calc'!$H:$AW,30,FALSE),VLOOKUP($G616,'KO Calc'!$H622:$AW622,30,FALSE)))))))))))))</f>
        <v>-</v>
      </c>
      <c r="L616" s="36" t="str">
        <f>IFERROR(IF(AND($Q$1=FALSE,$S$3=FALSE),"-",VLOOKUP($E616,'Status Thresholds'!$E:$AU,41,FALSE)),"-")</f>
        <v>-</v>
      </c>
      <c r="M616" s="36" t="str">
        <f>IFERROR(IF(AND($Q$1=FALSE,$S$3=FALSE),"-",VLOOKUP($E616,'Status Thresholds'!$E:$AU,42,FALSE)),"-")</f>
        <v>-</v>
      </c>
      <c r="N616" s="36" t="str">
        <f>IFERROR(IF(AND($Q$1=FALSE,$S$3=FALSE),"-",VLOOKUP($E616,'Status Thresholds'!$E:$AU,43,FALSE)),"-")</f>
        <v>-</v>
      </c>
    </row>
    <row r="617" spans="1:14" x14ac:dyDescent="0.25">
      <c r="B617" s="64" t="str">
        <f>VLOOKUP(C617,'Status Thresholds'!B:C,2,FALSE)</f>
        <v>MHGen</v>
      </c>
      <c r="C617" s="46" t="str">
        <f>IF(ISBLANK('KO Calc'!C613)=TRUE,"",'KO Calc'!C613)</f>
        <v>Rathalos (Silver)</v>
      </c>
      <c r="D617" s="78" t="s">
        <v>207</v>
      </c>
      <c r="E617" s="62" t="str">
        <f t="shared" si="17"/>
        <v>Rathalos (Silver)Shock Trap</v>
      </c>
      <c r="F617" t="s">
        <v>13</v>
      </c>
      <c r="G617" s="36" t="str">
        <f t="shared" si="18"/>
        <v>Rathalos (Silver)Crag 3</v>
      </c>
      <c r="H617" s="36" t="str">
        <f>IF(AND($Q$1=FALSE,$S$3=FALSE),"-",IF(AND($Q$1=TRUE,$S$3=TRUE),"-",IF(AND($Q$1=FALSE,$S$3=FALSE),"-",IF(AND($Q$1=TRUE,$S$1=TRUE,$S$4=FALSE)=TRUE,IF(OR($Q$4=TRUE,$Q$5=TRUE,$S$2=TRUE),VLOOKUP($G617,'KO Calc'!$H:$AW,12,FALSE),VLOOKUP($G617,'KO Calc'!$H623:$AW623,12,FALSE)),IF(AND($Q$1=TRUE,$S$4=FALSE),IF(OR($Q$4=TRUE,$Q$5=TRUE,$S$2=TRUE),VLOOKUP($G617,'KO Calc'!$H:$AW,2,FALSE),VLOOKUP($G617,'KO Calc'!$H623:$AW623,2,FALSE)),
IF(AND($Q$1=TRUE,$S$1=TRUE,$S$4=TRUE)=TRUE,IF(OR($Q$4=TRUE,$Q$5=TRUE,$S$2=TRUE),VLOOKUP($G617,'KO Calc'!$H:$AW,17,FALSE),VLOOKUP($G617,'KO Calc'!$H623:$AW623,17,FALSE)),IF(AND($Q$1=TRUE,$S$4=TRUE),IF(OR($Q$4=TRUE,$Q$5=TRUE,$S$2=TRUE),VLOOKUP($G617,'KO Calc'!$H:$AW,7,FALSE),VLOOKUP($G617,'KO Calc'!$H623:$AW623,7,FALSE)),
IF(AND($S$3=TRUE,$S$1=TRUE,$S$4=FALSE)=TRUE,IF(OR($Q$4=TRUE,$Q$5=TRUE,$S$2=TRUE),VLOOKUP($G617,'KO Calc'!$H:$AW,32,FALSE),VLOOKUP($G617,'KO Calc'!$H623:$AW623,32,FALSE)),IF(AND($S$3=TRUE,$S$4=FALSE),IF(OR($Q$4=TRUE,$Q$5=TRUE,$S$2=TRUE),VLOOKUP($G617,'KO Calc'!$H:$AW,22,FALSE),VLOOKUP($G617,'KO Calc'!$H623:$AW623,22,FALSE)),
IF(AND($S$3=TRUE,$S$1=TRUE,$S$4=TRUE)=TRUE,IF(OR($Q$4=TRUE,$Q$5=TRUE,$S$2=TRUE),VLOOKUP($G617,'KO Calc'!$H:$AW,37,FALSE),VLOOKUP($G617,'KO Calc'!$H623:$AW623,37,FALSE)),IF(AND($S$3=TRUE,$S$4=TRUE),IF(OR($Q$4=TRUE,$Q$5=TRUE,$S$2=TRUE),VLOOKUP($G617,'KO Calc'!$H:$AW,27,FALSE),VLOOKUP($G617,'KO Calc'!$H623:$AW623,27,FALSE)))))))))))))</f>
        <v>-</v>
      </c>
      <c r="I617" s="36" t="str">
        <f>IF(AND($Q$1=FALSE,$S$3=FALSE),"-",IF(AND($Q$1=TRUE,$S$3=TRUE),"-",IF(AND($Q$1=FALSE,$S$3=FALSE),"-",IF(AND($Q$1=TRUE,$S$1=TRUE,$S$4=FALSE)=TRUE,IF(OR($Q$4=TRUE,$Q$5=TRUE,$S$2=TRUE),VLOOKUP($G617,'KO Calc'!$H:$AW,13,FALSE),VLOOKUP($G617,'KO Calc'!$H623:$AW623,13,FALSE)),IF(AND($Q$1=TRUE,$S$4=FALSE),IF(OR($Q$4=TRUE,$Q$5=TRUE,$S$2=TRUE),VLOOKUP($G617,'KO Calc'!$H:$AW,3,FALSE),VLOOKUP($G617,'KO Calc'!$H623:$AW623,3,FALSE)),
IF(AND($Q$1=TRUE,$S$1=TRUE,$S$4=TRUE)=TRUE,IF(OR($Q$4=TRUE,$Q$5=TRUE,$S$2=TRUE),VLOOKUP($G617,'KO Calc'!$H:$AW,18,FALSE),VLOOKUP($G617,'KO Calc'!$H623:$AW623,18,FALSE)),IF(AND($Q$1=TRUE,$S$4=TRUE),IF(OR($Q$4=TRUE,$Q$5=TRUE,$S$2=TRUE),VLOOKUP($G617,'KO Calc'!$H:$AW,8,FALSE),VLOOKUP($G617,'KO Calc'!$H623:$AW623,8,FALSE)),
IF(AND($S$3=TRUE,$S$1=TRUE,$S$4=FALSE)=TRUE,IF(OR($Q$4=TRUE,$Q$5=TRUE,$S$2=TRUE),VLOOKUP($G617,'KO Calc'!$H:$AW,33,FALSE),VLOOKUP($G617,'KO Calc'!$H623:$AW623,33,FALSE)),IF(AND($S$3=TRUE,$S$4=FALSE),IF(OR($Q$4=TRUE,$Q$5=TRUE,$S$2=TRUE),VLOOKUP($G617,'KO Calc'!$H:$AW,23,FALSE),VLOOKUP($G617,'KO Calc'!$H623:$AW623,23,FALSE)),
IF(AND($S$3=TRUE,$S$1=TRUE,$S$4=TRUE)=TRUE,IF(OR($Q$4=TRUE,$Q$5=TRUE,$S$2=TRUE),VLOOKUP($G617,'KO Calc'!$H:$AW,38,FALSE),VLOOKUP($G617,'KO Calc'!$H623:$AW623,38,FALSE)),IF(AND($S$3=TRUE,$S$4=TRUE),IF(OR($Q$4=TRUE,$Q$5=TRUE,$S$2=TRUE),VLOOKUP($G617,'KO Calc'!$H:$AW,28,FALSE),VLOOKUP($G617,'KO Calc'!$H623:$AW623,28,FALSE)))))))))))))</f>
        <v>-</v>
      </c>
      <c r="J617" s="36" t="str">
        <f>IF(AND($Q$1=FALSE,$S$3=FALSE),"-",IF(AND($Q$1=TRUE,$S$3=TRUE),"-",IF(AND($Q$1=FALSE,$S$3=FALSE),"-",IF(AND($Q$1=TRUE,$S$1=TRUE,$S$4=FALSE)=TRUE,IF(OR($Q$4=TRUE,$Q$5=TRUE,$S$2=TRUE),VLOOKUP($G617,'KO Calc'!$H:$AW,FALSE),VLOOKUP($G617,'KO Calc'!$H623:$AW623,14,FALSE)),IF(AND($Q$1=TRUE,$S$4=FALSE),IF(OR($Q$4=TRUE,$Q$5=TRUE,$S$2=TRUE),VLOOKUP($G617,'KO Calc'!$H:$AW,4,FALSE),VLOOKUP($G617,'KO Calc'!$H623:$AW623,4,FALSE)),
IF(AND($Q$1=TRUE,$S$1=TRUE,$S$4=TRUE)=TRUE,IF(OR($Q$4=TRUE,$Q$5=TRUE,$S$2=TRUE),VLOOKUP($G617,'KO Calc'!$H:$AW,19,FALSE),VLOOKUP($G617,'KO Calc'!$H623:$AW623,19,FALSE)),IF(AND($Q$1=TRUE,$S$4=TRUE),IF(OR($Q$4=TRUE,$Q$5=TRUE,$S$2=TRUE),VLOOKUP($G617,'KO Calc'!$H:$AW,9,FALSE),VLOOKUP($G617,'KO Calc'!$H623:$AW623,9,FALSE)),
IF(AND($S$3=TRUE,$S$1=TRUE,$S$4=FALSE)=TRUE,IF(OR($Q$4=TRUE,$Q$5=TRUE,$S$2=TRUE),VLOOKUP($G617,'KO Calc'!$H:$AW,34,FALSE),VLOOKUP($G617,'KO Calc'!$H623:$AW623,34,FALSE)),IF(AND($S$3=TRUE,$S$4=FALSE),IF(OR($Q$4=TRUE,$Q$5=TRUE,$S$2=TRUE),VLOOKUP($G617,'KO Calc'!$H:$AW,24,FALSE),VLOOKUP($G617,'KO Calc'!$H623:$AW623,24,FALSE)),
IF(AND($S$3=TRUE,$S$1=TRUE,$S$4=TRUE)=TRUE,IF(OR($Q$4=TRUE,$Q$5=TRUE,$S$2=TRUE),VLOOKUP($G617,'KO Calc'!$H:$AW,39,FALSE),VLOOKUP($G617,'KO Calc'!$H623:$AW623,39,FALSE)),IF(AND($S$3=TRUE,$S$4=TRUE),IF(OR($Q$4=TRUE,$Q$5=TRUE,$S$2=TRUE),VLOOKUP($G617,'KO Calc'!$H:$AW,29,FALSE),VLOOKUP($G617,'KO Calc'!$H623:$AW623,29,FALSE)))))))))))))</f>
        <v>-</v>
      </c>
      <c r="K617" s="36" t="str">
        <f>IF(AND($Q$1=FALSE,$S$3=FALSE),"-",IF(AND($Q$1=TRUE,$S$3=TRUE),"-",IF(AND($Q$1=FALSE,$S$3=FALSE),"-",IF(AND($Q$1=TRUE,$S$1=TRUE,$S$4=FALSE)=TRUE,IF(OR($Q$4=TRUE,$Q$5=TRUE,$S$2=TRUE),VLOOKUP($G617,'KO Calc'!$H:$AW,15,FALSE),VLOOKUP($G617,'KO Calc'!$H623:$AW623,15,FALSE)),IF(AND($Q$1=TRUE,$S$4=FALSE),IF(OR($Q$4=TRUE,$Q$5=TRUE,$S$2=TRUE),VLOOKUP($G617,'KO Calc'!$H:$AW,5,FALSE),VLOOKUP($G617,'KO Calc'!$H623:$AW623,5,FALSE)),
IF(AND($Q$1=TRUE,$S$1=TRUE,$S$4=TRUE)=TRUE,IF(OR($Q$4=TRUE,$Q$5=TRUE,$S$2=TRUE),VLOOKUP($G617,'KO Calc'!$H:$AW,20,FALSE),VLOOKUP($G617,'KO Calc'!$H623:$AW623,20,FALSE)),IF(AND($Q$1=TRUE,$S$4=TRUE),IF(OR($Q$4=TRUE,$Q$5=TRUE,$S$2=TRUE),VLOOKUP($G617,'KO Calc'!$H:$AW,10,FALSE),VLOOKUP($G617,'KO Calc'!$H623:$AW623,10,FALSE)),
IF(AND($S$3=TRUE,$S$1=TRUE,$S$4=FALSE)=TRUE,IF(OR($Q$4=TRUE,$Q$5=TRUE,$S$2=TRUE),VLOOKUP($G617,'KO Calc'!$H:$AW,35,FALSE),VLOOKUP($G617,'KO Calc'!$H623:$AW623,35,FALSE)),IF(AND($S$3=TRUE,$S$4=FALSE),IF(OR($Q$4=TRUE,$Q$5=TRUE,$S$2=TRUE),VLOOKUP($G617,'KO Calc'!$H:$AW,25,FALSE),VLOOKUP($G617,'KO Calc'!$H623:$AW623,25,FALSE)),
IF(AND($S$3=TRUE,$S$1=TRUE,$S$4=TRUE)=TRUE,IF(OR($Q$4=TRUE,$Q$5=TRUE,$S$2=TRUE),VLOOKUP($G617,'KO Calc'!$H:$AW,40,FALSE),VLOOKUP($G617,'KO Calc'!$H623:$AW623,40,FALSE)),IF(AND($S$3=TRUE,$S$4=TRUE),IF(OR($Q$4=TRUE,$Q$5=TRUE,$S$2=TRUE),VLOOKUP($G617,'KO Calc'!$H:$AW,30,FALSE),VLOOKUP($G617,'KO Calc'!$H623:$AW623,30,FALSE)))))))))))))</f>
        <v>-</v>
      </c>
      <c r="L617" s="36" t="str">
        <f>IFERROR(IF(AND($Q$1=FALSE,$S$3=FALSE),"-",VLOOKUP($E617,'Status Thresholds'!$E:$AU,43,FALSE)),"-")</f>
        <v>-</v>
      </c>
      <c r="M617" s="36" t="str">
        <f>IFERROR(IF(AND($Q$1=FALSE,$S$3=FALSE),"-",VLOOKUP($E617,'Status Thresholds'!$E:$AU,41,FALSE)),"-")</f>
        <v>-</v>
      </c>
      <c r="N617" s="36" t="str">
        <f>IFERROR(IF(AND($Q$1=FALSE,$S$3=FALSE),"-",VLOOKUP($E617,'Status Thresholds'!$E:$AU,42,FALSE)),"-")</f>
        <v>-</v>
      </c>
    </row>
    <row r="618" spans="1:14" x14ac:dyDescent="0.25">
      <c r="B618" s="64" t="str">
        <f>VLOOKUP(C618,'Status Thresholds'!B:C,2,FALSE)</f>
        <v>MHGen</v>
      </c>
      <c r="C618" s="46" t="str">
        <f>IF(ISBLANK('KO Calc'!C614)=TRUE,"",'KO Calc'!C614)</f>
        <v>Rathalos (Silver)</v>
      </c>
      <c r="D618" s="78" t="s">
        <v>213</v>
      </c>
      <c r="E618" s="62" t="str">
        <f t="shared" si="17"/>
        <v>Rathalos (Silver)Pitfall Trap</v>
      </c>
      <c r="F618" t="s">
        <v>12</v>
      </c>
      <c r="G618" s="36" t="str">
        <f t="shared" si="18"/>
        <v>Rathalos (Silver)Crag 2</v>
      </c>
      <c r="H618" s="36" t="str">
        <f>IF(AND($Q$1=FALSE,$S$3=FALSE),"-",IF(AND($Q$1=TRUE,$S$3=TRUE),"-",IF(AND($Q$1=FALSE,$S$3=FALSE),"-",IF(AND($Q$1=TRUE,$S$1=TRUE,$S$4=FALSE)=TRUE,IF(OR($Q$4=TRUE,$Q$5=TRUE,$S$2=TRUE),VLOOKUP($G618,'KO Calc'!$H:$AW,12,FALSE),VLOOKUP($G618,'KO Calc'!$H624:$AW624,12,FALSE)),IF(AND($Q$1=TRUE,$S$4=FALSE),IF(OR($Q$4=TRUE,$Q$5=TRUE,$S$2=TRUE),VLOOKUP($G618,'KO Calc'!$H:$AW,2,FALSE),VLOOKUP($G618,'KO Calc'!$H624:$AW624,2,FALSE)),
IF(AND($Q$1=TRUE,$S$1=TRUE,$S$4=TRUE)=TRUE,IF(OR($Q$4=TRUE,$Q$5=TRUE,$S$2=TRUE),VLOOKUP($G618,'KO Calc'!$H:$AW,17,FALSE),VLOOKUP($G618,'KO Calc'!$H624:$AW624,17,FALSE)),IF(AND($Q$1=TRUE,$S$4=TRUE),IF(OR($Q$4=TRUE,$Q$5=TRUE,$S$2=TRUE),VLOOKUP($G618,'KO Calc'!$H:$AW,7,FALSE),VLOOKUP($G618,'KO Calc'!$H624:$AW624,7,FALSE)),
IF(AND($S$3=TRUE,$S$1=TRUE,$S$4=FALSE)=TRUE,IF(OR($Q$4=TRUE,$Q$5=TRUE,$S$2=TRUE),VLOOKUP($G618,'KO Calc'!$H:$AW,32,FALSE),VLOOKUP($G618,'KO Calc'!$H624:$AW624,32,FALSE)),IF(AND($S$3=TRUE,$S$4=FALSE),IF(OR($Q$4=TRUE,$Q$5=TRUE,$S$2=TRUE),VLOOKUP($G618,'KO Calc'!$H:$AW,22,FALSE),VLOOKUP($G618,'KO Calc'!$H624:$AW624,22,FALSE)),
IF(AND($S$3=TRUE,$S$1=TRUE,$S$4=TRUE)=TRUE,IF(OR($Q$4=TRUE,$Q$5=TRUE,$S$2=TRUE),VLOOKUP($G618,'KO Calc'!$H:$AW,37,FALSE),VLOOKUP($G618,'KO Calc'!$H624:$AW624,37,FALSE)),IF(AND($S$3=TRUE,$S$4=TRUE),IF(OR($Q$4=TRUE,$Q$5=TRUE,$S$2=TRUE),VLOOKUP($G618,'KO Calc'!$H:$AW,27,FALSE),VLOOKUP($G618,'KO Calc'!$H624:$AW624,27,FALSE)))))))))))))</f>
        <v>-</v>
      </c>
      <c r="I618" s="36" t="str">
        <f>IF(AND($Q$1=FALSE,$S$3=FALSE),"-",IF(AND($Q$1=TRUE,$S$3=TRUE),"-",IF(AND($Q$1=FALSE,$S$3=FALSE),"-",IF(AND($Q$1=TRUE,$S$1=TRUE,$S$4=FALSE)=TRUE,IF(OR($Q$4=TRUE,$Q$5=TRUE,$S$2=TRUE),VLOOKUP($G618,'KO Calc'!$H:$AW,13,FALSE),VLOOKUP($G618,'KO Calc'!$H624:$AW624,13,FALSE)),IF(AND($Q$1=TRUE,$S$4=FALSE),IF(OR($Q$4=TRUE,$Q$5=TRUE,$S$2=TRUE),VLOOKUP($G618,'KO Calc'!$H:$AW,3,FALSE),VLOOKUP($G618,'KO Calc'!$H624:$AW624,3,FALSE)),
IF(AND($Q$1=TRUE,$S$1=TRUE,$S$4=TRUE)=TRUE,IF(OR($Q$4=TRUE,$Q$5=TRUE,$S$2=TRUE),VLOOKUP($G618,'KO Calc'!$H:$AW,18,FALSE),VLOOKUP($G618,'KO Calc'!$H624:$AW624,18,FALSE)),IF(AND($Q$1=TRUE,$S$4=TRUE),IF(OR($Q$4=TRUE,$Q$5=TRUE,$S$2=TRUE),VLOOKUP($G618,'KO Calc'!$H:$AW,8,FALSE),VLOOKUP($G618,'KO Calc'!$H624:$AW624,8,FALSE)),
IF(AND($S$3=TRUE,$S$1=TRUE,$S$4=FALSE)=TRUE,IF(OR($Q$4=TRUE,$Q$5=TRUE,$S$2=TRUE),VLOOKUP($G618,'KO Calc'!$H:$AW,33,FALSE),VLOOKUP($G618,'KO Calc'!$H624:$AW624,33,FALSE)),IF(AND($S$3=TRUE,$S$4=FALSE),IF(OR($Q$4=TRUE,$Q$5=TRUE,$S$2=TRUE),VLOOKUP($G618,'KO Calc'!$H:$AW,23,FALSE),VLOOKUP($G618,'KO Calc'!$H624:$AW624,23,FALSE)),
IF(AND($S$3=TRUE,$S$1=TRUE,$S$4=TRUE)=TRUE,IF(OR($Q$4=TRUE,$Q$5=TRUE,$S$2=TRUE),VLOOKUP($G618,'KO Calc'!$H:$AW,38,FALSE),VLOOKUP($G618,'KO Calc'!$H624:$AW624,38,FALSE)),IF(AND($S$3=TRUE,$S$4=TRUE),IF(OR($Q$4=TRUE,$Q$5=TRUE,$S$2=TRUE),VLOOKUP($G618,'KO Calc'!$H:$AW,28,FALSE),VLOOKUP($G618,'KO Calc'!$H624:$AW624,28,FALSE)))))))))))))</f>
        <v>-</v>
      </c>
      <c r="J618" s="36" t="str">
        <f>IF(AND($Q$1=FALSE,$S$3=FALSE),"-",IF(AND($Q$1=TRUE,$S$3=TRUE),"-",IF(AND($Q$1=FALSE,$S$3=FALSE),"-",IF(AND($Q$1=TRUE,$S$1=TRUE,$S$4=FALSE)=TRUE,IF(OR($Q$4=TRUE,$Q$5=TRUE,$S$2=TRUE),VLOOKUP($G618,'KO Calc'!$H:$AW,FALSE),VLOOKUP($G618,'KO Calc'!$H624:$AW624,14,FALSE)),IF(AND($Q$1=TRUE,$S$4=FALSE),IF(OR($Q$4=TRUE,$Q$5=TRUE,$S$2=TRUE),VLOOKUP($G618,'KO Calc'!$H:$AW,4,FALSE),VLOOKUP($G618,'KO Calc'!$H624:$AW624,4,FALSE)),
IF(AND($Q$1=TRUE,$S$1=TRUE,$S$4=TRUE)=TRUE,IF(OR($Q$4=TRUE,$Q$5=TRUE,$S$2=TRUE),VLOOKUP($G618,'KO Calc'!$H:$AW,19,FALSE),VLOOKUP($G618,'KO Calc'!$H624:$AW624,19,FALSE)),IF(AND($Q$1=TRUE,$S$4=TRUE),IF(OR($Q$4=TRUE,$Q$5=TRUE,$S$2=TRUE),VLOOKUP($G618,'KO Calc'!$H:$AW,9,FALSE),VLOOKUP($G618,'KO Calc'!$H624:$AW624,9,FALSE)),
IF(AND($S$3=TRUE,$S$1=TRUE,$S$4=FALSE)=TRUE,IF(OR($Q$4=TRUE,$Q$5=TRUE,$S$2=TRUE),VLOOKUP($G618,'KO Calc'!$H:$AW,34,FALSE),VLOOKUP($G618,'KO Calc'!$H624:$AW624,34,FALSE)),IF(AND($S$3=TRUE,$S$4=FALSE),IF(OR($Q$4=TRUE,$Q$5=TRUE,$S$2=TRUE),VLOOKUP($G618,'KO Calc'!$H:$AW,24,FALSE),VLOOKUP($G618,'KO Calc'!$H624:$AW624,24,FALSE)),
IF(AND($S$3=TRUE,$S$1=TRUE,$S$4=TRUE)=TRUE,IF(OR($Q$4=TRUE,$Q$5=TRUE,$S$2=TRUE),VLOOKUP($G618,'KO Calc'!$H:$AW,39,FALSE),VLOOKUP($G618,'KO Calc'!$H624:$AW624,39,FALSE)),IF(AND($S$3=TRUE,$S$4=TRUE),IF(OR($Q$4=TRUE,$Q$5=TRUE,$S$2=TRUE),VLOOKUP($G618,'KO Calc'!$H:$AW,29,FALSE),VLOOKUP($G618,'KO Calc'!$H624:$AW624,29,FALSE)))))))))))))</f>
        <v>-</v>
      </c>
      <c r="K618" s="36" t="str">
        <f>IF(AND($Q$1=FALSE,$S$3=FALSE),"-",IF(AND($Q$1=TRUE,$S$3=TRUE),"-",IF(AND($Q$1=FALSE,$S$3=FALSE),"-",IF(AND($Q$1=TRUE,$S$1=TRUE,$S$4=FALSE)=TRUE,IF(OR($Q$4=TRUE,$Q$5=TRUE,$S$2=TRUE),VLOOKUP($G618,'KO Calc'!$H:$AW,15,FALSE),VLOOKUP($G618,'KO Calc'!$H624:$AW624,15,FALSE)),IF(AND($Q$1=TRUE,$S$4=FALSE),IF(OR($Q$4=TRUE,$Q$5=TRUE,$S$2=TRUE),VLOOKUP($G618,'KO Calc'!$H:$AW,5,FALSE),VLOOKUP($G618,'KO Calc'!$H624:$AW624,5,FALSE)),
IF(AND($Q$1=TRUE,$S$1=TRUE,$S$4=TRUE)=TRUE,IF(OR($Q$4=TRUE,$Q$5=TRUE,$S$2=TRUE),VLOOKUP($G618,'KO Calc'!$H:$AW,20,FALSE),VLOOKUP($G618,'KO Calc'!$H624:$AW624,20,FALSE)),IF(AND($Q$1=TRUE,$S$4=TRUE),IF(OR($Q$4=TRUE,$Q$5=TRUE,$S$2=TRUE),VLOOKUP($G618,'KO Calc'!$H:$AW,10,FALSE),VLOOKUP($G618,'KO Calc'!$H624:$AW624,10,FALSE)),
IF(AND($S$3=TRUE,$S$1=TRUE,$S$4=FALSE)=TRUE,IF(OR($Q$4=TRUE,$Q$5=TRUE,$S$2=TRUE),VLOOKUP($G618,'KO Calc'!$H:$AW,35,FALSE),VLOOKUP($G618,'KO Calc'!$H624:$AW624,35,FALSE)),IF(AND($S$3=TRUE,$S$4=FALSE),IF(OR($Q$4=TRUE,$Q$5=TRUE,$S$2=TRUE),VLOOKUP($G618,'KO Calc'!$H:$AW,25,FALSE),VLOOKUP($G618,'KO Calc'!$H624:$AW624,25,FALSE)),
IF(AND($S$3=TRUE,$S$1=TRUE,$S$4=TRUE)=TRUE,IF(OR($Q$4=TRUE,$Q$5=TRUE,$S$2=TRUE),VLOOKUP($G618,'KO Calc'!$H:$AW,40,FALSE),VLOOKUP($G618,'KO Calc'!$H624:$AW624,40,FALSE)),IF(AND($S$3=TRUE,$S$4=TRUE),IF(OR($Q$4=TRUE,$Q$5=TRUE,$S$2=TRUE),VLOOKUP($G618,'KO Calc'!$H:$AW,30,FALSE),VLOOKUP($G618,'KO Calc'!$H624:$AW624,30,FALSE)))))))))))))</f>
        <v>-</v>
      </c>
      <c r="L618" s="36" t="str">
        <f>IFERROR(IF(AND($Q$1=FALSE,$S$3=FALSE),"-",VLOOKUP($E618,'Status Thresholds'!$E:$AU,43,FALSE)),"-")</f>
        <v>-</v>
      </c>
      <c r="M618" s="36" t="str">
        <f>IFERROR(IF(AND($Q$1=FALSE,$S$3=FALSE),"-",VLOOKUP($E618,'Status Thresholds'!$E:$AU,41,FALSE)),"-")</f>
        <v>-</v>
      </c>
      <c r="N618" s="36" t="str">
        <f>IFERROR(IF(AND($Q$1=FALSE,$S$3=FALSE),"-",VLOOKUP($E618,'Status Thresholds'!$E:$AU,42,FALSE)),"-")</f>
        <v>-</v>
      </c>
    </row>
    <row r="619" spans="1:14" x14ac:dyDescent="0.25">
      <c r="B619" s="64" t="str">
        <f>VLOOKUP(C619,'Status Thresholds'!B:C,2,FALSE)</f>
        <v>MHGen</v>
      </c>
      <c r="C619" s="46" t="str">
        <f>IF(ISBLANK('KO Calc'!C615)=TRUE,"",'KO Calc'!C615)</f>
        <v>Rathalos (Silver)</v>
      </c>
      <c r="D619" s="78"/>
      <c r="E619" s="62" t="str">
        <f t="shared" si="17"/>
        <v>Rathalos (Silver)</v>
      </c>
      <c r="F619" t="s">
        <v>11</v>
      </c>
      <c r="G619" s="36" t="str">
        <f t="shared" si="18"/>
        <v>Rathalos (Silver)Crag 1</v>
      </c>
      <c r="H619" s="36" t="str">
        <f>IF(AND($Q$1=FALSE,$S$3=FALSE),"-",IF(AND($Q$1=TRUE,$S$3=TRUE),"-",IF(AND($Q$1=FALSE,$S$3=FALSE),"-",IF(AND($Q$1=TRUE,$S$1=TRUE,$S$4=FALSE)=TRUE,IF(OR($Q$4=TRUE,$Q$5=TRUE,$S$2=TRUE),VLOOKUP($G619,'KO Calc'!$H:$AW,12,FALSE),VLOOKUP($G619,'KO Calc'!$H625:$AW625,12,FALSE)),IF(AND($Q$1=TRUE,$S$4=FALSE),IF(OR($Q$4=TRUE,$Q$5=TRUE,$S$2=TRUE),VLOOKUP($G619,'KO Calc'!$H:$AW,2,FALSE),VLOOKUP($G619,'KO Calc'!$H625:$AW625,2,FALSE)),
IF(AND($Q$1=TRUE,$S$1=TRUE,$S$4=TRUE)=TRUE,IF(OR($Q$4=TRUE,$Q$5=TRUE,$S$2=TRUE),VLOOKUP($G619,'KO Calc'!$H:$AW,17,FALSE),VLOOKUP($G619,'KO Calc'!$H625:$AW625,17,FALSE)),IF(AND($Q$1=TRUE,$S$4=TRUE),IF(OR($Q$4=TRUE,$Q$5=TRUE,$S$2=TRUE),VLOOKUP($G619,'KO Calc'!$H:$AW,7,FALSE),VLOOKUP($G619,'KO Calc'!$H625:$AW625,7,FALSE)),
IF(AND($S$3=TRUE,$S$1=TRUE,$S$4=FALSE)=TRUE,IF(OR($Q$4=TRUE,$Q$5=TRUE,$S$2=TRUE),VLOOKUP($G619,'KO Calc'!$H:$AW,32,FALSE),VLOOKUP($G619,'KO Calc'!$H625:$AW625,32,FALSE)),IF(AND($S$3=TRUE,$S$4=FALSE),IF(OR($Q$4=TRUE,$Q$5=TRUE,$S$2=TRUE),VLOOKUP($G619,'KO Calc'!$H:$AW,22,FALSE),VLOOKUP($G619,'KO Calc'!$H625:$AW625,22,FALSE)),
IF(AND($S$3=TRUE,$S$1=TRUE,$S$4=TRUE)=TRUE,IF(OR($Q$4=TRUE,$Q$5=TRUE,$S$2=TRUE),VLOOKUP($G619,'KO Calc'!$H:$AW,37,FALSE),VLOOKUP($G619,'KO Calc'!$H625:$AW625,37,FALSE)),IF(AND($S$3=TRUE,$S$4=TRUE),IF(OR($Q$4=TRUE,$Q$5=TRUE,$S$2=TRUE),VLOOKUP($G619,'KO Calc'!$H:$AW,27,FALSE),VLOOKUP($G619,'KO Calc'!$H625:$AW625,27,FALSE)))))))))))))</f>
        <v>-</v>
      </c>
      <c r="I619" s="36" t="str">
        <f>IF(AND($Q$1=FALSE,$S$3=FALSE),"-",IF(AND($Q$1=TRUE,$S$3=TRUE),"-",IF(AND($Q$1=FALSE,$S$3=FALSE),"-",IF(AND($Q$1=TRUE,$S$1=TRUE,$S$4=FALSE)=TRUE,IF(OR($Q$4=TRUE,$Q$5=TRUE,$S$2=TRUE),VLOOKUP($G619,'KO Calc'!$H:$AW,13,FALSE),VLOOKUP($G619,'KO Calc'!$H625:$AW625,13,FALSE)),IF(AND($Q$1=TRUE,$S$4=FALSE),IF(OR($Q$4=TRUE,$Q$5=TRUE,$S$2=TRUE),VLOOKUP($G619,'KO Calc'!$H:$AW,3,FALSE),VLOOKUP($G619,'KO Calc'!$H625:$AW625,3,FALSE)),
IF(AND($Q$1=TRUE,$S$1=TRUE,$S$4=TRUE)=TRUE,IF(OR($Q$4=TRUE,$Q$5=TRUE,$S$2=TRUE),VLOOKUP($G619,'KO Calc'!$H:$AW,18,FALSE),VLOOKUP($G619,'KO Calc'!$H625:$AW625,18,FALSE)),IF(AND($Q$1=TRUE,$S$4=TRUE),IF(OR($Q$4=TRUE,$Q$5=TRUE,$S$2=TRUE),VLOOKUP($G619,'KO Calc'!$H:$AW,8,FALSE),VLOOKUP($G619,'KO Calc'!$H625:$AW625,8,FALSE)),
IF(AND($S$3=TRUE,$S$1=TRUE,$S$4=FALSE)=TRUE,IF(OR($Q$4=TRUE,$Q$5=TRUE,$S$2=TRUE),VLOOKUP($G619,'KO Calc'!$H:$AW,33,FALSE),VLOOKUP($G619,'KO Calc'!$H625:$AW625,33,FALSE)),IF(AND($S$3=TRUE,$S$4=FALSE),IF(OR($Q$4=TRUE,$Q$5=TRUE,$S$2=TRUE),VLOOKUP($G619,'KO Calc'!$H:$AW,23,FALSE),VLOOKUP($G619,'KO Calc'!$H625:$AW625,23,FALSE)),
IF(AND($S$3=TRUE,$S$1=TRUE,$S$4=TRUE)=TRUE,IF(OR($Q$4=TRUE,$Q$5=TRUE,$S$2=TRUE),VLOOKUP($G619,'KO Calc'!$H:$AW,38,FALSE),VLOOKUP($G619,'KO Calc'!$H625:$AW625,38,FALSE)),IF(AND($S$3=TRUE,$S$4=TRUE),IF(OR($Q$4=TRUE,$Q$5=TRUE,$S$2=TRUE),VLOOKUP($G619,'KO Calc'!$H:$AW,28,FALSE),VLOOKUP($G619,'KO Calc'!$H625:$AW625,28,FALSE)))))))))))))</f>
        <v>-</v>
      </c>
      <c r="J619" s="36" t="str">
        <f>IF(AND($Q$1=FALSE,$S$3=FALSE),"-",IF(AND($Q$1=TRUE,$S$3=TRUE),"-",IF(AND($Q$1=FALSE,$S$3=FALSE),"-",IF(AND($Q$1=TRUE,$S$1=TRUE,$S$4=FALSE)=TRUE,IF(OR($Q$4=TRUE,$Q$5=TRUE,$S$2=TRUE),VLOOKUP($G619,'KO Calc'!$H:$AW,FALSE),VLOOKUP($G619,'KO Calc'!$H625:$AW625,14,FALSE)),IF(AND($Q$1=TRUE,$S$4=FALSE),IF(OR($Q$4=TRUE,$Q$5=TRUE,$S$2=TRUE),VLOOKUP($G619,'KO Calc'!$H:$AW,4,FALSE),VLOOKUP($G619,'KO Calc'!$H625:$AW625,4,FALSE)),
IF(AND($Q$1=TRUE,$S$1=TRUE,$S$4=TRUE)=TRUE,IF(OR($Q$4=TRUE,$Q$5=TRUE,$S$2=TRUE),VLOOKUP($G619,'KO Calc'!$H:$AW,19,FALSE),VLOOKUP($G619,'KO Calc'!$H625:$AW625,19,FALSE)),IF(AND($Q$1=TRUE,$S$4=TRUE),IF(OR($Q$4=TRUE,$Q$5=TRUE,$S$2=TRUE),VLOOKUP($G619,'KO Calc'!$H:$AW,9,FALSE),VLOOKUP($G619,'KO Calc'!$H625:$AW625,9,FALSE)),
IF(AND($S$3=TRUE,$S$1=TRUE,$S$4=FALSE)=TRUE,IF(OR($Q$4=TRUE,$Q$5=TRUE,$S$2=TRUE),VLOOKUP($G619,'KO Calc'!$H:$AW,34,FALSE),VLOOKUP($G619,'KO Calc'!$H625:$AW625,34,FALSE)),IF(AND($S$3=TRUE,$S$4=FALSE),IF(OR($Q$4=TRUE,$Q$5=TRUE,$S$2=TRUE),VLOOKUP($G619,'KO Calc'!$H:$AW,24,FALSE),VLOOKUP($G619,'KO Calc'!$H625:$AW625,24,FALSE)),
IF(AND($S$3=TRUE,$S$1=TRUE,$S$4=TRUE)=TRUE,IF(OR($Q$4=TRUE,$Q$5=TRUE,$S$2=TRUE),VLOOKUP($G619,'KO Calc'!$H:$AW,39,FALSE),VLOOKUP($G619,'KO Calc'!$H625:$AW625,39,FALSE)),IF(AND($S$3=TRUE,$S$4=TRUE),IF(OR($Q$4=TRUE,$Q$5=TRUE,$S$2=TRUE),VLOOKUP($G619,'KO Calc'!$H:$AW,29,FALSE),VLOOKUP($G619,'KO Calc'!$H625:$AW625,29,FALSE)))))))))))))</f>
        <v>-</v>
      </c>
      <c r="K619" s="36" t="str">
        <f>IF(AND($Q$1=FALSE,$S$3=FALSE),"-",IF(AND($Q$1=TRUE,$S$3=TRUE),"-",IF(AND($Q$1=FALSE,$S$3=FALSE),"-",IF(AND($Q$1=TRUE,$S$1=TRUE,$S$4=FALSE)=TRUE,IF(OR($Q$4=TRUE,$Q$5=TRUE,$S$2=TRUE),VLOOKUP($G619,'KO Calc'!$H:$AW,15,FALSE),VLOOKUP($G619,'KO Calc'!$H625:$AW625,15,FALSE)),IF(AND($Q$1=TRUE,$S$4=FALSE),IF(OR($Q$4=TRUE,$Q$5=TRUE,$S$2=TRUE),VLOOKUP($G619,'KO Calc'!$H:$AW,5,FALSE),VLOOKUP($G619,'KO Calc'!$H625:$AW625,5,FALSE)),
IF(AND($Q$1=TRUE,$S$1=TRUE,$S$4=TRUE)=TRUE,IF(OR($Q$4=TRUE,$Q$5=TRUE,$S$2=TRUE),VLOOKUP($G619,'KO Calc'!$H:$AW,20,FALSE),VLOOKUP($G619,'KO Calc'!$H625:$AW625,20,FALSE)),IF(AND($Q$1=TRUE,$S$4=TRUE),IF(OR($Q$4=TRUE,$Q$5=TRUE,$S$2=TRUE),VLOOKUP($G619,'KO Calc'!$H:$AW,10,FALSE),VLOOKUP($G619,'KO Calc'!$H625:$AW625,10,FALSE)),
IF(AND($S$3=TRUE,$S$1=TRUE,$S$4=FALSE)=TRUE,IF(OR($Q$4=TRUE,$Q$5=TRUE,$S$2=TRUE),VLOOKUP($G619,'KO Calc'!$H:$AW,35,FALSE),VLOOKUP($G619,'KO Calc'!$H625:$AW625,35,FALSE)),IF(AND($S$3=TRUE,$S$4=FALSE),IF(OR($Q$4=TRUE,$Q$5=TRUE,$S$2=TRUE),VLOOKUP($G619,'KO Calc'!$H:$AW,25,FALSE),VLOOKUP($G619,'KO Calc'!$H625:$AW625,25,FALSE)),
IF(AND($S$3=TRUE,$S$1=TRUE,$S$4=TRUE)=TRUE,IF(OR($Q$4=TRUE,$Q$5=TRUE,$S$2=TRUE),VLOOKUP($G619,'KO Calc'!$H:$AW,40,FALSE),VLOOKUP($G619,'KO Calc'!$H625:$AW625,40,FALSE)),IF(AND($S$3=TRUE,$S$4=TRUE),IF(OR($Q$4=TRUE,$Q$5=TRUE,$S$2=TRUE),VLOOKUP($G619,'KO Calc'!$H:$AW,30,FALSE),VLOOKUP($G619,'KO Calc'!$H625:$AW625,30,FALSE)))))))))))))</f>
        <v>-</v>
      </c>
      <c r="L619" s="36" t="str">
        <f>IFERROR(VLOOKUP($E619,'Status Thresholds'!$E:$AS,41,FALSE),"-")</f>
        <v>-</v>
      </c>
    </row>
    <row r="620" spans="1:14" x14ac:dyDescent="0.25">
      <c r="B620" s="64" t="str">
        <f>VLOOKUP(C620,'Status Thresholds'!B:C,2,FALSE)</f>
        <v>MHGen</v>
      </c>
      <c r="C620" s="46" t="str">
        <f>IF(ISBLANK('KO Calc'!C616)=TRUE,"",'KO Calc'!C616)</f>
        <v>Rathalos (Silver)</v>
      </c>
      <c r="D620" s="78"/>
      <c r="E620" s="62"/>
      <c r="G620" s="36"/>
      <c r="L620" s="36" t="str">
        <f>IFERROR(VLOOKUP($E620,'Status Thresholds'!$E:$AS,41,FALSE),"-")</f>
        <v>-</v>
      </c>
    </row>
    <row r="621" spans="1:14" s="36" customFormat="1" x14ac:dyDescent="0.25">
      <c r="B621" s="64" t="str">
        <f>VLOOKUP(C621,'Status Thresholds'!B:C,2,FALSE)</f>
        <v>MHGen</v>
      </c>
      <c r="C621" s="46" t="str">
        <f>IF(ISBLANK('KO Calc'!C617)=TRUE,"",'KO Calc'!C617)</f>
        <v>Rathian</v>
      </c>
      <c r="D621" s="65" t="s">
        <v>0</v>
      </c>
      <c r="E621" s="62" t="str">
        <f t="shared" si="17"/>
        <v>RathianPara</v>
      </c>
      <c r="F621" s="36" t="s">
        <v>2</v>
      </c>
      <c r="G621" s="36" t="str">
        <f t="shared" si="18"/>
        <v>RathianPara lvl 2</v>
      </c>
      <c r="H621" s="36" t="str">
        <f>IFERROR(ROUNDUP(IF(AND($Q$1=FALSE,$S$3=FALSE),"-",IF(AND($Q$1=TRUE,$S$3=TRUE),"-",IF(AND($Q$1=TRUE,$S$1=TRUE,$S$4=FALSE),VLOOKUP($E621,'Status Thresholds'!$E:$AS,12,FALSE),IF(AND($Q$1=TRUE,$S$4=FALSE),VLOOKUP($E621,'Status Thresholds'!$E:$AS,2,FALSE), IF(AND($Q$1=TRUE,$S$1=TRUE,$S$4=TRUE),VLOOKUP($E621,'Status Thresholds'!$E:$AS,17,FALSE),IF(AND($Q$1=TRUE,$S$4=TRUE),VLOOKUP($E621,'Status Thresholds'!$E:$AS,7,FALSE),IF(AND($S$3=TRUE,$S$1=TRUE,$S$4=FALSE),VLOOKUP($E621,'Status Thresholds'!$E:$AS,32,FALSE),IF(AND($S$3=TRUE,$S$4=FALSE),VLOOKUP($E621,'Status Thresholds'!$E:$AS,22,FALSE),IF(AND($S$3=TRUE,$S$1=TRUE,$S$4=TRUE),VLOOKUP($E621,'Status Thresholds'!$E:$AS,37,FALSE),IF(AND($S$3=TRUE,$S$4=TRUE),VLOOKUP($E621,'Status Thresholds'!$E:$AS,27,FALSE),""))))))))/IF(OR($Q$3=TRUE,AND($Q$2=TRUE,$Q$7=TRUE),AND($Q$3=TRUE,$Q$7=TRUE))=TRUE,'Shots and Status'!$F$5,IF((OR($Q$2,$Q$7)=TRUE),'Shots and Status'!$D$5,'Shots and Status'!$C$5)))),0),"-")</f>
        <v>-</v>
      </c>
      <c r="I621" s="36" t="str">
        <f>IFERROR(ROUNDUP(IF(AND($Q$1=FALSE,$S$3=FALSE),"-",IF(AND($Q$1=TRUE,$S$3=TRUE),"-",IF(AND($Q$1=TRUE,$S$1=TRUE,$S$4=FALSE),VLOOKUP($E621,'Status Thresholds'!$E:$AS,13,FALSE),IF(AND($Q$1=TRUE,$S$4=FALSE),VLOOKUP($E621,'Status Thresholds'!$E:$AS,3,FALSE), IF(AND($Q$1=TRUE,$S$1=TRUE,$S$4=TRUE),VLOOKUP($E621,'Status Thresholds'!$E:$AS,18,FALSE),IF(AND($Q$1=TRUE,$S$4=TRUE),VLOOKUP($E621,'Status Thresholds'!$E:$AS,8,FALSE),IF(AND($S$3=TRUE,$S$1=TRUE,$S$4=FALSE),VLOOKUP($E621,'Status Thresholds'!$E:$AS,33,FALSE),IF(AND($S$3=TRUE,$S$4=FALSE),VLOOKUP($E621,'Status Thresholds'!$E:$AS,23,FALSE),IF(AND($S$3=TRUE,$S$1=TRUE,$S$4=TRUE),VLOOKUP($E621,'Status Thresholds'!$E:$AS,38,FALSE),IF(AND($S$3=TRUE,$S$4=TRUE),VLOOKUP($E621,'Status Thresholds'!$E:$AS,28,FALSE),""))))))))/IF(OR($Q$3=TRUE,AND($Q$2=TRUE,$Q$7=TRUE),AND($Q$3=TRUE,$Q$7=TRUE))=TRUE,'Shots and Status'!$F$5,IF((OR($Q$2,$Q$7)=TRUE),'Shots and Status'!$D$5,'Shots and Status'!$C$5)))),0),"-")</f>
        <v>-</v>
      </c>
      <c r="J621" s="36" t="str">
        <f>IFERROR(ROUNDUP(IF(AND($Q$1=FALSE,$S$3=FALSE),"-",IF(AND($Q$1=TRUE,$S$3=TRUE),"-",IF(AND($Q$1=TRUE,$S$1=TRUE,$S$4=FALSE),VLOOKUP($E621,'Status Thresholds'!$E:$AS,14,FALSE),IF(AND($Q$1=TRUE,$S$4=FALSE),VLOOKUP($E621,'Status Thresholds'!$E:$AS,4,FALSE), IF(AND($Q$1=TRUE,$S$1=TRUE,$S$4=TRUE),VLOOKUP($E621,'Status Thresholds'!$E:$AS,19,FALSE),IF(AND($Q$1=TRUE,$S$4=TRUE),VLOOKUP($E621,'Status Thresholds'!$E:$AS,9,FALSE),IF(AND($S$3=TRUE,$S$1=TRUE,$S$4=FALSE),VLOOKUP($E621,'Status Thresholds'!$E:$AS,34,FALSE),IF(AND($S$3=TRUE,$S$4=FALSE),VLOOKUP($E621,'Status Thresholds'!$E:$AS,24,FALSE),IF(AND($S$3=TRUE,$S$1=TRUE,$S$4=TRUE),VLOOKUP($E621,'Status Thresholds'!$E:$AS,39,FALSE),IF(AND($S$3=TRUE,$S$4=TRUE),VLOOKUP($E621,'Status Thresholds'!$E:$AS,29,FALSE),""))))))))/IF(OR($Q$3=TRUE,AND($Q$2=TRUE,$Q$7=TRUE),AND($Q$3=TRUE,$Q$7=TRUE))=TRUE,'Shots and Status'!$F$5,IF((OR($Q$2,$Q$7)=TRUE),'Shots and Status'!$D$5,'Shots and Status'!$C$5)))),0),"-")</f>
        <v>-</v>
      </c>
      <c r="K621" s="36" t="str">
        <f>IFERROR(ROUNDUP(IF(AND($Q$1=FALSE,$S$3=FALSE),"-",IF(AND($Q$1=TRUE,$S$3=TRUE),"-",IF(AND($Q$1=TRUE,$S$1=TRUE,$S$4=FALSE),VLOOKUP($E621,'Status Thresholds'!$E:$AS,15,FALSE),IF(AND($Q$1=TRUE,$S$4=FALSE),VLOOKUP($E621,'Status Thresholds'!$E:$AS,5,FALSE), IF(AND($Q$1=TRUE,$S$1=TRUE,$S$4=TRUE),VLOOKUP($E621,'Status Thresholds'!$E:$AS,20,FALSE),IF(AND($Q$1=TRUE,$S$4=TRUE),VLOOKUP($E621,'Status Thresholds'!$E:$AS,10,FALSE),IF(AND($S$3=TRUE,$S$1=TRUE,$S$4=FALSE),VLOOKUP($E621,'Status Thresholds'!$E:$AS,35,FALSE),IF(AND($S$3=TRUE,$S$4=FALSE),VLOOKUP($E621,'Status Thresholds'!$E:$AS,25,FALSE),IF(AND($S$3=TRUE,$S$1=TRUE,$S$4=TRUE),VLOOKUP($E621,'Status Thresholds'!$E:$AS,40,FALSE),IF(AND($S$3=TRUE,$S$4=TRUE),VLOOKUP($E621,'Status Thresholds'!$E:$AS,30,FALSE),""))))))))/IF(OR($Q$3=TRUE,AND($Q$2=TRUE,$Q$7=TRUE),AND($Q$3=TRUE,$Q$7=TRUE))=TRUE,'Shots and Status'!$F$5,IF((OR($Q$2,$Q$7)=TRUE),'Shots and Status'!$D$5,'Shots and Status'!$C$5)))),0),"-")</f>
        <v>-</v>
      </c>
      <c r="L621" s="36" t="str">
        <f>IFERROR(IF(AND($Q$1=FALSE,$S$3=FALSE),"-",VLOOKUP($E621,'Status Thresholds'!$E:$AU,41,FALSE)),"-")</f>
        <v>-</v>
      </c>
      <c r="M621" s="36" t="str">
        <f>IFERROR(IF(AND($Q$1=FALSE,$S$3=FALSE),"-",VLOOKUP($E621,'Status Thresholds'!$E:$AU,42,FALSE)),"-")</f>
        <v>-</v>
      </c>
      <c r="N621" s="36" t="str">
        <f>IFERROR(IF(AND($Q$1=FALSE,$S$3=FALSE),"-",VLOOKUP($E621,'Status Thresholds'!$E:$AU,43,FALSE)),"-")</f>
        <v>-</v>
      </c>
    </row>
    <row r="622" spans="1:14" s="59" customFormat="1" x14ac:dyDescent="0.25">
      <c r="A622" s="46"/>
      <c r="B622" s="64" t="str">
        <f>VLOOKUP(C622,'Status Thresholds'!B:C,2,FALSE)</f>
        <v>MHGen</v>
      </c>
      <c r="C622" s="46" t="str">
        <f>IF(ISBLANK('KO Calc'!C618)=TRUE,"",'KO Calc'!C618)</f>
        <v>Rathian</v>
      </c>
      <c r="D622" s="60" t="s">
        <v>32</v>
      </c>
      <c r="E622" s="62" t="str">
        <f t="shared" si="17"/>
        <v>RathianSleep</v>
      </c>
      <c r="F622" s="59" t="s">
        <v>5</v>
      </c>
      <c r="G622" s="36" t="str">
        <f t="shared" si="18"/>
        <v>RathianSleep lvl 2</v>
      </c>
      <c r="H622" s="36" t="str">
        <f>IFERROR(ROUNDUP(IF(AND($Q$1=FALSE,$S$3=FALSE),"-",IF(AND($Q$1=TRUE,$S$3=TRUE),"-",IF(AND($Q$1=TRUE,$S$1=TRUE,$S$4=FALSE),VLOOKUP($E622,'Status Thresholds'!$E:$AS,12,FALSE),IF(AND($Q$1=TRUE,$S$4=FALSE),VLOOKUP($E622,'Status Thresholds'!$E:$AS,2,FALSE), IF(AND($Q$1=TRUE,$S$1=TRUE,$S$4=TRUE),VLOOKUP($E622,'Status Thresholds'!$E:$AS,17,FALSE),IF(AND($Q$1=TRUE,$S$4=TRUE),VLOOKUP($E622,'Status Thresholds'!$E:$AS,7,FALSE),IF(AND($S$3=TRUE,$S$1=TRUE,$S$4=FALSE),VLOOKUP($E622,'Status Thresholds'!$E:$AS,32,FALSE),IF(AND($S$3=TRUE,$S$4=FALSE),VLOOKUP($E622,'Status Thresholds'!$E:$AS,22,FALSE),IF(AND($S$3=TRUE,$S$1=TRUE,$S$4=TRUE),VLOOKUP($E622,'Status Thresholds'!$E:$AS,37,FALSE),IF(AND($S$3=TRUE,$S$4=TRUE),VLOOKUP($E622,'Status Thresholds'!$E:$AS,27,FALSE),""))))))))/IF(OR($Q$3=TRUE,AND($Q$2=TRUE,$Q$7=TRUE),AND($Q$3=TRUE,$Q$7=TRUE))=TRUE,'Shots and Status'!$F$5,IF((OR($Q$2,$Q$7)=TRUE),'Shots and Status'!$D$5,'Shots and Status'!$C$5)))),0),"-")</f>
        <v>-</v>
      </c>
      <c r="I622" s="36" t="str">
        <f>IFERROR(ROUNDUP(IF(AND($Q$1=FALSE,$S$3=FALSE),"-",IF(AND($Q$1=TRUE,$S$3=TRUE),"-",IF(AND($Q$1=TRUE,$S$1=TRUE,$S$4=FALSE),VLOOKUP($E622,'Status Thresholds'!$E:$AS,13,FALSE),IF(AND($Q$1=TRUE,$S$4=FALSE),VLOOKUP($E622,'Status Thresholds'!$E:$AS,3,FALSE), IF(AND($Q$1=TRUE,$S$1=TRUE,$S$4=TRUE),VLOOKUP($E622,'Status Thresholds'!$E:$AS,18,FALSE),IF(AND($Q$1=TRUE,$S$4=TRUE),VLOOKUP($E622,'Status Thresholds'!$E:$AS,8,FALSE),IF(AND($S$3=TRUE,$S$1=TRUE,$S$4=FALSE),VLOOKUP($E622,'Status Thresholds'!$E:$AS,33,FALSE),IF(AND($S$3=TRUE,$S$4=FALSE),VLOOKUP($E622,'Status Thresholds'!$E:$AS,23,FALSE),IF(AND($S$3=TRUE,$S$1=TRUE,$S$4=TRUE),VLOOKUP($E622,'Status Thresholds'!$E:$AS,38,FALSE),IF(AND($S$3=TRUE,$S$4=TRUE),VLOOKUP($E622,'Status Thresholds'!$E:$AS,28,FALSE),""))))))))/IF(OR($Q$3=TRUE,AND($Q$2=TRUE,$Q$7=TRUE),AND($Q$3=TRUE,$Q$7=TRUE))=TRUE,'Shots and Status'!$F$5,IF((OR($Q$2,$Q$7)=TRUE),'Shots and Status'!$D$5,'Shots and Status'!$C$5)))),0),"-")</f>
        <v>-</v>
      </c>
      <c r="J622" s="36" t="str">
        <f>IFERROR(ROUNDUP(IF(AND($Q$1=FALSE,$S$3=FALSE),"-",IF(AND($Q$1=TRUE,$S$3=TRUE),"-",IF(AND($Q$1=TRUE,$S$1=TRUE,$S$4=FALSE),VLOOKUP($E622,'Status Thresholds'!$E:$AS,14,FALSE),IF(AND($Q$1=TRUE,$S$4=FALSE),VLOOKUP($E622,'Status Thresholds'!$E:$AS,4,FALSE), IF(AND($Q$1=TRUE,$S$1=TRUE,$S$4=TRUE),VLOOKUP($E622,'Status Thresholds'!$E:$AS,19,FALSE),IF(AND($Q$1=TRUE,$S$4=TRUE),VLOOKUP($E622,'Status Thresholds'!$E:$AS,9,FALSE),IF(AND($S$3=TRUE,$S$1=TRUE,$S$4=FALSE),VLOOKUP($E622,'Status Thresholds'!$E:$AS,34,FALSE),IF(AND($S$3=TRUE,$S$4=FALSE),VLOOKUP($E622,'Status Thresholds'!$E:$AS,24,FALSE),IF(AND($S$3=TRUE,$S$1=TRUE,$S$4=TRUE),VLOOKUP($E622,'Status Thresholds'!$E:$AS,39,FALSE),IF(AND($S$3=TRUE,$S$4=TRUE),VLOOKUP($E622,'Status Thresholds'!$E:$AS,29,FALSE),""))))))))/IF(OR($Q$3=TRUE,AND($Q$2=TRUE,$Q$7=TRUE),AND($Q$3=TRUE,$Q$7=TRUE))=TRUE,'Shots and Status'!$F$5,IF((OR($Q$2,$Q$7)=TRUE),'Shots and Status'!$D$5,'Shots and Status'!$C$5)))),0),"-")</f>
        <v>-</v>
      </c>
      <c r="K622" s="36" t="str">
        <f>IFERROR(ROUNDUP(IF(AND($Q$1=FALSE,$S$3=FALSE),"-",IF(AND($Q$1=TRUE,$S$3=TRUE),"-",IF(AND($Q$1=TRUE,$S$1=TRUE,$S$4=FALSE),VLOOKUP($E622,'Status Thresholds'!$E:$AS,15,FALSE),IF(AND($Q$1=TRUE,$S$4=FALSE),VLOOKUP($E622,'Status Thresholds'!$E:$AS,5,FALSE), IF(AND($Q$1=TRUE,$S$1=TRUE,$S$4=TRUE),VLOOKUP($E622,'Status Thresholds'!$E:$AS,20,FALSE),IF(AND($Q$1=TRUE,$S$4=TRUE),VLOOKUP($E622,'Status Thresholds'!$E:$AS,10,FALSE),IF(AND($S$3=TRUE,$S$1=TRUE,$S$4=FALSE),VLOOKUP($E622,'Status Thresholds'!$E:$AS,35,FALSE),IF(AND($S$3=TRUE,$S$4=FALSE),VLOOKUP($E622,'Status Thresholds'!$E:$AS,25,FALSE),IF(AND($S$3=TRUE,$S$1=TRUE,$S$4=TRUE),VLOOKUP($E622,'Status Thresholds'!$E:$AS,40,FALSE),IF(AND($S$3=TRUE,$S$4=TRUE),VLOOKUP($E622,'Status Thresholds'!$E:$AS,30,FALSE),""))))))))/IF(OR($Q$3=TRUE,AND($Q$2=TRUE,$Q$7=TRUE),AND($Q$3=TRUE,$Q$7=TRUE))=TRUE,'Shots and Status'!$F$5,IF((OR($Q$2,$Q$7)=TRUE),'Shots and Status'!$D$5,'Shots and Status'!$C$5)))),0),"-")</f>
        <v>-</v>
      </c>
      <c r="L622" s="36" t="str">
        <f>IFERROR(IF(AND($Q$1=FALSE,$S$3=FALSE),"-",VLOOKUP($E622,'Status Thresholds'!$E:$AU,41,FALSE)),"-")</f>
        <v>-</v>
      </c>
      <c r="M622" s="36" t="str">
        <f>IFERROR(IF(AND($Q$1=FALSE,$S$3=FALSE),"-",VLOOKUP($E622,'Status Thresholds'!$E:$AU,42,FALSE)),"-")</f>
        <v>-</v>
      </c>
      <c r="N622" s="36" t="str">
        <f>IFERROR(IF(AND($Q$1=FALSE,$S$3=FALSE),"-",VLOOKUP($E622,'Status Thresholds'!$E:$AU,43,FALSE)),"-")</f>
        <v>-</v>
      </c>
    </row>
    <row r="623" spans="1:14" s="59" customFormat="1" x14ac:dyDescent="0.25">
      <c r="A623" s="46"/>
      <c r="B623" s="64" t="str">
        <f>VLOOKUP(C623,'Status Thresholds'!B:C,2,FALSE)</f>
        <v>MHGen</v>
      </c>
      <c r="C623" s="46" t="str">
        <f>IF(ISBLANK('KO Calc'!C619)=TRUE,"",'KO Calc'!C619)</f>
        <v>Rathian</v>
      </c>
      <c r="D623" s="58" t="s">
        <v>33</v>
      </c>
      <c r="E623" s="62" t="str">
        <f t="shared" si="17"/>
        <v>RathianPoison</v>
      </c>
      <c r="F623" s="59" t="s">
        <v>6</v>
      </c>
      <c r="G623" s="36" t="str">
        <f t="shared" si="18"/>
        <v>RathianPoison lvl 2</v>
      </c>
      <c r="H623" s="36" t="str">
        <f>IFERROR(ROUNDUP(IF(AND($Q$1=FALSE,$S$3=FALSE),"-",IF(AND($Q$1=TRUE,$S$3=TRUE),"-",IF(AND($Q$1=TRUE,$S$1=TRUE,$S$4=FALSE),VLOOKUP($E623,'Status Thresholds'!$E:$AS,12,FALSE),IF(AND($Q$1=TRUE,$S$4=FALSE),VLOOKUP($E623,'Status Thresholds'!$E:$AS,2,FALSE), IF(AND($Q$1=TRUE,$S$1=TRUE,$S$4=TRUE),VLOOKUP($E623,'Status Thresholds'!$E:$AS,17,FALSE),IF(AND($Q$1=TRUE,$S$4=TRUE),VLOOKUP($E623,'Status Thresholds'!$E:$AS,7,FALSE),IF(AND($S$3=TRUE,$S$1=TRUE,$S$4=FALSE),VLOOKUP($E623,'Status Thresholds'!$E:$AS,32,FALSE),IF(AND($S$3=TRUE,$S$4=FALSE),VLOOKUP($E623,'Status Thresholds'!$E:$AS,22,FALSE),IF(AND($S$3=TRUE,$S$1=TRUE,$S$4=TRUE),VLOOKUP($E623,'Status Thresholds'!$E:$AS,37,FALSE),IF(AND($S$3=TRUE,$S$4=TRUE),VLOOKUP($E623,'Status Thresholds'!$E:$AS,27,FALSE),""))))))))/IF(OR($Q$3=TRUE,AND($Q$2=TRUE,$Q$7=TRUE),AND($Q$3=TRUE,$Q$7=TRUE))=TRUE,'Shots and Status'!$F$5,IF((OR($Q$2,$Q$7)=TRUE),'Shots and Status'!$D$5,'Shots and Status'!$C$5)))),0),"-")</f>
        <v>-</v>
      </c>
      <c r="I623" s="36" t="str">
        <f>IFERROR(ROUNDUP(IF(AND($Q$1=FALSE,$S$3=FALSE),"-",IF(AND($Q$1=TRUE,$S$3=TRUE),"-",IF(AND($Q$1=TRUE,$S$1=TRUE,$S$4=FALSE),VLOOKUP($E623,'Status Thresholds'!$E:$AS,13,FALSE),IF(AND($Q$1=TRUE,$S$4=FALSE),VLOOKUP($E623,'Status Thresholds'!$E:$AS,3,FALSE), IF(AND($Q$1=TRUE,$S$1=TRUE,$S$4=TRUE),VLOOKUP($E623,'Status Thresholds'!$E:$AS,18,FALSE),IF(AND($Q$1=TRUE,$S$4=TRUE),VLOOKUP($E623,'Status Thresholds'!$E:$AS,8,FALSE),IF(AND($S$3=TRUE,$S$1=TRUE,$S$4=FALSE),VLOOKUP($E623,'Status Thresholds'!$E:$AS,33,FALSE),IF(AND($S$3=TRUE,$S$4=FALSE),VLOOKUP($E623,'Status Thresholds'!$E:$AS,23,FALSE),IF(AND($S$3=TRUE,$S$1=TRUE,$S$4=TRUE),VLOOKUP($E623,'Status Thresholds'!$E:$AS,38,FALSE),IF(AND($S$3=TRUE,$S$4=TRUE),VLOOKUP($E623,'Status Thresholds'!$E:$AS,28,FALSE),""))))))))/IF(OR($Q$3=TRUE,AND($Q$2=TRUE,$Q$7=TRUE),AND($Q$3=TRUE,$Q$7=TRUE))=TRUE,'Shots and Status'!$F$5,IF((OR($Q$2,$Q$7)=TRUE),'Shots and Status'!$D$5,'Shots and Status'!$C$5)))),0),"-")</f>
        <v>-</v>
      </c>
      <c r="J623" s="36" t="str">
        <f>IFERROR(ROUNDUP(IF(AND($Q$1=FALSE,$S$3=FALSE),"-",IF(AND($Q$1=TRUE,$S$3=TRUE),"-",IF(AND($Q$1=TRUE,$S$1=TRUE,$S$4=FALSE),VLOOKUP($E623,'Status Thresholds'!$E:$AS,14,FALSE),IF(AND($Q$1=TRUE,$S$4=FALSE),VLOOKUP($E623,'Status Thresholds'!$E:$AS,4,FALSE), IF(AND($Q$1=TRUE,$S$1=TRUE,$S$4=TRUE),VLOOKUP($E623,'Status Thresholds'!$E:$AS,19,FALSE),IF(AND($Q$1=TRUE,$S$4=TRUE),VLOOKUP($E623,'Status Thresholds'!$E:$AS,9,FALSE),IF(AND($S$3=TRUE,$S$1=TRUE,$S$4=FALSE),VLOOKUP($E623,'Status Thresholds'!$E:$AS,34,FALSE),IF(AND($S$3=TRUE,$S$4=FALSE),VLOOKUP($E623,'Status Thresholds'!$E:$AS,24,FALSE),IF(AND($S$3=TRUE,$S$1=TRUE,$S$4=TRUE),VLOOKUP($E623,'Status Thresholds'!$E:$AS,39,FALSE),IF(AND($S$3=TRUE,$S$4=TRUE),VLOOKUP($E623,'Status Thresholds'!$E:$AS,29,FALSE),""))))))))/IF(OR($Q$3=TRUE,AND($Q$2=TRUE,$Q$7=TRUE),AND($Q$3=TRUE,$Q$7=TRUE))=TRUE,'Shots and Status'!$F$5,IF((OR($Q$2,$Q$7)=TRUE),'Shots and Status'!$D$5,'Shots and Status'!$C$5)))),0),"-")</f>
        <v>-</v>
      </c>
      <c r="K623" s="36" t="str">
        <f>IFERROR(ROUNDUP(IF(AND($Q$1=FALSE,$S$3=FALSE),"-",IF(AND($Q$1=TRUE,$S$3=TRUE),"-",IF(AND($Q$1=TRUE,$S$1=TRUE,$S$4=FALSE),VLOOKUP($E623,'Status Thresholds'!$E:$AS,15,FALSE),IF(AND($Q$1=TRUE,$S$4=FALSE),VLOOKUP($E623,'Status Thresholds'!$E:$AS,5,FALSE), IF(AND($Q$1=TRUE,$S$1=TRUE,$S$4=TRUE),VLOOKUP($E623,'Status Thresholds'!$E:$AS,20,FALSE),IF(AND($Q$1=TRUE,$S$4=TRUE),VLOOKUP($E623,'Status Thresholds'!$E:$AS,10,FALSE),IF(AND($S$3=TRUE,$S$1=TRUE,$S$4=FALSE),VLOOKUP($E623,'Status Thresholds'!$E:$AS,35,FALSE),IF(AND($S$3=TRUE,$S$4=FALSE),VLOOKUP($E623,'Status Thresholds'!$E:$AS,25,FALSE),IF(AND($S$3=TRUE,$S$1=TRUE,$S$4=TRUE),VLOOKUP($E623,'Status Thresholds'!$E:$AS,40,FALSE),IF(AND($S$3=TRUE,$S$4=TRUE),VLOOKUP($E623,'Status Thresholds'!$E:$AS,30,FALSE),""))))))))/IF(OR($Q$3=TRUE,AND($Q$2=TRUE,$Q$7=TRUE),AND($Q$3=TRUE,$Q$7=TRUE))=TRUE,'Shots and Status'!$F$5,IF((OR($Q$2,$Q$7)=TRUE),'Shots and Status'!$D$5,'Shots and Status'!$C$5)))),0),"-")</f>
        <v>-</v>
      </c>
      <c r="L623" s="36" t="str">
        <f>IFERROR(IF(AND($Q$1=FALSE,$S$3=FALSE),"-",VLOOKUP($E623,'Status Thresholds'!$E:$AU,41,FALSE)),"-")</f>
        <v>-</v>
      </c>
      <c r="M623" s="36" t="str">
        <f>IFERROR(IF(AND($Q$1=FALSE,$S$3=FALSE),"-",VLOOKUP($E623,'Status Thresholds'!$E:$AU,42,FALSE)),"-")</f>
        <v>-</v>
      </c>
      <c r="N623" s="36" t="str">
        <f>IFERROR(IF(AND($Q$1=FALSE,$S$3=FALSE),"-",VLOOKUP($E623,'Status Thresholds'!$E:$AU,43,FALSE)),"-")</f>
        <v>-</v>
      </c>
    </row>
    <row r="624" spans="1:14" s="36" customFormat="1" x14ac:dyDescent="0.25">
      <c r="A624" s="46"/>
      <c r="B624" s="64" t="str">
        <f>VLOOKUP(C624,'Status Thresholds'!B:C,2,FALSE)</f>
        <v>MHGen</v>
      </c>
      <c r="C624" s="46" t="str">
        <f>IF(ISBLANK('KO Calc'!C620)=TRUE,"",'KO Calc'!C620)</f>
        <v>Rathian</v>
      </c>
      <c r="D624" s="57" t="s">
        <v>22</v>
      </c>
      <c r="E624" s="62" t="str">
        <f t="shared" si="17"/>
        <v>RathianExhaust</v>
      </c>
      <c r="F624" s="36" t="s">
        <v>8</v>
      </c>
      <c r="G624" s="36" t="str">
        <f t="shared" si="18"/>
        <v>RathianExhaust lvl 2</v>
      </c>
      <c r="H624" s="36" t="str">
        <f>IFERROR(ROUNDUP(IF(AND($Q$1=FALSE,$S$3=FALSE),"-",IF(AND($Q$1=TRUE,$S$3=TRUE),"-",IF(AND($Q$1=TRUE,$S$1=TRUE,$S$4=FALSE),VLOOKUP($E624,'Status Thresholds'!$E:$AS,12,FALSE),IF(AND($Q$1=TRUE,$S$4=FALSE),VLOOKUP($E624,'Status Thresholds'!$E:$AS,2,FALSE), IF(AND($Q$1=TRUE,$S$1=TRUE,$S$4=TRUE),VLOOKUP($E624,'Status Thresholds'!$E:$AS,17,FALSE),IF(AND($Q$1=TRUE,$S$4=TRUE),VLOOKUP($E624,'Status Thresholds'!$E:$AS,7,FALSE),IF(AND($S$3=TRUE,$S$1=TRUE,$S$4=FALSE),VLOOKUP($E624,'Status Thresholds'!$E:$AS,32,FALSE),IF(AND($S$3=TRUE,$S$4=FALSE),VLOOKUP($E624,'Status Thresholds'!$E:$AS,22,FALSE),IF(AND($S$3=TRUE,$S$1=TRUE,$S$4=TRUE),VLOOKUP($E624,'Status Thresholds'!$E:$AS,37,FALSE),IF(AND($S$3=TRUE,$S$4=TRUE),VLOOKUP($E624,'Status Thresholds'!$E:$AS,27,FALSE),""))))))))/IF(OR($Q$3=TRUE,AND($Q$2=TRUE,$Q$7=TRUE),AND($Q$3=TRUE,$Q$7=TRUE))=TRUE,'Shots and Status'!$F$5,IF((OR($Q$2,$Q$7)=TRUE),'Shots and Status'!$D$5,'Shots and Status'!$C$5)))),0),"-")</f>
        <v>-</v>
      </c>
      <c r="I624" s="36" t="str">
        <f>IFERROR(ROUNDUP(IF(AND($Q$1=FALSE,$S$3=FALSE),"-",IF(AND($Q$1=TRUE,$S$3=TRUE),"-",IF(AND($Q$1=TRUE,$S$1=TRUE,$S$4=FALSE),VLOOKUP($E624,'Status Thresholds'!$E:$AS,13,FALSE),IF(AND($Q$1=TRUE,$S$4=FALSE),VLOOKUP($E624,'Status Thresholds'!$E:$AS,3,FALSE), IF(AND($Q$1=TRUE,$S$1=TRUE,$S$4=TRUE),VLOOKUP($E624,'Status Thresholds'!$E:$AS,18,FALSE),IF(AND($Q$1=TRUE,$S$4=TRUE),VLOOKUP($E624,'Status Thresholds'!$E:$AS,8,FALSE),IF(AND($S$3=TRUE,$S$1=TRUE,$S$4=FALSE),VLOOKUP($E624,'Status Thresholds'!$E:$AS,33,FALSE),IF(AND($S$3=TRUE,$S$4=FALSE),VLOOKUP($E624,'Status Thresholds'!$E:$AS,23,FALSE),IF(AND($S$3=TRUE,$S$1=TRUE,$S$4=TRUE),VLOOKUP($E624,'Status Thresholds'!$E:$AS,38,FALSE),IF(AND($S$3=TRUE,$S$4=TRUE),VLOOKUP($E624,'Status Thresholds'!$E:$AS,28,FALSE),""))))))))/IF(OR($Q$3=TRUE,AND($Q$2=TRUE,$Q$7=TRUE),AND($Q$3=TRUE,$Q$7=TRUE))=TRUE,'Shots and Status'!$F$5,IF((OR($Q$2,$Q$7)=TRUE),'Shots and Status'!$D$5,'Shots and Status'!$C$5)))),0),"-")</f>
        <v>-</v>
      </c>
      <c r="J624" s="36" t="str">
        <f>IFERROR(ROUNDUP(IF(AND($Q$1=FALSE,$S$3=FALSE),"-",IF(AND($Q$1=TRUE,$S$3=TRUE),"-",IF(AND($Q$1=TRUE,$S$1=TRUE,$S$4=FALSE),VLOOKUP($E624,'Status Thresholds'!$E:$AS,14,FALSE),IF(AND($Q$1=TRUE,$S$4=FALSE),VLOOKUP($E624,'Status Thresholds'!$E:$AS,4,FALSE), IF(AND($Q$1=TRUE,$S$1=TRUE,$S$4=TRUE),VLOOKUP($E624,'Status Thresholds'!$E:$AS,19,FALSE),IF(AND($Q$1=TRUE,$S$4=TRUE),VLOOKUP($E624,'Status Thresholds'!$E:$AS,9,FALSE),IF(AND($S$3=TRUE,$S$1=TRUE,$S$4=FALSE),VLOOKUP($E624,'Status Thresholds'!$E:$AS,34,FALSE),IF(AND($S$3=TRUE,$S$4=FALSE),VLOOKUP($E624,'Status Thresholds'!$E:$AS,24,FALSE),IF(AND($S$3=TRUE,$S$1=TRUE,$S$4=TRUE),VLOOKUP($E624,'Status Thresholds'!$E:$AS,39,FALSE),IF(AND($S$3=TRUE,$S$4=TRUE),VLOOKUP($E624,'Status Thresholds'!$E:$AS,29,FALSE),""))))))))/IF(OR($Q$3=TRUE,AND($Q$2=TRUE,$Q$7=TRUE),AND($Q$3=TRUE,$Q$7=TRUE))=TRUE,'Shots and Status'!$F$5,IF((OR($Q$2,$Q$7)=TRUE),'Shots and Status'!$D$5,'Shots and Status'!$C$5)))),0),"-")</f>
        <v>-</v>
      </c>
      <c r="K624" s="36" t="str">
        <f>IFERROR(ROUNDUP(IF(AND($Q$1=FALSE,$S$3=FALSE),"-",IF(AND($Q$1=TRUE,$S$3=TRUE),"-",IF(AND($Q$1=TRUE,$S$1=TRUE,$S$4=FALSE),VLOOKUP($E624,'Status Thresholds'!$E:$AS,15,FALSE),IF(AND($Q$1=TRUE,$S$4=FALSE),VLOOKUP($E624,'Status Thresholds'!$E:$AS,5,FALSE), IF(AND($Q$1=TRUE,$S$1=TRUE,$S$4=TRUE),VLOOKUP($E624,'Status Thresholds'!$E:$AS,20,FALSE),IF(AND($Q$1=TRUE,$S$4=TRUE),VLOOKUP($E624,'Status Thresholds'!$E:$AS,10,FALSE),IF(AND($S$3=TRUE,$S$1=TRUE,$S$4=FALSE),VLOOKUP($E624,'Status Thresholds'!$E:$AS,35,FALSE),IF(AND($S$3=TRUE,$S$4=FALSE),VLOOKUP($E624,'Status Thresholds'!$E:$AS,25,FALSE),IF(AND($S$3=TRUE,$S$1=TRUE,$S$4=TRUE),VLOOKUP($E624,'Status Thresholds'!$E:$AS,40,FALSE),IF(AND($S$3=TRUE,$S$4=TRUE),VLOOKUP($E624,'Status Thresholds'!$E:$AS,30,FALSE),""))))))))/IF(OR($Q$3=TRUE,AND($Q$2=TRUE,$Q$7=TRUE),AND($Q$3=TRUE,$Q$7=TRUE))=TRUE,'Shots and Status'!$F$5,IF((OR($Q$2,$Q$7)=TRUE),'Shots and Status'!$D$5,'Shots and Status'!$C$5)))),0),"-")</f>
        <v>-</v>
      </c>
      <c r="L624" s="36" t="str">
        <f>IFERROR(IF(AND($Q$1=FALSE,$S$3=FALSE),"-",VLOOKUP($E624,'Status Thresholds'!$E:$AU,41,FALSE)),"-")</f>
        <v>-</v>
      </c>
      <c r="M624" s="36" t="str">
        <f>IFERROR(IF(AND($Q$1=FALSE,$S$3=FALSE),"-",VLOOKUP($E624,'Status Thresholds'!$E:$AU,42,FALSE)),"-")</f>
        <v>-</v>
      </c>
      <c r="N624" s="36" t="str">
        <f>IFERROR(IF(AND($Q$1=FALSE,$S$3=FALSE),"-",VLOOKUP($E624,'Status Thresholds'!$E:$AU,43,FALSE)),"-")</f>
        <v>-</v>
      </c>
    </row>
    <row r="625" spans="1:14" s="36" customFormat="1" x14ac:dyDescent="0.25">
      <c r="A625" s="46"/>
      <c r="B625" s="64" t="str">
        <f>VLOOKUP(C625,'Status Thresholds'!B:C,2,FALSE)</f>
        <v>MHGen</v>
      </c>
      <c r="C625" s="46" t="str">
        <f>IF(ISBLANK('KO Calc'!C621)=TRUE,"",'KO Calc'!C621)</f>
        <v>Rathian</v>
      </c>
      <c r="D625" s="67" t="s">
        <v>14</v>
      </c>
      <c r="E625" s="62" t="str">
        <f t="shared" si="17"/>
        <v>RathianKO</v>
      </c>
      <c r="F625" s="36" t="s">
        <v>21</v>
      </c>
      <c r="G625" s="36" t="str">
        <f t="shared" si="18"/>
        <v>RathianTriblast</v>
      </c>
      <c r="H625" s="36" t="str">
        <f>IF(AND($Q$1=FALSE,$S$3=FALSE),"-",IF(AND($Q$1=TRUE,$S$3=TRUE),"-",IF(AND($Q$1=FALSE,$S$3=FALSE),"-",IF(AND($Q$1=TRUE,$S$1=TRUE,$S$4=FALSE)=TRUE,IF(OR($Q$4=TRUE,$Q$5=TRUE,$S$2=TRUE),VLOOKUP($G625,'KO Calc'!$H:$AW,12,FALSE),VLOOKUP($G625,'KO Calc'!$H631:$AW631,12,FALSE)),IF(AND($Q$1=TRUE,$S$4=FALSE),IF(OR($Q$4=TRUE,$Q$5=TRUE,$S$2=TRUE),VLOOKUP($G625,'KO Calc'!$H:$AW,2,FALSE),VLOOKUP($G625,'KO Calc'!$H631:$AW631,2,FALSE)),
IF(AND($Q$1=TRUE,$S$1=TRUE,$S$4=TRUE)=TRUE,IF(OR($Q$4=TRUE,$Q$5=TRUE,$S$2=TRUE),VLOOKUP($G625,'KO Calc'!$H:$AW,17,FALSE),VLOOKUP($G625,'KO Calc'!$H631:$AW631,17,FALSE)),IF(AND($Q$1=TRUE,$S$4=TRUE),IF(OR($Q$4=TRUE,$Q$5=TRUE,$S$2=TRUE),VLOOKUP($G625,'KO Calc'!$H:$AW,7,FALSE),VLOOKUP($G625,'KO Calc'!$H631:$AW631,7,FALSE)),
IF(AND($S$3=TRUE,$S$1=TRUE,$S$4=FALSE)=TRUE,IF(OR($Q$4=TRUE,$Q$5=TRUE,$S$2=TRUE),VLOOKUP($G625,'KO Calc'!$H:$AW,32,FALSE),VLOOKUP($G625,'KO Calc'!$H631:$AW631,32,FALSE)),IF(AND($S$3=TRUE,$S$4=FALSE),IF(OR($Q$4=TRUE,$Q$5=TRUE,$S$2=TRUE),VLOOKUP($G625,'KO Calc'!$H:$AW,22,FALSE),VLOOKUP($G625,'KO Calc'!$H631:$AW631,22,FALSE)),
IF(AND($S$3=TRUE,$S$1=TRUE,$S$4=TRUE)=TRUE,IF(OR($Q$4=TRUE,$Q$5=TRUE,$S$2=TRUE),VLOOKUP($G625,'KO Calc'!$H:$AW,37,FALSE),VLOOKUP($G625,'KO Calc'!$H631:$AW631,37,FALSE)),IF(AND($S$3=TRUE,$S$4=TRUE),IF(OR($Q$4=TRUE,$Q$5=TRUE,$S$2=TRUE),VLOOKUP($G625,'KO Calc'!$H:$AW,27,FALSE),VLOOKUP($G625,'KO Calc'!$H631:$AW631,27,FALSE)))))))))))))</f>
        <v>-</v>
      </c>
      <c r="I625" s="36" t="str">
        <f>IF(AND($Q$1=FALSE,$S$3=FALSE),"-",IF(AND($Q$1=TRUE,$S$3=TRUE),"-",IF(AND($Q$1=FALSE,$S$3=FALSE),"-",IF(AND($Q$1=TRUE,$S$1=TRUE,$S$4=FALSE)=TRUE,IF(OR($Q$4=TRUE,$Q$5=TRUE,$S$2=TRUE),VLOOKUP($G625,'KO Calc'!$H:$AW,13,FALSE),VLOOKUP($G625,'KO Calc'!$H631:$AW631,13,FALSE)),IF(AND($Q$1=TRUE,$S$4=FALSE),IF(OR($Q$4=TRUE,$Q$5=TRUE,$S$2=TRUE),VLOOKUP($G625,'KO Calc'!$H:$AW,3,FALSE),VLOOKUP($G625,'KO Calc'!$H631:$AW631,3,FALSE)),
IF(AND($Q$1=TRUE,$S$1=TRUE,$S$4=TRUE)=TRUE,IF(OR($Q$4=TRUE,$Q$5=TRUE,$S$2=TRUE),VLOOKUP($G625,'KO Calc'!$H:$AW,18,FALSE),VLOOKUP($G625,'KO Calc'!$H631:$AW631,18,FALSE)),IF(AND($Q$1=TRUE,$S$4=TRUE),IF(OR($Q$4=TRUE,$Q$5=TRUE,$S$2=TRUE),VLOOKUP($G625,'KO Calc'!$H:$AW,8,FALSE),VLOOKUP($G625,'KO Calc'!$H631:$AW631,8,FALSE)),
IF(AND($S$3=TRUE,$S$1=TRUE,$S$4=FALSE)=TRUE,IF(OR($Q$4=TRUE,$Q$5=TRUE,$S$2=TRUE),VLOOKUP($G625,'KO Calc'!$H:$AW,33,FALSE),VLOOKUP($G625,'KO Calc'!$H631:$AW631,33,FALSE)),IF(AND($S$3=TRUE,$S$4=FALSE),IF(OR($Q$4=TRUE,$Q$5=TRUE,$S$2=TRUE),VLOOKUP($G625,'KO Calc'!$H:$AW,23,FALSE),VLOOKUP($G625,'KO Calc'!$H631:$AW631,23,FALSE)),
IF(AND($S$3=TRUE,$S$1=TRUE,$S$4=TRUE)=TRUE,IF(OR($Q$4=TRUE,$Q$5=TRUE,$S$2=TRUE),VLOOKUP($G625,'KO Calc'!$H:$AW,38,FALSE),VLOOKUP($G625,'KO Calc'!$H631:$AW631,38,FALSE)),IF(AND($S$3=TRUE,$S$4=TRUE),IF(OR($Q$4=TRUE,$Q$5=TRUE,$S$2=TRUE),VLOOKUP($G625,'KO Calc'!$H:$AW,28,FALSE),VLOOKUP($G625,'KO Calc'!$H631:$AW631,28,FALSE)))))))))))))</f>
        <v>-</v>
      </c>
      <c r="J625" s="36" t="str">
        <f>IF(AND($Q$1=FALSE,$S$3=FALSE),"-",IF(AND($Q$1=TRUE,$S$3=TRUE),"-",IF(AND($Q$1=FALSE,$S$3=FALSE),"-",IF(AND($Q$1=TRUE,$S$1=TRUE,$S$4=FALSE)=TRUE,IF(OR($Q$4=TRUE,$Q$5=TRUE,$S$2=TRUE),VLOOKUP($G625,'KO Calc'!$H:$AW,FALSE),VLOOKUP($G625,'KO Calc'!$H631:$AW631,14,FALSE)),IF(AND($Q$1=TRUE,$S$4=FALSE),IF(OR($Q$4=TRUE,$Q$5=TRUE,$S$2=TRUE),VLOOKUP($G625,'KO Calc'!$H:$AW,4,FALSE),VLOOKUP($G625,'KO Calc'!$H631:$AW631,4,FALSE)),
IF(AND($Q$1=TRUE,$S$1=TRUE,$S$4=TRUE)=TRUE,IF(OR($Q$4=TRUE,$Q$5=TRUE,$S$2=TRUE),VLOOKUP($G625,'KO Calc'!$H:$AW,19,FALSE),VLOOKUP($G625,'KO Calc'!$H631:$AW631,19,FALSE)),IF(AND($Q$1=TRUE,$S$4=TRUE),IF(OR($Q$4=TRUE,$Q$5=TRUE,$S$2=TRUE),VLOOKUP($G625,'KO Calc'!$H:$AW,9,FALSE),VLOOKUP($G625,'KO Calc'!$H631:$AW631,9,FALSE)),
IF(AND($S$3=TRUE,$S$1=TRUE,$S$4=FALSE)=TRUE,IF(OR($Q$4=TRUE,$Q$5=TRUE,$S$2=TRUE),VLOOKUP($G625,'KO Calc'!$H:$AW,34,FALSE),VLOOKUP($G625,'KO Calc'!$H631:$AW631,34,FALSE)),IF(AND($S$3=TRUE,$S$4=FALSE),IF(OR($Q$4=TRUE,$Q$5=TRUE,$S$2=TRUE),VLOOKUP($G625,'KO Calc'!$H:$AW,24,FALSE),VLOOKUP($G625,'KO Calc'!$H631:$AW631,24,FALSE)),
IF(AND($S$3=TRUE,$S$1=TRUE,$S$4=TRUE)=TRUE,IF(OR($Q$4=TRUE,$Q$5=TRUE,$S$2=TRUE),VLOOKUP($G625,'KO Calc'!$H:$AW,39,FALSE),VLOOKUP($G625,'KO Calc'!$H631:$AW631,39,FALSE)),IF(AND($S$3=TRUE,$S$4=TRUE),IF(OR($Q$4=TRUE,$Q$5=TRUE,$S$2=TRUE),VLOOKUP($G625,'KO Calc'!$H:$AW,29,FALSE),VLOOKUP($G625,'KO Calc'!$H631:$AW631,29,FALSE)))))))))))))</f>
        <v>-</v>
      </c>
      <c r="K625" s="36" t="str">
        <f>IF(AND($Q$1=FALSE,$S$3=FALSE),"-",IF(AND($Q$1=TRUE,$S$3=TRUE),"-",IF(AND($Q$1=FALSE,$S$3=FALSE),"-",IF(AND($Q$1=TRUE,$S$1=TRUE,$S$4=FALSE)=TRUE,IF(OR($Q$4=TRUE,$Q$5=TRUE,$S$2=TRUE),VLOOKUP($G625,'KO Calc'!$H:$AW,15,FALSE),VLOOKUP($G625,'KO Calc'!$H631:$AW631,15,FALSE)),IF(AND($Q$1=TRUE,$S$4=FALSE),IF(OR($Q$4=TRUE,$Q$5=TRUE,$S$2=TRUE),VLOOKUP($G625,'KO Calc'!$H:$AW,5,FALSE),VLOOKUP($G625,'KO Calc'!$H631:$AW631,5,FALSE)),
IF(AND($Q$1=TRUE,$S$1=TRUE,$S$4=TRUE)=TRUE,IF(OR($Q$4=TRUE,$Q$5=TRUE,$S$2=TRUE),VLOOKUP($G625,'KO Calc'!$H:$AW,20,FALSE),VLOOKUP($G625,'KO Calc'!$H631:$AW631,20,FALSE)),IF(AND($Q$1=TRUE,$S$4=TRUE),IF(OR($Q$4=TRUE,$Q$5=TRUE,$S$2=TRUE),VLOOKUP($G625,'KO Calc'!$H:$AW,10,FALSE),VLOOKUP($G625,'KO Calc'!$H631:$AW631,10,FALSE)),
IF(AND($S$3=TRUE,$S$1=TRUE,$S$4=FALSE)=TRUE,IF(OR($Q$4=TRUE,$Q$5=TRUE,$S$2=TRUE),VLOOKUP($G625,'KO Calc'!$H:$AW,35,FALSE),VLOOKUP($G625,'KO Calc'!$H631:$AW631,35,FALSE)),IF(AND($S$3=TRUE,$S$4=FALSE),IF(OR($Q$4=TRUE,$Q$5=TRUE,$S$2=TRUE),VLOOKUP($G625,'KO Calc'!$H:$AW,25,FALSE),VLOOKUP($G625,'KO Calc'!$H631:$AW631,25,FALSE)),
IF(AND($S$3=TRUE,$S$1=TRUE,$S$4=TRUE)=TRUE,IF(OR($Q$4=TRUE,$Q$5=TRUE,$S$2=TRUE),VLOOKUP($G625,'KO Calc'!$H:$AW,40,FALSE),VLOOKUP($G625,'KO Calc'!$H631:$AW631,40,FALSE)),IF(AND($S$3=TRUE,$S$4=TRUE),IF(OR($Q$4=TRUE,$Q$5=TRUE,$S$2=TRUE),VLOOKUP($G625,'KO Calc'!$H:$AW,30,FALSE),VLOOKUP($G625,'KO Calc'!$H631:$AW631,30,FALSE)))))))))))))</f>
        <v>-</v>
      </c>
      <c r="L625" s="36" t="str">
        <f>IFERROR(IF(AND($Q$1=FALSE,$S$3=FALSE),"-",VLOOKUP($E625,'Status Thresholds'!$E:$AU,41,FALSE)),"-")</f>
        <v>-</v>
      </c>
      <c r="M625" s="36" t="str">
        <f>IFERROR(IF(AND($Q$1=FALSE,$S$3=FALSE),"-",VLOOKUP($E625,'Status Thresholds'!$E:$AU,42,FALSE)),"-")</f>
        <v>-</v>
      </c>
      <c r="N625" s="36" t="str">
        <f>IFERROR(IF(AND($Q$1=FALSE,$S$3=FALSE),"-",VLOOKUP($E625,'Status Thresholds'!$E:$AU,43,FALSE)),"-")</f>
        <v>-</v>
      </c>
    </row>
    <row r="626" spans="1:14" x14ac:dyDescent="0.25">
      <c r="B626" s="64" t="str">
        <f>VLOOKUP(C626,'Status Thresholds'!B:C,2,FALSE)</f>
        <v>MHGen</v>
      </c>
      <c r="C626" s="46" t="str">
        <f>IF(ISBLANK('KO Calc'!C622)=TRUE,"",'KO Calc'!C622)</f>
        <v>Rathian</v>
      </c>
      <c r="D626" s="78" t="s">
        <v>207</v>
      </c>
      <c r="E626" s="62" t="str">
        <f t="shared" si="17"/>
        <v>RathianShock Trap</v>
      </c>
      <c r="F626" t="s">
        <v>13</v>
      </c>
      <c r="G626" s="36" t="str">
        <f t="shared" si="18"/>
        <v>RathianCrag 3</v>
      </c>
      <c r="H626" s="36" t="str">
        <f>IF(AND($Q$1=FALSE,$S$3=FALSE),"-",IF(AND($Q$1=TRUE,$S$3=TRUE),"-",IF(AND($Q$1=FALSE,$S$3=FALSE),"-",IF(AND($Q$1=TRUE,$S$1=TRUE,$S$4=FALSE)=TRUE,IF(OR($Q$4=TRUE,$Q$5=TRUE,$S$2=TRUE),VLOOKUP($G626,'KO Calc'!$H:$AW,12,FALSE),VLOOKUP($G626,'KO Calc'!$H632:$AW632,12,FALSE)),IF(AND($Q$1=TRUE,$S$4=FALSE),IF(OR($Q$4=TRUE,$Q$5=TRUE,$S$2=TRUE),VLOOKUP($G626,'KO Calc'!$H:$AW,2,FALSE),VLOOKUP($G626,'KO Calc'!$H632:$AW632,2,FALSE)),
IF(AND($Q$1=TRUE,$S$1=TRUE,$S$4=TRUE)=TRUE,IF(OR($Q$4=TRUE,$Q$5=TRUE,$S$2=TRUE),VLOOKUP($G626,'KO Calc'!$H:$AW,17,FALSE),VLOOKUP($G626,'KO Calc'!$H632:$AW632,17,FALSE)),IF(AND($Q$1=TRUE,$S$4=TRUE),IF(OR($Q$4=TRUE,$Q$5=TRUE,$S$2=TRUE),VLOOKUP($G626,'KO Calc'!$H:$AW,7,FALSE),VLOOKUP($G626,'KO Calc'!$H632:$AW632,7,FALSE)),
IF(AND($S$3=TRUE,$S$1=TRUE,$S$4=FALSE)=TRUE,IF(OR($Q$4=TRUE,$Q$5=TRUE,$S$2=TRUE),VLOOKUP($G626,'KO Calc'!$H:$AW,32,FALSE),VLOOKUP($G626,'KO Calc'!$H632:$AW632,32,FALSE)),IF(AND($S$3=TRUE,$S$4=FALSE),IF(OR($Q$4=TRUE,$Q$5=TRUE,$S$2=TRUE),VLOOKUP($G626,'KO Calc'!$H:$AW,22,FALSE),VLOOKUP($G626,'KO Calc'!$H632:$AW632,22,FALSE)),
IF(AND($S$3=TRUE,$S$1=TRUE,$S$4=TRUE)=TRUE,IF(OR($Q$4=TRUE,$Q$5=TRUE,$S$2=TRUE),VLOOKUP($G626,'KO Calc'!$H:$AW,37,FALSE),VLOOKUP($G626,'KO Calc'!$H632:$AW632,37,FALSE)),IF(AND($S$3=TRUE,$S$4=TRUE),IF(OR($Q$4=TRUE,$Q$5=TRUE,$S$2=TRUE),VLOOKUP($G626,'KO Calc'!$H:$AW,27,FALSE),VLOOKUP($G626,'KO Calc'!$H632:$AW632,27,FALSE)))))))))))))</f>
        <v>-</v>
      </c>
      <c r="I626" s="36" t="str">
        <f>IF(AND($Q$1=FALSE,$S$3=FALSE),"-",IF(AND($Q$1=TRUE,$S$3=TRUE),"-",IF(AND($Q$1=FALSE,$S$3=FALSE),"-",IF(AND($Q$1=TRUE,$S$1=TRUE,$S$4=FALSE)=TRUE,IF(OR($Q$4=TRUE,$Q$5=TRUE,$S$2=TRUE),VLOOKUP($G626,'KO Calc'!$H:$AW,13,FALSE),VLOOKUP($G626,'KO Calc'!$H632:$AW632,13,FALSE)),IF(AND($Q$1=TRUE,$S$4=FALSE),IF(OR($Q$4=TRUE,$Q$5=TRUE,$S$2=TRUE),VLOOKUP($G626,'KO Calc'!$H:$AW,3,FALSE),VLOOKUP($G626,'KO Calc'!$H632:$AW632,3,FALSE)),
IF(AND($Q$1=TRUE,$S$1=TRUE,$S$4=TRUE)=TRUE,IF(OR($Q$4=TRUE,$Q$5=TRUE,$S$2=TRUE),VLOOKUP($G626,'KO Calc'!$H:$AW,18,FALSE),VLOOKUP($G626,'KO Calc'!$H632:$AW632,18,FALSE)),IF(AND($Q$1=TRUE,$S$4=TRUE),IF(OR($Q$4=TRUE,$Q$5=TRUE,$S$2=TRUE),VLOOKUP($G626,'KO Calc'!$H:$AW,8,FALSE),VLOOKUP($G626,'KO Calc'!$H632:$AW632,8,FALSE)),
IF(AND($S$3=TRUE,$S$1=TRUE,$S$4=FALSE)=TRUE,IF(OR($Q$4=TRUE,$Q$5=TRUE,$S$2=TRUE),VLOOKUP($G626,'KO Calc'!$H:$AW,33,FALSE),VLOOKUP($G626,'KO Calc'!$H632:$AW632,33,FALSE)),IF(AND($S$3=TRUE,$S$4=FALSE),IF(OR($Q$4=TRUE,$Q$5=TRUE,$S$2=TRUE),VLOOKUP($G626,'KO Calc'!$H:$AW,23,FALSE),VLOOKUP($G626,'KO Calc'!$H632:$AW632,23,FALSE)),
IF(AND($S$3=TRUE,$S$1=TRUE,$S$4=TRUE)=TRUE,IF(OR($Q$4=TRUE,$Q$5=TRUE,$S$2=TRUE),VLOOKUP($G626,'KO Calc'!$H:$AW,38,FALSE),VLOOKUP($G626,'KO Calc'!$H632:$AW632,38,FALSE)),IF(AND($S$3=TRUE,$S$4=TRUE),IF(OR($Q$4=TRUE,$Q$5=TRUE,$S$2=TRUE),VLOOKUP($G626,'KO Calc'!$H:$AW,28,FALSE),VLOOKUP($G626,'KO Calc'!$H632:$AW632,28,FALSE)))))))))))))</f>
        <v>-</v>
      </c>
      <c r="J626" s="36" t="str">
        <f>IF(AND($Q$1=FALSE,$S$3=FALSE),"-",IF(AND($Q$1=TRUE,$S$3=TRUE),"-",IF(AND($Q$1=FALSE,$S$3=FALSE),"-",IF(AND($Q$1=TRUE,$S$1=TRUE,$S$4=FALSE)=TRUE,IF(OR($Q$4=TRUE,$Q$5=TRUE,$S$2=TRUE),VLOOKUP($G626,'KO Calc'!$H:$AW,FALSE),VLOOKUP($G626,'KO Calc'!$H632:$AW632,14,FALSE)),IF(AND($Q$1=TRUE,$S$4=FALSE),IF(OR($Q$4=TRUE,$Q$5=TRUE,$S$2=TRUE),VLOOKUP($G626,'KO Calc'!$H:$AW,4,FALSE),VLOOKUP($G626,'KO Calc'!$H632:$AW632,4,FALSE)),
IF(AND($Q$1=TRUE,$S$1=TRUE,$S$4=TRUE)=TRUE,IF(OR($Q$4=TRUE,$Q$5=TRUE,$S$2=TRUE),VLOOKUP($G626,'KO Calc'!$H:$AW,19,FALSE),VLOOKUP($G626,'KO Calc'!$H632:$AW632,19,FALSE)),IF(AND($Q$1=TRUE,$S$4=TRUE),IF(OR($Q$4=TRUE,$Q$5=TRUE,$S$2=TRUE),VLOOKUP($G626,'KO Calc'!$H:$AW,9,FALSE),VLOOKUP($G626,'KO Calc'!$H632:$AW632,9,FALSE)),
IF(AND($S$3=TRUE,$S$1=TRUE,$S$4=FALSE)=TRUE,IF(OR($Q$4=TRUE,$Q$5=TRUE,$S$2=TRUE),VLOOKUP($G626,'KO Calc'!$H:$AW,34,FALSE),VLOOKUP($G626,'KO Calc'!$H632:$AW632,34,FALSE)),IF(AND($S$3=TRUE,$S$4=FALSE),IF(OR($Q$4=TRUE,$Q$5=TRUE,$S$2=TRUE),VLOOKUP($G626,'KO Calc'!$H:$AW,24,FALSE),VLOOKUP($G626,'KO Calc'!$H632:$AW632,24,FALSE)),
IF(AND($S$3=TRUE,$S$1=TRUE,$S$4=TRUE)=TRUE,IF(OR($Q$4=TRUE,$Q$5=TRUE,$S$2=TRUE),VLOOKUP($G626,'KO Calc'!$H:$AW,39,FALSE),VLOOKUP($G626,'KO Calc'!$H632:$AW632,39,FALSE)),IF(AND($S$3=TRUE,$S$4=TRUE),IF(OR($Q$4=TRUE,$Q$5=TRUE,$S$2=TRUE),VLOOKUP($G626,'KO Calc'!$H:$AW,29,FALSE),VLOOKUP($G626,'KO Calc'!$H632:$AW632,29,FALSE)))))))))))))</f>
        <v>-</v>
      </c>
      <c r="K626" s="36" t="str">
        <f>IF(AND($Q$1=FALSE,$S$3=FALSE),"-",IF(AND($Q$1=TRUE,$S$3=TRUE),"-",IF(AND($Q$1=FALSE,$S$3=FALSE),"-",IF(AND($Q$1=TRUE,$S$1=TRUE,$S$4=FALSE)=TRUE,IF(OR($Q$4=TRUE,$Q$5=TRUE,$S$2=TRUE),VLOOKUP($G626,'KO Calc'!$H:$AW,15,FALSE),VLOOKUP($G626,'KO Calc'!$H632:$AW632,15,FALSE)),IF(AND($Q$1=TRUE,$S$4=FALSE),IF(OR($Q$4=TRUE,$Q$5=TRUE,$S$2=TRUE),VLOOKUP($G626,'KO Calc'!$H:$AW,5,FALSE),VLOOKUP($G626,'KO Calc'!$H632:$AW632,5,FALSE)),
IF(AND($Q$1=TRUE,$S$1=TRUE,$S$4=TRUE)=TRUE,IF(OR($Q$4=TRUE,$Q$5=TRUE,$S$2=TRUE),VLOOKUP($G626,'KO Calc'!$H:$AW,20,FALSE),VLOOKUP($G626,'KO Calc'!$H632:$AW632,20,FALSE)),IF(AND($Q$1=TRUE,$S$4=TRUE),IF(OR($Q$4=TRUE,$Q$5=TRUE,$S$2=TRUE),VLOOKUP($G626,'KO Calc'!$H:$AW,10,FALSE),VLOOKUP($G626,'KO Calc'!$H632:$AW632,10,FALSE)),
IF(AND($S$3=TRUE,$S$1=TRUE,$S$4=FALSE)=TRUE,IF(OR($Q$4=TRUE,$Q$5=TRUE,$S$2=TRUE),VLOOKUP($G626,'KO Calc'!$H:$AW,35,FALSE),VLOOKUP($G626,'KO Calc'!$H632:$AW632,35,FALSE)),IF(AND($S$3=TRUE,$S$4=FALSE),IF(OR($Q$4=TRUE,$Q$5=TRUE,$S$2=TRUE),VLOOKUP($G626,'KO Calc'!$H:$AW,25,FALSE),VLOOKUP($G626,'KO Calc'!$H632:$AW632,25,FALSE)),
IF(AND($S$3=TRUE,$S$1=TRUE,$S$4=TRUE)=TRUE,IF(OR($Q$4=TRUE,$Q$5=TRUE,$S$2=TRUE),VLOOKUP($G626,'KO Calc'!$H:$AW,40,FALSE),VLOOKUP($G626,'KO Calc'!$H632:$AW632,40,FALSE)),IF(AND($S$3=TRUE,$S$4=TRUE),IF(OR($Q$4=TRUE,$Q$5=TRUE,$S$2=TRUE),VLOOKUP($G626,'KO Calc'!$H:$AW,30,FALSE),VLOOKUP($G626,'KO Calc'!$H632:$AW632,30,FALSE)))))))))))))</f>
        <v>-</v>
      </c>
      <c r="L626" s="36" t="str">
        <f>IFERROR(IF(AND($Q$1=FALSE,$S$3=FALSE),"-",VLOOKUP($E626,'Status Thresholds'!$E:$AU,43,FALSE)),"-")</f>
        <v>-</v>
      </c>
      <c r="M626" s="36" t="str">
        <f>IFERROR(IF(AND($Q$1=FALSE,$S$3=FALSE),"-",VLOOKUP($E626,'Status Thresholds'!$E:$AU,41,FALSE)),"-")</f>
        <v>-</v>
      </c>
      <c r="N626" s="36" t="str">
        <f>IFERROR(IF(AND($Q$1=FALSE,$S$3=FALSE),"-",VLOOKUP($E626,'Status Thresholds'!$E:$AU,42,FALSE)),"-")</f>
        <v>-</v>
      </c>
    </row>
    <row r="627" spans="1:14" x14ac:dyDescent="0.25">
      <c r="B627" s="64" t="str">
        <f>VLOOKUP(C627,'Status Thresholds'!B:C,2,FALSE)</f>
        <v>MHGen</v>
      </c>
      <c r="C627" s="46" t="str">
        <f>IF(ISBLANK('KO Calc'!C623)=TRUE,"",'KO Calc'!C623)</f>
        <v>Rathian</v>
      </c>
      <c r="D627" s="78" t="s">
        <v>213</v>
      </c>
      <c r="E627" s="62" t="str">
        <f t="shared" si="17"/>
        <v>RathianPitfall Trap</v>
      </c>
      <c r="F627" t="s">
        <v>12</v>
      </c>
      <c r="G627" s="36" t="str">
        <f t="shared" si="18"/>
        <v>RathianCrag 2</v>
      </c>
      <c r="H627" s="36" t="str">
        <f>IF(AND($Q$1=FALSE,$S$3=FALSE),"-",IF(AND($Q$1=TRUE,$S$3=TRUE),"-",IF(AND($Q$1=FALSE,$S$3=FALSE),"-",IF(AND($Q$1=TRUE,$S$1=TRUE,$S$4=FALSE)=TRUE,IF(OR($Q$4=TRUE,$Q$5=TRUE,$S$2=TRUE),VLOOKUP($G627,'KO Calc'!$H:$AW,12,FALSE),VLOOKUP($G627,'KO Calc'!$H633:$AW633,12,FALSE)),IF(AND($Q$1=TRUE,$S$4=FALSE),IF(OR($Q$4=TRUE,$Q$5=TRUE,$S$2=TRUE),VLOOKUP($G627,'KO Calc'!$H:$AW,2,FALSE),VLOOKUP($G627,'KO Calc'!$H633:$AW633,2,FALSE)),
IF(AND($Q$1=TRUE,$S$1=TRUE,$S$4=TRUE)=TRUE,IF(OR($Q$4=TRUE,$Q$5=TRUE,$S$2=TRUE),VLOOKUP($G627,'KO Calc'!$H:$AW,17,FALSE),VLOOKUP($G627,'KO Calc'!$H633:$AW633,17,FALSE)),IF(AND($Q$1=TRUE,$S$4=TRUE),IF(OR($Q$4=TRUE,$Q$5=TRUE,$S$2=TRUE),VLOOKUP($G627,'KO Calc'!$H:$AW,7,FALSE),VLOOKUP($G627,'KO Calc'!$H633:$AW633,7,FALSE)),
IF(AND($S$3=TRUE,$S$1=TRUE,$S$4=FALSE)=TRUE,IF(OR($Q$4=TRUE,$Q$5=TRUE,$S$2=TRUE),VLOOKUP($G627,'KO Calc'!$H:$AW,32,FALSE),VLOOKUP($G627,'KO Calc'!$H633:$AW633,32,FALSE)),IF(AND($S$3=TRUE,$S$4=FALSE),IF(OR($Q$4=TRUE,$Q$5=TRUE,$S$2=TRUE),VLOOKUP($G627,'KO Calc'!$H:$AW,22,FALSE),VLOOKUP($G627,'KO Calc'!$H633:$AW633,22,FALSE)),
IF(AND($S$3=TRUE,$S$1=TRUE,$S$4=TRUE)=TRUE,IF(OR($Q$4=TRUE,$Q$5=TRUE,$S$2=TRUE),VLOOKUP($G627,'KO Calc'!$H:$AW,37,FALSE),VLOOKUP($G627,'KO Calc'!$H633:$AW633,37,FALSE)),IF(AND($S$3=TRUE,$S$4=TRUE),IF(OR($Q$4=TRUE,$Q$5=TRUE,$S$2=TRUE),VLOOKUP($G627,'KO Calc'!$H:$AW,27,FALSE),VLOOKUP($G627,'KO Calc'!$H633:$AW633,27,FALSE)))))))))))))</f>
        <v>-</v>
      </c>
      <c r="I627" s="36" t="str">
        <f>IF(AND($Q$1=FALSE,$S$3=FALSE),"-",IF(AND($Q$1=TRUE,$S$3=TRUE),"-",IF(AND($Q$1=FALSE,$S$3=FALSE),"-",IF(AND($Q$1=TRUE,$S$1=TRUE,$S$4=FALSE)=TRUE,IF(OR($Q$4=TRUE,$Q$5=TRUE,$S$2=TRUE),VLOOKUP($G627,'KO Calc'!$H:$AW,13,FALSE),VLOOKUP($G627,'KO Calc'!$H633:$AW633,13,FALSE)),IF(AND($Q$1=TRUE,$S$4=FALSE),IF(OR($Q$4=TRUE,$Q$5=TRUE,$S$2=TRUE),VLOOKUP($G627,'KO Calc'!$H:$AW,3,FALSE),VLOOKUP($G627,'KO Calc'!$H633:$AW633,3,FALSE)),
IF(AND($Q$1=TRUE,$S$1=TRUE,$S$4=TRUE)=TRUE,IF(OR($Q$4=TRUE,$Q$5=TRUE,$S$2=TRUE),VLOOKUP($G627,'KO Calc'!$H:$AW,18,FALSE),VLOOKUP($G627,'KO Calc'!$H633:$AW633,18,FALSE)),IF(AND($Q$1=TRUE,$S$4=TRUE),IF(OR($Q$4=TRUE,$Q$5=TRUE,$S$2=TRUE),VLOOKUP($G627,'KO Calc'!$H:$AW,8,FALSE),VLOOKUP($G627,'KO Calc'!$H633:$AW633,8,FALSE)),
IF(AND($S$3=TRUE,$S$1=TRUE,$S$4=FALSE)=TRUE,IF(OR($Q$4=TRUE,$Q$5=TRUE,$S$2=TRUE),VLOOKUP($G627,'KO Calc'!$H:$AW,33,FALSE),VLOOKUP($G627,'KO Calc'!$H633:$AW633,33,FALSE)),IF(AND($S$3=TRUE,$S$4=FALSE),IF(OR($Q$4=TRUE,$Q$5=TRUE,$S$2=TRUE),VLOOKUP($G627,'KO Calc'!$H:$AW,23,FALSE),VLOOKUP($G627,'KO Calc'!$H633:$AW633,23,FALSE)),
IF(AND($S$3=TRUE,$S$1=TRUE,$S$4=TRUE)=TRUE,IF(OR($Q$4=TRUE,$Q$5=TRUE,$S$2=TRUE),VLOOKUP($G627,'KO Calc'!$H:$AW,38,FALSE),VLOOKUP($G627,'KO Calc'!$H633:$AW633,38,FALSE)),IF(AND($S$3=TRUE,$S$4=TRUE),IF(OR($Q$4=TRUE,$Q$5=TRUE,$S$2=TRUE),VLOOKUP($G627,'KO Calc'!$H:$AW,28,FALSE),VLOOKUP($G627,'KO Calc'!$H633:$AW633,28,FALSE)))))))))))))</f>
        <v>-</v>
      </c>
      <c r="J627" s="36" t="str">
        <f>IF(AND($Q$1=FALSE,$S$3=FALSE),"-",IF(AND($Q$1=TRUE,$S$3=TRUE),"-",IF(AND($Q$1=FALSE,$S$3=FALSE),"-",IF(AND($Q$1=TRUE,$S$1=TRUE,$S$4=FALSE)=TRUE,IF(OR($Q$4=TRUE,$Q$5=TRUE,$S$2=TRUE),VLOOKUP($G627,'KO Calc'!$H:$AW,FALSE),VLOOKUP($G627,'KO Calc'!$H633:$AW633,14,FALSE)),IF(AND($Q$1=TRUE,$S$4=FALSE),IF(OR($Q$4=TRUE,$Q$5=TRUE,$S$2=TRUE),VLOOKUP($G627,'KO Calc'!$H:$AW,4,FALSE),VLOOKUP($G627,'KO Calc'!$H633:$AW633,4,FALSE)),
IF(AND($Q$1=TRUE,$S$1=TRUE,$S$4=TRUE)=TRUE,IF(OR($Q$4=TRUE,$Q$5=TRUE,$S$2=TRUE),VLOOKUP($G627,'KO Calc'!$H:$AW,19,FALSE),VLOOKUP($G627,'KO Calc'!$H633:$AW633,19,FALSE)),IF(AND($Q$1=TRUE,$S$4=TRUE),IF(OR($Q$4=TRUE,$Q$5=TRUE,$S$2=TRUE),VLOOKUP($G627,'KO Calc'!$H:$AW,9,FALSE),VLOOKUP($G627,'KO Calc'!$H633:$AW633,9,FALSE)),
IF(AND($S$3=TRUE,$S$1=TRUE,$S$4=FALSE)=TRUE,IF(OR($Q$4=TRUE,$Q$5=TRUE,$S$2=TRUE),VLOOKUP($G627,'KO Calc'!$H:$AW,34,FALSE),VLOOKUP($G627,'KO Calc'!$H633:$AW633,34,FALSE)),IF(AND($S$3=TRUE,$S$4=FALSE),IF(OR($Q$4=TRUE,$Q$5=TRUE,$S$2=TRUE),VLOOKUP($G627,'KO Calc'!$H:$AW,24,FALSE),VLOOKUP($G627,'KO Calc'!$H633:$AW633,24,FALSE)),
IF(AND($S$3=TRUE,$S$1=TRUE,$S$4=TRUE)=TRUE,IF(OR($Q$4=TRUE,$Q$5=TRUE,$S$2=TRUE),VLOOKUP($G627,'KO Calc'!$H:$AW,39,FALSE),VLOOKUP($G627,'KO Calc'!$H633:$AW633,39,FALSE)),IF(AND($S$3=TRUE,$S$4=TRUE),IF(OR($Q$4=TRUE,$Q$5=TRUE,$S$2=TRUE),VLOOKUP($G627,'KO Calc'!$H:$AW,29,FALSE),VLOOKUP($G627,'KO Calc'!$H633:$AW633,29,FALSE)))))))))))))</f>
        <v>-</v>
      </c>
      <c r="K627" s="36" t="str">
        <f>IF(AND($Q$1=FALSE,$S$3=FALSE),"-",IF(AND($Q$1=TRUE,$S$3=TRUE),"-",IF(AND($Q$1=FALSE,$S$3=FALSE),"-",IF(AND($Q$1=TRUE,$S$1=TRUE,$S$4=FALSE)=TRUE,IF(OR($Q$4=TRUE,$Q$5=TRUE,$S$2=TRUE),VLOOKUP($G627,'KO Calc'!$H:$AW,15,FALSE),VLOOKUP($G627,'KO Calc'!$H633:$AW633,15,FALSE)),IF(AND($Q$1=TRUE,$S$4=FALSE),IF(OR($Q$4=TRUE,$Q$5=TRUE,$S$2=TRUE),VLOOKUP($G627,'KO Calc'!$H:$AW,5,FALSE),VLOOKUP($G627,'KO Calc'!$H633:$AW633,5,FALSE)),
IF(AND($Q$1=TRUE,$S$1=TRUE,$S$4=TRUE)=TRUE,IF(OR($Q$4=TRUE,$Q$5=TRUE,$S$2=TRUE),VLOOKUP($G627,'KO Calc'!$H:$AW,20,FALSE),VLOOKUP($G627,'KO Calc'!$H633:$AW633,20,FALSE)),IF(AND($Q$1=TRUE,$S$4=TRUE),IF(OR($Q$4=TRUE,$Q$5=TRUE,$S$2=TRUE),VLOOKUP($G627,'KO Calc'!$H:$AW,10,FALSE),VLOOKUP($G627,'KO Calc'!$H633:$AW633,10,FALSE)),
IF(AND($S$3=TRUE,$S$1=TRUE,$S$4=FALSE)=TRUE,IF(OR($Q$4=TRUE,$Q$5=TRUE,$S$2=TRUE),VLOOKUP($G627,'KO Calc'!$H:$AW,35,FALSE),VLOOKUP($G627,'KO Calc'!$H633:$AW633,35,FALSE)),IF(AND($S$3=TRUE,$S$4=FALSE),IF(OR($Q$4=TRUE,$Q$5=TRUE,$S$2=TRUE),VLOOKUP($G627,'KO Calc'!$H:$AW,25,FALSE),VLOOKUP($G627,'KO Calc'!$H633:$AW633,25,FALSE)),
IF(AND($S$3=TRUE,$S$1=TRUE,$S$4=TRUE)=TRUE,IF(OR($Q$4=TRUE,$Q$5=TRUE,$S$2=TRUE),VLOOKUP($G627,'KO Calc'!$H:$AW,40,FALSE),VLOOKUP($G627,'KO Calc'!$H633:$AW633,40,FALSE)),IF(AND($S$3=TRUE,$S$4=TRUE),IF(OR($Q$4=TRUE,$Q$5=TRUE,$S$2=TRUE),VLOOKUP($G627,'KO Calc'!$H:$AW,30,FALSE),VLOOKUP($G627,'KO Calc'!$H633:$AW633,30,FALSE)))))))))))))</f>
        <v>-</v>
      </c>
      <c r="L627" s="36" t="str">
        <f>IFERROR(IF(AND($Q$1=FALSE,$S$3=FALSE),"-",VLOOKUP($E627,'Status Thresholds'!$E:$AU,43,FALSE)),"-")</f>
        <v>-</v>
      </c>
      <c r="M627" s="36" t="str">
        <f>IFERROR(IF(AND($Q$1=FALSE,$S$3=FALSE),"-",VLOOKUP($E627,'Status Thresholds'!$E:$AU,41,FALSE)),"-")</f>
        <v>-</v>
      </c>
      <c r="N627" s="36" t="str">
        <f>IFERROR(IF(AND($Q$1=FALSE,$S$3=FALSE),"-",VLOOKUP($E627,'Status Thresholds'!$E:$AU,42,FALSE)),"-")</f>
        <v>-</v>
      </c>
    </row>
    <row r="628" spans="1:14" x14ac:dyDescent="0.25">
      <c r="B628" s="64" t="str">
        <f>VLOOKUP(C628,'Status Thresholds'!B:C,2,FALSE)</f>
        <v>MHGen</v>
      </c>
      <c r="C628" s="46" t="str">
        <f>IF(ISBLANK('KO Calc'!C624)=TRUE,"",'KO Calc'!C624)</f>
        <v>Rathian</v>
      </c>
      <c r="D628" s="78"/>
      <c r="E628" s="62" t="str">
        <f t="shared" si="17"/>
        <v>Rathian</v>
      </c>
      <c r="F628" t="s">
        <v>11</v>
      </c>
      <c r="G628" s="36" t="str">
        <f t="shared" si="18"/>
        <v>RathianCrag 1</v>
      </c>
      <c r="H628" s="36" t="str">
        <f>IF(AND($Q$1=FALSE,$S$3=FALSE),"-",IF(AND($Q$1=TRUE,$S$3=TRUE),"-",IF(AND($Q$1=FALSE,$S$3=FALSE),"-",IF(AND($Q$1=TRUE,$S$1=TRUE,$S$4=FALSE)=TRUE,IF(OR($Q$4=TRUE,$Q$5=TRUE,$S$2=TRUE),VLOOKUP($G628,'KO Calc'!$H:$AW,12,FALSE),VLOOKUP($G628,'KO Calc'!$H634:$AW634,12,FALSE)),IF(AND($Q$1=TRUE,$S$4=FALSE),IF(OR($Q$4=TRUE,$Q$5=TRUE,$S$2=TRUE),VLOOKUP($G628,'KO Calc'!$H:$AW,2,FALSE),VLOOKUP($G628,'KO Calc'!$H634:$AW634,2,FALSE)),
IF(AND($Q$1=TRUE,$S$1=TRUE,$S$4=TRUE)=TRUE,IF(OR($Q$4=TRUE,$Q$5=TRUE,$S$2=TRUE),VLOOKUP($G628,'KO Calc'!$H:$AW,17,FALSE),VLOOKUP($G628,'KO Calc'!$H634:$AW634,17,FALSE)),IF(AND($Q$1=TRUE,$S$4=TRUE),IF(OR($Q$4=TRUE,$Q$5=TRUE,$S$2=TRUE),VLOOKUP($G628,'KO Calc'!$H:$AW,7,FALSE),VLOOKUP($G628,'KO Calc'!$H634:$AW634,7,FALSE)),
IF(AND($S$3=TRUE,$S$1=TRUE,$S$4=FALSE)=TRUE,IF(OR($Q$4=TRUE,$Q$5=TRUE,$S$2=TRUE),VLOOKUP($G628,'KO Calc'!$H:$AW,32,FALSE),VLOOKUP($G628,'KO Calc'!$H634:$AW634,32,FALSE)),IF(AND($S$3=TRUE,$S$4=FALSE),IF(OR($Q$4=TRUE,$Q$5=TRUE,$S$2=TRUE),VLOOKUP($G628,'KO Calc'!$H:$AW,22,FALSE),VLOOKUP($G628,'KO Calc'!$H634:$AW634,22,FALSE)),
IF(AND($S$3=TRUE,$S$1=TRUE,$S$4=TRUE)=TRUE,IF(OR($Q$4=TRUE,$Q$5=TRUE,$S$2=TRUE),VLOOKUP($G628,'KO Calc'!$H:$AW,37,FALSE),VLOOKUP($G628,'KO Calc'!$H634:$AW634,37,FALSE)),IF(AND($S$3=TRUE,$S$4=TRUE),IF(OR($Q$4=TRUE,$Q$5=TRUE,$S$2=TRUE),VLOOKUP($G628,'KO Calc'!$H:$AW,27,FALSE),VLOOKUP($G628,'KO Calc'!$H634:$AW634,27,FALSE)))))))))))))</f>
        <v>-</v>
      </c>
      <c r="I628" s="36" t="str">
        <f>IF(AND($Q$1=FALSE,$S$3=FALSE),"-",IF(AND($Q$1=TRUE,$S$3=TRUE),"-",IF(AND($Q$1=FALSE,$S$3=FALSE),"-",IF(AND($Q$1=TRUE,$S$1=TRUE,$S$4=FALSE)=TRUE,IF(OR($Q$4=TRUE,$Q$5=TRUE,$S$2=TRUE),VLOOKUP($G628,'KO Calc'!$H:$AW,13,FALSE),VLOOKUP($G628,'KO Calc'!$H634:$AW634,13,FALSE)),IF(AND($Q$1=TRUE,$S$4=FALSE),IF(OR($Q$4=TRUE,$Q$5=TRUE,$S$2=TRUE),VLOOKUP($G628,'KO Calc'!$H:$AW,3,FALSE),VLOOKUP($G628,'KO Calc'!$H634:$AW634,3,FALSE)),
IF(AND($Q$1=TRUE,$S$1=TRUE,$S$4=TRUE)=TRUE,IF(OR($Q$4=TRUE,$Q$5=TRUE,$S$2=TRUE),VLOOKUP($G628,'KO Calc'!$H:$AW,18,FALSE),VLOOKUP($G628,'KO Calc'!$H634:$AW634,18,FALSE)),IF(AND($Q$1=TRUE,$S$4=TRUE),IF(OR($Q$4=TRUE,$Q$5=TRUE,$S$2=TRUE),VLOOKUP($G628,'KO Calc'!$H:$AW,8,FALSE),VLOOKUP($G628,'KO Calc'!$H634:$AW634,8,FALSE)),
IF(AND($S$3=TRUE,$S$1=TRUE,$S$4=FALSE)=TRUE,IF(OR($Q$4=TRUE,$Q$5=TRUE,$S$2=TRUE),VLOOKUP($G628,'KO Calc'!$H:$AW,33,FALSE),VLOOKUP($G628,'KO Calc'!$H634:$AW634,33,FALSE)),IF(AND($S$3=TRUE,$S$4=FALSE),IF(OR($Q$4=TRUE,$Q$5=TRUE,$S$2=TRUE),VLOOKUP($G628,'KO Calc'!$H:$AW,23,FALSE),VLOOKUP($G628,'KO Calc'!$H634:$AW634,23,FALSE)),
IF(AND($S$3=TRUE,$S$1=TRUE,$S$4=TRUE)=TRUE,IF(OR($Q$4=TRUE,$Q$5=TRUE,$S$2=TRUE),VLOOKUP($G628,'KO Calc'!$H:$AW,38,FALSE),VLOOKUP($G628,'KO Calc'!$H634:$AW634,38,FALSE)),IF(AND($S$3=TRUE,$S$4=TRUE),IF(OR($Q$4=TRUE,$Q$5=TRUE,$S$2=TRUE),VLOOKUP($G628,'KO Calc'!$H:$AW,28,FALSE),VLOOKUP($G628,'KO Calc'!$H634:$AW634,28,FALSE)))))))))))))</f>
        <v>-</v>
      </c>
      <c r="J628" s="36" t="str">
        <f>IF(AND($Q$1=FALSE,$S$3=FALSE),"-",IF(AND($Q$1=TRUE,$S$3=TRUE),"-",IF(AND($Q$1=FALSE,$S$3=FALSE),"-",IF(AND($Q$1=TRUE,$S$1=TRUE,$S$4=FALSE)=TRUE,IF(OR($Q$4=TRUE,$Q$5=TRUE,$S$2=TRUE),VLOOKUP($G628,'KO Calc'!$H:$AW,FALSE),VLOOKUP($G628,'KO Calc'!$H634:$AW634,14,FALSE)),IF(AND($Q$1=TRUE,$S$4=FALSE),IF(OR($Q$4=TRUE,$Q$5=TRUE,$S$2=TRUE),VLOOKUP($G628,'KO Calc'!$H:$AW,4,FALSE),VLOOKUP($G628,'KO Calc'!$H634:$AW634,4,FALSE)),
IF(AND($Q$1=TRUE,$S$1=TRUE,$S$4=TRUE)=TRUE,IF(OR($Q$4=TRUE,$Q$5=TRUE,$S$2=TRUE),VLOOKUP($G628,'KO Calc'!$H:$AW,19,FALSE),VLOOKUP($G628,'KO Calc'!$H634:$AW634,19,FALSE)),IF(AND($Q$1=TRUE,$S$4=TRUE),IF(OR($Q$4=TRUE,$Q$5=TRUE,$S$2=TRUE),VLOOKUP($G628,'KO Calc'!$H:$AW,9,FALSE),VLOOKUP($G628,'KO Calc'!$H634:$AW634,9,FALSE)),
IF(AND($S$3=TRUE,$S$1=TRUE,$S$4=FALSE)=TRUE,IF(OR($Q$4=TRUE,$Q$5=TRUE,$S$2=TRUE),VLOOKUP($G628,'KO Calc'!$H:$AW,34,FALSE),VLOOKUP($G628,'KO Calc'!$H634:$AW634,34,FALSE)),IF(AND($S$3=TRUE,$S$4=FALSE),IF(OR($Q$4=TRUE,$Q$5=TRUE,$S$2=TRUE),VLOOKUP($G628,'KO Calc'!$H:$AW,24,FALSE),VLOOKUP($G628,'KO Calc'!$H634:$AW634,24,FALSE)),
IF(AND($S$3=TRUE,$S$1=TRUE,$S$4=TRUE)=TRUE,IF(OR($Q$4=TRUE,$Q$5=TRUE,$S$2=TRUE),VLOOKUP($G628,'KO Calc'!$H:$AW,39,FALSE),VLOOKUP($G628,'KO Calc'!$H634:$AW634,39,FALSE)),IF(AND($S$3=TRUE,$S$4=TRUE),IF(OR($Q$4=TRUE,$Q$5=TRUE,$S$2=TRUE),VLOOKUP($G628,'KO Calc'!$H:$AW,29,FALSE),VLOOKUP($G628,'KO Calc'!$H634:$AW634,29,FALSE)))))))))))))</f>
        <v>-</v>
      </c>
      <c r="K628" s="36" t="str">
        <f>IF(AND($Q$1=FALSE,$S$3=FALSE),"-",IF(AND($Q$1=TRUE,$S$3=TRUE),"-",IF(AND($Q$1=FALSE,$S$3=FALSE),"-",IF(AND($Q$1=TRUE,$S$1=TRUE,$S$4=FALSE)=TRUE,IF(OR($Q$4=TRUE,$Q$5=TRUE,$S$2=TRUE),VLOOKUP($G628,'KO Calc'!$H:$AW,15,FALSE),VLOOKUP($G628,'KO Calc'!$H634:$AW634,15,FALSE)),IF(AND($Q$1=TRUE,$S$4=FALSE),IF(OR($Q$4=TRUE,$Q$5=TRUE,$S$2=TRUE),VLOOKUP($G628,'KO Calc'!$H:$AW,5,FALSE),VLOOKUP($G628,'KO Calc'!$H634:$AW634,5,FALSE)),
IF(AND($Q$1=TRUE,$S$1=TRUE,$S$4=TRUE)=TRUE,IF(OR($Q$4=TRUE,$Q$5=TRUE,$S$2=TRUE),VLOOKUP($G628,'KO Calc'!$H:$AW,20,FALSE),VLOOKUP($G628,'KO Calc'!$H634:$AW634,20,FALSE)),IF(AND($Q$1=TRUE,$S$4=TRUE),IF(OR($Q$4=TRUE,$Q$5=TRUE,$S$2=TRUE),VLOOKUP($G628,'KO Calc'!$H:$AW,10,FALSE),VLOOKUP($G628,'KO Calc'!$H634:$AW634,10,FALSE)),
IF(AND($S$3=TRUE,$S$1=TRUE,$S$4=FALSE)=TRUE,IF(OR($Q$4=TRUE,$Q$5=TRUE,$S$2=TRUE),VLOOKUP($G628,'KO Calc'!$H:$AW,35,FALSE),VLOOKUP($G628,'KO Calc'!$H634:$AW634,35,FALSE)),IF(AND($S$3=TRUE,$S$4=FALSE),IF(OR($Q$4=TRUE,$Q$5=TRUE,$S$2=TRUE),VLOOKUP($G628,'KO Calc'!$H:$AW,25,FALSE),VLOOKUP($G628,'KO Calc'!$H634:$AW634,25,FALSE)),
IF(AND($S$3=TRUE,$S$1=TRUE,$S$4=TRUE)=TRUE,IF(OR($Q$4=TRUE,$Q$5=TRUE,$S$2=TRUE),VLOOKUP($G628,'KO Calc'!$H:$AW,40,FALSE),VLOOKUP($G628,'KO Calc'!$H634:$AW634,40,FALSE)),IF(AND($S$3=TRUE,$S$4=TRUE),IF(OR($Q$4=TRUE,$Q$5=TRUE,$S$2=TRUE),VLOOKUP($G628,'KO Calc'!$H:$AW,30,FALSE),VLOOKUP($G628,'KO Calc'!$H634:$AW634,30,FALSE)))))))))))))</f>
        <v>-</v>
      </c>
      <c r="L628" s="36" t="str">
        <f>IFERROR(VLOOKUP($E628,'Status Thresholds'!$E:$AS,41,FALSE),"-")</f>
        <v>-</v>
      </c>
    </row>
    <row r="629" spans="1:14" x14ac:dyDescent="0.25">
      <c r="B629" s="64" t="str">
        <f>VLOOKUP(C629,'Status Thresholds'!B:C,2,FALSE)</f>
        <v>MHGen</v>
      </c>
      <c r="C629" s="46" t="str">
        <f>IF(ISBLANK('KO Calc'!C625)=TRUE,"",'KO Calc'!C625)</f>
        <v>Rathian</v>
      </c>
      <c r="D629" s="78"/>
      <c r="E629" s="62" t="str">
        <f t="shared" si="17"/>
        <v>Rathian</v>
      </c>
      <c r="G629" s="36" t="str">
        <f t="shared" si="18"/>
        <v>Rathian</v>
      </c>
      <c r="L629" s="36" t="str">
        <f>IFERROR(VLOOKUP($E629,'Status Thresholds'!$E:$AS,41,FALSE),"-")</f>
        <v>-</v>
      </c>
    </row>
    <row r="630" spans="1:14" s="36" customFormat="1" x14ac:dyDescent="0.25">
      <c r="B630" s="64" t="str">
        <f>VLOOKUP(C630,'Status Thresholds'!B:C,2,FALSE)</f>
        <v>MHGen</v>
      </c>
      <c r="C630" s="46" t="str">
        <f>IF(ISBLANK('KO Calc'!C626)=TRUE,"",'KO Calc'!C626)</f>
        <v>Rathian (Gold)</v>
      </c>
      <c r="D630" s="65" t="s">
        <v>0</v>
      </c>
      <c r="E630" s="62" t="str">
        <f t="shared" si="17"/>
        <v>Rathian (Gold)Para</v>
      </c>
      <c r="F630" s="36" t="s">
        <v>2</v>
      </c>
      <c r="G630" s="36" t="str">
        <f t="shared" si="18"/>
        <v>Rathian (Gold)Para lvl 2</v>
      </c>
      <c r="H630" s="36" t="str">
        <f>IFERROR(ROUNDUP(IF(AND($Q$1=FALSE,$S$3=FALSE),"-",IF(AND($Q$1=TRUE,$S$3=TRUE),"-",IF(AND($Q$1=TRUE,$S$1=TRUE,$S$4=FALSE),VLOOKUP($E630,'Status Thresholds'!$E:$AS,12,FALSE),IF(AND($Q$1=TRUE,$S$4=FALSE),VLOOKUP($E630,'Status Thresholds'!$E:$AS,2,FALSE), IF(AND($Q$1=TRUE,$S$1=TRUE,$S$4=TRUE),VLOOKUP($E630,'Status Thresholds'!$E:$AS,17,FALSE),IF(AND($Q$1=TRUE,$S$4=TRUE),VLOOKUP($E630,'Status Thresholds'!$E:$AS,7,FALSE),IF(AND($S$3=TRUE,$S$1=TRUE,$S$4=FALSE),VLOOKUP($E630,'Status Thresholds'!$E:$AS,32,FALSE),IF(AND($S$3=TRUE,$S$4=FALSE),VLOOKUP($E630,'Status Thresholds'!$E:$AS,22,FALSE),IF(AND($S$3=TRUE,$S$1=TRUE,$S$4=TRUE),VLOOKUP($E630,'Status Thresholds'!$E:$AS,37,FALSE),IF(AND($S$3=TRUE,$S$4=TRUE),VLOOKUP($E630,'Status Thresholds'!$E:$AS,27,FALSE),""))))))))/IF(OR($Q$3=TRUE,AND($Q$2=TRUE,$Q$7=TRUE),AND($Q$3=TRUE,$Q$7=TRUE))=TRUE,'Shots and Status'!$F$5,IF((OR($Q$2,$Q$7)=TRUE),'Shots and Status'!$D$5,'Shots and Status'!$C$5)))),0),"-")</f>
        <v>-</v>
      </c>
      <c r="I630" s="36" t="str">
        <f>IFERROR(ROUNDUP(IF(AND($Q$1=FALSE,$S$3=FALSE),"-",IF(AND($Q$1=TRUE,$S$3=TRUE),"-",IF(AND($Q$1=TRUE,$S$1=TRUE,$S$4=FALSE),VLOOKUP($E630,'Status Thresholds'!$E:$AS,13,FALSE),IF(AND($Q$1=TRUE,$S$4=FALSE),VLOOKUP($E630,'Status Thresholds'!$E:$AS,3,FALSE), IF(AND($Q$1=TRUE,$S$1=TRUE,$S$4=TRUE),VLOOKUP($E630,'Status Thresholds'!$E:$AS,18,FALSE),IF(AND($Q$1=TRUE,$S$4=TRUE),VLOOKUP($E630,'Status Thresholds'!$E:$AS,8,FALSE),IF(AND($S$3=TRUE,$S$1=TRUE,$S$4=FALSE),VLOOKUP($E630,'Status Thresholds'!$E:$AS,33,FALSE),IF(AND($S$3=TRUE,$S$4=FALSE),VLOOKUP($E630,'Status Thresholds'!$E:$AS,23,FALSE),IF(AND($S$3=TRUE,$S$1=TRUE,$S$4=TRUE),VLOOKUP($E630,'Status Thresholds'!$E:$AS,38,FALSE),IF(AND($S$3=TRUE,$S$4=TRUE),VLOOKUP($E630,'Status Thresholds'!$E:$AS,28,FALSE),""))))))))/IF(OR($Q$3=TRUE,AND($Q$2=TRUE,$Q$7=TRUE),AND($Q$3=TRUE,$Q$7=TRUE))=TRUE,'Shots and Status'!$F$5,IF((OR($Q$2,$Q$7)=TRUE),'Shots and Status'!$D$5,'Shots and Status'!$C$5)))),0),"-")</f>
        <v>-</v>
      </c>
      <c r="J630" s="36" t="str">
        <f>IFERROR(ROUNDUP(IF(AND($Q$1=FALSE,$S$3=FALSE),"-",IF(AND($Q$1=TRUE,$S$3=TRUE),"-",IF(AND($Q$1=TRUE,$S$1=TRUE,$S$4=FALSE),VLOOKUP($E630,'Status Thresholds'!$E:$AS,14,FALSE),IF(AND($Q$1=TRUE,$S$4=FALSE),VLOOKUP($E630,'Status Thresholds'!$E:$AS,4,FALSE), IF(AND($Q$1=TRUE,$S$1=TRUE,$S$4=TRUE),VLOOKUP($E630,'Status Thresholds'!$E:$AS,19,FALSE),IF(AND($Q$1=TRUE,$S$4=TRUE),VLOOKUP($E630,'Status Thresholds'!$E:$AS,9,FALSE),IF(AND($S$3=TRUE,$S$1=TRUE,$S$4=FALSE),VLOOKUP($E630,'Status Thresholds'!$E:$AS,34,FALSE),IF(AND($S$3=TRUE,$S$4=FALSE),VLOOKUP($E630,'Status Thresholds'!$E:$AS,24,FALSE),IF(AND($S$3=TRUE,$S$1=TRUE,$S$4=TRUE),VLOOKUP($E630,'Status Thresholds'!$E:$AS,39,FALSE),IF(AND($S$3=TRUE,$S$4=TRUE),VLOOKUP($E630,'Status Thresholds'!$E:$AS,29,FALSE),""))))))))/IF(OR($Q$3=TRUE,AND($Q$2=TRUE,$Q$7=TRUE),AND($Q$3=TRUE,$Q$7=TRUE))=TRUE,'Shots and Status'!$F$5,IF((OR($Q$2,$Q$7)=TRUE),'Shots and Status'!$D$5,'Shots and Status'!$C$5)))),0),"-")</f>
        <v>-</v>
      </c>
      <c r="K630" s="36" t="str">
        <f>IFERROR(ROUNDUP(IF(AND($Q$1=FALSE,$S$3=FALSE),"-",IF(AND($Q$1=TRUE,$S$3=TRUE),"-",IF(AND($Q$1=TRUE,$S$1=TRUE,$S$4=FALSE),VLOOKUP($E630,'Status Thresholds'!$E:$AS,15,FALSE),IF(AND($Q$1=TRUE,$S$4=FALSE),VLOOKUP($E630,'Status Thresholds'!$E:$AS,5,FALSE), IF(AND($Q$1=TRUE,$S$1=TRUE,$S$4=TRUE),VLOOKUP($E630,'Status Thresholds'!$E:$AS,20,FALSE),IF(AND($Q$1=TRUE,$S$4=TRUE),VLOOKUP($E630,'Status Thresholds'!$E:$AS,10,FALSE),IF(AND($S$3=TRUE,$S$1=TRUE,$S$4=FALSE),VLOOKUP($E630,'Status Thresholds'!$E:$AS,35,FALSE),IF(AND($S$3=TRUE,$S$4=FALSE),VLOOKUP($E630,'Status Thresholds'!$E:$AS,25,FALSE),IF(AND($S$3=TRUE,$S$1=TRUE,$S$4=TRUE),VLOOKUP($E630,'Status Thresholds'!$E:$AS,40,FALSE),IF(AND($S$3=TRUE,$S$4=TRUE),VLOOKUP($E630,'Status Thresholds'!$E:$AS,30,FALSE),""))))))))/IF(OR($Q$3=TRUE,AND($Q$2=TRUE,$Q$7=TRUE),AND($Q$3=TRUE,$Q$7=TRUE))=TRUE,'Shots and Status'!$F$5,IF((OR($Q$2,$Q$7)=TRUE),'Shots and Status'!$D$5,'Shots and Status'!$C$5)))),0),"-")</f>
        <v>-</v>
      </c>
      <c r="L630" s="36" t="str">
        <f>IFERROR(IF(AND($Q$1=FALSE,$S$3=FALSE),"-",VLOOKUP($E630,'Status Thresholds'!$E:$AU,41,FALSE)),"-")</f>
        <v>-</v>
      </c>
      <c r="M630" s="36" t="str">
        <f>IFERROR(IF(AND($Q$1=FALSE,$S$3=FALSE),"-",VLOOKUP($E630,'Status Thresholds'!$E:$AU,42,FALSE)),"-")</f>
        <v>-</v>
      </c>
      <c r="N630" s="36" t="str">
        <f>IFERROR(IF(AND($Q$1=FALSE,$S$3=FALSE),"-",VLOOKUP($E630,'Status Thresholds'!$E:$AU,43,FALSE)),"-")</f>
        <v>-</v>
      </c>
    </row>
    <row r="631" spans="1:14" x14ac:dyDescent="0.25">
      <c r="B631" s="64" t="str">
        <f>VLOOKUP(C631,'Status Thresholds'!B:C,2,FALSE)</f>
        <v>MHGen</v>
      </c>
      <c r="C631" s="46" t="str">
        <f>IF(ISBLANK('KO Calc'!C627)=TRUE,"",'KO Calc'!C627)</f>
        <v>Rathian (Gold)</v>
      </c>
      <c r="D631" s="60" t="s">
        <v>32</v>
      </c>
      <c r="E631" s="62" t="str">
        <f t="shared" si="17"/>
        <v>Rathian (Gold)Sleep</v>
      </c>
      <c r="F631" s="59" t="s">
        <v>5</v>
      </c>
      <c r="G631" s="36" t="str">
        <f t="shared" si="18"/>
        <v>Rathian (Gold)Sleep lvl 2</v>
      </c>
      <c r="H631" s="36" t="str">
        <f>IFERROR(ROUNDUP(IF(AND($Q$1=FALSE,$S$3=FALSE),"-",IF(AND($Q$1=TRUE,$S$3=TRUE),"-",IF(AND($Q$1=TRUE,$S$1=TRUE,$S$4=FALSE),VLOOKUP($E631,'Status Thresholds'!$E:$AS,12,FALSE),IF(AND($Q$1=TRUE,$S$4=FALSE),VLOOKUP($E631,'Status Thresholds'!$E:$AS,2,FALSE), IF(AND($Q$1=TRUE,$S$1=TRUE,$S$4=TRUE),VLOOKUP($E631,'Status Thresholds'!$E:$AS,17,FALSE),IF(AND($Q$1=TRUE,$S$4=TRUE),VLOOKUP($E631,'Status Thresholds'!$E:$AS,7,FALSE),IF(AND($S$3=TRUE,$S$1=TRUE,$S$4=FALSE),VLOOKUP($E631,'Status Thresholds'!$E:$AS,32,FALSE),IF(AND($S$3=TRUE,$S$4=FALSE),VLOOKUP($E631,'Status Thresholds'!$E:$AS,22,FALSE),IF(AND($S$3=TRUE,$S$1=TRUE,$S$4=TRUE),VLOOKUP($E631,'Status Thresholds'!$E:$AS,37,FALSE),IF(AND($S$3=TRUE,$S$4=TRUE),VLOOKUP($E631,'Status Thresholds'!$E:$AS,27,FALSE),""))))))))/IF(OR($Q$3=TRUE,AND($Q$2=TRUE,$Q$7=TRUE),AND($Q$3=TRUE,$Q$7=TRUE))=TRUE,'Shots and Status'!$F$5,IF((OR($Q$2,$Q$7)=TRUE),'Shots and Status'!$D$5,'Shots and Status'!$C$5)))),0),"-")</f>
        <v>-</v>
      </c>
      <c r="I631" s="36" t="str">
        <f>IFERROR(ROUNDUP(IF(AND($Q$1=FALSE,$S$3=FALSE),"-",IF(AND($Q$1=TRUE,$S$3=TRUE),"-",IF(AND($Q$1=TRUE,$S$1=TRUE,$S$4=FALSE),VLOOKUP($E631,'Status Thresholds'!$E:$AS,13,FALSE),IF(AND($Q$1=TRUE,$S$4=FALSE),VLOOKUP($E631,'Status Thresholds'!$E:$AS,3,FALSE), IF(AND($Q$1=TRUE,$S$1=TRUE,$S$4=TRUE),VLOOKUP($E631,'Status Thresholds'!$E:$AS,18,FALSE),IF(AND($Q$1=TRUE,$S$4=TRUE),VLOOKUP($E631,'Status Thresholds'!$E:$AS,8,FALSE),IF(AND($S$3=TRUE,$S$1=TRUE,$S$4=FALSE),VLOOKUP($E631,'Status Thresholds'!$E:$AS,33,FALSE),IF(AND($S$3=TRUE,$S$4=FALSE),VLOOKUP($E631,'Status Thresholds'!$E:$AS,23,FALSE),IF(AND($S$3=TRUE,$S$1=TRUE,$S$4=TRUE),VLOOKUP($E631,'Status Thresholds'!$E:$AS,38,FALSE),IF(AND($S$3=TRUE,$S$4=TRUE),VLOOKUP($E631,'Status Thresholds'!$E:$AS,28,FALSE),""))))))))/IF(OR($Q$3=TRUE,AND($Q$2=TRUE,$Q$7=TRUE),AND($Q$3=TRUE,$Q$7=TRUE))=TRUE,'Shots and Status'!$F$5,IF((OR($Q$2,$Q$7)=TRUE),'Shots and Status'!$D$5,'Shots and Status'!$C$5)))),0),"-")</f>
        <v>-</v>
      </c>
      <c r="J631" s="36" t="str">
        <f>IFERROR(ROUNDUP(IF(AND($Q$1=FALSE,$S$3=FALSE),"-",IF(AND($Q$1=TRUE,$S$3=TRUE),"-",IF(AND($Q$1=TRUE,$S$1=TRUE,$S$4=FALSE),VLOOKUP($E631,'Status Thresholds'!$E:$AS,14,FALSE),IF(AND($Q$1=TRUE,$S$4=FALSE),VLOOKUP($E631,'Status Thresholds'!$E:$AS,4,FALSE), IF(AND($Q$1=TRUE,$S$1=TRUE,$S$4=TRUE),VLOOKUP($E631,'Status Thresholds'!$E:$AS,19,FALSE),IF(AND($Q$1=TRUE,$S$4=TRUE),VLOOKUP($E631,'Status Thresholds'!$E:$AS,9,FALSE),IF(AND($S$3=TRUE,$S$1=TRUE,$S$4=FALSE),VLOOKUP($E631,'Status Thresholds'!$E:$AS,34,FALSE),IF(AND($S$3=TRUE,$S$4=FALSE),VLOOKUP($E631,'Status Thresholds'!$E:$AS,24,FALSE),IF(AND($S$3=TRUE,$S$1=TRUE,$S$4=TRUE),VLOOKUP($E631,'Status Thresholds'!$E:$AS,39,FALSE),IF(AND($S$3=TRUE,$S$4=TRUE),VLOOKUP($E631,'Status Thresholds'!$E:$AS,29,FALSE),""))))))))/IF(OR($Q$3=TRUE,AND($Q$2=TRUE,$Q$7=TRUE),AND($Q$3=TRUE,$Q$7=TRUE))=TRUE,'Shots and Status'!$F$5,IF((OR($Q$2,$Q$7)=TRUE),'Shots and Status'!$D$5,'Shots and Status'!$C$5)))),0),"-")</f>
        <v>-</v>
      </c>
      <c r="K631" s="36" t="str">
        <f>IFERROR(ROUNDUP(IF(AND($Q$1=FALSE,$S$3=FALSE),"-",IF(AND($Q$1=TRUE,$S$3=TRUE),"-",IF(AND($Q$1=TRUE,$S$1=TRUE,$S$4=FALSE),VLOOKUP($E631,'Status Thresholds'!$E:$AS,15,FALSE),IF(AND($Q$1=TRUE,$S$4=FALSE),VLOOKUP($E631,'Status Thresholds'!$E:$AS,5,FALSE), IF(AND($Q$1=TRUE,$S$1=TRUE,$S$4=TRUE),VLOOKUP($E631,'Status Thresholds'!$E:$AS,20,FALSE),IF(AND($Q$1=TRUE,$S$4=TRUE),VLOOKUP($E631,'Status Thresholds'!$E:$AS,10,FALSE),IF(AND($S$3=TRUE,$S$1=TRUE,$S$4=FALSE),VLOOKUP($E631,'Status Thresholds'!$E:$AS,35,FALSE),IF(AND($S$3=TRUE,$S$4=FALSE),VLOOKUP($E631,'Status Thresholds'!$E:$AS,25,FALSE),IF(AND($S$3=TRUE,$S$1=TRUE,$S$4=TRUE),VLOOKUP($E631,'Status Thresholds'!$E:$AS,40,FALSE),IF(AND($S$3=TRUE,$S$4=TRUE),VLOOKUP($E631,'Status Thresholds'!$E:$AS,30,FALSE),""))))))))/IF(OR($Q$3=TRUE,AND($Q$2=TRUE,$Q$7=TRUE),AND($Q$3=TRUE,$Q$7=TRUE))=TRUE,'Shots and Status'!$F$5,IF((OR($Q$2,$Q$7)=TRUE),'Shots and Status'!$D$5,'Shots and Status'!$C$5)))),0),"-")</f>
        <v>-</v>
      </c>
      <c r="L631" s="36" t="str">
        <f>IFERROR(IF(AND($Q$1=FALSE,$S$3=FALSE),"-",VLOOKUP($E631,'Status Thresholds'!$E:$AU,41,FALSE)),"-")</f>
        <v>-</v>
      </c>
      <c r="M631" s="36" t="str">
        <f>IFERROR(IF(AND($Q$1=FALSE,$S$3=FALSE),"-",VLOOKUP($E631,'Status Thresholds'!$E:$AU,42,FALSE)),"-")</f>
        <v>-</v>
      </c>
      <c r="N631" s="36" t="str">
        <f>IFERROR(IF(AND($Q$1=FALSE,$S$3=FALSE),"-",VLOOKUP($E631,'Status Thresholds'!$E:$AU,43,FALSE)),"-")</f>
        <v>-</v>
      </c>
    </row>
    <row r="632" spans="1:14" x14ac:dyDescent="0.25">
      <c r="B632" s="64" t="str">
        <f>VLOOKUP(C632,'Status Thresholds'!B:C,2,FALSE)</f>
        <v>MHGen</v>
      </c>
      <c r="C632" s="46" t="str">
        <f>IF(ISBLANK('KO Calc'!C628)=TRUE,"",'KO Calc'!C628)</f>
        <v>Rathian (Gold)</v>
      </c>
      <c r="D632" s="58" t="s">
        <v>33</v>
      </c>
      <c r="E632" s="62" t="str">
        <f t="shared" si="17"/>
        <v>Rathian (Gold)Poison</v>
      </c>
      <c r="F632" s="59" t="s">
        <v>6</v>
      </c>
      <c r="G632" s="36" t="str">
        <f t="shared" si="18"/>
        <v>Rathian (Gold)Poison lvl 2</v>
      </c>
      <c r="H632" s="36" t="str">
        <f>IFERROR(ROUNDUP(IF(AND($Q$1=FALSE,$S$3=FALSE),"-",IF(AND($Q$1=TRUE,$S$3=TRUE),"-",IF(AND($Q$1=TRUE,$S$1=TRUE,$S$4=FALSE),VLOOKUP($E632,'Status Thresholds'!$E:$AS,12,FALSE),IF(AND($Q$1=TRUE,$S$4=FALSE),VLOOKUP($E632,'Status Thresholds'!$E:$AS,2,FALSE), IF(AND($Q$1=TRUE,$S$1=TRUE,$S$4=TRUE),VLOOKUP($E632,'Status Thresholds'!$E:$AS,17,FALSE),IF(AND($Q$1=TRUE,$S$4=TRUE),VLOOKUP($E632,'Status Thresholds'!$E:$AS,7,FALSE),IF(AND($S$3=TRUE,$S$1=TRUE,$S$4=FALSE),VLOOKUP($E632,'Status Thresholds'!$E:$AS,32,FALSE),IF(AND($S$3=TRUE,$S$4=FALSE),VLOOKUP($E632,'Status Thresholds'!$E:$AS,22,FALSE),IF(AND($S$3=TRUE,$S$1=TRUE,$S$4=TRUE),VLOOKUP($E632,'Status Thresholds'!$E:$AS,37,FALSE),IF(AND($S$3=TRUE,$S$4=TRUE),VLOOKUP($E632,'Status Thresholds'!$E:$AS,27,FALSE),""))))))))/IF(OR($Q$3=TRUE,AND($Q$2=TRUE,$Q$7=TRUE),AND($Q$3=TRUE,$Q$7=TRUE))=TRUE,'Shots and Status'!$F$5,IF((OR($Q$2,$Q$7)=TRUE),'Shots and Status'!$D$5,'Shots and Status'!$C$5)))),0),"-")</f>
        <v>-</v>
      </c>
      <c r="I632" s="36" t="str">
        <f>IFERROR(ROUNDUP(IF(AND($Q$1=FALSE,$S$3=FALSE),"-",IF(AND($Q$1=TRUE,$S$3=TRUE),"-",IF(AND($Q$1=TRUE,$S$1=TRUE,$S$4=FALSE),VLOOKUP($E632,'Status Thresholds'!$E:$AS,13,FALSE),IF(AND($Q$1=TRUE,$S$4=FALSE),VLOOKUP($E632,'Status Thresholds'!$E:$AS,3,FALSE), IF(AND($Q$1=TRUE,$S$1=TRUE,$S$4=TRUE),VLOOKUP($E632,'Status Thresholds'!$E:$AS,18,FALSE),IF(AND($Q$1=TRUE,$S$4=TRUE),VLOOKUP($E632,'Status Thresholds'!$E:$AS,8,FALSE),IF(AND($S$3=TRUE,$S$1=TRUE,$S$4=FALSE),VLOOKUP($E632,'Status Thresholds'!$E:$AS,33,FALSE),IF(AND($S$3=TRUE,$S$4=FALSE),VLOOKUP($E632,'Status Thresholds'!$E:$AS,23,FALSE),IF(AND($S$3=TRUE,$S$1=TRUE,$S$4=TRUE),VLOOKUP($E632,'Status Thresholds'!$E:$AS,38,FALSE),IF(AND($S$3=TRUE,$S$4=TRUE),VLOOKUP($E632,'Status Thresholds'!$E:$AS,28,FALSE),""))))))))/IF(OR($Q$3=TRUE,AND($Q$2=TRUE,$Q$7=TRUE),AND($Q$3=TRUE,$Q$7=TRUE))=TRUE,'Shots and Status'!$F$5,IF((OR($Q$2,$Q$7)=TRUE),'Shots and Status'!$D$5,'Shots and Status'!$C$5)))),0),"-")</f>
        <v>-</v>
      </c>
      <c r="J632" s="36" t="str">
        <f>IFERROR(ROUNDUP(IF(AND($Q$1=FALSE,$S$3=FALSE),"-",IF(AND($Q$1=TRUE,$S$3=TRUE),"-",IF(AND($Q$1=TRUE,$S$1=TRUE,$S$4=FALSE),VLOOKUP($E632,'Status Thresholds'!$E:$AS,14,FALSE),IF(AND($Q$1=TRUE,$S$4=FALSE),VLOOKUP($E632,'Status Thresholds'!$E:$AS,4,FALSE), IF(AND($Q$1=TRUE,$S$1=TRUE,$S$4=TRUE),VLOOKUP($E632,'Status Thresholds'!$E:$AS,19,FALSE),IF(AND($Q$1=TRUE,$S$4=TRUE),VLOOKUP($E632,'Status Thresholds'!$E:$AS,9,FALSE),IF(AND($S$3=TRUE,$S$1=TRUE,$S$4=FALSE),VLOOKUP($E632,'Status Thresholds'!$E:$AS,34,FALSE),IF(AND($S$3=TRUE,$S$4=FALSE),VLOOKUP($E632,'Status Thresholds'!$E:$AS,24,FALSE),IF(AND($S$3=TRUE,$S$1=TRUE,$S$4=TRUE),VLOOKUP($E632,'Status Thresholds'!$E:$AS,39,FALSE),IF(AND($S$3=TRUE,$S$4=TRUE),VLOOKUP($E632,'Status Thresholds'!$E:$AS,29,FALSE),""))))))))/IF(OR($Q$3=TRUE,AND($Q$2=TRUE,$Q$7=TRUE),AND($Q$3=TRUE,$Q$7=TRUE))=TRUE,'Shots and Status'!$F$5,IF((OR($Q$2,$Q$7)=TRUE),'Shots and Status'!$D$5,'Shots and Status'!$C$5)))),0),"-")</f>
        <v>-</v>
      </c>
      <c r="K632" s="36" t="str">
        <f>IFERROR(ROUNDUP(IF(AND($Q$1=FALSE,$S$3=FALSE),"-",IF(AND($Q$1=TRUE,$S$3=TRUE),"-",IF(AND($Q$1=TRUE,$S$1=TRUE,$S$4=FALSE),VLOOKUP($E632,'Status Thresholds'!$E:$AS,15,FALSE),IF(AND($Q$1=TRUE,$S$4=FALSE),VLOOKUP($E632,'Status Thresholds'!$E:$AS,5,FALSE), IF(AND($Q$1=TRUE,$S$1=TRUE,$S$4=TRUE),VLOOKUP($E632,'Status Thresholds'!$E:$AS,20,FALSE),IF(AND($Q$1=TRUE,$S$4=TRUE),VLOOKUP($E632,'Status Thresholds'!$E:$AS,10,FALSE),IF(AND($S$3=TRUE,$S$1=TRUE,$S$4=FALSE),VLOOKUP($E632,'Status Thresholds'!$E:$AS,35,FALSE),IF(AND($S$3=TRUE,$S$4=FALSE),VLOOKUP($E632,'Status Thresholds'!$E:$AS,25,FALSE),IF(AND($S$3=TRUE,$S$1=TRUE,$S$4=TRUE),VLOOKUP($E632,'Status Thresholds'!$E:$AS,40,FALSE),IF(AND($S$3=TRUE,$S$4=TRUE),VLOOKUP($E632,'Status Thresholds'!$E:$AS,30,FALSE),""))))))))/IF(OR($Q$3=TRUE,AND($Q$2=TRUE,$Q$7=TRUE),AND($Q$3=TRUE,$Q$7=TRUE))=TRUE,'Shots and Status'!$F$5,IF((OR($Q$2,$Q$7)=TRUE),'Shots and Status'!$D$5,'Shots and Status'!$C$5)))),0),"-")</f>
        <v>-</v>
      </c>
      <c r="L632" s="36" t="str">
        <f>IFERROR(IF(AND($Q$1=FALSE,$S$3=FALSE),"-",VLOOKUP($E632,'Status Thresholds'!$E:$AU,41,FALSE)),"-")</f>
        <v>-</v>
      </c>
      <c r="M632" s="36" t="str">
        <f>IFERROR(IF(AND($Q$1=FALSE,$S$3=FALSE),"-",VLOOKUP($E632,'Status Thresholds'!$E:$AU,42,FALSE)),"-")</f>
        <v>-</v>
      </c>
      <c r="N632" s="36" t="str">
        <f>IFERROR(IF(AND($Q$1=FALSE,$S$3=FALSE),"-",VLOOKUP($E632,'Status Thresholds'!$E:$AU,43,FALSE)),"-")</f>
        <v>-</v>
      </c>
    </row>
    <row r="633" spans="1:14" x14ac:dyDescent="0.25">
      <c r="B633" s="64" t="str">
        <f>VLOOKUP(C633,'Status Thresholds'!B:C,2,FALSE)</f>
        <v>MHGen</v>
      </c>
      <c r="C633" s="46" t="str">
        <f>IF(ISBLANK('KO Calc'!C629)=TRUE,"",'KO Calc'!C629)</f>
        <v>Rathian (Gold)</v>
      </c>
      <c r="D633" s="57" t="s">
        <v>22</v>
      </c>
      <c r="E633" s="62" t="str">
        <f t="shared" si="17"/>
        <v>Rathian (Gold)Exhaust</v>
      </c>
      <c r="F633" s="36" t="s">
        <v>8</v>
      </c>
      <c r="G633" s="36" t="str">
        <f t="shared" si="18"/>
        <v>Rathian (Gold)Exhaust lvl 2</v>
      </c>
      <c r="H633" s="36" t="str">
        <f>IFERROR(ROUNDUP(IF(AND($Q$1=FALSE,$S$3=FALSE),"-",IF(AND($Q$1=TRUE,$S$3=TRUE),"-",IF(AND($Q$1=TRUE,$S$1=TRUE,$S$4=FALSE),VLOOKUP($E633,'Status Thresholds'!$E:$AS,12,FALSE),IF(AND($Q$1=TRUE,$S$4=FALSE),VLOOKUP($E633,'Status Thresholds'!$E:$AS,2,FALSE), IF(AND($Q$1=TRUE,$S$1=TRUE,$S$4=TRUE),VLOOKUP($E633,'Status Thresholds'!$E:$AS,17,FALSE),IF(AND($Q$1=TRUE,$S$4=TRUE),VLOOKUP($E633,'Status Thresholds'!$E:$AS,7,FALSE),IF(AND($S$3=TRUE,$S$1=TRUE,$S$4=FALSE),VLOOKUP($E633,'Status Thresholds'!$E:$AS,32,FALSE),IF(AND($S$3=TRUE,$S$4=FALSE),VLOOKUP($E633,'Status Thresholds'!$E:$AS,22,FALSE),IF(AND($S$3=TRUE,$S$1=TRUE,$S$4=TRUE),VLOOKUP($E633,'Status Thresholds'!$E:$AS,37,FALSE),IF(AND($S$3=TRUE,$S$4=TRUE),VLOOKUP($E633,'Status Thresholds'!$E:$AS,27,FALSE),""))))))))/IF(OR($Q$3=TRUE,AND($Q$2=TRUE,$Q$7=TRUE),AND($Q$3=TRUE,$Q$7=TRUE))=TRUE,'Shots and Status'!$F$5,IF((OR($Q$2,$Q$7)=TRUE),'Shots and Status'!$D$5,'Shots and Status'!$C$5)))),0),"-")</f>
        <v>-</v>
      </c>
      <c r="I633" s="36" t="str">
        <f>IFERROR(ROUNDUP(IF(AND($Q$1=FALSE,$S$3=FALSE),"-",IF(AND($Q$1=TRUE,$S$3=TRUE),"-",IF(AND($Q$1=TRUE,$S$1=TRUE,$S$4=FALSE),VLOOKUP($E633,'Status Thresholds'!$E:$AS,13,FALSE),IF(AND($Q$1=TRUE,$S$4=FALSE),VLOOKUP($E633,'Status Thresholds'!$E:$AS,3,FALSE), IF(AND($Q$1=TRUE,$S$1=TRUE,$S$4=TRUE),VLOOKUP($E633,'Status Thresholds'!$E:$AS,18,FALSE),IF(AND($Q$1=TRUE,$S$4=TRUE),VLOOKUP($E633,'Status Thresholds'!$E:$AS,8,FALSE),IF(AND($S$3=TRUE,$S$1=TRUE,$S$4=FALSE),VLOOKUP($E633,'Status Thresholds'!$E:$AS,33,FALSE),IF(AND($S$3=TRUE,$S$4=FALSE),VLOOKUP($E633,'Status Thresholds'!$E:$AS,23,FALSE),IF(AND($S$3=TRUE,$S$1=TRUE,$S$4=TRUE),VLOOKUP($E633,'Status Thresholds'!$E:$AS,38,FALSE),IF(AND($S$3=TRUE,$S$4=TRUE),VLOOKUP($E633,'Status Thresholds'!$E:$AS,28,FALSE),""))))))))/IF(OR($Q$3=TRUE,AND($Q$2=TRUE,$Q$7=TRUE),AND($Q$3=TRUE,$Q$7=TRUE))=TRUE,'Shots and Status'!$F$5,IF((OR($Q$2,$Q$7)=TRUE),'Shots and Status'!$D$5,'Shots and Status'!$C$5)))),0),"-")</f>
        <v>-</v>
      </c>
      <c r="J633" s="36" t="str">
        <f>IFERROR(ROUNDUP(IF(AND($Q$1=FALSE,$S$3=FALSE),"-",IF(AND($Q$1=TRUE,$S$3=TRUE),"-",IF(AND($Q$1=TRUE,$S$1=TRUE,$S$4=FALSE),VLOOKUP($E633,'Status Thresholds'!$E:$AS,14,FALSE),IF(AND($Q$1=TRUE,$S$4=FALSE),VLOOKUP($E633,'Status Thresholds'!$E:$AS,4,FALSE), IF(AND($Q$1=TRUE,$S$1=TRUE,$S$4=TRUE),VLOOKUP($E633,'Status Thresholds'!$E:$AS,19,FALSE),IF(AND($Q$1=TRUE,$S$4=TRUE),VLOOKUP($E633,'Status Thresholds'!$E:$AS,9,FALSE),IF(AND($S$3=TRUE,$S$1=TRUE,$S$4=FALSE),VLOOKUP($E633,'Status Thresholds'!$E:$AS,34,FALSE),IF(AND($S$3=TRUE,$S$4=FALSE),VLOOKUP($E633,'Status Thresholds'!$E:$AS,24,FALSE),IF(AND($S$3=TRUE,$S$1=TRUE,$S$4=TRUE),VLOOKUP($E633,'Status Thresholds'!$E:$AS,39,FALSE),IF(AND($S$3=TRUE,$S$4=TRUE),VLOOKUP($E633,'Status Thresholds'!$E:$AS,29,FALSE),""))))))))/IF(OR($Q$3=TRUE,AND($Q$2=TRUE,$Q$7=TRUE),AND($Q$3=TRUE,$Q$7=TRUE))=TRUE,'Shots and Status'!$F$5,IF((OR($Q$2,$Q$7)=TRUE),'Shots and Status'!$D$5,'Shots and Status'!$C$5)))),0),"-")</f>
        <v>-</v>
      </c>
      <c r="K633" s="36" t="str">
        <f>IFERROR(ROUNDUP(IF(AND($Q$1=FALSE,$S$3=FALSE),"-",IF(AND($Q$1=TRUE,$S$3=TRUE),"-",IF(AND($Q$1=TRUE,$S$1=TRUE,$S$4=FALSE),VLOOKUP($E633,'Status Thresholds'!$E:$AS,15,FALSE),IF(AND($Q$1=TRUE,$S$4=FALSE),VLOOKUP($E633,'Status Thresholds'!$E:$AS,5,FALSE), IF(AND($Q$1=TRUE,$S$1=TRUE,$S$4=TRUE),VLOOKUP($E633,'Status Thresholds'!$E:$AS,20,FALSE),IF(AND($Q$1=TRUE,$S$4=TRUE),VLOOKUP($E633,'Status Thresholds'!$E:$AS,10,FALSE),IF(AND($S$3=TRUE,$S$1=TRUE,$S$4=FALSE),VLOOKUP($E633,'Status Thresholds'!$E:$AS,35,FALSE),IF(AND($S$3=TRUE,$S$4=FALSE),VLOOKUP($E633,'Status Thresholds'!$E:$AS,25,FALSE),IF(AND($S$3=TRUE,$S$1=TRUE,$S$4=TRUE),VLOOKUP($E633,'Status Thresholds'!$E:$AS,40,FALSE),IF(AND($S$3=TRUE,$S$4=TRUE),VLOOKUP($E633,'Status Thresholds'!$E:$AS,30,FALSE),""))))))))/IF(OR($Q$3=TRUE,AND($Q$2=TRUE,$Q$7=TRUE),AND($Q$3=TRUE,$Q$7=TRUE))=TRUE,'Shots and Status'!$F$5,IF((OR($Q$2,$Q$7)=TRUE),'Shots and Status'!$D$5,'Shots and Status'!$C$5)))),0),"-")</f>
        <v>-</v>
      </c>
      <c r="L633" s="36" t="str">
        <f>IFERROR(IF(AND($Q$1=FALSE,$S$3=FALSE),"-",VLOOKUP($E633,'Status Thresholds'!$E:$AU,41,FALSE)),"-")</f>
        <v>-</v>
      </c>
      <c r="M633" s="36" t="str">
        <f>IFERROR(IF(AND($Q$1=FALSE,$S$3=FALSE),"-",VLOOKUP($E633,'Status Thresholds'!$E:$AU,42,FALSE)),"-")</f>
        <v>-</v>
      </c>
      <c r="N633" s="36" t="str">
        <f>IFERROR(IF(AND($Q$1=FALSE,$S$3=FALSE),"-",VLOOKUP($E633,'Status Thresholds'!$E:$AU,43,FALSE)),"-")</f>
        <v>-</v>
      </c>
    </row>
    <row r="634" spans="1:14" x14ac:dyDescent="0.25">
      <c r="B634" s="64" t="str">
        <f>VLOOKUP(C634,'Status Thresholds'!B:C,2,FALSE)</f>
        <v>MHGen</v>
      </c>
      <c r="C634" s="46" t="str">
        <f>IF(ISBLANK('KO Calc'!C630)=TRUE,"",'KO Calc'!C630)</f>
        <v>Rathian (Gold)</v>
      </c>
      <c r="D634" s="67" t="s">
        <v>14</v>
      </c>
      <c r="E634" s="62" t="str">
        <f t="shared" si="17"/>
        <v>Rathian (Gold)KO</v>
      </c>
      <c r="F634" s="36" t="s">
        <v>21</v>
      </c>
      <c r="G634" s="36" t="str">
        <f t="shared" si="18"/>
        <v>Rathian (Gold)Triblast</v>
      </c>
      <c r="H634" s="36" t="str">
        <f>IF(AND($Q$1=FALSE,$S$3=FALSE),"-",IF(AND($Q$1=TRUE,$S$3=TRUE),"-",IF(AND($Q$1=FALSE,$S$3=FALSE),"-",IF(AND($Q$1=TRUE,$S$1=TRUE,$S$4=FALSE)=TRUE,IF(OR($Q$4=TRUE,$Q$5=TRUE,$S$2=TRUE),VLOOKUP($G634,'KO Calc'!$H:$AW,12,FALSE),VLOOKUP($G634,'KO Calc'!$H640:$AW640,12,FALSE)),IF(AND($Q$1=TRUE,$S$4=FALSE),IF(OR($Q$4=TRUE,$Q$5=TRUE,$S$2=TRUE),VLOOKUP($G634,'KO Calc'!$H:$AW,2,FALSE),VLOOKUP($G634,'KO Calc'!$H640:$AW640,2,FALSE)),
IF(AND($Q$1=TRUE,$S$1=TRUE,$S$4=TRUE)=TRUE,IF(OR($Q$4=TRUE,$Q$5=TRUE,$S$2=TRUE),VLOOKUP($G634,'KO Calc'!$H:$AW,17,FALSE),VLOOKUP($G634,'KO Calc'!$H640:$AW640,17,FALSE)),IF(AND($Q$1=TRUE,$S$4=TRUE),IF(OR($Q$4=TRUE,$Q$5=TRUE,$S$2=TRUE),VLOOKUP($G634,'KO Calc'!$H:$AW,7,FALSE),VLOOKUP($G634,'KO Calc'!$H640:$AW640,7,FALSE)),
IF(AND($S$3=TRUE,$S$1=TRUE,$S$4=FALSE)=TRUE,IF(OR($Q$4=TRUE,$Q$5=TRUE,$S$2=TRUE),VLOOKUP($G634,'KO Calc'!$H:$AW,32,FALSE),VLOOKUP($G634,'KO Calc'!$H640:$AW640,32,FALSE)),IF(AND($S$3=TRUE,$S$4=FALSE),IF(OR($Q$4=TRUE,$Q$5=TRUE,$S$2=TRUE),VLOOKUP($G634,'KO Calc'!$H:$AW,22,FALSE),VLOOKUP($G634,'KO Calc'!$H640:$AW640,22,FALSE)),
IF(AND($S$3=TRUE,$S$1=TRUE,$S$4=TRUE)=TRUE,IF(OR($Q$4=TRUE,$Q$5=TRUE,$S$2=TRUE),VLOOKUP($G634,'KO Calc'!$H:$AW,37,FALSE),VLOOKUP($G634,'KO Calc'!$H640:$AW640,37,FALSE)),IF(AND($S$3=TRUE,$S$4=TRUE),IF(OR($Q$4=TRUE,$Q$5=TRUE,$S$2=TRUE),VLOOKUP($G634,'KO Calc'!$H:$AW,27,FALSE),VLOOKUP($G634,'KO Calc'!$H640:$AW640,27,FALSE)))))))))))))</f>
        <v>-</v>
      </c>
      <c r="I634" s="36" t="str">
        <f>IF(AND($Q$1=FALSE,$S$3=FALSE),"-",IF(AND($Q$1=TRUE,$S$3=TRUE),"-",IF(AND($Q$1=FALSE,$S$3=FALSE),"-",IF(AND($Q$1=TRUE,$S$1=TRUE,$S$4=FALSE)=TRUE,IF(OR($Q$4=TRUE,$Q$5=TRUE,$S$2=TRUE),VLOOKUP($G634,'KO Calc'!$H:$AW,13,FALSE),VLOOKUP($G634,'KO Calc'!$H640:$AW640,13,FALSE)),IF(AND($Q$1=TRUE,$S$4=FALSE),IF(OR($Q$4=TRUE,$Q$5=TRUE,$S$2=TRUE),VLOOKUP($G634,'KO Calc'!$H:$AW,3,FALSE),VLOOKUP($G634,'KO Calc'!$H640:$AW640,3,FALSE)),
IF(AND($Q$1=TRUE,$S$1=TRUE,$S$4=TRUE)=TRUE,IF(OR($Q$4=TRUE,$Q$5=TRUE,$S$2=TRUE),VLOOKUP($G634,'KO Calc'!$H:$AW,18,FALSE),VLOOKUP($G634,'KO Calc'!$H640:$AW640,18,FALSE)),IF(AND($Q$1=TRUE,$S$4=TRUE),IF(OR($Q$4=TRUE,$Q$5=TRUE,$S$2=TRUE),VLOOKUP($G634,'KO Calc'!$H:$AW,8,FALSE),VLOOKUP($G634,'KO Calc'!$H640:$AW640,8,FALSE)),
IF(AND($S$3=TRUE,$S$1=TRUE,$S$4=FALSE)=TRUE,IF(OR($Q$4=TRUE,$Q$5=TRUE,$S$2=TRUE),VLOOKUP($G634,'KO Calc'!$H:$AW,33,FALSE),VLOOKUP($G634,'KO Calc'!$H640:$AW640,33,FALSE)),IF(AND($S$3=TRUE,$S$4=FALSE),IF(OR($Q$4=TRUE,$Q$5=TRUE,$S$2=TRUE),VLOOKUP($G634,'KO Calc'!$H:$AW,23,FALSE),VLOOKUP($G634,'KO Calc'!$H640:$AW640,23,FALSE)),
IF(AND($S$3=TRUE,$S$1=TRUE,$S$4=TRUE)=TRUE,IF(OR($Q$4=TRUE,$Q$5=TRUE,$S$2=TRUE),VLOOKUP($G634,'KO Calc'!$H:$AW,38,FALSE),VLOOKUP($G634,'KO Calc'!$H640:$AW640,38,FALSE)),IF(AND($S$3=TRUE,$S$4=TRUE),IF(OR($Q$4=TRUE,$Q$5=TRUE,$S$2=TRUE),VLOOKUP($G634,'KO Calc'!$H:$AW,28,FALSE),VLOOKUP($G634,'KO Calc'!$H640:$AW640,28,FALSE)))))))))))))</f>
        <v>-</v>
      </c>
      <c r="J634" s="36" t="str">
        <f>IF(AND($Q$1=FALSE,$S$3=FALSE),"-",IF(AND($Q$1=TRUE,$S$3=TRUE),"-",IF(AND($Q$1=FALSE,$S$3=FALSE),"-",IF(AND($Q$1=TRUE,$S$1=TRUE,$S$4=FALSE)=TRUE,IF(OR($Q$4=TRUE,$Q$5=TRUE,$S$2=TRUE),VLOOKUP($G634,'KO Calc'!$H:$AW,FALSE),VLOOKUP($G634,'KO Calc'!$H640:$AW640,14,FALSE)),IF(AND($Q$1=TRUE,$S$4=FALSE),IF(OR($Q$4=TRUE,$Q$5=TRUE,$S$2=TRUE),VLOOKUP($G634,'KO Calc'!$H:$AW,4,FALSE),VLOOKUP($G634,'KO Calc'!$H640:$AW640,4,FALSE)),
IF(AND($Q$1=TRUE,$S$1=TRUE,$S$4=TRUE)=TRUE,IF(OR($Q$4=TRUE,$Q$5=TRUE,$S$2=TRUE),VLOOKUP($G634,'KO Calc'!$H:$AW,19,FALSE),VLOOKUP($G634,'KO Calc'!$H640:$AW640,19,FALSE)),IF(AND($Q$1=TRUE,$S$4=TRUE),IF(OR($Q$4=TRUE,$Q$5=TRUE,$S$2=TRUE),VLOOKUP($G634,'KO Calc'!$H:$AW,9,FALSE),VLOOKUP($G634,'KO Calc'!$H640:$AW640,9,FALSE)),
IF(AND($S$3=TRUE,$S$1=TRUE,$S$4=FALSE)=TRUE,IF(OR($Q$4=TRUE,$Q$5=TRUE,$S$2=TRUE),VLOOKUP($G634,'KO Calc'!$H:$AW,34,FALSE),VLOOKUP($G634,'KO Calc'!$H640:$AW640,34,FALSE)),IF(AND($S$3=TRUE,$S$4=FALSE),IF(OR($Q$4=TRUE,$Q$5=TRUE,$S$2=TRUE),VLOOKUP($G634,'KO Calc'!$H:$AW,24,FALSE),VLOOKUP($G634,'KO Calc'!$H640:$AW640,24,FALSE)),
IF(AND($S$3=TRUE,$S$1=TRUE,$S$4=TRUE)=TRUE,IF(OR($Q$4=TRUE,$Q$5=TRUE,$S$2=TRUE),VLOOKUP($G634,'KO Calc'!$H:$AW,39,FALSE),VLOOKUP($G634,'KO Calc'!$H640:$AW640,39,FALSE)),IF(AND($S$3=TRUE,$S$4=TRUE),IF(OR($Q$4=TRUE,$Q$5=TRUE,$S$2=TRUE),VLOOKUP($G634,'KO Calc'!$H:$AW,29,FALSE),VLOOKUP($G634,'KO Calc'!$H640:$AW640,29,FALSE)))))))))))))</f>
        <v>-</v>
      </c>
      <c r="K634" s="36" t="str">
        <f>IF(AND($Q$1=FALSE,$S$3=FALSE),"-",IF(AND($Q$1=TRUE,$S$3=TRUE),"-",IF(AND($Q$1=FALSE,$S$3=FALSE),"-",IF(AND($Q$1=TRUE,$S$1=TRUE,$S$4=FALSE)=TRUE,IF(OR($Q$4=TRUE,$Q$5=TRUE,$S$2=TRUE),VLOOKUP($G634,'KO Calc'!$H:$AW,15,FALSE),VLOOKUP($G634,'KO Calc'!$H640:$AW640,15,FALSE)),IF(AND($Q$1=TRUE,$S$4=FALSE),IF(OR($Q$4=TRUE,$Q$5=TRUE,$S$2=TRUE),VLOOKUP($G634,'KO Calc'!$H:$AW,5,FALSE),VLOOKUP($G634,'KO Calc'!$H640:$AW640,5,FALSE)),
IF(AND($Q$1=TRUE,$S$1=TRUE,$S$4=TRUE)=TRUE,IF(OR($Q$4=TRUE,$Q$5=TRUE,$S$2=TRUE),VLOOKUP($G634,'KO Calc'!$H:$AW,20,FALSE),VLOOKUP($G634,'KO Calc'!$H640:$AW640,20,FALSE)),IF(AND($Q$1=TRUE,$S$4=TRUE),IF(OR($Q$4=TRUE,$Q$5=TRUE,$S$2=TRUE),VLOOKUP($G634,'KO Calc'!$H:$AW,10,FALSE),VLOOKUP($G634,'KO Calc'!$H640:$AW640,10,FALSE)),
IF(AND($S$3=TRUE,$S$1=TRUE,$S$4=FALSE)=TRUE,IF(OR($Q$4=TRUE,$Q$5=TRUE,$S$2=TRUE),VLOOKUP($G634,'KO Calc'!$H:$AW,35,FALSE),VLOOKUP($G634,'KO Calc'!$H640:$AW640,35,FALSE)),IF(AND($S$3=TRUE,$S$4=FALSE),IF(OR($Q$4=TRUE,$Q$5=TRUE,$S$2=TRUE),VLOOKUP($G634,'KO Calc'!$H:$AW,25,FALSE),VLOOKUP($G634,'KO Calc'!$H640:$AW640,25,FALSE)),
IF(AND($S$3=TRUE,$S$1=TRUE,$S$4=TRUE)=TRUE,IF(OR($Q$4=TRUE,$Q$5=TRUE,$S$2=TRUE),VLOOKUP($G634,'KO Calc'!$H:$AW,40,FALSE),VLOOKUP($G634,'KO Calc'!$H640:$AW640,40,FALSE)),IF(AND($S$3=TRUE,$S$4=TRUE),IF(OR($Q$4=TRUE,$Q$5=TRUE,$S$2=TRUE),VLOOKUP($G634,'KO Calc'!$H:$AW,30,FALSE),VLOOKUP($G634,'KO Calc'!$H640:$AW640,30,FALSE)))))))))))))</f>
        <v>-</v>
      </c>
      <c r="L634" s="36" t="str">
        <f>IFERROR(IF(AND($Q$1=FALSE,$S$3=FALSE),"-",VLOOKUP($E634,'Status Thresholds'!$E:$AU,41,FALSE)),"-")</f>
        <v>-</v>
      </c>
      <c r="M634" s="36" t="str">
        <f>IFERROR(IF(AND($Q$1=FALSE,$S$3=FALSE),"-",VLOOKUP($E634,'Status Thresholds'!$E:$AU,42,FALSE)),"-")</f>
        <v>-</v>
      </c>
      <c r="N634" s="36" t="str">
        <f>IFERROR(IF(AND($Q$1=FALSE,$S$3=FALSE),"-",VLOOKUP($E634,'Status Thresholds'!$E:$AU,43,FALSE)),"-")</f>
        <v>-</v>
      </c>
    </row>
    <row r="635" spans="1:14" x14ac:dyDescent="0.25">
      <c r="B635" s="64" t="str">
        <f>VLOOKUP(C635,'Status Thresholds'!B:C,2,FALSE)</f>
        <v>MHGen</v>
      </c>
      <c r="C635" s="46" t="str">
        <f>IF(ISBLANK('KO Calc'!C631)=TRUE,"",'KO Calc'!C631)</f>
        <v>Rathian (Gold)</v>
      </c>
      <c r="D635" s="78" t="s">
        <v>207</v>
      </c>
      <c r="E635" s="62" t="str">
        <f t="shared" si="17"/>
        <v>Rathian (Gold)Shock Trap</v>
      </c>
      <c r="F635" t="s">
        <v>13</v>
      </c>
      <c r="G635" s="36" t="str">
        <f t="shared" si="18"/>
        <v>Rathian (Gold)Crag 3</v>
      </c>
      <c r="H635" s="36" t="str">
        <f>IF(AND($Q$1=FALSE,$S$3=FALSE),"-",IF(AND($Q$1=TRUE,$S$3=TRUE),"-",IF(AND($Q$1=FALSE,$S$3=FALSE),"-",IF(AND($Q$1=TRUE,$S$1=TRUE,$S$4=FALSE)=TRUE,IF(OR($Q$4=TRUE,$Q$5=TRUE,$S$2=TRUE),VLOOKUP($G635,'KO Calc'!$H:$AW,12,FALSE),VLOOKUP($G635,'KO Calc'!$H641:$AW641,12,FALSE)),IF(AND($Q$1=TRUE,$S$4=FALSE),IF(OR($Q$4=TRUE,$Q$5=TRUE,$S$2=TRUE),VLOOKUP($G635,'KO Calc'!$H:$AW,2,FALSE),VLOOKUP($G635,'KO Calc'!$H641:$AW641,2,FALSE)),
IF(AND($Q$1=TRUE,$S$1=TRUE,$S$4=TRUE)=TRUE,IF(OR($Q$4=TRUE,$Q$5=TRUE,$S$2=TRUE),VLOOKUP($G635,'KO Calc'!$H:$AW,17,FALSE),VLOOKUP($G635,'KO Calc'!$H641:$AW641,17,FALSE)),IF(AND($Q$1=TRUE,$S$4=TRUE),IF(OR($Q$4=TRUE,$Q$5=TRUE,$S$2=TRUE),VLOOKUP($G635,'KO Calc'!$H:$AW,7,FALSE),VLOOKUP($G635,'KO Calc'!$H641:$AW641,7,FALSE)),
IF(AND($S$3=TRUE,$S$1=TRUE,$S$4=FALSE)=TRUE,IF(OR($Q$4=TRUE,$Q$5=TRUE,$S$2=TRUE),VLOOKUP($G635,'KO Calc'!$H:$AW,32,FALSE),VLOOKUP($G635,'KO Calc'!$H641:$AW641,32,FALSE)),IF(AND($S$3=TRUE,$S$4=FALSE),IF(OR($Q$4=TRUE,$Q$5=TRUE,$S$2=TRUE),VLOOKUP($G635,'KO Calc'!$H:$AW,22,FALSE),VLOOKUP($G635,'KO Calc'!$H641:$AW641,22,FALSE)),
IF(AND($S$3=TRUE,$S$1=TRUE,$S$4=TRUE)=TRUE,IF(OR($Q$4=TRUE,$Q$5=TRUE,$S$2=TRUE),VLOOKUP($G635,'KO Calc'!$H:$AW,37,FALSE),VLOOKUP($G635,'KO Calc'!$H641:$AW641,37,FALSE)),IF(AND($S$3=TRUE,$S$4=TRUE),IF(OR($Q$4=TRUE,$Q$5=TRUE,$S$2=TRUE),VLOOKUP($G635,'KO Calc'!$H:$AW,27,FALSE),VLOOKUP($G635,'KO Calc'!$H641:$AW641,27,FALSE)))))))))))))</f>
        <v>-</v>
      </c>
      <c r="I635" s="36" t="str">
        <f>IF(AND($Q$1=FALSE,$S$3=FALSE),"-",IF(AND($Q$1=TRUE,$S$3=TRUE),"-",IF(AND($Q$1=FALSE,$S$3=FALSE),"-",IF(AND($Q$1=TRUE,$S$1=TRUE,$S$4=FALSE)=TRUE,IF(OR($Q$4=TRUE,$Q$5=TRUE,$S$2=TRUE),VLOOKUP($G635,'KO Calc'!$H:$AW,13,FALSE),VLOOKUP($G635,'KO Calc'!$H641:$AW641,13,FALSE)),IF(AND($Q$1=TRUE,$S$4=FALSE),IF(OR($Q$4=TRUE,$Q$5=TRUE,$S$2=TRUE),VLOOKUP($G635,'KO Calc'!$H:$AW,3,FALSE),VLOOKUP($G635,'KO Calc'!$H641:$AW641,3,FALSE)),
IF(AND($Q$1=TRUE,$S$1=TRUE,$S$4=TRUE)=TRUE,IF(OR($Q$4=TRUE,$Q$5=TRUE,$S$2=TRUE),VLOOKUP($G635,'KO Calc'!$H:$AW,18,FALSE),VLOOKUP($G635,'KO Calc'!$H641:$AW641,18,FALSE)),IF(AND($Q$1=TRUE,$S$4=TRUE),IF(OR($Q$4=TRUE,$Q$5=TRUE,$S$2=TRUE),VLOOKUP($G635,'KO Calc'!$H:$AW,8,FALSE),VLOOKUP($G635,'KO Calc'!$H641:$AW641,8,FALSE)),
IF(AND($S$3=TRUE,$S$1=TRUE,$S$4=FALSE)=TRUE,IF(OR($Q$4=TRUE,$Q$5=TRUE,$S$2=TRUE),VLOOKUP($G635,'KO Calc'!$H:$AW,33,FALSE),VLOOKUP($G635,'KO Calc'!$H641:$AW641,33,FALSE)),IF(AND($S$3=TRUE,$S$4=FALSE),IF(OR($Q$4=TRUE,$Q$5=TRUE,$S$2=TRUE),VLOOKUP($G635,'KO Calc'!$H:$AW,23,FALSE),VLOOKUP($G635,'KO Calc'!$H641:$AW641,23,FALSE)),
IF(AND($S$3=TRUE,$S$1=TRUE,$S$4=TRUE)=TRUE,IF(OR($Q$4=TRUE,$Q$5=TRUE,$S$2=TRUE),VLOOKUP($G635,'KO Calc'!$H:$AW,38,FALSE),VLOOKUP($G635,'KO Calc'!$H641:$AW641,38,FALSE)),IF(AND($S$3=TRUE,$S$4=TRUE),IF(OR($Q$4=TRUE,$Q$5=TRUE,$S$2=TRUE),VLOOKUP($G635,'KO Calc'!$H:$AW,28,FALSE),VLOOKUP($G635,'KO Calc'!$H641:$AW641,28,FALSE)))))))))))))</f>
        <v>-</v>
      </c>
      <c r="J635" s="36" t="str">
        <f>IF(AND($Q$1=FALSE,$S$3=FALSE),"-",IF(AND($Q$1=TRUE,$S$3=TRUE),"-",IF(AND($Q$1=FALSE,$S$3=FALSE),"-",IF(AND($Q$1=TRUE,$S$1=TRUE,$S$4=FALSE)=TRUE,IF(OR($Q$4=TRUE,$Q$5=TRUE,$S$2=TRUE),VLOOKUP($G635,'KO Calc'!$H:$AW,FALSE),VLOOKUP($G635,'KO Calc'!$H641:$AW641,14,FALSE)),IF(AND($Q$1=TRUE,$S$4=FALSE),IF(OR($Q$4=TRUE,$Q$5=TRUE,$S$2=TRUE),VLOOKUP($G635,'KO Calc'!$H:$AW,4,FALSE),VLOOKUP($G635,'KO Calc'!$H641:$AW641,4,FALSE)),
IF(AND($Q$1=TRUE,$S$1=TRUE,$S$4=TRUE)=TRUE,IF(OR($Q$4=TRUE,$Q$5=TRUE,$S$2=TRUE),VLOOKUP($G635,'KO Calc'!$H:$AW,19,FALSE),VLOOKUP($G635,'KO Calc'!$H641:$AW641,19,FALSE)),IF(AND($Q$1=TRUE,$S$4=TRUE),IF(OR($Q$4=TRUE,$Q$5=TRUE,$S$2=TRUE),VLOOKUP($G635,'KO Calc'!$H:$AW,9,FALSE),VLOOKUP($G635,'KO Calc'!$H641:$AW641,9,FALSE)),
IF(AND($S$3=TRUE,$S$1=TRUE,$S$4=FALSE)=TRUE,IF(OR($Q$4=TRUE,$Q$5=TRUE,$S$2=TRUE),VLOOKUP($G635,'KO Calc'!$H:$AW,34,FALSE),VLOOKUP($G635,'KO Calc'!$H641:$AW641,34,FALSE)),IF(AND($S$3=TRUE,$S$4=FALSE),IF(OR($Q$4=TRUE,$Q$5=TRUE,$S$2=TRUE),VLOOKUP($G635,'KO Calc'!$H:$AW,24,FALSE),VLOOKUP($G635,'KO Calc'!$H641:$AW641,24,FALSE)),
IF(AND($S$3=TRUE,$S$1=TRUE,$S$4=TRUE)=TRUE,IF(OR($Q$4=TRUE,$Q$5=TRUE,$S$2=TRUE),VLOOKUP($G635,'KO Calc'!$H:$AW,39,FALSE),VLOOKUP($G635,'KO Calc'!$H641:$AW641,39,FALSE)),IF(AND($S$3=TRUE,$S$4=TRUE),IF(OR($Q$4=TRUE,$Q$5=TRUE,$S$2=TRUE),VLOOKUP($G635,'KO Calc'!$H:$AW,29,FALSE),VLOOKUP($G635,'KO Calc'!$H641:$AW641,29,FALSE)))))))))))))</f>
        <v>-</v>
      </c>
      <c r="K635" s="36" t="str">
        <f>IF(AND($Q$1=FALSE,$S$3=FALSE),"-",IF(AND($Q$1=TRUE,$S$3=TRUE),"-",IF(AND($Q$1=FALSE,$S$3=FALSE),"-",IF(AND($Q$1=TRUE,$S$1=TRUE,$S$4=FALSE)=TRUE,IF(OR($Q$4=TRUE,$Q$5=TRUE,$S$2=TRUE),VLOOKUP($G635,'KO Calc'!$H:$AW,15,FALSE),VLOOKUP($G635,'KO Calc'!$H641:$AW641,15,FALSE)),IF(AND($Q$1=TRUE,$S$4=FALSE),IF(OR($Q$4=TRUE,$Q$5=TRUE,$S$2=TRUE),VLOOKUP($G635,'KO Calc'!$H:$AW,5,FALSE),VLOOKUP($G635,'KO Calc'!$H641:$AW641,5,FALSE)),
IF(AND($Q$1=TRUE,$S$1=TRUE,$S$4=TRUE)=TRUE,IF(OR($Q$4=TRUE,$Q$5=TRUE,$S$2=TRUE),VLOOKUP($G635,'KO Calc'!$H:$AW,20,FALSE),VLOOKUP($G635,'KO Calc'!$H641:$AW641,20,FALSE)),IF(AND($Q$1=TRUE,$S$4=TRUE),IF(OR($Q$4=TRUE,$Q$5=TRUE,$S$2=TRUE),VLOOKUP($G635,'KO Calc'!$H:$AW,10,FALSE),VLOOKUP($G635,'KO Calc'!$H641:$AW641,10,FALSE)),
IF(AND($S$3=TRUE,$S$1=TRUE,$S$4=FALSE)=TRUE,IF(OR($Q$4=TRUE,$Q$5=TRUE,$S$2=TRUE),VLOOKUP($G635,'KO Calc'!$H:$AW,35,FALSE),VLOOKUP($G635,'KO Calc'!$H641:$AW641,35,FALSE)),IF(AND($S$3=TRUE,$S$4=FALSE),IF(OR($Q$4=TRUE,$Q$5=TRUE,$S$2=TRUE),VLOOKUP($G635,'KO Calc'!$H:$AW,25,FALSE),VLOOKUP($G635,'KO Calc'!$H641:$AW641,25,FALSE)),
IF(AND($S$3=TRUE,$S$1=TRUE,$S$4=TRUE)=TRUE,IF(OR($Q$4=TRUE,$Q$5=TRUE,$S$2=TRUE),VLOOKUP($G635,'KO Calc'!$H:$AW,40,FALSE),VLOOKUP($G635,'KO Calc'!$H641:$AW641,40,FALSE)),IF(AND($S$3=TRUE,$S$4=TRUE),IF(OR($Q$4=TRUE,$Q$5=TRUE,$S$2=TRUE),VLOOKUP($G635,'KO Calc'!$H:$AW,30,FALSE),VLOOKUP($G635,'KO Calc'!$H641:$AW641,30,FALSE)))))))))))))</f>
        <v>-</v>
      </c>
      <c r="L635" s="36" t="str">
        <f>IFERROR(IF(AND($Q$1=FALSE,$S$3=FALSE),"-",VLOOKUP($E635,'Status Thresholds'!$E:$AU,43,FALSE)),"-")</f>
        <v>-</v>
      </c>
      <c r="M635" s="36" t="str">
        <f>IFERROR(IF(AND($Q$1=FALSE,$S$3=FALSE),"-",VLOOKUP($E635,'Status Thresholds'!$E:$AU,41,FALSE)),"-")</f>
        <v>-</v>
      </c>
      <c r="N635" s="36" t="str">
        <f>IFERROR(IF(AND($Q$1=FALSE,$S$3=FALSE),"-",VLOOKUP($E635,'Status Thresholds'!$E:$AU,42,FALSE)),"-")</f>
        <v>-</v>
      </c>
    </row>
    <row r="636" spans="1:14" x14ac:dyDescent="0.25">
      <c r="B636" s="64" t="str">
        <f>VLOOKUP(C636,'Status Thresholds'!B:C,2,FALSE)</f>
        <v>MHGen</v>
      </c>
      <c r="C636" s="46" t="str">
        <f>IF(ISBLANK('KO Calc'!C632)=TRUE,"",'KO Calc'!C632)</f>
        <v>Rathian (Gold)</v>
      </c>
      <c r="D636" s="78" t="s">
        <v>213</v>
      </c>
      <c r="E636" s="62" t="str">
        <f t="shared" si="17"/>
        <v>Rathian (Gold)Pitfall Trap</v>
      </c>
      <c r="F636" t="s">
        <v>12</v>
      </c>
      <c r="G636" s="36" t="str">
        <f t="shared" si="18"/>
        <v>Rathian (Gold)Crag 2</v>
      </c>
      <c r="H636" s="36" t="str">
        <f>IF(AND($Q$1=FALSE,$S$3=FALSE),"-",IF(AND($Q$1=TRUE,$S$3=TRUE),"-",IF(AND($Q$1=FALSE,$S$3=FALSE),"-",IF(AND($Q$1=TRUE,$S$1=TRUE,$S$4=FALSE)=TRUE,IF(OR($Q$4=TRUE,$Q$5=TRUE,$S$2=TRUE),VLOOKUP($G636,'KO Calc'!$H:$AW,12,FALSE),VLOOKUP($G636,'KO Calc'!$H642:$AW642,12,FALSE)),IF(AND($Q$1=TRUE,$S$4=FALSE),IF(OR($Q$4=TRUE,$Q$5=TRUE,$S$2=TRUE),VLOOKUP($G636,'KO Calc'!$H:$AW,2,FALSE),VLOOKUP($G636,'KO Calc'!$H642:$AW642,2,FALSE)),
IF(AND($Q$1=TRUE,$S$1=TRUE,$S$4=TRUE)=TRUE,IF(OR($Q$4=TRUE,$Q$5=TRUE,$S$2=TRUE),VLOOKUP($G636,'KO Calc'!$H:$AW,17,FALSE),VLOOKUP($G636,'KO Calc'!$H642:$AW642,17,FALSE)),IF(AND($Q$1=TRUE,$S$4=TRUE),IF(OR($Q$4=TRUE,$Q$5=TRUE,$S$2=TRUE),VLOOKUP($G636,'KO Calc'!$H:$AW,7,FALSE),VLOOKUP($G636,'KO Calc'!$H642:$AW642,7,FALSE)),
IF(AND($S$3=TRUE,$S$1=TRUE,$S$4=FALSE)=TRUE,IF(OR($Q$4=TRUE,$Q$5=TRUE,$S$2=TRUE),VLOOKUP($G636,'KO Calc'!$H:$AW,32,FALSE),VLOOKUP($G636,'KO Calc'!$H642:$AW642,32,FALSE)),IF(AND($S$3=TRUE,$S$4=FALSE),IF(OR($Q$4=TRUE,$Q$5=TRUE,$S$2=TRUE),VLOOKUP($G636,'KO Calc'!$H:$AW,22,FALSE),VLOOKUP($G636,'KO Calc'!$H642:$AW642,22,FALSE)),
IF(AND($S$3=TRUE,$S$1=TRUE,$S$4=TRUE)=TRUE,IF(OR($Q$4=TRUE,$Q$5=TRUE,$S$2=TRUE),VLOOKUP($G636,'KO Calc'!$H:$AW,37,FALSE),VLOOKUP($G636,'KO Calc'!$H642:$AW642,37,FALSE)),IF(AND($S$3=TRUE,$S$4=TRUE),IF(OR($Q$4=TRUE,$Q$5=TRUE,$S$2=TRUE),VLOOKUP($G636,'KO Calc'!$H:$AW,27,FALSE),VLOOKUP($G636,'KO Calc'!$H642:$AW642,27,FALSE)))))))))))))</f>
        <v>-</v>
      </c>
      <c r="I636" s="36" t="str">
        <f>IF(AND($Q$1=FALSE,$S$3=FALSE),"-",IF(AND($Q$1=TRUE,$S$3=TRUE),"-",IF(AND($Q$1=FALSE,$S$3=FALSE),"-",IF(AND($Q$1=TRUE,$S$1=TRUE,$S$4=FALSE)=TRUE,IF(OR($Q$4=TRUE,$Q$5=TRUE,$S$2=TRUE),VLOOKUP($G636,'KO Calc'!$H:$AW,13,FALSE),VLOOKUP($G636,'KO Calc'!$H642:$AW642,13,FALSE)),IF(AND($Q$1=TRUE,$S$4=FALSE),IF(OR($Q$4=TRUE,$Q$5=TRUE,$S$2=TRUE),VLOOKUP($G636,'KO Calc'!$H:$AW,3,FALSE),VLOOKUP($G636,'KO Calc'!$H642:$AW642,3,FALSE)),
IF(AND($Q$1=TRUE,$S$1=TRUE,$S$4=TRUE)=TRUE,IF(OR($Q$4=TRUE,$Q$5=TRUE,$S$2=TRUE),VLOOKUP($G636,'KO Calc'!$H:$AW,18,FALSE),VLOOKUP($G636,'KO Calc'!$H642:$AW642,18,FALSE)),IF(AND($Q$1=TRUE,$S$4=TRUE),IF(OR($Q$4=TRUE,$Q$5=TRUE,$S$2=TRUE),VLOOKUP($G636,'KO Calc'!$H:$AW,8,FALSE),VLOOKUP($G636,'KO Calc'!$H642:$AW642,8,FALSE)),
IF(AND($S$3=TRUE,$S$1=TRUE,$S$4=FALSE)=TRUE,IF(OR($Q$4=TRUE,$Q$5=TRUE,$S$2=TRUE),VLOOKUP($G636,'KO Calc'!$H:$AW,33,FALSE),VLOOKUP($G636,'KO Calc'!$H642:$AW642,33,FALSE)),IF(AND($S$3=TRUE,$S$4=FALSE),IF(OR($Q$4=TRUE,$Q$5=TRUE,$S$2=TRUE),VLOOKUP($G636,'KO Calc'!$H:$AW,23,FALSE),VLOOKUP($G636,'KO Calc'!$H642:$AW642,23,FALSE)),
IF(AND($S$3=TRUE,$S$1=TRUE,$S$4=TRUE)=TRUE,IF(OR($Q$4=TRUE,$Q$5=TRUE,$S$2=TRUE),VLOOKUP($G636,'KO Calc'!$H:$AW,38,FALSE),VLOOKUP($G636,'KO Calc'!$H642:$AW642,38,FALSE)),IF(AND($S$3=TRUE,$S$4=TRUE),IF(OR($Q$4=TRUE,$Q$5=TRUE,$S$2=TRUE),VLOOKUP($G636,'KO Calc'!$H:$AW,28,FALSE),VLOOKUP($G636,'KO Calc'!$H642:$AW642,28,FALSE)))))))))))))</f>
        <v>-</v>
      </c>
      <c r="J636" s="36" t="str">
        <f>IF(AND($Q$1=FALSE,$S$3=FALSE),"-",IF(AND($Q$1=TRUE,$S$3=TRUE),"-",IF(AND($Q$1=FALSE,$S$3=FALSE),"-",IF(AND($Q$1=TRUE,$S$1=TRUE,$S$4=FALSE)=TRUE,IF(OR($Q$4=TRUE,$Q$5=TRUE,$S$2=TRUE),VLOOKUP($G636,'KO Calc'!$H:$AW,FALSE),VLOOKUP($G636,'KO Calc'!$H642:$AW642,14,FALSE)),IF(AND($Q$1=TRUE,$S$4=FALSE),IF(OR($Q$4=TRUE,$Q$5=TRUE,$S$2=TRUE),VLOOKUP($G636,'KO Calc'!$H:$AW,4,FALSE),VLOOKUP($G636,'KO Calc'!$H642:$AW642,4,FALSE)),
IF(AND($Q$1=TRUE,$S$1=TRUE,$S$4=TRUE)=TRUE,IF(OR($Q$4=TRUE,$Q$5=TRUE,$S$2=TRUE),VLOOKUP($G636,'KO Calc'!$H:$AW,19,FALSE),VLOOKUP($G636,'KO Calc'!$H642:$AW642,19,FALSE)),IF(AND($Q$1=TRUE,$S$4=TRUE),IF(OR($Q$4=TRUE,$Q$5=TRUE,$S$2=TRUE),VLOOKUP($G636,'KO Calc'!$H:$AW,9,FALSE),VLOOKUP($G636,'KO Calc'!$H642:$AW642,9,FALSE)),
IF(AND($S$3=TRUE,$S$1=TRUE,$S$4=FALSE)=TRUE,IF(OR($Q$4=TRUE,$Q$5=TRUE,$S$2=TRUE),VLOOKUP($G636,'KO Calc'!$H:$AW,34,FALSE),VLOOKUP($G636,'KO Calc'!$H642:$AW642,34,FALSE)),IF(AND($S$3=TRUE,$S$4=FALSE),IF(OR($Q$4=TRUE,$Q$5=TRUE,$S$2=TRUE),VLOOKUP($G636,'KO Calc'!$H:$AW,24,FALSE),VLOOKUP($G636,'KO Calc'!$H642:$AW642,24,FALSE)),
IF(AND($S$3=TRUE,$S$1=TRUE,$S$4=TRUE)=TRUE,IF(OR($Q$4=TRUE,$Q$5=TRUE,$S$2=TRUE),VLOOKUP($G636,'KO Calc'!$H:$AW,39,FALSE),VLOOKUP($G636,'KO Calc'!$H642:$AW642,39,FALSE)),IF(AND($S$3=TRUE,$S$4=TRUE),IF(OR($Q$4=TRUE,$Q$5=TRUE,$S$2=TRUE),VLOOKUP($G636,'KO Calc'!$H:$AW,29,FALSE),VLOOKUP($G636,'KO Calc'!$H642:$AW642,29,FALSE)))))))))))))</f>
        <v>-</v>
      </c>
      <c r="K636" s="36" t="str">
        <f>IF(AND($Q$1=FALSE,$S$3=FALSE),"-",IF(AND($Q$1=TRUE,$S$3=TRUE),"-",IF(AND($Q$1=FALSE,$S$3=FALSE),"-",IF(AND($Q$1=TRUE,$S$1=TRUE,$S$4=FALSE)=TRUE,IF(OR($Q$4=TRUE,$Q$5=TRUE,$S$2=TRUE),VLOOKUP($G636,'KO Calc'!$H:$AW,15,FALSE),VLOOKUP($G636,'KO Calc'!$H642:$AW642,15,FALSE)),IF(AND($Q$1=TRUE,$S$4=FALSE),IF(OR($Q$4=TRUE,$Q$5=TRUE,$S$2=TRUE),VLOOKUP($G636,'KO Calc'!$H:$AW,5,FALSE),VLOOKUP($G636,'KO Calc'!$H642:$AW642,5,FALSE)),
IF(AND($Q$1=TRUE,$S$1=TRUE,$S$4=TRUE)=TRUE,IF(OR($Q$4=TRUE,$Q$5=TRUE,$S$2=TRUE),VLOOKUP($G636,'KO Calc'!$H:$AW,20,FALSE),VLOOKUP($G636,'KO Calc'!$H642:$AW642,20,FALSE)),IF(AND($Q$1=TRUE,$S$4=TRUE),IF(OR($Q$4=TRUE,$Q$5=TRUE,$S$2=TRUE),VLOOKUP($G636,'KO Calc'!$H:$AW,10,FALSE),VLOOKUP($G636,'KO Calc'!$H642:$AW642,10,FALSE)),
IF(AND($S$3=TRUE,$S$1=TRUE,$S$4=FALSE)=TRUE,IF(OR($Q$4=TRUE,$Q$5=TRUE,$S$2=TRUE),VLOOKUP($G636,'KO Calc'!$H:$AW,35,FALSE),VLOOKUP($G636,'KO Calc'!$H642:$AW642,35,FALSE)),IF(AND($S$3=TRUE,$S$4=FALSE),IF(OR($Q$4=TRUE,$Q$5=TRUE,$S$2=TRUE),VLOOKUP($G636,'KO Calc'!$H:$AW,25,FALSE),VLOOKUP($G636,'KO Calc'!$H642:$AW642,25,FALSE)),
IF(AND($S$3=TRUE,$S$1=TRUE,$S$4=TRUE)=TRUE,IF(OR($Q$4=TRUE,$Q$5=TRUE,$S$2=TRUE),VLOOKUP($G636,'KO Calc'!$H:$AW,40,FALSE),VLOOKUP($G636,'KO Calc'!$H642:$AW642,40,FALSE)),IF(AND($S$3=TRUE,$S$4=TRUE),IF(OR($Q$4=TRUE,$Q$5=TRUE,$S$2=TRUE),VLOOKUP($G636,'KO Calc'!$H:$AW,30,FALSE),VLOOKUP($G636,'KO Calc'!$H642:$AW642,30,FALSE)))))))))))))</f>
        <v>-</v>
      </c>
      <c r="L636" s="36" t="str">
        <f>IFERROR(IF(AND($Q$1=FALSE,$S$3=FALSE),"-",VLOOKUP($E636,'Status Thresholds'!$E:$AU,43,FALSE)),"-")</f>
        <v>-</v>
      </c>
      <c r="M636" s="36" t="str">
        <f>IFERROR(IF(AND($Q$1=FALSE,$S$3=FALSE),"-",VLOOKUP($E636,'Status Thresholds'!$E:$AU,41,FALSE)),"-")</f>
        <v>-</v>
      </c>
      <c r="N636" s="36" t="str">
        <f>IFERROR(IF(AND($Q$1=FALSE,$S$3=FALSE),"-",VLOOKUP($E636,'Status Thresholds'!$E:$AU,42,FALSE)),"-")</f>
        <v>-</v>
      </c>
    </row>
    <row r="637" spans="1:14" x14ac:dyDescent="0.25">
      <c r="B637" s="64" t="str">
        <f>VLOOKUP(C637,'Status Thresholds'!B:C,2,FALSE)</f>
        <v>MHGen</v>
      </c>
      <c r="C637" s="46" t="str">
        <f>IF(ISBLANK('KO Calc'!C633)=TRUE,"",'KO Calc'!C633)</f>
        <v>Rathian (Gold)</v>
      </c>
      <c r="D637" s="78"/>
      <c r="E637" s="62" t="str">
        <f t="shared" si="17"/>
        <v>Rathian (Gold)</v>
      </c>
      <c r="F637" t="s">
        <v>11</v>
      </c>
      <c r="G637" s="36" t="str">
        <f t="shared" si="18"/>
        <v>Rathian (Gold)Crag 1</v>
      </c>
      <c r="H637" s="36" t="str">
        <f>IF(AND($Q$1=FALSE,$S$3=FALSE),"-",IF(AND($Q$1=TRUE,$S$3=TRUE),"-",IF(AND($Q$1=FALSE,$S$3=FALSE),"-",IF(AND($Q$1=TRUE,$S$1=TRUE,$S$4=FALSE)=TRUE,IF(OR($Q$4=TRUE,$Q$5=TRUE,$S$2=TRUE),VLOOKUP($G637,'KO Calc'!$H:$AW,12,FALSE),VLOOKUP($G637,'KO Calc'!$H643:$AW643,12,FALSE)),IF(AND($Q$1=TRUE,$S$4=FALSE),IF(OR($Q$4=TRUE,$Q$5=TRUE,$S$2=TRUE),VLOOKUP($G637,'KO Calc'!$H:$AW,2,FALSE),VLOOKUP($G637,'KO Calc'!$H643:$AW643,2,FALSE)),
IF(AND($Q$1=TRUE,$S$1=TRUE,$S$4=TRUE)=TRUE,IF(OR($Q$4=TRUE,$Q$5=TRUE,$S$2=TRUE),VLOOKUP($G637,'KO Calc'!$H:$AW,17,FALSE),VLOOKUP($G637,'KO Calc'!$H643:$AW643,17,FALSE)),IF(AND($Q$1=TRUE,$S$4=TRUE),IF(OR($Q$4=TRUE,$Q$5=TRUE,$S$2=TRUE),VLOOKUP($G637,'KO Calc'!$H:$AW,7,FALSE),VLOOKUP($G637,'KO Calc'!$H643:$AW643,7,FALSE)),
IF(AND($S$3=TRUE,$S$1=TRUE,$S$4=FALSE)=TRUE,IF(OR($Q$4=TRUE,$Q$5=TRUE,$S$2=TRUE),VLOOKUP($G637,'KO Calc'!$H:$AW,32,FALSE),VLOOKUP($G637,'KO Calc'!$H643:$AW643,32,FALSE)),IF(AND($S$3=TRUE,$S$4=FALSE),IF(OR($Q$4=TRUE,$Q$5=TRUE,$S$2=TRUE),VLOOKUP($G637,'KO Calc'!$H:$AW,22,FALSE),VLOOKUP($G637,'KO Calc'!$H643:$AW643,22,FALSE)),
IF(AND($S$3=TRUE,$S$1=TRUE,$S$4=TRUE)=TRUE,IF(OR($Q$4=TRUE,$Q$5=TRUE,$S$2=TRUE),VLOOKUP($G637,'KO Calc'!$H:$AW,37,FALSE),VLOOKUP($G637,'KO Calc'!$H643:$AW643,37,FALSE)),IF(AND($S$3=TRUE,$S$4=TRUE),IF(OR($Q$4=TRUE,$Q$5=TRUE,$S$2=TRUE),VLOOKUP($G637,'KO Calc'!$H:$AW,27,FALSE),VLOOKUP($G637,'KO Calc'!$H643:$AW643,27,FALSE)))))))))))))</f>
        <v>-</v>
      </c>
      <c r="I637" s="36" t="str">
        <f>IF(AND($Q$1=FALSE,$S$3=FALSE),"-",IF(AND($Q$1=TRUE,$S$3=TRUE),"-",IF(AND($Q$1=FALSE,$S$3=FALSE),"-",IF(AND($Q$1=TRUE,$S$1=TRUE,$S$4=FALSE)=TRUE,IF(OR($Q$4=TRUE,$Q$5=TRUE,$S$2=TRUE),VLOOKUP($G637,'KO Calc'!$H:$AW,13,FALSE),VLOOKUP($G637,'KO Calc'!$H643:$AW643,13,FALSE)),IF(AND($Q$1=TRUE,$S$4=FALSE),IF(OR($Q$4=TRUE,$Q$5=TRUE,$S$2=TRUE),VLOOKUP($G637,'KO Calc'!$H:$AW,3,FALSE),VLOOKUP($G637,'KO Calc'!$H643:$AW643,3,FALSE)),
IF(AND($Q$1=TRUE,$S$1=TRUE,$S$4=TRUE)=TRUE,IF(OR($Q$4=TRUE,$Q$5=TRUE,$S$2=TRUE),VLOOKUP($G637,'KO Calc'!$H:$AW,18,FALSE),VLOOKUP($G637,'KO Calc'!$H643:$AW643,18,FALSE)),IF(AND($Q$1=TRUE,$S$4=TRUE),IF(OR($Q$4=TRUE,$Q$5=TRUE,$S$2=TRUE),VLOOKUP($G637,'KO Calc'!$H:$AW,8,FALSE),VLOOKUP($G637,'KO Calc'!$H643:$AW643,8,FALSE)),
IF(AND($S$3=TRUE,$S$1=TRUE,$S$4=FALSE)=TRUE,IF(OR($Q$4=TRUE,$Q$5=TRUE,$S$2=TRUE),VLOOKUP($G637,'KO Calc'!$H:$AW,33,FALSE),VLOOKUP($G637,'KO Calc'!$H643:$AW643,33,FALSE)),IF(AND($S$3=TRUE,$S$4=FALSE),IF(OR($Q$4=TRUE,$Q$5=TRUE,$S$2=TRUE),VLOOKUP($G637,'KO Calc'!$H:$AW,23,FALSE),VLOOKUP($G637,'KO Calc'!$H643:$AW643,23,FALSE)),
IF(AND($S$3=TRUE,$S$1=TRUE,$S$4=TRUE)=TRUE,IF(OR($Q$4=TRUE,$Q$5=TRUE,$S$2=TRUE),VLOOKUP($G637,'KO Calc'!$H:$AW,38,FALSE),VLOOKUP($G637,'KO Calc'!$H643:$AW643,38,FALSE)),IF(AND($S$3=TRUE,$S$4=TRUE),IF(OR($Q$4=TRUE,$Q$5=TRUE,$S$2=TRUE),VLOOKUP($G637,'KO Calc'!$H:$AW,28,FALSE),VLOOKUP($G637,'KO Calc'!$H643:$AW643,28,FALSE)))))))))))))</f>
        <v>-</v>
      </c>
      <c r="J637" s="36" t="str">
        <f>IF(AND($Q$1=FALSE,$S$3=FALSE),"-",IF(AND($Q$1=TRUE,$S$3=TRUE),"-",IF(AND($Q$1=FALSE,$S$3=FALSE),"-",IF(AND($Q$1=TRUE,$S$1=TRUE,$S$4=FALSE)=TRUE,IF(OR($Q$4=TRUE,$Q$5=TRUE,$S$2=TRUE),VLOOKUP($G637,'KO Calc'!$H:$AW,FALSE),VLOOKUP($G637,'KO Calc'!$H643:$AW643,14,FALSE)),IF(AND($Q$1=TRUE,$S$4=FALSE),IF(OR($Q$4=TRUE,$Q$5=TRUE,$S$2=TRUE),VLOOKUP($G637,'KO Calc'!$H:$AW,4,FALSE),VLOOKUP($G637,'KO Calc'!$H643:$AW643,4,FALSE)),
IF(AND($Q$1=TRUE,$S$1=TRUE,$S$4=TRUE)=TRUE,IF(OR($Q$4=TRUE,$Q$5=TRUE,$S$2=TRUE),VLOOKUP($G637,'KO Calc'!$H:$AW,19,FALSE),VLOOKUP($G637,'KO Calc'!$H643:$AW643,19,FALSE)),IF(AND($Q$1=TRUE,$S$4=TRUE),IF(OR($Q$4=TRUE,$Q$5=TRUE,$S$2=TRUE),VLOOKUP($G637,'KO Calc'!$H:$AW,9,FALSE),VLOOKUP($G637,'KO Calc'!$H643:$AW643,9,FALSE)),
IF(AND($S$3=TRUE,$S$1=TRUE,$S$4=FALSE)=TRUE,IF(OR($Q$4=TRUE,$Q$5=TRUE,$S$2=TRUE),VLOOKUP($G637,'KO Calc'!$H:$AW,34,FALSE),VLOOKUP($G637,'KO Calc'!$H643:$AW643,34,FALSE)),IF(AND($S$3=TRUE,$S$4=FALSE),IF(OR($Q$4=TRUE,$Q$5=TRUE,$S$2=TRUE),VLOOKUP($G637,'KO Calc'!$H:$AW,24,FALSE),VLOOKUP($G637,'KO Calc'!$H643:$AW643,24,FALSE)),
IF(AND($S$3=TRUE,$S$1=TRUE,$S$4=TRUE)=TRUE,IF(OR($Q$4=TRUE,$Q$5=TRUE,$S$2=TRUE),VLOOKUP($G637,'KO Calc'!$H:$AW,39,FALSE),VLOOKUP($G637,'KO Calc'!$H643:$AW643,39,FALSE)),IF(AND($S$3=TRUE,$S$4=TRUE),IF(OR($Q$4=TRUE,$Q$5=TRUE,$S$2=TRUE),VLOOKUP($G637,'KO Calc'!$H:$AW,29,FALSE),VLOOKUP($G637,'KO Calc'!$H643:$AW643,29,FALSE)))))))))))))</f>
        <v>-</v>
      </c>
      <c r="K637" s="36" t="str">
        <f>IF(AND($Q$1=FALSE,$S$3=FALSE),"-",IF(AND($Q$1=TRUE,$S$3=TRUE),"-",IF(AND($Q$1=FALSE,$S$3=FALSE),"-",IF(AND($Q$1=TRUE,$S$1=TRUE,$S$4=FALSE)=TRUE,IF(OR($Q$4=TRUE,$Q$5=TRUE,$S$2=TRUE),VLOOKUP($G637,'KO Calc'!$H:$AW,15,FALSE),VLOOKUP($G637,'KO Calc'!$H643:$AW643,15,FALSE)),IF(AND($Q$1=TRUE,$S$4=FALSE),IF(OR($Q$4=TRUE,$Q$5=TRUE,$S$2=TRUE),VLOOKUP($G637,'KO Calc'!$H:$AW,5,FALSE),VLOOKUP($G637,'KO Calc'!$H643:$AW643,5,FALSE)),
IF(AND($Q$1=TRUE,$S$1=TRUE,$S$4=TRUE)=TRUE,IF(OR($Q$4=TRUE,$Q$5=TRUE,$S$2=TRUE),VLOOKUP($G637,'KO Calc'!$H:$AW,20,FALSE),VLOOKUP($G637,'KO Calc'!$H643:$AW643,20,FALSE)),IF(AND($Q$1=TRUE,$S$4=TRUE),IF(OR($Q$4=TRUE,$Q$5=TRUE,$S$2=TRUE),VLOOKUP($G637,'KO Calc'!$H:$AW,10,FALSE),VLOOKUP($G637,'KO Calc'!$H643:$AW643,10,FALSE)),
IF(AND($S$3=TRUE,$S$1=TRUE,$S$4=FALSE)=TRUE,IF(OR($Q$4=TRUE,$Q$5=TRUE,$S$2=TRUE),VLOOKUP($G637,'KO Calc'!$H:$AW,35,FALSE),VLOOKUP($G637,'KO Calc'!$H643:$AW643,35,FALSE)),IF(AND($S$3=TRUE,$S$4=FALSE),IF(OR($Q$4=TRUE,$Q$5=TRUE,$S$2=TRUE),VLOOKUP($G637,'KO Calc'!$H:$AW,25,FALSE),VLOOKUP($G637,'KO Calc'!$H643:$AW643,25,FALSE)),
IF(AND($S$3=TRUE,$S$1=TRUE,$S$4=TRUE)=TRUE,IF(OR($Q$4=TRUE,$Q$5=TRUE,$S$2=TRUE),VLOOKUP($G637,'KO Calc'!$H:$AW,40,FALSE),VLOOKUP($G637,'KO Calc'!$H643:$AW643,40,FALSE)),IF(AND($S$3=TRUE,$S$4=TRUE),IF(OR($Q$4=TRUE,$Q$5=TRUE,$S$2=TRUE),VLOOKUP($G637,'KO Calc'!$H:$AW,30,FALSE),VLOOKUP($G637,'KO Calc'!$H643:$AW643,30,FALSE)))))))))))))</f>
        <v>-</v>
      </c>
      <c r="L637" s="36" t="str">
        <f>IFERROR(VLOOKUP($E637,'Status Thresholds'!$E:$AS,41,FALSE),"-")</f>
        <v>-</v>
      </c>
    </row>
    <row r="638" spans="1:14" x14ac:dyDescent="0.25">
      <c r="B638" s="64" t="str">
        <f>VLOOKUP(C638,'Status Thresholds'!B:C,2,FALSE)</f>
        <v>MHGen</v>
      </c>
      <c r="C638" s="46" t="str">
        <f>IF(ISBLANK('KO Calc'!C634)=TRUE,"",'KO Calc'!C634)</f>
        <v>Rathian (Gold)</v>
      </c>
      <c r="D638" s="78"/>
      <c r="E638" s="62" t="str">
        <f t="shared" si="17"/>
        <v>Rathian (Gold)</v>
      </c>
      <c r="G638" s="36" t="str">
        <f t="shared" si="18"/>
        <v>Rathian (Gold)</v>
      </c>
      <c r="H638" s="36"/>
      <c r="I638" s="36"/>
      <c r="J638" s="36"/>
      <c r="K638" s="36"/>
      <c r="L638" s="36" t="str">
        <f>IFERROR(VLOOKUP($E638,'Status Thresholds'!$E:$AS,41,FALSE),"-")</f>
        <v>-</v>
      </c>
    </row>
    <row r="639" spans="1:14" x14ac:dyDescent="0.25">
      <c r="B639" s="64" t="str">
        <f>VLOOKUP(C639,'Status Thresholds'!B:C,2,FALSE)</f>
        <v>Deviant</v>
      </c>
      <c r="C639" s="46" t="str">
        <f>IF(ISBLANK('KO Calc'!C635)=TRUE,"",'KO Calc'!C635)</f>
        <v>Redhelm Arzuros</v>
      </c>
      <c r="D639" s="65" t="s">
        <v>0</v>
      </c>
      <c r="E639" s="62" t="str">
        <f t="shared" si="17"/>
        <v>Redhelm ArzurosPara</v>
      </c>
      <c r="F639" s="59" t="s">
        <v>5</v>
      </c>
      <c r="G639" s="36" t="str">
        <f t="shared" si="18"/>
        <v>Redhelm ArzurosSleep lvl 2</v>
      </c>
      <c r="H639" s="36" t="str">
        <f>IFERROR(ROUNDUP(IF(AND($Q$1=FALSE,$S$3=FALSE),"-",IF(AND($Q$1=TRUE,$S$3=TRUE),"-",IF(AND($Q$1=TRUE,$S$1=TRUE,$S$4=FALSE),VLOOKUP($E639,'Status Thresholds'!$E:$AS,12,FALSE),IF(AND($Q$1=TRUE,$S$4=FALSE),VLOOKUP($E639,'Status Thresholds'!$E:$AS,2,FALSE), IF(AND($Q$1=TRUE,$S$1=TRUE,$S$4=TRUE),VLOOKUP($E639,'Status Thresholds'!$E:$AS,17,FALSE),IF(AND($Q$1=TRUE,$S$4=TRUE),VLOOKUP($E639,'Status Thresholds'!$E:$AS,7,FALSE),IF(AND($S$3=TRUE,$S$1=TRUE,$S$4=FALSE),VLOOKUP($E639,'Status Thresholds'!$E:$AS,32,FALSE),IF(AND($S$3=TRUE,$S$4=FALSE),VLOOKUP($E639,'Status Thresholds'!$E:$AS,22,FALSE),IF(AND($S$3=TRUE,$S$1=TRUE,$S$4=TRUE),VLOOKUP($E639,'Status Thresholds'!$E:$AS,37,FALSE),IF(AND($S$3=TRUE,$S$4=TRUE),VLOOKUP($E639,'Status Thresholds'!$E:$AS,27,FALSE),""))))))))/IF(OR($Q$3=TRUE,AND($Q$2=TRUE,$Q$7=TRUE),AND($Q$3=TRUE,$Q$7=TRUE))=TRUE,'Shots and Status'!$F$5,IF((OR($Q$2,$Q$7)=TRUE),'Shots and Status'!$D$5,'Shots and Status'!$C$5)))),0),"-")</f>
        <v>-</v>
      </c>
      <c r="I639" s="36" t="str">
        <f>IFERROR(ROUNDUP(IF(AND($Q$1=FALSE,$S$3=FALSE),"-",IF(AND($Q$1=TRUE,$S$3=TRUE),"-",IF(AND($Q$1=TRUE,$S$1=TRUE,$S$4=FALSE),VLOOKUP($E639,'Status Thresholds'!$E:$AS,13,FALSE),IF(AND($Q$1=TRUE,$S$4=FALSE),VLOOKUP($E639,'Status Thresholds'!$E:$AS,3,FALSE), IF(AND($Q$1=TRUE,$S$1=TRUE,$S$4=TRUE),VLOOKUP($E639,'Status Thresholds'!$E:$AS,18,FALSE),IF(AND($Q$1=TRUE,$S$4=TRUE),VLOOKUP($E639,'Status Thresholds'!$E:$AS,8,FALSE),IF(AND($S$3=TRUE,$S$1=TRUE,$S$4=FALSE),VLOOKUP($E639,'Status Thresholds'!$E:$AS,33,FALSE),IF(AND($S$3=TRUE,$S$4=FALSE),VLOOKUP($E639,'Status Thresholds'!$E:$AS,23,FALSE),IF(AND($S$3=TRUE,$S$1=TRUE,$S$4=TRUE),VLOOKUP($E639,'Status Thresholds'!$E:$AS,38,FALSE),IF(AND($S$3=TRUE,$S$4=TRUE),VLOOKUP($E639,'Status Thresholds'!$E:$AS,28,FALSE),""))))))))/IF(OR($Q$3=TRUE,AND($Q$2=TRUE,$Q$7=TRUE),AND($Q$3=TRUE,$Q$7=TRUE))=TRUE,'Shots and Status'!$F$5,IF((OR($Q$2,$Q$7)=TRUE),'Shots and Status'!$D$5,'Shots and Status'!$C$5)))),0),"-")</f>
        <v>-</v>
      </c>
      <c r="J639" s="36" t="str">
        <f>IFERROR(ROUNDUP(IF(AND($Q$1=FALSE,$S$3=FALSE),"-",IF(AND($Q$1=TRUE,$S$3=TRUE),"-",IF(AND($Q$1=TRUE,$S$1=TRUE,$S$4=FALSE),VLOOKUP($E639,'Status Thresholds'!$E:$AS,14,FALSE),IF(AND($Q$1=TRUE,$S$4=FALSE),VLOOKUP($E639,'Status Thresholds'!$E:$AS,4,FALSE), IF(AND($Q$1=TRUE,$S$1=TRUE,$S$4=TRUE),VLOOKUP($E639,'Status Thresholds'!$E:$AS,19,FALSE),IF(AND($Q$1=TRUE,$S$4=TRUE),VLOOKUP($E639,'Status Thresholds'!$E:$AS,9,FALSE),IF(AND($S$3=TRUE,$S$1=TRUE,$S$4=FALSE),VLOOKUP($E639,'Status Thresholds'!$E:$AS,34,FALSE),IF(AND($S$3=TRUE,$S$4=FALSE),VLOOKUP($E639,'Status Thresholds'!$E:$AS,24,FALSE),IF(AND($S$3=TRUE,$S$1=TRUE,$S$4=TRUE),VLOOKUP($E639,'Status Thresholds'!$E:$AS,39,FALSE),IF(AND($S$3=TRUE,$S$4=TRUE),VLOOKUP($E639,'Status Thresholds'!$E:$AS,29,FALSE),""))))))))/IF(OR($Q$3=TRUE,AND($Q$2=TRUE,$Q$7=TRUE),AND($Q$3=TRUE,$Q$7=TRUE))=TRUE,'Shots and Status'!$F$5,IF((OR($Q$2,$Q$7)=TRUE),'Shots and Status'!$D$5,'Shots and Status'!$C$5)))),0),"-")</f>
        <v>-</v>
      </c>
      <c r="K639" s="36" t="str">
        <f>IFERROR(ROUNDUP(IF(AND($Q$1=FALSE,$S$3=FALSE),"-",IF(AND($Q$1=TRUE,$S$3=TRUE),"-",IF(AND($Q$1=TRUE,$S$1=TRUE,$S$4=FALSE),VLOOKUP($E639,'Status Thresholds'!$E:$AS,15,FALSE),IF(AND($Q$1=TRUE,$S$4=FALSE),VLOOKUP($E639,'Status Thresholds'!$E:$AS,5,FALSE), IF(AND($Q$1=TRUE,$S$1=TRUE,$S$4=TRUE),VLOOKUP($E639,'Status Thresholds'!$E:$AS,20,FALSE),IF(AND($Q$1=TRUE,$S$4=TRUE),VLOOKUP($E639,'Status Thresholds'!$E:$AS,10,FALSE),IF(AND($S$3=TRUE,$S$1=TRUE,$S$4=FALSE),VLOOKUP($E639,'Status Thresholds'!$E:$AS,35,FALSE),IF(AND($S$3=TRUE,$S$4=FALSE),VLOOKUP($E639,'Status Thresholds'!$E:$AS,25,FALSE),IF(AND($S$3=TRUE,$S$1=TRUE,$S$4=TRUE),VLOOKUP($E639,'Status Thresholds'!$E:$AS,40,FALSE),IF(AND($S$3=TRUE,$S$4=TRUE),VLOOKUP($E639,'Status Thresholds'!$E:$AS,30,FALSE),""))))))))/IF(OR($Q$3=TRUE,AND($Q$2=TRUE,$Q$7=TRUE),AND($Q$3=TRUE,$Q$7=TRUE))=TRUE,'Shots and Status'!$F$5,IF((OR($Q$2,$Q$7)=TRUE),'Shots and Status'!$D$5,'Shots and Status'!$C$5)))),0),"-")</f>
        <v>-</v>
      </c>
      <c r="L639" s="36" t="str">
        <f>IFERROR(IF(AND($Q$1=FALSE,$S$3=FALSE),"-",VLOOKUP($E639,'Status Thresholds'!$E:$AU,41,FALSE)),"-")</f>
        <v>-</v>
      </c>
      <c r="M639" s="36" t="str">
        <f>IFERROR(IF(AND($Q$1=FALSE,$S$3=FALSE),"-",VLOOKUP($E639,'Status Thresholds'!$E:$AU,42,FALSE)),"-")</f>
        <v>-</v>
      </c>
      <c r="N639" s="36" t="str">
        <f>IFERROR(IF(AND($Q$1=FALSE,$S$3=FALSE),"-",VLOOKUP($E639,'Status Thresholds'!$E:$AU,43,FALSE)),"-")</f>
        <v>-</v>
      </c>
    </row>
    <row r="640" spans="1:14" x14ac:dyDescent="0.25">
      <c r="B640" s="64" t="str">
        <f>VLOOKUP(C640,'Status Thresholds'!B:C,2,FALSE)</f>
        <v>Deviant</v>
      </c>
      <c r="C640" s="46" t="str">
        <f>IF(ISBLANK('KO Calc'!C636)=TRUE,"",'KO Calc'!C636)</f>
        <v>Redhelm Arzuros</v>
      </c>
      <c r="D640" s="60" t="s">
        <v>32</v>
      </c>
      <c r="E640" s="62" t="str">
        <f t="shared" si="17"/>
        <v>Redhelm ArzurosSleep</v>
      </c>
      <c r="F640" s="59" t="s">
        <v>6</v>
      </c>
      <c r="G640" s="36" t="str">
        <f t="shared" si="18"/>
        <v>Redhelm ArzurosPoison lvl 2</v>
      </c>
      <c r="H640" s="36" t="str">
        <f>IFERROR(ROUNDUP(IF(AND($Q$1=FALSE,$S$3=FALSE),"-",IF(AND($Q$1=TRUE,$S$3=TRUE),"-",IF(AND($Q$1=TRUE,$S$1=TRUE,$S$4=FALSE),VLOOKUP($E640,'Status Thresholds'!$E:$AS,12,FALSE),IF(AND($Q$1=TRUE,$S$4=FALSE),VLOOKUP($E640,'Status Thresholds'!$E:$AS,2,FALSE), IF(AND($Q$1=TRUE,$S$1=TRUE,$S$4=TRUE),VLOOKUP($E640,'Status Thresholds'!$E:$AS,17,FALSE),IF(AND($Q$1=TRUE,$S$4=TRUE),VLOOKUP($E640,'Status Thresholds'!$E:$AS,7,FALSE),IF(AND($S$3=TRUE,$S$1=TRUE,$S$4=FALSE),VLOOKUP($E640,'Status Thresholds'!$E:$AS,32,FALSE),IF(AND($S$3=TRUE,$S$4=FALSE),VLOOKUP($E640,'Status Thresholds'!$E:$AS,22,FALSE),IF(AND($S$3=TRUE,$S$1=TRUE,$S$4=TRUE),VLOOKUP($E640,'Status Thresholds'!$E:$AS,37,FALSE),IF(AND($S$3=TRUE,$S$4=TRUE),VLOOKUP($E640,'Status Thresholds'!$E:$AS,27,FALSE),""))))))))/IF(OR($Q$3=TRUE,AND($Q$2=TRUE,$Q$7=TRUE),AND($Q$3=TRUE,$Q$7=TRUE))=TRUE,'Shots and Status'!$F$5,IF((OR($Q$2,$Q$7)=TRUE),'Shots and Status'!$D$5,'Shots and Status'!$C$5)))),0),"-")</f>
        <v>-</v>
      </c>
      <c r="I640" s="36" t="str">
        <f>IFERROR(ROUNDUP(IF(AND($Q$1=FALSE,$S$3=FALSE),"-",IF(AND($Q$1=TRUE,$S$3=TRUE),"-",IF(AND($Q$1=TRUE,$S$1=TRUE,$S$4=FALSE),VLOOKUP($E640,'Status Thresholds'!$E:$AS,13,FALSE),IF(AND($Q$1=TRUE,$S$4=FALSE),VLOOKUP($E640,'Status Thresholds'!$E:$AS,3,FALSE), IF(AND($Q$1=TRUE,$S$1=TRUE,$S$4=TRUE),VLOOKUP($E640,'Status Thresholds'!$E:$AS,18,FALSE),IF(AND($Q$1=TRUE,$S$4=TRUE),VLOOKUP($E640,'Status Thresholds'!$E:$AS,8,FALSE),IF(AND($S$3=TRUE,$S$1=TRUE,$S$4=FALSE),VLOOKUP($E640,'Status Thresholds'!$E:$AS,33,FALSE),IF(AND($S$3=TRUE,$S$4=FALSE),VLOOKUP($E640,'Status Thresholds'!$E:$AS,23,FALSE),IF(AND($S$3=TRUE,$S$1=TRUE,$S$4=TRUE),VLOOKUP($E640,'Status Thresholds'!$E:$AS,38,FALSE),IF(AND($S$3=TRUE,$S$4=TRUE),VLOOKUP($E640,'Status Thresholds'!$E:$AS,28,FALSE),""))))))))/IF(OR($Q$3=TRUE,AND($Q$2=TRUE,$Q$7=TRUE),AND($Q$3=TRUE,$Q$7=TRUE))=TRUE,'Shots and Status'!$F$5,IF((OR($Q$2,$Q$7)=TRUE),'Shots and Status'!$D$5,'Shots and Status'!$C$5)))),0),"-")</f>
        <v>-</v>
      </c>
      <c r="J640" s="36" t="str">
        <f>IFERROR(ROUNDUP(IF(AND($Q$1=FALSE,$S$3=FALSE),"-",IF(AND($Q$1=TRUE,$S$3=TRUE),"-",IF(AND($Q$1=TRUE,$S$1=TRUE,$S$4=FALSE),VLOOKUP($E640,'Status Thresholds'!$E:$AS,14,FALSE),IF(AND($Q$1=TRUE,$S$4=FALSE),VLOOKUP($E640,'Status Thresholds'!$E:$AS,4,FALSE), IF(AND($Q$1=TRUE,$S$1=TRUE,$S$4=TRUE),VLOOKUP($E640,'Status Thresholds'!$E:$AS,19,FALSE),IF(AND($Q$1=TRUE,$S$4=TRUE),VLOOKUP($E640,'Status Thresholds'!$E:$AS,9,FALSE),IF(AND($S$3=TRUE,$S$1=TRUE,$S$4=FALSE),VLOOKUP($E640,'Status Thresholds'!$E:$AS,34,FALSE),IF(AND($S$3=TRUE,$S$4=FALSE),VLOOKUP($E640,'Status Thresholds'!$E:$AS,24,FALSE),IF(AND($S$3=TRUE,$S$1=TRUE,$S$4=TRUE),VLOOKUP($E640,'Status Thresholds'!$E:$AS,39,FALSE),IF(AND($S$3=TRUE,$S$4=TRUE),VLOOKUP($E640,'Status Thresholds'!$E:$AS,29,FALSE),""))))))))/IF(OR($Q$3=TRUE,AND($Q$2=TRUE,$Q$7=TRUE),AND($Q$3=TRUE,$Q$7=TRUE))=TRUE,'Shots and Status'!$F$5,IF((OR($Q$2,$Q$7)=TRUE),'Shots and Status'!$D$5,'Shots and Status'!$C$5)))),0),"-")</f>
        <v>-</v>
      </c>
      <c r="K640" s="36" t="str">
        <f>IFERROR(ROUNDUP(IF(AND($Q$1=FALSE,$S$3=FALSE),"-",IF(AND($Q$1=TRUE,$S$3=TRUE),"-",IF(AND($Q$1=TRUE,$S$1=TRUE,$S$4=FALSE),VLOOKUP($E640,'Status Thresholds'!$E:$AS,15,FALSE),IF(AND($Q$1=TRUE,$S$4=FALSE),VLOOKUP($E640,'Status Thresholds'!$E:$AS,5,FALSE), IF(AND($Q$1=TRUE,$S$1=TRUE,$S$4=TRUE),VLOOKUP($E640,'Status Thresholds'!$E:$AS,20,FALSE),IF(AND($Q$1=TRUE,$S$4=TRUE),VLOOKUP($E640,'Status Thresholds'!$E:$AS,10,FALSE),IF(AND($S$3=TRUE,$S$1=TRUE,$S$4=FALSE),VLOOKUP($E640,'Status Thresholds'!$E:$AS,35,FALSE),IF(AND($S$3=TRUE,$S$4=FALSE),VLOOKUP($E640,'Status Thresholds'!$E:$AS,25,FALSE),IF(AND($S$3=TRUE,$S$1=TRUE,$S$4=TRUE),VLOOKUP($E640,'Status Thresholds'!$E:$AS,40,FALSE),IF(AND($S$3=TRUE,$S$4=TRUE),VLOOKUP($E640,'Status Thresholds'!$E:$AS,30,FALSE),""))))))))/IF(OR($Q$3=TRUE,AND($Q$2=TRUE,$Q$7=TRUE),AND($Q$3=TRUE,$Q$7=TRUE))=TRUE,'Shots and Status'!$F$5,IF((OR($Q$2,$Q$7)=TRUE),'Shots and Status'!$D$5,'Shots and Status'!$C$5)))),0),"-")</f>
        <v>-</v>
      </c>
      <c r="L640" s="36" t="str">
        <f>IFERROR(IF(AND($Q$1=FALSE,$S$3=FALSE),"-",VLOOKUP($E640,'Status Thresholds'!$E:$AU,41,FALSE)),"-")</f>
        <v>-</v>
      </c>
      <c r="M640" s="36" t="str">
        <f>IFERROR(IF(AND($Q$1=FALSE,$S$3=FALSE),"-",VLOOKUP($E640,'Status Thresholds'!$E:$AU,42,FALSE)),"-")</f>
        <v>-</v>
      </c>
      <c r="N640" s="36" t="str">
        <f>IFERROR(IF(AND($Q$1=FALSE,$S$3=FALSE),"-",VLOOKUP($E640,'Status Thresholds'!$E:$AU,43,FALSE)),"-")</f>
        <v>-</v>
      </c>
    </row>
    <row r="641" spans="2:14" x14ac:dyDescent="0.25">
      <c r="B641" s="64" t="str">
        <f>VLOOKUP(C641,'Status Thresholds'!B:C,2,FALSE)</f>
        <v>Deviant</v>
      </c>
      <c r="C641" s="46" t="str">
        <f>IF(ISBLANK('KO Calc'!C637)=TRUE,"",'KO Calc'!C637)</f>
        <v>Redhelm Arzuros</v>
      </c>
      <c r="D641" s="58" t="s">
        <v>33</v>
      </c>
      <c r="E641" s="62" t="str">
        <f t="shared" si="17"/>
        <v>Redhelm ArzurosPoison</v>
      </c>
      <c r="F641" s="36" t="s">
        <v>8</v>
      </c>
      <c r="G641" s="36" t="str">
        <f t="shared" si="18"/>
        <v>Redhelm ArzurosExhaust lvl 2</v>
      </c>
      <c r="H641" s="36" t="str">
        <f>IFERROR(ROUNDUP(IF(AND($Q$1=FALSE,$S$3=FALSE),"-",IF(AND($Q$1=TRUE,$S$3=TRUE),"-",IF(AND($Q$1=TRUE,$S$1=TRUE,$S$4=FALSE),VLOOKUP($E641,'Status Thresholds'!$E:$AS,12,FALSE),IF(AND($Q$1=TRUE,$S$4=FALSE),VLOOKUP($E641,'Status Thresholds'!$E:$AS,2,FALSE), IF(AND($Q$1=TRUE,$S$1=TRUE,$S$4=TRUE),VLOOKUP($E641,'Status Thresholds'!$E:$AS,17,FALSE),IF(AND($Q$1=TRUE,$S$4=TRUE),VLOOKUP($E641,'Status Thresholds'!$E:$AS,7,FALSE),IF(AND($S$3=TRUE,$S$1=TRUE,$S$4=FALSE),VLOOKUP($E641,'Status Thresholds'!$E:$AS,32,FALSE),IF(AND($S$3=TRUE,$S$4=FALSE),VLOOKUP($E641,'Status Thresholds'!$E:$AS,22,FALSE),IF(AND($S$3=TRUE,$S$1=TRUE,$S$4=TRUE),VLOOKUP($E641,'Status Thresholds'!$E:$AS,37,FALSE),IF(AND($S$3=TRUE,$S$4=TRUE),VLOOKUP($E641,'Status Thresholds'!$E:$AS,27,FALSE),""))))))))/IF(OR($Q$3=TRUE,AND($Q$2=TRUE,$Q$7=TRUE),AND($Q$3=TRUE,$Q$7=TRUE))=TRUE,'Shots and Status'!$F$5,IF((OR($Q$2,$Q$7)=TRUE),'Shots and Status'!$D$5,'Shots and Status'!$C$5)))),0),"-")</f>
        <v>-</v>
      </c>
      <c r="I641" s="36" t="str">
        <f>IFERROR(ROUNDUP(IF(AND($Q$1=FALSE,$S$3=FALSE),"-",IF(AND($Q$1=TRUE,$S$3=TRUE),"-",IF(AND($Q$1=TRUE,$S$1=TRUE,$S$4=FALSE),VLOOKUP($E641,'Status Thresholds'!$E:$AS,13,FALSE),IF(AND($Q$1=TRUE,$S$4=FALSE),VLOOKUP($E641,'Status Thresholds'!$E:$AS,3,FALSE), IF(AND($Q$1=TRUE,$S$1=TRUE,$S$4=TRUE),VLOOKUP($E641,'Status Thresholds'!$E:$AS,18,FALSE),IF(AND($Q$1=TRUE,$S$4=TRUE),VLOOKUP($E641,'Status Thresholds'!$E:$AS,8,FALSE),IF(AND($S$3=TRUE,$S$1=TRUE,$S$4=FALSE),VLOOKUP($E641,'Status Thresholds'!$E:$AS,33,FALSE),IF(AND($S$3=TRUE,$S$4=FALSE),VLOOKUP($E641,'Status Thresholds'!$E:$AS,23,FALSE),IF(AND($S$3=TRUE,$S$1=TRUE,$S$4=TRUE),VLOOKUP($E641,'Status Thresholds'!$E:$AS,38,FALSE),IF(AND($S$3=TRUE,$S$4=TRUE),VLOOKUP($E641,'Status Thresholds'!$E:$AS,28,FALSE),""))))))))/IF(OR($Q$3=TRUE,AND($Q$2=TRUE,$Q$7=TRUE),AND($Q$3=TRUE,$Q$7=TRUE))=TRUE,'Shots and Status'!$F$5,IF((OR($Q$2,$Q$7)=TRUE),'Shots and Status'!$D$5,'Shots and Status'!$C$5)))),0),"-")</f>
        <v>-</v>
      </c>
      <c r="J641" s="36" t="str">
        <f>IFERROR(ROUNDUP(IF(AND($Q$1=FALSE,$S$3=FALSE),"-",IF(AND($Q$1=TRUE,$S$3=TRUE),"-",IF(AND($Q$1=TRUE,$S$1=TRUE,$S$4=FALSE),VLOOKUP($E641,'Status Thresholds'!$E:$AS,14,FALSE),IF(AND($Q$1=TRUE,$S$4=FALSE),VLOOKUP($E641,'Status Thresholds'!$E:$AS,4,FALSE), IF(AND($Q$1=TRUE,$S$1=TRUE,$S$4=TRUE),VLOOKUP($E641,'Status Thresholds'!$E:$AS,19,FALSE),IF(AND($Q$1=TRUE,$S$4=TRUE),VLOOKUP($E641,'Status Thresholds'!$E:$AS,9,FALSE),IF(AND($S$3=TRUE,$S$1=TRUE,$S$4=FALSE),VLOOKUP($E641,'Status Thresholds'!$E:$AS,34,FALSE),IF(AND($S$3=TRUE,$S$4=FALSE),VLOOKUP($E641,'Status Thresholds'!$E:$AS,24,FALSE),IF(AND($S$3=TRUE,$S$1=TRUE,$S$4=TRUE),VLOOKUP($E641,'Status Thresholds'!$E:$AS,39,FALSE),IF(AND($S$3=TRUE,$S$4=TRUE),VLOOKUP($E641,'Status Thresholds'!$E:$AS,29,FALSE),""))))))))/IF(OR($Q$3=TRUE,AND($Q$2=TRUE,$Q$7=TRUE),AND($Q$3=TRUE,$Q$7=TRUE))=TRUE,'Shots and Status'!$F$5,IF((OR($Q$2,$Q$7)=TRUE),'Shots and Status'!$D$5,'Shots and Status'!$C$5)))),0),"-")</f>
        <v>-</v>
      </c>
      <c r="K641" s="36" t="str">
        <f>IFERROR(ROUNDUP(IF(AND($Q$1=FALSE,$S$3=FALSE),"-",IF(AND($Q$1=TRUE,$S$3=TRUE),"-",IF(AND($Q$1=TRUE,$S$1=TRUE,$S$4=FALSE),VLOOKUP($E641,'Status Thresholds'!$E:$AS,15,FALSE),IF(AND($Q$1=TRUE,$S$4=FALSE),VLOOKUP($E641,'Status Thresholds'!$E:$AS,5,FALSE), IF(AND($Q$1=TRUE,$S$1=TRUE,$S$4=TRUE),VLOOKUP($E641,'Status Thresholds'!$E:$AS,20,FALSE),IF(AND($Q$1=TRUE,$S$4=TRUE),VLOOKUP($E641,'Status Thresholds'!$E:$AS,10,FALSE),IF(AND($S$3=TRUE,$S$1=TRUE,$S$4=FALSE),VLOOKUP($E641,'Status Thresholds'!$E:$AS,35,FALSE),IF(AND($S$3=TRUE,$S$4=FALSE),VLOOKUP($E641,'Status Thresholds'!$E:$AS,25,FALSE),IF(AND($S$3=TRUE,$S$1=TRUE,$S$4=TRUE),VLOOKUP($E641,'Status Thresholds'!$E:$AS,40,FALSE),IF(AND($S$3=TRUE,$S$4=TRUE),VLOOKUP($E641,'Status Thresholds'!$E:$AS,30,FALSE),""))))))))/IF(OR($Q$3=TRUE,AND($Q$2=TRUE,$Q$7=TRUE),AND($Q$3=TRUE,$Q$7=TRUE))=TRUE,'Shots and Status'!$F$5,IF((OR($Q$2,$Q$7)=TRUE),'Shots and Status'!$D$5,'Shots and Status'!$C$5)))),0),"-")</f>
        <v>-</v>
      </c>
      <c r="L641" s="36" t="str">
        <f>IFERROR(IF(AND($Q$1=FALSE,$S$3=FALSE),"-",VLOOKUP($E641,'Status Thresholds'!$E:$AU,41,FALSE)),"-")</f>
        <v>-</v>
      </c>
      <c r="M641" s="36" t="str">
        <f>IFERROR(IF(AND($Q$1=FALSE,$S$3=FALSE),"-",VLOOKUP($E641,'Status Thresholds'!$E:$AU,42,FALSE)),"-")</f>
        <v>-</v>
      </c>
      <c r="N641" s="36" t="str">
        <f>IFERROR(IF(AND($Q$1=FALSE,$S$3=FALSE),"-",VLOOKUP($E641,'Status Thresholds'!$E:$AU,43,FALSE)),"-")</f>
        <v>-</v>
      </c>
    </row>
    <row r="642" spans="2:14" x14ac:dyDescent="0.25">
      <c r="B642" s="64" t="str">
        <f>VLOOKUP(C642,'Status Thresholds'!B:C,2,FALSE)</f>
        <v>Deviant</v>
      </c>
      <c r="C642" s="46" t="str">
        <f>IF(ISBLANK('KO Calc'!C638)=TRUE,"",'KO Calc'!C638)</f>
        <v>Redhelm Arzuros</v>
      </c>
      <c r="D642" s="57" t="s">
        <v>22</v>
      </c>
      <c r="E642" s="62" t="str">
        <f t="shared" si="17"/>
        <v>Redhelm ArzurosExhaust</v>
      </c>
      <c r="F642" s="36" t="s">
        <v>21</v>
      </c>
      <c r="G642" s="36" t="str">
        <f t="shared" si="18"/>
        <v>Redhelm ArzurosTriblast</v>
      </c>
      <c r="H642" s="36" t="str">
        <f>IFERROR(ROUNDUP(IF(AND($Q$1=FALSE,$S$3=FALSE),"-",IF(AND($Q$1=TRUE,$S$3=TRUE),"-",IF(AND($Q$1=TRUE,$S$1=TRUE,$S$4=FALSE),VLOOKUP($E642,'Status Thresholds'!$E:$AS,12,FALSE),IF(AND($Q$1=TRUE,$S$4=FALSE),VLOOKUP($E642,'Status Thresholds'!$E:$AS,2,FALSE), IF(AND($Q$1=TRUE,$S$1=TRUE,$S$4=TRUE),VLOOKUP($E642,'Status Thresholds'!$E:$AS,17,FALSE),IF(AND($Q$1=TRUE,$S$4=TRUE),VLOOKUP($E642,'Status Thresholds'!$E:$AS,7,FALSE),IF(AND($S$3=TRUE,$S$1=TRUE,$S$4=FALSE),VLOOKUP($E642,'Status Thresholds'!$E:$AS,32,FALSE),IF(AND($S$3=TRUE,$S$4=FALSE),VLOOKUP($E642,'Status Thresholds'!$E:$AS,22,FALSE),IF(AND($S$3=TRUE,$S$1=TRUE,$S$4=TRUE),VLOOKUP($E642,'Status Thresholds'!$E:$AS,37,FALSE),IF(AND($S$3=TRUE,$S$4=TRUE),VLOOKUP($E642,'Status Thresholds'!$E:$AS,27,FALSE),""))))))))/IF(OR($Q$3=TRUE,AND($Q$2=TRUE,$Q$7=TRUE),AND($Q$3=TRUE,$Q$7=TRUE))=TRUE,'Shots and Status'!$F$5,IF((OR($Q$2,$Q$7)=TRUE),'Shots and Status'!$D$5,'Shots and Status'!$C$5)))),0),"-")</f>
        <v>-</v>
      </c>
      <c r="I642" s="36" t="str">
        <f>IFERROR(ROUNDUP(IF(AND($Q$1=FALSE,$S$3=FALSE),"-",IF(AND($Q$1=TRUE,$S$3=TRUE),"-",IF(AND($Q$1=TRUE,$S$1=TRUE,$S$4=FALSE),VLOOKUP($E642,'Status Thresholds'!$E:$AS,13,FALSE),IF(AND($Q$1=TRUE,$S$4=FALSE),VLOOKUP($E642,'Status Thresholds'!$E:$AS,3,FALSE), IF(AND($Q$1=TRUE,$S$1=TRUE,$S$4=TRUE),VLOOKUP($E642,'Status Thresholds'!$E:$AS,18,FALSE),IF(AND($Q$1=TRUE,$S$4=TRUE),VLOOKUP($E642,'Status Thresholds'!$E:$AS,8,FALSE),IF(AND($S$3=TRUE,$S$1=TRUE,$S$4=FALSE),VLOOKUP($E642,'Status Thresholds'!$E:$AS,33,FALSE),IF(AND($S$3=TRUE,$S$4=FALSE),VLOOKUP($E642,'Status Thresholds'!$E:$AS,23,FALSE),IF(AND($S$3=TRUE,$S$1=TRUE,$S$4=TRUE),VLOOKUP($E642,'Status Thresholds'!$E:$AS,38,FALSE),IF(AND($S$3=TRUE,$S$4=TRUE),VLOOKUP($E642,'Status Thresholds'!$E:$AS,28,FALSE),""))))))))/IF(OR($Q$3=TRUE,AND($Q$2=TRUE,$Q$7=TRUE),AND($Q$3=TRUE,$Q$7=TRUE))=TRUE,'Shots and Status'!$F$5,IF((OR($Q$2,$Q$7)=TRUE),'Shots and Status'!$D$5,'Shots and Status'!$C$5)))),0),"-")</f>
        <v>-</v>
      </c>
      <c r="J642" s="36" t="str">
        <f>IFERROR(ROUNDUP(IF(AND($Q$1=FALSE,$S$3=FALSE),"-",IF(AND($Q$1=TRUE,$S$3=TRUE),"-",IF(AND($Q$1=TRUE,$S$1=TRUE,$S$4=FALSE),VLOOKUP($E642,'Status Thresholds'!$E:$AS,14,FALSE),IF(AND($Q$1=TRUE,$S$4=FALSE),VLOOKUP($E642,'Status Thresholds'!$E:$AS,4,FALSE), IF(AND($Q$1=TRUE,$S$1=TRUE,$S$4=TRUE),VLOOKUP($E642,'Status Thresholds'!$E:$AS,19,FALSE),IF(AND($Q$1=TRUE,$S$4=TRUE),VLOOKUP($E642,'Status Thresholds'!$E:$AS,9,FALSE),IF(AND($S$3=TRUE,$S$1=TRUE,$S$4=FALSE),VLOOKUP($E642,'Status Thresholds'!$E:$AS,34,FALSE),IF(AND($S$3=TRUE,$S$4=FALSE),VLOOKUP($E642,'Status Thresholds'!$E:$AS,24,FALSE),IF(AND($S$3=TRUE,$S$1=TRUE,$S$4=TRUE),VLOOKUP($E642,'Status Thresholds'!$E:$AS,39,FALSE),IF(AND($S$3=TRUE,$S$4=TRUE),VLOOKUP($E642,'Status Thresholds'!$E:$AS,29,FALSE),""))))))))/IF(OR($Q$3=TRUE,AND($Q$2=TRUE,$Q$7=TRUE),AND($Q$3=TRUE,$Q$7=TRUE))=TRUE,'Shots and Status'!$F$5,IF((OR($Q$2,$Q$7)=TRUE),'Shots and Status'!$D$5,'Shots and Status'!$C$5)))),0),"-")</f>
        <v>-</v>
      </c>
      <c r="K642" s="36" t="str">
        <f>IFERROR(ROUNDUP(IF(AND($Q$1=FALSE,$S$3=FALSE),"-",IF(AND($Q$1=TRUE,$S$3=TRUE),"-",IF(AND($Q$1=TRUE,$S$1=TRUE,$S$4=FALSE),VLOOKUP($E642,'Status Thresholds'!$E:$AS,15,FALSE),IF(AND($Q$1=TRUE,$S$4=FALSE),VLOOKUP($E642,'Status Thresholds'!$E:$AS,5,FALSE), IF(AND($Q$1=TRUE,$S$1=TRUE,$S$4=TRUE),VLOOKUP($E642,'Status Thresholds'!$E:$AS,20,FALSE),IF(AND($Q$1=TRUE,$S$4=TRUE),VLOOKUP($E642,'Status Thresholds'!$E:$AS,10,FALSE),IF(AND($S$3=TRUE,$S$1=TRUE,$S$4=FALSE),VLOOKUP($E642,'Status Thresholds'!$E:$AS,35,FALSE),IF(AND($S$3=TRUE,$S$4=FALSE),VLOOKUP($E642,'Status Thresholds'!$E:$AS,25,FALSE),IF(AND($S$3=TRUE,$S$1=TRUE,$S$4=TRUE),VLOOKUP($E642,'Status Thresholds'!$E:$AS,40,FALSE),IF(AND($S$3=TRUE,$S$4=TRUE),VLOOKUP($E642,'Status Thresholds'!$E:$AS,30,FALSE),""))))))))/IF(OR($Q$3=TRUE,AND($Q$2=TRUE,$Q$7=TRUE),AND($Q$3=TRUE,$Q$7=TRUE))=TRUE,'Shots and Status'!$F$5,IF((OR($Q$2,$Q$7)=TRUE),'Shots and Status'!$D$5,'Shots and Status'!$C$5)))),0),"-")</f>
        <v>-</v>
      </c>
      <c r="L642" s="36" t="str">
        <f>IFERROR(IF(AND($Q$1=FALSE,$S$3=FALSE),"-",VLOOKUP($E642,'Status Thresholds'!$E:$AU,41,FALSE)),"-")</f>
        <v>-</v>
      </c>
      <c r="M642" s="36" t="str">
        <f>IFERROR(IF(AND($Q$1=FALSE,$S$3=FALSE),"-",VLOOKUP($E642,'Status Thresholds'!$E:$AU,42,FALSE)),"-")</f>
        <v>-</v>
      </c>
      <c r="N642" s="36" t="str">
        <f>IFERROR(IF(AND($Q$1=FALSE,$S$3=FALSE),"-",VLOOKUP($E642,'Status Thresholds'!$E:$AU,43,FALSE)),"-")</f>
        <v>-</v>
      </c>
    </row>
    <row r="643" spans="2:14" x14ac:dyDescent="0.25">
      <c r="B643" s="64" t="str">
        <f>VLOOKUP(C643,'Status Thresholds'!B:C,2,FALSE)</f>
        <v>Deviant</v>
      </c>
      <c r="C643" s="46" t="str">
        <f>IF(ISBLANK('KO Calc'!C639)=TRUE,"",'KO Calc'!C639)</f>
        <v>Redhelm Arzuros</v>
      </c>
      <c r="D643" s="67" t="s">
        <v>14</v>
      </c>
      <c r="E643" s="62" t="str">
        <f t="shared" si="17"/>
        <v>Redhelm ArzurosKO</v>
      </c>
      <c r="F643" t="s">
        <v>13</v>
      </c>
      <c r="G643" s="36" t="str">
        <f t="shared" si="18"/>
        <v>Redhelm ArzurosCrag 3</v>
      </c>
      <c r="H643" s="36" t="str">
        <f>IF(AND($Q$1=FALSE,$S$3=FALSE),"-",IF(AND($Q$1=TRUE,$S$3=TRUE),"-",IF(AND($Q$1=FALSE,$S$3=FALSE),"-",IF(AND($Q$1=TRUE,$S$1=TRUE,$S$4=FALSE)=TRUE,IF(OR($Q$4=TRUE,$Q$5=TRUE,$S$2=TRUE),VLOOKUP($G643,'KO Calc'!$H:$AW,12,FALSE),VLOOKUP($G643,'KO Calc'!$H649:$AW649,12,FALSE)),IF(AND($Q$1=TRUE,$S$4=FALSE),IF(OR($Q$4=TRUE,$Q$5=TRUE,$S$2=TRUE),VLOOKUP($G643,'KO Calc'!$H:$AW,2,FALSE),VLOOKUP($G643,'KO Calc'!$H649:$AW649,2,FALSE)),
IF(AND($Q$1=TRUE,$S$1=TRUE,$S$4=TRUE)=TRUE,IF(OR($Q$4=TRUE,$Q$5=TRUE,$S$2=TRUE),VLOOKUP($G643,'KO Calc'!$H:$AW,17,FALSE),VLOOKUP($G643,'KO Calc'!$H649:$AW649,17,FALSE)),IF(AND($Q$1=TRUE,$S$4=TRUE),IF(OR($Q$4=TRUE,$Q$5=TRUE,$S$2=TRUE),VLOOKUP($G643,'KO Calc'!$H:$AW,7,FALSE),VLOOKUP($G643,'KO Calc'!$H649:$AW649,7,FALSE)),
IF(AND($S$3=TRUE,$S$1=TRUE,$S$4=FALSE)=TRUE,IF(OR($Q$4=TRUE,$Q$5=TRUE,$S$2=TRUE),VLOOKUP($G643,'KO Calc'!$H:$AW,32,FALSE),VLOOKUP($G643,'KO Calc'!$H649:$AW649,32,FALSE)),IF(AND($S$3=TRUE,$S$4=FALSE),IF(OR($Q$4=TRUE,$Q$5=TRUE,$S$2=TRUE),VLOOKUP($G643,'KO Calc'!$H:$AW,22,FALSE),VLOOKUP($G643,'KO Calc'!$H649:$AW649,22,FALSE)),
IF(AND($S$3=TRUE,$S$1=TRUE,$S$4=TRUE)=TRUE,IF(OR($Q$4=TRUE,$Q$5=TRUE,$S$2=TRUE),VLOOKUP($G643,'KO Calc'!$H:$AW,37,FALSE),VLOOKUP($G643,'KO Calc'!$H649:$AW649,37,FALSE)),IF(AND($S$3=TRUE,$S$4=TRUE),IF(OR($Q$4=TRUE,$Q$5=TRUE,$S$2=TRUE),VLOOKUP($G643,'KO Calc'!$H:$AW,27,FALSE),VLOOKUP($G643,'KO Calc'!$H649:$AW649,27,FALSE)))))))))))))</f>
        <v>-</v>
      </c>
      <c r="I643" s="36" t="str">
        <f>IF(AND($Q$1=FALSE,$S$3=FALSE),"-",IF(AND($Q$1=TRUE,$S$3=TRUE),"-",IF(AND($Q$1=FALSE,$S$3=FALSE),"-",IF(AND($Q$1=TRUE,$S$1=TRUE,$S$4=FALSE)=TRUE,IF(OR($Q$4=TRUE,$Q$5=TRUE,$S$2=TRUE),VLOOKUP($G643,'KO Calc'!$H:$AW,13,FALSE),VLOOKUP($G643,'KO Calc'!$H649:$AW649,13,FALSE)),IF(AND($Q$1=TRUE,$S$4=FALSE),IF(OR($Q$4=TRUE,$Q$5=TRUE,$S$2=TRUE),VLOOKUP($G643,'KO Calc'!$H:$AW,3,FALSE),VLOOKUP($G643,'KO Calc'!$H649:$AW649,3,FALSE)),
IF(AND($Q$1=TRUE,$S$1=TRUE,$S$4=TRUE)=TRUE,IF(OR($Q$4=TRUE,$Q$5=TRUE,$S$2=TRUE),VLOOKUP($G643,'KO Calc'!$H:$AW,18,FALSE),VLOOKUP($G643,'KO Calc'!$H649:$AW649,18,FALSE)),IF(AND($Q$1=TRUE,$S$4=TRUE),IF(OR($Q$4=TRUE,$Q$5=TRUE,$S$2=TRUE),VLOOKUP($G643,'KO Calc'!$H:$AW,8,FALSE),VLOOKUP($G643,'KO Calc'!$H649:$AW649,8,FALSE)),
IF(AND($S$3=TRUE,$S$1=TRUE,$S$4=FALSE)=TRUE,IF(OR($Q$4=TRUE,$Q$5=TRUE,$S$2=TRUE),VLOOKUP($G643,'KO Calc'!$H:$AW,33,FALSE),VLOOKUP($G643,'KO Calc'!$H649:$AW649,33,FALSE)),IF(AND($S$3=TRUE,$S$4=FALSE),IF(OR($Q$4=TRUE,$Q$5=TRUE,$S$2=TRUE),VLOOKUP($G643,'KO Calc'!$H:$AW,23,FALSE),VLOOKUP($G643,'KO Calc'!$H649:$AW649,23,FALSE)),
IF(AND($S$3=TRUE,$S$1=TRUE,$S$4=TRUE)=TRUE,IF(OR($Q$4=TRUE,$Q$5=TRUE,$S$2=TRUE),VLOOKUP($G643,'KO Calc'!$H:$AW,38,FALSE),VLOOKUP($G643,'KO Calc'!$H649:$AW649,38,FALSE)),IF(AND($S$3=TRUE,$S$4=TRUE),IF(OR($Q$4=TRUE,$Q$5=TRUE,$S$2=TRUE),VLOOKUP($G643,'KO Calc'!$H:$AW,28,FALSE),VLOOKUP($G643,'KO Calc'!$H649:$AW649,28,FALSE)))))))))))))</f>
        <v>-</v>
      </c>
      <c r="J643" s="36" t="str">
        <f>IF(AND($Q$1=FALSE,$S$3=FALSE),"-",IF(AND($Q$1=TRUE,$S$3=TRUE),"-",IF(AND($Q$1=FALSE,$S$3=FALSE),"-",IF(AND($Q$1=TRUE,$S$1=TRUE,$S$4=FALSE)=TRUE,IF(OR($Q$4=TRUE,$Q$5=TRUE,$S$2=TRUE),VLOOKUP($G643,'KO Calc'!$H:$AW,FALSE),VLOOKUP($G643,'KO Calc'!$H649:$AW649,14,FALSE)),IF(AND($Q$1=TRUE,$S$4=FALSE),IF(OR($Q$4=TRUE,$Q$5=TRUE,$S$2=TRUE),VLOOKUP($G643,'KO Calc'!$H:$AW,4,FALSE),VLOOKUP($G643,'KO Calc'!$H649:$AW649,4,FALSE)),
IF(AND($Q$1=TRUE,$S$1=TRUE,$S$4=TRUE)=TRUE,IF(OR($Q$4=TRUE,$Q$5=TRUE,$S$2=TRUE),VLOOKUP($G643,'KO Calc'!$H:$AW,19,FALSE),VLOOKUP($G643,'KO Calc'!$H649:$AW649,19,FALSE)),IF(AND($Q$1=TRUE,$S$4=TRUE),IF(OR($Q$4=TRUE,$Q$5=TRUE,$S$2=TRUE),VLOOKUP($G643,'KO Calc'!$H:$AW,9,FALSE),VLOOKUP($G643,'KO Calc'!$H649:$AW649,9,FALSE)),
IF(AND($S$3=TRUE,$S$1=TRUE,$S$4=FALSE)=TRUE,IF(OR($Q$4=TRUE,$Q$5=TRUE,$S$2=TRUE),VLOOKUP($G643,'KO Calc'!$H:$AW,34,FALSE),VLOOKUP($G643,'KO Calc'!$H649:$AW649,34,FALSE)),IF(AND($S$3=TRUE,$S$4=FALSE),IF(OR($Q$4=TRUE,$Q$5=TRUE,$S$2=TRUE),VLOOKUP($G643,'KO Calc'!$H:$AW,24,FALSE),VLOOKUP($G643,'KO Calc'!$H649:$AW649,24,FALSE)),
IF(AND($S$3=TRUE,$S$1=TRUE,$S$4=TRUE)=TRUE,IF(OR($Q$4=TRUE,$Q$5=TRUE,$S$2=TRUE),VLOOKUP($G643,'KO Calc'!$H:$AW,39,FALSE),VLOOKUP($G643,'KO Calc'!$H649:$AW649,39,FALSE)),IF(AND($S$3=TRUE,$S$4=TRUE),IF(OR($Q$4=TRUE,$Q$5=TRUE,$S$2=TRUE),VLOOKUP($G643,'KO Calc'!$H:$AW,29,FALSE),VLOOKUP($G643,'KO Calc'!$H649:$AW649,29,FALSE)))))))))))))</f>
        <v>-</v>
      </c>
      <c r="K643" s="36" t="str">
        <f>IF(AND($Q$1=FALSE,$S$3=FALSE),"-",IF(AND($Q$1=TRUE,$S$3=TRUE),"-",IF(AND($Q$1=FALSE,$S$3=FALSE),"-",IF(AND($Q$1=TRUE,$S$1=TRUE,$S$4=FALSE)=TRUE,IF(OR($Q$4=TRUE,$Q$5=TRUE,$S$2=TRUE),VLOOKUP($G643,'KO Calc'!$H:$AW,15,FALSE),VLOOKUP($G643,'KO Calc'!$H649:$AW649,15,FALSE)),IF(AND($Q$1=TRUE,$S$4=FALSE),IF(OR($Q$4=TRUE,$Q$5=TRUE,$S$2=TRUE),VLOOKUP($G643,'KO Calc'!$H:$AW,5,FALSE),VLOOKUP($G643,'KO Calc'!$H649:$AW649,5,FALSE)),
IF(AND($Q$1=TRUE,$S$1=TRUE,$S$4=TRUE)=TRUE,IF(OR($Q$4=TRUE,$Q$5=TRUE,$S$2=TRUE),VLOOKUP($G643,'KO Calc'!$H:$AW,20,FALSE),VLOOKUP($G643,'KO Calc'!$H649:$AW649,20,FALSE)),IF(AND($Q$1=TRUE,$S$4=TRUE),IF(OR($Q$4=TRUE,$Q$5=TRUE,$S$2=TRUE),VLOOKUP($G643,'KO Calc'!$H:$AW,10,FALSE),VLOOKUP($G643,'KO Calc'!$H649:$AW649,10,FALSE)),
IF(AND($S$3=TRUE,$S$1=TRUE,$S$4=FALSE)=TRUE,IF(OR($Q$4=TRUE,$Q$5=TRUE,$S$2=TRUE),VLOOKUP($G643,'KO Calc'!$H:$AW,35,FALSE),VLOOKUP($G643,'KO Calc'!$H649:$AW649,35,FALSE)),IF(AND($S$3=TRUE,$S$4=FALSE),IF(OR($Q$4=TRUE,$Q$5=TRUE,$S$2=TRUE),VLOOKUP($G643,'KO Calc'!$H:$AW,25,FALSE),VLOOKUP($G643,'KO Calc'!$H649:$AW649,25,FALSE)),
IF(AND($S$3=TRUE,$S$1=TRUE,$S$4=TRUE)=TRUE,IF(OR($Q$4=TRUE,$Q$5=TRUE,$S$2=TRUE),VLOOKUP($G643,'KO Calc'!$H:$AW,40,FALSE),VLOOKUP($G643,'KO Calc'!$H649:$AW649,40,FALSE)),IF(AND($S$3=TRUE,$S$4=TRUE),IF(OR($Q$4=TRUE,$Q$5=TRUE,$S$2=TRUE),VLOOKUP($G643,'KO Calc'!$H:$AW,30,FALSE),VLOOKUP($G643,'KO Calc'!$H649:$AW649,30,FALSE)))))))))))))</f>
        <v>-</v>
      </c>
      <c r="L643" s="36" t="str">
        <f>IFERROR(IF(AND($Q$1=FALSE,$S$3=FALSE),"-",VLOOKUP($E643,'Status Thresholds'!$E:$AU,41,FALSE)),"-")</f>
        <v>-</v>
      </c>
      <c r="M643" s="36" t="str">
        <f>IFERROR(IF(AND($Q$1=FALSE,$S$3=FALSE),"-",VLOOKUP($E643,'Status Thresholds'!$E:$AU,42,FALSE)),"-")</f>
        <v>-</v>
      </c>
      <c r="N643" s="36" t="str">
        <f>IFERROR(IF(AND($Q$1=FALSE,$S$3=FALSE),"-",VLOOKUP($E643,'Status Thresholds'!$E:$AU,43,FALSE)),"-")</f>
        <v>-</v>
      </c>
    </row>
    <row r="644" spans="2:14" x14ac:dyDescent="0.25">
      <c r="B644" s="64" t="str">
        <f>VLOOKUP(C644,'Status Thresholds'!B:C,2,FALSE)</f>
        <v>Deviant</v>
      </c>
      <c r="C644" s="46" t="str">
        <f>IF(ISBLANK('KO Calc'!C640)=TRUE,"",'KO Calc'!C640)</f>
        <v>Redhelm Arzuros</v>
      </c>
      <c r="D644" s="78" t="s">
        <v>207</v>
      </c>
      <c r="E644" s="62" t="str">
        <f t="shared" si="17"/>
        <v>Redhelm ArzurosShock Trap</v>
      </c>
      <c r="F644" t="s">
        <v>12</v>
      </c>
      <c r="G644" s="36" t="str">
        <f t="shared" si="18"/>
        <v>Redhelm ArzurosCrag 2</v>
      </c>
      <c r="H644" s="36" t="str">
        <f>IF(AND($Q$1=FALSE,$S$3=FALSE),"-",IF(AND($Q$1=TRUE,$S$3=TRUE),"-",IF(AND($Q$1=FALSE,$S$3=FALSE),"-",IF(AND($Q$1=TRUE,$S$1=TRUE,$S$4=FALSE)=TRUE,IF(OR($Q$4=TRUE,$Q$5=TRUE,$S$2=TRUE),VLOOKUP($G644,'KO Calc'!$H:$AW,12,FALSE),VLOOKUP($G644,'KO Calc'!$H650:$AW650,12,FALSE)),IF(AND($Q$1=TRUE,$S$4=FALSE),IF(OR($Q$4=TRUE,$Q$5=TRUE,$S$2=TRUE),VLOOKUP($G644,'KO Calc'!$H:$AW,2,FALSE),VLOOKUP($G644,'KO Calc'!$H650:$AW650,2,FALSE)),
IF(AND($Q$1=TRUE,$S$1=TRUE,$S$4=TRUE)=TRUE,IF(OR($Q$4=TRUE,$Q$5=TRUE,$S$2=TRUE),VLOOKUP($G644,'KO Calc'!$H:$AW,17,FALSE),VLOOKUP($G644,'KO Calc'!$H650:$AW650,17,FALSE)),IF(AND($Q$1=TRUE,$S$4=TRUE),IF(OR($Q$4=TRUE,$Q$5=TRUE,$S$2=TRUE),VLOOKUP($G644,'KO Calc'!$H:$AW,7,FALSE),VLOOKUP($G644,'KO Calc'!$H650:$AW650,7,FALSE)),
IF(AND($S$3=TRUE,$S$1=TRUE,$S$4=FALSE)=TRUE,IF(OR($Q$4=TRUE,$Q$5=TRUE,$S$2=TRUE),VLOOKUP($G644,'KO Calc'!$H:$AW,32,FALSE),VLOOKUP($G644,'KO Calc'!$H650:$AW650,32,FALSE)),IF(AND($S$3=TRUE,$S$4=FALSE),IF(OR($Q$4=TRUE,$Q$5=TRUE,$S$2=TRUE),VLOOKUP($G644,'KO Calc'!$H:$AW,22,FALSE),VLOOKUP($G644,'KO Calc'!$H650:$AW650,22,FALSE)),
IF(AND($S$3=TRUE,$S$1=TRUE,$S$4=TRUE)=TRUE,IF(OR($Q$4=TRUE,$Q$5=TRUE,$S$2=TRUE),VLOOKUP($G644,'KO Calc'!$H:$AW,37,FALSE),VLOOKUP($G644,'KO Calc'!$H650:$AW650,37,FALSE)),IF(AND($S$3=TRUE,$S$4=TRUE),IF(OR($Q$4=TRUE,$Q$5=TRUE,$S$2=TRUE),VLOOKUP($G644,'KO Calc'!$H:$AW,27,FALSE),VLOOKUP($G644,'KO Calc'!$H650:$AW650,27,FALSE)))))))))))))</f>
        <v>-</v>
      </c>
      <c r="I644" s="36" t="str">
        <f>IF(AND($Q$1=FALSE,$S$3=FALSE),"-",IF(AND($Q$1=TRUE,$S$3=TRUE),"-",IF(AND($Q$1=FALSE,$S$3=FALSE),"-",IF(AND($Q$1=TRUE,$S$1=TRUE,$S$4=FALSE)=TRUE,IF(OR($Q$4=TRUE,$Q$5=TRUE,$S$2=TRUE),VLOOKUP($G644,'KO Calc'!$H:$AW,13,FALSE),VLOOKUP($G644,'KO Calc'!$H650:$AW650,13,FALSE)),IF(AND($Q$1=TRUE,$S$4=FALSE),IF(OR($Q$4=TRUE,$Q$5=TRUE,$S$2=TRUE),VLOOKUP($G644,'KO Calc'!$H:$AW,3,FALSE),VLOOKUP($G644,'KO Calc'!$H650:$AW650,3,FALSE)),
IF(AND($Q$1=TRUE,$S$1=TRUE,$S$4=TRUE)=TRUE,IF(OR($Q$4=TRUE,$Q$5=TRUE,$S$2=TRUE),VLOOKUP($G644,'KO Calc'!$H:$AW,18,FALSE),VLOOKUP($G644,'KO Calc'!$H650:$AW650,18,FALSE)),IF(AND($Q$1=TRUE,$S$4=TRUE),IF(OR($Q$4=TRUE,$Q$5=TRUE,$S$2=TRUE),VLOOKUP($G644,'KO Calc'!$H:$AW,8,FALSE),VLOOKUP($G644,'KO Calc'!$H650:$AW650,8,FALSE)),
IF(AND($S$3=TRUE,$S$1=TRUE,$S$4=FALSE)=TRUE,IF(OR($Q$4=TRUE,$Q$5=TRUE,$S$2=TRUE),VLOOKUP($G644,'KO Calc'!$H:$AW,33,FALSE),VLOOKUP($G644,'KO Calc'!$H650:$AW650,33,FALSE)),IF(AND($S$3=TRUE,$S$4=FALSE),IF(OR($Q$4=TRUE,$Q$5=TRUE,$S$2=TRUE),VLOOKUP($G644,'KO Calc'!$H:$AW,23,FALSE),VLOOKUP($G644,'KO Calc'!$H650:$AW650,23,FALSE)),
IF(AND($S$3=TRUE,$S$1=TRUE,$S$4=TRUE)=TRUE,IF(OR($Q$4=TRUE,$Q$5=TRUE,$S$2=TRUE),VLOOKUP($G644,'KO Calc'!$H:$AW,38,FALSE),VLOOKUP($G644,'KO Calc'!$H650:$AW650,38,FALSE)),IF(AND($S$3=TRUE,$S$4=TRUE),IF(OR($Q$4=TRUE,$Q$5=TRUE,$S$2=TRUE),VLOOKUP($G644,'KO Calc'!$H:$AW,28,FALSE),VLOOKUP($G644,'KO Calc'!$H650:$AW650,28,FALSE)))))))))))))</f>
        <v>-</v>
      </c>
      <c r="J644" s="36" t="str">
        <f>IF(AND($Q$1=FALSE,$S$3=FALSE),"-",IF(AND($Q$1=TRUE,$S$3=TRUE),"-",IF(AND($Q$1=FALSE,$S$3=FALSE),"-",IF(AND($Q$1=TRUE,$S$1=TRUE,$S$4=FALSE)=TRUE,IF(OR($Q$4=TRUE,$Q$5=TRUE,$S$2=TRUE),VLOOKUP($G644,'KO Calc'!$H:$AW,FALSE),VLOOKUP($G644,'KO Calc'!$H650:$AW650,14,FALSE)),IF(AND($Q$1=TRUE,$S$4=FALSE),IF(OR($Q$4=TRUE,$Q$5=TRUE,$S$2=TRUE),VLOOKUP($G644,'KO Calc'!$H:$AW,4,FALSE),VLOOKUP($G644,'KO Calc'!$H650:$AW650,4,FALSE)),
IF(AND($Q$1=TRUE,$S$1=TRUE,$S$4=TRUE)=TRUE,IF(OR($Q$4=TRUE,$Q$5=TRUE,$S$2=TRUE),VLOOKUP($G644,'KO Calc'!$H:$AW,19,FALSE),VLOOKUP($G644,'KO Calc'!$H650:$AW650,19,FALSE)),IF(AND($Q$1=TRUE,$S$4=TRUE),IF(OR($Q$4=TRUE,$Q$5=TRUE,$S$2=TRUE),VLOOKUP($G644,'KO Calc'!$H:$AW,9,FALSE),VLOOKUP($G644,'KO Calc'!$H650:$AW650,9,FALSE)),
IF(AND($S$3=TRUE,$S$1=TRUE,$S$4=FALSE)=TRUE,IF(OR($Q$4=TRUE,$Q$5=TRUE,$S$2=TRUE),VLOOKUP($G644,'KO Calc'!$H:$AW,34,FALSE),VLOOKUP($G644,'KO Calc'!$H650:$AW650,34,FALSE)),IF(AND($S$3=TRUE,$S$4=FALSE),IF(OR($Q$4=TRUE,$Q$5=TRUE,$S$2=TRUE),VLOOKUP($G644,'KO Calc'!$H:$AW,24,FALSE),VLOOKUP($G644,'KO Calc'!$H650:$AW650,24,FALSE)),
IF(AND($S$3=TRUE,$S$1=TRUE,$S$4=TRUE)=TRUE,IF(OR($Q$4=TRUE,$Q$5=TRUE,$S$2=TRUE),VLOOKUP($G644,'KO Calc'!$H:$AW,39,FALSE),VLOOKUP($G644,'KO Calc'!$H650:$AW650,39,FALSE)),IF(AND($S$3=TRUE,$S$4=TRUE),IF(OR($Q$4=TRUE,$Q$5=TRUE,$S$2=TRUE),VLOOKUP($G644,'KO Calc'!$H:$AW,29,FALSE),VLOOKUP($G644,'KO Calc'!$H650:$AW650,29,FALSE)))))))))))))</f>
        <v>-</v>
      </c>
      <c r="K644" s="36" t="str">
        <f>IF(AND($Q$1=FALSE,$S$3=FALSE),"-",IF(AND($Q$1=TRUE,$S$3=TRUE),"-",IF(AND($Q$1=FALSE,$S$3=FALSE),"-",IF(AND($Q$1=TRUE,$S$1=TRUE,$S$4=FALSE)=TRUE,IF(OR($Q$4=TRUE,$Q$5=TRUE,$S$2=TRUE),VLOOKUP($G644,'KO Calc'!$H:$AW,15,FALSE),VLOOKUP($G644,'KO Calc'!$H650:$AW650,15,FALSE)),IF(AND($Q$1=TRUE,$S$4=FALSE),IF(OR($Q$4=TRUE,$Q$5=TRUE,$S$2=TRUE),VLOOKUP($G644,'KO Calc'!$H:$AW,5,FALSE),VLOOKUP($G644,'KO Calc'!$H650:$AW650,5,FALSE)),
IF(AND($Q$1=TRUE,$S$1=TRUE,$S$4=TRUE)=TRUE,IF(OR($Q$4=TRUE,$Q$5=TRUE,$S$2=TRUE),VLOOKUP($G644,'KO Calc'!$H:$AW,20,FALSE),VLOOKUP($G644,'KO Calc'!$H650:$AW650,20,FALSE)),IF(AND($Q$1=TRUE,$S$4=TRUE),IF(OR($Q$4=TRUE,$Q$5=TRUE,$S$2=TRUE),VLOOKUP($G644,'KO Calc'!$H:$AW,10,FALSE),VLOOKUP($G644,'KO Calc'!$H650:$AW650,10,FALSE)),
IF(AND($S$3=TRUE,$S$1=TRUE,$S$4=FALSE)=TRUE,IF(OR($Q$4=TRUE,$Q$5=TRUE,$S$2=TRUE),VLOOKUP($G644,'KO Calc'!$H:$AW,35,FALSE),VLOOKUP($G644,'KO Calc'!$H650:$AW650,35,FALSE)),IF(AND($S$3=TRUE,$S$4=FALSE),IF(OR($Q$4=TRUE,$Q$5=TRUE,$S$2=TRUE),VLOOKUP($G644,'KO Calc'!$H:$AW,25,FALSE),VLOOKUP($G644,'KO Calc'!$H650:$AW650,25,FALSE)),
IF(AND($S$3=TRUE,$S$1=TRUE,$S$4=TRUE)=TRUE,IF(OR($Q$4=TRUE,$Q$5=TRUE,$S$2=TRUE),VLOOKUP($G644,'KO Calc'!$H:$AW,40,FALSE),VLOOKUP($G644,'KO Calc'!$H650:$AW650,40,FALSE)),IF(AND($S$3=TRUE,$S$4=TRUE),IF(OR($Q$4=TRUE,$Q$5=TRUE,$S$2=TRUE),VLOOKUP($G644,'KO Calc'!$H:$AW,30,FALSE),VLOOKUP($G644,'KO Calc'!$H650:$AW650,30,FALSE)))))))))))))</f>
        <v>-</v>
      </c>
      <c r="L644" s="36" t="str">
        <f>IFERROR(IF(AND($Q$1=FALSE,$S$3=FALSE),"-",VLOOKUP($E644,'Status Thresholds'!$E:$AU,43,FALSE)),"-")</f>
        <v>-</v>
      </c>
      <c r="M644" s="36" t="str">
        <f>IFERROR(IF(AND($Q$1=FALSE,$S$3=FALSE),"-",VLOOKUP($E644,'Status Thresholds'!$E:$AU,41,FALSE)),"-")</f>
        <v>-</v>
      </c>
      <c r="N644" s="36" t="str">
        <f>IFERROR(IF(AND($Q$1=FALSE,$S$3=FALSE),"-",VLOOKUP($E644,'Status Thresholds'!$E:$AU,42,FALSE)),"-")</f>
        <v>-</v>
      </c>
    </row>
    <row r="645" spans="2:14" x14ac:dyDescent="0.25">
      <c r="B645" s="64" t="str">
        <f>VLOOKUP(C645,'Status Thresholds'!B:C,2,FALSE)</f>
        <v>Deviant</v>
      </c>
      <c r="C645" s="46" t="str">
        <f>IF(ISBLANK('KO Calc'!C641)=TRUE,"",'KO Calc'!C641)</f>
        <v>Redhelm Arzuros</v>
      </c>
      <c r="D645" s="78" t="s">
        <v>213</v>
      </c>
      <c r="E645" s="62" t="str">
        <f t="shared" si="17"/>
        <v>Redhelm ArzurosPitfall Trap</v>
      </c>
      <c r="F645" t="s">
        <v>11</v>
      </c>
      <c r="G645" s="36" t="str">
        <f t="shared" si="18"/>
        <v>Redhelm ArzurosCrag 1</v>
      </c>
      <c r="H645" s="36" t="str">
        <f>IF(AND($Q$1=FALSE,$S$3=FALSE),"-",IF(AND($Q$1=TRUE,$S$3=TRUE),"-",IF(AND($Q$1=FALSE,$S$3=FALSE),"-",IF(AND($Q$1=TRUE,$S$1=TRUE,$S$4=FALSE)=TRUE,IF(OR($Q$4=TRUE,$Q$5=TRUE,$S$2=TRUE),VLOOKUP($G645,'KO Calc'!$H:$AW,12,FALSE),VLOOKUP($G645,'KO Calc'!$H651:$AW651,12,FALSE)),IF(AND($Q$1=TRUE,$S$4=FALSE),IF(OR($Q$4=TRUE,$Q$5=TRUE,$S$2=TRUE),VLOOKUP($G645,'KO Calc'!$H:$AW,2,FALSE),VLOOKUP($G645,'KO Calc'!$H651:$AW651,2,FALSE)),
IF(AND($Q$1=TRUE,$S$1=TRUE,$S$4=TRUE)=TRUE,IF(OR($Q$4=TRUE,$Q$5=TRUE,$S$2=TRUE),VLOOKUP($G645,'KO Calc'!$H:$AW,17,FALSE),VLOOKUP($G645,'KO Calc'!$H651:$AW651,17,FALSE)),IF(AND($Q$1=TRUE,$S$4=TRUE),IF(OR($Q$4=TRUE,$Q$5=TRUE,$S$2=TRUE),VLOOKUP($G645,'KO Calc'!$H:$AW,7,FALSE),VLOOKUP($G645,'KO Calc'!$H651:$AW651,7,FALSE)),
IF(AND($S$3=TRUE,$S$1=TRUE,$S$4=FALSE)=TRUE,IF(OR($Q$4=TRUE,$Q$5=TRUE,$S$2=TRUE),VLOOKUP($G645,'KO Calc'!$H:$AW,32,FALSE),VLOOKUP($G645,'KO Calc'!$H651:$AW651,32,FALSE)),IF(AND($S$3=TRUE,$S$4=FALSE),IF(OR($Q$4=TRUE,$Q$5=TRUE,$S$2=TRUE),VLOOKUP($G645,'KO Calc'!$H:$AW,22,FALSE),VLOOKUP($G645,'KO Calc'!$H651:$AW651,22,FALSE)),
IF(AND($S$3=TRUE,$S$1=TRUE,$S$4=TRUE)=TRUE,IF(OR($Q$4=TRUE,$Q$5=TRUE,$S$2=TRUE),VLOOKUP($G645,'KO Calc'!$H:$AW,37,FALSE),VLOOKUP($G645,'KO Calc'!$H651:$AW651,37,FALSE)),IF(AND($S$3=TRUE,$S$4=TRUE),IF(OR($Q$4=TRUE,$Q$5=TRUE,$S$2=TRUE),VLOOKUP($G645,'KO Calc'!$H:$AW,27,FALSE),VLOOKUP($G645,'KO Calc'!$H651:$AW651,27,FALSE)))))))))))))</f>
        <v>-</v>
      </c>
      <c r="I645" s="36" t="str">
        <f>IF(AND($Q$1=FALSE,$S$3=FALSE),"-",IF(AND($Q$1=TRUE,$S$3=TRUE),"-",IF(AND($Q$1=FALSE,$S$3=FALSE),"-",IF(AND($Q$1=TRUE,$S$1=TRUE,$S$4=FALSE)=TRUE,IF(OR($Q$4=TRUE,$Q$5=TRUE,$S$2=TRUE),VLOOKUP($G645,'KO Calc'!$H:$AW,13,FALSE),VLOOKUP($G645,'KO Calc'!$H651:$AW651,13,FALSE)),IF(AND($Q$1=TRUE,$S$4=FALSE),IF(OR($Q$4=TRUE,$Q$5=TRUE,$S$2=TRUE),VLOOKUP($G645,'KO Calc'!$H:$AW,3,FALSE),VLOOKUP($G645,'KO Calc'!$H651:$AW651,3,FALSE)),
IF(AND($Q$1=TRUE,$S$1=TRUE,$S$4=TRUE)=TRUE,IF(OR($Q$4=TRUE,$Q$5=TRUE,$S$2=TRUE),VLOOKUP($G645,'KO Calc'!$H:$AW,18,FALSE),VLOOKUP($G645,'KO Calc'!$H651:$AW651,18,FALSE)),IF(AND($Q$1=TRUE,$S$4=TRUE),IF(OR($Q$4=TRUE,$Q$5=TRUE,$S$2=TRUE),VLOOKUP($G645,'KO Calc'!$H:$AW,8,FALSE),VLOOKUP($G645,'KO Calc'!$H651:$AW651,8,FALSE)),
IF(AND($S$3=TRUE,$S$1=TRUE,$S$4=FALSE)=TRUE,IF(OR($Q$4=TRUE,$Q$5=TRUE,$S$2=TRUE),VLOOKUP($G645,'KO Calc'!$H:$AW,33,FALSE),VLOOKUP($G645,'KO Calc'!$H651:$AW651,33,FALSE)),IF(AND($S$3=TRUE,$S$4=FALSE),IF(OR($Q$4=TRUE,$Q$5=TRUE,$S$2=TRUE),VLOOKUP($G645,'KO Calc'!$H:$AW,23,FALSE),VLOOKUP($G645,'KO Calc'!$H651:$AW651,23,FALSE)),
IF(AND($S$3=TRUE,$S$1=TRUE,$S$4=TRUE)=TRUE,IF(OR($Q$4=TRUE,$Q$5=TRUE,$S$2=TRUE),VLOOKUP($G645,'KO Calc'!$H:$AW,38,FALSE),VLOOKUP($G645,'KO Calc'!$H651:$AW651,38,FALSE)),IF(AND($S$3=TRUE,$S$4=TRUE),IF(OR($Q$4=TRUE,$Q$5=TRUE,$S$2=TRUE),VLOOKUP($G645,'KO Calc'!$H:$AW,28,FALSE),VLOOKUP($G645,'KO Calc'!$H651:$AW651,28,FALSE)))))))))))))</f>
        <v>-</v>
      </c>
      <c r="J645" s="36" t="str">
        <f>IF(AND($Q$1=FALSE,$S$3=FALSE),"-",IF(AND($Q$1=TRUE,$S$3=TRUE),"-",IF(AND($Q$1=FALSE,$S$3=FALSE),"-",IF(AND($Q$1=TRUE,$S$1=TRUE,$S$4=FALSE)=TRUE,IF(OR($Q$4=TRUE,$Q$5=TRUE,$S$2=TRUE),VLOOKUP($G645,'KO Calc'!$H:$AW,FALSE),VLOOKUP($G645,'KO Calc'!$H651:$AW651,14,FALSE)),IF(AND($Q$1=TRUE,$S$4=FALSE),IF(OR($Q$4=TRUE,$Q$5=TRUE,$S$2=TRUE),VLOOKUP($G645,'KO Calc'!$H:$AW,4,FALSE),VLOOKUP($G645,'KO Calc'!$H651:$AW651,4,FALSE)),
IF(AND($Q$1=TRUE,$S$1=TRUE,$S$4=TRUE)=TRUE,IF(OR($Q$4=TRUE,$Q$5=TRUE,$S$2=TRUE),VLOOKUP($G645,'KO Calc'!$H:$AW,19,FALSE),VLOOKUP($G645,'KO Calc'!$H651:$AW651,19,FALSE)),IF(AND($Q$1=TRUE,$S$4=TRUE),IF(OR($Q$4=TRUE,$Q$5=TRUE,$S$2=TRUE),VLOOKUP($G645,'KO Calc'!$H:$AW,9,FALSE),VLOOKUP($G645,'KO Calc'!$H651:$AW651,9,FALSE)),
IF(AND($S$3=TRUE,$S$1=TRUE,$S$4=FALSE)=TRUE,IF(OR($Q$4=TRUE,$Q$5=TRUE,$S$2=TRUE),VLOOKUP($G645,'KO Calc'!$H:$AW,34,FALSE),VLOOKUP($G645,'KO Calc'!$H651:$AW651,34,FALSE)),IF(AND($S$3=TRUE,$S$4=FALSE),IF(OR($Q$4=TRUE,$Q$5=TRUE,$S$2=TRUE),VLOOKUP($G645,'KO Calc'!$H:$AW,24,FALSE),VLOOKUP($G645,'KO Calc'!$H651:$AW651,24,FALSE)),
IF(AND($S$3=TRUE,$S$1=TRUE,$S$4=TRUE)=TRUE,IF(OR($Q$4=TRUE,$Q$5=TRUE,$S$2=TRUE),VLOOKUP($G645,'KO Calc'!$H:$AW,39,FALSE),VLOOKUP($G645,'KO Calc'!$H651:$AW651,39,FALSE)),IF(AND($S$3=TRUE,$S$4=TRUE),IF(OR($Q$4=TRUE,$Q$5=TRUE,$S$2=TRUE),VLOOKUP($G645,'KO Calc'!$H:$AW,29,FALSE),VLOOKUP($G645,'KO Calc'!$H651:$AW651,29,FALSE)))))))))))))</f>
        <v>-</v>
      </c>
      <c r="K645" s="36" t="str">
        <f>IF(AND($Q$1=FALSE,$S$3=FALSE),"-",IF(AND($Q$1=TRUE,$S$3=TRUE),"-",IF(AND($Q$1=FALSE,$S$3=FALSE),"-",IF(AND($Q$1=TRUE,$S$1=TRUE,$S$4=FALSE)=TRUE,IF(OR($Q$4=TRUE,$Q$5=TRUE,$S$2=TRUE),VLOOKUP($G645,'KO Calc'!$H:$AW,15,FALSE),VLOOKUP($G645,'KO Calc'!$H651:$AW651,15,FALSE)),IF(AND($Q$1=TRUE,$S$4=FALSE),IF(OR($Q$4=TRUE,$Q$5=TRUE,$S$2=TRUE),VLOOKUP($G645,'KO Calc'!$H:$AW,5,FALSE),VLOOKUP($G645,'KO Calc'!$H651:$AW651,5,FALSE)),
IF(AND($Q$1=TRUE,$S$1=TRUE,$S$4=TRUE)=TRUE,IF(OR($Q$4=TRUE,$Q$5=TRUE,$S$2=TRUE),VLOOKUP($G645,'KO Calc'!$H:$AW,20,FALSE),VLOOKUP($G645,'KO Calc'!$H651:$AW651,20,FALSE)),IF(AND($Q$1=TRUE,$S$4=TRUE),IF(OR($Q$4=TRUE,$Q$5=TRUE,$S$2=TRUE),VLOOKUP($G645,'KO Calc'!$H:$AW,10,FALSE),VLOOKUP($G645,'KO Calc'!$H651:$AW651,10,FALSE)),
IF(AND($S$3=TRUE,$S$1=TRUE,$S$4=FALSE)=TRUE,IF(OR($Q$4=TRUE,$Q$5=TRUE,$S$2=TRUE),VLOOKUP($G645,'KO Calc'!$H:$AW,35,FALSE),VLOOKUP($G645,'KO Calc'!$H651:$AW651,35,FALSE)),IF(AND($S$3=TRUE,$S$4=FALSE),IF(OR($Q$4=TRUE,$Q$5=TRUE,$S$2=TRUE),VLOOKUP($G645,'KO Calc'!$H:$AW,25,FALSE),VLOOKUP($G645,'KO Calc'!$H651:$AW651,25,FALSE)),
IF(AND($S$3=TRUE,$S$1=TRUE,$S$4=TRUE)=TRUE,IF(OR($Q$4=TRUE,$Q$5=TRUE,$S$2=TRUE),VLOOKUP($G645,'KO Calc'!$H:$AW,40,FALSE),VLOOKUP($G645,'KO Calc'!$H651:$AW651,40,FALSE)),IF(AND($S$3=TRUE,$S$4=TRUE),IF(OR($Q$4=TRUE,$Q$5=TRUE,$S$2=TRUE),VLOOKUP($G645,'KO Calc'!$H:$AW,30,FALSE),VLOOKUP($G645,'KO Calc'!$H651:$AW651,30,FALSE)))))))))))))</f>
        <v>-</v>
      </c>
      <c r="L645" s="36" t="str">
        <f>IFERROR(IF(AND($Q$1=FALSE,$S$3=FALSE),"-",VLOOKUP($E645,'Status Thresholds'!$E:$AU,43,FALSE)),"-")</f>
        <v>-</v>
      </c>
      <c r="M645" s="36" t="str">
        <f>IFERROR(IF(AND($Q$1=FALSE,$S$3=FALSE),"-",VLOOKUP($E645,'Status Thresholds'!$E:$AU,41,FALSE)),"-")</f>
        <v>-</v>
      </c>
      <c r="N645" s="36" t="str">
        <f>IFERROR(IF(AND($Q$1=FALSE,$S$3=FALSE),"-",VLOOKUP($E645,'Status Thresholds'!$E:$AU,42,FALSE)),"-")</f>
        <v>-</v>
      </c>
    </row>
    <row r="646" spans="2:14" x14ac:dyDescent="0.25">
      <c r="B646" s="64" t="str">
        <f>VLOOKUP(C646,'Status Thresholds'!B:C,2,FALSE)</f>
        <v>Deviant</v>
      </c>
      <c r="C646" s="46" t="str">
        <f>IF(ISBLANK('KO Calc'!C642)=TRUE,"",'KO Calc'!C642)</f>
        <v>Redhelm Arzuros</v>
      </c>
      <c r="D646" s="78"/>
      <c r="E646" s="62" t="str">
        <f t="shared" si="17"/>
        <v>Redhelm Arzuros</v>
      </c>
      <c r="G646" s="36" t="str">
        <f t="shared" si="18"/>
        <v>Redhelm Arzuros</v>
      </c>
      <c r="H646" s="36" t="str">
        <f>IF(AND($Q$1=FALSE,$S$3=FALSE),"-",IF(AND($Q$1=TRUE,$S$3=TRUE),"-",IF(AND($Q$1=FALSE,$S$3=FALSE),"-",IF(AND($Q$1=TRUE,$S$1=TRUE,$S$4=FALSE)=TRUE,IF(OR($Q$4=TRUE,$Q$5=TRUE,$S$2=TRUE),VLOOKUP($G646,'KO Calc'!$H:$AW,12,FALSE),VLOOKUP($G646,'KO Calc'!$H652:$AW652,12,FALSE)),IF(AND($Q$1=TRUE,$S$4=FALSE),IF(OR($Q$4=TRUE,$Q$5=TRUE,$S$2=TRUE),VLOOKUP($G646,'KO Calc'!$H:$AW,2,FALSE),VLOOKUP($G646,'KO Calc'!$H652:$AW652,2,FALSE)),
IF(AND($Q$1=TRUE,$S$1=TRUE,$S$4=TRUE)=TRUE,IF(OR($Q$4=TRUE,$Q$5=TRUE,$S$2=TRUE),VLOOKUP($G646,'KO Calc'!$H:$AW,17,FALSE),VLOOKUP($G646,'KO Calc'!$H652:$AW652,17,FALSE)),IF(AND($Q$1=TRUE,$S$4=TRUE),IF(OR($Q$4=TRUE,$Q$5=TRUE,$S$2=TRUE),VLOOKUP($G646,'KO Calc'!$H:$AW,7,FALSE),VLOOKUP($G646,'KO Calc'!$H652:$AW652,7,FALSE)),
IF(AND($S$3=TRUE,$S$1=TRUE,$S$4=FALSE)=TRUE,IF(OR($Q$4=TRUE,$Q$5=TRUE,$S$2=TRUE),VLOOKUP($G646,'KO Calc'!$H:$AW,32,FALSE),VLOOKUP($G646,'KO Calc'!$H652:$AW652,32,FALSE)),IF(AND($S$3=TRUE,$S$4=FALSE),IF(OR($Q$4=TRUE,$Q$5=TRUE,$S$2=TRUE),VLOOKUP($G646,'KO Calc'!$H:$AW,22,FALSE),VLOOKUP($G646,'KO Calc'!$H652:$AW652,22,FALSE)),
IF(AND($S$3=TRUE,$S$1=TRUE,$S$4=TRUE)=TRUE,IF(OR($Q$4=TRUE,$Q$5=TRUE,$S$2=TRUE),VLOOKUP($G646,'KO Calc'!$H:$AW,37,FALSE),VLOOKUP($G646,'KO Calc'!$H652:$AW652,37,FALSE)),IF(AND($S$3=TRUE,$S$4=TRUE),IF(OR($Q$4=TRUE,$Q$5=TRUE,$S$2=TRUE),VLOOKUP($G646,'KO Calc'!$H:$AW,27,FALSE),VLOOKUP($G646,'KO Calc'!$H652:$AW652,27,FALSE)))))))))))))</f>
        <v>-</v>
      </c>
      <c r="I646" s="36" t="str">
        <f>IF(AND($Q$1=FALSE,$S$3=FALSE),"-",IF(AND($Q$1=TRUE,$S$3=TRUE),"-",IF(AND($Q$1=FALSE,$S$3=FALSE),"-",IF(AND($Q$1=TRUE,$S$1=TRUE,$S$4=FALSE)=TRUE,IF(OR($Q$4=TRUE,$Q$5=TRUE,$S$2=TRUE),VLOOKUP($G646,'KO Calc'!$H:$AW,13,FALSE),VLOOKUP($G646,'KO Calc'!$H652:$AW652,13,FALSE)),IF(AND($Q$1=TRUE,$S$4=FALSE),IF(OR($Q$4=TRUE,$Q$5=TRUE,$S$2=TRUE),VLOOKUP($G646,'KO Calc'!$H:$AW,3,FALSE),VLOOKUP($G646,'KO Calc'!$H652:$AW652,3,FALSE)),
IF(AND($Q$1=TRUE,$S$1=TRUE,$S$4=TRUE)=TRUE,IF(OR($Q$4=TRUE,$Q$5=TRUE,$S$2=TRUE),VLOOKUP($G646,'KO Calc'!$H:$AW,18,FALSE),VLOOKUP($G646,'KO Calc'!$H652:$AW652,18,FALSE)),IF(AND($Q$1=TRUE,$S$4=TRUE),IF(OR($Q$4=TRUE,$Q$5=TRUE,$S$2=TRUE),VLOOKUP($G646,'KO Calc'!$H:$AW,8,FALSE),VLOOKUP($G646,'KO Calc'!$H652:$AW652,8,FALSE)),
IF(AND($S$3=TRUE,$S$1=TRUE,$S$4=FALSE)=TRUE,IF(OR($Q$4=TRUE,$Q$5=TRUE,$S$2=TRUE),VLOOKUP($G646,'KO Calc'!$H:$AW,33,FALSE),VLOOKUP($G646,'KO Calc'!$H652:$AW652,33,FALSE)),IF(AND($S$3=TRUE,$S$4=FALSE),IF(OR($Q$4=TRUE,$Q$5=TRUE,$S$2=TRUE),VLOOKUP($G646,'KO Calc'!$H:$AW,23,FALSE),VLOOKUP($G646,'KO Calc'!$H652:$AW652,23,FALSE)),
IF(AND($S$3=TRUE,$S$1=TRUE,$S$4=TRUE)=TRUE,IF(OR($Q$4=TRUE,$Q$5=TRUE,$S$2=TRUE),VLOOKUP($G646,'KO Calc'!$H:$AW,38,FALSE),VLOOKUP($G646,'KO Calc'!$H652:$AW652,38,FALSE)),IF(AND($S$3=TRUE,$S$4=TRUE),IF(OR($Q$4=TRUE,$Q$5=TRUE,$S$2=TRUE),VLOOKUP($G646,'KO Calc'!$H:$AW,28,FALSE),VLOOKUP($G646,'KO Calc'!$H652:$AW652,28,FALSE)))))))))))))</f>
        <v>-</v>
      </c>
      <c r="J646" s="36" t="str">
        <f>IF(AND($Q$1=FALSE,$S$3=FALSE),"-",IF(AND($Q$1=TRUE,$S$3=TRUE),"-",IF(AND($Q$1=FALSE,$S$3=FALSE),"-",IF(AND($Q$1=TRUE,$S$1=TRUE,$S$4=FALSE)=TRUE,IF(OR($Q$4=TRUE,$Q$5=TRUE,$S$2=TRUE),VLOOKUP($G646,'KO Calc'!$H:$AW,FALSE),VLOOKUP($G646,'KO Calc'!$H652:$AW652,14,FALSE)),IF(AND($Q$1=TRUE,$S$4=FALSE),IF(OR($Q$4=TRUE,$Q$5=TRUE,$S$2=TRUE),VLOOKUP($G646,'KO Calc'!$H:$AW,4,FALSE),VLOOKUP($G646,'KO Calc'!$H652:$AW652,4,FALSE)),
IF(AND($Q$1=TRUE,$S$1=TRUE,$S$4=TRUE)=TRUE,IF(OR($Q$4=TRUE,$Q$5=TRUE,$S$2=TRUE),VLOOKUP($G646,'KO Calc'!$H:$AW,19,FALSE),VLOOKUP($G646,'KO Calc'!$H652:$AW652,19,FALSE)),IF(AND($Q$1=TRUE,$S$4=TRUE),IF(OR($Q$4=TRUE,$Q$5=TRUE,$S$2=TRUE),VLOOKUP($G646,'KO Calc'!$H:$AW,9,FALSE),VLOOKUP($G646,'KO Calc'!$H652:$AW652,9,FALSE)),
IF(AND($S$3=TRUE,$S$1=TRUE,$S$4=FALSE)=TRUE,IF(OR($Q$4=TRUE,$Q$5=TRUE,$S$2=TRUE),VLOOKUP($G646,'KO Calc'!$H:$AW,34,FALSE),VLOOKUP($G646,'KO Calc'!$H652:$AW652,34,FALSE)),IF(AND($S$3=TRUE,$S$4=FALSE),IF(OR($Q$4=TRUE,$Q$5=TRUE,$S$2=TRUE),VLOOKUP($G646,'KO Calc'!$H:$AW,24,FALSE),VLOOKUP($G646,'KO Calc'!$H652:$AW652,24,FALSE)),
IF(AND($S$3=TRUE,$S$1=TRUE,$S$4=TRUE)=TRUE,IF(OR($Q$4=TRUE,$Q$5=TRUE,$S$2=TRUE),VLOOKUP($G646,'KO Calc'!$H:$AW,39,FALSE),VLOOKUP($G646,'KO Calc'!$H652:$AW652,39,FALSE)),IF(AND($S$3=TRUE,$S$4=TRUE),IF(OR($Q$4=TRUE,$Q$5=TRUE,$S$2=TRUE),VLOOKUP($G646,'KO Calc'!$H:$AW,29,FALSE),VLOOKUP($G646,'KO Calc'!$H652:$AW652,29,FALSE)))))))))))))</f>
        <v>-</v>
      </c>
      <c r="K646" s="36" t="str">
        <f>IF(AND($Q$1=FALSE,$S$3=FALSE),"-",IF(AND($Q$1=TRUE,$S$3=TRUE),"-",IF(AND($Q$1=FALSE,$S$3=FALSE),"-",IF(AND($Q$1=TRUE,$S$1=TRUE,$S$4=FALSE)=TRUE,IF(OR($Q$4=TRUE,$Q$5=TRUE,$S$2=TRUE),VLOOKUP($G646,'KO Calc'!$H:$AW,15,FALSE),VLOOKUP($G646,'KO Calc'!$H652:$AW652,15,FALSE)),IF(AND($Q$1=TRUE,$S$4=FALSE),IF(OR($Q$4=TRUE,$Q$5=TRUE,$S$2=TRUE),VLOOKUP($G646,'KO Calc'!$H:$AW,5,FALSE),VLOOKUP($G646,'KO Calc'!$H652:$AW652,5,FALSE)),
IF(AND($Q$1=TRUE,$S$1=TRUE,$S$4=TRUE)=TRUE,IF(OR($Q$4=TRUE,$Q$5=TRUE,$S$2=TRUE),VLOOKUP($G646,'KO Calc'!$H:$AW,20,FALSE),VLOOKUP($G646,'KO Calc'!$H652:$AW652,20,FALSE)),IF(AND($Q$1=TRUE,$S$4=TRUE),IF(OR($Q$4=TRUE,$Q$5=TRUE,$S$2=TRUE),VLOOKUP($G646,'KO Calc'!$H:$AW,10,FALSE),VLOOKUP($G646,'KO Calc'!$H652:$AW652,10,FALSE)),
IF(AND($S$3=TRUE,$S$1=TRUE,$S$4=FALSE)=TRUE,IF(OR($Q$4=TRUE,$Q$5=TRUE,$S$2=TRUE),VLOOKUP($G646,'KO Calc'!$H:$AW,35,FALSE),VLOOKUP($G646,'KO Calc'!$H652:$AW652,35,FALSE)),IF(AND($S$3=TRUE,$S$4=FALSE),IF(OR($Q$4=TRUE,$Q$5=TRUE,$S$2=TRUE),VLOOKUP($G646,'KO Calc'!$H:$AW,25,FALSE),VLOOKUP($G646,'KO Calc'!$H652:$AW652,25,FALSE)),
IF(AND($S$3=TRUE,$S$1=TRUE,$S$4=TRUE)=TRUE,IF(OR($Q$4=TRUE,$Q$5=TRUE,$S$2=TRUE),VLOOKUP($G646,'KO Calc'!$H:$AW,40,FALSE),VLOOKUP($G646,'KO Calc'!$H652:$AW652,40,FALSE)),IF(AND($S$3=TRUE,$S$4=TRUE),IF(OR($Q$4=TRUE,$Q$5=TRUE,$S$2=TRUE),VLOOKUP($G646,'KO Calc'!$H:$AW,30,FALSE),VLOOKUP($G646,'KO Calc'!$H652:$AW652,30,FALSE)))))))))))))</f>
        <v>-</v>
      </c>
      <c r="L646" s="36" t="str">
        <f>IFERROR(VLOOKUP($E646,'Status Thresholds'!$E:$AS,41,FALSE),"-")</f>
        <v>-</v>
      </c>
    </row>
    <row r="647" spans="2:14" x14ac:dyDescent="0.25">
      <c r="B647" s="64" t="str">
        <f>VLOOKUP(C647,'Status Thresholds'!B:C,2,FALSE)</f>
        <v>Deviant</v>
      </c>
      <c r="C647" s="46" t="str">
        <f>IF(ISBLANK('KO Calc'!C643)=TRUE,"",'KO Calc'!C643)</f>
        <v>Redhelm Arzuros</v>
      </c>
      <c r="D647" s="78"/>
      <c r="E647" s="62" t="str">
        <f t="shared" ref="E647:E710" si="19">C647&amp;D647</f>
        <v>Redhelm Arzuros</v>
      </c>
      <c r="G647" s="36" t="str">
        <f t="shared" si="18"/>
        <v>Redhelm Arzuros</v>
      </c>
      <c r="L647" s="36" t="str">
        <f>IFERROR(VLOOKUP($E647,'Status Thresholds'!$E:$AS,41,FALSE),"-")</f>
        <v>-</v>
      </c>
    </row>
    <row r="648" spans="2:14" x14ac:dyDescent="0.25">
      <c r="B648" s="64" t="str">
        <f>VLOOKUP(C648,'Status Thresholds'!B:C,2,FALSE)</f>
        <v>MHGen</v>
      </c>
      <c r="C648" s="46" t="str">
        <f>IF(ISBLANK('KO Calc'!C644)=TRUE,"",'KO Calc'!C644)</f>
        <v>Royal Ludroth</v>
      </c>
      <c r="D648" s="65" t="s">
        <v>0</v>
      </c>
      <c r="E648" s="62" t="str">
        <f t="shared" si="19"/>
        <v>Royal LudrothPara</v>
      </c>
      <c r="F648" s="36" t="s">
        <v>2</v>
      </c>
      <c r="G648" s="36" t="str">
        <f t="shared" si="18"/>
        <v>Royal LudrothPara lvl 2</v>
      </c>
      <c r="H648" s="36" t="str">
        <f>IFERROR(ROUNDUP(IF(AND($Q$1=FALSE,$S$3=FALSE),"-",IF(AND($Q$1=TRUE,$S$3=TRUE),"-",IF(AND($Q$1=TRUE,$S$1=TRUE,$S$4=FALSE),VLOOKUP($E648,'Status Thresholds'!$E:$AS,12,FALSE),IF(AND($Q$1=TRUE,$S$4=FALSE),VLOOKUP($E648,'Status Thresholds'!$E:$AS,2,FALSE), IF(AND($Q$1=TRUE,$S$1=TRUE,$S$4=TRUE),VLOOKUP($E648,'Status Thresholds'!$E:$AS,17,FALSE),IF(AND($Q$1=TRUE,$S$4=TRUE),VLOOKUP($E648,'Status Thresholds'!$E:$AS,7,FALSE),IF(AND($S$3=TRUE,$S$1=TRUE,$S$4=FALSE),VLOOKUP($E648,'Status Thresholds'!$E:$AS,32,FALSE),IF(AND($S$3=TRUE,$S$4=FALSE),VLOOKUP($E648,'Status Thresholds'!$E:$AS,22,FALSE),IF(AND($S$3=TRUE,$S$1=TRUE,$S$4=TRUE),VLOOKUP($E648,'Status Thresholds'!$E:$AS,37,FALSE),IF(AND($S$3=TRUE,$S$4=TRUE),VLOOKUP($E648,'Status Thresholds'!$E:$AS,27,FALSE),""))))))))/IF(OR($Q$3=TRUE,AND($Q$2=TRUE,$Q$7=TRUE),AND($Q$3=TRUE,$Q$7=TRUE))=TRUE,'Shots and Status'!$F$5,IF((OR($Q$2,$Q$7)=TRUE),'Shots and Status'!$D$5,'Shots and Status'!$C$5)))),0),"-")</f>
        <v>-</v>
      </c>
      <c r="I648" s="36" t="str">
        <f>IFERROR(ROUNDUP(IF(AND($Q$1=FALSE,$S$3=FALSE),"-",IF(AND($Q$1=TRUE,$S$3=TRUE),"-",IF(AND($Q$1=TRUE,$S$1=TRUE,$S$4=FALSE),VLOOKUP($E648,'Status Thresholds'!$E:$AS,13,FALSE),IF(AND($Q$1=TRUE,$S$4=FALSE),VLOOKUP($E648,'Status Thresholds'!$E:$AS,3,FALSE), IF(AND($Q$1=TRUE,$S$1=TRUE,$S$4=TRUE),VLOOKUP($E648,'Status Thresholds'!$E:$AS,18,FALSE),IF(AND($Q$1=TRUE,$S$4=TRUE),VLOOKUP($E648,'Status Thresholds'!$E:$AS,8,FALSE),IF(AND($S$3=TRUE,$S$1=TRUE,$S$4=FALSE),VLOOKUP($E648,'Status Thresholds'!$E:$AS,33,FALSE),IF(AND($S$3=TRUE,$S$4=FALSE),VLOOKUP($E648,'Status Thresholds'!$E:$AS,23,FALSE),IF(AND($S$3=TRUE,$S$1=TRUE,$S$4=TRUE),VLOOKUP($E648,'Status Thresholds'!$E:$AS,38,FALSE),IF(AND($S$3=TRUE,$S$4=TRUE),VLOOKUP($E648,'Status Thresholds'!$E:$AS,28,FALSE),""))))))))/IF(OR($Q$3=TRUE,AND($Q$2=TRUE,$Q$7=TRUE),AND($Q$3=TRUE,$Q$7=TRUE))=TRUE,'Shots and Status'!$F$5,IF((OR($Q$2,$Q$7)=TRUE),'Shots and Status'!$D$5,'Shots and Status'!$C$5)))),0),"-")</f>
        <v>-</v>
      </c>
      <c r="J648" s="36" t="str">
        <f>IFERROR(ROUNDUP(IF(AND($Q$1=FALSE,$S$3=FALSE),"-",IF(AND($Q$1=TRUE,$S$3=TRUE),"-",IF(AND($Q$1=TRUE,$S$1=TRUE,$S$4=FALSE),VLOOKUP($E648,'Status Thresholds'!$E:$AS,14,FALSE),IF(AND($Q$1=TRUE,$S$4=FALSE),VLOOKUP($E648,'Status Thresholds'!$E:$AS,4,FALSE), IF(AND($Q$1=TRUE,$S$1=TRUE,$S$4=TRUE),VLOOKUP($E648,'Status Thresholds'!$E:$AS,19,FALSE),IF(AND($Q$1=TRUE,$S$4=TRUE),VLOOKUP($E648,'Status Thresholds'!$E:$AS,9,FALSE),IF(AND($S$3=TRUE,$S$1=TRUE,$S$4=FALSE),VLOOKUP($E648,'Status Thresholds'!$E:$AS,34,FALSE),IF(AND($S$3=TRUE,$S$4=FALSE),VLOOKUP($E648,'Status Thresholds'!$E:$AS,24,FALSE),IF(AND($S$3=TRUE,$S$1=TRUE,$S$4=TRUE),VLOOKUP($E648,'Status Thresholds'!$E:$AS,39,FALSE),IF(AND($S$3=TRUE,$S$4=TRUE),VLOOKUP($E648,'Status Thresholds'!$E:$AS,29,FALSE),""))))))))/IF(OR($Q$3=TRUE,AND($Q$2=TRUE,$Q$7=TRUE),AND($Q$3=TRUE,$Q$7=TRUE))=TRUE,'Shots and Status'!$F$5,IF((OR($Q$2,$Q$7)=TRUE),'Shots and Status'!$D$5,'Shots and Status'!$C$5)))),0),"-")</f>
        <v>-</v>
      </c>
      <c r="K648" s="36" t="str">
        <f>IFERROR(ROUNDUP(IF(AND($Q$1=FALSE,$S$3=FALSE),"-",IF(AND($Q$1=TRUE,$S$3=TRUE),"-",IF(AND($Q$1=TRUE,$S$1=TRUE,$S$4=FALSE),VLOOKUP($E648,'Status Thresholds'!$E:$AS,15,FALSE),IF(AND($Q$1=TRUE,$S$4=FALSE),VLOOKUP($E648,'Status Thresholds'!$E:$AS,5,FALSE), IF(AND($Q$1=TRUE,$S$1=TRUE,$S$4=TRUE),VLOOKUP($E648,'Status Thresholds'!$E:$AS,20,FALSE),IF(AND($Q$1=TRUE,$S$4=TRUE),VLOOKUP($E648,'Status Thresholds'!$E:$AS,10,FALSE),IF(AND($S$3=TRUE,$S$1=TRUE,$S$4=FALSE),VLOOKUP($E648,'Status Thresholds'!$E:$AS,35,FALSE),IF(AND($S$3=TRUE,$S$4=FALSE),VLOOKUP($E648,'Status Thresholds'!$E:$AS,25,FALSE),IF(AND($S$3=TRUE,$S$1=TRUE,$S$4=TRUE),VLOOKUP($E648,'Status Thresholds'!$E:$AS,40,FALSE),IF(AND($S$3=TRUE,$S$4=TRUE),VLOOKUP($E648,'Status Thresholds'!$E:$AS,30,FALSE),""))))))))/IF(OR($Q$3=TRUE,AND($Q$2=TRUE,$Q$7=TRUE),AND($Q$3=TRUE,$Q$7=TRUE))=TRUE,'Shots and Status'!$F$5,IF((OR($Q$2,$Q$7)=TRUE),'Shots and Status'!$D$5,'Shots and Status'!$C$5)))),0),"-")</f>
        <v>-</v>
      </c>
      <c r="L648" s="36" t="str">
        <f>IFERROR(IF(AND($Q$1=FALSE,$S$3=FALSE),"-",VLOOKUP($E648,'Status Thresholds'!$E:$AU,41,FALSE)),"-")</f>
        <v>-</v>
      </c>
      <c r="M648" s="36" t="str">
        <f>IFERROR(IF(AND($Q$1=FALSE,$S$3=FALSE),"-",VLOOKUP($E648,'Status Thresholds'!$E:$AU,42,FALSE)),"-")</f>
        <v>-</v>
      </c>
      <c r="N648" s="36" t="str">
        <f>IFERROR(IF(AND($Q$1=FALSE,$S$3=FALSE),"-",VLOOKUP($E648,'Status Thresholds'!$E:$AU,43,FALSE)),"-")</f>
        <v>-</v>
      </c>
    </row>
    <row r="649" spans="2:14" x14ac:dyDescent="0.25">
      <c r="B649" s="64" t="str">
        <f>VLOOKUP(C649,'Status Thresholds'!B:C,2,FALSE)</f>
        <v>MHGen</v>
      </c>
      <c r="C649" s="46" t="str">
        <f>IF(ISBLANK('KO Calc'!C645)=TRUE,"",'KO Calc'!C645)</f>
        <v>Royal Ludroth</v>
      </c>
      <c r="D649" s="60" t="s">
        <v>32</v>
      </c>
      <c r="E649" s="62" t="str">
        <f t="shared" si="19"/>
        <v>Royal LudrothSleep</v>
      </c>
      <c r="F649" s="59" t="s">
        <v>5</v>
      </c>
      <c r="G649" s="36" t="str">
        <f t="shared" si="18"/>
        <v>Royal LudrothSleep lvl 2</v>
      </c>
      <c r="H649" s="36" t="str">
        <f>IFERROR(ROUNDUP(IF(AND($Q$1=FALSE,$S$3=FALSE),"-",IF(AND($Q$1=TRUE,$S$3=TRUE),"-",IF(AND($Q$1=TRUE,$S$1=TRUE,$S$4=FALSE),VLOOKUP($E649,'Status Thresholds'!$E:$AS,12,FALSE),IF(AND($Q$1=TRUE,$S$4=FALSE),VLOOKUP($E649,'Status Thresholds'!$E:$AS,2,FALSE), IF(AND($Q$1=TRUE,$S$1=TRUE,$S$4=TRUE),VLOOKUP($E649,'Status Thresholds'!$E:$AS,17,FALSE),IF(AND($Q$1=TRUE,$S$4=TRUE),VLOOKUP($E649,'Status Thresholds'!$E:$AS,7,FALSE),IF(AND($S$3=TRUE,$S$1=TRUE,$S$4=FALSE),VLOOKUP($E649,'Status Thresholds'!$E:$AS,32,FALSE),IF(AND($S$3=TRUE,$S$4=FALSE),VLOOKUP($E649,'Status Thresholds'!$E:$AS,22,FALSE),IF(AND($S$3=TRUE,$S$1=TRUE,$S$4=TRUE),VLOOKUP($E649,'Status Thresholds'!$E:$AS,37,FALSE),IF(AND($S$3=TRUE,$S$4=TRUE),VLOOKUP($E649,'Status Thresholds'!$E:$AS,27,FALSE),""))))))))/IF(OR($Q$3=TRUE,AND($Q$2=TRUE,$Q$7=TRUE),AND($Q$3=TRUE,$Q$7=TRUE))=TRUE,'Shots and Status'!$F$5,IF((OR($Q$2,$Q$7)=TRUE),'Shots and Status'!$D$5,'Shots and Status'!$C$5)))),0),"-")</f>
        <v>-</v>
      </c>
      <c r="I649" s="36" t="str">
        <f>IFERROR(ROUNDUP(IF(AND($Q$1=FALSE,$S$3=FALSE),"-",IF(AND($Q$1=TRUE,$S$3=TRUE),"-",IF(AND($Q$1=TRUE,$S$1=TRUE,$S$4=FALSE),VLOOKUP($E649,'Status Thresholds'!$E:$AS,13,FALSE),IF(AND($Q$1=TRUE,$S$4=FALSE),VLOOKUP($E649,'Status Thresholds'!$E:$AS,3,FALSE), IF(AND($Q$1=TRUE,$S$1=TRUE,$S$4=TRUE),VLOOKUP($E649,'Status Thresholds'!$E:$AS,18,FALSE),IF(AND($Q$1=TRUE,$S$4=TRUE),VLOOKUP($E649,'Status Thresholds'!$E:$AS,8,FALSE),IF(AND($S$3=TRUE,$S$1=TRUE,$S$4=FALSE),VLOOKUP($E649,'Status Thresholds'!$E:$AS,33,FALSE),IF(AND($S$3=TRUE,$S$4=FALSE),VLOOKUP($E649,'Status Thresholds'!$E:$AS,23,FALSE),IF(AND($S$3=TRUE,$S$1=TRUE,$S$4=TRUE),VLOOKUP($E649,'Status Thresholds'!$E:$AS,38,FALSE),IF(AND($S$3=TRUE,$S$4=TRUE),VLOOKUP($E649,'Status Thresholds'!$E:$AS,28,FALSE),""))))))))/IF(OR($Q$3=TRUE,AND($Q$2=TRUE,$Q$7=TRUE),AND($Q$3=TRUE,$Q$7=TRUE))=TRUE,'Shots and Status'!$F$5,IF((OR($Q$2,$Q$7)=TRUE),'Shots and Status'!$D$5,'Shots and Status'!$C$5)))),0),"-")</f>
        <v>-</v>
      </c>
      <c r="J649" s="36" t="str">
        <f>IFERROR(ROUNDUP(IF(AND($Q$1=FALSE,$S$3=FALSE),"-",IF(AND($Q$1=TRUE,$S$3=TRUE),"-",IF(AND($Q$1=TRUE,$S$1=TRUE,$S$4=FALSE),VLOOKUP($E649,'Status Thresholds'!$E:$AS,14,FALSE),IF(AND($Q$1=TRUE,$S$4=FALSE),VLOOKUP($E649,'Status Thresholds'!$E:$AS,4,FALSE), IF(AND($Q$1=TRUE,$S$1=TRUE,$S$4=TRUE),VLOOKUP($E649,'Status Thresholds'!$E:$AS,19,FALSE),IF(AND($Q$1=TRUE,$S$4=TRUE),VLOOKUP($E649,'Status Thresholds'!$E:$AS,9,FALSE),IF(AND($S$3=TRUE,$S$1=TRUE,$S$4=FALSE),VLOOKUP($E649,'Status Thresholds'!$E:$AS,34,FALSE),IF(AND($S$3=TRUE,$S$4=FALSE),VLOOKUP($E649,'Status Thresholds'!$E:$AS,24,FALSE),IF(AND($S$3=TRUE,$S$1=TRUE,$S$4=TRUE),VLOOKUP($E649,'Status Thresholds'!$E:$AS,39,FALSE),IF(AND($S$3=TRUE,$S$4=TRUE),VLOOKUP($E649,'Status Thresholds'!$E:$AS,29,FALSE),""))))))))/IF(OR($Q$3=TRUE,AND($Q$2=TRUE,$Q$7=TRUE),AND($Q$3=TRUE,$Q$7=TRUE))=TRUE,'Shots and Status'!$F$5,IF((OR($Q$2,$Q$7)=TRUE),'Shots and Status'!$D$5,'Shots and Status'!$C$5)))),0),"-")</f>
        <v>-</v>
      </c>
      <c r="K649" s="36" t="str">
        <f>IFERROR(ROUNDUP(IF(AND($Q$1=FALSE,$S$3=FALSE),"-",IF(AND($Q$1=TRUE,$S$3=TRUE),"-",IF(AND($Q$1=TRUE,$S$1=TRUE,$S$4=FALSE),VLOOKUP($E649,'Status Thresholds'!$E:$AS,15,FALSE),IF(AND($Q$1=TRUE,$S$4=FALSE),VLOOKUP($E649,'Status Thresholds'!$E:$AS,5,FALSE), IF(AND($Q$1=TRUE,$S$1=TRUE,$S$4=TRUE),VLOOKUP($E649,'Status Thresholds'!$E:$AS,20,FALSE),IF(AND($Q$1=TRUE,$S$4=TRUE),VLOOKUP($E649,'Status Thresholds'!$E:$AS,10,FALSE),IF(AND($S$3=TRUE,$S$1=TRUE,$S$4=FALSE),VLOOKUP($E649,'Status Thresholds'!$E:$AS,35,FALSE),IF(AND($S$3=TRUE,$S$4=FALSE),VLOOKUP($E649,'Status Thresholds'!$E:$AS,25,FALSE),IF(AND($S$3=TRUE,$S$1=TRUE,$S$4=TRUE),VLOOKUP($E649,'Status Thresholds'!$E:$AS,40,FALSE),IF(AND($S$3=TRUE,$S$4=TRUE),VLOOKUP($E649,'Status Thresholds'!$E:$AS,30,FALSE),""))))))))/IF(OR($Q$3=TRUE,AND($Q$2=TRUE,$Q$7=TRUE),AND($Q$3=TRUE,$Q$7=TRUE))=TRUE,'Shots and Status'!$F$5,IF((OR($Q$2,$Q$7)=TRUE),'Shots and Status'!$D$5,'Shots and Status'!$C$5)))),0),"-")</f>
        <v>-</v>
      </c>
      <c r="L649" s="36" t="str">
        <f>IFERROR(IF(AND($Q$1=FALSE,$S$3=FALSE),"-",VLOOKUP($E649,'Status Thresholds'!$E:$AU,41,FALSE)),"-")</f>
        <v>-</v>
      </c>
      <c r="M649" s="36" t="str">
        <f>IFERROR(IF(AND($Q$1=FALSE,$S$3=FALSE),"-",VLOOKUP($E649,'Status Thresholds'!$E:$AU,42,FALSE)),"-")</f>
        <v>-</v>
      </c>
      <c r="N649" s="36" t="str">
        <f>IFERROR(IF(AND($Q$1=FALSE,$S$3=FALSE),"-",VLOOKUP($E649,'Status Thresholds'!$E:$AU,43,FALSE)),"-")</f>
        <v>-</v>
      </c>
    </row>
    <row r="650" spans="2:14" x14ac:dyDescent="0.25">
      <c r="B650" s="64" t="str">
        <f>VLOOKUP(C650,'Status Thresholds'!B:C,2,FALSE)</f>
        <v>MHGen</v>
      </c>
      <c r="C650" s="46" t="str">
        <f>IF(ISBLANK('KO Calc'!C646)=TRUE,"",'KO Calc'!C646)</f>
        <v>Royal Ludroth</v>
      </c>
      <c r="D650" s="58" t="s">
        <v>33</v>
      </c>
      <c r="E650" s="62" t="str">
        <f t="shared" si="19"/>
        <v>Royal LudrothPoison</v>
      </c>
      <c r="F650" s="59" t="s">
        <v>6</v>
      </c>
      <c r="G650" s="36" t="str">
        <f t="shared" si="18"/>
        <v>Royal LudrothPoison lvl 2</v>
      </c>
      <c r="H650" s="36" t="str">
        <f>IFERROR(ROUNDUP(IF(AND($Q$1=FALSE,$S$3=FALSE),"-",IF(AND($Q$1=TRUE,$S$3=TRUE),"-",IF(AND($Q$1=TRUE,$S$1=TRUE,$S$4=FALSE),VLOOKUP($E650,'Status Thresholds'!$E:$AS,12,FALSE),IF(AND($Q$1=TRUE,$S$4=FALSE),VLOOKUP($E650,'Status Thresholds'!$E:$AS,2,FALSE), IF(AND($Q$1=TRUE,$S$1=TRUE,$S$4=TRUE),VLOOKUP($E650,'Status Thresholds'!$E:$AS,17,FALSE),IF(AND($Q$1=TRUE,$S$4=TRUE),VLOOKUP($E650,'Status Thresholds'!$E:$AS,7,FALSE),IF(AND($S$3=TRUE,$S$1=TRUE,$S$4=FALSE),VLOOKUP($E650,'Status Thresholds'!$E:$AS,32,FALSE),IF(AND($S$3=TRUE,$S$4=FALSE),VLOOKUP($E650,'Status Thresholds'!$E:$AS,22,FALSE),IF(AND($S$3=TRUE,$S$1=TRUE,$S$4=TRUE),VLOOKUP($E650,'Status Thresholds'!$E:$AS,37,FALSE),IF(AND($S$3=TRUE,$S$4=TRUE),VLOOKUP($E650,'Status Thresholds'!$E:$AS,27,FALSE),""))))))))/IF(OR($Q$3=TRUE,AND($Q$2=TRUE,$Q$7=TRUE),AND($Q$3=TRUE,$Q$7=TRUE))=TRUE,'Shots and Status'!$F$5,IF((OR($Q$2,$Q$7)=TRUE),'Shots and Status'!$D$5,'Shots and Status'!$C$5)))),0),"-")</f>
        <v>-</v>
      </c>
      <c r="I650" s="36" t="str">
        <f>IFERROR(ROUNDUP(IF(AND($Q$1=FALSE,$S$3=FALSE),"-",IF(AND($Q$1=TRUE,$S$3=TRUE),"-",IF(AND($Q$1=TRUE,$S$1=TRUE,$S$4=FALSE),VLOOKUP($E650,'Status Thresholds'!$E:$AS,13,FALSE),IF(AND($Q$1=TRUE,$S$4=FALSE),VLOOKUP($E650,'Status Thresholds'!$E:$AS,3,FALSE), IF(AND($Q$1=TRUE,$S$1=TRUE,$S$4=TRUE),VLOOKUP($E650,'Status Thresholds'!$E:$AS,18,FALSE),IF(AND($Q$1=TRUE,$S$4=TRUE),VLOOKUP($E650,'Status Thresholds'!$E:$AS,8,FALSE),IF(AND($S$3=TRUE,$S$1=TRUE,$S$4=FALSE),VLOOKUP($E650,'Status Thresholds'!$E:$AS,33,FALSE),IF(AND($S$3=TRUE,$S$4=FALSE),VLOOKUP($E650,'Status Thresholds'!$E:$AS,23,FALSE),IF(AND($S$3=TRUE,$S$1=TRUE,$S$4=TRUE),VLOOKUP($E650,'Status Thresholds'!$E:$AS,38,FALSE),IF(AND($S$3=TRUE,$S$4=TRUE),VLOOKUP($E650,'Status Thresholds'!$E:$AS,28,FALSE),""))))))))/IF(OR($Q$3=TRUE,AND($Q$2=TRUE,$Q$7=TRUE),AND($Q$3=TRUE,$Q$7=TRUE))=TRUE,'Shots and Status'!$F$5,IF((OR($Q$2,$Q$7)=TRUE),'Shots and Status'!$D$5,'Shots and Status'!$C$5)))),0),"-")</f>
        <v>-</v>
      </c>
      <c r="J650" s="36" t="str">
        <f>IFERROR(ROUNDUP(IF(AND($Q$1=FALSE,$S$3=FALSE),"-",IF(AND($Q$1=TRUE,$S$3=TRUE),"-",IF(AND($Q$1=TRUE,$S$1=TRUE,$S$4=FALSE),VLOOKUP($E650,'Status Thresholds'!$E:$AS,14,FALSE),IF(AND($Q$1=TRUE,$S$4=FALSE),VLOOKUP($E650,'Status Thresholds'!$E:$AS,4,FALSE), IF(AND($Q$1=TRUE,$S$1=TRUE,$S$4=TRUE),VLOOKUP($E650,'Status Thresholds'!$E:$AS,19,FALSE),IF(AND($Q$1=TRUE,$S$4=TRUE),VLOOKUP($E650,'Status Thresholds'!$E:$AS,9,FALSE),IF(AND($S$3=TRUE,$S$1=TRUE,$S$4=FALSE),VLOOKUP($E650,'Status Thresholds'!$E:$AS,34,FALSE),IF(AND($S$3=TRUE,$S$4=FALSE),VLOOKUP($E650,'Status Thresholds'!$E:$AS,24,FALSE),IF(AND($S$3=TRUE,$S$1=TRUE,$S$4=TRUE),VLOOKUP($E650,'Status Thresholds'!$E:$AS,39,FALSE),IF(AND($S$3=TRUE,$S$4=TRUE),VLOOKUP($E650,'Status Thresholds'!$E:$AS,29,FALSE),""))))))))/IF(OR($Q$3=TRUE,AND($Q$2=TRUE,$Q$7=TRUE),AND($Q$3=TRUE,$Q$7=TRUE))=TRUE,'Shots and Status'!$F$5,IF((OR($Q$2,$Q$7)=TRUE),'Shots and Status'!$D$5,'Shots and Status'!$C$5)))),0),"-")</f>
        <v>-</v>
      </c>
      <c r="K650" s="36" t="str">
        <f>IFERROR(ROUNDUP(IF(AND($Q$1=FALSE,$S$3=FALSE),"-",IF(AND($Q$1=TRUE,$S$3=TRUE),"-",IF(AND($Q$1=TRUE,$S$1=TRUE,$S$4=FALSE),VLOOKUP($E650,'Status Thresholds'!$E:$AS,15,FALSE),IF(AND($Q$1=TRUE,$S$4=FALSE),VLOOKUP($E650,'Status Thresholds'!$E:$AS,5,FALSE), IF(AND($Q$1=TRUE,$S$1=TRUE,$S$4=TRUE),VLOOKUP($E650,'Status Thresholds'!$E:$AS,20,FALSE),IF(AND($Q$1=TRUE,$S$4=TRUE),VLOOKUP($E650,'Status Thresholds'!$E:$AS,10,FALSE),IF(AND($S$3=TRUE,$S$1=TRUE,$S$4=FALSE),VLOOKUP($E650,'Status Thresholds'!$E:$AS,35,FALSE),IF(AND($S$3=TRUE,$S$4=FALSE),VLOOKUP($E650,'Status Thresholds'!$E:$AS,25,FALSE),IF(AND($S$3=TRUE,$S$1=TRUE,$S$4=TRUE),VLOOKUP($E650,'Status Thresholds'!$E:$AS,40,FALSE),IF(AND($S$3=TRUE,$S$4=TRUE),VLOOKUP($E650,'Status Thresholds'!$E:$AS,30,FALSE),""))))))))/IF(OR($Q$3=TRUE,AND($Q$2=TRUE,$Q$7=TRUE),AND($Q$3=TRUE,$Q$7=TRUE))=TRUE,'Shots and Status'!$F$5,IF((OR($Q$2,$Q$7)=TRUE),'Shots and Status'!$D$5,'Shots and Status'!$C$5)))),0),"-")</f>
        <v>-</v>
      </c>
      <c r="L650" s="36" t="str">
        <f>IFERROR(IF(AND($Q$1=FALSE,$S$3=FALSE),"-",VLOOKUP($E650,'Status Thresholds'!$E:$AU,41,FALSE)),"-")</f>
        <v>-</v>
      </c>
      <c r="M650" s="36" t="str">
        <f>IFERROR(IF(AND($Q$1=FALSE,$S$3=FALSE),"-",VLOOKUP($E650,'Status Thresholds'!$E:$AU,42,FALSE)),"-")</f>
        <v>-</v>
      </c>
      <c r="N650" s="36" t="str">
        <f>IFERROR(IF(AND($Q$1=FALSE,$S$3=FALSE),"-",VLOOKUP($E650,'Status Thresholds'!$E:$AU,43,FALSE)),"-")</f>
        <v>-</v>
      </c>
    </row>
    <row r="651" spans="2:14" x14ac:dyDescent="0.25">
      <c r="B651" s="64" t="str">
        <f>VLOOKUP(C651,'Status Thresholds'!B:C,2,FALSE)</f>
        <v>MHGen</v>
      </c>
      <c r="C651" s="46" t="str">
        <f>IF(ISBLANK('KO Calc'!C647)=TRUE,"",'KO Calc'!C647)</f>
        <v>Royal Ludroth</v>
      </c>
      <c r="D651" s="57" t="s">
        <v>22</v>
      </c>
      <c r="E651" s="62" t="str">
        <f t="shared" si="19"/>
        <v>Royal LudrothExhaust</v>
      </c>
      <c r="F651" s="36" t="s">
        <v>8</v>
      </c>
      <c r="G651" s="36" t="str">
        <f t="shared" ref="G651:G714" si="20">C651&amp;F651</f>
        <v>Royal LudrothExhaust lvl 2</v>
      </c>
      <c r="H651" s="36" t="str">
        <f>IFERROR(ROUNDUP(IF(AND($Q$1=FALSE,$S$3=FALSE),"-",IF(AND($Q$1=TRUE,$S$3=TRUE),"-",IF(AND($Q$1=TRUE,$S$1=TRUE,$S$4=FALSE),VLOOKUP($E651,'Status Thresholds'!$E:$AS,12,FALSE),IF(AND($Q$1=TRUE,$S$4=FALSE),VLOOKUP($E651,'Status Thresholds'!$E:$AS,2,FALSE), IF(AND($Q$1=TRUE,$S$1=TRUE,$S$4=TRUE),VLOOKUP($E651,'Status Thresholds'!$E:$AS,17,FALSE),IF(AND($Q$1=TRUE,$S$4=TRUE),VLOOKUP($E651,'Status Thresholds'!$E:$AS,7,FALSE),IF(AND($S$3=TRUE,$S$1=TRUE,$S$4=FALSE),VLOOKUP($E651,'Status Thresholds'!$E:$AS,32,FALSE),IF(AND($S$3=TRUE,$S$4=FALSE),VLOOKUP($E651,'Status Thresholds'!$E:$AS,22,FALSE),IF(AND($S$3=TRUE,$S$1=TRUE,$S$4=TRUE),VLOOKUP($E651,'Status Thresholds'!$E:$AS,37,FALSE),IF(AND($S$3=TRUE,$S$4=TRUE),VLOOKUP($E651,'Status Thresholds'!$E:$AS,27,FALSE),""))))))))/IF(OR($Q$3=TRUE,AND($Q$2=TRUE,$Q$7=TRUE),AND($Q$3=TRUE,$Q$7=TRUE))=TRUE,'Shots and Status'!$F$5,IF((OR($Q$2,$Q$7)=TRUE),'Shots and Status'!$D$5,'Shots and Status'!$C$5)))),0),"-")</f>
        <v>-</v>
      </c>
      <c r="I651" s="36" t="str">
        <f>IFERROR(ROUNDUP(IF(AND($Q$1=FALSE,$S$3=FALSE),"-",IF(AND($Q$1=TRUE,$S$3=TRUE),"-",IF(AND($Q$1=TRUE,$S$1=TRUE,$S$4=FALSE),VLOOKUP($E651,'Status Thresholds'!$E:$AS,13,FALSE),IF(AND($Q$1=TRUE,$S$4=FALSE),VLOOKUP($E651,'Status Thresholds'!$E:$AS,3,FALSE), IF(AND($Q$1=TRUE,$S$1=TRUE,$S$4=TRUE),VLOOKUP($E651,'Status Thresholds'!$E:$AS,18,FALSE),IF(AND($Q$1=TRUE,$S$4=TRUE),VLOOKUP($E651,'Status Thresholds'!$E:$AS,8,FALSE),IF(AND($S$3=TRUE,$S$1=TRUE,$S$4=FALSE),VLOOKUP($E651,'Status Thresholds'!$E:$AS,33,FALSE),IF(AND($S$3=TRUE,$S$4=FALSE),VLOOKUP($E651,'Status Thresholds'!$E:$AS,23,FALSE),IF(AND($S$3=TRUE,$S$1=TRUE,$S$4=TRUE),VLOOKUP($E651,'Status Thresholds'!$E:$AS,38,FALSE),IF(AND($S$3=TRUE,$S$4=TRUE),VLOOKUP($E651,'Status Thresholds'!$E:$AS,28,FALSE),""))))))))/IF(OR($Q$3=TRUE,AND($Q$2=TRUE,$Q$7=TRUE),AND($Q$3=TRUE,$Q$7=TRUE))=TRUE,'Shots and Status'!$F$5,IF((OR($Q$2,$Q$7)=TRUE),'Shots and Status'!$D$5,'Shots and Status'!$C$5)))),0),"-")</f>
        <v>-</v>
      </c>
      <c r="J651" s="36" t="str">
        <f>IFERROR(ROUNDUP(IF(AND($Q$1=FALSE,$S$3=FALSE),"-",IF(AND($Q$1=TRUE,$S$3=TRUE),"-",IF(AND($Q$1=TRUE,$S$1=TRUE,$S$4=FALSE),VLOOKUP($E651,'Status Thresholds'!$E:$AS,14,FALSE),IF(AND($Q$1=TRUE,$S$4=FALSE),VLOOKUP($E651,'Status Thresholds'!$E:$AS,4,FALSE), IF(AND($Q$1=TRUE,$S$1=TRUE,$S$4=TRUE),VLOOKUP($E651,'Status Thresholds'!$E:$AS,19,FALSE),IF(AND($Q$1=TRUE,$S$4=TRUE),VLOOKUP($E651,'Status Thresholds'!$E:$AS,9,FALSE),IF(AND($S$3=TRUE,$S$1=TRUE,$S$4=FALSE),VLOOKUP($E651,'Status Thresholds'!$E:$AS,34,FALSE),IF(AND($S$3=TRUE,$S$4=FALSE),VLOOKUP($E651,'Status Thresholds'!$E:$AS,24,FALSE),IF(AND($S$3=TRUE,$S$1=TRUE,$S$4=TRUE),VLOOKUP($E651,'Status Thresholds'!$E:$AS,39,FALSE),IF(AND($S$3=TRUE,$S$4=TRUE),VLOOKUP($E651,'Status Thresholds'!$E:$AS,29,FALSE),""))))))))/IF(OR($Q$3=TRUE,AND($Q$2=TRUE,$Q$7=TRUE),AND($Q$3=TRUE,$Q$7=TRUE))=TRUE,'Shots and Status'!$F$5,IF((OR($Q$2,$Q$7)=TRUE),'Shots and Status'!$D$5,'Shots and Status'!$C$5)))),0),"-")</f>
        <v>-</v>
      </c>
      <c r="K651" s="36" t="str">
        <f>IFERROR(ROUNDUP(IF(AND($Q$1=FALSE,$S$3=FALSE),"-",IF(AND($Q$1=TRUE,$S$3=TRUE),"-",IF(AND($Q$1=TRUE,$S$1=TRUE,$S$4=FALSE),VLOOKUP($E651,'Status Thresholds'!$E:$AS,15,FALSE),IF(AND($Q$1=TRUE,$S$4=FALSE),VLOOKUP($E651,'Status Thresholds'!$E:$AS,5,FALSE), IF(AND($Q$1=TRUE,$S$1=TRUE,$S$4=TRUE),VLOOKUP($E651,'Status Thresholds'!$E:$AS,20,FALSE),IF(AND($Q$1=TRUE,$S$4=TRUE),VLOOKUP($E651,'Status Thresholds'!$E:$AS,10,FALSE),IF(AND($S$3=TRUE,$S$1=TRUE,$S$4=FALSE),VLOOKUP($E651,'Status Thresholds'!$E:$AS,35,FALSE),IF(AND($S$3=TRUE,$S$4=FALSE),VLOOKUP($E651,'Status Thresholds'!$E:$AS,25,FALSE),IF(AND($S$3=TRUE,$S$1=TRUE,$S$4=TRUE),VLOOKUP($E651,'Status Thresholds'!$E:$AS,40,FALSE),IF(AND($S$3=TRUE,$S$4=TRUE),VLOOKUP($E651,'Status Thresholds'!$E:$AS,30,FALSE),""))))))))/IF(OR($Q$3=TRUE,AND($Q$2=TRUE,$Q$7=TRUE),AND($Q$3=TRUE,$Q$7=TRUE))=TRUE,'Shots and Status'!$F$5,IF((OR($Q$2,$Q$7)=TRUE),'Shots and Status'!$D$5,'Shots and Status'!$C$5)))),0),"-")</f>
        <v>-</v>
      </c>
      <c r="L651" s="36" t="str">
        <f>IFERROR(IF(AND($Q$1=FALSE,$S$3=FALSE),"-",VLOOKUP($E651,'Status Thresholds'!$E:$AU,41,FALSE)),"-")</f>
        <v>-</v>
      </c>
      <c r="M651" s="36" t="str">
        <f>IFERROR(IF(AND($Q$1=FALSE,$S$3=FALSE),"-",VLOOKUP($E651,'Status Thresholds'!$E:$AU,42,FALSE)),"-")</f>
        <v>-</v>
      </c>
      <c r="N651" s="36" t="str">
        <f>IFERROR(IF(AND($Q$1=FALSE,$S$3=FALSE),"-",VLOOKUP($E651,'Status Thresholds'!$E:$AU,43,FALSE)),"-")</f>
        <v>-</v>
      </c>
    </row>
    <row r="652" spans="2:14" x14ac:dyDescent="0.25">
      <c r="B652" s="64" t="str">
        <f>VLOOKUP(C652,'Status Thresholds'!B:C,2,FALSE)</f>
        <v>MHGen</v>
      </c>
      <c r="C652" s="46" t="str">
        <f>IF(ISBLANK('KO Calc'!C648)=TRUE,"",'KO Calc'!C648)</f>
        <v>Royal Ludroth</v>
      </c>
      <c r="D652" s="67" t="s">
        <v>14</v>
      </c>
      <c r="E652" s="62" t="str">
        <f t="shared" si="19"/>
        <v>Royal LudrothKO</v>
      </c>
      <c r="F652" s="36" t="s">
        <v>21</v>
      </c>
      <c r="G652" s="36" t="str">
        <f t="shared" si="20"/>
        <v>Royal LudrothTriblast</v>
      </c>
      <c r="H652" s="36" t="str">
        <f>IF(AND($Q$1=FALSE,$S$3=FALSE),"-",IF(AND($Q$1=TRUE,$S$3=TRUE),"-",IF(AND($Q$1=FALSE,$S$3=FALSE),"-",IF(AND($Q$1=TRUE,$S$1=TRUE,$S$4=FALSE)=TRUE,IF(OR($Q$4=TRUE,$Q$5=TRUE,$S$2=TRUE),VLOOKUP($G652,'KO Calc'!$H:$AW,12,FALSE),VLOOKUP($G652,'KO Calc'!$H658:$AW658,12,FALSE)),IF(AND($Q$1=TRUE,$S$4=FALSE),IF(OR($Q$4=TRUE,$Q$5=TRUE,$S$2=TRUE),VLOOKUP($G652,'KO Calc'!$H:$AW,2,FALSE),VLOOKUP($G652,'KO Calc'!$H658:$AW658,2,FALSE)),
IF(AND($Q$1=TRUE,$S$1=TRUE,$S$4=TRUE)=TRUE,IF(OR($Q$4=TRUE,$Q$5=TRUE,$S$2=TRUE),VLOOKUP($G652,'KO Calc'!$H:$AW,17,FALSE),VLOOKUP($G652,'KO Calc'!$H658:$AW658,17,FALSE)),IF(AND($Q$1=TRUE,$S$4=TRUE),IF(OR($Q$4=TRUE,$Q$5=TRUE,$S$2=TRUE),VLOOKUP($G652,'KO Calc'!$H:$AW,7,FALSE),VLOOKUP($G652,'KO Calc'!$H658:$AW658,7,FALSE)),
IF(AND($S$3=TRUE,$S$1=TRUE,$S$4=FALSE)=TRUE,IF(OR($Q$4=TRUE,$Q$5=TRUE,$S$2=TRUE),VLOOKUP($G652,'KO Calc'!$H:$AW,32,FALSE),VLOOKUP($G652,'KO Calc'!$H658:$AW658,32,FALSE)),IF(AND($S$3=TRUE,$S$4=FALSE),IF(OR($Q$4=TRUE,$Q$5=TRUE,$S$2=TRUE),VLOOKUP($G652,'KO Calc'!$H:$AW,22,FALSE),VLOOKUP($G652,'KO Calc'!$H658:$AW658,22,FALSE)),
IF(AND($S$3=TRUE,$S$1=TRUE,$S$4=TRUE)=TRUE,IF(OR($Q$4=TRUE,$Q$5=TRUE,$S$2=TRUE),VLOOKUP($G652,'KO Calc'!$H:$AW,37,FALSE),VLOOKUP($G652,'KO Calc'!$H658:$AW658,37,FALSE)),IF(AND($S$3=TRUE,$S$4=TRUE),IF(OR($Q$4=TRUE,$Q$5=TRUE,$S$2=TRUE),VLOOKUP($G652,'KO Calc'!$H:$AW,27,FALSE),VLOOKUP($G652,'KO Calc'!$H658:$AW658,27,FALSE)))))))))))))</f>
        <v>-</v>
      </c>
      <c r="I652" s="36" t="str">
        <f>IF(AND($Q$1=FALSE,$S$3=FALSE),"-",IF(AND($Q$1=TRUE,$S$3=TRUE),"-",IF(AND($Q$1=FALSE,$S$3=FALSE),"-",IF(AND($Q$1=TRUE,$S$1=TRUE,$S$4=FALSE)=TRUE,IF(OR($Q$4=TRUE,$Q$5=TRUE,$S$2=TRUE),VLOOKUP($G652,'KO Calc'!$H:$AW,13,FALSE),VLOOKUP($G652,'KO Calc'!$H658:$AW658,13,FALSE)),IF(AND($Q$1=TRUE,$S$4=FALSE),IF(OR($Q$4=TRUE,$Q$5=TRUE,$S$2=TRUE),VLOOKUP($G652,'KO Calc'!$H:$AW,3,FALSE),VLOOKUP($G652,'KO Calc'!$H658:$AW658,3,FALSE)),
IF(AND($Q$1=TRUE,$S$1=TRUE,$S$4=TRUE)=TRUE,IF(OR($Q$4=TRUE,$Q$5=TRUE,$S$2=TRUE),VLOOKUP($G652,'KO Calc'!$H:$AW,18,FALSE),VLOOKUP($G652,'KO Calc'!$H658:$AW658,18,FALSE)),IF(AND($Q$1=TRUE,$S$4=TRUE),IF(OR($Q$4=TRUE,$Q$5=TRUE,$S$2=TRUE),VLOOKUP($G652,'KO Calc'!$H:$AW,8,FALSE),VLOOKUP($G652,'KO Calc'!$H658:$AW658,8,FALSE)),
IF(AND($S$3=TRUE,$S$1=TRUE,$S$4=FALSE)=TRUE,IF(OR($Q$4=TRUE,$Q$5=TRUE,$S$2=TRUE),VLOOKUP($G652,'KO Calc'!$H:$AW,33,FALSE),VLOOKUP($G652,'KO Calc'!$H658:$AW658,33,FALSE)),IF(AND($S$3=TRUE,$S$4=FALSE),IF(OR($Q$4=TRUE,$Q$5=TRUE,$S$2=TRUE),VLOOKUP($G652,'KO Calc'!$H:$AW,23,FALSE),VLOOKUP($G652,'KO Calc'!$H658:$AW658,23,FALSE)),
IF(AND($S$3=TRUE,$S$1=TRUE,$S$4=TRUE)=TRUE,IF(OR($Q$4=TRUE,$Q$5=TRUE,$S$2=TRUE),VLOOKUP($G652,'KO Calc'!$H:$AW,38,FALSE),VLOOKUP($G652,'KO Calc'!$H658:$AW658,38,FALSE)),IF(AND($S$3=TRUE,$S$4=TRUE),IF(OR($Q$4=TRUE,$Q$5=TRUE,$S$2=TRUE),VLOOKUP($G652,'KO Calc'!$H:$AW,28,FALSE),VLOOKUP($G652,'KO Calc'!$H658:$AW658,28,FALSE)))))))))))))</f>
        <v>-</v>
      </c>
      <c r="J652" s="36" t="str">
        <f>IF(AND($Q$1=FALSE,$S$3=FALSE),"-",IF(AND($Q$1=TRUE,$S$3=TRUE),"-",IF(AND($Q$1=FALSE,$S$3=FALSE),"-",IF(AND($Q$1=TRUE,$S$1=TRUE,$S$4=FALSE)=TRUE,IF(OR($Q$4=TRUE,$Q$5=TRUE,$S$2=TRUE),VLOOKUP($G652,'KO Calc'!$H:$AW,FALSE),VLOOKUP($G652,'KO Calc'!$H658:$AW658,14,FALSE)),IF(AND($Q$1=TRUE,$S$4=FALSE),IF(OR($Q$4=TRUE,$Q$5=TRUE,$S$2=TRUE),VLOOKUP($G652,'KO Calc'!$H:$AW,4,FALSE),VLOOKUP($G652,'KO Calc'!$H658:$AW658,4,FALSE)),
IF(AND($Q$1=TRUE,$S$1=TRUE,$S$4=TRUE)=TRUE,IF(OR($Q$4=TRUE,$Q$5=TRUE,$S$2=TRUE),VLOOKUP($G652,'KO Calc'!$H:$AW,19,FALSE),VLOOKUP($G652,'KO Calc'!$H658:$AW658,19,FALSE)),IF(AND($Q$1=TRUE,$S$4=TRUE),IF(OR($Q$4=TRUE,$Q$5=TRUE,$S$2=TRUE),VLOOKUP($G652,'KO Calc'!$H:$AW,9,FALSE),VLOOKUP($G652,'KO Calc'!$H658:$AW658,9,FALSE)),
IF(AND($S$3=TRUE,$S$1=TRUE,$S$4=FALSE)=TRUE,IF(OR($Q$4=TRUE,$Q$5=TRUE,$S$2=TRUE),VLOOKUP($G652,'KO Calc'!$H:$AW,34,FALSE),VLOOKUP($G652,'KO Calc'!$H658:$AW658,34,FALSE)),IF(AND($S$3=TRUE,$S$4=FALSE),IF(OR($Q$4=TRUE,$Q$5=TRUE,$S$2=TRUE),VLOOKUP($G652,'KO Calc'!$H:$AW,24,FALSE),VLOOKUP($G652,'KO Calc'!$H658:$AW658,24,FALSE)),
IF(AND($S$3=TRUE,$S$1=TRUE,$S$4=TRUE)=TRUE,IF(OR($Q$4=TRUE,$Q$5=TRUE,$S$2=TRUE),VLOOKUP($G652,'KO Calc'!$H:$AW,39,FALSE),VLOOKUP($G652,'KO Calc'!$H658:$AW658,39,FALSE)),IF(AND($S$3=TRUE,$S$4=TRUE),IF(OR($Q$4=TRUE,$Q$5=TRUE,$S$2=TRUE),VLOOKUP($G652,'KO Calc'!$H:$AW,29,FALSE),VLOOKUP($G652,'KO Calc'!$H658:$AW658,29,FALSE)))))))))))))</f>
        <v>-</v>
      </c>
      <c r="K652" s="36" t="str">
        <f>IF(AND($Q$1=FALSE,$S$3=FALSE),"-",IF(AND($Q$1=TRUE,$S$3=TRUE),"-",IF(AND($Q$1=FALSE,$S$3=FALSE),"-",IF(AND($Q$1=TRUE,$S$1=TRUE,$S$4=FALSE)=TRUE,IF(OR($Q$4=TRUE,$Q$5=TRUE,$S$2=TRUE),VLOOKUP($G652,'KO Calc'!$H:$AW,15,FALSE),VLOOKUP($G652,'KO Calc'!$H658:$AW658,15,FALSE)),IF(AND($Q$1=TRUE,$S$4=FALSE),IF(OR($Q$4=TRUE,$Q$5=TRUE,$S$2=TRUE),VLOOKUP($G652,'KO Calc'!$H:$AW,5,FALSE),VLOOKUP($G652,'KO Calc'!$H658:$AW658,5,FALSE)),
IF(AND($Q$1=TRUE,$S$1=TRUE,$S$4=TRUE)=TRUE,IF(OR($Q$4=TRUE,$Q$5=TRUE,$S$2=TRUE),VLOOKUP($G652,'KO Calc'!$H:$AW,20,FALSE),VLOOKUP($G652,'KO Calc'!$H658:$AW658,20,FALSE)),IF(AND($Q$1=TRUE,$S$4=TRUE),IF(OR($Q$4=TRUE,$Q$5=TRUE,$S$2=TRUE),VLOOKUP($G652,'KO Calc'!$H:$AW,10,FALSE),VLOOKUP($G652,'KO Calc'!$H658:$AW658,10,FALSE)),
IF(AND($S$3=TRUE,$S$1=TRUE,$S$4=FALSE)=TRUE,IF(OR($Q$4=TRUE,$Q$5=TRUE,$S$2=TRUE),VLOOKUP($G652,'KO Calc'!$H:$AW,35,FALSE),VLOOKUP($G652,'KO Calc'!$H658:$AW658,35,FALSE)),IF(AND($S$3=TRUE,$S$4=FALSE),IF(OR($Q$4=TRUE,$Q$5=TRUE,$S$2=TRUE),VLOOKUP($G652,'KO Calc'!$H:$AW,25,FALSE),VLOOKUP($G652,'KO Calc'!$H658:$AW658,25,FALSE)),
IF(AND($S$3=TRUE,$S$1=TRUE,$S$4=TRUE)=TRUE,IF(OR($Q$4=TRUE,$Q$5=TRUE,$S$2=TRUE),VLOOKUP($G652,'KO Calc'!$H:$AW,40,FALSE),VLOOKUP($G652,'KO Calc'!$H658:$AW658,40,FALSE)),IF(AND($S$3=TRUE,$S$4=TRUE),IF(OR($Q$4=TRUE,$Q$5=TRUE,$S$2=TRUE),VLOOKUP($G652,'KO Calc'!$H:$AW,30,FALSE),VLOOKUP($G652,'KO Calc'!$H658:$AW658,30,FALSE)))))))))))))</f>
        <v>-</v>
      </c>
      <c r="L652" s="36" t="str">
        <f>IFERROR(IF(AND($Q$1=FALSE,$S$3=FALSE),"-",VLOOKUP($E652,'Status Thresholds'!$E:$AU,41,FALSE)),"-")</f>
        <v>-</v>
      </c>
      <c r="M652" s="36" t="str">
        <f>IFERROR(IF(AND($Q$1=FALSE,$S$3=FALSE),"-",VLOOKUP($E652,'Status Thresholds'!$E:$AU,42,FALSE)),"-")</f>
        <v>-</v>
      </c>
      <c r="N652" s="36" t="str">
        <f>IFERROR(IF(AND($Q$1=FALSE,$S$3=FALSE),"-",VLOOKUP($E652,'Status Thresholds'!$E:$AU,43,FALSE)),"-")</f>
        <v>-</v>
      </c>
    </row>
    <row r="653" spans="2:14" x14ac:dyDescent="0.25">
      <c r="B653" s="64" t="str">
        <f>VLOOKUP(C653,'Status Thresholds'!B:C,2,FALSE)</f>
        <v>MHGen</v>
      </c>
      <c r="C653" s="46" t="str">
        <f>IF(ISBLANK('KO Calc'!C649)=TRUE,"",'KO Calc'!C649)</f>
        <v>Royal Ludroth</v>
      </c>
      <c r="D653" s="78" t="s">
        <v>207</v>
      </c>
      <c r="E653" s="62" t="str">
        <f t="shared" si="19"/>
        <v>Royal LudrothShock Trap</v>
      </c>
      <c r="F653" t="s">
        <v>13</v>
      </c>
      <c r="G653" s="36" t="str">
        <f t="shared" si="20"/>
        <v>Royal LudrothCrag 3</v>
      </c>
      <c r="H653" s="36" t="str">
        <f>IF(AND($Q$1=FALSE,$S$3=FALSE),"-",IF(AND($Q$1=TRUE,$S$3=TRUE),"-",IF(AND($Q$1=FALSE,$S$3=FALSE),"-",IF(AND($Q$1=TRUE,$S$1=TRUE,$S$4=FALSE)=TRUE,IF(OR($Q$4=TRUE,$Q$5=TRUE,$S$2=TRUE),VLOOKUP($G653,'KO Calc'!$H:$AW,12,FALSE),VLOOKUP($G653,'KO Calc'!$H659:$AW659,12,FALSE)),IF(AND($Q$1=TRUE,$S$4=FALSE),IF(OR($Q$4=TRUE,$Q$5=TRUE,$S$2=TRUE),VLOOKUP($G653,'KO Calc'!$H:$AW,2,FALSE),VLOOKUP($G653,'KO Calc'!$H659:$AW659,2,FALSE)),
IF(AND($Q$1=TRUE,$S$1=TRUE,$S$4=TRUE)=TRUE,IF(OR($Q$4=TRUE,$Q$5=TRUE,$S$2=TRUE),VLOOKUP($G653,'KO Calc'!$H:$AW,17,FALSE),VLOOKUP($G653,'KO Calc'!$H659:$AW659,17,FALSE)),IF(AND($Q$1=TRUE,$S$4=TRUE),IF(OR($Q$4=TRUE,$Q$5=TRUE,$S$2=TRUE),VLOOKUP($G653,'KO Calc'!$H:$AW,7,FALSE),VLOOKUP($G653,'KO Calc'!$H659:$AW659,7,FALSE)),
IF(AND($S$3=TRUE,$S$1=TRUE,$S$4=FALSE)=TRUE,IF(OR($Q$4=TRUE,$Q$5=TRUE,$S$2=TRUE),VLOOKUP($G653,'KO Calc'!$H:$AW,32,FALSE),VLOOKUP($G653,'KO Calc'!$H659:$AW659,32,FALSE)),IF(AND($S$3=TRUE,$S$4=FALSE),IF(OR($Q$4=TRUE,$Q$5=TRUE,$S$2=TRUE),VLOOKUP($G653,'KO Calc'!$H:$AW,22,FALSE),VLOOKUP($G653,'KO Calc'!$H659:$AW659,22,FALSE)),
IF(AND($S$3=TRUE,$S$1=TRUE,$S$4=TRUE)=TRUE,IF(OR($Q$4=TRUE,$Q$5=TRUE,$S$2=TRUE),VLOOKUP($G653,'KO Calc'!$H:$AW,37,FALSE),VLOOKUP($G653,'KO Calc'!$H659:$AW659,37,FALSE)),IF(AND($S$3=TRUE,$S$4=TRUE),IF(OR($Q$4=TRUE,$Q$5=TRUE,$S$2=TRUE),VLOOKUP($G653,'KO Calc'!$H:$AW,27,FALSE),VLOOKUP($G653,'KO Calc'!$H659:$AW659,27,FALSE)))))))))))))</f>
        <v>-</v>
      </c>
      <c r="I653" s="36" t="str">
        <f>IF(AND($Q$1=FALSE,$S$3=FALSE),"-",IF(AND($Q$1=TRUE,$S$3=TRUE),"-",IF(AND($Q$1=FALSE,$S$3=FALSE),"-",IF(AND($Q$1=TRUE,$S$1=TRUE,$S$4=FALSE)=TRUE,IF(OR($Q$4=TRUE,$Q$5=TRUE,$S$2=TRUE),VLOOKUP($G653,'KO Calc'!$H:$AW,13,FALSE),VLOOKUP($G653,'KO Calc'!$H659:$AW659,13,FALSE)),IF(AND($Q$1=TRUE,$S$4=FALSE),IF(OR($Q$4=TRUE,$Q$5=TRUE,$S$2=TRUE),VLOOKUP($G653,'KO Calc'!$H:$AW,3,FALSE),VLOOKUP($G653,'KO Calc'!$H659:$AW659,3,FALSE)),
IF(AND($Q$1=TRUE,$S$1=TRUE,$S$4=TRUE)=TRUE,IF(OR($Q$4=TRUE,$Q$5=TRUE,$S$2=TRUE),VLOOKUP($G653,'KO Calc'!$H:$AW,18,FALSE),VLOOKUP($G653,'KO Calc'!$H659:$AW659,18,FALSE)),IF(AND($Q$1=TRUE,$S$4=TRUE),IF(OR($Q$4=TRUE,$Q$5=TRUE,$S$2=TRUE),VLOOKUP($G653,'KO Calc'!$H:$AW,8,FALSE),VLOOKUP($G653,'KO Calc'!$H659:$AW659,8,FALSE)),
IF(AND($S$3=TRUE,$S$1=TRUE,$S$4=FALSE)=TRUE,IF(OR($Q$4=TRUE,$Q$5=TRUE,$S$2=TRUE),VLOOKUP($G653,'KO Calc'!$H:$AW,33,FALSE),VLOOKUP($G653,'KO Calc'!$H659:$AW659,33,FALSE)),IF(AND($S$3=TRUE,$S$4=FALSE),IF(OR($Q$4=TRUE,$Q$5=TRUE,$S$2=TRUE),VLOOKUP($G653,'KO Calc'!$H:$AW,23,FALSE),VLOOKUP($G653,'KO Calc'!$H659:$AW659,23,FALSE)),
IF(AND($S$3=TRUE,$S$1=TRUE,$S$4=TRUE)=TRUE,IF(OR($Q$4=TRUE,$Q$5=TRUE,$S$2=TRUE),VLOOKUP($G653,'KO Calc'!$H:$AW,38,FALSE),VLOOKUP($G653,'KO Calc'!$H659:$AW659,38,FALSE)),IF(AND($S$3=TRUE,$S$4=TRUE),IF(OR($Q$4=TRUE,$Q$5=TRUE,$S$2=TRUE),VLOOKUP($G653,'KO Calc'!$H:$AW,28,FALSE),VLOOKUP($G653,'KO Calc'!$H659:$AW659,28,FALSE)))))))))))))</f>
        <v>-</v>
      </c>
      <c r="J653" s="36" t="str">
        <f>IF(AND($Q$1=FALSE,$S$3=FALSE),"-",IF(AND($Q$1=TRUE,$S$3=TRUE),"-",IF(AND($Q$1=FALSE,$S$3=FALSE),"-",IF(AND($Q$1=TRUE,$S$1=TRUE,$S$4=FALSE)=TRUE,IF(OR($Q$4=TRUE,$Q$5=TRUE,$S$2=TRUE),VLOOKUP($G653,'KO Calc'!$H:$AW,FALSE),VLOOKUP($G653,'KO Calc'!$H659:$AW659,14,FALSE)),IF(AND($Q$1=TRUE,$S$4=FALSE),IF(OR($Q$4=TRUE,$Q$5=TRUE,$S$2=TRUE),VLOOKUP($G653,'KO Calc'!$H:$AW,4,FALSE),VLOOKUP($G653,'KO Calc'!$H659:$AW659,4,FALSE)),
IF(AND($Q$1=TRUE,$S$1=TRUE,$S$4=TRUE)=TRUE,IF(OR($Q$4=TRUE,$Q$5=TRUE,$S$2=TRUE),VLOOKUP($G653,'KO Calc'!$H:$AW,19,FALSE),VLOOKUP($G653,'KO Calc'!$H659:$AW659,19,FALSE)),IF(AND($Q$1=TRUE,$S$4=TRUE),IF(OR($Q$4=TRUE,$Q$5=TRUE,$S$2=TRUE),VLOOKUP($G653,'KO Calc'!$H:$AW,9,FALSE),VLOOKUP($G653,'KO Calc'!$H659:$AW659,9,FALSE)),
IF(AND($S$3=TRUE,$S$1=TRUE,$S$4=FALSE)=TRUE,IF(OR($Q$4=TRUE,$Q$5=TRUE,$S$2=TRUE),VLOOKUP($G653,'KO Calc'!$H:$AW,34,FALSE),VLOOKUP($G653,'KO Calc'!$H659:$AW659,34,FALSE)),IF(AND($S$3=TRUE,$S$4=FALSE),IF(OR($Q$4=TRUE,$Q$5=TRUE,$S$2=TRUE),VLOOKUP($G653,'KO Calc'!$H:$AW,24,FALSE),VLOOKUP($G653,'KO Calc'!$H659:$AW659,24,FALSE)),
IF(AND($S$3=TRUE,$S$1=TRUE,$S$4=TRUE)=TRUE,IF(OR($Q$4=TRUE,$Q$5=TRUE,$S$2=TRUE),VLOOKUP($G653,'KO Calc'!$H:$AW,39,FALSE),VLOOKUP($G653,'KO Calc'!$H659:$AW659,39,FALSE)),IF(AND($S$3=TRUE,$S$4=TRUE),IF(OR($Q$4=TRUE,$Q$5=TRUE,$S$2=TRUE),VLOOKUP($G653,'KO Calc'!$H:$AW,29,FALSE),VLOOKUP($G653,'KO Calc'!$H659:$AW659,29,FALSE)))))))))))))</f>
        <v>-</v>
      </c>
      <c r="K653" s="36" t="str">
        <f>IF(AND($Q$1=FALSE,$S$3=FALSE),"-",IF(AND($Q$1=TRUE,$S$3=TRUE),"-",IF(AND($Q$1=FALSE,$S$3=FALSE),"-",IF(AND($Q$1=TRUE,$S$1=TRUE,$S$4=FALSE)=TRUE,IF(OR($Q$4=TRUE,$Q$5=TRUE,$S$2=TRUE),VLOOKUP($G653,'KO Calc'!$H:$AW,15,FALSE),VLOOKUP($G653,'KO Calc'!$H659:$AW659,15,FALSE)),IF(AND($Q$1=TRUE,$S$4=FALSE),IF(OR($Q$4=TRUE,$Q$5=TRUE,$S$2=TRUE),VLOOKUP($G653,'KO Calc'!$H:$AW,5,FALSE),VLOOKUP($G653,'KO Calc'!$H659:$AW659,5,FALSE)),
IF(AND($Q$1=TRUE,$S$1=TRUE,$S$4=TRUE)=TRUE,IF(OR($Q$4=TRUE,$Q$5=TRUE,$S$2=TRUE),VLOOKUP($G653,'KO Calc'!$H:$AW,20,FALSE),VLOOKUP($G653,'KO Calc'!$H659:$AW659,20,FALSE)),IF(AND($Q$1=TRUE,$S$4=TRUE),IF(OR($Q$4=TRUE,$Q$5=TRUE,$S$2=TRUE),VLOOKUP($G653,'KO Calc'!$H:$AW,10,FALSE),VLOOKUP($G653,'KO Calc'!$H659:$AW659,10,FALSE)),
IF(AND($S$3=TRUE,$S$1=TRUE,$S$4=FALSE)=TRUE,IF(OR($Q$4=TRUE,$Q$5=TRUE,$S$2=TRUE),VLOOKUP($G653,'KO Calc'!$H:$AW,35,FALSE),VLOOKUP($G653,'KO Calc'!$H659:$AW659,35,FALSE)),IF(AND($S$3=TRUE,$S$4=FALSE),IF(OR($Q$4=TRUE,$Q$5=TRUE,$S$2=TRUE),VLOOKUP($G653,'KO Calc'!$H:$AW,25,FALSE),VLOOKUP($G653,'KO Calc'!$H659:$AW659,25,FALSE)),
IF(AND($S$3=TRUE,$S$1=TRUE,$S$4=TRUE)=TRUE,IF(OR($Q$4=TRUE,$Q$5=TRUE,$S$2=TRUE),VLOOKUP($G653,'KO Calc'!$H:$AW,40,FALSE),VLOOKUP($G653,'KO Calc'!$H659:$AW659,40,FALSE)),IF(AND($S$3=TRUE,$S$4=TRUE),IF(OR($Q$4=TRUE,$Q$5=TRUE,$S$2=TRUE),VLOOKUP($G653,'KO Calc'!$H:$AW,30,FALSE),VLOOKUP($G653,'KO Calc'!$H659:$AW659,30,FALSE)))))))))))))</f>
        <v>-</v>
      </c>
      <c r="L653" s="36" t="str">
        <f>IFERROR(IF(AND($Q$1=FALSE,$S$3=FALSE),"-",VLOOKUP($E653,'Status Thresholds'!$E:$AU,43,FALSE)),"-")</f>
        <v>-</v>
      </c>
      <c r="M653" s="36" t="str">
        <f>IFERROR(IF(AND($Q$1=FALSE,$S$3=FALSE),"-",VLOOKUP($E653,'Status Thresholds'!$E:$AU,41,FALSE)),"-")</f>
        <v>-</v>
      </c>
      <c r="N653" s="36" t="str">
        <f>IFERROR(IF(AND($Q$1=FALSE,$S$3=FALSE),"-",VLOOKUP($E653,'Status Thresholds'!$E:$AU,42,FALSE)),"-")</f>
        <v>-</v>
      </c>
    </row>
    <row r="654" spans="2:14" x14ac:dyDescent="0.25">
      <c r="B654" s="64" t="str">
        <f>VLOOKUP(C654,'Status Thresholds'!B:C,2,FALSE)</f>
        <v>MHGen</v>
      </c>
      <c r="C654" s="46" t="str">
        <f>IF(ISBLANK('KO Calc'!C650)=TRUE,"",'KO Calc'!C650)</f>
        <v>Royal Ludroth</v>
      </c>
      <c r="D654" s="78" t="s">
        <v>213</v>
      </c>
      <c r="E654" s="62" t="str">
        <f t="shared" si="19"/>
        <v>Royal LudrothPitfall Trap</v>
      </c>
      <c r="F654" t="s">
        <v>12</v>
      </c>
      <c r="G654" s="36" t="str">
        <f t="shared" si="20"/>
        <v>Royal LudrothCrag 2</v>
      </c>
      <c r="H654" s="36" t="str">
        <f>IF(AND($Q$1=FALSE,$S$3=FALSE),"-",IF(AND($Q$1=TRUE,$S$3=TRUE),"-",IF(AND($Q$1=FALSE,$S$3=FALSE),"-",IF(AND($Q$1=TRUE,$S$1=TRUE,$S$4=FALSE)=TRUE,IF(OR($Q$4=TRUE,$Q$5=TRUE,$S$2=TRUE),VLOOKUP($G654,'KO Calc'!$H:$AW,12,FALSE),VLOOKUP($G654,'KO Calc'!$H660:$AW660,12,FALSE)),IF(AND($Q$1=TRUE,$S$4=FALSE),IF(OR($Q$4=TRUE,$Q$5=TRUE,$S$2=TRUE),VLOOKUP($G654,'KO Calc'!$H:$AW,2,FALSE),VLOOKUP($G654,'KO Calc'!$H660:$AW660,2,FALSE)),
IF(AND($Q$1=TRUE,$S$1=TRUE,$S$4=TRUE)=TRUE,IF(OR($Q$4=TRUE,$Q$5=TRUE,$S$2=TRUE),VLOOKUP($G654,'KO Calc'!$H:$AW,17,FALSE),VLOOKUP($G654,'KO Calc'!$H660:$AW660,17,FALSE)),IF(AND($Q$1=TRUE,$S$4=TRUE),IF(OR($Q$4=TRUE,$Q$5=TRUE,$S$2=TRUE),VLOOKUP($G654,'KO Calc'!$H:$AW,7,FALSE),VLOOKUP($G654,'KO Calc'!$H660:$AW660,7,FALSE)),
IF(AND($S$3=TRUE,$S$1=TRUE,$S$4=FALSE)=TRUE,IF(OR($Q$4=TRUE,$Q$5=TRUE,$S$2=TRUE),VLOOKUP($G654,'KO Calc'!$H:$AW,32,FALSE),VLOOKUP($G654,'KO Calc'!$H660:$AW660,32,FALSE)),IF(AND($S$3=TRUE,$S$4=FALSE),IF(OR($Q$4=TRUE,$Q$5=TRUE,$S$2=TRUE),VLOOKUP($G654,'KO Calc'!$H:$AW,22,FALSE),VLOOKUP($G654,'KO Calc'!$H660:$AW660,22,FALSE)),
IF(AND($S$3=TRUE,$S$1=TRUE,$S$4=TRUE)=TRUE,IF(OR($Q$4=TRUE,$Q$5=TRUE,$S$2=TRUE),VLOOKUP($G654,'KO Calc'!$H:$AW,37,FALSE),VLOOKUP($G654,'KO Calc'!$H660:$AW660,37,FALSE)),IF(AND($S$3=TRUE,$S$4=TRUE),IF(OR($Q$4=TRUE,$Q$5=TRUE,$S$2=TRUE),VLOOKUP($G654,'KO Calc'!$H:$AW,27,FALSE),VLOOKUP($G654,'KO Calc'!$H660:$AW660,27,FALSE)))))))))))))</f>
        <v>-</v>
      </c>
      <c r="I654" s="36" t="str">
        <f>IF(AND($Q$1=FALSE,$S$3=FALSE),"-",IF(AND($Q$1=TRUE,$S$3=TRUE),"-",IF(AND($Q$1=FALSE,$S$3=FALSE),"-",IF(AND($Q$1=TRUE,$S$1=TRUE,$S$4=FALSE)=TRUE,IF(OR($Q$4=TRUE,$Q$5=TRUE,$S$2=TRUE),VLOOKUP($G654,'KO Calc'!$H:$AW,13,FALSE),VLOOKUP($G654,'KO Calc'!$H660:$AW660,13,FALSE)),IF(AND($Q$1=TRUE,$S$4=FALSE),IF(OR($Q$4=TRUE,$Q$5=TRUE,$S$2=TRUE),VLOOKUP($G654,'KO Calc'!$H:$AW,3,FALSE),VLOOKUP($G654,'KO Calc'!$H660:$AW660,3,FALSE)),
IF(AND($Q$1=TRUE,$S$1=TRUE,$S$4=TRUE)=TRUE,IF(OR($Q$4=TRUE,$Q$5=TRUE,$S$2=TRUE),VLOOKUP($G654,'KO Calc'!$H:$AW,18,FALSE),VLOOKUP($G654,'KO Calc'!$H660:$AW660,18,FALSE)),IF(AND($Q$1=TRUE,$S$4=TRUE),IF(OR($Q$4=TRUE,$Q$5=TRUE,$S$2=TRUE),VLOOKUP($G654,'KO Calc'!$H:$AW,8,FALSE),VLOOKUP($G654,'KO Calc'!$H660:$AW660,8,FALSE)),
IF(AND($S$3=TRUE,$S$1=TRUE,$S$4=FALSE)=TRUE,IF(OR($Q$4=TRUE,$Q$5=TRUE,$S$2=TRUE),VLOOKUP($G654,'KO Calc'!$H:$AW,33,FALSE),VLOOKUP($G654,'KO Calc'!$H660:$AW660,33,FALSE)),IF(AND($S$3=TRUE,$S$4=FALSE),IF(OR($Q$4=TRUE,$Q$5=TRUE,$S$2=TRUE),VLOOKUP($G654,'KO Calc'!$H:$AW,23,FALSE),VLOOKUP($G654,'KO Calc'!$H660:$AW660,23,FALSE)),
IF(AND($S$3=TRUE,$S$1=TRUE,$S$4=TRUE)=TRUE,IF(OR($Q$4=TRUE,$Q$5=TRUE,$S$2=TRUE),VLOOKUP($G654,'KO Calc'!$H:$AW,38,FALSE),VLOOKUP($G654,'KO Calc'!$H660:$AW660,38,FALSE)),IF(AND($S$3=TRUE,$S$4=TRUE),IF(OR($Q$4=TRUE,$Q$5=TRUE,$S$2=TRUE),VLOOKUP($G654,'KO Calc'!$H:$AW,28,FALSE),VLOOKUP($G654,'KO Calc'!$H660:$AW660,28,FALSE)))))))))))))</f>
        <v>-</v>
      </c>
      <c r="J654" s="36" t="str">
        <f>IF(AND($Q$1=FALSE,$S$3=FALSE),"-",IF(AND($Q$1=TRUE,$S$3=TRUE),"-",IF(AND($Q$1=FALSE,$S$3=FALSE),"-",IF(AND($Q$1=TRUE,$S$1=TRUE,$S$4=FALSE)=TRUE,IF(OR($Q$4=TRUE,$Q$5=TRUE,$S$2=TRUE),VLOOKUP($G654,'KO Calc'!$H:$AW,FALSE),VLOOKUP($G654,'KO Calc'!$H660:$AW660,14,FALSE)),IF(AND($Q$1=TRUE,$S$4=FALSE),IF(OR($Q$4=TRUE,$Q$5=TRUE,$S$2=TRUE),VLOOKUP($G654,'KO Calc'!$H:$AW,4,FALSE),VLOOKUP($G654,'KO Calc'!$H660:$AW660,4,FALSE)),
IF(AND($Q$1=TRUE,$S$1=TRUE,$S$4=TRUE)=TRUE,IF(OR($Q$4=TRUE,$Q$5=TRUE,$S$2=TRUE),VLOOKUP($G654,'KO Calc'!$H:$AW,19,FALSE),VLOOKUP($G654,'KO Calc'!$H660:$AW660,19,FALSE)),IF(AND($Q$1=TRUE,$S$4=TRUE),IF(OR($Q$4=TRUE,$Q$5=TRUE,$S$2=TRUE),VLOOKUP($G654,'KO Calc'!$H:$AW,9,FALSE),VLOOKUP($G654,'KO Calc'!$H660:$AW660,9,FALSE)),
IF(AND($S$3=TRUE,$S$1=TRUE,$S$4=FALSE)=TRUE,IF(OR($Q$4=TRUE,$Q$5=TRUE,$S$2=TRUE),VLOOKUP($G654,'KO Calc'!$H:$AW,34,FALSE),VLOOKUP($G654,'KO Calc'!$H660:$AW660,34,FALSE)),IF(AND($S$3=TRUE,$S$4=FALSE),IF(OR($Q$4=TRUE,$Q$5=TRUE,$S$2=TRUE),VLOOKUP($G654,'KO Calc'!$H:$AW,24,FALSE),VLOOKUP($G654,'KO Calc'!$H660:$AW660,24,FALSE)),
IF(AND($S$3=TRUE,$S$1=TRUE,$S$4=TRUE)=TRUE,IF(OR($Q$4=TRUE,$Q$5=TRUE,$S$2=TRUE),VLOOKUP($G654,'KO Calc'!$H:$AW,39,FALSE),VLOOKUP($G654,'KO Calc'!$H660:$AW660,39,FALSE)),IF(AND($S$3=TRUE,$S$4=TRUE),IF(OR($Q$4=TRUE,$Q$5=TRUE,$S$2=TRUE),VLOOKUP($G654,'KO Calc'!$H:$AW,29,FALSE),VLOOKUP($G654,'KO Calc'!$H660:$AW660,29,FALSE)))))))))))))</f>
        <v>-</v>
      </c>
      <c r="K654" s="36" t="str">
        <f>IF(AND($Q$1=FALSE,$S$3=FALSE),"-",IF(AND($Q$1=TRUE,$S$3=TRUE),"-",IF(AND($Q$1=FALSE,$S$3=FALSE),"-",IF(AND($Q$1=TRUE,$S$1=TRUE,$S$4=FALSE)=TRUE,IF(OR($Q$4=TRUE,$Q$5=TRUE,$S$2=TRUE),VLOOKUP($G654,'KO Calc'!$H:$AW,15,FALSE),VLOOKUP($G654,'KO Calc'!$H660:$AW660,15,FALSE)),IF(AND($Q$1=TRUE,$S$4=FALSE),IF(OR($Q$4=TRUE,$Q$5=TRUE,$S$2=TRUE),VLOOKUP($G654,'KO Calc'!$H:$AW,5,FALSE),VLOOKUP($G654,'KO Calc'!$H660:$AW660,5,FALSE)),
IF(AND($Q$1=TRUE,$S$1=TRUE,$S$4=TRUE)=TRUE,IF(OR($Q$4=TRUE,$Q$5=TRUE,$S$2=TRUE),VLOOKUP($G654,'KO Calc'!$H:$AW,20,FALSE),VLOOKUP($G654,'KO Calc'!$H660:$AW660,20,FALSE)),IF(AND($Q$1=TRUE,$S$4=TRUE),IF(OR($Q$4=TRUE,$Q$5=TRUE,$S$2=TRUE),VLOOKUP($G654,'KO Calc'!$H:$AW,10,FALSE),VLOOKUP($G654,'KO Calc'!$H660:$AW660,10,FALSE)),
IF(AND($S$3=TRUE,$S$1=TRUE,$S$4=FALSE)=TRUE,IF(OR($Q$4=TRUE,$Q$5=TRUE,$S$2=TRUE),VLOOKUP($G654,'KO Calc'!$H:$AW,35,FALSE),VLOOKUP($G654,'KO Calc'!$H660:$AW660,35,FALSE)),IF(AND($S$3=TRUE,$S$4=FALSE),IF(OR($Q$4=TRUE,$Q$5=TRUE,$S$2=TRUE),VLOOKUP($G654,'KO Calc'!$H:$AW,25,FALSE),VLOOKUP($G654,'KO Calc'!$H660:$AW660,25,FALSE)),
IF(AND($S$3=TRUE,$S$1=TRUE,$S$4=TRUE)=TRUE,IF(OR($Q$4=TRUE,$Q$5=TRUE,$S$2=TRUE),VLOOKUP($G654,'KO Calc'!$H:$AW,40,FALSE),VLOOKUP($G654,'KO Calc'!$H660:$AW660,40,FALSE)),IF(AND($S$3=TRUE,$S$4=TRUE),IF(OR($Q$4=TRUE,$Q$5=TRUE,$S$2=TRUE),VLOOKUP($G654,'KO Calc'!$H:$AW,30,FALSE),VLOOKUP($G654,'KO Calc'!$H660:$AW660,30,FALSE)))))))))))))</f>
        <v>-</v>
      </c>
      <c r="L654" s="36" t="str">
        <f>IFERROR(IF(AND($Q$1=FALSE,$S$3=FALSE),"-",VLOOKUP($E654,'Status Thresholds'!$E:$AU,43,FALSE)),"-")</f>
        <v>-</v>
      </c>
      <c r="M654" s="36" t="str">
        <f>IFERROR(IF(AND($Q$1=FALSE,$S$3=FALSE),"-",VLOOKUP($E654,'Status Thresholds'!$E:$AU,41,FALSE)),"-")</f>
        <v>-</v>
      </c>
      <c r="N654" s="36" t="str">
        <f>IFERROR(IF(AND($Q$1=FALSE,$S$3=FALSE),"-",VLOOKUP($E654,'Status Thresholds'!$E:$AU,42,FALSE)),"-")</f>
        <v>-</v>
      </c>
    </row>
    <row r="655" spans="2:14" x14ac:dyDescent="0.25">
      <c r="B655" s="64" t="str">
        <f>VLOOKUP(C655,'Status Thresholds'!B:C,2,FALSE)</f>
        <v>MHGen</v>
      </c>
      <c r="C655" s="46" t="str">
        <f>IF(ISBLANK('KO Calc'!C651)=TRUE,"",'KO Calc'!C651)</f>
        <v>Royal Ludroth</v>
      </c>
      <c r="D655" s="78"/>
      <c r="E655" s="62" t="str">
        <f t="shared" si="19"/>
        <v>Royal Ludroth</v>
      </c>
      <c r="F655" t="s">
        <v>11</v>
      </c>
      <c r="G655" s="36" t="str">
        <f t="shared" si="20"/>
        <v>Royal LudrothCrag 1</v>
      </c>
      <c r="H655" s="36" t="str">
        <f>IF(AND($Q$1=FALSE,$S$3=FALSE),"-",IF(AND($Q$1=TRUE,$S$3=TRUE),"-",IF(AND($Q$1=FALSE,$S$3=FALSE),"-",IF(AND($Q$1=TRUE,$S$1=TRUE,$S$4=FALSE)=TRUE,IF(OR($Q$4=TRUE,$Q$5=TRUE,$S$2=TRUE),VLOOKUP($G655,'KO Calc'!$H:$AW,12,FALSE),VLOOKUP($G655,'KO Calc'!$H661:$AW661,12,FALSE)),IF(AND($Q$1=TRUE,$S$4=FALSE),IF(OR($Q$4=TRUE,$Q$5=TRUE,$S$2=TRUE),VLOOKUP($G655,'KO Calc'!$H:$AW,2,FALSE),VLOOKUP($G655,'KO Calc'!$H661:$AW661,2,FALSE)),
IF(AND($Q$1=TRUE,$S$1=TRUE,$S$4=TRUE)=TRUE,IF(OR($Q$4=TRUE,$Q$5=TRUE,$S$2=TRUE),VLOOKUP($G655,'KO Calc'!$H:$AW,17,FALSE),VLOOKUP($G655,'KO Calc'!$H661:$AW661,17,FALSE)),IF(AND($Q$1=TRUE,$S$4=TRUE),IF(OR($Q$4=TRUE,$Q$5=TRUE,$S$2=TRUE),VLOOKUP($G655,'KO Calc'!$H:$AW,7,FALSE),VLOOKUP($G655,'KO Calc'!$H661:$AW661,7,FALSE)),
IF(AND($S$3=TRUE,$S$1=TRUE,$S$4=FALSE)=TRUE,IF(OR($Q$4=TRUE,$Q$5=TRUE,$S$2=TRUE),VLOOKUP($G655,'KO Calc'!$H:$AW,32,FALSE),VLOOKUP($G655,'KO Calc'!$H661:$AW661,32,FALSE)),IF(AND($S$3=TRUE,$S$4=FALSE),IF(OR($Q$4=TRUE,$Q$5=TRUE,$S$2=TRUE),VLOOKUP($G655,'KO Calc'!$H:$AW,22,FALSE),VLOOKUP($G655,'KO Calc'!$H661:$AW661,22,FALSE)),
IF(AND($S$3=TRUE,$S$1=TRUE,$S$4=TRUE)=TRUE,IF(OR($Q$4=TRUE,$Q$5=TRUE,$S$2=TRUE),VLOOKUP($G655,'KO Calc'!$H:$AW,37,FALSE),VLOOKUP($G655,'KO Calc'!$H661:$AW661,37,FALSE)),IF(AND($S$3=TRUE,$S$4=TRUE),IF(OR($Q$4=TRUE,$Q$5=TRUE,$S$2=TRUE),VLOOKUP($G655,'KO Calc'!$H:$AW,27,FALSE),VLOOKUP($G655,'KO Calc'!$H661:$AW661,27,FALSE)))))))))))))</f>
        <v>-</v>
      </c>
      <c r="I655" s="36" t="str">
        <f>IF(AND($Q$1=FALSE,$S$3=FALSE),"-",IF(AND($Q$1=TRUE,$S$3=TRUE),"-",IF(AND($Q$1=FALSE,$S$3=FALSE),"-",IF(AND($Q$1=TRUE,$S$1=TRUE,$S$4=FALSE)=TRUE,IF(OR($Q$4=TRUE,$Q$5=TRUE,$S$2=TRUE),VLOOKUP($G655,'KO Calc'!$H:$AW,13,FALSE),VLOOKUP($G655,'KO Calc'!$H661:$AW661,13,FALSE)),IF(AND($Q$1=TRUE,$S$4=FALSE),IF(OR($Q$4=TRUE,$Q$5=TRUE,$S$2=TRUE),VLOOKUP($G655,'KO Calc'!$H:$AW,3,FALSE),VLOOKUP($G655,'KO Calc'!$H661:$AW661,3,FALSE)),
IF(AND($Q$1=TRUE,$S$1=TRUE,$S$4=TRUE)=TRUE,IF(OR($Q$4=TRUE,$Q$5=TRUE,$S$2=TRUE),VLOOKUP($G655,'KO Calc'!$H:$AW,18,FALSE),VLOOKUP($G655,'KO Calc'!$H661:$AW661,18,FALSE)),IF(AND($Q$1=TRUE,$S$4=TRUE),IF(OR($Q$4=TRUE,$Q$5=TRUE,$S$2=TRUE),VLOOKUP($G655,'KO Calc'!$H:$AW,8,FALSE),VLOOKUP($G655,'KO Calc'!$H661:$AW661,8,FALSE)),
IF(AND($S$3=TRUE,$S$1=TRUE,$S$4=FALSE)=TRUE,IF(OR($Q$4=TRUE,$Q$5=TRUE,$S$2=TRUE),VLOOKUP($G655,'KO Calc'!$H:$AW,33,FALSE),VLOOKUP($G655,'KO Calc'!$H661:$AW661,33,FALSE)),IF(AND($S$3=TRUE,$S$4=FALSE),IF(OR($Q$4=TRUE,$Q$5=TRUE,$S$2=TRUE),VLOOKUP($G655,'KO Calc'!$H:$AW,23,FALSE),VLOOKUP($G655,'KO Calc'!$H661:$AW661,23,FALSE)),
IF(AND($S$3=TRUE,$S$1=TRUE,$S$4=TRUE)=TRUE,IF(OR($Q$4=TRUE,$Q$5=TRUE,$S$2=TRUE),VLOOKUP($G655,'KO Calc'!$H:$AW,38,FALSE),VLOOKUP($G655,'KO Calc'!$H661:$AW661,38,FALSE)),IF(AND($S$3=TRUE,$S$4=TRUE),IF(OR($Q$4=TRUE,$Q$5=TRUE,$S$2=TRUE),VLOOKUP($G655,'KO Calc'!$H:$AW,28,FALSE),VLOOKUP($G655,'KO Calc'!$H661:$AW661,28,FALSE)))))))))))))</f>
        <v>-</v>
      </c>
      <c r="J655" s="36" t="str">
        <f>IF(AND($Q$1=FALSE,$S$3=FALSE),"-",IF(AND($Q$1=TRUE,$S$3=TRUE),"-",IF(AND($Q$1=FALSE,$S$3=FALSE),"-",IF(AND($Q$1=TRUE,$S$1=TRUE,$S$4=FALSE)=TRUE,IF(OR($Q$4=TRUE,$Q$5=TRUE,$S$2=TRUE),VLOOKUP($G655,'KO Calc'!$H:$AW,FALSE),VLOOKUP($G655,'KO Calc'!$H661:$AW661,14,FALSE)),IF(AND($Q$1=TRUE,$S$4=FALSE),IF(OR($Q$4=TRUE,$Q$5=TRUE,$S$2=TRUE),VLOOKUP($G655,'KO Calc'!$H:$AW,4,FALSE),VLOOKUP($G655,'KO Calc'!$H661:$AW661,4,FALSE)),
IF(AND($Q$1=TRUE,$S$1=TRUE,$S$4=TRUE)=TRUE,IF(OR($Q$4=TRUE,$Q$5=TRUE,$S$2=TRUE),VLOOKUP($G655,'KO Calc'!$H:$AW,19,FALSE),VLOOKUP($G655,'KO Calc'!$H661:$AW661,19,FALSE)),IF(AND($Q$1=TRUE,$S$4=TRUE),IF(OR($Q$4=TRUE,$Q$5=TRUE,$S$2=TRUE),VLOOKUP($G655,'KO Calc'!$H:$AW,9,FALSE),VLOOKUP($G655,'KO Calc'!$H661:$AW661,9,FALSE)),
IF(AND($S$3=TRUE,$S$1=TRUE,$S$4=FALSE)=TRUE,IF(OR($Q$4=TRUE,$Q$5=TRUE,$S$2=TRUE),VLOOKUP($G655,'KO Calc'!$H:$AW,34,FALSE),VLOOKUP($G655,'KO Calc'!$H661:$AW661,34,FALSE)),IF(AND($S$3=TRUE,$S$4=FALSE),IF(OR($Q$4=TRUE,$Q$5=TRUE,$S$2=TRUE),VLOOKUP($G655,'KO Calc'!$H:$AW,24,FALSE),VLOOKUP($G655,'KO Calc'!$H661:$AW661,24,FALSE)),
IF(AND($S$3=TRUE,$S$1=TRUE,$S$4=TRUE)=TRUE,IF(OR($Q$4=TRUE,$Q$5=TRUE,$S$2=TRUE),VLOOKUP($G655,'KO Calc'!$H:$AW,39,FALSE),VLOOKUP($G655,'KO Calc'!$H661:$AW661,39,FALSE)),IF(AND($S$3=TRUE,$S$4=TRUE),IF(OR($Q$4=TRUE,$Q$5=TRUE,$S$2=TRUE),VLOOKUP($G655,'KO Calc'!$H:$AW,29,FALSE),VLOOKUP($G655,'KO Calc'!$H661:$AW661,29,FALSE)))))))))))))</f>
        <v>-</v>
      </c>
      <c r="K655" s="36" t="str">
        <f>IF(AND($Q$1=FALSE,$S$3=FALSE),"-",IF(AND($Q$1=TRUE,$S$3=TRUE),"-",IF(AND($Q$1=FALSE,$S$3=FALSE),"-",IF(AND($Q$1=TRUE,$S$1=TRUE,$S$4=FALSE)=TRUE,IF(OR($Q$4=TRUE,$Q$5=TRUE,$S$2=TRUE),VLOOKUP($G655,'KO Calc'!$H:$AW,15,FALSE),VLOOKUP($G655,'KO Calc'!$H661:$AW661,15,FALSE)),IF(AND($Q$1=TRUE,$S$4=FALSE),IF(OR($Q$4=TRUE,$Q$5=TRUE,$S$2=TRUE),VLOOKUP($G655,'KO Calc'!$H:$AW,5,FALSE),VLOOKUP($G655,'KO Calc'!$H661:$AW661,5,FALSE)),
IF(AND($Q$1=TRUE,$S$1=TRUE,$S$4=TRUE)=TRUE,IF(OR($Q$4=TRUE,$Q$5=TRUE,$S$2=TRUE),VLOOKUP($G655,'KO Calc'!$H:$AW,20,FALSE),VLOOKUP($G655,'KO Calc'!$H661:$AW661,20,FALSE)),IF(AND($Q$1=TRUE,$S$4=TRUE),IF(OR($Q$4=TRUE,$Q$5=TRUE,$S$2=TRUE),VLOOKUP($G655,'KO Calc'!$H:$AW,10,FALSE),VLOOKUP($G655,'KO Calc'!$H661:$AW661,10,FALSE)),
IF(AND($S$3=TRUE,$S$1=TRUE,$S$4=FALSE)=TRUE,IF(OR($Q$4=TRUE,$Q$5=TRUE,$S$2=TRUE),VLOOKUP($G655,'KO Calc'!$H:$AW,35,FALSE),VLOOKUP($G655,'KO Calc'!$H661:$AW661,35,FALSE)),IF(AND($S$3=TRUE,$S$4=FALSE),IF(OR($Q$4=TRUE,$Q$5=TRUE,$S$2=TRUE),VLOOKUP($G655,'KO Calc'!$H:$AW,25,FALSE),VLOOKUP($G655,'KO Calc'!$H661:$AW661,25,FALSE)),
IF(AND($S$3=TRUE,$S$1=TRUE,$S$4=TRUE)=TRUE,IF(OR($Q$4=TRUE,$Q$5=TRUE,$S$2=TRUE),VLOOKUP($G655,'KO Calc'!$H:$AW,40,FALSE),VLOOKUP($G655,'KO Calc'!$H661:$AW661,40,FALSE)),IF(AND($S$3=TRUE,$S$4=TRUE),IF(OR($Q$4=TRUE,$Q$5=TRUE,$S$2=TRUE),VLOOKUP($G655,'KO Calc'!$H:$AW,30,FALSE),VLOOKUP($G655,'KO Calc'!$H661:$AW661,30,FALSE)))))))))))))</f>
        <v>-</v>
      </c>
      <c r="L655" s="36" t="str">
        <f>IFERROR(VLOOKUP($E655,'Status Thresholds'!$E:$AS,41,FALSE),"-")</f>
        <v>-</v>
      </c>
    </row>
    <row r="656" spans="2:14" x14ac:dyDescent="0.25">
      <c r="B656" s="64" t="str">
        <f>VLOOKUP(C656,'Status Thresholds'!B:C,2,FALSE)</f>
        <v>MHGen</v>
      </c>
      <c r="C656" s="46" t="str">
        <f>IF(ISBLANK('KO Calc'!C652)=TRUE,"",'KO Calc'!C652)</f>
        <v>Royal Ludroth</v>
      </c>
      <c r="D656" s="78"/>
      <c r="E656" s="62" t="str">
        <f t="shared" si="19"/>
        <v>Royal Ludroth</v>
      </c>
      <c r="G656" s="36" t="str">
        <f t="shared" si="20"/>
        <v>Royal Ludroth</v>
      </c>
      <c r="L656" s="36" t="str">
        <f>IFERROR(VLOOKUP($E656,'Status Thresholds'!$E:$AS,41,FALSE),"-")</f>
        <v>-</v>
      </c>
    </row>
    <row r="657" spans="2:14" x14ac:dyDescent="0.25">
      <c r="B657" s="64" t="str">
        <f>VLOOKUP(C657,'Status Thresholds'!B:C,2,FALSE)</f>
        <v>Deviant</v>
      </c>
      <c r="C657" s="46" t="str">
        <f>IF(ISBLANK('KO Calc'!C653)=TRUE,"",'KO Calc'!C653)</f>
        <v>Rustrazor Ceanataur</v>
      </c>
      <c r="D657" s="65" t="s">
        <v>0</v>
      </c>
      <c r="E657" s="62" t="str">
        <f t="shared" si="19"/>
        <v>Rustrazor CeanataurPara</v>
      </c>
      <c r="F657" s="36" t="s">
        <v>2</v>
      </c>
      <c r="G657" s="36" t="str">
        <f t="shared" si="20"/>
        <v>Rustrazor CeanataurPara lvl 2</v>
      </c>
      <c r="H657" s="36" t="str">
        <f>IFERROR(ROUNDUP(IF(AND($Q$1=FALSE,$S$3=FALSE),"-",IF(AND($Q$1=TRUE,$S$3=TRUE),"-",IF(AND($Q$1=TRUE,$S$1=TRUE,$S$4=FALSE),VLOOKUP($E657,'Status Thresholds'!$E:$AS,12,FALSE),IF(AND($Q$1=TRUE,$S$4=FALSE),VLOOKUP($E657,'Status Thresholds'!$E:$AS,2,FALSE), IF(AND($Q$1=TRUE,$S$1=TRUE,$S$4=TRUE),VLOOKUP($E657,'Status Thresholds'!$E:$AS,17,FALSE),IF(AND($Q$1=TRUE,$S$4=TRUE),VLOOKUP($E657,'Status Thresholds'!$E:$AS,7,FALSE),IF(AND($S$3=TRUE,$S$1=TRUE,$S$4=FALSE),VLOOKUP($E657,'Status Thresholds'!$E:$AS,32,FALSE),IF(AND($S$3=TRUE,$S$4=FALSE),VLOOKUP($E657,'Status Thresholds'!$E:$AS,22,FALSE),IF(AND($S$3=TRUE,$S$1=TRUE,$S$4=TRUE),VLOOKUP($E657,'Status Thresholds'!$E:$AS,37,FALSE),IF(AND($S$3=TRUE,$S$4=TRUE),VLOOKUP($E657,'Status Thresholds'!$E:$AS,27,FALSE),""))))))))/IF(OR($Q$3=TRUE,AND($Q$2=TRUE,$Q$7=TRUE),AND($Q$3=TRUE,$Q$7=TRUE))=TRUE,'Shots and Status'!$F$5,IF((OR($Q$2,$Q$7)=TRUE),'Shots and Status'!$D$5,'Shots and Status'!$C$5)))),0),"-")</f>
        <v>-</v>
      </c>
      <c r="I657" s="36" t="str">
        <f>IFERROR(ROUNDUP(IF(AND($Q$1=FALSE,$S$3=FALSE),"-",IF(AND($Q$1=TRUE,$S$3=TRUE),"-",IF(AND($Q$1=TRUE,$S$1=TRUE,$S$4=FALSE),VLOOKUP($E657,'Status Thresholds'!$E:$AS,13,FALSE),IF(AND($Q$1=TRUE,$S$4=FALSE),VLOOKUP($E657,'Status Thresholds'!$E:$AS,3,FALSE), IF(AND($Q$1=TRUE,$S$1=TRUE,$S$4=TRUE),VLOOKUP($E657,'Status Thresholds'!$E:$AS,18,FALSE),IF(AND($Q$1=TRUE,$S$4=TRUE),VLOOKUP($E657,'Status Thresholds'!$E:$AS,8,FALSE),IF(AND($S$3=TRUE,$S$1=TRUE,$S$4=FALSE),VLOOKUP($E657,'Status Thresholds'!$E:$AS,33,FALSE),IF(AND($S$3=TRUE,$S$4=FALSE),VLOOKUP($E657,'Status Thresholds'!$E:$AS,23,FALSE),IF(AND($S$3=TRUE,$S$1=TRUE,$S$4=TRUE),VLOOKUP($E657,'Status Thresholds'!$E:$AS,38,FALSE),IF(AND($S$3=TRUE,$S$4=TRUE),VLOOKUP($E657,'Status Thresholds'!$E:$AS,28,FALSE),""))))))))/IF(OR($Q$3=TRUE,AND($Q$2=TRUE,$Q$7=TRUE),AND($Q$3=TRUE,$Q$7=TRUE))=TRUE,'Shots and Status'!$F$5,IF((OR($Q$2,$Q$7)=TRUE),'Shots and Status'!$D$5,'Shots and Status'!$C$5)))),0),"-")</f>
        <v>-</v>
      </c>
      <c r="J657" s="36" t="str">
        <f>IFERROR(ROUNDUP(IF(AND($Q$1=FALSE,$S$3=FALSE),"-",IF(AND($Q$1=TRUE,$S$3=TRUE),"-",IF(AND($Q$1=TRUE,$S$1=TRUE,$S$4=FALSE),VLOOKUP($E657,'Status Thresholds'!$E:$AS,14,FALSE),IF(AND($Q$1=TRUE,$S$4=FALSE),VLOOKUP($E657,'Status Thresholds'!$E:$AS,4,FALSE), IF(AND($Q$1=TRUE,$S$1=TRUE,$S$4=TRUE),VLOOKUP($E657,'Status Thresholds'!$E:$AS,19,FALSE),IF(AND($Q$1=TRUE,$S$4=TRUE),VLOOKUP($E657,'Status Thresholds'!$E:$AS,9,FALSE),IF(AND($S$3=TRUE,$S$1=TRUE,$S$4=FALSE),VLOOKUP($E657,'Status Thresholds'!$E:$AS,34,FALSE),IF(AND($S$3=TRUE,$S$4=FALSE),VLOOKUP($E657,'Status Thresholds'!$E:$AS,24,FALSE),IF(AND($S$3=TRUE,$S$1=TRUE,$S$4=TRUE),VLOOKUP($E657,'Status Thresholds'!$E:$AS,39,FALSE),IF(AND($S$3=TRUE,$S$4=TRUE),VLOOKUP($E657,'Status Thresholds'!$E:$AS,29,FALSE),""))))))))/IF(OR($Q$3=TRUE,AND($Q$2=TRUE,$Q$7=TRUE),AND($Q$3=TRUE,$Q$7=TRUE))=TRUE,'Shots and Status'!$F$5,IF((OR($Q$2,$Q$7)=TRUE),'Shots and Status'!$D$5,'Shots and Status'!$C$5)))),0),"-")</f>
        <v>-</v>
      </c>
      <c r="K657" s="36" t="str">
        <f>IFERROR(ROUNDUP(IF(AND($Q$1=FALSE,$S$3=FALSE),"-",IF(AND($Q$1=TRUE,$S$3=TRUE),"-",IF(AND($Q$1=TRUE,$S$1=TRUE,$S$4=FALSE),VLOOKUP($E657,'Status Thresholds'!$E:$AS,15,FALSE),IF(AND($Q$1=TRUE,$S$4=FALSE),VLOOKUP($E657,'Status Thresholds'!$E:$AS,5,FALSE), IF(AND($Q$1=TRUE,$S$1=TRUE,$S$4=TRUE),VLOOKUP($E657,'Status Thresholds'!$E:$AS,20,FALSE),IF(AND($Q$1=TRUE,$S$4=TRUE),VLOOKUP($E657,'Status Thresholds'!$E:$AS,10,FALSE),IF(AND($S$3=TRUE,$S$1=TRUE,$S$4=FALSE),VLOOKUP($E657,'Status Thresholds'!$E:$AS,35,FALSE),IF(AND($S$3=TRUE,$S$4=FALSE),VLOOKUP($E657,'Status Thresholds'!$E:$AS,25,FALSE),IF(AND($S$3=TRUE,$S$1=TRUE,$S$4=TRUE),VLOOKUP($E657,'Status Thresholds'!$E:$AS,40,FALSE),IF(AND($S$3=TRUE,$S$4=TRUE),VLOOKUP($E657,'Status Thresholds'!$E:$AS,30,FALSE),""))))))))/IF(OR($Q$3=TRUE,AND($Q$2=TRUE,$Q$7=TRUE),AND($Q$3=TRUE,$Q$7=TRUE))=TRUE,'Shots and Status'!$F$5,IF((OR($Q$2,$Q$7)=TRUE),'Shots and Status'!$D$5,'Shots and Status'!$C$5)))),0),"-")</f>
        <v>-</v>
      </c>
      <c r="L657" s="36" t="str">
        <f>IFERROR(IF(AND($Q$1=FALSE,$S$3=FALSE),"-",VLOOKUP($E657,'Status Thresholds'!$E:$AU,41,FALSE)),"-")</f>
        <v>-</v>
      </c>
      <c r="M657" s="36" t="str">
        <f>IFERROR(IF(AND($Q$1=FALSE,$S$3=FALSE),"-",VLOOKUP($E657,'Status Thresholds'!$E:$AU,42,FALSE)),"-")</f>
        <v>-</v>
      </c>
      <c r="N657" s="36" t="str">
        <f>IFERROR(IF(AND($Q$1=FALSE,$S$3=FALSE),"-",VLOOKUP($E657,'Status Thresholds'!$E:$AU,43,FALSE)),"-")</f>
        <v>-</v>
      </c>
    </row>
    <row r="658" spans="2:14" x14ac:dyDescent="0.25">
      <c r="B658" s="64" t="str">
        <f>VLOOKUP(C658,'Status Thresholds'!B:C,2,FALSE)</f>
        <v>Deviant</v>
      </c>
      <c r="C658" s="46" t="str">
        <f>IF(ISBLANK('KO Calc'!C654)=TRUE,"",'KO Calc'!C654)</f>
        <v>Rustrazor Ceanataur</v>
      </c>
      <c r="D658" s="60" t="s">
        <v>32</v>
      </c>
      <c r="E658" s="62" t="str">
        <f t="shared" si="19"/>
        <v>Rustrazor CeanataurSleep</v>
      </c>
      <c r="F658" s="59" t="s">
        <v>5</v>
      </c>
      <c r="G658" s="36" t="str">
        <f t="shared" si="20"/>
        <v>Rustrazor CeanataurSleep lvl 2</v>
      </c>
      <c r="H658" s="36" t="str">
        <f>IFERROR(ROUNDUP(IF(AND($Q$1=FALSE,$S$3=FALSE),"-",IF(AND($Q$1=TRUE,$S$3=TRUE),"-",IF(AND($Q$1=TRUE,$S$1=TRUE,$S$4=FALSE),VLOOKUP($E658,'Status Thresholds'!$E:$AS,12,FALSE),IF(AND($Q$1=TRUE,$S$4=FALSE),VLOOKUP($E658,'Status Thresholds'!$E:$AS,2,FALSE), IF(AND($Q$1=TRUE,$S$1=TRUE,$S$4=TRUE),VLOOKUP($E658,'Status Thresholds'!$E:$AS,17,FALSE),IF(AND($Q$1=TRUE,$S$4=TRUE),VLOOKUP($E658,'Status Thresholds'!$E:$AS,7,FALSE),IF(AND($S$3=TRUE,$S$1=TRUE,$S$4=FALSE),VLOOKUP($E658,'Status Thresholds'!$E:$AS,32,FALSE),IF(AND($S$3=TRUE,$S$4=FALSE),VLOOKUP($E658,'Status Thresholds'!$E:$AS,22,FALSE),IF(AND($S$3=TRUE,$S$1=TRUE,$S$4=TRUE),VLOOKUP($E658,'Status Thresholds'!$E:$AS,37,FALSE),IF(AND($S$3=TRUE,$S$4=TRUE),VLOOKUP($E658,'Status Thresholds'!$E:$AS,27,FALSE),""))))))))/IF(OR($Q$3=TRUE,AND($Q$2=TRUE,$Q$7=TRUE),AND($Q$3=TRUE,$Q$7=TRUE))=TRUE,'Shots and Status'!$F$5,IF((OR($Q$2,$Q$7)=TRUE),'Shots and Status'!$D$5,'Shots and Status'!$C$5)))),0),"-")</f>
        <v>-</v>
      </c>
      <c r="I658" s="36" t="str">
        <f>IFERROR(ROUNDUP(IF(AND($Q$1=FALSE,$S$3=FALSE),"-",IF(AND($Q$1=TRUE,$S$3=TRUE),"-",IF(AND($Q$1=TRUE,$S$1=TRUE,$S$4=FALSE),VLOOKUP($E658,'Status Thresholds'!$E:$AS,13,FALSE),IF(AND($Q$1=TRUE,$S$4=FALSE),VLOOKUP($E658,'Status Thresholds'!$E:$AS,3,FALSE), IF(AND($Q$1=TRUE,$S$1=TRUE,$S$4=TRUE),VLOOKUP($E658,'Status Thresholds'!$E:$AS,18,FALSE),IF(AND($Q$1=TRUE,$S$4=TRUE),VLOOKUP($E658,'Status Thresholds'!$E:$AS,8,FALSE),IF(AND($S$3=TRUE,$S$1=TRUE,$S$4=FALSE),VLOOKUP($E658,'Status Thresholds'!$E:$AS,33,FALSE),IF(AND($S$3=TRUE,$S$4=FALSE),VLOOKUP($E658,'Status Thresholds'!$E:$AS,23,FALSE),IF(AND($S$3=TRUE,$S$1=TRUE,$S$4=TRUE),VLOOKUP($E658,'Status Thresholds'!$E:$AS,38,FALSE),IF(AND($S$3=TRUE,$S$4=TRUE),VLOOKUP($E658,'Status Thresholds'!$E:$AS,28,FALSE),""))))))))/IF(OR($Q$3=TRUE,AND($Q$2=TRUE,$Q$7=TRUE),AND($Q$3=TRUE,$Q$7=TRUE))=TRUE,'Shots and Status'!$F$5,IF((OR($Q$2,$Q$7)=TRUE),'Shots and Status'!$D$5,'Shots and Status'!$C$5)))),0),"-")</f>
        <v>-</v>
      </c>
      <c r="J658" s="36" t="str">
        <f>IFERROR(ROUNDUP(IF(AND($Q$1=FALSE,$S$3=FALSE),"-",IF(AND($Q$1=TRUE,$S$3=TRUE),"-",IF(AND($Q$1=TRUE,$S$1=TRUE,$S$4=FALSE),VLOOKUP($E658,'Status Thresholds'!$E:$AS,14,FALSE),IF(AND($Q$1=TRUE,$S$4=FALSE),VLOOKUP($E658,'Status Thresholds'!$E:$AS,4,FALSE), IF(AND($Q$1=TRUE,$S$1=TRUE,$S$4=TRUE),VLOOKUP($E658,'Status Thresholds'!$E:$AS,19,FALSE),IF(AND($Q$1=TRUE,$S$4=TRUE),VLOOKUP($E658,'Status Thresholds'!$E:$AS,9,FALSE),IF(AND($S$3=TRUE,$S$1=TRUE,$S$4=FALSE),VLOOKUP($E658,'Status Thresholds'!$E:$AS,34,FALSE),IF(AND($S$3=TRUE,$S$4=FALSE),VLOOKUP($E658,'Status Thresholds'!$E:$AS,24,FALSE),IF(AND($S$3=TRUE,$S$1=TRUE,$S$4=TRUE),VLOOKUP($E658,'Status Thresholds'!$E:$AS,39,FALSE),IF(AND($S$3=TRUE,$S$4=TRUE),VLOOKUP($E658,'Status Thresholds'!$E:$AS,29,FALSE),""))))))))/IF(OR($Q$3=TRUE,AND($Q$2=TRUE,$Q$7=TRUE),AND($Q$3=TRUE,$Q$7=TRUE))=TRUE,'Shots and Status'!$F$5,IF((OR($Q$2,$Q$7)=TRUE),'Shots and Status'!$D$5,'Shots and Status'!$C$5)))),0),"-")</f>
        <v>-</v>
      </c>
      <c r="K658" s="36" t="str">
        <f>IFERROR(ROUNDUP(IF(AND($Q$1=FALSE,$S$3=FALSE),"-",IF(AND($Q$1=TRUE,$S$3=TRUE),"-",IF(AND($Q$1=TRUE,$S$1=TRUE,$S$4=FALSE),VLOOKUP($E658,'Status Thresholds'!$E:$AS,15,FALSE),IF(AND($Q$1=TRUE,$S$4=FALSE),VLOOKUP($E658,'Status Thresholds'!$E:$AS,5,FALSE), IF(AND($Q$1=TRUE,$S$1=TRUE,$S$4=TRUE),VLOOKUP($E658,'Status Thresholds'!$E:$AS,20,FALSE),IF(AND($Q$1=TRUE,$S$4=TRUE),VLOOKUP($E658,'Status Thresholds'!$E:$AS,10,FALSE),IF(AND($S$3=TRUE,$S$1=TRUE,$S$4=FALSE),VLOOKUP($E658,'Status Thresholds'!$E:$AS,35,FALSE),IF(AND($S$3=TRUE,$S$4=FALSE),VLOOKUP($E658,'Status Thresholds'!$E:$AS,25,FALSE),IF(AND($S$3=TRUE,$S$1=TRUE,$S$4=TRUE),VLOOKUP($E658,'Status Thresholds'!$E:$AS,40,FALSE),IF(AND($S$3=TRUE,$S$4=TRUE),VLOOKUP($E658,'Status Thresholds'!$E:$AS,30,FALSE),""))))))))/IF(OR($Q$3=TRUE,AND($Q$2=TRUE,$Q$7=TRUE),AND($Q$3=TRUE,$Q$7=TRUE))=TRUE,'Shots and Status'!$F$5,IF((OR($Q$2,$Q$7)=TRUE),'Shots and Status'!$D$5,'Shots and Status'!$C$5)))),0),"-")</f>
        <v>-</v>
      </c>
      <c r="L658" s="36" t="str">
        <f>IFERROR(IF(AND($Q$1=FALSE,$S$3=FALSE),"-",VLOOKUP($E658,'Status Thresholds'!$E:$AU,41,FALSE)),"-")</f>
        <v>-</v>
      </c>
      <c r="M658" s="36" t="str">
        <f>IFERROR(IF(AND($Q$1=FALSE,$S$3=FALSE),"-",VLOOKUP($E658,'Status Thresholds'!$E:$AU,42,FALSE)),"-")</f>
        <v>-</v>
      </c>
      <c r="N658" s="36" t="str">
        <f>IFERROR(IF(AND($Q$1=FALSE,$S$3=FALSE),"-",VLOOKUP($E658,'Status Thresholds'!$E:$AU,43,FALSE)),"-")</f>
        <v>-</v>
      </c>
    </row>
    <row r="659" spans="2:14" x14ac:dyDescent="0.25">
      <c r="B659" s="64" t="str">
        <f>VLOOKUP(C659,'Status Thresholds'!B:C,2,FALSE)</f>
        <v>Deviant</v>
      </c>
      <c r="C659" s="46" t="str">
        <f>IF(ISBLANK('KO Calc'!C655)=TRUE,"",'KO Calc'!C655)</f>
        <v>Rustrazor Ceanataur</v>
      </c>
      <c r="D659" s="58" t="s">
        <v>33</v>
      </c>
      <c r="E659" s="62" t="str">
        <f t="shared" si="19"/>
        <v>Rustrazor CeanataurPoison</v>
      </c>
      <c r="F659" s="59" t="s">
        <v>6</v>
      </c>
      <c r="G659" s="36" t="str">
        <f t="shared" si="20"/>
        <v>Rustrazor CeanataurPoison lvl 2</v>
      </c>
      <c r="H659" s="36" t="str">
        <f>IFERROR(ROUNDUP(IF(AND($Q$1=FALSE,$S$3=FALSE),"-",IF(AND($Q$1=TRUE,$S$3=TRUE),"-",IF(AND($Q$1=TRUE,$S$1=TRUE,$S$4=FALSE),VLOOKUP($E659,'Status Thresholds'!$E:$AS,12,FALSE),IF(AND($Q$1=TRUE,$S$4=FALSE),VLOOKUP($E659,'Status Thresholds'!$E:$AS,2,FALSE), IF(AND($Q$1=TRUE,$S$1=TRUE,$S$4=TRUE),VLOOKUP($E659,'Status Thresholds'!$E:$AS,17,FALSE),IF(AND($Q$1=TRUE,$S$4=TRUE),VLOOKUP($E659,'Status Thresholds'!$E:$AS,7,FALSE),IF(AND($S$3=TRUE,$S$1=TRUE,$S$4=FALSE),VLOOKUP($E659,'Status Thresholds'!$E:$AS,32,FALSE),IF(AND($S$3=TRUE,$S$4=FALSE),VLOOKUP($E659,'Status Thresholds'!$E:$AS,22,FALSE),IF(AND($S$3=TRUE,$S$1=TRUE,$S$4=TRUE),VLOOKUP($E659,'Status Thresholds'!$E:$AS,37,FALSE),IF(AND($S$3=TRUE,$S$4=TRUE),VLOOKUP($E659,'Status Thresholds'!$E:$AS,27,FALSE),""))))))))/IF(OR($Q$3=TRUE,AND($Q$2=TRUE,$Q$7=TRUE),AND($Q$3=TRUE,$Q$7=TRUE))=TRUE,'Shots and Status'!$F$5,IF((OR($Q$2,$Q$7)=TRUE),'Shots and Status'!$D$5,'Shots and Status'!$C$5)))),0),"-")</f>
        <v>-</v>
      </c>
      <c r="I659" s="36" t="str">
        <f>IFERROR(ROUNDUP(IF(AND($Q$1=FALSE,$S$3=FALSE),"-",IF(AND($Q$1=TRUE,$S$3=TRUE),"-",IF(AND($Q$1=TRUE,$S$1=TRUE,$S$4=FALSE),VLOOKUP($E659,'Status Thresholds'!$E:$AS,13,FALSE),IF(AND($Q$1=TRUE,$S$4=FALSE),VLOOKUP($E659,'Status Thresholds'!$E:$AS,3,FALSE), IF(AND($Q$1=TRUE,$S$1=TRUE,$S$4=TRUE),VLOOKUP($E659,'Status Thresholds'!$E:$AS,18,FALSE),IF(AND($Q$1=TRUE,$S$4=TRUE),VLOOKUP($E659,'Status Thresholds'!$E:$AS,8,FALSE),IF(AND($S$3=TRUE,$S$1=TRUE,$S$4=FALSE),VLOOKUP($E659,'Status Thresholds'!$E:$AS,33,FALSE),IF(AND($S$3=TRUE,$S$4=FALSE),VLOOKUP($E659,'Status Thresholds'!$E:$AS,23,FALSE),IF(AND($S$3=TRUE,$S$1=TRUE,$S$4=TRUE),VLOOKUP($E659,'Status Thresholds'!$E:$AS,38,FALSE),IF(AND($S$3=TRUE,$S$4=TRUE),VLOOKUP($E659,'Status Thresholds'!$E:$AS,28,FALSE),""))))))))/IF(OR($Q$3=TRUE,AND($Q$2=TRUE,$Q$7=TRUE),AND($Q$3=TRUE,$Q$7=TRUE))=TRUE,'Shots and Status'!$F$5,IF((OR($Q$2,$Q$7)=TRUE),'Shots and Status'!$D$5,'Shots and Status'!$C$5)))),0),"-")</f>
        <v>-</v>
      </c>
      <c r="J659" s="36" t="str">
        <f>IFERROR(ROUNDUP(IF(AND($Q$1=FALSE,$S$3=FALSE),"-",IF(AND($Q$1=TRUE,$S$3=TRUE),"-",IF(AND($Q$1=TRUE,$S$1=TRUE,$S$4=FALSE),VLOOKUP($E659,'Status Thresholds'!$E:$AS,14,FALSE),IF(AND($Q$1=TRUE,$S$4=FALSE),VLOOKUP($E659,'Status Thresholds'!$E:$AS,4,FALSE), IF(AND($Q$1=TRUE,$S$1=TRUE,$S$4=TRUE),VLOOKUP($E659,'Status Thresholds'!$E:$AS,19,FALSE),IF(AND($Q$1=TRUE,$S$4=TRUE),VLOOKUP($E659,'Status Thresholds'!$E:$AS,9,FALSE),IF(AND($S$3=TRUE,$S$1=TRUE,$S$4=FALSE),VLOOKUP($E659,'Status Thresholds'!$E:$AS,34,FALSE),IF(AND($S$3=TRUE,$S$4=FALSE),VLOOKUP($E659,'Status Thresholds'!$E:$AS,24,FALSE),IF(AND($S$3=TRUE,$S$1=TRUE,$S$4=TRUE),VLOOKUP($E659,'Status Thresholds'!$E:$AS,39,FALSE),IF(AND($S$3=TRUE,$S$4=TRUE),VLOOKUP($E659,'Status Thresholds'!$E:$AS,29,FALSE),""))))))))/IF(OR($Q$3=TRUE,AND($Q$2=TRUE,$Q$7=TRUE),AND($Q$3=TRUE,$Q$7=TRUE))=TRUE,'Shots and Status'!$F$5,IF((OR($Q$2,$Q$7)=TRUE),'Shots and Status'!$D$5,'Shots and Status'!$C$5)))),0),"-")</f>
        <v>-</v>
      </c>
      <c r="K659" s="36" t="str">
        <f>IFERROR(ROUNDUP(IF(AND($Q$1=FALSE,$S$3=FALSE),"-",IF(AND($Q$1=TRUE,$S$3=TRUE),"-",IF(AND($Q$1=TRUE,$S$1=TRUE,$S$4=FALSE),VLOOKUP($E659,'Status Thresholds'!$E:$AS,15,FALSE),IF(AND($Q$1=TRUE,$S$4=FALSE),VLOOKUP($E659,'Status Thresholds'!$E:$AS,5,FALSE), IF(AND($Q$1=TRUE,$S$1=TRUE,$S$4=TRUE),VLOOKUP($E659,'Status Thresholds'!$E:$AS,20,FALSE),IF(AND($Q$1=TRUE,$S$4=TRUE),VLOOKUP($E659,'Status Thresholds'!$E:$AS,10,FALSE),IF(AND($S$3=TRUE,$S$1=TRUE,$S$4=FALSE),VLOOKUP($E659,'Status Thresholds'!$E:$AS,35,FALSE),IF(AND($S$3=TRUE,$S$4=FALSE),VLOOKUP($E659,'Status Thresholds'!$E:$AS,25,FALSE),IF(AND($S$3=TRUE,$S$1=TRUE,$S$4=TRUE),VLOOKUP($E659,'Status Thresholds'!$E:$AS,40,FALSE),IF(AND($S$3=TRUE,$S$4=TRUE),VLOOKUP($E659,'Status Thresholds'!$E:$AS,30,FALSE),""))))))))/IF(OR($Q$3=TRUE,AND($Q$2=TRUE,$Q$7=TRUE),AND($Q$3=TRUE,$Q$7=TRUE))=TRUE,'Shots and Status'!$F$5,IF((OR($Q$2,$Q$7)=TRUE),'Shots and Status'!$D$5,'Shots and Status'!$C$5)))),0),"-")</f>
        <v>-</v>
      </c>
      <c r="L659" s="36" t="str">
        <f>IFERROR(IF(AND($Q$1=FALSE,$S$3=FALSE),"-",VLOOKUP($E659,'Status Thresholds'!$E:$AU,41,FALSE)),"-")</f>
        <v>-</v>
      </c>
      <c r="M659" s="36" t="str">
        <f>IFERROR(IF(AND($Q$1=FALSE,$S$3=FALSE),"-",VLOOKUP($E659,'Status Thresholds'!$E:$AU,42,FALSE)),"-")</f>
        <v>-</v>
      </c>
      <c r="N659" s="36" t="str">
        <f>IFERROR(IF(AND($Q$1=FALSE,$S$3=FALSE),"-",VLOOKUP($E659,'Status Thresholds'!$E:$AU,43,FALSE)),"-")</f>
        <v>-</v>
      </c>
    </row>
    <row r="660" spans="2:14" x14ac:dyDescent="0.25">
      <c r="B660" s="64" t="str">
        <f>VLOOKUP(C660,'Status Thresholds'!B:C,2,FALSE)</f>
        <v>Deviant</v>
      </c>
      <c r="C660" s="46" t="str">
        <f>IF(ISBLANK('KO Calc'!C656)=TRUE,"",'KO Calc'!C656)</f>
        <v>Rustrazor Ceanataur</v>
      </c>
      <c r="D660" s="57" t="s">
        <v>22</v>
      </c>
      <c r="E660" s="62" t="str">
        <f t="shared" si="19"/>
        <v>Rustrazor CeanataurExhaust</v>
      </c>
      <c r="F660" s="36" t="s">
        <v>8</v>
      </c>
      <c r="G660" s="36" t="str">
        <f t="shared" si="20"/>
        <v>Rustrazor CeanataurExhaust lvl 2</v>
      </c>
      <c r="H660" s="36" t="str">
        <f>IFERROR(ROUNDUP(IF(AND($Q$1=FALSE,$S$3=FALSE),"-",IF(AND($Q$1=TRUE,$S$3=TRUE),"-",IF(AND($Q$1=TRUE,$S$1=TRUE,$S$4=FALSE),VLOOKUP($E660,'Status Thresholds'!$E:$AS,12,FALSE),IF(AND($Q$1=TRUE,$S$4=FALSE),VLOOKUP($E660,'Status Thresholds'!$E:$AS,2,FALSE), IF(AND($Q$1=TRUE,$S$1=TRUE,$S$4=TRUE),VLOOKUP($E660,'Status Thresholds'!$E:$AS,17,FALSE),IF(AND($Q$1=TRUE,$S$4=TRUE),VLOOKUP($E660,'Status Thresholds'!$E:$AS,7,FALSE),IF(AND($S$3=TRUE,$S$1=TRUE,$S$4=FALSE),VLOOKUP($E660,'Status Thresholds'!$E:$AS,32,FALSE),IF(AND($S$3=TRUE,$S$4=FALSE),VLOOKUP($E660,'Status Thresholds'!$E:$AS,22,FALSE),IF(AND($S$3=TRUE,$S$1=TRUE,$S$4=TRUE),VLOOKUP($E660,'Status Thresholds'!$E:$AS,37,FALSE),IF(AND($S$3=TRUE,$S$4=TRUE),VLOOKUP($E660,'Status Thresholds'!$E:$AS,27,FALSE),""))))))))/IF(OR($Q$3=TRUE,AND($Q$2=TRUE,$Q$7=TRUE),AND($Q$3=TRUE,$Q$7=TRUE))=TRUE,'Shots and Status'!$F$5,IF((OR($Q$2,$Q$7)=TRUE),'Shots and Status'!$D$5,'Shots and Status'!$C$5)))),0),"-")</f>
        <v>-</v>
      </c>
      <c r="I660" s="36" t="str">
        <f>IFERROR(ROUNDUP(IF(AND($Q$1=FALSE,$S$3=FALSE),"-",IF(AND($Q$1=TRUE,$S$3=TRUE),"-",IF(AND($Q$1=TRUE,$S$1=TRUE,$S$4=FALSE),VLOOKUP($E660,'Status Thresholds'!$E:$AS,13,FALSE),IF(AND($Q$1=TRUE,$S$4=FALSE),VLOOKUP($E660,'Status Thresholds'!$E:$AS,3,FALSE), IF(AND($Q$1=TRUE,$S$1=TRUE,$S$4=TRUE),VLOOKUP($E660,'Status Thresholds'!$E:$AS,18,FALSE),IF(AND($Q$1=TRUE,$S$4=TRUE),VLOOKUP($E660,'Status Thresholds'!$E:$AS,8,FALSE),IF(AND($S$3=TRUE,$S$1=TRUE,$S$4=FALSE),VLOOKUP($E660,'Status Thresholds'!$E:$AS,33,FALSE),IF(AND($S$3=TRUE,$S$4=FALSE),VLOOKUP($E660,'Status Thresholds'!$E:$AS,23,FALSE),IF(AND($S$3=TRUE,$S$1=TRUE,$S$4=TRUE),VLOOKUP($E660,'Status Thresholds'!$E:$AS,38,FALSE),IF(AND($S$3=TRUE,$S$4=TRUE),VLOOKUP($E660,'Status Thresholds'!$E:$AS,28,FALSE),""))))))))/IF(OR($Q$3=TRUE,AND($Q$2=TRUE,$Q$7=TRUE),AND($Q$3=TRUE,$Q$7=TRUE))=TRUE,'Shots and Status'!$F$5,IF((OR($Q$2,$Q$7)=TRUE),'Shots and Status'!$D$5,'Shots and Status'!$C$5)))),0),"-")</f>
        <v>-</v>
      </c>
      <c r="J660" s="36" t="str">
        <f>IFERROR(ROUNDUP(IF(AND($Q$1=FALSE,$S$3=FALSE),"-",IF(AND($Q$1=TRUE,$S$3=TRUE),"-",IF(AND($Q$1=TRUE,$S$1=TRUE,$S$4=FALSE),VLOOKUP($E660,'Status Thresholds'!$E:$AS,14,FALSE),IF(AND($Q$1=TRUE,$S$4=FALSE),VLOOKUP($E660,'Status Thresholds'!$E:$AS,4,FALSE), IF(AND($Q$1=TRUE,$S$1=TRUE,$S$4=TRUE),VLOOKUP($E660,'Status Thresholds'!$E:$AS,19,FALSE),IF(AND($Q$1=TRUE,$S$4=TRUE),VLOOKUP($E660,'Status Thresholds'!$E:$AS,9,FALSE),IF(AND($S$3=TRUE,$S$1=TRUE,$S$4=FALSE),VLOOKUP($E660,'Status Thresholds'!$E:$AS,34,FALSE),IF(AND($S$3=TRUE,$S$4=FALSE),VLOOKUP($E660,'Status Thresholds'!$E:$AS,24,FALSE),IF(AND($S$3=TRUE,$S$1=TRUE,$S$4=TRUE),VLOOKUP($E660,'Status Thresholds'!$E:$AS,39,FALSE),IF(AND($S$3=TRUE,$S$4=TRUE),VLOOKUP($E660,'Status Thresholds'!$E:$AS,29,FALSE),""))))))))/IF(OR($Q$3=TRUE,AND($Q$2=TRUE,$Q$7=TRUE),AND($Q$3=TRUE,$Q$7=TRUE))=TRUE,'Shots and Status'!$F$5,IF((OR($Q$2,$Q$7)=TRUE),'Shots and Status'!$D$5,'Shots and Status'!$C$5)))),0),"-")</f>
        <v>-</v>
      </c>
      <c r="K660" s="36" t="str">
        <f>IFERROR(ROUNDUP(IF(AND($Q$1=FALSE,$S$3=FALSE),"-",IF(AND($Q$1=TRUE,$S$3=TRUE),"-",IF(AND($Q$1=TRUE,$S$1=TRUE,$S$4=FALSE),VLOOKUP($E660,'Status Thresholds'!$E:$AS,15,FALSE),IF(AND($Q$1=TRUE,$S$4=FALSE),VLOOKUP($E660,'Status Thresholds'!$E:$AS,5,FALSE), IF(AND($Q$1=TRUE,$S$1=TRUE,$S$4=TRUE),VLOOKUP($E660,'Status Thresholds'!$E:$AS,20,FALSE),IF(AND($Q$1=TRUE,$S$4=TRUE),VLOOKUP($E660,'Status Thresholds'!$E:$AS,10,FALSE),IF(AND($S$3=TRUE,$S$1=TRUE,$S$4=FALSE),VLOOKUP($E660,'Status Thresholds'!$E:$AS,35,FALSE),IF(AND($S$3=TRUE,$S$4=FALSE),VLOOKUP($E660,'Status Thresholds'!$E:$AS,25,FALSE),IF(AND($S$3=TRUE,$S$1=TRUE,$S$4=TRUE),VLOOKUP($E660,'Status Thresholds'!$E:$AS,40,FALSE),IF(AND($S$3=TRUE,$S$4=TRUE),VLOOKUP($E660,'Status Thresholds'!$E:$AS,30,FALSE),""))))))))/IF(OR($Q$3=TRUE,AND($Q$2=TRUE,$Q$7=TRUE),AND($Q$3=TRUE,$Q$7=TRUE))=TRUE,'Shots and Status'!$F$5,IF((OR($Q$2,$Q$7)=TRUE),'Shots and Status'!$D$5,'Shots and Status'!$C$5)))),0),"-")</f>
        <v>-</v>
      </c>
      <c r="L660" s="36" t="str">
        <f>IFERROR(IF(AND($Q$1=FALSE,$S$3=FALSE),"-",VLOOKUP($E660,'Status Thresholds'!$E:$AU,41,FALSE)),"-")</f>
        <v>-</v>
      </c>
      <c r="M660" s="36" t="str">
        <f>IFERROR(IF(AND($Q$1=FALSE,$S$3=FALSE),"-",VLOOKUP($E660,'Status Thresholds'!$E:$AU,42,FALSE)),"-")</f>
        <v>-</v>
      </c>
      <c r="N660" s="36" t="str">
        <f>IFERROR(IF(AND($Q$1=FALSE,$S$3=FALSE),"-",VLOOKUP($E660,'Status Thresholds'!$E:$AU,43,FALSE)),"-")</f>
        <v>-</v>
      </c>
    </row>
    <row r="661" spans="2:14" x14ac:dyDescent="0.25">
      <c r="B661" s="64" t="str">
        <f>VLOOKUP(C661,'Status Thresholds'!B:C,2,FALSE)</f>
        <v>Deviant</v>
      </c>
      <c r="C661" s="46" t="str">
        <f>IF(ISBLANK('KO Calc'!C657)=TRUE,"",'KO Calc'!C657)</f>
        <v>Rustrazor Ceanataur</v>
      </c>
      <c r="D661" s="67" t="s">
        <v>14</v>
      </c>
      <c r="E661" s="62" t="str">
        <f t="shared" si="19"/>
        <v>Rustrazor CeanataurKO</v>
      </c>
      <c r="F661" s="36" t="s">
        <v>21</v>
      </c>
      <c r="G661" s="36" t="str">
        <f t="shared" si="20"/>
        <v>Rustrazor CeanataurTriblast</v>
      </c>
      <c r="H661" s="36" t="str">
        <f>IF(AND($Q$1=FALSE,$S$3=FALSE),"-",IF(AND($Q$1=TRUE,$S$3=TRUE),"-",IF(AND($Q$1=FALSE,$S$3=FALSE),"-",IF(AND($Q$1=TRUE,$S$1=TRUE,$S$4=FALSE)=TRUE,IF(OR($Q$4=TRUE,$Q$5=TRUE,$S$2=TRUE),VLOOKUP($G661,'KO Calc'!$H:$AW,12,FALSE),VLOOKUP($G661,'KO Calc'!$H667:$AW667,12,FALSE)),IF(AND($Q$1=TRUE,$S$4=FALSE),IF(OR($Q$4=TRUE,$Q$5=TRUE,$S$2=TRUE),VLOOKUP($G661,'KO Calc'!$H:$AW,2,FALSE),VLOOKUP($G661,'KO Calc'!$H667:$AW667,2,FALSE)),
IF(AND($Q$1=TRUE,$S$1=TRUE,$S$4=TRUE)=TRUE,IF(OR($Q$4=TRUE,$Q$5=TRUE,$S$2=TRUE),VLOOKUP($G661,'KO Calc'!$H:$AW,17,FALSE),VLOOKUP($G661,'KO Calc'!$H667:$AW667,17,FALSE)),IF(AND($Q$1=TRUE,$S$4=TRUE),IF(OR($Q$4=TRUE,$Q$5=TRUE,$S$2=TRUE),VLOOKUP($G661,'KO Calc'!$H:$AW,7,FALSE),VLOOKUP($G661,'KO Calc'!$H667:$AW667,7,FALSE)),
IF(AND($S$3=TRUE,$S$1=TRUE,$S$4=FALSE)=TRUE,IF(OR($Q$4=TRUE,$Q$5=TRUE,$S$2=TRUE),VLOOKUP($G661,'KO Calc'!$H:$AW,32,FALSE),VLOOKUP($G661,'KO Calc'!$H667:$AW667,32,FALSE)),IF(AND($S$3=TRUE,$S$4=FALSE),IF(OR($Q$4=TRUE,$Q$5=TRUE,$S$2=TRUE),VLOOKUP($G661,'KO Calc'!$H:$AW,22,FALSE),VLOOKUP($G661,'KO Calc'!$H667:$AW667,22,FALSE)),
IF(AND($S$3=TRUE,$S$1=TRUE,$S$4=TRUE)=TRUE,IF(OR($Q$4=TRUE,$Q$5=TRUE,$S$2=TRUE),VLOOKUP($G661,'KO Calc'!$H:$AW,37,FALSE),VLOOKUP($G661,'KO Calc'!$H667:$AW667,37,FALSE)),IF(AND($S$3=TRUE,$S$4=TRUE),IF(OR($Q$4=TRUE,$Q$5=TRUE,$S$2=TRUE),VLOOKUP($G661,'KO Calc'!$H:$AW,27,FALSE),VLOOKUP($G661,'KO Calc'!$H667:$AW667,27,FALSE)))))))))))))</f>
        <v>-</v>
      </c>
      <c r="I661" s="36" t="str">
        <f>IF(AND($Q$1=FALSE,$S$3=FALSE),"-",IF(AND($Q$1=TRUE,$S$3=TRUE),"-",IF(AND($Q$1=FALSE,$S$3=FALSE),"-",IF(AND($Q$1=TRUE,$S$1=TRUE,$S$4=FALSE)=TRUE,IF(OR($Q$4=TRUE,$Q$5=TRUE,$S$2=TRUE),VLOOKUP($G661,'KO Calc'!$H:$AW,13,FALSE),VLOOKUP($G661,'KO Calc'!$H667:$AW667,13,FALSE)),IF(AND($Q$1=TRUE,$S$4=FALSE),IF(OR($Q$4=TRUE,$Q$5=TRUE,$S$2=TRUE),VLOOKUP($G661,'KO Calc'!$H:$AW,3,FALSE),VLOOKUP($G661,'KO Calc'!$H667:$AW667,3,FALSE)),
IF(AND($Q$1=TRUE,$S$1=TRUE,$S$4=TRUE)=TRUE,IF(OR($Q$4=TRUE,$Q$5=TRUE,$S$2=TRUE),VLOOKUP($G661,'KO Calc'!$H:$AW,18,FALSE),VLOOKUP($G661,'KO Calc'!$H667:$AW667,18,FALSE)),IF(AND($Q$1=TRUE,$S$4=TRUE),IF(OR($Q$4=TRUE,$Q$5=TRUE,$S$2=TRUE),VLOOKUP($G661,'KO Calc'!$H:$AW,8,FALSE),VLOOKUP($G661,'KO Calc'!$H667:$AW667,8,FALSE)),
IF(AND($S$3=TRUE,$S$1=TRUE,$S$4=FALSE)=TRUE,IF(OR($Q$4=TRUE,$Q$5=TRUE,$S$2=TRUE),VLOOKUP($G661,'KO Calc'!$H:$AW,33,FALSE),VLOOKUP($G661,'KO Calc'!$H667:$AW667,33,FALSE)),IF(AND($S$3=TRUE,$S$4=FALSE),IF(OR($Q$4=TRUE,$Q$5=TRUE,$S$2=TRUE),VLOOKUP($G661,'KO Calc'!$H:$AW,23,FALSE),VLOOKUP($G661,'KO Calc'!$H667:$AW667,23,FALSE)),
IF(AND($S$3=TRUE,$S$1=TRUE,$S$4=TRUE)=TRUE,IF(OR($Q$4=TRUE,$Q$5=TRUE,$S$2=TRUE),VLOOKUP($G661,'KO Calc'!$H:$AW,38,FALSE),VLOOKUP($G661,'KO Calc'!$H667:$AW667,38,FALSE)),IF(AND($S$3=TRUE,$S$4=TRUE),IF(OR($Q$4=TRUE,$Q$5=TRUE,$S$2=TRUE),VLOOKUP($G661,'KO Calc'!$H:$AW,28,FALSE),VLOOKUP($G661,'KO Calc'!$H667:$AW667,28,FALSE)))))))))))))</f>
        <v>-</v>
      </c>
      <c r="J661" s="36" t="str">
        <f>IF(AND($Q$1=FALSE,$S$3=FALSE),"-",IF(AND($Q$1=TRUE,$S$3=TRUE),"-",IF(AND($Q$1=FALSE,$S$3=FALSE),"-",IF(AND($Q$1=TRUE,$S$1=TRUE,$S$4=FALSE)=TRUE,IF(OR($Q$4=TRUE,$Q$5=TRUE,$S$2=TRUE),VLOOKUP($G661,'KO Calc'!$H:$AW,FALSE),VLOOKUP($G661,'KO Calc'!$H667:$AW667,14,FALSE)),IF(AND($Q$1=TRUE,$S$4=FALSE),IF(OR($Q$4=TRUE,$Q$5=TRUE,$S$2=TRUE),VLOOKUP($G661,'KO Calc'!$H:$AW,4,FALSE),VLOOKUP($G661,'KO Calc'!$H667:$AW667,4,FALSE)),
IF(AND($Q$1=TRUE,$S$1=TRUE,$S$4=TRUE)=TRUE,IF(OR($Q$4=TRUE,$Q$5=TRUE,$S$2=TRUE),VLOOKUP($G661,'KO Calc'!$H:$AW,19,FALSE),VLOOKUP($G661,'KO Calc'!$H667:$AW667,19,FALSE)),IF(AND($Q$1=TRUE,$S$4=TRUE),IF(OR($Q$4=TRUE,$Q$5=TRUE,$S$2=TRUE),VLOOKUP($G661,'KO Calc'!$H:$AW,9,FALSE),VLOOKUP($G661,'KO Calc'!$H667:$AW667,9,FALSE)),
IF(AND($S$3=TRUE,$S$1=TRUE,$S$4=FALSE)=TRUE,IF(OR($Q$4=TRUE,$Q$5=TRUE,$S$2=TRUE),VLOOKUP($G661,'KO Calc'!$H:$AW,34,FALSE),VLOOKUP($G661,'KO Calc'!$H667:$AW667,34,FALSE)),IF(AND($S$3=TRUE,$S$4=FALSE),IF(OR($Q$4=TRUE,$Q$5=TRUE,$S$2=TRUE),VLOOKUP($G661,'KO Calc'!$H:$AW,24,FALSE),VLOOKUP($G661,'KO Calc'!$H667:$AW667,24,FALSE)),
IF(AND($S$3=TRUE,$S$1=TRUE,$S$4=TRUE)=TRUE,IF(OR($Q$4=TRUE,$Q$5=TRUE,$S$2=TRUE),VLOOKUP($G661,'KO Calc'!$H:$AW,39,FALSE),VLOOKUP($G661,'KO Calc'!$H667:$AW667,39,FALSE)),IF(AND($S$3=TRUE,$S$4=TRUE),IF(OR($Q$4=TRUE,$Q$5=TRUE,$S$2=TRUE),VLOOKUP($G661,'KO Calc'!$H:$AW,29,FALSE),VLOOKUP($G661,'KO Calc'!$H667:$AW667,29,FALSE)))))))))))))</f>
        <v>-</v>
      </c>
      <c r="K661" s="36" t="str">
        <f>IF(AND($Q$1=FALSE,$S$3=FALSE),"-",IF(AND($Q$1=TRUE,$S$3=TRUE),"-",IF(AND($Q$1=FALSE,$S$3=FALSE),"-",IF(AND($Q$1=TRUE,$S$1=TRUE,$S$4=FALSE)=TRUE,IF(OR($Q$4=TRUE,$Q$5=TRUE,$S$2=TRUE),VLOOKUP($G661,'KO Calc'!$H:$AW,15,FALSE),VLOOKUP($G661,'KO Calc'!$H667:$AW667,15,FALSE)),IF(AND($Q$1=TRUE,$S$4=FALSE),IF(OR($Q$4=TRUE,$Q$5=TRUE,$S$2=TRUE),VLOOKUP($G661,'KO Calc'!$H:$AW,5,FALSE),VLOOKUP($G661,'KO Calc'!$H667:$AW667,5,FALSE)),
IF(AND($Q$1=TRUE,$S$1=TRUE,$S$4=TRUE)=TRUE,IF(OR($Q$4=TRUE,$Q$5=TRUE,$S$2=TRUE),VLOOKUP($G661,'KO Calc'!$H:$AW,20,FALSE),VLOOKUP($G661,'KO Calc'!$H667:$AW667,20,FALSE)),IF(AND($Q$1=TRUE,$S$4=TRUE),IF(OR($Q$4=TRUE,$Q$5=TRUE,$S$2=TRUE),VLOOKUP($G661,'KO Calc'!$H:$AW,10,FALSE),VLOOKUP($G661,'KO Calc'!$H667:$AW667,10,FALSE)),
IF(AND($S$3=TRUE,$S$1=TRUE,$S$4=FALSE)=TRUE,IF(OR($Q$4=TRUE,$Q$5=TRUE,$S$2=TRUE),VLOOKUP($G661,'KO Calc'!$H:$AW,35,FALSE),VLOOKUP($G661,'KO Calc'!$H667:$AW667,35,FALSE)),IF(AND($S$3=TRUE,$S$4=FALSE),IF(OR($Q$4=TRUE,$Q$5=TRUE,$S$2=TRUE),VLOOKUP($G661,'KO Calc'!$H:$AW,25,FALSE),VLOOKUP($G661,'KO Calc'!$H667:$AW667,25,FALSE)),
IF(AND($S$3=TRUE,$S$1=TRUE,$S$4=TRUE)=TRUE,IF(OR($Q$4=TRUE,$Q$5=TRUE,$S$2=TRUE),VLOOKUP($G661,'KO Calc'!$H:$AW,40,FALSE),VLOOKUP($G661,'KO Calc'!$H667:$AW667,40,FALSE)),IF(AND($S$3=TRUE,$S$4=TRUE),IF(OR($Q$4=TRUE,$Q$5=TRUE,$S$2=TRUE),VLOOKUP($G661,'KO Calc'!$H:$AW,30,FALSE),VLOOKUP($G661,'KO Calc'!$H667:$AW667,30,FALSE)))))))))))))</f>
        <v>-</v>
      </c>
      <c r="L661" s="36" t="str">
        <f>IFERROR(IF(AND($Q$1=FALSE,$S$3=FALSE),"-",VLOOKUP($E661,'Status Thresholds'!$E:$AU,41,FALSE)),"-")</f>
        <v>-</v>
      </c>
      <c r="M661" s="36" t="str">
        <f>IFERROR(IF(AND($Q$1=FALSE,$S$3=FALSE),"-",VLOOKUP($E661,'Status Thresholds'!$E:$AU,42,FALSE)),"-")</f>
        <v>-</v>
      </c>
      <c r="N661" s="36" t="str">
        <f>IFERROR(IF(AND($Q$1=FALSE,$S$3=FALSE),"-",VLOOKUP($E661,'Status Thresholds'!$E:$AU,43,FALSE)),"-")</f>
        <v>-</v>
      </c>
    </row>
    <row r="662" spans="2:14" x14ac:dyDescent="0.25">
      <c r="B662" s="64" t="str">
        <f>VLOOKUP(C662,'Status Thresholds'!B:C,2,FALSE)</f>
        <v>Deviant</v>
      </c>
      <c r="C662" s="46" t="str">
        <f>IF(ISBLANK('KO Calc'!C658)=TRUE,"",'KO Calc'!C658)</f>
        <v>Rustrazor Ceanataur</v>
      </c>
      <c r="D662" s="78" t="s">
        <v>207</v>
      </c>
      <c r="E662" s="62" t="str">
        <f t="shared" si="19"/>
        <v>Rustrazor CeanataurShock Trap</v>
      </c>
      <c r="F662" t="s">
        <v>13</v>
      </c>
      <c r="G662" s="36" t="str">
        <f t="shared" si="20"/>
        <v>Rustrazor CeanataurCrag 3</v>
      </c>
      <c r="H662" s="36" t="str">
        <f>IF(AND($Q$1=FALSE,$S$3=FALSE),"-",IF(AND($Q$1=TRUE,$S$3=TRUE),"-",IF(AND($Q$1=FALSE,$S$3=FALSE),"-",IF(AND($Q$1=TRUE,$S$1=TRUE,$S$4=FALSE)=TRUE,IF(OR($Q$4=TRUE,$Q$5=TRUE,$S$2=TRUE),VLOOKUP($G662,'KO Calc'!$H:$AW,12,FALSE),VLOOKUP($G662,'KO Calc'!$H668:$AW668,12,FALSE)),IF(AND($Q$1=TRUE,$S$4=FALSE),IF(OR($Q$4=TRUE,$Q$5=TRUE,$S$2=TRUE),VLOOKUP($G662,'KO Calc'!$H:$AW,2,FALSE),VLOOKUP($G662,'KO Calc'!$H668:$AW668,2,FALSE)),
IF(AND($Q$1=TRUE,$S$1=TRUE,$S$4=TRUE)=TRUE,IF(OR($Q$4=TRUE,$Q$5=TRUE,$S$2=TRUE),VLOOKUP($G662,'KO Calc'!$H:$AW,17,FALSE),VLOOKUP($G662,'KO Calc'!$H668:$AW668,17,FALSE)),IF(AND($Q$1=TRUE,$S$4=TRUE),IF(OR($Q$4=TRUE,$Q$5=TRUE,$S$2=TRUE),VLOOKUP($G662,'KO Calc'!$H:$AW,7,FALSE),VLOOKUP($G662,'KO Calc'!$H668:$AW668,7,FALSE)),
IF(AND($S$3=TRUE,$S$1=TRUE,$S$4=FALSE)=TRUE,IF(OR($Q$4=TRUE,$Q$5=TRUE,$S$2=TRUE),VLOOKUP($G662,'KO Calc'!$H:$AW,32,FALSE),VLOOKUP($G662,'KO Calc'!$H668:$AW668,32,FALSE)),IF(AND($S$3=TRUE,$S$4=FALSE),IF(OR($Q$4=TRUE,$Q$5=TRUE,$S$2=TRUE),VLOOKUP($G662,'KO Calc'!$H:$AW,22,FALSE),VLOOKUP($G662,'KO Calc'!$H668:$AW668,22,FALSE)),
IF(AND($S$3=TRUE,$S$1=TRUE,$S$4=TRUE)=TRUE,IF(OR($Q$4=TRUE,$Q$5=TRUE,$S$2=TRUE),VLOOKUP($G662,'KO Calc'!$H:$AW,37,FALSE),VLOOKUP($G662,'KO Calc'!$H668:$AW668,37,FALSE)),IF(AND($S$3=TRUE,$S$4=TRUE),IF(OR($Q$4=TRUE,$Q$5=TRUE,$S$2=TRUE),VLOOKUP($G662,'KO Calc'!$H:$AW,27,FALSE),VLOOKUP($G662,'KO Calc'!$H668:$AW668,27,FALSE)))))))))))))</f>
        <v>-</v>
      </c>
      <c r="I662" s="36" t="str">
        <f>IF(AND($Q$1=FALSE,$S$3=FALSE),"-",IF(AND($Q$1=TRUE,$S$3=TRUE),"-",IF(AND($Q$1=FALSE,$S$3=FALSE),"-",IF(AND($Q$1=TRUE,$S$1=TRUE,$S$4=FALSE)=TRUE,IF(OR($Q$4=TRUE,$Q$5=TRUE,$S$2=TRUE),VLOOKUP($G662,'KO Calc'!$H:$AW,13,FALSE),VLOOKUP($G662,'KO Calc'!$H668:$AW668,13,FALSE)),IF(AND($Q$1=TRUE,$S$4=FALSE),IF(OR($Q$4=TRUE,$Q$5=TRUE,$S$2=TRUE),VLOOKUP($G662,'KO Calc'!$H:$AW,3,FALSE),VLOOKUP($G662,'KO Calc'!$H668:$AW668,3,FALSE)),
IF(AND($Q$1=TRUE,$S$1=TRUE,$S$4=TRUE)=TRUE,IF(OR($Q$4=TRUE,$Q$5=TRUE,$S$2=TRUE),VLOOKUP($G662,'KO Calc'!$H:$AW,18,FALSE),VLOOKUP($G662,'KO Calc'!$H668:$AW668,18,FALSE)),IF(AND($Q$1=TRUE,$S$4=TRUE),IF(OR($Q$4=TRUE,$Q$5=TRUE,$S$2=TRUE),VLOOKUP($G662,'KO Calc'!$H:$AW,8,FALSE),VLOOKUP($G662,'KO Calc'!$H668:$AW668,8,FALSE)),
IF(AND($S$3=TRUE,$S$1=TRUE,$S$4=FALSE)=TRUE,IF(OR($Q$4=TRUE,$Q$5=TRUE,$S$2=TRUE),VLOOKUP($G662,'KO Calc'!$H:$AW,33,FALSE),VLOOKUP($G662,'KO Calc'!$H668:$AW668,33,FALSE)),IF(AND($S$3=TRUE,$S$4=FALSE),IF(OR($Q$4=TRUE,$Q$5=TRUE,$S$2=TRUE),VLOOKUP($G662,'KO Calc'!$H:$AW,23,FALSE),VLOOKUP($G662,'KO Calc'!$H668:$AW668,23,FALSE)),
IF(AND($S$3=TRUE,$S$1=TRUE,$S$4=TRUE)=TRUE,IF(OR($Q$4=TRUE,$Q$5=TRUE,$S$2=TRUE),VLOOKUP($G662,'KO Calc'!$H:$AW,38,FALSE),VLOOKUP($G662,'KO Calc'!$H668:$AW668,38,FALSE)),IF(AND($S$3=TRUE,$S$4=TRUE),IF(OR($Q$4=TRUE,$Q$5=TRUE,$S$2=TRUE),VLOOKUP($G662,'KO Calc'!$H:$AW,28,FALSE),VLOOKUP($G662,'KO Calc'!$H668:$AW668,28,FALSE)))))))))))))</f>
        <v>-</v>
      </c>
      <c r="J662" s="36" t="str">
        <f>IF(AND($Q$1=FALSE,$S$3=FALSE),"-",IF(AND($Q$1=TRUE,$S$3=TRUE),"-",IF(AND($Q$1=FALSE,$S$3=FALSE),"-",IF(AND($Q$1=TRUE,$S$1=TRUE,$S$4=FALSE)=TRUE,IF(OR($Q$4=TRUE,$Q$5=TRUE,$S$2=TRUE),VLOOKUP($G662,'KO Calc'!$H:$AW,FALSE),VLOOKUP($G662,'KO Calc'!$H668:$AW668,14,FALSE)),IF(AND($Q$1=TRUE,$S$4=FALSE),IF(OR($Q$4=TRUE,$Q$5=TRUE,$S$2=TRUE),VLOOKUP($G662,'KO Calc'!$H:$AW,4,FALSE),VLOOKUP($G662,'KO Calc'!$H668:$AW668,4,FALSE)),
IF(AND($Q$1=TRUE,$S$1=TRUE,$S$4=TRUE)=TRUE,IF(OR($Q$4=TRUE,$Q$5=TRUE,$S$2=TRUE),VLOOKUP($G662,'KO Calc'!$H:$AW,19,FALSE),VLOOKUP($G662,'KO Calc'!$H668:$AW668,19,FALSE)),IF(AND($Q$1=TRUE,$S$4=TRUE),IF(OR($Q$4=TRUE,$Q$5=TRUE,$S$2=TRUE),VLOOKUP($G662,'KO Calc'!$H:$AW,9,FALSE),VLOOKUP($G662,'KO Calc'!$H668:$AW668,9,FALSE)),
IF(AND($S$3=TRUE,$S$1=TRUE,$S$4=FALSE)=TRUE,IF(OR($Q$4=TRUE,$Q$5=TRUE,$S$2=TRUE),VLOOKUP($G662,'KO Calc'!$H:$AW,34,FALSE),VLOOKUP($G662,'KO Calc'!$H668:$AW668,34,FALSE)),IF(AND($S$3=TRUE,$S$4=FALSE),IF(OR($Q$4=TRUE,$Q$5=TRUE,$S$2=TRUE),VLOOKUP($G662,'KO Calc'!$H:$AW,24,FALSE),VLOOKUP($G662,'KO Calc'!$H668:$AW668,24,FALSE)),
IF(AND($S$3=TRUE,$S$1=TRUE,$S$4=TRUE)=TRUE,IF(OR($Q$4=TRUE,$Q$5=TRUE,$S$2=TRUE),VLOOKUP($G662,'KO Calc'!$H:$AW,39,FALSE),VLOOKUP($G662,'KO Calc'!$H668:$AW668,39,FALSE)),IF(AND($S$3=TRUE,$S$4=TRUE),IF(OR($Q$4=TRUE,$Q$5=TRUE,$S$2=TRUE),VLOOKUP($G662,'KO Calc'!$H:$AW,29,FALSE),VLOOKUP($G662,'KO Calc'!$H668:$AW668,29,FALSE)))))))))))))</f>
        <v>-</v>
      </c>
      <c r="K662" s="36" t="str">
        <f>IF(AND($Q$1=FALSE,$S$3=FALSE),"-",IF(AND($Q$1=TRUE,$S$3=TRUE),"-",IF(AND($Q$1=FALSE,$S$3=FALSE),"-",IF(AND($Q$1=TRUE,$S$1=TRUE,$S$4=FALSE)=TRUE,IF(OR($Q$4=TRUE,$Q$5=TRUE,$S$2=TRUE),VLOOKUP($G662,'KO Calc'!$H:$AW,15,FALSE),VLOOKUP($G662,'KO Calc'!$H668:$AW668,15,FALSE)),IF(AND($Q$1=TRUE,$S$4=FALSE),IF(OR($Q$4=TRUE,$Q$5=TRUE,$S$2=TRUE),VLOOKUP($G662,'KO Calc'!$H:$AW,5,FALSE),VLOOKUP($G662,'KO Calc'!$H668:$AW668,5,FALSE)),
IF(AND($Q$1=TRUE,$S$1=TRUE,$S$4=TRUE)=TRUE,IF(OR($Q$4=TRUE,$Q$5=TRUE,$S$2=TRUE),VLOOKUP($G662,'KO Calc'!$H:$AW,20,FALSE),VLOOKUP($G662,'KO Calc'!$H668:$AW668,20,FALSE)),IF(AND($Q$1=TRUE,$S$4=TRUE),IF(OR($Q$4=TRUE,$Q$5=TRUE,$S$2=TRUE),VLOOKUP($G662,'KO Calc'!$H:$AW,10,FALSE),VLOOKUP($G662,'KO Calc'!$H668:$AW668,10,FALSE)),
IF(AND($S$3=TRUE,$S$1=TRUE,$S$4=FALSE)=TRUE,IF(OR($Q$4=TRUE,$Q$5=TRUE,$S$2=TRUE),VLOOKUP($G662,'KO Calc'!$H:$AW,35,FALSE),VLOOKUP($G662,'KO Calc'!$H668:$AW668,35,FALSE)),IF(AND($S$3=TRUE,$S$4=FALSE),IF(OR($Q$4=TRUE,$Q$5=TRUE,$S$2=TRUE),VLOOKUP($G662,'KO Calc'!$H:$AW,25,FALSE),VLOOKUP($G662,'KO Calc'!$H668:$AW668,25,FALSE)),
IF(AND($S$3=TRUE,$S$1=TRUE,$S$4=TRUE)=TRUE,IF(OR($Q$4=TRUE,$Q$5=TRUE,$S$2=TRUE),VLOOKUP($G662,'KO Calc'!$H:$AW,40,FALSE),VLOOKUP($G662,'KO Calc'!$H668:$AW668,40,FALSE)),IF(AND($S$3=TRUE,$S$4=TRUE),IF(OR($Q$4=TRUE,$Q$5=TRUE,$S$2=TRUE),VLOOKUP($G662,'KO Calc'!$H:$AW,30,FALSE),VLOOKUP($G662,'KO Calc'!$H668:$AW668,30,FALSE)))))))))))))</f>
        <v>-</v>
      </c>
      <c r="L662" s="36" t="str">
        <f>IFERROR(IF(AND($Q$1=FALSE,$S$3=FALSE),"-",VLOOKUP($E662,'Status Thresholds'!$E:$AU,43,FALSE)),"-")</f>
        <v>-</v>
      </c>
      <c r="M662" s="36" t="str">
        <f>IFERROR(IF(AND($Q$1=FALSE,$S$3=FALSE),"-",VLOOKUP($E662,'Status Thresholds'!$E:$AU,41,FALSE)),"-")</f>
        <v>-</v>
      </c>
      <c r="N662" s="36" t="str">
        <f>IFERROR(IF(AND($Q$1=FALSE,$S$3=FALSE),"-",VLOOKUP($E662,'Status Thresholds'!$E:$AU,42,FALSE)),"-")</f>
        <v>-</v>
      </c>
    </row>
    <row r="663" spans="2:14" x14ac:dyDescent="0.25">
      <c r="B663" s="64" t="str">
        <f>VLOOKUP(C663,'Status Thresholds'!B:C,2,FALSE)</f>
        <v>Deviant</v>
      </c>
      <c r="C663" s="46" t="str">
        <f>IF(ISBLANK('KO Calc'!C659)=TRUE,"",'KO Calc'!C659)</f>
        <v>Rustrazor Ceanataur</v>
      </c>
      <c r="D663" s="78" t="s">
        <v>213</v>
      </c>
      <c r="E663" s="62" t="str">
        <f t="shared" si="19"/>
        <v>Rustrazor CeanataurPitfall Trap</v>
      </c>
      <c r="F663" t="s">
        <v>12</v>
      </c>
      <c r="G663" s="36" t="str">
        <f t="shared" si="20"/>
        <v>Rustrazor CeanataurCrag 2</v>
      </c>
      <c r="H663" s="36" t="str">
        <f>IF(AND($Q$1=FALSE,$S$3=FALSE),"-",IF(AND($Q$1=TRUE,$S$3=TRUE),"-",IF(AND($Q$1=FALSE,$S$3=FALSE),"-",IF(AND($Q$1=TRUE,$S$1=TRUE,$S$4=FALSE)=TRUE,IF(OR($Q$4=TRUE,$Q$5=TRUE,$S$2=TRUE),VLOOKUP($G663,'KO Calc'!$H:$AW,12,FALSE),VLOOKUP($G663,'KO Calc'!$H669:$AW669,12,FALSE)),IF(AND($Q$1=TRUE,$S$4=FALSE),IF(OR($Q$4=TRUE,$Q$5=TRUE,$S$2=TRUE),VLOOKUP($G663,'KO Calc'!$H:$AW,2,FALSE),VLOOKUP($G663,'KO Calc'!$H669:$AW669,2,FALSE)),
IF(AND($Q$1=TRUE,$S$1=TRUE,$S$4=TRUE)=TRUE,IF(OR($Q$4=TRUE,$Q$5=TRUE,$S$2=TRUE),VLOOKUP($G663,'KO Calc'!$H:$AW,17,FALSE),VLOOKUP($G663,'KO Calc'!$H669:$AW669,17,FALSE)),IF(AND($Q$1=TRUE,$S$4=TRUE),IF(OR($Q$4=TRUE,$Q$5=TRUE,$S$2=TRUE),VLOOKUP($G663,'KO Calc'!$H:$AW,7,FALSE),VLOOKUP($G663,'KO Calc'!$H669:$AW669,7,FALSE)),
IF(AND($S$3=TRUE,$S$1=TRUE,$S$4=FALSE)=TRUE,IF(OR($Q$4=TRUE,$Q$5=TRUE,$S$2=TRUE),VLOOKUP($G663,'KO Calc'!$H:$AW,32,FALSE),VLOOKUP($G663,'KO Calc'!$H669:$AW669,32,FALSE)),IF(AND($S$3=TRUE,$S$4=FALSE),IF(OR($Q$4=TRUE,$Q$5=TRUE,$S$2=TRUE),VLOOKUP($G663,'KO Calc'!$H:$AW,22,FALSE),VLOOKUP($G663,'KO Calc'!$H669:$AW669,22,FALSE)),
IF(AND($S$3=TRUE,$S$1=TRUE,$S$4=TRUE)=TRUE,IF(OR($Q$4=TRUE,$Q$5=TRUE,$S$2=TRUE),VLOOKUP($G663,'KO Calc'!$H:$AW,37,FALSE),VLOOKUP($G663,'KO Calc'!$H669:$AW669,37,FALSE)),IF(AND($S$3=TRUE,$S$4=TRUE),IF(OR($Q$4=TRUE,$Q$5=TRUE,$S$2=TRUE),VLOOKUP($G663,'KO Calc'!$H:$AW,27,FALSE),VLOOKUP($G663,'KO Calc'!$H669:$AW669,27,FALSE)))))))))))))</f>
        <v>-</v>
      </c>
      <c r="I663" s="36" t="str">
        <f>IF(AND($Q$1=FALSE,$S$3=FALSE),"-",IF(AND($Q$1=TRUE,$S$3=TRUE),"-",IF(AND($Q$1=FALSE,$S$3=FALSE),"-",IF(AND($Q$1=TRUE,$S$1=TRUE,$S$4=FALSE)=TRUE,IF(OR($Q$4=TRUE,$Q$5=TRUE,$S$2=TRUE),VLOOKUP($G663,'KO Calc'!$H:$AW,13,FALSE),VLOOKUP($G663,'KO Calc'!$H669:$AW669,13,FALSE)),IF(AND($Q$1=TRUE,$S$4=FALSE),IF(OR($Q$4=TRUE,$Q$5=TRUE,$S$2=TRUE),VLOOKUP($G663,'KO Calc'!$H:$AW,3,FALSE),VLOOKUP($G663,'KO Calc'!$H669:$AW669,3,FALSE)),
IF(AND($Q$1=TRUE,$S$1=TRUE,$S$4=TRUE)=TRUE,IF(OR($Q$4=TRUE,$Q$5=TRUE,$S$2=TRUE),VLOOKUP($G663,'KO Calc'!$H:$AW,18,FALSE),VLOOKUP($G663,'KO Calc'!$H669:$AW669,18,FALSE)),IF(AND($Q$1=TRUE,$S$4=TRUE),IF(OR($Q$4=TRUE,$Q$5=TRUE,$S$2=TRUE),VLOOKUP($G663,'KO Calc'!$H:$AW,8,FALSE),VLOOKUP($G663,'KO Calc'!$H669:$AW669,8,FALSE)),
IF(AND($S$3=TRUE,$S$1=TRUE,$S$4=FALSE)=TRUE,IF(OR($Q$4=TRUE,$Q$5=TRUE,$S$2=TRUE),VLOOKUP($G663,'KO Calc'!$H:$AW,33,FALSE),VLOOKUP($G663,'KO Calc'!$H669:$AW669,33,FALSE)),IF(AND($S$3=TRUE,$S$4=FALSE),IF(OR($Q$4=TRUE,$Q$5=TRUE,$S$2=TRUE),VLOOKUP($G663,'KO Calc'!$H:$AW,23,FALSE),VLOOKUP($G663,'KO Calc'!$H669:$AW669,23,FALSE)),
IF(AND($S$3=TRUE,$S$1=TRUE,$S$4=TRUE)=TRUE,IF(OR($Q$4=TRUE,$Q$5=TRUE,$S$2=TRUE),VLOOKUP($G663,'KO Calc'!$H:$AW,38,FALSE),VLOOKUP($G663,'KO Calc'!$H669:$AW669,38,FALSE)),IF(AND($S$3=TRUE,$S$4=TRUE),IF(OR($Q$4=TRUE,$Q$5=TRUE,$S$2=TRUE),VLOOKUP($G663,'KO Calc'!$H:$AW,28,FALSE),VLOOKUP($G663,'KO Calc'!$H669:$AW669,28,FALSE)))))))))))))</f>
        <v>-</v>
      </c>
      <c r="J663" s="36" t="str">
        <f>IF(AND($Q$1=FALSE,$S$3=FALSE),"-",IF(AND($Q$1=TRUE,$S$3=TRUE),"-",IF(AND($Q$1=FALSE,$S$3=FALSE),"-",IF(AND($Q$1=TRUE,$S$1=TRUE,$S$4=FALSE)=TRUE,IF(OR($Q$4=TRUE,$Q$5=TRUE,$S$2=TRUE),VLOOKUP($G663,'KO Calc'!$H:$AW,FALSE),VLOOKUP($G663,'KO Calc'!$H669:$AW669,14,FALSE)),IF(AND($Q$1=TRUE,$S$4=FALSE),IF(OR($Q$4=TRUE,$Q$5=TRUE,$S$2=TRUE),VLOOKUP($G663,'KO Calc'!$H:$AW,4,FALSE),VLOOKUP($G663,'KO Calc'!$H669:$AW669,4,FALSE)),
IF(AND($Q$1=TRUE,$S$1=TRUE,$S$4=TRUE)=TRUE,IF(OR($Q$4=TRUE,$Q$5=TRUE,$S$2=TRUE),VLOOKUP($G663,'KO Calc'!$H:$AW,19,FALSE),VLOOKUP($G663,'KO Calc'!$H669:$AW669,19,FALSE)),IF(AND($Q$1=TRUE,$S$4=TRUE),IF(OR($Q$4=TRUE,$Q$5=TRUE,$S$2=TRUE),VLOOKUP($G663,'KO Calc'!$H:$AW,9,FALSE),VLOOKUP($G663,'KO Calc'!$H669:$AW669,9,FALSE)),
IF(AND($S$3=TRUE,$S$1=TRUE,$S$4=FALSE)=TRUE,IF(OR($Q$4=TRUE,$Q$5=TRUE,$S$2=TRUE),VLOOKUP($G663,'KO Calc'!$H:$AW,34,FALSE),VLOOKUP($G663,'KO Calc'!$H669:$AW669,34,FALSE)),IF(AND($S$3=TRUE,$S$4=FALSE),IF(OR($Q$4=TRUE,$Q$5=TRUE,$S$2=TRUE),VLOOKUP($G663,'KO Calc'!$H:$AW,24,FALSE),VLOOKUP($G663,'KO Calc'!$H669:$AW669,24,FALSE)),
IF(AND($S$3=TRUE,$S$1=TRUE,$S$4=TRUE)=TRUE,IF(OR($Q$4=TRUE,$Q$5=TRUE,$S$2=TRUE),VLOOKUP($G663,'KO Calc'!$H:$AW,39,FALSE),VLOOKUP($G663,'KO Calc'!$H669:$AW669,39,FALSE)),IF(AND($S$3=TRUE,$S$4=TRUE),IF(OR($Q$4=TRUE,$Q$5=TRUE,$S$2=TRUE),VLOOKUP($G663,'KO Calc'!$H:$AW,29,FALSE),VLOOKUP($G663,'KO Calc'!$H669:$AW669,29,FALSE)))))))))))))</f>
        <v>-</v>
      </c>
      <c r="K663" s="36" t="str">
        <f>IF(AND($Q$1=FALSE,$S$3=FALSE),"-",IF(AND($Q$1=TRUE,$S$3=TRUE),"-",IF(AND($Q$1=FALSE,$S$3=FALSE),"-",IF(AND($Q$1=TRUE,$S$1=TRUE,$S$4=FALSE)=TRUE,IF(OR($Q$4=TRUE,$Q$5=TRUE,$S$2=TRUE),VLOOKUP($G663,'KO Calc'!$H:$AW,15,FALSE),VLOOKUP($G663,'KO Calc'!$H669:$AW669,15,FALSE)),IF(AND($Q$1=TRUE,$S$4=FALSE),IF(OR($Q$4=TRUE,$Q$5=TRUE,$S$2=TRUE),VLOOKUP($G663,'KO Calc'!$H:$AW,5,FALSE),VLOOKUP($G663,'KO Calc'!$H669:$AW669,5,FALSE)),
IF(AND($Q$1=TRUE,$S$1=TRUE,$S$4=TRUE)=TRUE,IF(OR($Q$4=TRUE,$Q$5=TRUE,$S$2=TRUE),VLOOKUP($G663,'KO Calc'!$H:$AW,20,FALSE),VLOOKUP($G663,'KO Calc'!$H669:$AW669,20,FALSE)),IF(AND($Q$1=TRUE,$S$4=TRUE),IF(OR($Q$4=TRUE,$Q$5=TRUE,$S$2=TRUE),VLOOKUP($G663,'KO Calc'!$H:$AW,10,FALSE),VLOOKUP($G663,'KO Calc'!$H669:$AW669,10,FALSE)),
IF(AND($S$3=TRUE,$S$1=TRUE,$S$4=FALSE)=TRUE,IF(OR($Q$4=TRUE,$Q$5=TRUE,$S$2=TRUE),VLOOKUP($G663,'KO Calc'!$H:$AW,35,FALSE),VLOOKUP($G663,'KO Calc'!$H669:$AW669,35,FALSE)),IF(AND($S$3=TRUE,$S$4=FALSE),IF(OR($Q$4=TRUE,$Q$5=TRUE,$S$2=TRUE),VLOOKUP($G663,'KO Calc'!$H:$AW,25,FALSE),VLOOKUP($G663,'KO Calc'!$H669:$AW669,25,FALSE)),
IF(AND($S$3=TRUE,$S$1=TRUE,$S$4=TRUE)=TRUE,IF(OR($Q$4=TRUE,$Q$5=TRUE,$S$2=TRUE),VLOOKUP($G663,'KO Calc'!$H:$AW,40,FALSE),VLOOKUP($G663,'KO Calc'!$H669:$AW669,40,FALSE)),IF(AND($S$3=TRUE,$S$4=TRUE),IF(OR($Q$4=TRUE,$Q$5=TRUE,$S$2=TRUE),VLOOKUP($G663,'KO Calc'!$H:$AW,30,FALSE),VLOOKUP($G663,'KO Calc'!$H669:$AW669,30,FALSE)))))))))))))</f>
        <v>-</v>
      </c>
      <c r="L663" s="36" t="str">
        <f>IFERROR(IF(AND($Q$1=FALSE,$S$3=FALSE),"-",VLOOKUP($E663,'Status Thresholds'!$E:$AU,43,FALSE)),"-")</f>
        <v>-</v>
      </c>
      <c r="M663" s="36" t="str">
        <f>IFERROR(IF(AND($Q$1=FALSE,$S$3=FALSE),"-",VLOOKUP($E663,'Status Thresholds'!$E:$AU,41,FALSE)),"-")</f>
        <v>-</v>
      </c>
      <c r="N663" s="36" t="str">
        <f>IFERROR(IF(AND($Q$1=FALSE,$S$3=FALSE),"-",VLOOKUP($E663,'Status Thresholds'!$E:$AU,42,FALSE)),"-")</f>
        <v>-</v>
      </c>
    </row>
    <row r="664" spans="2:14" x14ac:dyDescent="0.25">
      <c r="B664" s="64" t="str">
        <f>VLOOKUP(C664,'Status Thresholds'!B:C,2,FALSE)</f>
        <v>Deviant</v>
      </c>
      <c r="C664" s="46" t="str">
        <f>IF(ISBLANK('KO Calc'!C660)=TRUE,"",'KO Calc'!C660)</f>
        <v>Rustrazor Ceanataur</v>
      </c>
      <c r="D664" s="78"/>
      <c r="E664" s="62" t="str">
        <f t="shared" si="19"/>
        <v>Rustrazor Ceanataur</v>
      </c>
      <c r="F664" t="s">
        <v>11</v>
      </c>
      <c r="G664" s="36" t="str">
        <f t="shared" si="20"/>
        <v>Rustrazor CeanataurCrag 1</v>
      </c>
      <c r="H664" s="36" t="str">
        <f>IF(AND($Q$1=FALSE,$S$3=FALSE),"-",IF(AND($Q$1=TRUE,$S$3=TRUE),"-",IF(AND($Q$1=FALSE,$S$3=FALSE),"-",IF(AND($Q$1=TRUE,$S$1=TRUE,$S$4=FALSE)=TRUE,IF(OR($Q$4=TRUE,$Q$5=TRUE,$S$2=TRUE),VLOOKUP($G664,'KO Calc'!$H:$AW,12,FALSE),VLOOKUP($G664,'KO Calc'!$H670:$AW670,12,FALSE)),IF(AND($Q$1=TRUE,$S$4=FALSE),IF(OR($Q$4=TRUE,$Q$5=TRUE,$S$2=TRUE),VLOOKUP($G664,'KO Calc'!$H:$AW,2,FALSE),VLOOKUP($G664,'KO Calc'!$H670:$AW670,2,FALSE)),
IF(AND($Q$1=TRUE,$S$1=TRUE,$S$4=TRUE)=TRUE,IF(OR($Q$4=TRUE,$Q$5=TRUE,$S$2=TRUE),VLOOKUP($G664,'KO Calc'!$H:$AW,17,FALSE),VLOOKUP($G664,'KO Calc'!$H670:$AW670,17,FALSE)),IF(AND($Q$1=TRUE,$S$4=TRUE),IF(OR($Q$4=TRUE,$Q$5=TRUE,$S$2=TRUE),VLOOKUP($G664,'KO Calc'!$H:$AW,7,FALSE),VLOOKUP($G664,'KO Calc'!$H670:$AW670,7,FALSE)),
IF(AND($S$3=TRUE,$S$1=TRUE,$S$4=FALSE)=TRUE,IF(OR($Q$4=TRUE,$Q$5=TRUE,$S$2=TRUE),VLOOKUP($G664,'KO Calc'!$H:$AW,32,FALSE),VLOOKUP($G664,'KO Calc'!$H670:$AW670,32,FALSE)),IF(AND($S$3=TRUE,$S$4=FALSE),IF(OR($Q$4=TRUE,$Q$5=TRUE,$S$2=TRUE),VLOOKUP($G664,'KO Calc'!$H:$AW,22,FALSE),VLOOKUP($G664,'KO Calc'!$H670:$AW670,22,FALSE)),
IF(AND($S$3=TRUE,$S$1=TRUE,$S$4=TRUE)=TRUE,IF(OR($Q$4=TRUE,$Q$5=TRUE,$S$2=TRUE),VLOOKUP($G664,'KO Calc'!$H:$AW,37,FALSE),VLOOKUP($G664,'KO Calc'!$H670:$AW670,37,FALSE)),IF(AND($S$3=TRUE,$S$4=TRUE),IF(OR($Q$4=TRUE,$Q$5=TRUE,$S$2=TRUE),VLOOKUP($G664,'KO Calc'!$H:$AW,27,FALSE),VLOOKUP($G664,'KO Calc'!$H670:$AW670,27,FALSE)))))))))))))</f>
        <v>-</v>
      </c>
      <c r="I664" s="36" t="str">
        <f>IF(AND($Q$1=FALSE,$S$3=FALSE),"-",IF(AND($Q$1=TRUE,$S$3=TRUE),"-",IF(AND($Q$1=FALSE,$S$3=FALSE),"-",IF(AND($Q$1=TRUE,$S$1=TRUE,$S$4=FALSE)=TRUE,IF(OR($Q$4=TRUE,$Q$5=TRUE,$S$2=TRUE),VLOOKUP($G664,'KO Calc'!$H:$AW,13,FALSE),VLOOKUP($G664,'KO Calc'!$H670:$AW670,13,FALSE)),IF(AND($Q$1=TRUE,$S$4=FALSE),IF(OR($Q$4=TRUE,$Q$5=TRUE,$S$2=TRUE),VLOOKUP($G664,'KO Calc'!$H:$AW,3,FALSE),VLOOKUP($G664,'KO Calc'!$H670:$AW670,3,FALSE)),
IF(AND($Q$1=TRUE,$S$1=TRUE,$S$4=TRUE)=TRUE,IF(OR($Q$4=TRUE,$Q$5=TRUE,$S$2=TRUE),VLOOKUP($G664,'KO Calc'!$H:$AW,18,FALSE),VLOOKUP($G664,'KO Calc'!$H670:$AW670,18,FALSE)),IF(AND($Q$1=TRUE,$S$4=TRUE),IF(OR($Q$4=TRUE,$Q$5=TRUE,$S$2=TRUE),VLOOKUP($G664,'KO Calc'!$H:$AW,8,FALSE),VLOOKUP($G664,'KO Calc'!$H670:$AW670,8,FALSE)),
IF(AND($S$3=TRUE,$S$1=TRUE,$S$4=FALSE)=TRUE,IF(OR($Q$4=TRUE,$Q$5=TRUE,$S$2=TRUE),VLOOKUP($G664,'KO Calc'!$H:$AW,33,FALSE),VLOOKUP($G664,'KO Calc'!$H670:$AW670,33,FALSE)),IF(AND($S$3=TRUE,$S$4=FALSE),IF(OR($Q$4=TRUE,$Q$5=TRUE,$S$2=TRUE),VLOOKUP($G664,'KO Calc'!$H:$AW,23,FALSE),VLOOKUP($G664,'KO Calc'!$H670:$AW670,23,FALSE)),
IF(AND($S$3=TRUE,$S$1=TRUE,$S$4=TRUE)=TRUE,IF(OR($Q$4=TRUE,$Q$5=TRUE,$S$2=TRUE),VLOOKUP($G664,'KO Calc'!$H:$AW,38,FALSE),VLOOKUP($G664,'KO Calc'!$H670:$AW670,38,FALSE)),IF(AND($S$3=TRUE,$S$4=TRUE),IF(OR($Q$4=TRUE,$Q$5=TRUE,$S$2=TRUE),VLOOKUP($G664,'KO Calc'!$H:$AW,28,FALSE),VLOOKUP($G664,'KO Calc'!$H670:$AW670,28,FALSE)))))))))))))</f>
        <v>-</v>
      </c>
      <c r="J664" s="36" t="str">
        <f>IF(AND($Q$1=FALSE,$S$3=FALSE),"-",IF(AND($Q$1=TRUE,$S$3=TRUE),"-",IF(AND($Q$1=FALSE,$S$3=FALSE),"-",IF(AND($Q$1=TRUE,$S$1=TRUE,$S$4=FALSE)=TRUE,IF(OR($Q$4=TRUE,$Q$5=TRUE,$S$2=TRUE),VLOOKUP($G664,'KO Calc'!$H:$AW,FALSE),VLOOKUP($G664,'KO Calc'!$H670:$AW670,14,FALSE)),IF(AND($Q$1=TRUE,$S$4=FALSE),IF(OR($Q$4=TRUE,$Q$5=TRUE,$S$2=TRUE),VLOOKUP($G664,'KO Calc'!$H:$AW,4,FALSE),VLOOKUP($G664,'KO Calc'!$H670:$AW670,4,FALSE)),
IF(AND($Q$1=TRUE,$S$1=TRUE,$S$4=TRUE)=TRUE,IF(OR($Q$4=TRUE,$Q$5=TRUE,$S$2=TRUE),VLOOKUP($G664,'KO Calc'!$H:$AW,19,FALSE),VLOOKUP($G664,'KO Calc'!$H670:$AW670,19,FALSE)),IF(AND($Q$1=TRUE,$S$4=TRUE),IF(OR($Q$4=TRUE,$Q$5=TRUE,$S$2=TRUE),VLOOKUP($G664,'KO Calc'!$H:$AW,9,FALSE),VLOOKUP($G664,'KO Calc'!$H670:$AW670,9,FALSE)),
IF(AND($S$3=TRUE,$S$1=TRUE,$S$4=FALSE)=TRUE,IF(OR($Q$4=TRUE,$Q$5=TRUE,$S$2=TRUE),VLOOKUP($G664,'KO Calc'!$H:$AW,34,FALSE),VLOOKUP($G664,'KO Calc'!$H670:$AW670,34,FALSE)),IF(AND($S$3=TRUE,$S$4=FALSE),IF(OR($Q$4=TRUE,$Q$5=TRUE,$S$2=TRUE),VLOOKUP($G664,'KO Calc'!$H:$AW,24,FALSE),VLOOKUP($G664,'KO Calc'!$H670:$AW670,24,FALSE)),
IF(AND($S$3=TRUE,$S$1=TRUE,$S$4=TRUE)=TRUE,IF(OR($Q$4=TRUE,$Q$5=TRUE,$S$2=TRUE),VLOOKUP($G664,'KO Calc'!$H:$AW,39,FALSE),VLOOKUP($G664,'KO Calc'!$H670:$AW670,39,FALSE)),IF(AND($S$3=TRUE,$S$4=TRUE),IF(OR($Q$4=TRUE,$Q$5=TRUE,$S$2=TRUE),VLOOKUP($G664,'KO Calc'!$H:$AW,29,FALSE),VLOOKUP($G664,'KO Calc'!$H670:$AW670,29,FALSE)))))))))))))</f>
        <v>-</v>
      </c>
      <c r="K664" s="36" t="str">
        <f>IF(AND($Q$1=FALSE,$S$3=FALSE),"-",IF(AND($Q$1=TRUE,$S$3=TRUE),"-",IF(AND($Q$1=FALSE,$S$3=FALSE),"-",IF(AND($Q$1=TRUE,$S$1=TRUE,$S$4=FALSE)=TRUE,IF(OR($Q$4=TRUE,$Q$5=TRUE,$S$2=TRUE),VLOOKUP($G664,'KO Calc'!$H:$AW,15,FALSE),VLOOKUP($G664,'KO Calc'!$H670:$AW670,15,FALSE)),IF(AND($Q$1=TRUE,$S$4=FALSE),IF(OR($Q$4=TRUE,$Q$5=TRUE,$S$2=TRUE),VLOOKUP($G664,'KO Calc'!$H:$AW,5,FALSE),VLOOKUP($G664,'KO Calc'!$H670:$AW670,5,FALSE)),
IF(AND($Q$1=TRUE,$S$1=TRUE,$S$4=TRUE)=TRUE,IF(OR($Q$4=TRUE,$Q$5=TRUE,$S$2=TRUE),VLOOKUP($G664,'KO Calc'!$H:$AW,20,FALSE),VLOOKUP($G664,'KO Calc'!$H670:$AW670,20,FALSE)),IF(AND($Q$1=TRUE,$S$4=TRUE),IF(OR($Q$4=TRUE,$Q$5=TRUE,$S$2=TRUE),VLOOKUP($G664,'KO Calc'!$H:$AW,10,FALSE),VLOOKUP($G664,'KO Calc'!$H670:$AW670,10,FALSE)),
IF(AND($S$3=TRUE,$S$1=TRUE,$S$4=FALSE)=TRUE,IF(OR($Q$4=TRUE,$Q$5=TRUE,$S$2=TRUE),VLOOKUP($G664,'KO Calc'!$H:$AW,35,FALSE),VLOOKUP($G664,'KO Calc'!$H670:$AW670,35,FALSE)),IF(AND($S$3=TRUE,$S$4=FALSE),IF(OR($Q$4=TRUE,$Q$5=TRUE,$S$2=TRUE),VLOOKUP($G664,'KO Calc'!$H:$AW,25,FALSE),VLOOKUP($G664,'KO Calc'!$H670:$AW670,25,FALSE)),
IF(AND($S$3=TRUE,$S$1=TRUE,$S$4=TRUE)=TRUE,IF(OR($Q$4=TRUE,$Q$5=TRUE,$S$2=TRUE),VLOOKUP($G664,'KO Calc'!$H:$AW,40,FALSE),VLOOKUP($G664,'KO Calc'!$H670:$AW670,40,FALSE)),IF(AND($S$3=TRUE,$S$4=TRUE),IF(OR($Q$4=TRUE,$Q$5=TRUE,$S$2=TRUE),VLOOKUP($G664,'KO Calc'!$H:$AW,30,FALSE),VLOOKUP($G664,'KO Calc'!$H670:$AW670,30,FALSE)))))))))))))</f>
        <v>-</v>
      </c>
      <c r="L664" s="36" t="str">
        <f>IFERROR(VLOOKUP($E664,'Status Thresholds'!$E:$AS,41,FALSE),"-")</f>
        <v>-</v>
      </c>
    </row>
    <row r="665" spans="2:14" x14ac:dyDescent="0.25">
      <c r="B665" s="64" t="str">
        <f>VLOOKUP(C665,'Status Thresholds'!B:C,2,FALSE)</f>
        <v>Deviant</v>
      </c>
      <c r="C665" s="46" t="str">
        <f>IF(ISBLANK('KO Calc'!C661)=TRUE,"",'KO Calc'!C661)</f>
        <v>Rustrazor Ceanataur</v>
      </c>
      <c r="D665" s="78"/>
      <c r="E665" s="62" t="str">
        <f t="shared" si="19"/>
        <v>Rustrazor Ceanataur</v>
      </c>
      <c r="G665" s="36" t="str">
        <f t="shared" si="20"/>
        <v>Rustrazor Ceanataur</v>
      </c>
      <c r="L665" s="36" t="str">
        <f>IFERROR(VLOOKUP($E665,'Status Thresholds'!$E:$AS,41,FALSE),"-")</f>
        <v>-</v>
      </c>
    </row>
    <row r="666" spans="2:14" x14ac:dyDescent="0.25">
      <c r="B666" s="64" t="str">
        <f>VLOOKUP(C666,'Status Thresholds'!B:C,2,FALSE)</f>
        <v>MHGen</v>
      </c>
      <c r="C666" s="46" t="str">
        <f>IF(ISBLANK('KO Calc'!C662)=TRUE,"",'KO Calc'!C662)</f>
        <v>Seltas</v>
      </c>
      <c r="D666" s="65" t="s">
        <v>0</v>
      </c>
      <c r="E666" s="62" t="str">
        <f t="shared" si="19"/>
        <v>SeltasPara</v>
      </c>
      <c r="F666" s="36" t="s">
        <v>2</v>
      </c>
      <c r="G666" s="36" t="str">
        <f t="shared" si="20"/>
        <v>SeltasPara lvl 2</v>
      </c>
      <c r="H666" s="36" t="str">
        <f>IFERROR(ROUNDUP(IF(AND($Q$1=FALSE,$S$3=FALSE),"-",IF(AND($Q$1=TRUE,$S$3=TRUE),"-",IF(AND($Q$1=TRUE,$S$1=TRUE,$S$4=FALSE),VLOOKUP($E666,'Status Thresholds'!$E:$AS,12,FALSE),IF(AND($Q$1=TRUE,$S$4=FALSE),VLOOKUP($E666,'Status Thresholds'!$E:$AS,2,FALSE), IF(AND($Q$1=TRUE,$S$1=TRUE,$S$4=TRUE),VLOOKUP($E666,'Status Thresholds'!$E:$AS,17,FALSE),IF(AND($Q$1=TRUE,$S$4=TRUE),VLOOKUP($E666,'Status Thresholds'!$E:$AS,7,FALSE),IF(AND($S$3=TRUE,$S$1=TRUE,$S$4=FALSE),VLOOKUP($E666,'Status Thresholds'!$E:$AS,32,FALSE),IF(AND($S$3=TRUE,$S$4=FALSE),VLOOKUP($E666,'Status Thresholds'!$E:$AS,22,FALSE),IF(AND($S$3=TRUE,$S$1=TRUE,$S$4=TRUE),VLOOKUP($E666,'Status Thresholds'!$E:$AS,37,FALSE),IF(AND($S$3=TRUE,$S$4=TRUE),VLOOKUP($E666,'Status Thresholds'!$E:$AS,27,FALSE),""))))))))/IF(OR($Q$3=TRUE,AND($Q$2=TRUE,$Q$7=TRUE),AND($Q$3=TRUE,$Q$7=TRUE))=TRUE,'Shots and Status'!$F$5,IF((OR($Q$2,$Q$7)=TRUE),'Shots and Status'!$D$5,'Shots and Status'!$C$5)))),0),"-")</f>
        <v>-</v>
      </c>
      <c r="I666" s="36" t="str">
        <f>IFERROR(ROUNDUP(IF(AND($Q$1=FALSE,$S$3=FALSE),"-",IF(AND($Q$1=TRUE,$S$3=TRUE),"-",IF(AND($Q$1=TRUE,$S$1=TRUE,$S$4=FALSE),VLOOKUP($E666,'Status Thresholds'!$E:$AS,13,FALSE),IF(AND($Q$1=TRUE,$S$4=FALSE),VLOOKUP($E666,'Status Thresholds'!$E:$AS,3,FALSE), IF(AND($Q$1=TRUE,$S$1=TRUE,$S$4=TRUE),VLOOKUP($E666,'Status Thresholds'!$E:$AS,18,FALSE),IF(AND($Q$1=TRUE,$S$4=TRUE),VLOOKUP($E666,'Status Thresholds'!$E:$AS,8,FALSE),IF(AND($S$3=TRUE,$S$1=TRUE,$S$4=FALSE),VLOOKUP($E666,'Status Thresholds'!$E:$AS,33,FALSE),IF(AND($S$3=TRUE,$S$4=FALSE),VLOOKUP($E666,'Status Thresholds'!$E:$AS,23,FALSE),IF(AND($S$3=TRUE,$S$1=TRUE,$S$4=TRUE),VLOOKUP($E666,'Status Thresholds'!$E:$AS,38,FALSE),IF(AND($S$3=TRUE,$S$4=TRUE),VLOOKUP($E666,'Status Thresholds'!$E:$AS,28,FALSE),""))))))))/IF(OR($Q$3=TRUE,AND($Q$2=TRUE,$Q$7=TRUE),AND($Q$3=TRUE,$Q$7=TRUE))=TRUE,'Shots and Status'!$F$5,IF((OR($Q$2,$Q$7)=TRUE),'Shots and Status'!$D$5,'Shots and Status'!$C$5)))),0),"-")</f>
        <v>-</v>
      </c>
      <c r="J666" s="36" t="str">
        <f>IFERROR(ROUNDUP(IF(AND($Q$1=FALSE,$S$3=FALSE),"-",IF(AND($Q$1=TRUE,$S$3=TRUE),"-",IF(AND($Q$1=TRUE,$S$1=TRUE,$S$4=FALSE),VLOOKUP($E666,'Status Thresholds'!$E:$AS,14,FALSE),IF(AND($Q$1=TRUE,$S$4=FALSE),VLOOKUP($E666,'Status Thresholds'!$E:$AS,4,FALSE), IF(AND($Q$1=TRUE,$S$1=TRUE,$S$4=TRUE),VLOOKUP($E666,'Status Thresholds'!$E:$AS,19,FALSE),IF(AND($Q$1=TRUE,$S$4=TRUE),VLOOKUP($E666,'Status Thresholds'!$E:$AS,9,FALSE),IF(AND($S$3=TRUE,$S$1=TRUE,$S$4=FALSE),VLOOKUP($E666,'Status Thresholds'!$E:$AS,34,FALSE),IF(AND($S$3=TRUE,$S$4=FALSE),VLOOKUP($E666,'Status Thresholds'!$E:$AS,24,FALSE),IF(AND($S$3=TRUE,$S$1=TRUE,$S$4=TRUE),VLOOKUP($E666,'Status Thresholds'!$E:$AS,39,FALSE),IF(AND($S$3=TRUE,$S$4=TRUE),VLOOKUP($E666,'Status Thresholds'!$E:$AS,29,FALSE),""))))))))/IF(OR($Q$3=TRUE,AND($Q$2=TRUE,$Q$7=TRUE),AND($Q$3=TRUE,$Q$7=TRUE))=TRUE,'Shots and Status'!$F$5,IF((OR($Q$2,$Q$7)=TRUE),'Shots and Status'!$D$5,'Shots and Status'!$C$5)))),0),"-")</f>
        <v>-</v>
      </c>
      <c r="K666" s="36" t="str">
        <f>IFERROR(ROUNDUP(IF(AND($Q$1=FALSE,$S$3=FALSE),"-",IF(AND($Q$1=TRUE,$S$3=TRUE),"-",IF(AND($Q$1=TRUE,$S$1=TRUE,$S$4=FALSE),VLOOKUP($E666,'Status Thresholds'!$E:$AS,15,FALSE),IF(AND($Q$1=TRUE,$S$4=FALSE),VLOOKUP($E666,'Status Thresholds'!$E:$AS,5,FALSE), IF(AND($Q$1=TRUE,$S$1=TRUE,$S$4=TRUE),VLOOKUP($E666,'Status Thresholds'!$E:$AS,20,FALSE),IF(AND($Q$1=TRUE,$S$4=TRUE),VLOOKUP($E666,'Status Thresholds'!$E:$AS,10,FALSE),IF(AND($S$3=TRUE,$S$1=TRUE,$S$4=FALSE),VLOOKUP($E666,'Status Thresholds'!$E:$AS,35,FALSE),IF(AND($S$3=TRUE,$S$4=FALSE),VLOOKUP($E666,'Status Thresholds'!$E:$AS,25,FALSE),IF(AND($S$3=TRUE,$S$1=TRUE,$S$4=TRUE),VLOOKUP($E666,'Status Thresholds'!$E:$AS,40,FALSE),IF(AND($S$3=TRUE,$S$4=TRUE),VLOOKUP($E666,'Status Thresholds'!$E:$AS,30,FALSE),""))))))))/IF(OR($Q$3=TRUE,AND($Q$2=TRUE,$Q$7=TRUE),AND($Q$3=TRUE,$Q$7=TRUE))=TRUE,'Shots and Status'!$F$5,IF((OR($Q$2,$Q$7)=TRUE),'Shots and Status'!$D$5,'Shots and Status'!$C$5)))),0),"-")</f>
        <v>-</v>
      </c>
      <c r="L666" s="36" t="str">
        <f>IFERROR(IF(AND($Q$1=FALSE,$S$3=FALSE),"-",VLOOKUP($E666,'Status Thresholds'!$E:$AU,41,FALSE)),"-")</f>
        <v>-</v>
      </c>
      <c r="M666" s="36" t="str">
        <f>IFERROR(IF(AND($Q$1=FALSE,$S$3=FALSE),"-",VLOOKUP($E666,'Status Thresholds'!$E:$AU,42,FALSE)),"-")</f>
        <v>-</v>
      </c>
      <c r="N666" s="36" t="str">
        <f>IFERROR(IF(AND($Q$1=FALSE,$S$3=FALSE),"-",VLOOKUP($E666,'Status Thresholds'!$E:$AU,43,FALSE)),"-")</f>
        <v>-</v>
      </c>
    </row>
    <row r="667" spans="2:14" x14ac:dyDescent="0.25">
      <c r="B667" s="64" t="str">
        <f>VLOOKUP(C667,'Status Thresholds'!B:C,2,FALSE)</f>
        <v>MHGen</v>
      </c>
      <c r="C667" s="46" t="str">
        <f>IF(ISBLANK('KO Calc'!C663)=TRUE,"",'KO Calc'!C663)</f>
        <v>Seltas</v>
      </c>
      <c r="D667" s="60" t="s">
        <v>32</v>
      </c>
      <c r="E667" s="62" t="str">
        <f t="shared" si="19"/>
        <v>SeltasSleep</v>
      </c>
      <c r="F667" s="59" t="s">
        <v>5</v>
      </c>
      <c r="G667" s="36" t="str">
        <f t="shared" si="20"/>
        <v>SeltasSleep lvl 2</v>
      </c>
      <c r="H667" s="36" t="str">
        <f>IFERROR(ROUNDUP(IF(AND($Q$1=FALSE,$S$3=FALSE),"-",IF(AND($Q$1=TRUE,$S$3=TRUE),"-",IF(AND($Q$1=TRUE,$S$1=TRUE,$S$4=FALSE),VLOOKUP($E667,'Status Thresholds'!$E:$AS,12,FALSE),IF(AND($Q$1=TRUE,$S$4=FALSE),VLOOKUP($E667,'Status Thresholds'!$E:$AS,2,FALSE), IF(AND($Q$1=TRUE,$S$1=TRUE,$S$4=TRUE),VLOOKUP($E667,'Status Thresholds'!$E:$AS,17,FALSE),IF(AND($Q$1=TRUE,$S$4=TRUE),VLOOKUP($E667,'Status Thresholds'!$E:$AS,7,FALSE),IF(AND($S$3=TRUE,$S$1=TRUE,$S$4=FALSE),VLOOKUP($E667,'Status Thresholds'!$E:$AS,32,FALSE),IF(AND($S$3=TRUE,$S$4=FALSE),VLOOKUP($E667,'Status Thresholds'!$E:$AS,22,FALSE),IF(AND($S$3=TRUE,$S$1=TRUE,$S$4=TRUE),VLOOKUP($E667,'Status Thresholds'!$E:$AS,37,FALSE),IF(AND($S$3=TRUE,$S$4=TRUE),VLOOKUP($E667,'Status Thresholds'!$E:$AS,27,FALSE),""))))))))/IF(OR($Q$3=TRUE,AND($Q$2=TRUE,$Q$7=TRUE),AND($Q$3=TRUE,$Q$7=TRUE))=TRUE,'Shots and Status'!$F$5,IF((OR($Q$2,$Q$7)=TRUE),'Shots and Status'!$D$5,'Shots and Status'!$C$5)))),0),"-")</f>
        <v>-</v>
      </c>
      <c r="I667" s="36" t="str">
        <f>IFERROR(ROUNDUP(IF(AND($Q$1=FALSE,$S$3=FALSE),"-",IF(AND($Q$1=TRUE,$S$3=TRUE),"-",IF(AND($Q$1=TRUE,$S$1=TRUE,$S$4=FALSE),VLOOKUP($E667,'Status Thresholds'!$E:$AS,13,FALSE),IF(AND($Q$1=TRUE,$S$4=FALSE),VLOOKUP($E667,'Status Thresholds'!$E:$AS,3,FALSE), IF(AND($Q$1=TRUE,$S$1=TRUE,$S$4=TRUE),VLOOKUP($E667,'Status Thresholds'!$E:$AS,18,FALSE),IF(AND($Q$1=TRUE,$S$4=TRUE),VLOOKUP($E667,'Status Thresholds'!$E:$AS,8,FALSE),IF(AND($S$3=TRUE,$S$1=TRUE,$S$4=FALSE),VLOOKUP($E667,'Status Thresholds'!$E:$AS,33,FALSE),IF(AND($S$3=TRUE,$S$4=FALSE),VLOOKUP($E667,'Status Thresholds'!$E:$AS,23,FALSE),IF(AND($S$3=TRUE,$S$1=TRUE,$S$4=TRUE),VLOOKUP($E667,'Status Thresholds'!$E:$AS,38,FALSE),IF(AND($S$3=TRUE,$S$4=TRUE),VLOOKUP($E667,'Status Thresholds'!$E:$AS,28,FALSE),""))))))))/IF(OR($Q$3=TRUE,AND($Q$2=TRUE,$Q$7=TRUE),AND($Q$3=TRUE,$Q$7=TRUE))=TRUE,'Shots and Status'!$F$5,IF((OR($Q$2,$Q$7)=TRUE),'Shots and Status'!$D$5,'Shots and Status'!$C$5)))),0),"-")</f>
        <v>-</v>
      </c>
      <c r="J667" s="36" t="str">
        <f>IFERROR(ROUNDUP(IF(AND($Q$1=FALSE,$S$3=FALSE),"-",IF(AND($Q$1=TRUE,$S$3=TRUE),"-",IF(AND($Q$1=TRUE,$S$1=TRUE,$S$4=FALSE),VLOOKUP($E667,'Status Thresholds'!$E:$AS,14,FALSE),IF(AND($Q$1=TRUE,$S$4=FALSE),VLOOKUP($E667,'Status Thresholds'!$E:$AS,4,FALSE), IF(AND($Q$1=TRUE,$S$1=TRUE,$S$4=TRUE),VLOOKUP($E667,'Status Thresholds'!$E:$AS,19,FALSE),IF(AND($Q$1=TRUE,$S$4=TRUE),VLOOKUP($E667,'Status Thresholds'!$E:$AS,9,FALSE),IF(AND($S$3=TRUE,$S$1=TRUE,$S$4=FALSE),VLOOKUP($E667,'Status Thresholds'!$E:$AS,34,FALSE),IF(AND($S$3=TRUE,$S$4=FALSE),VLOOKUP($E667,'Status Thresholds'!$E:$AS,24,FALSE),IF(AND($S$3=TRUE,$S$1=TRUE,$S$4=TRUE),VLOOKUP($E667,'Status Thresholds'!$E:$AS,39,FALSE),IF(AND($S$3=TRUE,$S$4=TRUE),VLOOKUP($E667,'Status Thresholds'!$E:$AS,29,FALSE),""))))))))/IF(OR($Q$3=TRUE,AND($Q$2=TRUE,$Q$7=TRUE),AND($Q$3=TRUE,$Q$7=TRUE))=TRUE,'Shots and Status'!$F$5,IF((OR($Q$2,$Q$7)=TRUE),'Shots and Status'!$D$5,'Shots and Status'!$C$5)))),0),"-")</f>
        <v>-</v>
      </c>
      <c r="K667" s="36" t="str">
        <f>IFERROR(ROUNDUP(IF(AND($Q$1=FALSE,$S$3=FALSE),"-",IF(AND($Q$1=TRUE,$S$3=TRUE),"-",IF(AND($Q$1=TRUE,$S$1=TRUE,$S$4=FALSE),VLOOKUP($E667,'Status Thresholds'!$E:$AS,15,FALSE),IF(AND($Q$1=TRUE,$S$4=FALSE),VLOOKUP($E667,'Status Thresholds'!$E:$AS,5,FALSE), IF(AND($Q$1=TRUE,$S$1=TRUE,$S$4=TRUE),VLOOKUP($E667,'Status Thresholds'!$E:$AS,20,FALSE),IF(AND($Q$1=TRUE,$S$4=TRUE),VLOOKUP($E667,'Status Thresholds'!$E:$AS,10,FALSE),IF(AND($S$3=TRUE,$S$1=TRUE,$S$4=FALSE),VLOOKUP($E667,'Status Thresholds'!$E:$AS,35,FALSE),IF(AND($S$3=TRUE,$S$4=FALSE),VLOOKUP($E667,'Status Thresholds'!$E:$AS,25,FALSE),IF(AND($S$3=TRUE,$S$1=TRUE,$S$4=TRUE),VLOOKUP($E667,'Status Thresholds'!$E:$AS,40,FALSE),IF(AND($S$3=TRUE,$S$4=TRUE),VLOOKUP($E667,'Status Thresholds'!$E:$AS,30,FALSE),""))))))))/IF(OR($Q$3=TRUE,AND($Q$2=TRUE,$Q$7=TRUE),AND($Q$3=TRUE,$Q$7=TRUE))=TRUE,'Shots and Status'!$F$5,IF((OR($Q$2,$Q$7)=TRUE),'Shots and Status'!$D$5,'Shots and Status'!$C$5)))),0),"-")</f>
        <v>-</v>
      </c>
      <c r="L667" s="36" t="str">
        <f>IFERROR(IF(AND($Q$1=FALSE,$S$3=FALSE),"-",VLOOKUP($E667,'Status Thresholds'!$E:$AU,41,FALSE)),"-")</f>
        <v>-</v>
      </c>
      <c r="M667" s="36" t="str">
        <f>IFERROR(IF(AND($Q$1=FALSE,$S$3=FALSE),"-",VLOOKUP($E667,'Status Thresholds'!$E:$AU,42,FALSE)),"-")</f>
        <v>-</v>
      </c>
      <c r="N667" s="36" t="str">
        <f>IFERROR(IF(AND($Q$1=FALSE,$S$3=FALSE),"-",VLOOKUP($E667,'Status Thresholds'!$E:$AU,43,FALSE)),"-")</f>
        <v>-</v>
      </c>
    </row>
    <row r="668" spans="2:14" x14ac:dyDescent="0.25">
      <c r="B668" s="64" t="str">
        <f>VLOOKUP(C668,'Status Thresholds'!B:C,2,FALSE)</f>
        <v>MHGen</v>
      </c>
      <c r="C668" s="46" t="str">
        <f>IF(ISBLANK('KO Calc'!C664)=TRUE,"",'KO Calc'!C664)</f>
        <v>Seltas</v>
      </c>
      <c r="D668" s="58" t="s">
        <v>33</v>
      </c>
      <c r="E668" s="62" t="str">
        <f t="shared" si="19"/>
        <v>SeltasPoison</v>
      </c>
      <c r="F668" s="59" t="s">
        <v>6</v>
      </c>
      <c r="G668" s="36" t="str">
        <f t="shared" si="20"/>
        <v>SeltasPoison lvl 2</v>
      </c>
      <c r="H668" s="36" t="str">
        <f>IFERROR(ROUNDUP(IF(AND($Q$1=FALSE,$S$3=FALSE),"-",IF(AND($Q$1=TRUE,$S$3=TRUE),"-",IF(AND($Q$1=TRUE,$S$1=TRUE,$S$4=FALSE),VLOOKUP($E668,'Status Thresholds'!$E:$AS,12,FALSE),IF(AND($Q$1=TRUE,$S$4=FALSE),VLOOKUP($E668,'Status Thresholds'!$E:$AS,2,FALSE), IF(AND($Q$1=TRUE,$S$1=TRUE,$S$4=TRUE),VLOOKUP($E668,'Status Thresholds'!$E:$AS,17,FALSE),IF(AND($Q$1=TRUE,$S$4=TRUE),VLOOKUP($E668,'Status Thresholds'!$E:$AS,7,FALSE),IF(AND($S$3=TRUE,$S$1=TRUE,$S$4=FALSE),VLOOKUP($E668,'Status Thresholds'!$E:$AS,32,FALSE),IF(AND($S$3=TRUE,$S$4=FALSE),VLOOKUP($E668,'Status Thresholds'!$E:$AS,22,FALSE),IF(AND($S$3=TRUE,$S$1=TRUE,$S$4=TRUE),VLOOKUP($E668,'Status Thresholds'!$E:$AS,37,FALSE),IF(AND($S$3=TRUE,$S$4=TRUE),VLOOKUP($E668,'Status Thresholds'!$E:$AS,27,FALSE),""))))))))/IF(OR($Q$3=TRUE,AND($Q$2=TRUE,$Q$7=TRUE),AND($Q$3=TRUE,$Q$7=TRUE))=TRUE,'Shots and Status'!$F$5,IF((OR($Q$2,$Q$7)=TRUE),'Shots and Status'!$D$5,'Shots and Status'!$C$5)))),0),"-")</f>
        <v>-</v>
      </c>
      <c r="I668" s="36" t="str">
        <f>IFERROR(ROUNDUP(IF(AND($Q$1=FALSE,$S$3=FALSE),"-",IF(AND($Q$1=TRUE,$S$3=TRUE),"-",IF(AND($Q$1=TRUE,$S$1=TRUE,$S$4=FALSE),VLOOKUP($E668,'Status Thresholds'!$E:$AS,13,FALSE),IF(AND($Q$1=TRUE,$S$4=FALSE),VLOOKUP($E668,'Status Thresholds'!$E:$AS,3,FALSE), IF(AND($Q$1=TRUE,$S$1=TRUE,$S$4=TRUE),VLOOKUP($E668,'Status Thresholds'!$E:$AS,18,FALSE),IF(AND($Q$1=TRUE,$S$4=TRUE),VLOOKUP($E668,'Status Thresholds'!$E:$AS,8,FALSE),IF(AND($S$3=TRUE,$S$1=TRUE,$S$4=FALSE),VLOOKUP($E668,'Status Thresholds'!$E:$AS,33,FALSE),IF(AND($S$3=TRUE,$S$4=FALSE),VLOOKUP($E668,'Status Thresholds'!$E:$AS,23,FALSE),IF(AND($S$3=TRUE,$S$1=TRUE,$S$4=TRUE),VLOOKUP($E668,'Status Thresholds'!$E:$AS,38,FALSE),IF(AND($S$3=TRUE,$S$4=TRUE),VLOOKUP($E668,'Status Thresholds'!$E:$AS,28,FALSE),""))))))))/IF(OR($Q$3=TRUE,AND($Q$2=TRUE,$Q$7=TRUE),AND($Q$3=TRUE,$Q$7=TRUE))=TRUE,'Shots and Status'!$F$5,IF((OR($Q$2,$Q$7)=TRUE),'Shots and Status'!$D$5,'Shots and Status'!$C$5)))),0),"-")</f>
        <v>-</v>
      </c>
      <c r="J668" s="36" t="str">
        <f>IFERROR(ROUNDUP(IF(AND($Q$1=FALSE,$S$3=FALSE),"-",IF(AND($Q$1=TRUE,$S$3=TRUE),"-",IF(AND($Q$1=TRUE,$S$1=TRUE,$S$4=FALSE),VLOOKUP($E668,'Status Thresholds'!$E:$AS,14,FALSE),IF(AND($Q$1=TRUE,$S$4=FALSE),VLOOKUP($E668,'Status Thresholds'!$E:$AS,4,FALSE), IF(AND($Q$1=TRUE,$S$1=TRUE,$S$4=TRUE),VLOOKUP($E668,'Status Thresholds'!$E:$AS,19,FALSE),IF(AND($Q$1=TRUE,$S$4=TRUE),VLOOKUP($E668,'Status Thresholds'!$E:$AS,9,FALSE),IF(AND($S$3=TRUE,$S$1=TRUE,$S$4=FALSE),VLOOKUP($E668,'Status Thresholds'!$E:$AS,34,FALSE),IF(AND($S$3=TRUE,$S$4=FALSE),VLOOKUP($E668,'Status Thresholds'!$E:$AS,24,FALSE),IF(AND($S$3=TRUE,$S$1=TRUE,$S$4=TRUE),VLOOKUP($E668,'Status Thresholds'!$E:$AS,39,FALSE),IF(AND($S$3=TRUE,$S$4=TRUE),VLOOKUP($E668,'Status Thresholds'!$E:$AS,29,FALSE),""))))))))/IF(OR($Q$3=TRUE,AND($Q$2=TRUE,$Q$7=TRUE),AND($Q$3=TRUE,$Q$7=TRUE))=TRUE,'Shots and Status'!$F$5,IF((OR($Q$2,$Q$7)=TRUE),'Shots and Status'!$D$5,'Shots and Status'!$C$5)))),0),"-")</f>
        <v>-</v>
      </c>
      <c r="K668" s="36" t="str">
        <f>IFERROR(ROUNDUP(IF(AND($Q$1=FALSE,$S$3=FALSE),"-",IF(AND($Q$1=TRUE,$S$3=TRUE),"-",IF(AND($Q$1=TRUE,$S$1=TRUE,$S$4=FALSE),VLOOKUP($E668,'Status Thresholds'!$E:$AS,15,FALSE),IF(AND($Q$1=TRUE,$S$4=FALSE),VLOOKUP($E668,'Status Thresholds'!$E:$AS,5,FALSE), IF(AND($Q$1=TRUE,$S$1=TRUE,$S$4=TRUE),VLOOKUP($E668,'Status Thresholds'!$E:$AS,20,FALSE),IF(AND($Q$1=TRUE,$S$4=TRUE),VLOOKUP($E668,'Status Thresholds'!$E:$AS,10,FALSE),IF(AND($S$3=TRUE,$S$1=TRUE,$S$4=FALSE),VLOOKUP($E668,'Status Thresholds'!$E:$AS,35,FALSE),IF(AND($S$3=TRUE,$S$4=FALSE),VLOOKUP($E668,'Status Thresholds'!$E:$AS,25,FALSE),IF(AND($S$3=TRUE,$S$1=TRUE,$S$4=TRUE),VLOOKUP($E668,'Status Thresholds'!$E:$AS,40,FALSE),IF(AND($S$3=TRUE,$S$4=TRUE),VLOOKUP($E668,'Status Thresholds'!$E:$AS,30,FALSE),""))))))))/IF(OR($Q$3=TRUE,AND($Q$2=TRUE,$Q$7=TRUE),AND($Q$3=TRUE,$Q$7=TRUE))=TRUE,'Shots and Status'!$F$5,IF((OR($Q$2,$Q$7)=TRUE),'Shots and Status'!$D$5,'Shots and Status'!$C$5)))),0),"-")</f>
        <v>-</v>
      </c>
      <c r="L668" s="36" t="str">
        <f>IFERROR(IF(AND($Q$1=FALSE,$S$3=FALSE),"-",VLOOKUP($E668,'Status Thresholds'!$E:$AU,41,FALSE)),"-")</f>
        <v>-</v>
      </c>
      <c r="M668" s="36" t="str">
        <f>IFERROR(IF(AND($Q$1=FALSE,$S$3=FALSE),"-",VLOOKUP($E668,'Status Thresholds'!$E:$AU,42,FALSE)),"-")</f>
        <v>-</v>
      </c>
      <c r="N668" s="36" t="str">
        <f>IFERROR(IF(AND($Q$1=FALSE,$S$3=FALSE),"-",VLOOKUP($E668,'Status Thresholds'!$E:$AU,43,FALSE)),"-")</f>
        <v>-</v>
      </c>
    </row>
    <row r="669" spans="2:14" x14ac:dyDescent="0.25">
      <c r="B669" s="64" t="str">
        <f>VLOOKUP(C669,'Status Thresholds'!B:C,2,FALSE)</f>
        <v>MHGen</v>
      </c>
      <c r="C669" s="46" t="str">
        <f>IF(ISBLANK('KO Calc'!C665)=TRUE,"",'KO Calc'!C665)</f>
        <v>Seltas</v>
      </c>
      <c r="D669" s="57" t="s">
        <v>22</v>
      </c>
      <c r="E669" s="62" t="str">
        <f t="shared" si="19"/>
        <v>SeltasExhaust</v>
      </c>
      <c r="F669" s="36" t="s">
        <v>8</v>
      </c>
      <c r="G669" s="36" t="str">
        <f t="shared" si="20"/>
        <v>SeltasExhaust lvl 2</v>
      </c>
      <c r="H669" s="36" t="str">
        <f>IFERROR(ROUNDUP(IF(AND($Q$1=FALSE,$S$3=FALSE),"-",IF(AND($Q$1=TRUE,$S$3=TRUE),"-",IF(AND($Q$1=TRUE,$S$1=TRUE,$S$4=FALSE),VLOOKUP($E669,'Status Thresholds'!$E:$AS,12,FALSE),IF(AND($Q$1=TRUE,$S$4=FALSE),VLOOKUP($E669,'Status Thresholds'!$E:$AS,2,FALSE), IF(AND($Q$1=TRUE,$S$1=TRUE,$S$4=TRUE),VLOOKUP($E669,'Status Thresholds'!$E:$AS,17,FALSE),IF(AND($Q$1=TRUE,$S$4=TRUE),VLOOKUP($E669,'Status Thresholds'!$E:$AS,7,FALSE),IF(AND($S$3=TRUE,$S$1=TRUE,$S$4=FALSE),VLOOKUP($E669,'Status Thresholds'!$E:$AS,32,FALSE),IF(AND($S$3=TRUE,$S$4=FALSE),VLOOKUP($E669,'Status Thresholds'!$E:$AS,22,FALSE),IF(AND($S$3=TRUE,$S$1=TRUE,$S$4=TRUE),VLOOKUP($E669,'Status Thresholds'!$E:$AS,37,FALSE),IF(AND($S$3=TRUE,$S$4=TRUE),VLOOKUP($E669,'Status Thresholds'!$E:$AS,27,FALSE),""))))))))/IF(OR($Q$3=TRUE,AND($Q$2=TRUE,$Q$7=TRUE),AND($Q$3=TRUE,$Q$7=TRUE))=TRUE,'Shots and Status'!$F$5,IF((OR($Q$2,$Q$7)=TRUE),'Shots and Status'!$D$5,'Shots and Status'!$C$5)))),0),"-")</f>
        <v>-</v>
      </c>
      <c r="I669" s="36" t="str">
        <f>IFERROR(ROUNDUP(IF(AND($Q$1=FALSE,$S$3=FALSE),"-",IF(AND($Q$1=TRUE,$S$3=TRUE),"-",IF(AND($Q$1=TRUE,$S$1=TRUE,$S$4=FALSE),VLOOKUP($E669,'Status Thresholds'!$E:$AS,13,FALSE),IF(AND($Q$1=TRUE,$S$4=FALSE),VLOOKUP($E669,'Status Thresholds'!$E:$AS,3,FALSE), IF(AND($Q$1=TRUE,$S$1=TRUE,$S$4=TRUE),VLOOKUP($E669,'Status Thresholds'!$E:$AS,18,FALSE),IF(AND($Q$1=TRUE,$S$4=TRUE),VLOOKUP($E669,'Status Thresholds'!$E:$AS,8,FALSE),IF(AND($S$3=TRUE,$S$1=TRUE,$S$4=FALSE),VLOOKUP($E669,'Status Thresholds'!$E:$AS,33,FALSE),IF(AND($S$3=TRUE,$S$4=FALSE),VLOOKUP($E669,'Status Thresholds'!$E:$AS,23,FALSE),IF(AND($S$3=TRUE,$S$1=TRUE,$S$4=TRUE),VLOOKUP($E669,'Status Thresholds'!$E:$AS,38,FALSE),IF(AND($S$3=TRUE,$S$4=TRUE),VLOOKUP($E669,'Status Thresholds'!$E:$AS,28,FALSE),""))))))))/IF(OR($Q$3=TRUE,AND($Q$2=TRUE,$Q$7=TRUE),AND($Q$3=TRUE,$Q$7=TRUE))=TRUE,'Shots and Status'!$F$5,IF((OR($Q$2,$Q$7)=TRUE),'Shots and Status'!$D$5,'Shots and Status'!$C$5)))),0),"-")</f>
        <v>-</v>
      </c>
      <c r="J669" s="36" t="str">
        <f>IFERROR(ROUNDUP(IF(AND($Q$1=FALSE,$S$3=FALSE),"-",IF(AND($Q$1=TRUE,$S$3=TRUE),"-",IF(AND($Q$1=TRUE,$S$1=TRUE,$S$4=FALSE),VLOOKUP($E669,'Status Thresholds'!$E:$AS,14,FALSE),IF(AND($Q$1=TRUE,$S$4=FALSE),VLOOKUP($E669,'Status Thresholds'!$E:$AS,4,FALSE), IF(AND($Q$1=TRUE,$S$1=TRUE,$S$4=TRUE),VLOOKUP($E669,'Status Thresholds'!$E:$AS,19,FALSE),IF(AND($Q$1=TRUE,$S$4=TRUE),VLOOKUP($E669,'Status Thresholds'!$E:$AS,9,FALSE),IF(AND($S$3=TRUE,$S$1=TRUE,$S$4=FALSE),VLOOKUP($E669,'Status Thresholds'!$E:$AS,34,FALSE),IF(AND($S$3=TRUE,$S$4=FALSE),VLOOKUP($E669,'Status Thresholds'!$E:$AS,24,FALSE),IF(AND($S$3=TRUE,$S$1=TRUE,$S$4=TRUE),VLOOKUP($E669,'Status Thresholds'!$E:$AS,39,FALSE),IF(AND($S$3=TRUE,$S$4=TRUE),VLOOKUP($E669,'Status Thresholds'!$E:$AS,29,FALSE),""))))))))/IF(OR($Q$3=TRUE,AND($Q$2=TRUE,$Q$7=TRUE),AND($Q$3=TRUE,$Q$7=TRUE))=TRUE,'Shots and Status'!$F$5,IF((OR($Q$2,$Q$7)=TRUE),'Shots and Status'!$D$5,'Shots and Status'!$C$5)))),0),"-")</f>
        <v>-</v>
      </c>
      <c r="K669" s="36" t="str">
        <f>IFERROR(ROUNDUP(IF(AND($Q$1=FALSE,$S$3=FALSE),"-",IF(AND($Q$1=TRUE,$S$3=TRUE),"-",IF(AND($Q$1=TRUE,$S$1=TRUE,$S$4=FALSE),VLOOKUP($E669,'Status Thresholds'!$E:$AS,15,FALSE),IF(AND($Q$1=TRUE,$S$4=FALSE),VLOOKUP($E669,'Status Thresholds'!$E:$AS,5,FALSE), IF(AND($Q$1=TRUE,$S$1=TRUE,$S$4=TRUE),VLOOKUP($E669,'Status Thresholds'!$E:$AS,20,FALSE),IF(AND($Q$1=TRUE,$S$4=TRUE),VLOOKUP($E669,'Status Thresholds'!$E:$AS,10,FALSE),IF(AND($S$3=TRUE,$S$1=TRUE,$S$4=FALSE),VLOOKUP($E669,'Status Thresholds'!$E:$AS,35,FALSE),IF(AND($S$3=TRUE,$S$4=FALSE),VLOOKUP($E669,'Status Thresholds'!$E:$AS,25,FALSE),IF(AND($S$3=TRUE,$S$1=TRUE,$S$4=TRUE),VLOOKUP($E669,'Status Thresholds'!$E:$AS,40,FALSE),IF(AND($S$3=TRUE,$S$4=TRUE),VLOOKUP($E669,'Status Thresholds'!$E:$AS,30,FALSE),""))))))))/IF(OR($Q$3=TRUE,AND($Q$2=TRUE,$Q$7=TRUE),AND($Q$3=TRUE,$Q$7=TRUE))=TRUE,'Shots and Status'!$F$5,IF((OR($Q$2,$Q$7)=TRUE),'Shots and Status'!$D$5,'Shots and Status'!$C$5)))),0),"-")</f>
        <v>-</v>
      </c>
      <c r="L669" s="36" t="str">
        <f>IFERROR(IF(AND($Q$1=FALSE,$S$3=FALSE),"-",VLOOKUP($E669,'Status Thresholds'!$E:$AU,41,FALSE)),"-")</f>
        <v>-</v>
      </c>
      <c r="M669" s="36" t="str">
        <f>IFERROR(IF(AND($Q$1=FALSE,$S$3=FALSE),"-",VLOOKUP($E669,'Status Thresholds'!$E:$AU,42,FALSE)),"-")</f>
        <v>-</v>
      </c>
      <c r="N669" s="36" t="str">
        <f>IFERROR(IF(AND($Q$1=FALSE,$S$3=FALSE),"-",VLOOKUP($E669,'Status Thresholds'!$E:$AU,43,FALSE)),"-")</f>
        <v>-</v>
      </c>
    </row>
    <row r="670" spans="2:14" x14ac:dyDescent="0.25">
      <c r="B670" s="64" t="str">
        <f>VLOOKUP(C670,'Status Thresholds'!B:C,2,FALSE)</f>
        <v>MHGen</v>
      </c>
      <c r="C670" s="46" t="str">
        <f>IF(ISBLANK('KO Calc'!C666)=TRUE,"",'KO Calc'!C666)</f>
        <v>Seltas</v>
      </c>
      <c r="D670" s="67" t="s">
        <v>14</v>
      </c>
      <c r="E670" s="62" t="str">
        <f t="shared" si="19"/>
        <v>SeltasKO</v>
      </c>
      <c r="F670" s="36" t="s">
        <v>21</v>
      </c>
      <c r="G670" s="36" t="str">
        <f t="shared" si="20"/>
        <v>SeltasTriblast</v>
      </c>
      <c r="H670" s="36" t="str">
        <f>IF(AND($Q$1=FALSE,$S$3=FALSE),"-",IF(AND($Q$1=TRUE,$S$3=TRUE),"-",IF(AND($Q$1=FALSE,$S$3=FALSE),"-",IF(AND($Q$1=TRUE,$S$1=TRUE,$S$4=FALSE)=TRUE,IF(OR($Q$4=TRUE,$Q$5=TRUE,$S$2=TRUE),VLOOKUP($G670,'KO Calc'!$H:$AW,12,FALSE),VLOOKUP($G670,'KO Calc'!$H676:$AW676,12,FALSE)),IF(AND($Q$1=TRUE,$S$4=FALSE),IF(OR($Q$4=TRUE,$Q$5=TRUE,$S$2=TRUE),VLOOKUP($G670,'KO Calc'!$H:$AW,2,FALSE),VLOOKUP($G670,'KO Calc'!$H676:$AW676,2,FALSE)),
IF(AND($Q$1=TRUE,$S$1=TRUE,$S$4=TRUE)=TRUE,IF(OR($Q$4=TRUE,$Q$5=TRUE,$S$2=TRUE),VLOOKUP($G670,'KO Calc'!$H:$AW,17,FALSE),VLOOKUP($G670,'KO Calc'!$H676:$AW676,17,FALSE)),IF(AND($Q$1=TRUE,$S$4=TRUE),IF(OR($Q$4=TRUE,$Q$5=TRUE,$S$2=TRUE),VLOOKUP($G670,'KO Calc'!$H:$AW,7,FALSE),VLOOKUP($G670,'KO Calc'!$H676:$AW676,7,FALSE)),
IF(AND($S$3=TRUE,$S$1=TRUE,$S$4=FALSE)=TRUE,IF(OR($Q$4=TRUE,$Q$5=TRUE,$S$2=TRUE),VLOOKUP($G670,'KO Calc'!$H:$AW,32,FALSE),VLOOKUP($G670,'KO Calc'!$H676:$AW676,32,FALSE)),IF(AND($S$3=TRUE,$S$4=FALSE),IF(OR($Q$4=TRUE,$Q$5=TRUE,$S$2=TRUE),VLOOKUP($G670,'KO Calc'!$H:$AW,22,FALSE),VLOOKUP($G670,'KO Calc'!$H676:$AW676,22,FALSE)),
IF(AND($S$3=TRUE,$S$1=TRUE,$S$4=TRUE)=TRUE,IF(OR($Q$4=TRUE,$Q$5=TRUE,$S$2=TRUE),VLOOKUP($G670,'KO Calc'!$H:$AW,37,FALSE),VLOOKUP($G670,'KO Calc'!$H676:$AW676,37,FALSE)),IF(AND($S$3=TRUE,$S$4=TRUE),IF(OR($Q$4=TRUE,$Q$5=TRUE,$S$2=TRUE),VLOOKUP($G670,'KO Calc'!$H:$AW,27,FALSE),VLOOKUP($G670,'KO Calc'!$H676:$AW676,27,FALSE)))))))))))))</f>
        <v>-</v>
      </c>
      <c r="I670" s="36" t="str">
        <f>IF(AND($Q$1=FALSE,$S$3=FALSE),"-",IF(AND($Q$1=TRUE,$S$3=TRUE),"-",IF(AND($Q$1=FALSE,$S$3=FALSE),"-",IF(AND($Q$1=TRUE,$S$1=TRUE,$S$4=FALSE)=TRUE,IF(OR($Q$4=TRUE,$Q$5=TRUE,$S$2=TRUE),VLOOKUP($G670,'KO Calc'!$H:$AW,13,FALSE),VLOOKUP($G670,'KO Calc'!$H676:$AW676,13,FALSE)),IF(AND($Q$1=TRUE,$S$4=FALSE),IF(OR($Q$4=TRUE,$Q$5=TRUE,$S$2=TRUE),VLOOKUP($G670,'KO Calc'!$H:$AW,3,FALSE),VLOOKUP($G670,'KO Calc'!$H676:$AW676,3,FALSE)),
IF(AND($Q$1=TRUE,$S$1=TRUE,$S$4=TRUE)=TRUE,IF(OR($Q$4=TRUE,$Q$5=TRUE,$S$2=TRUE),VLOOKUP($G670,'KO Calc'!$H:$AW,18,FALSE),VLOOKUP($G670,'KO Calc'!$H676:$AW676,18,FALSE)),IF(AND($Q$1=TRUE,$S$4=TRUE),IF(OR($Q$4=TRUE,$Q$5=TRUE,$S$2=TRUE),VLOOKUP($G670,'KO Calc'!$H:$AW,8,FALSE),VLOOKUP($G670,'KO Calc'!$H676:$AW676,8,FALSE)),
IF(AND($S$3=TRUE,$S$1=TRUE,$S$4=FALSE)=TRUE,IF(OR($Q$4=TRUE,$Q$5=TRUE,$S$2=TRUE),VLOOKUP($G670,'KO Calc'!$H:$AW,33,FALSE),VLOOKUP($G670,'KO Calc'!$H676:$AW676,33,FALSE)),IF(AND($S$3=TRUE,$S$4=FALSE),IF(OR($Q$4=TRUE,$Q$5=TRUE,$S$2=TRUE),VLOOKUP($G670,'KO Calc'!$H:$AW,23,FALSE),VLOOKUP($G670,'KO Calc'!$H676:$AW676,23,FALSE)),
IF(AND($S$3=TRUE,$S$1=TRUE,$S$4=TRUE)=TRUE,IF(OR($Q$4=TRUE,$Q$5=TRUE,$S$2=TRUE),VLOOKUP($G670,'KO Calc'!$H:$AW,38,FALSE),VLOOKUP($G670,'KO Calc'!$H676:$AW676,38,FALSE)),IF(AND($S$3=TRUE,$S$4=TRUE),IF(OR($Q$4=TRUE,$Q$5=TRUE,$S$2=TRUE),VLOOKUP($G670,'KO Calc'!$H:$AW,28,FALSE),VLOOKUP($G670,'KO Calc'!$H676:$AW676,28,FALSE)))))))))))))</f>
        <v>-</v>
      </c>
      <c r="J670" s="36" t="str">
        <f>IF(AND($Q$1=FALSE,$S$3=FALSE),"-",IF(AND($Q$1=TRUE,$S$3=TRUE),"-",IF(AND($Q$1=FALSE,$S$3=FALSE),"-",IF(AND($Q$1=TRUE,$S$1=TRUE,$S$4=FALSE)=TRUE,IF(OR($Q$4=TRUE,$Q$5=TRUE,$S$2=TRUE),VLOOKUP($G670,'KO Calc'!$H:$AW,FALSE),VLOOKUP($G670,'KO Calc'!$H676:$AW676,14,FALSE)),IF(AND($Q$1=TRUE,$S$4=FALSE),IF(OR($Q$4=TRUE,$Q$5=TRUE,$S$2=TRUE),VLOOKUP($G670,'KO Calc'!$H:$AW,4,FALSE),VLOOKUP($G670,'KO Calc'!$H676:$AW676,4,FALSE)),
IF(AND($Q$1=TRUE,$S$1=TRUE,$S$4=TRUE)=TRUE,IF(OR($Q$4=TRUE,$Q$5=TRUE,$S$2=TRUE),VLOOKUP($G670,'KO Calc'!$H:$AW,19,FALSE),VLOOKUP($G670,'KO Calc'!$H676:$AW676,19,FALSE)),IF(AND($Q$1=TRUE,$S$4=TRUE),IF(OR($Q$4=TRUE,$Q$5=TRUE,$S$2=TRUE),VLOOKUP($G670,'KO Calc'!$H:$AW,9,FALSE),VLOOKUP($G670,'KO Calc'!$H676:$AW676,9,FALSE)),
IF(AND($S$3=TRUE,$S$1=TRUE,$S$4=FALSE)=TRUE,IF(OR($Q$4=TRUE,$Q$5=TRUE,$S$2=TRUE),VLOOKUP($G670,'KO Calc'!$H:$AW,34,FALSE),VLOOKUP($G670,'KO Calc'!$H676:$AW676,34,FALSE)),IF(AND($S$3=TRUE,$S$4=FALSE),IF(OR($Q$4=TRUE,$Q$5=TRUE,$S$2=TRUE),VLOOKUP($G670,'KO Calc'!$H:$AW,24,FALSE),VLOOKUP($G670,'KO Calc'!$H676:$AW676,24,FALSE)),
IF(AND($S$3=TRUE,$S$1=TRUE,$S$4=TRUE)=TRUE,IF(OR($Q$4=TRUE,$Q$5=TRUE,$S$2=TRUE),VLOOKUP($G670,'KO Calc'!$H:$AW,39,FALSE),VLOOKUP($G670,'KO Calc'!$H676:$AW676,39,FALSE)),IF(AND($S$3=TRUE,$S$4=TRUE),IF(OR($Q$4=TRUE,$Q$5=TRUE,$S$2=TRUE),VLOOKUP($G670,'KO Calc'!$H:$AW,29,FALSE),VLOOKUP($G670,'KO Calc'!$H676:$AW676,29,FALSE)))))))))))))</f>
        <v>-</v>
      </c>
      <c r="K670" s="36" t="str">
        <f>IF(AND($Q$1=FALSE,$S$3=FALSE),"-",IF(AND($Q$1=TRUE,$S$3=TRUE),"-",IF(AND($Q$1=FALSE,$S$3=FALSE),"-",IF(AND($Q$1=TRUE,$S$1=TRUE,$S$4=FALSE)=TRUE,IF(OR($Q$4=TRUE,$Q$5=TRUE,$S$2=TRUE),VLOOKUP($G670,'KO Calc'!$H:$AW,15,FALSE),VLOOKUP($G670,'KO Calc'!$H676:$AW676,15,FALSE)),IF(AND($Q$1=TRUE,$S$4=FALSE),IF(OR($Q$4=TRUE,$Q$5=TRUE,$S$2=TRUE),VLOOKUP($G670,'KO Calc'!$H:$AW,5,FALSE),VLOOKUP($G670,'KO Calc'!$H676:$AW676,5,FALSE)),
IF(AND($Q$1=TRUE,$S$1=TRUE,$S$4=TRUE)=TRUE,IF(OR($Q$4=TRUE,$Q$5=TRUE,$S$2=TRUE),VLOOKUP($G670,'KO Calc'!$H:$AW,20,FALSE),VLOOKUP($G670,'KO Calc'!$H676:$AW676,20,FALSE)),IF(AND($Q$1=TRUE,$S$4=TRUE),IF(OR($Q$4=TRUE,$Q$5=TRUE,$S$2=TRUE),VLOOKUP($G670,'KO Calc'!$H:$AW,10,FALSE),VLOOKUP($G670,'KO Calc'!$H676:$AW676,10,FALSE)),
IF(AND($S$3=TRUE,$S$1=TRUE,$S$4=FALSE)=TRUE,IF(OR($Q$4=TRUE,$Q$5=TRUE,$S$2=TRUE),VLOOKUP($G670,'KO Calc'!$H:$AW,35,FALSE),VLOOKUP($G670,'KO Calc'!$H676:$AW676,35,FALSE)),IF(AND($S$3=TRUE,$S$4=FALSE),IF(OR($Q$4=TRUE,$Q$5=TRUE,$S$2=TRUE),VLOOKUP($G670,'KO Calc'!$H:$AW,25,FALSE),VLOOKUP($G670,'KO Calc'!$H676:$AW676,25,FALSE)),
IF(AND($S$3=TRUE,$S$1=TRUE,$S$4=TRUE)=TRUE,IF(OR($Q$4=TRUE,$Q$5=TRUE,$S$2=TRUE),VLOOKUP($G670,'KO Calc'!$H:$AW,40,FALSE),VLOOKUP($G670,'KO Calc'!$H676:$AW676,40,FALSE)),IF(AND($S$3=TRUE,$S$4=TRUE),IF(OR($Q$4=TRUE,$Q$5=TRUE,$S$2=TRUE),VLOOKUP($G670,'KO Calc'!$H:$AW,30,FALSE),VLOOKUP($G670,'KO Calc'!$H676:$AW676,30,FALSE)))))))))))))</f>
        <v>-</v>
      </c>
      <c r="L670" s="36" t="str">
        <f>IFERROR(IF(AND($Q$1=FALSE,$S$3=FALSE),"-",VLOOKUP($E670,'Status Thresholds'!$E:$AU,41,FALSE)),"-")</f>
        <v>-</v>
      </c>
      <c r="M670" s="36" t="str">
        <f>IFERROR(IF(AND($Q$1=FALSE,$S$3=FALSE),"-",VLOOKUP($E670,'Status Thresholds'!$E:$AU,42,FALSE)),"-")</f>
        <v>-</v>
      </c>
      <c r="N670" s="36" t="str">
        <f>IFERROR(IF(AND($Q$1=FALSE,$S$3=FALSE),"-",VLOOKUP($E670,'Status Thresholds'!$E:$AU,43,FALSE)),"-")</f>
        <v>-</v>
      </c>
    </row>
    <row r="671" spans="2:14" x14ac:dyDescent="0.25">
      <c r="B671" s="64" t="str">
        <f>VLOOKUP(C671,'Status Thresholds'!B:C,2,FALSE)</f>
        <v>MHGen</v>
      </c>
      <c r="C671" s="46" t="str">
        <f>IF(ISBLANK('KO Calc'!C667)=TRUE,"",'KO Calc'!C667)</f>
        <v>Seltas</v>
      </c>
      <c r="D671" s="78" t="s">
        <v>207</v>
      </c>
      <c r="E671" s="62" t="str">
        <f t="shared" si="19"/>
        <v>SeltasShock Trap</v>
      </c>
      <c r="F671" t="s">
        <v>13</v>
      </c>
      <c r="G671" s="36" t="str">
        <f t="shared" si="20"/>
        <v>SeltasCrag 3</v>
      </c>
      <c r="H671" s="36" t="str">
        <f>IF(AND($Q$1=FALSE,$S$3=FALSE),"-",IF(AND($Q$1=TRUE,$S$3=TRUE),"-",IF(AND($Q$1=FALSE,$S$3=FALSE),"-",IF(AND($Q$1=TRUE,$S$1=TRUE,$S$4=FALSE)=TRUE,IF(OR($Q$4=TRUE,$Q$5=TRUE,$S$2=TRUE),VLOOKUP($G671,'KO Calc'!$H:$AW,12,FALSE),VLOOKUP($G671,'KO Calc'!$H677:$AW677,12,FALSE)),IF(AND($Q$1=TRUE,$S$4=FALSE),IF(OR($Q$4=TRUE,$Q$5=TRUE,$S$2=TRUE),VLOOKUP($G671,'KO Calc'!$H:$AW,2,FALSE),VLOOKUP($G671,'KO Calc'!$H677:$AW677,2,FALSE)),
IF(AND($Q$1=TRUE,$S$1=TRUE,$S$4=TRUE)=TRUE,IF(OR($Q$4=TRUE,$Q$5=TRUE,$S$2=TRUE),VLOOKUP($G671,'KO Calc'!$H:$AW,17,FALSE),VLOOKUP($G671,'KO Calc'!$H677:$AW677,17,FALSE)),IF(AND($Q$1=TRUE,$S$4=TRUE),IF(OR($Q$4=TRUE,$Q$5=TRUE,$S$2=TRUE),VLOOKUP($G671,'KO Calc'!$H:$AW,7,FALSE),VLOOKUP($G671,'KO Calc'!$H677:$AW677,7,FALSE)),
IF(AND($S$3=TRUE,$S$1=TRUE,$S$4=FALSE)=TRUE,IF(OR($Q$4=TRUE,$Q$5=TRUE,$S$2=TRUE),VLOOKUP($G671,'KO Calc'!$H:$AW,32,FALSE),VLOOKUP($G671,'KO Calc'!$H677:$AW677,32,FALSE)),IF(AND($S$3=TRUE,$S$4=FALSE),IF(OR($Q$4=TRUE,$Q$5=TRUE,$S$2=TRUE),VLOOKUP($G671,'KO Calc'!$H:$AW,22,FALSE),VLOOKUP($G671,'KO Calc'!$H677:$AW677,22,FALSE)),
IF(AND($S$3=TRUE,$S$1=TRUE,$S$4=TRUE)=TRUE,IF(OR($Q$4=TRUE,$Q$5=TRUE,$S$2=TRUE),VLOOKUP($G671,'KO Calc'!$H:$AW,37,FALSE),VLOOKUP($G671,'KO Calc'!$H677:$AW677,37,FALSE)),IF(AND($S$3=TRUE,$S$4=TRUE),IF(OR($Q$4=TRUE,$Q$5=TRUE,$S$2=TRUE),VLOOKUP($G671,'KO Calc'!$H:$AW,27,FALSE),VLOOKUP($G671,'KO Calc'!$H677:$AW677,27,FALSE)))))))))))))</f>
        <v>-</v>
      </c>
      <c r="I671" s="36" t="str">
        <f>IF(AND($Q$1=FALSE,$S$3=FALSE),"-",IF(AND($Q$1=TRUE,$S$3=TRUE),"-",IF(AND($Q$1=FALSE,$S$3=FALSE),"-",IF(AND($Q$1=TRUE,$S$1=TRUE,$S$4=FALSE)=TRUE,IF(OR($Q$4=TRUE,$Q$5=TRUE,$S$2=TRUE),VLOOKUP($G671,'KO Calc'!$H:$AW,13,FALSE),VLOOKUP($G671,'KO Calc'!$H677:$AW677,13,FALSE)),IF(AND($Q$1=TRUE,$S$4=FALSE),IF(OR($Q$4=TRUE,$Q$5=TRUE,$S$2=TRUE),VLOOKUP($G671,'KO Calc'!$H:$AW,3,FALSE),VLOOKUP($G671,'KO Calc'!$H677:$AW677,3,FALSE)),
IF(AND($Q$1=TRUE,$S$1=TRUE,$S$4=TRUE)=TRUE,IF(OR($Q$4=TRUE,$Q$5=TRUE,$S$2=TRUE),VLOOKUP($G671,'KO Calc'!$H:$AW,18,FALSE),VLOOKUP($G671,'KO Calc'!$H677:$AW677,18,FALSE)),IF(AND($Q$1=TRUE,$S$4=TRUE),IF(OR($Q$4=TRUE,$Q$5=TRUE,$S$2=TRUE),VLOOKUP($G671,'KO Calc'!$H:$AW,8,FALSE),VLOOKUP($G671,'KO Calc'!$H677:$AW677,8,FALSE)),
IF(AND($S$3=TRUE,$S$1=TRUE,$S$4=FALSE)=TRUE,IF(OR($Q$4=TRUE,$Q$5=TRUE,$S$2=TRUE),VLOOKUP($G671,'KO Calc'!$H:$AW,33,FALSE),VLOOKUP($G671,'KO Calc'!$H677:$AW677,33,FALSE)),IF(AND($S$3=TRUE,$S$4=FALSE),IF(OR($Q$4=TRUE,$Q$5=TRUE,$S$2=TRUE),VLOOKUP($G671,'KO Calc'!$H:$AW,23,FALSE),VLOOKUP($G671,'KO Calc'!$H677:$AW677,23,FALSE)),
IF(AND($S$3=TRUE,$S$1=TRUE,$S$4=TRUE)=TRUE,IF(OR($Q$4=TRUE,$Q$5=TRUE,$S$2=TRUE),VLOOKUP($G671,'KO Calc'!$H:$AW,38,FALSE),VLOOKUP($G671,'KO Calc'!$H677:$AW677,38,FALSE)),IF(AND($S$3=TRUE,$S$4=TRUE),IF(OR($Q$4=TRUE,$Q$5=TRUE,$S$2=TRUE),VLOOKUP($G671,'KO Calc'!$H:$AW,28,FALSE),VLOOKUP($G671,'KO Calc'!$H677:$AW677,28,FALSE)))))))))))))</f>
        <v>-</v>
      </c>
      <c r="J671" s="36" t="str">
        <f>IF(AND($Q$1=FALSE,$S$3=FALSE),"-",IF(AND($Q$1=TRUE,$S$3=TRUE),"-",IF(AND($Q$1=FALSE,$S$3=FALSE),"-",IF(AND($Q$1=TRUE,$S$1=TRUE,$S$4=FALSE)=TRUE,IF(OR($Q$4=TRUE,$Q$5=TRUE,$S$2=TRUE),VLOOKUP($G671,'KO Calc'!$H:$AW,FALSE),VLOOKUP($G671,'KO Calc'!$H677:$AW677,14,FALSE)),IF(AND($Q$1=TRUE,$S$4=FALSE),IF(OR($Q$4=TRUE,$Q$5=TRUE,$S$2=TRUE),VLOOKUP($G671,'KO Calc'!$H:$AW,4,FALSE),VLOOKUP($G671,'KO Calc'!$H677:$AW677,4,FALSE)),
IF(AND($Q$1=TRUE,$S$1=TRUE,$S$4=TRUE)=TRUE,IF(OR($Q$4=TRUE,$Q$5=TRUE,$S$2=TRUE),VLOOKUP($G671,'KO Calc'!$H:$AW,19,FALSE),VLOOKUP($G671,'KO Calc'!$H677:$AW677,19,FALSE)),IF(AND($Q$1=TRUE,$S$4=TRUE),IF(OR($Q$4=TRUE,$Q$5=TRUE,$S$2=TRUE),VLOOKUP($G671,'KO Calc'!$H:$AW,9,FALSE),VLOOKUP($G671,'KO Calc'!$H677:$AW677,9,FALSE)),
IF(AND($S$3=TRUE,$S$1=TRUE,$S$4=FALSE)=TRUE,IF(OR($Q$4=TRUE,$Q$5=TRUE,$S$2=TRUE),VLOOKUP($G671,'KO Calc'!$H:$AW,34,FALSE),VLOOKUP($G671,'KO Calc'!$H677:$AW677,34,FALSE)),IF(AND($S$3=TRUE,$S$4=FALSE),IF(OR($Q$4=TRUE,$Q$5=TRUE,$S$2=TRUE),VLOOKUP($G671,'KO Calc'!$H:$AW,24,FALSE),VLOOKUP($G671,'KO Calc'!$H677:$AW677,24,FALSE)),
IF(AND($S$3=TRUE,$S$1=TRUE,$S$4=TRUE)=TRUE,IF(OR($Q$4=TRUE,$Q$5=TRUE,$S$2=TRUE),VLOOKUP($G671,'KO Calc'!$H:$AW,39,FALSE),VLOOKUP($G671,'KO Calc'!$H677:$AW677,39,FALSE)),IF(AND($S$3=TRUE,$S$4=TRUE),IF(OR($Q$4=TRUE,$Q$5=TRUE,$S$2=TRUE),VLOOKUP($G671,'KO Calc'!$H:$AW,29,FALSE),VLOOKUP($G671,'KO Calc'!$H677:$AW677,29,FALSE)))))))))))))</f>
        <v>-</v>
      </c>
      <c r="K671" s="36" t="str">
        <f>IF(AND($Q$1=FALSE,$S$3=FALSE),"-",IF(AND($Q$1=TRUE,$S$3=TRUE),"-",IF(AND($Q$1=FALSE,$S$3=FALSE),"-",IF(AND($Q$1=TRUE,$S$1=TRUE,$S$4=FALSE)=TRUE,IF(OR($Q$4=TRUE,$Q$5=TRUE,$S$2=TRUE),VLOOKUP($G671,'KO Calc'!$H:$AW,15,FALSE),VLOOKUP($G671,'KO Calc'!$H677:$AW677,15,FALSE)),IF(AND($Q$1=TRUE,$S$4=FALSE),IF(OR($Q$4=TRUE,$Q$5=TRUE,$S$2=TRUE),VLOOKUP($G671,'KO Calc'!$H:$AW,5,FALSE),VLOOKUP($G671,'KO Calc'!$H677:$AW677,5,FALSE)),
IF(AND($Q$1=TRUE,$S$1=TRUE,$S$4=TRUE)=TRUE,IF(OR($Q$4=TRUE,$Q$5=TRUE,$S$2=TRUE),VLOOKUP($G671,'KO Calc'!$H:$AW,20,FALSE),VLOOKUP($G671,'KO Calc'!$H677:$AW677,20,FALSE)),IF(AND($Q$1=TRUE,$S$4=TRUE),IF(OR($Q$4=TRUE,$Q$5=TRUE,$S$2=TRUE),VLOOKUP($G671,'KO Calc'!$H:$AW,10,FALSE),VLOOKUP($G671,'KO Calc'!$H677:$AW677,10,FALSE)),
IF(AND($S$3=TRUE,$S$1=TRUE,$S$4=FALSE)=TRUE,IF(OR($Q$4=TRUE,$Q$5=TRUE,$S$2=TRUE),VLOOKUP($G671,'KO Calc'!$H:$AW,35,FALSE),VLOOKUP($G671,'KO Calc'!$H677:$AW677,35,FALSE)),IF(AND($S$3=TRUE,$S$4=FALSE),IF(OR($Q$4=TRUE,$Q$5=TRUE,$S$2=TRUE),VLOOKUP($G671,'KO Calc'!$H:$AW,25,FALSE),VLOOKUP($G671,'KO Calc'!$H677:$AW677,25,FALSE)),
IF(AND($S$3=TRUE,$S$1=TRUE,$S$4=TRUE)=TRUE,IF(OR($Q$4=TRUE,$Q$5=TRUE,$S$2=TRUE),VLOOKUP($G671,'KO Calc'!$H:$AW,40,FALSE),VLOOKUP($G671,'KO Calc'!$H677:$AW677,40,FALSE)),IF(AND($S$3=TRUE,$S$4=TRUE),IF(OR($Q$4=TRUE,$Q$5=TRUE,$S$2=TRUE),VLOOKUP($G671,'KO Calc'!$H:$AW,30,FALSE),VLOOKUP($G671,'KO Calc'!$H677:$AW677,30,FALSE)))))))))))))</f>
        <v>-</v>
      </c>
      <c r="L671" s="36" t="str">
        <f>IFERROR(IF(AND($Q$1=FALSE,$S$3=FALSE),"-",VLOOKUP($E671,'Status Thresholds'!$E:$AU,43,FALSE)),"-")</f>
        <v>-</v>
      </c>
      <c r="M671" s="36" t="str">
        <f>IFERROR(IF(AND($Q$1=FALSE,$S$3=FALSE),"-",VLOOKUP($E671,'Status Thresholds'!$E:$AU,41,FALSE)),"-")</f>
        <v>-</v>
      </c>
      <c r="N671" s="36" t="str">
        <f>IFERROR(IF(AND($Q$1=FALSE,$S$3=FALSE),"-",VLOOKUP($E671,'Status Thresholds'!$E:$AU,42,FALSE)),"-")</f>
        <v>-</v>
      </c>
    </row>
    <row r="672" spans="2:14" x14ac:dyDescent="0.25">
      <c r="B672" s="64" t="str">
        <f>VLOOKUP(C672,'Status Thresholds'!B:C,2,FALSE)</f>
        <v>MHGen</v>
      </c>
      <c r="C672" s="46" t="str">
        <f>IF(ISBLANK('KO Calc'!C668)=TRUE,"",'KO Calc'!C668)</f>
        <v>Seltas</v>
      </c>
      <c r="D672" s="78" t="s">
        <v>213</v>
      </c>
      <c r="E672" s="62" t="str">
        <f t="shared" si="19"/>
        <v>SeltasPitfall Trap</v>
      </c>
      <c r="F672" t="s">
        <v>12</v>
      </c>
      <c r="G672" s="36" t="str">
        <f t="shared" si="20"/>
        <v>SeltasCrag 2</v>
      </c>
      <c r="H672" s="36" t="str">
        <f>IF(AND($Q$1=FALSE,$S$3=FALSE),"-",IF(AND($Q$1=TRUE,$S$3=TRUE),"-",IF(AND($Q$1=FALSE,$S$3=FALSE),"-",IF(AND($Q$1=TRUE,$S$1=TRUE,$S$4=FALSE)=TRUE,IF(OR($Q$4=TRUE,$Q$5=TRUE,$S$2=TRUE),VLOOKUP($G672,'KO Calc'!$H:$AW,12,FALSE),VLOOKUP($G672,'KO Calc'!$H678:$AW678,12,FALSE)),IF(AND($Q$1=TRUE,$S$4=FALSE),IF(OR($Q$4=TRUE,$Q$5=TRUE,$S$2=TRUE),VLOOKUP($G672,'KO Calc'!$H:$AW,2,FALSE),VLOOKUP($G672,'KO Calc'!$H678:$AW678,2,FALSE)),
IF(AND($Q$1=TRUE,$S$1=TRUE,$S$4=TRUE)=TRUE,IF(OR($Q$4=TRUE,$Q$5=TRUE,$S$2=TRUE),VLOOKUP($G672,'KO Calc'!$H:$AW,17,FALSE),VLOOKUP($G672,'KO Calc'!$H678:$AW678,17,FALSE)),IF(AND($Q$1=TRUE,$S$4=TRUE),IF(OR($Q$4=TRUE,$Q$5=TRUE,$S$2=TRUE),VLOOKUP($G672,'KO Calc'!$H:$AW,7,FALSE),VLOOKUP($G672,'KO Calc'!$H678:$AW678,7,FALSE)),
IF(AND($S$3=TRUE,$S$1=TRUE,$S$4=FALSE)=TRUE,IF(OR($Q$4=TRUE,$Q$5=TRUE,$S$2=TRUE),VLOOKUP($G672,'KO Calc'!$H:$AW,32,FALSE),VLOOKUP($G672,'KO Calc'!$H678:$AW678,32,FALSE)),IF(AND($S$3=TRUE,$S$4=FALSE),IF(OR($Q$4=TRUE,$Q$5=TRUE,$S$2=TRUE),VLOOKUP($G672,'KO Calc'!$H:$AW,22,FALSE),VLOOKUP($G672,'KO Calc'!$H678:$AW678,22,FALSE)),
IF(AND($S$3=TRUE,$S$1=TRUE,$S$4=TRUE)=TRUE,IF(OR($Q$4=TRUE,$Q$5=TRUE,$S$2=TRUE),VLOOKUP($G672,'KO Calc'!$H:$AW,37,FALSE),VLOOKUP($G672,'KO Calc'!$H678:$AW678,37,FALSE)),IF(AND($S$3=TRUE,$S$4=TRUE),IF(OR($Q$4=TRUE,$Q$5=TRUE,$S$2=TRUE),VLOOKUP($G672,'KO Calc'!$H:$AW,27,FALSE),VLOOKUP($G672,'KO Calc'!$H678:$AW678,27,FALSE)))))))))))))</f>
        <v>-</v>
      </c>
      <c r="I672" s="36" t="str">
        <f>IF(AND($Q$1=FALSE,$S$3=FALSE),"-",IF(AND($Q$1=TRUE,$S$3=TRUE),"-",IF(AND($Q$1=FALSE,$S$3=FALSE),"-",IF(AND($Q$1=TRUE,$S$1=TRUE,$S$4=FALSE)=TRUE,IF(OR($Q$4=TRUE,$Q$5=TRUE,$S$2=TRUE),VLOOKUP($G672,'KO Calc'!$H:$AW,13,FALSE),VLOOKUP($G672,'KO Calc'!$H678:$AW678,13,FALSE)),IF(AND($Q$1=TRUE,$S$4=FALSE),IF(OR($Q$4=TRUE,$Q$5=TRUE,$S$2=TRUE),VLOOKUP($G672,'KO Calc'!$H:$AW,3,FALSE),VLOOKUP($G672,'KO Calc'!$H678:$AW678,3,FALSE)),
IF(AND($Q$1=TRUE,$S$1=TRUE,$S$4=TRUE)=TRUE,IF(OR($Q$4=TRUE,$Q$5=TRUE,$S$2=TRUE),VLOOKUP($G672,'KO Calc'!$H:$AW,18,FALSE),VLOOKUP($G672,'KO Calc'!$H678:$AW678,18,FALSE)),IF(AND($Q$1=TRUE,$S$4=TRUE),IF(OR($Q$4=TRUE,$Q$5=TRUE,$S$2=TRUE),VLOOKUP($G672,'KO Calc'!$H:$AW,8,FALSE),VLOOKUP($G672,'KO Calc'!$H678:$AW678,8,FALSE)),
IF(AND($S$3=TRUE,$S$1=TRUE,$S$4=FALSE)=TRUE,IF(OR($Q$4=TRUE,$Q$5=TRUE,$S$2=TRUE),VLOOKUP($G672,'KO Calc'!$H:$AW,33,FALSE),VLOOKUP($G672,'KO Calc'!$H678:$AW678,33,FALSE)),IF(AND($S$3=TRUE,$S$4=FALSE),IF(OR($Q$4=TRUE,$Q$5=TRUE,$S$2=TRUE),VLOOKUP($G672,'KO Calc'!$H:$AW,23,FALSE),VLOOKUP($G672,'KO Calc'!$H678:$AW678,23,FALSE)),
IF(AND($S$3=TRUE,$S$1=TRUE,$S$4=TRUE)=TRUE,IF(OR($Q$4=TRUE,$Q$5=TRUE,$S$2=TRUE),VLOOKUP($G672,'KO Calc'!$H:$AW,38,FALSE),VLOOKUP($G672,'KO Calc'!$H678:$AW678,38,FALSE)),IF(AND($S$3=TRUE,$S$4=TRUE),IF(OR($Q$4=TRUE,$Q$5=TRUE,$S$2=TRUE),VLOOKUP($G672,'KO Calc'!$H:$AW,28,FALSE),VLOOKUP($G672,'KO Calc'!$H678:$AW678,28,FALSE)))))))))))))</f>
        <v>-</v>
      </c>
      <c r="J672" s="36" t="str">
        <f>IF(AND($Q$1=FALSE,$S$3=FALSE),"-",IF(AND($Q$1=TRUE,$S$3=TRUE),"-",IF(AND($Q$1=FALSE,$S$3=FALSE),"-",IF(AND($Q$1=TRUE,$S$1=TRUE,$S$4=FALSE)=TRUE,IF(OR($Q$4=TRUE,$Q$5=TRUE,$S$2=TRUE),VLOOKUP($G672,'KO Calc'!$H:$AW,FALSE),VLOOKUP($G672,'KO Calc'!$H678:$AW678,14,FALSE)),IF(AND($Q$1=TRUE,$S$4=FALSE),IF(OR($Q$4=TRUE,$Q$5=TRUE,$S$2=TRUE),VLOOKUP($G672,'KO Calc'!$H:$AW,4,FALSE),VLOOKUP($G672,'KO Calc'!$H678:$AW678,4,FALSE)),
IF(AND($Q$1=TRUE,$S$1=TRUE,$S$4=TRUE)=TRUE,IF(OR($Q$4=TRUE,$Q$5=TRUE,$S$2=TRUE),VLOOKUP($G672,'KO Calc'!$H:$AW,19,FALSE),VLOOKUP($G672,'KO Calc'!$H678:$AW678,19,FALSE)),IF(AND($Q$1=TRUE,$S$4=TRUE),IF(OR($Q$4=TRUE,$Q$5=TRUE,$S$2=TRUE),VLOOKUP($G672,'KO Calc'!$H:$AW,9,FALSE),VLOOKUP($G672,'KO Calc'!$H678:$AW678,9,FALSE)),
IF(AND($S$3=TRUE,$S$1=TRUE,$S$4=FALSE)=TRUE,IF(OR($Q$4=TRUE,$Q$5=TRUE,$S$2=TRUE),VLOOKUP($G672,'KO Calc'!$H:$AW,34,FALSE),VLOOKUP($G672,'KO Calc'!$H678:$AW678,34,FALSE)),IF(AND($S$3=TRUE,$S$4=FALSE),IF(OR($Q$4=TRUE,$Q$5=TRUE,$S$2=TRUE),VLOOKUP($G672,'KO Calc'!$H:$AW,24,FALSE),VLOOKUP($G672,'KO Calc'!$H678:$AW678,24,FALSE)),
IF(AND($S$3=TRUE,$S$1=TRUE,$S$4=TRUE)=TRUE,IF(OR($Q$4=TRUE,$Q$5=TRUE,$S$2=TRUE),VLOOKUP($G672,'KO Calc'!$H:$AW,39,FALSE),VLOOKUP($G672,'KO Calc'!$H678:$AW678,39,FALSE)),IF(AND($S$3=TRUE,$S$4=TRUE),IF(OR($Q$4=TRUE,$Q$5=TRUE,$S$2=TRUE),VLOOKUP($G672,'KO Calc'!$H:$AW,29,FALSE),VLOOKUP($G672,'KO Calc'!$H678:$AW678,29,FALSE)))))))))))))</f>
        <v>-</v>
      </c>
      <c r="K672" s="36" t="str">
        <f>IF(AND($Q$1=FALSE,$S$3=FALSE),"-",IF(AND($Q$1=TRUE,$S$3=TRUE),"-",IF(AND($Q$1=FALSE,$S$3=FALSE),"-",IF(AND($Q$1=TRUE,$S$1=TRUE,$S$4=FALSE)=TRUE,IF(OR($Q$4=TRUE,$Q$5=TRUE,$S$2=TRUE),VLOOKUP($G672,'KO Calc'!$H:$AW,15,FALSE),VLOOKUP($G672,'KO Calc'!$H678:$AW678,15,FALSE)),IF(AND($Q$1=TRUE,$S$4=FALSE),IF(OR($Q$4=TRUE,$Q$5=TRUE,$S$2=TRUE),VLOOKUP($G672,'KO Calc'!$H:$AW,5,FALSE),VLOOKUP($G672,'KO Calc'!$H678:$AW678,5,FALSE)),
IF(AND($Q$1=TRUE,$S$1=TRUE,$S$4=TRUE)=TRUE,IF(OR($Q$4=TRUE,$Q$5=TRUE,$S$2=TRUE),VLOOKUP($G672,'KO Calc'!$H:$AW,20,FALSE),VLOOKUP($G672,'KO Calc'!$H678:$AW678,20,FALSE)),IF(AND($Q$1=TRUE,$S$4=TRUE),IF(OR($Q$4=TRUE,$Q$5=TRUE,$S$2=TRUE),VLOOKUP($G672,'KO Calc'!$H:$AW,10,FALSE),VLOOKUP($G672,'KO Calc'!$H678:$AW678,10,FALSE)),
IF(AND($S$3=TRUE,$S$1=TRUE,$S$4=FALSE)=TRUE,IF(OR($Q$4=TRUE,$Q$5=TRUE,$S$2=TRUE),VLOOKUP($G672,'KO Calc'!$H:$AW,35,FALSE),VLOOKUP($G672,'KO Calc'!$H678:$AW678,35,FALSE)),IF(AND($S$3=TRUE,$S$4=FALSE),IF(OR($Q$4=TRUE,$Q$5=TRUE,$S$2=TRUE),VLOOKUP($G672,'KO Calc'!$H:$AW,25,FALSE),VLOOKUP($G672,'KO Calc'!$H678:$AW678,25,FALSE)),
IF(AND($S$3=TRUE,$S$1=TRUE,$S$4=TRUE)=TRUE,IF(OR($Q$4=TRUE,$Q$5=TRUE,$S$2=TRUE),VLOOKUP($G672,'KO Calc'!$H:$AW,40,FALSE),VLOOKUP($G672,'KO Calc'!$H678:$AW678,40,FALSE)),IF(AND($S$3=TRUE,$S$4=TRUE),IF(OR($Q$4=TRUE,$Q$5=TRUE,$S$2=TRUE),VLOOKUP($G672,'KO Calc'!$H:$AW,30,FALSE),VLOOKUP($G672,'KO Calc'!$H678:$AW678,30,FALSE)))))))))))))</f>
        <v>-</v>
      </c>
      <c r="L672" s="36" t="str">
        <f>IFERROR(IF(AND($Q$1=FALSE,$S$3=FALSE),"-",VLOOKUP($E672,'Status Thresholds'!$E:$AU,43,FALSE)),"-")</f>
        <v>-</v>
      </c>
      <c r="M672" s="36" t="str">
        <f>IFERROR(IF(AND($Q$1=FALSE,$S$3=FALSE),"-",VLOOKUP($E672,'Status Thresholds'!$E:$AU,41,FALSE)),"-")</f>
        <v>-</v>
      </c>
      <c r="N672" s="36" t="str">
        <f>IFERROR(IF(AND($Q$1=FALSE,$S$3=FALSE),"-",VLOOKUP($E672,'Status Thresholds'!$E:$AU,42,FALSE)),"-")</f>
        <v>-</v>
      </c>
    </row>
    <row r="673" spans="2:14" x14ac:dyDescent="0.25">
      <c r="B673" s="64" t="str">
        <f>VLOOKUP(C673,'Status Thresholds'!B:C,2,FALSE)</f>
        <v>MHGen</v>
      </c>
      <c r="C673" s="46" t="str">
        <f>IF(ISBLANK('KO Calc'!C669)=TRUE,"",'KO Calc'!C669)</f>
        <v>Seltas</v>
      </c>
      <c r="D673" s="78"/>
      <c r="E673" s="62" t="str">
        <f t="shared" si="19"/>
        <v>Seltas</v>
      </c>
      <c r="F673" t="s">
        <v>11</v>
      </c>
      <c r="G673" s="36" t="str">
        <f t="shared" si="20"/>
        <v>SeltasCrag 1</v>
      </c>
      <c r="H673" s="36" t="str">
        <f>IF(AND($Q$1=FALSE,$S$3=FALSE),"-",IF(AND($Q$1=TRUE,$S$3=TRUE),"-",IF(AND($Q$1=FALSE,$S$3=FALSE),"-",IF(AND($Q$1=TRUE,$S$1=TRUE,$S$4=FALSE)=TRUE,IF(OR($Q$4=TRUE,$Q$5=TRUE,$S$2=TRUE),VLOOKUP($G673,'KO Calc'!$H:$AW,12,FALSE),VLOOKUP($G673,'KO Calc'!$H679:$AW679,12,FALSE)),IF(AND($Q$1=TRUE,$S$4=FALSE),IF(OR($Q$4=TRUE,$Q$5=TRUE,$S$2=TRUE),VLOOKUP($G673,'KO Calc'!$H:$AW,2,FALSE),VLOOKUP($G673,'KO Calc'!$H679:$AW679,2,FALSE)),
IF(AND($Q$1=TRUE,$S$1=TRUE,$S$4=TRUE)=TRUE,IF(OR($Q$4=TRUE,$Q$5=TRUE,$S$2=TRUE),VLOOKUP($G673,'KO Calc'!$H:$AW,17,FALSE),VLOOKUP($G673,'KO Calc'!$H679:$AW679,17,FALSE)),IF(AND($Q$1=TRUE,$S$4=TRUE),IF(OR($Q$4=TRUE,$Q$5=TRUE,$S$2=TRUE),VLOOKUP($G673,'KO Calc'!$H:$AW,7,FALSE),VLOOKUP($G673,'KO Calc'!$H679:$AW679,7,FALSE)),
IF(AND($S$3=TRUE,$S$1=TRUE,$S$4=FALSE)=TRUE,IF(OR($Q$4=TRUE,$Q$5=TRUE,$S$2=TRUE),VLOOKUP($G673,'KO Calc'!$H:$AW,32,FALSE),VLOOKUP($G673,'KO Calc'!$H679:$AW679,32,FALSE)),IF(AND($S$3=TRUE,$S$4=FALSE),IF(OR($Q$4=TRUE,$Q$5=TRUE,$S$2=TRUE),VLOOKUP($G673,'KO Calc'!$H:$AW,22,FALSE),VLOOKUP($G673,'KO Calc'!$H679:$AW679,22,FALSE)),
IF(AND($S$3=TRUE,$S$1=TRUE,$S$4=TRUE)=TRUE,IF(OR($Q$4=TRUE,$Q$5=TRUE,$S$2=TRUE),VLOOKUP($G673,'KO Calc'!$H:$AW,37,FALSE),VLOOKUP($G673,'KO Calc'!$H679:$AW679,37,FALSE)),IF(AND($S$3=TRUE,$S$4=TRUE),IF(OR($Q$4=TRUE,$Q$5=TRUE,$S$2=TRUE),VLOOKUP($G673,'KO Calc'!$H:$AW,27,FALSE),VLOOKUP($G673,'KO Calc'!$H679:$AW679,27,FALSE)))))))))))))</f>
        <v>-</v>
      </c>
      <c r="I673" s="36" t="str">
        <f>IF(AND($Q$1=FALSE,$S$3=FALSE),"-",IF(AND($Q$1=TRUE,$S$3=TRUE),"-",IF(AND($Q$1=FALSE,$S$3=FALSE),"-",IF(AND($Q$1=TRUE,$S$1=TRUE,$S$4=FALSE)=TRUE,IF(OR($Q$4=TRUE,$Q$5=TRUE,$S$2=TRUE),VLOOKUP($G673,'KO Calc'!$H:$AW,13,FALSE),VLOOKUP($G673,'KO Calc'!$H679:$AW679,13,FALSE)),IF(AND($Q$1=TRUE,$S$4=FALSE),IF(OR($Q$4=TRUE,$Q$5=TRUE,$S$2=TRUE),VLOOKUP($G673,'KO Calc'!$H:$AW,3,FALSE),VLOOKUP($G673,'KO Calc'!$H679:$AW679,3,FALSE)),
IF(AND($Q$1=TRUE,$S$1=TRUE,$S$4=TRUE)=TRUE,IF(OR($Q$4=TRUE,$Q$5=TRUE,$S$2=TRUE),VLOOKUP($G673,'KO Calc'!$H:$AW,18,FALSE),VLOOKUP($G673,'KO Calc'!$H679:$AW679,18,FALSE)),IF(AND($Q$1=TRUE,$S$4=TRUE),IF(OR($Q$4=TRUE,$Q$5=TRUE,$S$2=TRUE),VLOOKUP($G673,'KO Calc'!$H:$AW,8,FALSE),VLOOKUP($G673,'KO Calc'!$H679:$AW679,8,FALSE)),
IF(AND($S$3=TRUE,$S$1=TRUE,$S$4=FALSE)=TRUE,IF(OR($Q$4=TRUE,$Q$5=TRUE,$S$2=TRUE),VLOOKUP($G673,'KO Calc'!$H:$AW,33,FALSE),VLOOKUP($G673,'KO Calc'!$H679:$AW679,33,FALSE)),IF(AND($S$3=TRUE,$S$4=FALSE),IF(OR($Q$4=TRUE,$Q$5=TRUE,$S$2=TRUE),VLOOKUP($G673,'KO Calc'!$H:$AW,23,FALSE),VLOOKUP($G673,'KO Calc'!$H679:$AW679,23,FALSE)),
IF(AND($S$3=TRUE,$S$1=TRUE,$S$4=TRUE)=TRUE,IF(OR($Q$4=TRUE,$Q$5=TRUE,$S$2=TRUE),VLOOKUP($G673,'KO Calc'!$H:$AW,38,FALSE),VLOOKUP($G673,'KO Calc'!$H679:$AW679,38,FALSE)),IF(AND($S$3=TRUE,$S$4=TRUE),IF(OR($Q$4=TRUE,$Q$5=TRUE,$S$2=TRUE),VLOOKUP($G673,'KO Calc'!$H:$AW,28,FALSE),VLOOKUP($G673,'KO Calc'!$H679:$AW679,28,FALSE)))))))))))))</f>
        <v>-</v>
      </c>
      <c r="J673" s="36" t="str">
        <f>IF(AND($Q$1=FALSE,$S$3=FALSE),"-",IF(AND($Q$1=TRUE,$S$3=TRUE),"-",IF(AND($Q$1=FALSE,$S$3=FALSE),"-",IF(AND($Q$1=TRUE,$S$1=TRUE,$S$4=FALSE)=TRUE,IF(OR($Q$4=TRUE,$Q$5=TRUE,$S$2=TRUE),VLOOKUP($G673,'KO Calc'!$H:$AW,FALSE),VLOOKUP($G673,'KO Calc'!$H679:$AW679,14,FALSE)),IF(AND($Q$1=TRUE,$S$4=FALSE),IF(OR($Q$4=TRUE,$Q$5=TRUE,$S$2=TRUE),VLOOKUP($G673,'KO Calc'!$H:$AW,4,FALSE),VLOOKUP($G673,'KO Calc'!$H679:$AW679,4,FALSE)),
IF(AND($Q$1=TRUE,$S$1=TRUE,$S$4=TRUE)=TRUE,IF(OR($Q$4=TRUE,$Q$5=TRUE,$S$2=TRUE),VLOOKUP($G673,'KO Calc'!$H:$AW,19,FALSE),VLOOKUP($G673,'KO Calc'!$H679:$AW679,19,FALSE)),IF(AND($Q$1=TRUE,$S$4=TRUE),IF(OR($Q$4=TRUE,$Q$5=TRUE,$S$2=TRUE),VLOOKUP($G673,'KO Calc'!$H:$AW,9,FALSE),VLOOKUP($G673,'KO Calc'!$H679:$AW679,9,FALSE)),
IF(AND($S$3=TRUE,$S$1=TRUE,$S$4=FALSE)=TRUE,IF(OR($Q$4=TRUE,$Q$5=TRUE,$S$2=TRUE),VLOOKUP($G673,'KO Calc'!$H:$AW,34,FALSE),VLOOKUP($G673,'KO Calc'!$H679:$AW679,34,FALSE)),IF(AND($S$3=TRUE,$S$4=FALSE),IF(OR($Q$4=TRUE,$Q$5=TRUE,$S$2=TRUE),VLOOKUP($G673,'KO Calc'!$H:$AW,24,FALSE),VLOOKUP($G673,'KO Calc'!$H679:$AW679,24,FALSE)),
IF(AND($S$3=TRUE,$S$1=TRUE,$S$4=TRUE)=TRUE,IF(OR($Q$4=TRUE,$Q$5=TRUE,$S$2=TRUE),VLOOKUP($G673,'KO Calc'!$H:$AW,39,FALSE),VLOOKUP($G673,'KO Calc'!$H679:$AW679,39,FALSE)),IF(AND($S$3=TRUE,$S$4=TRUE),IF(OR($Q$4=TRUE,$Q$5=TRUE,$S$2=TRUE),VLOOKUP($G673,'KO Calc'!$H:$AW,29,FALSE),VLOOKUP($G673,'KO Calc'!$H679:$AW679,29,FALSE)))))))))))))</f>
        <v>-</v>
      </c>
      <c r="K673" s="36" t="str">
        <f>IF(AND($Q$1=FALSE,$S$3=FALSE),"-",IF(AND($Q$1=TRUE,$S$3=TRUE),"-",IF(AND($Q$1=FALSE,$S$3=FALSE),"-",IF(AND($Q$1=TRUE,$S$1=TRUE,$S$4=FALSE)=TRUE,IF(OR($Q$4=TRUE,$Q$5=TRUE,$S$2=TRUE),VLOOKUP($G673,'KO Calc'!$H:$AW,15,FALSE),VLOOKUP($G673,'KO Calc'!$H679:$AW679,15,FALSE)),IF(AND($Q$1=TRUE,$S$4=FALSE),IF(OR($Q$4=TRUE,$Q$5=TRUE,$S$2=TRUE),VLOOKUP($G673,'KO Calc'!$H:$AW,5,FALSE),VLOOKUP($G673,'KO Calc'!$H679:$AW679,5,FALSE)),
IF(AND($Q$1=TRUE,$S$1=TRUE,$S$4=TRUE)=TRUE,IF(OR($Q$4=TRUE,$Q$5=TRUE,$S$2=TRUE),VLOOKUP($G673,'KO Calc'!$H:$AW,20,FALSE),VLOOKUP($G673,'KO Calc'!$H679:$AW679,20,FALSE)),IF(AND($Q$1=TRUE,$S$4=TRUE),IF(OR($Q$4=TRUE,$Q$5=TRUE,$S$2=TRUE),VLOOKUP($G673,'KO Calc'!$H:$AW,10,FALSE),VLOOKUP($G673,'KO Calc'!$H679:$AW679,10,FALSE)),
IF(AND($S$3=TRUE,$S$1=TRUE,$S$4=FALSE)=TRUE,IF(OR($Q$4=TRUE,$Q$5=TRUE,$S$2=TRUE),VLOOKUP($G673,'KO Calc'!$H:$AW,35,FALSE),VLOOKUP($G673,'KO Calc'!$H679:$AW679,35,FALSE)),IF(AND($S$3=TRUE,$S$4=FALSE),IF(OR($Q$4=TRUE,$Q$5=TRUE,$S$2=TRUE),VLOOKUP($G673,'KO Calc'!$H:$AW,25,FALSE),VLOOKUP($G673,'KO Calc'!$H679:$AW679,25,FALSE)),
IF(AND($S$3=TRUE,$S$1=TRUE,$S$4=TRUE)=TRUE,IF(OR($Q$4=TRUE,$Q$5=TRUE,$S$2=TRUE),VLOOKUP($G673,'KO Calc'!$H:$AW,40,FALSE),VLOOKUP($G673,'KO Calc'!$H679:$AW679,40,FALSE)),IF(AND($S$3=TRUE,$S$4=TRUE),IF(OR($Q$4=TRUE,$Q$5=TRUE,$S$2=TRUE),VLOOKUP($G673,'KO Calc'!$H:$AW,30,FALSE),VLOOKUP($G673,'KO Calc'!$H679:$AW679,30,FALSE)))))))))))))</f>
        <v>-</v>
      </c>
      <c r="L673" s="36" t="str">
        <f>IFERROR(VLOOKUP($E673,'Status Thresholds'!$E:$AS,41,FALSE),"-")</f>
        <v>-</v>
      </c>
    </row>
    <row r="674" spans="2:14" x14ac:dyDescent="0.25">
      <c r="B674" s="64" t="str">
        <f>VLOOKUP(C674,'Status Thresholds'!B:C,2,FALSE)</f>
        <v>MHGen</v>
      </c>
      <c r="C674" s="46" t="str">
        <f>IF(ISBLANK('KO Calc'!C670)=TRUE,"",'KO Calc'!C670)</f>
        <v>Seltas</v>
      </c>
      <c r="D674" s="78"/>
      <c r="E674" s="62" t="str">
        <f t="shared" si="19"/>
        <v>Seltas</v>
      </c>
      <c r="G674" s="36" t="str">
        <f t="shared" si="20"/>
        <v>Seltas</v>
      </c>
      <c r="L674" s="36" t="str">
        <f>IFERROR(VLOOKUP($E674,'Status Thresholds'!$E:$AS,41,FALSE),"-")</f>
        <v>-</v>
      </c>
    </row>
    <row r="675" spans="2:14" x14ac:dyDescent="0.25">
      <c r="B675" s="64" t="str">
        <f>VLOOKUP(C675,'Status Thresholds'!B:C,2,FALSE)</f>
        <v>MHGen</v>
      </c>
      <c r="C675" s="46" t="str">
        <f>IF(ISBLANK('KO Calc'!C671)=TRUE,"",'KO Calc'!C671)</f>
        <v>Seltas Queen</v>
      </c>
      <c r="D675" s="65" t="s">
        <v>0</v>
      </c>
      <c r="E675" s="62" t="str">
        <f t="shared" si="19"/>
        <v>Seltas QueenPara</v>
      </c>
      <c r="F675" s="36" t="s">
        <v>2</v>
      </c>
      <c r="G675" s="36" t="str">
        <f t="shared" si="20"/>
        <v>Seltas QueenPara lvl 2</v>
      </c>
      <c r="H675" s="36" t="str">
        <f>IFERROR(ROUNDUP(IF(AND($Q$1=FALSE,$S$3=FALSE),"-",IF(AND($Q$1=TRUE,$S$3=TRUE),"-",IF(AND($Q$1=TRUE,$S$1=TRUE,$S$4=FALSE),VLOOKUP($E675,'Status Thresholds'!$E:$AS,12,FALSE),IF(AND($Q$1=TRUE,$S$4=FALSE),VLOOKUP($E675,'Status Thresholds'!$E:$AS,2,FALSE), IF(AND($Q$1=TRUE,$S$1=TRUE,$S$4=TRUE),VLOOKUP($E675,'Status Thresholds'!$E:$AS,17,FALSE),IF(AND($Q$1=TRUE,$S$4=TRUE),VLOOKUP($E675,'Status Thresholds'!$E:$AS,7,FALSE),IF(AND($S$3=TRUE,$S$1=TRUE,$S$4=FALSE),VLOOKUP($E675,'Status Thresholds'!$E:$AS,32,FALSE),IF(AND($S$3=TRUE,$S$4=FALSE),VLOOKUP($E675,'Status Thresholds'!$E:$AS,22,FALSE),IF(AND($S$3=TRUE,$S$1=TRUE,$S$4=TRUE),VLOOKUP($E675,'Status Thresholds'!$E:$AS,37,FALSE),IF(AND($S$3=TRUE,$S$4=TRUE),VLOOKUP($E675,'Status Thresholds'!$E:$AS,27,FALSE),""))))))))/IF(OR($Q$3=TRUE,AND($Q$2=TRUE,$Q$7=TRUE),AND($Q$3=TRUE,$Q$7=TRUE))=TRUE,'Shots and Status'!$F$5,IF((OR($Q$2,$Q$7)=TRUE),'Shots and Status'!$D$5,'Shots and Status'!$C$5)))),0),"-")</f>
        <v>-</v>
      </c>
      <c r="I675" s="36" t="str">
        <f>IFERROR(ROUNDUP(IF(AND($Q$1=FALSE,$S$3=FALSE),"-",IF(AND($Q$1=TRUE,$S$3=TRUE),"-",IF(AND($Q$1=TRUE,$S$1=TRUE,$S$4=FALSE),VLOOKUP($E675,'Status Thresholds'!$E:$AS,13,FALSE),IF(AND($Q$1=TRUE,$S$4=FALSE),VLOOKUP($E675,'Status Thresholds'!$E:$AS,3,FALSE), IF(AND($Q$1=TRUE,$S$1=TRUE,$S$4=TRUE),VLOOKUP($E675,'Status Thresholds'!$E:$AS,18,FALSE),IF(AND($Q$1=TRUE,$S$4=TRUE),VLOOKUP($E675,'Status Thresholds'!$E:$AS,8,FALSE),IF(AND($S$3=TRUE,$S$1=TRUE,$S$4=FALSE),VLOOKUP($E675,'Status Thresholds'!$E:$AS,33,FALSE),IF(AND($S$3=TRUE,$S$4=FALSE),VLOOKUP($E675,'Status Thresholds'!$E:$AS,23,FALSE),IF(AND($S$3=TRUE,$S$1=TRUE,$S$4=TRUE),VLOOKUP($E675,'Status Thresholds'!$E:$AS,38,FALSE),IF(AND($S$3=TRUE,$S$4=TRUE),VLOOKUP($E675,'Status Thresholds'!$E:$AS,28,FALSE),""))))))))/IF(OR($Q$3=TRUE,AND($Q$2=TRUE,$Q$7=TRUE),AND($Q$3=TRUE,$Q$7=TRUE))=TRUE,'Shots and Status'!$F$5,IF((OR($Q$2,$Q$7)=TRUE),'Shots and Status'!$D$5,'Shots and Status'!$C$5)))),0),"-")</f>
        <v>-</v>
      </c>
      <c r="J675" s="36" t="str">
        <f>IFERROR(ROUNDUP(IF(AND($Q$1=FALSE,$S$3=FALSE),"-",IF(AND($Q$1=TRUE,$S$3=TRUE),"-",IF(AND($Q$1=TRUE,$S$1=TRUE,$S$4=FALSE),VLOOKUP($E675,'Status Thresholds'!$E:$AS,14,FALSE),IF(AND($Q$1=TRUE,$S$4=FALSE),VLOOKUP($E675,'Status Thresholds'!$E:$AS,4,FALSE), IF(AND($Q$1=TRUE,$S$1=TRUE,$S$4=TRUE),VLOOKUP($E675,'Status Thresholds'!$E:$AS,19,FALSE),IF(AND($Q$1=TRUE,$S$4=TRUE),VLOOKUP($E675,'Status Thresholds'!$E:$AS,9,FALSE),IF(AND($S$3=TRUE,$S$1=TRUE,$S$4=FALSE),VLOOKUP($E675,'Status Thresholds'!$E:$AS,34,FALSE),IF(AND($S$3=TRUE,$S$4=FALSE),VLOOKUP($E675,'Status Thresholds'!$E:$AS,24,FALSE),IF(AND($S$3=TRUE,$S$1=TRUE,$S$4=TRUE),VLOOKUP($E675,'Status Thresholds'!$E:$AS,39,FALSE),IF(AND($S$3=TRUE,$S$4=TRUE),VLOOKUP($E675,'Status Thresholds'!$E:$AS,29,FALSE),""))))))))/IF(OR($Q$3=TRUE,AND($Q$2=TRUE,$Q$7=TRUE),AND($Q$3=TRUE,$Q$7=TRUE))=TRUE,'Shots and Status'!$F$5,IF((OR($Q$2,$Q$7)=TRUE),'Shots and Status'!$D$5,'Shots and Status'!$C$5)))),0),"-")</f>
        <v>-</v>
      </c>
      <c r="K675" s="36" t="str">
        <f>IFERROR(ROUNDUP(IF(AND($Q$1=FALSE,$S$3=FALSE),"-",IF(AND($Q$1=TRUE,$S$3=TRUE),"-",IF(AND($Q$1=TRUE,$S$1=TRUE,$S$4=FALSE),VLOOKUP($E675,'Status Thresholds'!$E:$AS,15,FALSE),IF(AND($Q$1=TRUE,$S$4=FALSE),VLOOKUP($E675,'Status Thresholds'!$E:$AS,5,FALSE), IF(AND($Q$1=TRUE,$S$1=TRUE,$S$4=TRUE),VLOOKUP($E675,'Status Thresholds'!$E:$AS,20,FALSE),IF(AND($Q$1=TRUE,$S$4=TRUE),VLOOKUP($E675,'Status Thresholds'!$E:$AS,10,FALSE),IF(AND($S$3=TRUE,$S$1=TRUE,$S$4=FALSE),VLOOKUP($E675,'Status Thresholds'!$E:$AS,35,FALSE),IF(AND($S$3=TRUE,$S$4=FALSE),VLOOKUP($E675,'Status Thresholds'!$E:$AS,25,FALSE),IF(AND($S$3=TRUE,$S$1=TRUE,$S$4=TRUE),VLOOKUP($E675,'Status Thresholds'!$E:$AS,40,FALSE),IF(AND($S$3=TRUE,$S$4=TRUE),VLOOKUP($E675,'Status Thresholds'!$E:$AS,30,FALSE),""))))))))/IF(OR($Q$3=TRUE,AND($Q$2=TRUE,$Q$7=TRUE),AND($Q$3=TRUE,$Q$7=TRUE))=TRUE,'Shots and Status'!$F$5,IF((OR($Q$2,$Q$7)=TRUE),'Shots and Status'!$D$5,'Shots and Status'!$C$5)))),0),"-")</f>
        <v>-</v>
      </c>
      <c r="L675" s="36" t="str">
        <f>IFERROR(IF(AND($Q$1=FALSE,$S$3=FALSE),"-",VLOOKUP($E675,'Status Thresholds'!$E:$AU,41,FALSE)),"-")</f>
        <v>-</v>
      </c>
      <c r="M675" s="36" t="str">
        <f>IFERROR(IF(AND($Q$1=FALSE,$S$3=FALSE),"-",VLOOKUP($E675,'Status Thresholds'!$E:$AU,42,FALSE)),"-")</f>
        <v>-</v>
      </c>
      <c r="N675" s="36" t="str">
        <f>IFERROR(IF(AND($Q$1=FALSE,$S$3=FALSE),"-",VLOOKUP($E675,'Status Thresholds'!$E:$AU,43,FALSE)),"-")</f>
        <v>-</v>
      </c>
    </row>
    <row r="676" spans="2:14" x14ac:dyDescent="0.25">
      <c r="B676" s="64" t="str">
        <f>VLOOKUP(C676,'Status Thresholds'!B:C,2,FALSE)</f>
        <v>MHGen</v>
      </c>
      <c r="C676" s="46" t="str">
        <f>IF(ISBLANK('KO Calc'!C672)=TRUE,"",'KO Calc'!C672)</f>
        <v>Seltas Queen</v>
      </c>
      <c r="D676" s="60" t="s">
        <v>32</v>
      </c>
      <c r="E676" s="62" t="str">
        <f t="shared" si="19"/>
        <v>Seltas QueenSleep</v>
      </c>
      <c r="F676" s="59" t="s">
        <v>5</v>
      </c>
      <c r="G676" s="36" t="str">
        <f t="shared" si="20"/>
        <v>Seltas QueenSleep lvl 2</v>
      </c>
      <c r="H676" s="36" t="str">
        <f>IFERROR(ROUNDUP(IF(AND($Q$1=FALSE,$S$3=FALSE),"-",IF(AND($Q$1=TRUE,$S$3=TRUE),"-",IF(AND($Q$1=TRUE,$S$1=TRUE,$S$4=FALSE),VLOOKUP($E676,'Status Thresholds'!$E:$AS,12,FALSE),IF(AND($Q$1=TRUE,$S$4=FALSE),VLOOKUP($E676,'Status Thresholds'!$E:$AS,2,FALSE), IF(AND($Q$1=TRUE,$S$1=TRUE,$S$4=TRUE),VLOOKUP($E676,'Status Thresholds'!$E:$AS,17,FALSE),IF(AND($Q$1=TRUE,$S$4=TRUE),VLOOKUP($E676,'Status Thresholds'!$E:$AS,7,FALSE),IF(AND($S$3=TRUE,$S$1=TRUE,$S$4=FALSE),VLOOKUP($E676,'Status Thresholds'!$E:$AS,32,FALSE),IF(AND($S$3=TRUE,$S$4=FALSE),VLOOKUP($E676,'Status Thresholds'!$E:$AS,22,FALSE),IF(AND($S$3=TRUE,$S$1=TRUE,$S$4=TRUE),VLOOKUP($E676,'Status Thresholds'!$E:$AS,37,FALSE),IF(AND($S$3=TRUE,$S$4=TRUE),VLOOKUP($E676,'Status Thresholds'!$E:$AS,27,FALSE),""))))))))/IF(OR($Q$3=TRUE,AND($Q$2=TRUE,$Q$7=TRUE),AND($Q$3=TRUE,$Q$7=TRUE))=TRUE,'Shots and Status'!$F$5,IF((OR($Q$2,$Q$7)=TRUE),'Shots and Status'!$D$5,'Shots and Status'!$C$5)))),0),"-")</f>
        <v>-</v>
      </c>
      <c r="I676" s="36" t="str">
        <f>IFERROR(ROUNDUP(IF(AND($Q$1=FALSE,$S$3=FALSE),"-",IF(AND($Q$1=TRUE,$S$3=TRUE),"-",IF(AND($Q$1=TRUE,$S$1=TRUE,$S$4=FALSE),VLOOKUP($E676,'Status Thresholds'!$E:$AS,13,FALSE),IF(AND($Q$1=TRUE,$S$4=FALSE),VLOOKUP($E676,'Status Thresholds'!$E:$AS,3,FALSE), IF(AND($Q$1=TRUE,$S$1=TRUE,$S$4=TRUE),VLOOKUP($E676,'Status Thresholds'!$E:$AS,18,FALSE),IF(AND($Q$1=TRUE,$S$4=TRUE),VLOOKUP($E676,'Status Thresholds'!$E:$AS,8,FALSE),IF(AND($S$3=TRUE,$S$1=TRUE,$S$4=FALSE),VLOOKUP($E676,'Status Thresholds'!$E:$AS,33,FALSE),IF(AND($S$3=TRUE,$S$4=FALSE),VLOOKUP($E676,'Status Thresholds'!$E:$AS,23,FALSE),IF(AND($S$3=TRUE,$S$1=TRUE,$S$4=TRUE),VLOOKUP($E676,'Status Thresholds'!$E:$AS,38,FALSE),IF(AND($S$3=TRUE,$S$4=TRUE),VLOOKUP($E676,'Status Thresholds'!$E:$AS,28,FALSE),""))))))))/IF(OR($Q$3=TRUE,AND($Q$2=TRUE,$Q$7=TRUE),AND($Q$3=TRUE,$Q$7=TRUE))=TRUE,'Shots and Status'!$F$5,IF((OR($Q$2,$Q$7)=TRUE),'Shots and Status'!$D$5,'Shots and Status'!$C$5)))),0),"-")</f>
        <v>-</v>
      </c>
      <c r="J676" s="36" t="str">
        <f>IFERROR(ROUNDUP(IF(AND($Q$1=FALSE,$S$3=FALSE),"-",IF(AND($Q$1=TRUE,$S$3=TRUE),"-",IF(AND($Q$1=TRUE,$S$1=TRUE,$S$4=FALSE),VLOOKUP($E676,'Status Thresholds'!$E:$AS,14,FALSE),IF(AND($Q$1=TRUE,$S$4=FALSE),VLOOKUP($E676,'Status Thresholds'!$E:$AS,4,FALSE), IF(AND($Q$1=TRUE,$S$1=TRUE,$S$4=TRUE),VLOOKUP($E676,'Status Thresholds'!$E:$AS,19,FALSE),IF(AND($Q$1=TRUE,$S$4=TRUE),VLOOKUP($E676,'Status Thresholds'!$E:$AS,9,FALSE),IF(AND($S$3=TRUE,$S$1=TRUE,$S$4=FALSE),VLOOKUP($E676,'Status Thresholds'!$E:$AS,34,FALSE),IF(AND($S$3=TRUE,$S$4=FALSE),VLOOKUP($E676,'Status Thresholds'!$E:$AS,24,FALSE),IF(AND($S$3=TRUE,$S$1=TRUE,$S$4=TRUE),VLOOKUP($E676,'Status Thresholds'!$E:$AS,39,FALSE),IF(AND($S$3=TRUE,$S$4=TRUE),VLOOKUP($E676,'Status Thresholds'!$E:$AS,29,FALSE),""))))))))/IF(OR($Q$3=TRUE,AND($Q$2=TRUE,$Q$7=TRUE),AND($Q$3=TRUE,$Q$7=TRUE))=TRUE,'Shots and Status'!$F$5,IF((OR($Q$2,$Q$7)=TRUE),'Shots and Status'!$D$5,'Shots and Status'!$C$5)))),0),"-")</f>
        <v>-</v>
      </c>
      <c r="K676" s="36" t="str">
        <f>IFERROR(ROUNDUP(IF(AND($Q$1=FALSE,$S$3=FALSE),"-",IF(AND($Q$1=TRUE,$S$3=TRUE),"-",IF(AND($Q$1=TRUE,$S$1=TRUE,$S$4=FALSE),VLOOKUP($E676,'Status Thresholds'!$E:$AS,15,FALSE),IF(AND($Q$1=TRUE,$S$4=FALSE),VLOOKUP($E676,'Status Thresholds'!$E:$AS,5,FALSE), IF(AND($Q$1=TRUE,$S$1=TRUE,$S$4=TRUE),VLOOKUP($E676,'Status Thresholds'!$E:$AS,20,FALSE),IF(AND($Q$1=TRUE,$S$4=TRUE),VLOOKUP($E676,'Status Thresholds'!$E:$AS,10,FALSE),IF(AND($S$3=TRUE,$S$1=TRUE,$S$4=FALSE),VLOOKUP($E676,'Status Thresholds'!$E:$AS,35,FALSE),IF(AND($S$3=TRUE,$S$4=FALSE),VLOOKUP($E676,'Status Thresholds'!$E:$AS,25,FALSE),IF(AND($S$3=TRUE,$S$1=TRUE,$S$4=TRUE),VLOOKUP($E676,'Status Thresholds'!$E:$AS,40,FALSE),IF(AND($S$3=TRUE,$S$4=TRUE),VLOOKUP($E676,'Status Thresholds'!$E:$AS,30,FALSE),""))))))))/IF(OR($Q$3=TRUE,AND($Q$2=TRUE,$Q$7=TRUE),AND($Q$3=TRUE,$Q$7=TRUE))=TRUE,'Shots and Status'!$F$5,IF((OR($Q$2,$Q$7)=TRUE),'Shots and Status'!$D$5,'Shots and Status'!$C$5)))),0),"-")</f>
        <v>-</v>
      </c>
      <c r="L676" s="36" t="str">
        <f>IFERROR(IF(AND($Q$1=FALSE,$S$3=FALSE),"-",VLOOKUP($E676,'Status Thresholds'!$E:$AU,41,FALSE)),"-")</f>
        <v>-</v>
      </c>
      <c r="M676" s="36" t="str">
        <f>IFERROR(IF(AND($Q$1=FALSE,$S$3=FALSE),"-",VLOOKUP($E676,'Status Thresholds'!$E:$AU,42,FALSE)),"-")</f>
        <v>-</v>
      </c>
      <c r="N676" s="36" t="str">
        <f>IFERROR(IF(AND($Q$1=FALSE,$S$3=FALSE),"-",VLOOKUP($E676,'Status Thresholds'!$E:$AU,43,FALSE)),"-")</f>
        <v>-</v>
      </c>
    </row>
    <row r="677" spans="2:14" x14ac:dyDescent="0.25">
      <c r="B677" s="64" t="str">
        <f>VLOOKUP(C677,'Status Thresholds'!B:C,2,FALSE)</f>
        <v>MHGen</v>
      </c>
      <c r="C677" s="46" t="str">
        <f>IF(ISBLANK('KO Calc'!C673)=TRUE,"",'KO Calc'!C673)</f>
        <v>Seltas Queen</v>
      </c>
      <c r="D677" s="58" t="s">
        <v>33</v>
      </c>
      <c r="E677" s="62" t="str">
        <f t="shared" si="19"/>
        <v>Seltas QueenPoison</v>
      </c>
      <c r="F677" s="59" t="s">
        <v>6</v>
      </c>
      <c r="G677" s="36" t="str">
        <f t="shared" si="20"/>
        <v>Seltas QueenPoison lvl 2</v>
      </c>
      <c r="H677" s="36" t="str">
        <f>IFERROR(ROUNDUP(IF(AND($Q$1=FALSE,$S$3=FALSE),"-",IF(AND($Q$1=TRUE,$S$3=TRUE),"-",IF(AND($Q$1=TRUE,$S$1=TRUE,$S$4=FALSE),VLOOKUP($E677,'Status Thresholds'!$E:$AS,12,FALSE),IF(AND($Q$1=TRUE,$S$4=FALSE),VLOOKUP($E677,'Status Thresholds'!$E:$AS,2,FALSE), IF(AND($Q$1=TRUE,$S$1=TRUE,$S$4=TRUE),VLOOKUP($E677,'Status Thresholds'!$E:$AS,17,FALSE),IF(AND($Q$1=TRUE,$S$4=TRUE),VLOOKUP($E677,'Status Thresholds'!$E:$AS,7,FALSE),IF(AND($S$3=TRUE,$S$1=TRUE,$S$4=FALSE),VLOOKUP($E677,'Status Thresholds'!$E:$AS,32,FALSE),IF(AND($S$3=TRUE,$S$4=FALSE),VLOOKUP($E677,'Status Thresholds'!$E:$AS,22,FALSE),IF(AND($S$3=TRUE,$S$1=TRUE,$S$4=TRUE),VLOOKUP($E677,'Status Thresholds'!$E:$AS,37,FALSE),IF(AND($S$3=TRUE,$S$4=TRUE),VLOOKUP($E677,'Status Thresholds'!$E:$AS,27,FALSE),""))))))))/IF(OR($Q$3=TRUE,AND($Q$2=TRUE,$Q$7=TRUE),AND($Q$3=TRUE,$Q$7=TRUE))=TRUE,'Shots and Status'!$F$5,IF((OR($Q$2,$Q$7)=TRUE),'Shots and Status'!$D$5,'Shots and Status'!$C$5)))),0),"-")</f>
        <v>-</v>
      </c>
      <c r="I677" s="36" t="str">
        <f>IFERROR(ROUNDUP(IF(AND($Q$1=FALSE,$S$3=FALSE),"-",IF(AND($Q$1=TRUE,$S$3=TRUE),"-",IF(AND($Q$1=TRUE,$S$1=TRUE,$S$4=FALSE),VLOOKUP($E677,'Status Thresholds'!$E:$AS,13,FALSE),IF(AND($Q$1=TRUE,$S$4=FALSE),VLOOKUP($E677,'Status Thresholds'!$E:$AS,3,FALSE), IF(AND($Q$1=TRUE,$S$1=TRUE,$S$4=TRUE),VLOOKUP($E677,'Status Thresholds'!$E:$AS,18,FALSE),IF(AND($Q$1=TRUE,$S$4=TRUE),VLOOKUP($E677,'Status Thresholds'!$E:$AS,8,FALSE),IF(AND($S$3=TRUE,$S$1=TRUE,$S$4=FALSE),VLOOKUP($E677,'Status Thresholds'!$E:$AS,33,FALSE),IF(AND($S$3=TRUE,$S$4=FALSE),VLOOKUP($E677,'Status Thresholds'!$E:$AS,23,FALSE),IF(AND($S$3=TRUE,$S$1=TRUE,$S$4=TRUE),VLOOKUP($E677,'Status Thresholds'!$E:$AS,38,FALSE),IF(AND($S$3=TRUE,$S$4=TRUE),VLOOKUP($E677,'Status Thresholds'!$E:$AS,28,FALSE),""))))))))/IF(OR($Q$3=TRUE,AND($Q$2=TRUE,$Q$7=TRUE),AND($Q$3=TRUE,$Q$7=TRUE))=TRUE,'Shots and Status'!$F$5,IF((OR($Q$2,$Q$7)=TRUE),'Shots and Status'!$D$5,'Shots and Status'!$C$5)))),0),"-")</f>
        <v>-</v>
      </c>
      <c r="J677" s="36" t="str">
        <f>IFERROR(ROUNDUP(IF(AND($Q$1=FALSE,$S$3=FALSE),"-",IF(AND($Q$1=TRUE,$S$3=TRUE),"-",IF(AND($Q$1=TRUE,$S$1=TRUE,$S$4=FALSE),VLOOKUP($E677,'Status Thresholds'!$E:$AS,14,FALSE),IF(AND($Q$1=TRUE,$S$4=FALSE),VLOOKUP($E677,'Status Thresholds'!$E:$AS,4,FALSE), IF(AND($Q$1=TRUE,$S$1=TRUE,$S$4=TRUE),VLOOKUP($E677,'Status Thresholds'!$E:$AS,19,FALSE),IF(AND($Q$1=TRUE,$S$4=TRUE),VLOOKUP($E677,'Status Thresholds'!$E:$AS,9,FALSE),IF(AND($S$3=TRUE,$S$1=TRUE,$S$4=FALSE),VLOOKUP($E677,'Status Thresholds'!$E:$AS,34,FALSE),IF(AND($S$3=TRUE,$S$4=FALSE),VLOOKUP($E677,'Status Thresholds'!$E:$AS,24,FALSE),IF(AND($S$3=TRUE,$S$1=TRUE,$S$4=TRUE),VLOOKUP($E677,'Status Thresholds'!$E:$AS,39,FALSE),IF(AND($S$3=TRUE,$S$4=TRUE),VLOOKUP($E677,'Status Thresholds'!$E:$AS,29,FALSE),""))))))))/IF(OR($Q$3=TRUE,AND($Q$2=TRUE,$Q$7=TRUE),AND($Q$3=TRUE,$Q$7=TRUE))=TRUE,'Shots and Status'!$F$5,IF((OR($Q$2,$Q$7)=TRUE),'Shots and Status'!$D$5,'Shots and Status'!$C$5)))),0),"-")</f>
        <v>-</v>
      </c>
      <c r="K677" s="36" t="str">
        <f>IFERROR(ROUNDUP(IF(AND($Q$1=FALSE,$S$3=FALSE),"-",IF(AND($Q$1=TRUE,$S$3=TRUE),"-",IF(AND($Q$1=TRUE,$S$1=TRUE,$S$4=FALSE),VLOOKUP($E677,'Status Thresholds'!$E:$AS,15,FALSE),IF(AND($Q$1=TRUE,$S$4=FALSE),VLOOKUP($E677,'Status Thresholds'!$E:$AS,5,FALSE), IF(AND($Q$1=TRUE,$S$1=TRUE,$S$4=TRUE),VLOOKUP($E677,'Status Thresholds'!$E:$AS,20,FALSE),IF(AND($Q$1=TRUE,$S$4=TRUE),VLOOKUP($E677,'Status Thresholds'!$E:$AS,10,FALSE),IF(AND($S$3=TRUE,$S$1=TRUE,$S$4=FALSE),VLOOKUP($E677,'Status Thresholds'!$E:$AS,35,FALSE),IF(AND($S$3=TRUE,$S$4=FALSE),VLOOKUP($E677,'Status Thresholds'!$E:$AS,25,FALSE),IF(AND($S$3=TRUE,$S$1=TRUE,$S$4=TRUE),VLOOKUP($E677,'Status Thresholds'!$E:$AS,40,FALSE),IF(AND($S$3=TRUE,$S$4=TRUE),VLOOKUP($E677,'Status Thresholds'!$E:$AS,30,FALSE),""))))))))/IF(OR($Q$3=TRUE,AND($Q$2=TRUE,$Q$7=TRUE),AND($Q$3=TRUE,$Q$7=TRUE))=TRUE,'Shots and Status'!$F$5,IF((OR($Q$2,$Q$7)=TRUE),'Shots and Status'!$D$5,'Shots and Status'!$C$5)))),0),"-")</f>
        <v>-</v>
      </c>
      <c r="L677" s="36" t="str">
        <f>IFERROR(IF(AND($Q$1=FALSE,$S$3=FALSE),"-",VLOOKUP($E677,'Status Thresholds'!$E:$AU,41,FALSE)),"-")</f>
        <v>-</v>
      </c>
      <c r="M677" s="36" t="str">
        <f>IFERROR(IF(AND($Q$1=FALSE,$S$3=FALSE),"-",VLOOKUP($E677,'Status Thresholds'!$E:$AU,42,FALSE)),"-")</f>
        <v>-</v>
      </c>
      <c r="N677" s="36" t="str">
        <f>IFERROR(IF(AND($Q$1=FALSE,$S$3=FALSE),"-",VLOOKUP($E677,'Status Thresholds'!$E:$AU,43,FALSE)),"-")</f>
        <v>-</v>
      </c>
    </row>
    <row r="678" spans="2:14" x14ac:dyDescent="0.25">
      <c r="B678" s="64" t="str">
        <f>VLOOKUP(C678,'Status Thresholds'!B:C,2,FALSE)</f>
        <v>MHGen</v>
      </c>
      <c r="C678" s="46" t="str">
        <f>IF(ISBLANK('KO Calc'!C674)=TRUE,"",'KO Calc'!C674)</f>
        <v>Seltas Queen</v>
      </c>
      <c r="D678" s="57" t="s">
        <v>22</v>
      </c>
      <c r="E678" s="62" t="str">
        <f t="shared" si="19"/>
        <v>Seltas QueenExhaust</v>
      </c>
      <c r="F678" s="36" t="s">
        <v>8</v>
      </c>
      <c r="G678" s="36" t="str">
        <f t="shared" si="20"/>
        <v>Seltas QueenExhaust lvl 2</v>
      </c>
      <c r="H678" s="36" t="str">
        <f>IFERROR(ROUNDUP(IF(AND($Q$1=FALSE,$S$3=FALSE),"-",IF(AND($Q$1=TRUE,$S$3=TRUE),"-",IF(AND($Q$1=TRUE,$S$1=TRUE,$S$4=FALSE),VLOOKUP($E678,'Status Thresholds'!$E:$AS,12,FALSE),IF(AND($Q$1=TRUE,$S$4=FALSE),VLOOKUP($E678,'Status Thresholds'!$E:$AS,2,FALSE), IF(AND($Q$1=TRUE,$S$1=TRUE,$S$4=TRUE),VLOOKUP($E678,'Status Thresholds'!$E:$AS,17,FALSE),IF(AND($Q$1=TRUE,$S$4=TRUE),VLOOKUP($E678,'Status Thresholds'!$E:$AS,7,FALSE),IF(AND($S$3=TRUE,$S$1=TRUE,$S$4=FALSE),VLOOKUP($E678,'Status Thresholds'!$E:$AS,32,FALSE),IF(AND($S$3=TRUE,$S$4=FALSE),VLOOKUP($E678,'Status Thresholds'!$E:$AS,22,FALSE),IF(AND($S$3=TRUE,$S$1=TRUE,$S$4=TRUE),VLOOKUP($E678,'Status Thresholds'!$E:$AS,37,FALSE),IF(AND($S$3=TRUE,$S$4=TRUE),VLOOKUP($E678,'Status Thresholds'!$E:$AS,27,FALSE),""))))))))/IF(OR($Q$3=TRUE,AND($Q$2=TRUE,$Q$7=TRUE),AND($Q$3=TRUE,$Q$7=TRUE))=TRUE,'Shots and Status'!$F$5,IF((OR($Q$2,$Q$7)=TRUE),'Shots and Status'!$D$5,'Shots and Status'!$C$5)))),0),"-")</f>
        <v>-</v>
      </c>
      <c r="I678" s="36" t="str">
        <f>IFERROR(ROUNDUP(IF(AND($Q$1=FALSE,$S$3=FALSE),"-",IF(AND($Q$1=TRUE,$S$3=TRUE),"-",IF(AND($Q$1=TRUE,$S$1=TRUE,$S$4=FALSE),VLOOKUP($E678,'Status Thresholds'!$E:$AS,13,FALSE),IF(AND($Q$1=TRUE,$S$4=FALSE),VLOOKUP($E678,'Status Thresholds'!$E:$AS,3,FALSE), IF(AND($Q$1=TRUE,$S$1=TRUE,$S$4=TRUE),VLOOKUP($E678,'Status Thresholds'!$E:$AS,18,FALSE),IF(AND($Q$1=TRUE,$S$4=TRUE),VLOOKUP($E678,'Status Thresholds'!$E:$AS,8,FALSE),IF(AND($S$3=TRUE,$S$1=TRUE,$S$4=FALSE),VLOOKUP($E678,'Status Thresholds'!$E:$AS,33,FALSE),IF(AND($S$3=TRUE,$S$4=FALSE),VLOOKUP($E678,'Status Thresholds'!$E:$AS,23,FALSE),IF(AND($S$3=TRUE,$S$1=TRUE,$S$4=TRUE),VLOOKUP($E678,'Status Thresholds'!$E:$AS,38,FALSE),IF(AND($S$3=TRUE,$S$4=TRUE),VLOOKUP($E678,'Status Thresholds'!$E:$AS,28,FALSE),""))))))))/IF(OR($Q$3=TRUE,AND($Q$2=TRUE,$Q$7=TRUE),AND($Q$3=TRUE,$Q$7=TRUE))=TRUE,'Shots and Status'!$F$5,IF((OR($Q$2,$Q$7)=TRUE),'Shots and Status'!$D$5,'Shots and Status'!$C$5)))),0),"-")</f>
        <v>-</v>
      </c>
      <c r="J678" s="36" t="str">
        <f>IFERROR(ROUNDUP(IF(AND($Q$1=FALSE,$S$3=FALSE),"-",IF(AND($Q$1=TRUE,$S$3=TRUE),"-",IF(AND($Q$1=TRUE,$S$1=TRUE,$S$4=FALSE),VLOOKUP($E678,'Status Thresholds'!$E:$AS,14,FALSE),IF(AND($Q$1=TRUE,$S$4=FALSE),VLOOKUP($E678,'Status Thresholds'!$E:$AS,4,FALSE), IF(AND($Q$1=TRUE,$S$1=TRUE,$S$4=TRUE),VLOOKUP($E678,'Status Thresholds'!$E:$AS,19,FALSE),IF(AND($Q$1=TRUE,$S$4=TRUE),VLOOKUP($E678,'Status Thresholds'!$E:$AS,9,FALSE),IF(AND($S$3=TRUE,$S$1=TRUE,$S$4=FALSE),VLOOKUP($E678,'Status Thresholds'!$E:$AS,34,FALSE),IF(AND($S$3=TRUE,$S$4=FALSE),VLOOKUP($E678,'Status Thresholds'!$E:$AS,24,FALSE),IF(AND($S$3=TRUE,$S$1=TRUE,$S$4=TRUE),VLOOKUP($E678,'Status Thresholds'!$E:$AS,39,FALSE),IF(AND($S$3=TRUE,$S$4=TRUE),VLOOKUP($E678,'Status Thresholds'!$E:$AS,29,FALSE),""))))))))/IF(OR($Q$3=TRUE,AND($Q$2=TRUE,$Q$7=TRUE),AND($Q$3=TRUE,$Q$7=TRUE))=TRUE,'Shots and Status'!$F$5,IF((OR($Q$2,$Q$7)=TRUE),'Shots and Status'!$D$5,'Shots and Status'!$C$5)))),0),"-")</f>
        <v>-</v>
      </c>
      <c r="K678" s="36" t="str">
        <f>IFERROR(ROUNDUP(IF(AND($Q$1=FALSE,$S$3=FALSE),"-",IF(AND($Q$1=TRUE,$S$3=TRUE),"-",IF(AND($Q$1=TRUE,$S$1=TRUE,$S$4=FALSE),VLOOKUP($E678,'Status Thresholds'!$E:$AS,15,FALSE),IF(AND($Q$1=TRUE,$S$4=FALSE),VLOOKUP($E678,'Status Thresholds'!$E:$AS,5,FALSE), IF(AND($Q$1=TRUE,$S$1=TRUE,$S$4=TRUE),VLOOKUP($E678,'Status Thresholds'!$E:$AS,20,FALSE),IF(AND($Q$1=TRUE,$S$4=TRUE),VLOOKUP($E678,'Status Thresholds'!$E:$AS,10,FALSE),IF(AND($S$3=TRUE,$S$1=TRUE,$S$4=FALSE),VLOOKUP($E678,'Status Thresholds'!$E:$AS,35,FALSE),IF(AND($S$3=TRUE,$S$4=FALSE),VLOOKUP($E678,'Status Thresholds'!$E:$AS,25,FALSE),IF(AND($S$3=TRUE,$S$1=TRUE,$S$4=TRUE),VLOOKUP($E678,'Status Thresholds'!$E:$AS,40,FALSE),IF(AND($S$3=TRUE,$S$4=TRUE),VLOOKUP($E678,'Status Thresholds'!$E:$AS,30,FALSE),""))))))))/IF(OR($Q$3=TRUE,AND($Q$2=TRUE,$Q$7=TRUE),AND($Q$3=TRUE,$Q$7=TRUE))=TRUE,'Shots and Status'!$F$5,IF((OR($Q$2,$Q$7)=TRUE),'Shots and Status'!$D$5,'Shots and Status'!$C$5)))),0),"-")</f>
        <v>-</v>
      </c>
      <c r="L678" s="36" t="str">
        <f>IFERROR(IF(AND($Q$1=FALSE,$S$3=FALSE),"-",VLOOKUP($E678,'Status Thresholds'!$E:$AU,41,FALSE)),"-")</f>
        <v>-</v>
      </c>
      <c r="M678" s="36" t="str">
        <f>IFERROR(IF(AND($Q$1=FALSE,$S$3=FALSE),"-",VLOOKUP($E678,'Status Thresholds'!$E:$AU,42,FALSE)),"-")</f>
        <v>-</v>
      </c>
      <c r="N678" s="36" t="str">
        <f>IFERROR(IF(AND($Q$1=FALSE,$S$3=FALSE),"-",VLOOKUP($E678,'Status Thresholds'!$E:$AU,43,FALSE)),"-")</f>
        <v>-</v>
      </c>
    </row>
    <row r="679" spans="2:14" x14ac:dyDescent="0.25">
      <c r="B679" s="64" t="str">
        <f>VLOOKUP(C679,'Status Thresholds'!B:C,2,FALSE)</f>
        <v>MHGen</v>
      </c>
      <c r="C679" s="46" t="str">
        <f>IF(ISBLANK('KO Calc'!C675)=TRUE,"",'KO Calc'!C675)</f>
        <v>Seltas Queen</v>
      </c>
      <c r="D679" s="67" t="s">
        <v>14</v>
      </c>
      <c r="E679" s="62" t="str">
        <f t="shared" si="19"/>
        <v>Seltas QueenKO</v>
      </c>
      <c r="F679" s="36" t="s">
        <v>21</v>
      </c>
      <c r="G679" s="36" t="str">
        <f t="shared" si="20"/>
        <v>Seltas QueenTriblast</v>
      </c>
      <c r="H679" s="36" t="str">
        <f>IF(AND($Q$1=FALSE,$S$3=FALSE),"-",IF(AND($Q$1=TRUE,$S$3=TRUE),"-",IF(AND($Q$1=FALSE,$S$3=FALSE),"-",IF(AND($Q$1=TRUE,$S$1=TRUE,$S$4=FALSE)=TRUE,IF(OR($Q$4=TRUE,$Q$5=TRUE,$S$2=TRUE),VLOOKUP($G679,'KO Calc'!$H:$AW,12,FALSE),VLOOKUP($G679,'KO Calc'!$H685:$AW685,12,FALSE)),IF(AND($Q$1=TRUE,$S$4=FALSE),IF(OR($Q$4=TRUE,$Q$5=TRUE,$S$2=TRUE),VLOOKUP($G679,'KO Calc'!$H:$AW,2,FALSE),VLOOKUP($G679,'KO Calc'!$H685:$AW685,2,FALSE)),
IF(AND($Q$1=TRUE,$S$1=TRUE,$S$4=TRUE)=TRUE,IF(OR($Q$4=TRUE,$Q$5=TRUE,$S$2=TRUE),VLOOKUP($G679,'KO Calc'!$H:$AW,17,FALSE),VLOOKUP($G679,'KO Calc'!$H685:$AW685,17,FALSE)),IF(AND($Q$1=TRUE,$S$4=TRUE),IF(OR($Q$4=TRUE,$Q$5=TRUE,$S$2=TRUE),VLOOKUP($G679,'KO Calc'!$H:$AW,7,FALSE),VLOOKUP($G679,'KO Calc'!$H685:$AW685,7,FALSE)),
IF(AND($S$3=TRUE,$S$1=TRUE,$S$4=FALSE)=TRUE,IF(OR($Q$4=TRUE,$Q$5=TRUE,$S$2=TRUE),VLOOKUP($G679,'KO Calc'!$H:$AW,32,FALSE),VLOOKUP($G679,'KO Calc'!$H685:$AW685,32,FALSE)),IF(AND($S$3=TRUE,$S$4=FALSE),IF(OR($Q$4=TRUE,$Q$5=TRUE,$S$2=TRUE),VLOOKUP($G679,'KO Calc'!$H:$AW,22,FALSE),VLOOKUP($G679,'KO Calc'!$H685:$AW685,22,FALSE)),
IF(AND($S$3=TRUE,$S$1=TRUE,$S$4=TRUE)=TRUE,IF(OR($Q$4=TRUE,$Q$5=TRUE,$S$2=TRUE),VLOOKUP($G679,'KO Calc'!$H:$AW,37,FALSE),VLOOKUP($G679,'KO Calc'!$H685:$AW685,37,FALSE)),IF(AND($S$3=TRUE,$S$4=TRUE),IF(OR($Q$4=TRUE,$Q$5=TRUE,$S$2=TRUE),VLOOKUP($G679,'KO Calc'!$H:$AW,27,FALSE),VLOOKUP($G679,'KO Calc'!$H685:$AW685,27,FALSE)))))))))))))</f>
        <v>-</v>
      </c>
      <c r="I679" s="36" t="str">
        <f>IF(AND($Q$1=FALSE,$S$3=FALSE),"-",IF(AND($Q$1=TRUE,$S$3=TRUE),"-",IF(AND($Q$1=FALSE,$S$3=FALSE),"-",IF(AND($Q$1=TRUE,$S$1=TRUE,$S$4=FALSE)=TRUE,IF(OR($Q$4=TRUE,$Q$5=TRUE,$S$2=TRUE),VLOOKUP($G679,'KO Calc'!$H:$AW,13,FALSE),VLOOKUP($G679,'KO Calc'!$H685:$AW685,13,FALSE)),IF(AND($Q$1=TRUE,$S$4=FALSE),IF(OR($Q$4=TRUE,$Q$5=TRUE,$S$2=TRUE),VLOOKUP($G679,'KO Calc'!$H:$AW,3,FALSE),VLOOKUP($G679,'KO Calc'!$H685:$AW685,3,FALSE)),
IF(AND($Q$1=TRUE,$S$1=TRUE,$S$4=TRUE)=TRUE,IF(OR($Q$4=TRUE,$Q$5=TRUE,$S$2=TRUE),VLOOKUP($G679,'KO Calc'!$H:$AW,18,FALSE),VLOOKUP($G679,'KO Calc'!$H685:$AW685,18,FALSE)),IF(AND($Q$1=TRUE,$S$4=TRUE),IF(OR($Q$4=TRUE,$Q$5=TRUE,$S$2=TRUE),VLOOKUP($G679,'KO Calc'!$H:$AW,8,FALSE),VLOOKUP($G679,'KO Calc'!$H685:$AW685,8,FALSE)),
IF(AND($S$3=TRUE,$S$1=TRUE,$S$4=FALSE)=TRUE,IF(OR($Q$4=TRUE,$Q$5=TRUE,$S$2=TRUE),VLOOKUP($G679,'KO Calc'!$H:$AW,33,FALSE),VLOOKUP($G679,'KO Calc'!$H685:$AW685,33,FALSE)),IF(AND($S$3=TRUE,$S$4=FALSE),IF(OR($Q$4=TRUE,$Q$5=TRUE,$S$2=TRUE),VLOOKUP($G679,'KO Calc'!$H:$AW,23,FALSE),VLOOKUP($G679,'KO Calc'!$H685:$AW685,23,FALSE)),
IF(AND($S$3=TRUE,$S$1=TRUE,$S$4=TRUE)=TRUE,IF(OR($Q$4=TRUE,$Q$5=TRUE,$S$2=TRUE),VLOOKUP($G679,'KO Calc'!$H:$AW,38,FALSE),VLOOKUP($G679,'KO Calc'!$H685:$AW685,38,FALSE)),IF(AND($S$3=TRUE,$S$4=TRUE),IF(OR($Q$4=TRUE,$Q$5=TRUE,$S$2=TRUE),VLOOKUP($G679,'KO Calc'!$H:$AW,28,FALSE),VLOOKUP($G679,'KO Calc'!$H685:$AW685,28,FALSE)))))))))))))</f>
        <v>-</v>
      </c>
      <c r="J679" s="36" t="str">
        <f>IF(AND($Q$1=FALSE,$S$3=FALSE),"-",IF(AND($Q$1=TRUE,$S$3=TRUE),"-",IF(AND($Q$1=FALSE,$S$3=FALSE),"-",IF(AND($Q$1=TRUE,$S$1=TRUE,$S$4=FALSE)=TRUE,IF(OR($Q$4=TRUE,$Q$5=TRUE,$S$2=TRUE),VLOOKUP($G679,'KO Calc'!$H:$AW,FALSE),VLOOKUP($G679,'KO Calc'!$H685:$AW685,14,FALSE)),IF(AND($Q$1=TRUE,$S$4=FALSE),IF(OR($Q$4=TRUE,$Q$5=TRUE,$S$2=TRUE),VLOOKUP($G679,'KO Calc'!$H:$AW,4,FALSE),VLOOKUP($G679,'KO Calc'!$H685:$AW685,4,FALSE)),
IF(AND($Q$1=TRUE,$S$1=TRUE,$S$4=TRUE)=TRUE,IF(OR($Q$4=TRUE,$Q$5=TRUE,$S$2=TRUE),VLOOKUP($G679,'KO Calc'!$H:$AW,19,FALSE),VLOOKUP($G679,'KO Calc'!$H685:$AW685,19,FALSE)),IF(AND($Q$1=TRUE,$S$4=TRUE),IF(OR($Q$4=TRUE,$Q$5=TRUE,$S$2=TRUE),VLOOKUP($G679,'KO Calc'!$H:$AW,9,FALSE),VLOOKUP($G679,'KO Calc'!$H685:$AW685,9,FALSE)),
IF(AND($S$3=TRUE,$S$1=TRUE,$S$4=FALSE)=TRUE,IF(OR($Q$4=TRUE,$Q$5=TRUE,$S$2=TRUE),VLOOKUP($G679,'KO Calc'!$H:$AW,34,FALSE),VLOOKUP($G679,'KO Calc'!$H685:$AW685,34,FALSE)),IF(AND($S$3=TRUE,$S$4=FALSE),IF(OR($Q$4=TRUE,$Q$5=TRUE,$S$2=TRUE),VLOOKUP($G679,'KO Calc'!$H:$AW,24,FALSE),VLOOKUP($G679,'KO Calc'!$H685:$AW685,24,FALSE)),
IF(AND($S$3=TRUE,$S$1=TRUE,$S$4=TRUE)=TRUE,IF(OR($Q$4=TRUE,$Q$5=TRUE,$S$2=TRUE),VLOOKUP($G679,'KO Calc'!$H:$AW,39,FALSE),VLOOKUP($G679,'KO Calc'!$H685:$AW685,39,FALSE)),IF(AND($S$3=TRUE,$S$4=TRUE),IF(OR($Q$4=TRUE,$Q$5=TRUE,$S$2=TRUE),VLOOKUP($G679,'KO Calc'!$H:$AW,29,FALSE),VLOOKUP($G679,'KO Calc'!$H685:$AW685,29,FALSE)))))))))))))</f>
        <v>-</v>
      </c>
      <c r="K679" s="36" t="str">
        <f>IF(AND($Q$1=FALSE,$S$3=FALSE),"-",IF(AND($Q$1=TRUE,$S$3=TRUE),"-",IF(AND($Q$1=FALSE,$S$3=FALSE),"-",IF(AND($Q$1=TRUE,$S$1=TRUE,$S$4=FALSE)=TRUE,IF(OR($Q$4=TRUE,$Q$5=TRUE,$S$2=TRUE),VLOOKUP($G679,'KO Calc'!$H:$AW,15,FALSE),VLOOKUP($G679,'KO Calc'!$H685:$AW685,15,FALSE)),IF(AND($Q$1=TRUE,$S$4=FALSE),IF(OR($Q$4=TRUE,$Q$5=TRUE,$S$2=TRUE),VLOOKUP($G679,'KO Calc'!$H:$AW,5,FALSE),VLOOKUP($G679,'KO Calc'!$H685:$AW685,5,FALSE)),
IF(AND($Q$1=TRUE,$S$1=TRUE,$S$4=TRUE)=TRUE,IF(OR($Q$4=TRUE,$Q$5=TRUE,$S$2=TRUE),VLOOKUP($G679,'KO Calc'!$H:$AW,20,FALSE),VLOOKUP($G679,'KO Calc'!$H685:$AW685,20,FALSE)),IF(AND($Q$1=TRUE,$S$4=TRUE),IF(OR($Q$4=TRUE,$Q$5=TRUE,$S$2=TRUE),VLOOKUP($G679,'KO Calc'!$H:$AW,10,FALSE),VLOOKUP($G679,'KO Calc'!$H685:$AW685,10,FALSE)),
IF(AND($S$3=TRUE,$S$1=TRUE,$S$4=FALSE)=TRUE,IF(OR($Q$4=TRUE,$Q$5=TRUE,$S$2=TRUE),VLOOKUP($G679,'KO Calc'!$H:$AW,35,FALSE),VLOOKUP($G679,'KO Calc'!$H685:$AW685,35,FALSE)),IF(AND($S$3=TRUE,$S$4=FALSE),IF(OR($Q$4=TRUE,$Q$5=TRUE,$S$2=TRUE),VLOOKUP($G679,'KO Calc'!$H:$AW,25,FALSE),VLOOKUP($G679,'KO Calc'!$H685:$AW685,25,FALSE)),
IF(AND($S$3=TRUE,$S$1=TRUE,$S$4=TRUE)=TRUE,IF(OR($Q$4=TRUE,$Q$5=TRUE,$S$2=TRUE),VLOOKUP($G679,'KO Calc'!$H:$AW,40,FALSE),VLOOKUP($G679,'KO Calc'!$H685:$AW685,40,FALSE)),IF(AND($S$3=TRUE,$S$4=TRUE),IF(OR($Q$4=TRUE,$Q$5=TRUE,$S$2=TRUE),VLOOKUP($G679,'KO Calc'!$H:$AW,30,FALSE),VLOOKUP($G679,'KO Calc'!$H685:$AW685,30,FALSE)))))))))))))</f>
        <v>-</v>
      </c>
      <c r="L679" s="36" t="str">
        <f>IFERROR(IF(AND($Q$1=FALSE,$S$3=FALSE),"-",VLOOKUP($E679,'Status Thresholds'!$E:$AU,41,FALSE)),"-")</f>
        <v>-</v>
      </c>
      <c r="M679" s="36" t="str">
        <f>IFERROR(IF(AND($Q$1=FALSE,$S$3=FALSE),"-",VLOOKUP($E679,'Status Thresholds'!$E:$AU,42,FALSE)),"-")</f>
        <v>-</v>
      </c>
      <c r="N679" s="36" t="str">
        <f>IFERROR(IF(AND($Q$1=FALSE,$S$3=FALSE),"-",VLOOKUP($E679,'Status Thresholds'!$E:$AU,43,FALSE)),"-")</f>
        <v>-</v>
      </c>
    </row>
    <row r="680" spans="2:14" x14ac:dyDescent="0.25">
      <c r="B680" s="64" t="str">
        <f>VLOOKUP(C680,'Status Thresholds'!B:C,2,FALSE)</f>
        <v>MHGen</v>
      </c>
      <c r="C680" s="46" t="str">
        <f>IF(ISBLANK('KO Calc'!C676)=TRUE,"",'KO Calc'!C676)</f>
        <v>Seltas Queen</v>
      </c>
      <c r="D680" s="78" t="s">
        <v>207</v>
      </c>
      <c r="E680" s="62" t="str">
        <f t="shared" si="19"/>
        <v>Seltas QueenShock Trap</v>
      </c>
      <c r="F680" t="s">
        <v>13</v>
      </c>
      <c r="G680" s="36" t="str">
        <f t="shared" si="20"/>
        <v>Seltas QueenCrag 3</v>
      </c>
      <c r="H680" s="36" t="str">
        <f>IF(AND($Q$1=FALSE,$S$3=FALSE),"-",IF(AND($Q$1=TRUE,$S$3=TRUE),"-",IF(AND($Q$1=FALSE,$S$3=FALSE),"-",IF(AND($Q$1=TRUE,$S$1=TRUE,$S$4=FALSE)=TRUE,IF(OR($Q$4=TRUE,$Q$5=TRUE,$S$2=TRUE),VLOOKUP($G680,'KO Calc'!$H:$AW,12,FALSE),VLOOKUP($G680,'KO Calc'!$H686:$AW686,12,FALSE)),IF(AND($Q$1=TRUE,$S$4=FALSE),IF(OR($Q$4=TRUE,$Q$5=TRUE,$S$2=TRUE),VLOOKUP($G680,'KO Calc'!$H:$AW,2,FALSE),VLOOKUP($G680,'KO Calc'!$H686:$AW686,2,FALSE)),
IF(AND($Q$1=TRUE,$S$1=TRUE,$S$4=TRUE)=TRUE,IF(OR($Q$4=TRUE,$Q$5=TRUE,$S$2=TRUE),VLOOKUP($G680,'KO Calc'!$H:$AW,17,FALSE),VLOOKUP($G680,'KO Calc'!$H686:$AW686,17,FALSE)),IF(AND($Q$1=TRUE,$S$4=TRUE),IF(OR($Q$4=TRUE,$Q$5=TRUE,$S$2=TRUE),VLOOKUP($G680,'KO Calc'!$H:$AW,7,FALSE),VLOOKUP($G680,'KO Calc'!$H686:$AW686,7,FALSE)),
IF(AND($S$3=TRUE,$S$1=TRUE,$S$4=FALSE)=TRUE,IF(OR($Q$4=TRUE,$Q$5=TRUE,$S$2=TRUE),VLOOKUP($G680,'KO Calc'!$H:$AW,32,FALSE),VLOOKUP($G680,'KO Calc'!$H686:$AW686,32,FALSE)),IF(AND($S$3=TRUE,$S$4=FALSE),IF(OR($Q$4=TRUE,$Q$5=TRUE,$S$2=TRUE),VLOOKUP($G680,'KO Calc'!$H:$AW,22,FALSE),VLOOKUP($G680,'KO Calc'!$H686:$AW686,22,FALSE)),
IF(AND($S$3=TRUE,$S$1=TRUE,$S$4=TRUE)=TRUE,IF(OR($Q$4=TRUE,$Q$5=TRUE,$S$2=TRUE),VLOOKUP($G680,'KO Calc'!$H:$AW,37,FALSE),VLOOKUP($G680,'KO Calc'!$H686:$AW686,37,FALSE)),IF(AND($S$3=TRUE,$S$4=TRUE),IF(OR($Q$4=TRUE,$Q$5=TRUE,$S$2=TRUE),VLOOKUP($G680,'KO Calc'!$H:$AW,27,FALSE),VLOOKUP($G680,'KO Calc'!$H686:$AW686,27,FALSE)))))))))))))</f>
        <v>-</v>
      </c>
      <c r="I680" s="36" t="str">
        <f>IF(AND($Q$1=FALSE,$S$3=FALSE),"-",IF(AND($Q$1=TRUE,$S$3=TRUE),"-",IF(AND($Q$1=FALSE,$S$3=FALSE),"-",IF(AND($Q$1=TRUE,$S$1=TRUE,$S$4=FALSE)=TRUE,IF(OR($Q$4=TRUE,$Q$5=TRUE,$S$2=TRUE),VLOOKUP($G680,'KO Calc'!$H:$AW,13,FALSE),VLOOKUP($G680,'KO Calc'!$H686:$AW686,13,FALSE)),IF(AND($Q$1=TRUE,$S$4=FALSE),IF(OR($Q$4=TRUE,$Q$5=TRUE,$S$2=TRUE),VLOOKUP($G680,'KO Calc'!$H:$AW,3,FALSE),VLOOKUP($G680,'KO Calc'!$H686:$AW686,3,FALSE)),
IF(AND($Q$1=TRUE,$S$1=TRUE,$S$4=TRUE)=TRUE,IF(OR($Q$4=TRUE,$Q$5=TRUE,$S$2=TRUE),VLOOKUP($G680,'KO Calc'!$H:$AW,18,FALSE),VLOOKUP($G680,'KO Calc'!$H686:$AW686,18,FALSE)),IF(AND($Q$1=TRUE,$S$4=TRUE),IF(OR($Q$4=TRUE,$Q$5=TRUE,$S$2=TRUE),VLOOKUP($G680,'KO Calc'!$H:$AW,8,FALSE),VLOOKUP($G680,'KO Calc'!$H686:$AW686,8,FALSE)),
IF(AND($S$3=TRUE,$S$1=TRUE,$S$4=FALSE)=TRUE,IF(OR($Q$4=TRUE,$Q$5=TRUE,$S$2=TRUE),VLOOKUP($G680,'KO Calc'!$H:$AW,33,FALSE),VLOOKUP($G680,'KO Calc'!$H686:$AW686,33,FALSE)),IF(AND($S$3=TRUE,$S$4=FALSE),IF(OR($Q$4=TRUE,$Q$5=TRUE,$S$2=TRUE),VLOOKUP($G680,'KO Calc'!$H:$AW,23,FALSE),VLOOKUP($G680,'KO Calc'!$H686:$AW686,23,FALSE)),
IF(AND($S$3=TRUE,$S$1=TRUE,$S$4=TRUE)=TRUE,IF(OR($Q$4=TRUE,$Q$5=TRUE,$S$2=TRUE),VLOOKUP($G680,'KO Calc'!$H:$AW,38,FALSE),VLOOKUP($G680,'KO Calc'!$H686:$AW686,38,FALSE)),IF(AND($S$3=TRUE,$S$4=TRUE),IF(OR($Q$4=TRUE,$Q$5=TRUE,$S$2=TRUE),VLOOKUP($G680,'KO Calc'!$H:$AW,28,FALSE),VLOOKUP($G680,'KO Calc'!$H686:$AW686,28,FALSE)))))))))))))</f>
        <v>-</v>
      </c>
      <c r="J680" s="36" t="str">
        <f>IF(AND($Q$1=FALSE,$S$3=FALSE),"-",IF(AND($Q$1=TRUE,$S$3=TRUE),"-",IF(AND($Q$1=FALSE,$S$3=FALSE),"-",IF(AND($Q$1=TRUE,$S$1=TRUE,$S$4=FALSE)=TRUE,IF(OR($Q$4=TRUE,$Q$5=TRUE,$S$2=TRUE),VLOOKUP($G680,'KO Calc'!$H:$AW,FALSE),VLOOKUP($G680,'KO Calc'!$H686:$AW686,14,FALSE)),IF(AND($Q$1=TRUE,$S$4=FALSE),IF(OR($Q$4=TRUE,$Q$5=TRUE,$S$2=TRUE),VLOOKUP($G680,'KO Calc'!$H:$AW,4,FALSE),VLOOKUP($G680,'KO Calc'!$H686:$AW686,4,FALSE)),
IF(AND($Q$1=TRUE,$S$1=TRUE,$S$4=TRUE)=TRUE,IF(OR($Q$4=TRUE,$Q$5=TRUE,$S$2=TRUE),VLOOKUP($G680,'KO Calc'!$H:$AW,19,FALSE),VLOOKUP($G680,'KO Calc'!$H686:$AW686,19,FALSE)),IF(AND($Q$1=TRUE,$S$4=TRUE),IF(OR($Q$4=TRUE,$Q$5=TRUE,$S$2=TRUE),VLOOKUP($G680,'KO Calc'!$H:$AW,9,FALSE),VLOOKUP($G680,'KO Calc'!$H686:$AW686,9,FALSE)),
IF(AND($S$3=TRUE,$S$1=TRUE,$S$4=FALSE)=TRUE,IF(OR($Q$4=TRUE,$Q$5=TRUE,$S$2=TRUE),VLOOKUP($G680,'KO Calc'!$H:$AW,34,FALSE),VLOOKUP($G680,'KO Calc'!$H686:$AW686,34,FALSE)),IF(AND($S$3=TRUE,$S$4=FALSE),IF(OR($Q$4=TRUE,$Q$5=TRUE,$S$2=TRUE),VLOOKUP($G680,'KO Calc'!$H:$AW,24,FALSE),VLOOKUP($G680,'KO Calc'!$H686:$AW686,24,FALSE)),
IF(AND($S$3=TRUE,$S$1=TRUE,$S$4=TRUE)=TRUE,IF(OR($Q$4=TRUE,$Q$5=TRUE,$S$2=TRUE),VLOOKUP($G680,'KO Calc'!$H:$AW,39,FALSE),VLOOKUP($G680,'KO Calc'!$H686:$AW686,39,FALSE)),IF(AND($S$3=TRUE,$S$4=TRUE),IF(OR($Q$4=TRUE,$Q$5=TRUE,$S$2=TRUE),VLOOKUP($G680,'KO Calc'!$H:$AW,29,FALSE),VLOOKUP($G680,'KO Calc'!$H686:$AW686,29,FALSE)))))))))))))</f>
        <v>-</v>
      </c>
      <c r="K680" s="36" t="str">
        <f>IF(AND($Q$1=FALSE,$S$3=FALSE),"-",IF(AND($Q$1=TRUE,$S$3=TRUE),"-",IF(AND($Q$1=FALSE,$S$3=FALSE),"-",IF(AND($Q$1=TRUE,$S$1=TRUE,$S$4=FALSE)=TRUE,IF(OR($Q$4=TRUE,$Q$5=TRUE,$S$2=TRUE),VLOOKUP($G680,'KO Calc'!$H:$AW,15,FALSE),VLOOKUP($G680,'KO Calc'!$H686:$AW686,15,FALSE)),IF(AND($Q$1=TRUE,$S$4=FALSE),IF(OR($Q$4=TRUE,$Q$5=TRUE,$S$2=TRUE),VLOOKUP($G680,'KO Calc'!$H:$AW,5,FALSE),VLOOKUP($G680,'KO Calc'!$H686:$AW686,5,FALSE)),
IF(AND($Q$1=TRUE,$S$1=TRUE,$S$4=TRUE)=TRUE,IF(OR($Q$4=TRUE,$Q$5=TRUE,$S$2=TRUE),VLOOKUP($G680,'KO Calc'!$H:$AW,20,FALSE),VLOOKUP($G680,'KO Calc'!$H686:$AW686,20,FALSE)),IF(AND($Q$1=TRUE,$S$4=TRUE),IF(OR($Q$4=TRUE,$Q$5=TRUE,$S$2=TRUE),VLOOKUP($G680,'KO Calc'!$H:$AW,10,FALSE),VLOOKUP($G680,'KO Calc'!$H686:$AW686,10,FALSE)),
IF(AND($S$3=TRUE,$S$1=TRUE,$S$4=FALSE)=TRUE,IF(OR($Q$4=TRUE,$Q$5=TRUE,$S$2=TRUE),VLOOKUP($G680,'KO Calc'!$H:$AW,35,FALSE),VLOOKUP($G680,'KO Calc'!$H686:$AW686,35,FALSE)),IF(AND($S$3=TRUE,$S$4=FALSE),IF(OR($Q$4=TRUE,$Q$5=TRUE,$S$2=TRUE),VLOOKUP($G680,'KO Calc'!$H:$AW,25,FALSE),VLOOKUP($G680,'KO Calc'!$H686:$AW686,25,FALSE)),
IF(AND($S$3=TRUE,$S$1=TRUE,$S$4=TRUE)=TRUE,IF(OR($Q$4=TRUE,$Q$5=TRUE,$S$2=TRUE),VLOOKUP($G680,'KO Calc'!$H:$AW,40,FALSE),VLOOKUP($G680,'KO Calc'!$H686:$AW686,40,FALSE)),IF(AND($S$3=TRUE,$S$4=TRUE),IF(OR($Q$4=TRUE,$Q$5=TRUE,$S$2=TRUE),VLOOKUP($G680,'KO Calc'!$H:$AW,30,FALSE),VLOOKUP($G680,'KO Calc'!$H686:$AW686,30,FALSE)))))))))))))</f>
        <v>-</v>
      </c>
      <c r="L680" s="36" t="str">
        <f>IFERROR(IF(AND($Q$1=FALSE,$S$3=FALSE),"-",VLOOKUP($E680,'Status Thresholds'!$E:$AU,43,FALSE)),"-")</f>
        <v>-</v>
      </c>
      <c r="M680" s="36" t="str">
        <f>IFERROR(IF(AND($Q$1=FALSE,$S$3=FALSE),"-",VLOOKUP($E680,'Status Thresholds'!$E:$AU,41,FALSE)),"-")</f>
        <v>-</v>
      </c>
      <c r="N680" s="36" t="str">
        <f>IFERROR(IF(AND($Q$1=FALSE,$S$3=FALSE),"-",VLOOKUP($E680,'Status Thresholds'!$E:$AU,42,FALSE)),"-")</f>
        <v>-</v>
      </c>
    </row>
    <row r="681" spans="2:14" x14ac:dyDescent="0.25">
      <c r="B681" s="64" t="str">
        <f>VLOOKUP(C681,'Status Thresholds'!B:C,2,FALSE)</f>
        <v>MHGen</v>
      </c>
      <c r="C681" s="46" t="str">
        <f>IF(ISBLANK('KO Calc'!C677)=TRUE,"",'KO Calc'!C677)</f>
        <v>Seltas Queen</v>
      </c>
      <c r="D681" s="78" t="s">
        <v>213</v>
      </c>
      <c r="E681" s="62" t="str">
        <f t="shared" si="19"/>
        <v>Seltas QueenPitfall Trap</v>
      </c>
      <c r="F681" t="s">
        <v>12</v>
      </c>
      <c r="G681" s="36" t="str">
        <f t="shared" si="20"/>
        <v>Seltas QueenCrag 2</v>
      </c>
      <c r="H681" s="36" t="str">
        <f>IF(AND($Q$1=FALSE,$S$3=FALSE),"-",IF(AND($Q$1=TRUE,$S$3=TRUE),"-",IF(AND($Q$1=FALSE,$S$3=FALSE),"-",IF(AND($Q$1=TRUE,$S$1=TRUE,$S$4=FALSE)=TRUE,IF(OR($Q$4=TRUE,$Q$5=TRUE,$S$2=TRUE),VLOOKUP($G681,'KO Calc'!$H:$AW,12,FALSE),VLOOKUP($G681,'KO Calc'!$H687:$AW687,12,FALSE)),IF(AND($Q$1=TRUE,$S$4=FALSE),IF(OR($Q$4=TRUE,$Q$5=TRUE,$S$2=TRUE),VLOOKUP($G681,'KO Calc'!$H:$AW,2,FALSE),VLOOKUP($G681,'KO Calc'!$H687:$AW687,2,FALSE)),
IF(AND($Q$1=TRUE,$S$1=TRUE,$S$4=TRUE)=TRUE,IF(OR($Q$4=TRUE,$Q$5=TRUE,$S$2=TRUE),VLOOKUP($G681,'KO Calc'!$H:$AW,17,FALSE),VLOOKUP($G681,'KO Calc'!$H687:$AW687,17,FALSE)),IF(AND($Q$1=TRUE,$S$4=TRUE),IF(OR($Q$4=TRUE,$Q$5=TRUE,$S$2=TRUE),VLOOKUP($G681,'KO Calc'!$H:$AW,7,FALSE),VLOOKUP($G681,'KO Calc'!$H687:$AW687,7,FALSE)),
IF(AND($S$3=TRUE,$S$1=TRUE,$S$4=FALSE)=TRUE,IF(OR($Q$4=TRUE,$Q$5=TRUE,$S$2=TRUE),VLOOKUP($G681,'KO Calc'!$H:$AW,32,FALSE),VLOOKUP($G681,'KO Calc'!$H687:$AW687,32,FALSE)),IF(AND($S$3=TRUE,$S$4=FALSE),IF(OR($Q$4=TRUE,$Q$5=TRUE,$S$2=TRUE),VLOOKUP($G681,'KO Calc'!$H:$AW,22,FALSE),VLOOKUP($G681,'KO Calc'!$H687:$AW687,22,FALSE)),
IF(AND($S$3=TRUE,$S$1=TRUE,$S$4=TRUE)=TRUE,IF(OR($Q$4=TRUE,$Q$5=TRUE,$S$2=TRUE),VLOOKUP($G681,'KO Calc'!$H:$AW,37,FALSE),VLOOKUP($G681,'KO Calc'!$H687:$AW687,37,FALSE)),IF(AND($S$3=TRUE,$S$4=TRUE),IF(OR($Q$4=TRUE,$Q$5=TRUE,$S$2=TRUE),VLOOKUP($G681,'KO Calc'!$H:$AW,27,FALSE),VLOOKUP($G681,'KO Calc'!$H687:$AW687,27,FALSE)))))))))))))</f>
        <v>-</v>
      </c>
      <c r="I681" s="36" t="str">
        <f>IF(AND($Q$1=FALSE,$S$3=FALSE),"-",IF(AND($Q$1=TRUE,$S$3=TRUE),"-",IF(AND($Q$1=FALSE,$S$3=FALSE),"-",IF(AND($Q$1=TRUE,$S$1=TRUE,$S$4=FALSE)=TRUE,IF(OR($Q$4=TRUE,$Q$5=TRUE,$S$2=TRUE),VLOOKUP($G681,'KO Calc'!$H:$AW,13,FALSE),VLOOKUP($G681,'KO Calc'!$H687:$AW687,13,FALSE)),IF(AND($Q$1=TRUE,$S$4=FALSE),IF(OR($Q$4=TRUE,$Q$5=TRUE,$S$2=TRUE),VLOOKUP($G681,'KO Calc'!$H:$AW,3,FALSE),VLOOKUP($G681,'KO Calc'!$H687:$AW687,3,FALSE)),
IF(AND($Q$1=TRUE,$S$1=TRUE,$S$4=TRUE)=TRUE,IF(OR($Q$4=TRUE,$Q$5=TRUE,$S$2=TRUE),VLOOKUP($G681,'KO Calc'!$H:$AW,18,FALSE),VLOOKUP($G681,'KO Calc'!$H687:$AW687,18,FALSE)),IF(AND($Q$1=TRUE,$S$4=TRUE),IF(OR($Q$4=TRUE,$Q$5=TRUE,$S$2=TRUE),VLOOKUP($G681,'KO Calc'!$H:$AW,8,FALSE),VLOOKUP($G681,'KO Calc'!$H687:$AW687,8,FALSE)),
IF(AND($S$3=TRUE,$S$1=TRUE,$S$4=FALSE)=TRUE,IF(OR($Q$4=TRUE,$Q$5=TRUE,$S$2=TRUE),VLOOKUP($G681,'KO Calc'!$H:$AW,33,FALSE),VLOOKUP($G681,'KO Calc'!$H687:$AW687,33,FALSE)),IF(AND($S$3=TRUE,$S$4=FALSE),IF(OR($Q$4=TRUE,$Q$5=TRUE,$S$2=TRUE),VLOOKUP($G681,'KO Calc'!$H:$AW,23,FALSE),VLOOKUP($G681,'KO Calc'!$H687:$AW687,23,FALSE)),
IF(AND($S$3=TRUE,$S$1=TRUE,$S$4=TRUE)=TRUE,IF(OR($Q$4=TRUE,$Q$5=TRUE,$S$2=TRUE),VLOOKUP($G681,'KO Calc'!$H:$AW,38,FALSE),VLOOKUP($G681,'KO Calc'!$H687:$AW687,38,FALSE)),IF(AND($S$3=TRUE,$S$4=TRUE),IF(OR($Q$4=TRUE,$Q$5=TRUE,$S$2=TRUE),VLOOKUP($G681,'KO Calc'!$H:$AW,28,FALSE),VLOOKUP($G681,'KO Calc'!$H687:$AW687,28,FALSE)))))))))))))</f>
        <v>-</v>
      </c>
      <c r="J681" s="36" t="str">
        <f>IF(AND($Q$1=FALSE,$S$3=FALSE),"-",IF(AND($Q$1=TRUE,$S$3=TRUE),"-",IF(AND($Q$1=FALSE,$S$3=FALSE),"-",IF(AND($Q$1=TRUE,$S$1=TRUE,$S$4=FALSE)=TRUE,IF(OR($Q$4=TRUE,$Q$5=TRUE,$S$2=TRUE),VLOOKUP($G681,'KO Calc'!$H:$AW,FALSE),VLOOKUP($G681,'KO Calc'!$H687:$AW687,14,FALSE)),IF(AND($Q$1=TRUE,$S$4=FALSE),IF(OR($Q$4=TRUE,$Q$5=TRUE,$S$2=TRUE),VLOOKUP($G681,'KO Calc'!$H:$AW,4,FALSE),VLOOKUP($G681,'KO Calc'!$H687:$AW687,4,FALSE)),
IF(AND($Q$1=TRUE,$S$1=TRUE,$S$4=TRUE)=TRUE,IF(OR($Q$4=TRUE,$Q$5=TRUE,$S$2=TRUE),VLOOKUP($G681,'KO Calc'!$H:$AW,19,FALSE),VLOOKUP($G681,'KO Calc'!$H687:$AW687,19,FALSE)),IF(AND($Q$1=TRUE,$S$4=TRUE),IF(OR($Q$4=TRUE,$Q$5=TRUE,$S$2=TRUE),VLOOKUP($G681,'KO Calc'!$H:$AW,9,FALSE),VLOOKUP($G681,'KO Calc'!$H687:$AW687,9,FALSE)),
IF(AND($S$3=TRUE,$S$1=TRUE,$S$4=FALSE)=TRUE,IF(OR($Q$4=TRUE,$Q$5=TRUE,$S$2=TRUE),VLOOKUP($G681,'KO Calc'!$H:$AW,34,FALSE),VLOOKUP($G681,'KO Calc'!$H687:$AW687,34,FALSE)),IF(AND($S$3=TRUE,$S$4=FALSE),IF(OR($Q$4=TRUE,$Q$5=TRUE,$S$2=TRUE),VLOOKUP($G681,'KO Calc'!$H:$AW,24,FALSE),VLOOKUP($G681,'KO Calc'!$H687:$AW687,24,FALSE)),
IF(AND($S$3=TRUE,$S$1=TRUE,$S$4=TRUE)=TRUE,IF(OR($Q$4=TRUE,$Q$5=TRUE,$S$2=TRUE),VLOOKUP($G681,'KO Calc'!$H:$AW,39,FALSE),VLOOKUP($G681,'KO Calc'!$H687:$AW687,39,FALSE)),IF(AND($S$3=TRUE,$S$4=TRUE),IF(OR($Q$4=TRUE,$Q$5=TRUE,$S$2=TRUE),VLOOKUP($G681,'KO Calc'!$H:$AW,29,FALSE),VLOOKUP($G681,'KO Calc'!$H687:$AW687,29,FALSE)))))))))))))</f>
        <v>-</v>
      </c>
      <c r="K681" s="36" t="str">
        <f>IF(AND($Q$1=FALSE,$S$3=FALSE),"-",IF(AND($Q$1=TRUE,$S$3=TRUE),"-",IF(AND($Q$1=FALSE,$S$3=FALSE),"-",IF(AND($Q$1=TRUE,$S$1=TRUE,$S$4=FALSE)=TRUE,IF(OR($Q$4=TRUE,$Q$5=TRUE,$S$2=TRUE),VLOOKUP($G681,'KO Calc'!$H:$AW,15,FALSE),VLOOKUP($G681,'KO Calc'!$H687:$AW687,15,FALSE)),IF(AND($Q$1=TRUE,$S$4=FALSE),IF(OR($Q$4=TRUE,$Q$5=TRUE,$S$2=TRUE),VLOOKUP($G681,'KO Calc'!$H:$AW,5,FALSE),VLOOKUP($G681,'KO Calc'!$H687:$AW687,5,FALSE)),
IF(AND($Q$1=TRUE,$S$1=TRUE,$S$4=TRUE)=TRUE,IF(OR($Q$4=TRUE,$Q$5=TRUE,$S$2=TRUE),VLOOKUP($G681,'KO Calc'!$H:$AW,20,FALSE),VLOOKUP($G681,'KO Calc'!$H687:$AW687,20,FALSE)),IF(AND($Q$1=TRUE,$S$4=TRUE),IF(OR($Q$4=TRUE,$Q$5=TRUE,$S$2=TRUE),VLOOKUP($G681,'KO Calc'!$H:$AW,10,FALSE),VLOOKUP($G681,'KO Calc'!$H687:$AW687,10,FALSE)),
IF(AND($S$3=TRUE,$S$1=TRUE,$S$4=FALSE)=TRUE,IF(OR($Q$4=TRUE,$Q$5=TRUE,$S$2=TRUE),VLOOKUP($G681,'KO Calc'!$H:$AW,35,FALSE),VLOOKUP($G681,'KO Calc'!$H687:$AW687,35,FALSE)),IF(AND($S$3=TRUE,$S$4=FALSE),IF(OR($Q$4=TRUE,$Q$5=TRUE,$S$2=TRUE),VLOOKUP($G681,'KO Calc'!$H:$AW,25,FALSE),VLOOKUP($G681,'KO Calc'!$H687:$AW687,25,FALSE)),
IF(AND($S$3=TRUE,$S$1=TRUE,$S$4=TRUE)=TRUE,IF(OR($Q$4=TRUE,$Q$5=TRUE,$S$2=TRUE),VLOOKUP($G681,'KO Calc'!$H:$AW,40,FALSE),VLOOKUP($G681,'KO Calc'!$H687:$AW687,40,FALSE)),IF(AND($S$3=TRUE,$S$4=TRUE),IF(OR($Q$4=TRUE,$Q$5=TRUE,$S$2=TRUE),VLOOKUP($G681,'KO Calc'!$H:$AW,30,FALSE),VLOOKUP($G681,'KO Calc'!$H687:$AW687,30,FALSE)))))))))))))</f>
        <v>-</v>
      </c>
      <c r="L681" s="36" t="str">
        <f>IFERROR(IF(AND($Q$1=FALSE,$S$3=FALSE),"-",VLOOKUP($E681,'Status Thresholds'!$E:$AU,43,FALSE)),"-")</f>
        <v>-</v>
      </c>
      <c r="M681" s="36" t="str">
        <f>IFERROR(IF(AND($Q$1=FALSE,$S$3=FALSE),"-",VLOOKUP($E681,'Status Thresholds'!$E:$AU,41,FALSE)),"-")</f>
        <v>-</v>
      </c>
      <c r="N681" s="36" t="str">
        <f>IFERROR(IF(AND($Q$1=FALSE,$S$3=FALSE),"-",VLOOKUP($E681,'Status Thresholds'!$E:$AU,42,FALSE)),"-")</f>
        <v>-</v>
      </c>
    </row>
    <row r="682" spans="2:14" x14ac:dyDescent="0.25">
      <c r="B682" s="64" t="str">
        <f>VLOOKUP(C682,'Status Thresholds'!B:C,2,FALSE)</f>
        <v>MHGen</v>
      </c>
      <c r="C682" s="46" t="str">
        <f>IF(ISBLANK('KO Calc'!C678)=TRUE,"",'KO Calc'!C678)</f>
        <v>Seltas Queen</v>
      </c>
      <c r="D682" s="78"/>
      <c r="E682" s="62" t="str">
        <f t="shared" si="19"/>
        <v>Seltas Queen</v>
      </c>
      <c r="F682" t="s">
        <v>11</v>
      </c>
      <c r="G682" s="36" t="str">
        <f t="shared" si="20"/>
        <v>Seltas QueenCrag 1</v>
      </c>
      <c r="H682" s="36" t="str">
        <f>IF(AND($Q$1=FALSE,$S$3=FALSE),"-",IF(AND($Q$1=TRUE,$S$3=TRUE),"-",IF(AND($Q$1=FALSE,$S$3=FALSE),"-",IF(AND($Q$1=TRUE,$S$1=TRUE,$S$4=FALSE)=TRUE,IF(OR($Q$4=TRUE,$Q$5=TRUE,$S$2=TRUE),VLOOKUP($G682,'KO Calc'!$H:$AW,12,FALSE),VLOOKUP($G682,'KO Calc'!$H688:$AW688,12,FALSE)),IF(AND($Q$1=TRUE,$S$4=FALSE),IF(OR($Q$4=TRUE,$Q$5=TRUE,$S$2=TRUE),VLOOKUP($G682,'KO Calc'!$H:$AW,2,FALSE),VLOOKUP($G682,'KO Calc'!$H688:$AW688,2,FALSE)),
IF(AND($Q$1=TRUE,$S$1=TRUE,$S$4=TRUE)=TRUE,IF(OR($Q$4=TRUE,$Q$5=TRUE,$S$2=TRUE),VLOOKUP($G682,'KO Calc'!$H:$AW,17,FALSE),VLOOKUP($G682,'KO Calc'!$H688:$AW688,17,FALSE)),IF(AND($Q$1=TRUE,$S$4=TRUE),IF(OR($Q$4=TRUE,$Q$5=TRUE,$S$2=TRUE),VLOOKUP($G682,'KO Calc'!$H:$AW,7,FALSE),VLOOKUP($G682,'KO Calc'!$H688:$AW688,7,FALSE)),
IF(AND($S$3=TRUE,$S$1=TRUE,$S$4=FALSE)=TRUE,IF(OR($Q$4=TRUE,$Q$5=TRUE,$S$2=TRUE),VLOOKUP($G682,'KO Calc'!$H:$AW,32,FALSE),VLOOKUP($G682,'KO Calc'!$H688:$AW688,32,FALSE)),IF(AND($S$3=TRUE,$S$4=FALSE),IF(OR($Q$4=TRUE,$Q$5=TRUE,$S$2=TRUE),VLOOKUP($G682,'KO Calc'!$H:$AW,22,FALSE),VLOOKUP($G682,'KO Calc'!$H688:$AW688,22,FALSE)),
IF(AND($S$3=TRUE,$S$1=TRUE,$S$4=TRUE)=TRUE,IF(OR($Q$4=TRUE,$Q$5=TRUE,$S$2=TRUE),VLOOKUP($G682,'KO Calc'!$H:$AW,37,FALSE),VLOOKUP($G682,'KO Calc'!$H688:$AW688,37,FALSE)),IF(AND($S$3=TRUE,$S$4=TRUE),IF(OR($Q$4=TRUE,$Q$5=TRUE,$S$2=TRUE),VLOOKUP($G682,'KO Calc'!$H:$AW,27,FALSE),VLOOKUP($G682,'KO Calc'!$H688:$AW688,27,FALSE)))))))))))))</f>
        <v>-</v>
      </c>
      <c r="I682" s="36" t="str">
        <f>IF(AND($Q$1=FALSE,$S$3=FALSE),"-",IF(AND($Q$1=TRUE,$S$3=TRUE),"-",IF(AND($Q$1=FALSE,$S$3=FALSE),"-",IF(AND($Q$1=TRUE,$S$1=TRUE,$S$4=FALSE)=TRUE,IF(OR($Q$4=TRUE,$Q$5=TRUE,$S$2=TRUE),VLOOKUP($G682,'KO Calc'!$H:$AW,13,FALSE),VLOOKUP($G682,'KO Calc'!$H688:$AW688,13,FALSE)),IF(AND($Q$1=TRUE,$S$4=FALSE),IF(OR($Q$4=TRUE,$Q$5=TRUE,$S$2=TRUE),VLOOKUP($G682,'KO Calc'!$H:$AW,3,FALSE),VLOOKUP($G682,'KO Calc'!$H688:$AW688,3,FALSE)),
IF(AND($Q$1=TRUE,$S$1=TRUE,$S$4=TRUE)=TRUE,IF(OR($Q$4=TRUE,$Q$5=TRUE,$S$2=TRUE),VLOOKUP($G682,'KO Calc'!$H:$AW,18,FALSE),VLOOKUP($G682,'KO Calc'!$H688:$AW688,18,FALSE)),IF(AND($Q$1=TRUE,$S$4=TRUE),IF(OR($Q$4=TRUE,$Q$5=TRUE,$S$2=TRUE),VLOOKUP($G682,'KO Calc'!$H:$AW,8,FALSE),VLOOKUP($G682,'KO Calc'!$H688:$AW688,8,FALSE)),
IF(AND($S$3=TRUE,$S$1=TRUE,$S$4=FALSE)=TRUE,IF(OR($Q$4=TRUE,$Q$5=TRUE,$S$2=TRUE),VLOOKUP($G682,'KO Calc'!$H:$AW,33,FALSE),VLOOKUP($G682,'KO Calc'!$H688:$AW688,33,FALSE)),IF(AND($S$3=TRUE,$S$4=FALSE),IF(OR($Q$4=TRUE,$Q$5=TRUE,$S$2=TRUE),VLOOKUP($G682,'KO Calc'!$H:$AW,23,FALSE),VLOOKUP($G682,'KO Calc'!$H688:$AW688,23,FALSE)),
IF(AND($S$3=TRUE,$S$1=TRUE,$S$4=TRUE)=TRUE,IF(OR($Q$4=TRUE,$Q$5=TRUE,$S$2=TRUE),VLOOKUP($G682,'KO Calc'!$H:$AW,38,FALSE),VLOOKUP($G682,'KO Calc'!$H688:$AW688,38,FALSE)),IF(AND($S$3=TRUE,$S$4=TRUE),IF(OR($Q$4=TRUE,$Q$5=TRUE,$S$2=TRUE),VLOOKUP($G682,'KO Calc'!$H:$AW,28,FALSE),VLOOKUP($G682,'KO Calc'!$H688:$AW688,28,FALSE)))))))))))))</f>
        <v>-</v>
      </c>
      <c r="J682" s="36" t="str">
        <f>IF(AND($Q$1=FALSE,$S$3=FALSE),"-",IF(AND($Q$1=TRUE,$S$3=TRUE),"-",IF(AND($Q$1=FALSE,$S$3=FALSE),"-",IF(AND($Q$1=TRUE,$S$1=TRUE,$S$4=FALSE)=TRUE,IF(OR($Q$4=TRUE,$Q$5=TRUE,$S$2=TRUE),VLOOKUP($G682,'KO Calc'!$H:$AW,FALSE),VLOOKUP($G682,'KO Calc'!$H688:$AW688,14,FALSE)),IF(AND($Q$1=TRUE,$S$4=FALSE),IF(OR($Q$4=TRUE,$Q$5=TRUE,$S$2=TRUE),VLOOKUP($G682,'KO Calc'!$H:$AW,4,FALSE),VLOOKUP($G682,'KO Calc'!$H688:$AW688,4,FALSE)),
IF(AND($Q$1=TRUE,$S$1=TRUE,$S$4=TRUE)=TRUE,IF(OR($Q$4=TRUE,$Q$5=TRUE,$S$2=TRUE),VLOOKUP($G682,'KO Calc'!$H:$AW,19,FALSE),VLOOKUP($G682,'KO Calc'!$H688:$AW688,19,FALSE)),IF(AND($Q$1=TRUE,$S$4=TRUE),IF(OR($Q$4=TRUE,$Q$5=TRUE,$S$2=TRUE),VLOOKUP($G682,'KO Calc'!$H:$AW,9,FALSE),VLOOKUP($G682,'KO Calc'!$H688:$AW688,9,FALSE)),
IF(AND($S$3=TRUE,$S$1=TRUE,$S$4=FALSE)=TRUE,IF(OR($Q$4=TRUE,$Q$5=TRUE,$S$2=TRUE),VLOOKUP($G682,'KO Calc'!$H:$AW,34,FALSE),VLOOKUP($G682,'KO Calc'!$H688:$AW688,34,FALSE)),IF(AND($S$3=TRUE,$S$4=FALSE),IF(OR($Q$4=TRUE,$Q$5=TRUE,$S$2=TRUE),VLOOKUP($G682,'KO Calc'!$H:$AW,24,FALSE),VLOOKUP($G682,'KO Calc'!$H688:$AW688,24,FALSE)),
IF(AND($S$3=TRUE,$S$1=TRUE,$S$4=TRUE)=TRUE,IF(OR($Q$4=TRUE,$Q$5=TRUE,$S$2=TRUE),VLOOKUP($G682,'KO Calc'!$H:$AW,39,FALSE),VLOOKUP($G682,'KO Calc'!$H688:$AW688,39,FALSE)),IF(AND($S$3=TRUE,$S$4=TRUE),IF(OR($Q$4=TRUE,$Q$5=TRUE,$S$2=TRUE),VLOOKUP($G682,'KO Calc'!$H:$AW,29,FALSE),VLOOKUP($G682,'KO Calc'!$H688:$AW688,29,FALSE)))))))))))))</f>
        <v>-</v>
      </c>
      <c r="K682" s="36" t="str">
        <f>IF(AND($Q$1=FALSE,$S$3=FALSE),"-",IF(AND($Q$1=TRUE,$S$3=TRUE),"-",IF(AND($Q$1=FALSE,$S$3=FALSE),"-",IF(AND($Q$1=TRUE,$S$1=TRUE,$S$4=FALSE)=TRUE,IF(OR($Q$4=TRUE,$Q$5=TRUE,$S$2=TRUE),VLOOKUP($G682,'KO Calc'!$H:$AW,15,FALSE),VLOOKUP($G682,'KO Calc'!$H688:$AW688,15,FALSE)),IF(AND($Q$1=TRUE,$S$4=FALSE),IF(OR($Q$4=TRUE,$Q$5=TRUE,$S$2=TRUE),VLOOKUP($G682,'KO Calc'!$H:$AW,5,FALSE),VLOOKUP($G682,'KO Calc'!$H688:$AW688,5,FALSE)),
IF(AND($Q$1=TRUE,$S$1=TRUE,$S$4=TRUE)=TRUE,IF(OR($Q$4=TRUE,$Q$5=TRUE,$S$2=TRUE),VLOOKUP($G682,'KO Calc'!$H:$AW,20,FALSE),VLOOKUP($G682,'KO Calc'!$H688:$AW688,20,FALSE)),IF(AND($Q$1=TRUE,$S$4=TRUE),IF(OR($Q$4=TRUE,$Q$5=TRUE,$S$2=TRUE),VLOOKUP($G682,'KO Calc'!$H:$AW,10,FALSE),VLOOKUP($G682,'KO Calc'!$H688:$AW688,10,FALSE)),
IF(AND($S$3=TRUE,$S$1=TRUE,$S$4=FALSE)=TRUE,IF(OR($Q$4=TRUE,$Q$5=TRUE,$S$2=TRUE),VLOOKUP($G682,'KO Calc'!$H:$AW,35,FALSE),VLOOKUP($G682,'KO Calc'!$H688:$AW688,35,FALSE)),IF(AND($S$3=TRUE,$S$4=FALSE),IF(OR($Q$4=TRUE,$Q$5=TRUE,$S$2=TRUE),VLOOKUP($G682,'KO Calc'!$H:$AW,25,FALSE),VLOOKUP($G682,'KO Calc'!$H688:$AW688,25,FALSE)),
IF(AND($S$3=TRUE,$S$1=TRUE,$S$4=TRUE)=TRUE,IF(OR($Q$4=TRUE,$Q$5=TRUE,$S$2=TRUE),VLOOKUP($G682,'KO Calc'!$H:$AW,40,FALSE),VLOOKUP($G682,'KO Calc'!$H688:$AW688,40,FALSE)),IF(AND($S$3=TRUE,$S$4=TRUE),IF(OR($Q$4=TRUE,$Q$5=TRUE,$S$2=TRUE),VLOOKUP($G682,'KO Calc'!$H:$AW,30,FALSE),VLOOKUP($G682,'KO Calc'!$H688:$AW688,30,FALSE)))))))))))))</f>
        <v>-</v>
      </c>
      <c r="L682" s="36" t="str">
        <f>IFERROR(VLOOKUP($E682,'Status Thresholds'!$E:$AS,41,FALSE),"-")</f>
        <v>-</v>
      </c>
    </row>
    <row r="683" spans="2:14" x14ac:dyDescent="0.25">
      <c r="B683" s="64" t="str">
        <f>VLOOKUP(C683,'Status Thresholds'!B:C,2,FALSE)</f>
        <v>MHGen</v>
      </c>
      <c r="C683" s="46" t="str">
        <f>IF(ISBLANK('KO Calc'!C679)=TRUE,"",'KO Calc'!C679)</f>
        <v>Seltas Queen</v>
      </c>
      <c r="D683" s="78"/>
      <c r="E683" s="62" t="str">
        <f t="shared" si="19"/>
        <v>Seltas Queen</v>
      </c>
      <c r="G683" s="36" t="str">
        <f t="shared" si="20"/>
        <v>Seltas Queen</v>
      </c>
      <c r="L683" s="36" t="str">
        <f>IFERROR(VLOOKUP($E683,'Status Thresholds'!$E:$AS,41,FALSE),"-")</f>
        <v>-</v>
      </c>
    </row>
    <row r="684" spans="2:14" x14ac:dyDescent="0.25">
      <c r="B684" s="64" t="str">
        <f>VLOOKUP(C684,'Status Thresholds'!B:C,2,FALSE)</f>
        <v>MHGen</v>
      </c>
      <c r="C684" s="46" t="str">
        <f>IF(ISBLANK('KO Calc'!C680)=TRUE,"",'KO Calc'!C680)</f>
        <v>Seregios</v>
      </c>
      <c r="D684" s="65" t="s">
        <v>0</v>
      </c>
      <c r="E684" s="62" t="str">
        <f t="shared" si="19"/>
        <v>SeregiosPara</v>
      </c>
      <c r="F684" s="36" t="s">
        <v>2</v>
      </c>
      <c r="G684" s="36" t="str">
        <f t="shared" si="20"/>
        <v>SeregiosPara lvl 2</v>
      </c>
      <c r="H684" s="36" t="str">
        <f>IFERROR(ROUNDUP(IF(AND($Q$1=FALSE,$S$3=FALSE),"-",IF(AND($Q$1=TRUE,$S$3=TRUE),"-",IF(AND($Q$1=TRUE,$S$1=TRUE,$S$4=FALSE),VLOOKUP($E684,'Status Thresholds'!$E:$AS,12,FALSE),IF(AND($Q$1=TRUE,$S$4=FALSE),VLOOKUP($E684,'Status Thresholds'!$E:$AS,2,FALSE), IF(AND($Q$1=TRUE,$S$1=TRUE,$S$4=TRUE),VLOOKUP($E684,'Status Thresholds'!$E:$AS,17,FALSE),IF(AND($Q$1=TRUE,$S$4=TRUE),VLOOKUP($E684,'Status Thresholds'!$E:$AS,7,FALSE),IF(AND($S$3=TRUE,$S$1=TRUE,$S$4=FALSE),VLOOKUP($E684,'Status Thresholds'!$E:$AS,32,FALSE),IF(AND($S$3=TRUE,$S$4=FALSE),VLOOKUP($E684,'Status Thresholds'!$E:$AS,22,FALSE),IF(AND($S$3=TRUE,$S$1=TRUE,$S$4=TRUE),VLOOKUP($E684,'Status Thresholds'!$E:$AS,37,FALSE),IF(AND($S$3=TRUE,$S$4=TRUE),VLOOKUP($E684,'Status Thresholds'!$E:$AS,27,FALSE),""))))))))/IF(OR($Q$3=TRUE,AND($Q$2=TRUE,$Q$7=TRUE),AND($Q$3=TRUE,$Q$7=TRUE))=TRUE,'Shots and Status'!$F$5,IF((OR($Q$2,$Q$7)=TRUE),'Shots and Status'!$D$5,'Shots and Status'!$C$5)))),0),"-")</f>
        <v>-</v>
      </c>
      <c r="I684" s="36" t="str">
        <f>IFERROR(ROUNDUP(IF(AND($Q$1=FALSE,$S$3=FALSE),"-",IF(AND($Q$1=TRUE,$S$3=TRUE),"-",IF(AND($Q$1=TRUE,$S$1=TRUE,$S$4=FALSE),VLOOKUP($E684,'Status Thresholds'!$E:$AS,13,FALSE),IF(AND($Q$1=TRUE,$S$4=FALSE),VLOOKUP($E684,'Status Thresholds'!$E:$AS,3,FALSE), IF(AND($Q$1=TRUE,$S$1=TRUE,$S$4=TRUE),VLOOKUP($E684,'Status Thresholds'!$E:$AS,18,FALSE),IF(AND($Q$1=TRUE,$S$4=TRUE),VLOOKUP($E684,'Status Thresholds'!$E:$AS,8,FALSE),IF(AND($S$3=TRUE,$S$1=TRUE,$S$4=FALSE),VLOOKUP($E684,'Status Thresholds'!$E:$AS,33,FALSE),IF(AND($S$3=TRUE,$S$4=FALSE),VLOOKUP($E684,'Status Thresholds'!$E:$AS,23,FALSE),IF(AND($S$3=TRUE,$S$1=TRUE,$S$4=TRUE),VLOOKUP($E684,'Status Thresholds'!$E:$AS,38,FALSE),IF(AND($S$3=TRUE,$S$4=TRUE),VLOOKUP($E684,'Status Thresholds'!$E:$AS,28,FALSE),""))))))))/IF(OR($Q$3=TRUE,AND($Q$2=TRUE,$Q$7=TRUE),AND($Q$3=TRUE,$Q$7=TRUE))=TRUE,'Shots and Status'!$F$5,IF((OR($Q$2,$Q$7)=TRUE),'Shots and Status'!$D$5,'Shots and Status'!$C$5)))),0),"-")</f>
        <v>-</v>
      </c>
      <c r="J684" s="36" t="str">
        <f>IFERROR(ROUNDUP(IF(AND($Q$1=FALSE,$S$3=FALSE),"-",IF(AND($Q$1=TRUE,$S$3=TRUE),"-",IF(AND($Q$1=TRUE,$S$1=TRUE,$S$4=FALSE),VLOOKUP($E684,'Status Thresholds'!$E:$AS,14,FALSE),IF(AND($Q$1=TRUE,$S$4=FALSE),VLOOKUP($E684,'Status Thresholds'!$E:$AS,4,FALSE), IF(AND($Q$1=TRUE,$S$1=TRUE,$S$4=TRUE),VLOOKUP($E684,'Status Thresholds'!$E:$AS,19,FALSE),IF(AND($Q$1=TRUE,$S$4=TRUE),VLOOKUP($E684,'Status Thresholds'!$E:$AS,9,FALSE),IF(AND($S$3=TRUE,$S$1=TRUE,$S$4=FALSE),VLOOKUP($E684,'Status Thresholds'!$E:$AS,34,FALSE),IF(AND($S$3=TRUE,$S$4=FALSE),VLOOKUP($E684,'Status Thresholds'!$E:$AS,24,FALSE),IF(AND($S$3=TRUE,$S$1=TRUE,$S$4=TRUE),VLOOKUP($E684,'Status Thresholds'!$E:$AS,39,FALSE),IF(AND($S$3=TRUE,$S$4=TRUE),VLOOKUP($E684,'Status Thresholds'!$E:$AS,29,FALSE),""))))))))/IF(OR($Q$3=TRUE,AND($Q$2=TRUE,$Q$7=TRUE),AND($Q$3=TRUE,$Q$7=TRUE))=TRUE,'Shots and Status'!$F$5,IF((OR($Q$2,$Q$7)=TRUE),'Shots and Status'!$D$5,'Shots and Status'!$C$5)))),0),"-")</f>
        <v>-</v>
      </c>
      <c r="K684" s="36" t="str">
        <f>IFERROR(ROUNDUP(IF(AND($Q$1=FALSE,$S$3=FALSE),"-",IF(AND($Q$1=TRUE,$S$3=TRUE),"-",IF(AND($Q$1=TRUE,$S$1=TRUE,$S$4=FALSE),VLOOKUP($E684,'Status Thresholds'!$E:$AS,15,FALSE),IF(AND($Q$1=TRUE,$S$4=FALSE),VLOOKUP($E684,'Status Thresholds'!$E:$AS,5,FALSE), IF(AND($Q$1=TRUE,$S$1=TRUE,$S$4=TRUE),VLOOKUP($E684,'Status Thresholds'!$E:$AS,20,FALSE),IF(AND($Q$1=TRUE,$S$4=TRUE),VLOOKUP($E684,'Status Thresholds'!$E:$AS,10,FALSE),IF(AND($S$3=TRUE,$S$1=TRUE,$S$4=FALSE),VLOOKUP($E684,'Status Thresholds'!$E:$AS,35,FALSE),IF(AND($S$3=TRUE,$S$4=FALSE),VLOOKUP($E684,'Status Thresholds'!$E:$AS,25,FALSE),IF(AND($S$3=TRUE,$S$1=TRUE,$S$4=TRUE),VLOOKUP($E684,'Status Thresholds'!$E:$AS,40,FALSE),IF(AND($S$3=TRUE,$S$4=TRUE),VLOOKUP($E684,'Status Thresholds'!$E:$AS,30,FALSE),""))))))))/IF(OR($Q$3=TRUE,AND($Q$2=TRUE,$Q$7=TRUE),AND($Q$3=TRUE,$Q$7=TRUE))=TRUE,'Shots and Status'!$F$5,IF((OR($Q$2,$Q$7)=TRUE),'Shots and Status'!$D$5,'Shots and Status'!$C$5)))),0),"-")</f>
        <v>-</v>
      </c>
      <c r="L684" s="36" t="str">
        <f>IFERROR(IF(AND($Q$1=FALSE,$S$3=FALSE),"-",VLOOKUP($E684,'Status Thresholds'!$E:$AU,41,FALSE)),"-")</f>
        <v>-</v>
      </c>
      <c r="M684" s="36" t="str">
        <f>IFERROR(IF(AND($Q$1=FALSE,$S$3=FALSE),"-",VLOOKUP($E684,'Status Thresholds'!$E:$AU,42,FALSE)),"-")</f>
        <v>-</v>
      </c>
      <c r="N684" s="36" t="str">
        <f>IFERROR(IF(AND($Q$1=FALSE,$S$3=FALSE),"-",VLOOKUP($E684,'Status Thresholds'!$E:$AU,43,FALSE)),"-")</f>
        <v>-</v>
      </c>
    </row>
    <row r="685" spans="2:14" x14ac:dyDescent="0.25">
      <c r="B685" s="64" t="str">
        <f>VLOOKUP(C685,'Status Thresholds'!B:C,2,FALSE)</f>
        <v>MHGen</v>
      </c>
      <c r="C685" s="46" t="str">
        <f>IF(ISBLANK('KO Calc'!C681)=TRUE,"",'KO Calc'!C681)</f>
        <v>Seregios</v>
      </c>
      <c r="D685" s="60" t="s">
        <v>32</v>
      </c>
      <c r="E685" s="62" t="str">
        <f t="shared" si="19"/>
        <v>SeregiosSleep</v>
      </c>
      <c r="F685" s="59" t="s">
        <v>5</v>
      </c>
      <c r="G685" s="36" t="str">
        <f t="shared" si="20"/>
        <v>SeregiosSleep lvl 2</v>
      </c>
      <c r="H685" s="36" t="str">
        <f>IFERROR(ROUNDUP(IF(AND($Q$1=FALSE,$S$3=FALSE),"-",IF(AND($Q$1=TRUE,$S$3=TRUE),"-",IF(AND($Q$1=TRUE,$S$1=TRUE,$S$4=FALSE),VLOOKUP($E685,'Status Thresholds'!$E:$AS,12,FALSE),IF(AND($Q$1=TRUE,$S$4=FALSE),VLOOKUP($E685,'Status Thresholds'!$E:$AS,2,FALSE), IF(AND($Q$1=TRUE,$S$1=TRUE,$S$4=TRUE),VLOOKUP($E685,'Status Thresholds'!$E:$AS,17,FALSE),IF(AND($Q$1=TRUE,$S$4=TRUE),VLOOKUP($E685,'Status Thresholds'!$E:$AS,7,FALSE),IF(AND($S$3=TRUE,$S$1=TRUE,$S$4=FALSE),VLOOKUP($E685,'Status Thresholds'!$E:$AS,32,FALSE),IF(AND($S$3=TRUE,$S$4=FALSE),VLOOKUP($E685,'Status Thresholds'!$E:$AS,22,FALSE),IF(AND($S$3=TRUE,$S$1=TRUE,$S$4=TRUE),VLOOKUP($E685,'Status Thresholds'!$E:$AS,37,FALSE),IF(AND($S$3=TRUE,$S$4=TRUE),VLOOKUP($E685,'Status Thresholds'!$E:$AS,27,FALSE),""))))))))/IF(OR($Q$3=TRUE,AND($Q$2=TRUE,$Q$7=TRUE),AND($Q$3=TRUE,$Q$7=TRUE))=TRUE,'Shots and Status'!$F$5,IF((OR($Q$2,$Q$7)=TRUE),'Shots and Status'!$D$5,'Shots and Status'!$C$5)))),0),"-")</f>
        <v>-</v>
      </c>
      <c r="I685" s="36" t="str">
        <f>IFERROR(ROUNDUP(IF(AND($Q$1=FALSE,$S$3=FALSE),"-",IF(AND($Q$1=TRUE,$S$3=TRUE),"-",IF(AND($Q$1=TRUE,$S$1=TRUE,$S$4=FALSE),VLOOKUP($E685,'Status Thresholds'!$E:$AS,13,FALSE),IF(AND($Q$1=TRUE,$S$4=FALSE),VLOOKUP($E685,'Status Thresholds'!$E:$AS,3,FALSE), IF(AND($Q$1=TRUE,$S$1=TRUE,$S$4=TRUE),VLOOKUP($E685,'Status Thresholds'!$E:$AS,18,FALSE),IF(AND($Q$1=TRUE,$S$4=TRUE),VLOOKUP($E685,'Status Thresholds'!$E:$AS,8,FALSE),IF(AND($S$3=TRUE,$S$1=TRUE,$S$4=FALSE),VLOOKUP($E685,'Status Thresholds'!$E:$AS,33,FALSE),IF(AND($S$3=TRUE,$S$4=FALSE),VLOOKUP($E685,'Status Thresholds'!$E:$AS,23,FALSE),IF(AND($S$3=TRUE,$S$1=TRUE,$S$4=TRUE),VLOOKUP($E685,'Status Thresholds'!$E:$AS,38,FALSE),IF(AND($S$3=TRUE,$S$4=TRUE),VLOOKUP($E685,'Status Thresholds'!$E:$AS,28,FALSE),""))))))))/IF(OR($Q$3=TRUE,AND($Q$2=TRUE,$Q$7=TRUE),AND($Q$3=TRUE,$Q$7=TRUE))=TRUE,'Shots and Status'!$F$5,IF((OR($Q$2,$Q$7)=TRUE),'Shots and Status'!$D$5,'Shots and Status'!$C$5)))),0),"-")</f>
        <v>-</v>
      </c>
      <c r="J685" s="36" t="str">
        <f>IFERROR(ROUNDUP(IF(AND($Q$1=FALSE,$S$3=FALSE),"-",IF(AND($Q$1=TRUE,$S$3=TRUE),"-",IF(AND($Q$1=TRUE,$S$1=TRUE,$S$4=FALSE),VLOOKUP($E685,'Status Thresholds'!$E:$AS,14,FALSE),IF(AND($Q$1=TRUE,$S$4=FALSE),VLOOKUP($E685,'Status Thresholds'!$E:$AS,4,FALSE), IF(AND($Q$1=TRUE,$S$1=TRUE,$S$4=TRUE),VLOOKUP($E685,'Status Thresholds'!$E:$AS,19,FALSE),IF(AND($Q$1=TRUE,$S$4=TRUE),VLOOKUP($E685,'Status Thresholds'!$E:$AS,9,FALSE),IF(AND($S$3=TRUE,$S$1=TRUE,$S$4=FALSE),VLOOKUP($E685,'Status Thresholds'!$E:$AS,34,FALSE),IF(AND($S$3=TRUE,$S$4=FALSE),VLOOKUP($E685,'Status Thresholds'!$E:$AS,24,FALSE),IF(AND($S$3=TRUE,$S$1=TRUE,$S$4=TRUE),VLOOKUP($E685,'Status Thresholds'!$E:$AS,39,FALSE),IF(AND($S$3=TRUE,$S$4=TRUE),VLOOKUP($E685,'Status Thresholds'!$E:$AS,29,FALSE),""))))))))/IF(OR($Q$3=TRUE,AND($Q$2=TRUE,$Q$7=TRUE),AND($Q$3=TRUE,$Q$7=TRUE))=TRUE,'Shots and Status'!$F$5,IF((OR($Q$2,$Q$7)=TRUE),'Shots and Status'!$D$5,'Shots and Status'!$C$5)))),0),"-")</f>
        <v>-</v>
      </c>
      <c r="K685" s="36" t="str">
        <f>IFERROR(ROUNDUP(IF(AND($Q$1=FALSE,$S$3=FALSE),"-",IF(AND($Q$1=TRUE,$S$3=TRUE),"-",IF(AND($Q$1=TRUE,$S$1=TRUE,$S$4=FALSE),VLOOKUP($E685,'Status Thresholds'!$E:$AS,15,FALSE),IF(AND($Q$1=TRUE,$S$4=FALSE),VLOOKUP($E685,'Status Thresholds'!$E:$AS,5,FALSE), IF(AND($Q$1=TRUE,$S$1=TRUE,$S$4=TRUE),VLOOKUP($E685,'Status Thresholds'!$E:$AS,20,FALSE),IF(AND($Q$1=TRUE,$S$4=TRUE),VLOOKUP($E685,'Status Thresholds'!$E:$AS,10,FALSE),IF(AND($S$3=TRUE,$S$1=TRUE,$S$4=FALSE),VLOOKUP($E685,'Status Thresholds'!$E:$AS,35,FALSE),IF(AND($S$3=TRUE,$S$4=FALSE),VLOOKUP($E685,'Status Thresholds'!$E:$AS,25,FALSE),IF(AND($S$3=TRUE,$S$1=TRUE,$S$4=TRUE),VLOOKUP($E685,'Status Thresholds'!$E:$AS,40,FALSE),IF(AND($S$3=TRUE,$S$4=TRUE),VLOOKUP($E685,'Status Thresholds'!$E:$AS,30,FALSE),""))))))))/IF(OR($Q$3=TRUE,AND($Q$2=TRUE,$Q$7=TRUE),AND($Q$3=TRUE,$Q$7=TRUE))=TRUE,'Shots and Status'!$F$5,IF((OR($Q$2,$Q$7)=TRUE),'Shots and Status'!$D$5,'Shots and Status'!$C$5)))),0),"-")</f>
        <v>-</v>
      </c>
      <c r="L685" s="36" t="str">
        <f>IFERROR(IF(AND($Q$1=FALSE,$S$3=FALSE),"-",VLOOKUP($E685,'Status Thresholds'!$E:$AU,41,FALSE)),"-")</f>
        <v>-</v>
      </c>
      <c r="M685" s="36" t="str">
        <f>IFERROR(IF(AND($Q$1=FALSE,$S$3=FALSE),"-",VLOOKUP($E685,'Status Thresholds'!$E:$AU,42,FALSE)),"-")</f>
        <v>-</v>
      </c>
      <c r="N685" s="36" t="str">
        <f>IFERROR(IF(AND($Q$1=FALSE,$S$3=FALSE),"-",VLOOKUP($E685,'Status Thresholds'!$E:$AU,43,FALSE)),"-")</f>
        <v>-</v>
      </c>
    </row>
    <row r="686" spans="2:14" x14ac:dyDescent="0.25">
      <c r="B686" s="64" t="str">
        <f>VLOOKUP(C686,'Status Thresholds'!B:C,2,FALSE)</f>
        <v>MHGen</v>
      </c>
      <c r="C686" s="46" t="str">
        <f>IF(ISBLANK('KO Calc'!C682)=TRUE,"",'KO Calc'!C682)</f>
        <v>Seregios</v>
      </c>
      <c r="D686" s="58" t="s">
        <v>33</v>
      </c>
      <c r="E686" s="62" t="str">
        <f t="shared" si="19"/>
        <v>SeregiosPoison</v>
      </c>
      <c r="F686" s="59" t="s">
        <v>6</v>
      </c>
      <c r="G686" s="36" t="str">
        <f t="shared" si="20"/>
        <v>SeregiosPoison lvl 2</v>
      </c>
      <c r="H686" s="36" t="str">
        <f>IFERROR(ROUNDUP(IF(AND($Q$1=FALSE,$S$3=FALSE),"-",IF(AND($Q$1=TRUE,$S$3=TRUE),"-",IF(AND($Q$1=TRUE,$S$1=TRUE,$S$4=FALSE),VLOOKUP($E686,'Status Thresholds'!$E:$AS,12,FALSE),IF(AND($Q$1=TRUE,$S$4=FALSE),VLOOKUP($E686,'Status Thresholds'!$E:$AS,2,FALSE), IF(AND($Q$1=TRUE,$S$1=TRUE,$S$4=TRUE),VLOOKUP($E686,'Status Thresholds'!$E:$AS,17,FALSE),IF(AND($Q$1=TRUE,$S$4=TRUE),VLOOKUP($E686,'Status Thresholds'!$E:$AS,7,FALSE),IF(AND($S$3=TRUE,$S$1=TRUE,$S$4=FALSE),VLOOKUP($E686,'Status Thresholds'!$E:$AS,32,FALSE),IF(AND($S$3=TRUE,$S$4=FALSE),VLOOKUP($E686,'Status Thresholds'!$E:$AS,22,FALSE),IF(AND($S$3=TRUE,$S$1=TRUE,$S$4=TRUE),VLOOKUP($E686,'Status Thresholds'!$E:$AS,37,FALSE),IF(AND($S$3=TRUE,$S$4=TRUE),VLOOKUP($E686,'Status Thresholds'!$E:$AS,27,FALSE),""))))))))/IF(OR($Q$3=TRUE,AND($Q$2=TRUE,$Q$7=TRUE),AND($Q$3=TRUE,$Q$7=TRUE))=TRUE,'Shots and Status'!$F$5,IF((OR($Q$2,$Q$7)=TRUE),'Shots and Status'!$D$5,'Shots and Status'!$C$5)))),0),"-")</f>
        <v>-</v>
      </c>
      <c r="I686" s="36" t="str">
        <f>IFERROR(ROUNDUP(IF(AND($Q$1=FALSE,$S$3=FALSE),"-",IF(AND($Q$1=TRUE,$S$3=TRUE),"-",IF(AND($Q$1=TRUE,$S$1=TRUE,$S$4=FALSE),VLOOKUP($E686,'Status Thresholds'!$E:$AS,13,FALSE),IF(AND($Q$1=TRUE,$S$4=FALSE),VLOOKUP($E686,'Status Thresholds'!$E:$AS,3,FALSE), IF(AND($Q$1=TRUE,$S$1=TRUE,$S$4=TRUE),VLOOKUP($E686,'Status Thresholds'!$E:$AS,18,FALSE),IF(AND($Q$1=TRUE,$S$4=TRUE),VLOOKUP($E686,'Status Thresholds'!$E:$AS,8,FALSE),IF(AND($S$3=TRUE,$S$1=TRUE,$S$4=FALSE),VLOOKUP($E686,'Status Thresholds'!$E:$AS,33,FALSE),IF(AND($S$3=TRUE,$S$4=FALSE),VLOOKUP($E686,'Status Thresholds'!$E:$AS,23,FALSE),IF(AND($S$3=TRUE,$S$1=TRUE,$S$4=TRUE),VLOOKUP($E686,'Status Thresholds'!$E:$AS,38,FALSE),IF(AND($S$3=TRUE,$S$4=TRUE),VLOOKUP($E686,'Status Thresholds'!$E:$AS,28,FALSE),""))))))))/IF(OR($Q$3=TRUE,AND($Q$2=TRUE,$Q$7=TRUE),AND($Q$3=TRUE,$Q$7=TRUE))=TRUE,'Shots and Status'!$F$5,IF((OR($Q$2,$Q$7)=TRUE),'Shots and Status'!$D$5,'Shots and Status'!$C$5)))),0),"-")</f>
        <v>-</v>
      </c>
      <c r="J686" s="36" t="str">
        <f>IFERROR(ROUNDUP(IF(AND($Q$1=FALSE,$S$3=FALSE),"-",IF(AND($Q$1=TRUE,$S$3=TRUE),"-",IF(AND($Q$1=TRUE,$S$1=TRUE,$S$4=FALSE),VLOOKUP($E686,'Status Thresholds'!$E:$AS,14,FALSE),IF(AND($Q$1=TRUE,$S$4=FALSE),VLOOKUP($E686,'Status Thresholds'!$E:$AS,4,FALSE), IF(AND($Q$1=TRUE,$S$1=TRUE,$S$4=TRUE),VLOOKUP($E686,'Status Thresholds'!$E:$AS,19,FALSE),IF(AND($Q$1=TRUE,$S$4=TRUE),VLOOKUP($E686,'Status Thresholds'!$E:$AS,9,FALSE),IF(AND($S$3=TRUE,$S$1=TRUE,$S$4=FALSE),VLOOKUP($E686,'Status Thresholds'!$E:$AS,34,FALSE),IF(AND($S$3=TRUE,$S$4=FALSE),VLOOKUP($E686,'Status Thresholds'!$E:$AS,24,FALSE),IF(AND($S$3=TRUE,$S$1=TRUE,$S$4=TRUE),VLOOKUP($E686,'Status Thresholds'!$E:$AS,39,FALSE),IF(AND($S$3=TRUE,$S$4=TRUE),VLOOKUP($E686,'Status Thresholds'!$E:$AS,29,FALSE),""))))))))/IF(OR($Q$3=TRUE,AND($Q$2=TRUE,$Q$7=TRUE),AND($Q$3=TRUE,$Q$7=TRUE))=TRUE,'Shots and Status'!$F$5,IF((OR($Q$2,$Q$7)=TRUE),'Shots and Status'!$D$5,'Shots and Status'!$C$5)))),0),"-")</f>
        <v>-</v>
      </c>
      <c r="K686" s="36" t="str">
        <f>IFERROR(ROUNDUP(IF(AND($Q$1=FALSE,$S$3=FALSE),"-",IF(AND($Q$1=TRUE,$S$3=TRUE),"-",IF(AND($Q$1=TRUE,$S$1=TRUE,$S$4=FALSE),VLOOKUP($E686,'Status Thresholds'!$E:$AS,15,FALSE),IF(AND($Q$1=TRUE,$S$4=FALSE),VLOOKUP($E686,'Status Thresholds'!$E:$AS,5,FALSE), IF(AND($Q$1=TRUE,$S$1=TRUE,$S$4=TRUE),VLOOKUP($E686,'Status Thresholds'!$E:$AS,20,FALSE),IF(AND($Q$1=TRUE,$S$4=TRUE),VLOOKUP($E686,'Status Thresholds'!$E:$AS,10,FALSE),IF(AND($S$3=TRUE,$S$1=TRUE,$S$4=FALSE),VLOOKUP($E686,'Status Thresholds'!$E:$AS,35,FALSE),IF(AND($S$3=TRUE,$S$4=FALSE),VLOOKUP($E686,'Status Thresholds'!$E:$AS,25,FALSE),IF(AND($S$3=TRUE,$S$1=TRUE,$S$4=TRUE),VLOOKUP($E686,'Status Thresholds'!$E:$AS,40,FALSE),IF(AND($S$3=TRUE,$S$4=TRUE),VLOOKUP($E686,'Status Thresholds'!$E:$AS,30,FALSE),""))))))))/IF(OR($Q$3=TRUE,AND($Q$2=TRUE,$Q$7=TRUE),AND($Q$3=TRUE,$Q$7=TRUE))=TRUE,'Shots and Status'!$F$5,IF((OR($Q$2,$Q$7)=TRUE),'Shots and Status'!$D$5,'Shots and Status'!$C$5)))),0),"-")</f>
        <v>-</v>
      </c>
      <c r="L686" s="36" t="str">
        <f>IFERROR(IF(AND($Q$1=FALSE,$S$3=FALSE),"-",VLOOKUP($E686,'Status Thresholds'!$E:$AU,41,FALSE)),"-")</f>
        <v>-</v>
      </c>
      <c r="M686" s="36" t="str">
        <f>IFERROR(IF(AND($Q$1=FALSE,$S$3=FALSE),"-",VLOOKUP($E686,'Status Thresholds'!$E:$AU,42,FALSE)),"-")</f>
        <v>-</v>
      </c>
      <c r="N686" s="36" t="str">
        <f>IFERROR(IF(AND($Q$1=FALSE,$S$3=FALSE),"-",VLOOKUP($E686,'Status Thresholds'!$E:$AU,43,FALSE)),"-")</f>
        <v>-</v>
      </c>
    </row>
    <row r="687" spans="2:14" x14ac:dyDescent="0.25">
      <c r="B687" s="64" t="str">
        <f>VLOOKUP(C687,'Status Thresholds'!B:C,2,FALSE)</f>
        <v>MHGen</v>
      </c>
      <c r="C687" s="46" t="str">
        <f>IF(ISBLANK('KO Calc'!C683)=TRUE,"",'KO Calc'!C683)</f>
        <v>Seregios</v>
      </c>
      <c r="D687" s="57" t="s">
        <v>22</v>
      </c>
      <c r="E687" s="62" t="str">
        <f t="shared" si="19"/>
        <v>SeregiosExhaust</v>
      </c>
      <c r="F687" s="36" t="s">
        <v>8</v>
      </c>
      <c r="G687" s="36" t="str">
        <f t="shared" si="20"/>
        <v>SeregiosExhaust lvl 2</v>
      </c>
      <c r="H687" s="36" t="str">
        <f>IFERROR(ROUNDUP(IF(AND($Q$1=FALSE,$S$3=FALSE),"-",IF(AND($Q$1=TRUE,$S$3=TRUE),"-",IF(AND($Q$1=TRUE,$S$1=TRUE,$S$4=FALSE),VLOOKUP($E687,'Status Thresholds'!$E:$AS,12,FALSE),IF(AND($Q$1=TRUE,$S$4=FALSE),VLOOKUP($E687,'Status Thresholds'!$E:$AS,2,FALSE), IF(AND($Q$1=TRUE,$S$1=TRUE,$S$4=TRUE),VLOOKUP($E687,'Status Thresholds'!$E:$AS,17,FALSE),IF(AND($Q$1=TRUE,$S$4=TRUE),VLOOKUP($E687,'Status Thresholds'!$E:$AS,7,FALSE),IF(AND($S$3=TRUE,$S$1=TRUE,$S$4=FALSE),VLOOKUP($E687,'Status Thresholds'!$E:$AS,32,FALSE),IF(AND($S$3=TRUE,$S$4=FALSE),VLOOKUP($E687,'Status Thresholds'!$E:$AS,22,FALSE),IF(AND($S$3=TRUE,$S$1=TRUE,$S$4=TRUE),VLOOKUP($E687,'Status Thresholds'!$E:$AS,37,FALSE),IF(AND($S$3=TRUE,$S$4=TRUE),VLOOKUP($E687,'Status Thresholds'!$E:$AS,27,FALSE),""))))))))/IF(OR($Q$3=TRUE,AND($Q$2=TRUE,$Q$7=TRUE),AND($Q$3=TRUE,$Q$7=TRUE))=TRUE,'Shots and Status'!$F$5,IF((OR($Q$2,$Q$7)=TRUE),'Shots and Status'!$D$5,'Shots and Status'!$C$5)))),0),"-")</f>
        <v>-</v>
      </c>
      <c r="I687" s="36" t="str">
        <f>IFERROR(ROUNDUP(IF(AND($Q$1=FALSE,$S$3=FALSE),"-",IF(AND($Q$1=TRUE,$S$3=TRUE),"-",IF(AND($Q$1=TRUE,$S$1=TRUE,$S$4=FALSE),VLOOKUP($E687,'Status Thresholds'!$E:$AS,13,FALSE),IF(AND($Q$1=TRUE,$S$4=FALSE),VLOOKUP($E687,'Status Thresholds'!$E:$AS,3,FALSE), IF(AND($Q$1=TRUE,$S$1=TRUE,$S$4=TRUE),VLOOKUP($E687,'Status Thresholds'!$E:$AS,18,FALSE),IF(AND($Q$1=TRUE,$S$4=TRUE),VLOOKUP($E687,'Status Thresholds'!$E:$AS,8,FALSE),IF(AND($S$3=TRUE,$S$1=TRUE,$S$4=FALSE),VLOOKUP($E687,'Status Thresholds'!$E:$AS,33,FALSE),IF(AND($S$3=TRUE,$S$4=FALSE),VLOOKUP($E687,'Status Thresholds'!$E:$AS,23,FALSE),IF(AND($S$3=TRUE,$S$1=TRUE,$S$4=TRUE),VLOOKUP($E687,'Status Thresholds'!$E:$AS,38,FALSE),IF(AND($S$3=TRUE,$S$4=TRUE),VLOOKUP($E687,'Status Thresholds'!$E:$AS,28,FALSE),""))))))))/IF(OR($Q$3=TRUE,AND($Q$2=TRUE,$Q$7=TRUE),AND($Q$3=TRUE,$Q$7=TRUE))=TRUE,'Shots and Status'!$F$5,IF((OR($Q$2,$Q$7)=TRUE),'Shots and Status'!$D$5,'Shots and Status'!$C$5)))),0),"-")</f>
        <v>-</v>
      </c>
      <c r="J687" s="36" t="str">
        <f>IFERROR(ROUNDUP(IF(AND($Q$1=FALSE,$S$3=FALSE),"-",IF(AND($Q$1=TRUE,$S$3=TRUE),"-",IF(AND($Q$1=TRUE,$S$1=TRUE,$S$4=FALSE),VLOOKUP($E687,'Status Thresholds'!$E:$AS,14,FALSE),IF(AND($Q$1=TRUE,$S$4=FALSE),VLOOKUP($E687,'Status Thresholds'!$E:$AS,4,FALSE), IF(AND($Q$1=TRUE,$S$1=TRUE,$S$4=TRUE),VLOOKUP($E687,'Status Thresholds'!$E:$AS,19,FALSE),IF(AND($Q$1=TRUE,$S$4=TRUE),VLOOKUP($E687,'Status Thresholds'!$E:$AS,9,FALSE),IF(AND($S$3=TRUE,$S$1=TRUE,$S$4=FALSE),VLOOKUP($E687,'Status Thresholds'!$E:$AS,34,FALSE),IF(AND($S$3=TRUE,$S$4=FALSE),VLOOKUP($E687,'Status Thresholds'!$E:$AS,24,FALSE),IF(AND($S$3=TRUE,$S$1=TRUE,$S$4=TRUE),VLOOKUP($E687,'Status Thresholds'!$E:$AS,39,FALSE),IF(AND($S$3=TRUE,$S$4=TRUE),VLOOKUP($E687,'Status Thresholds'!$E:$AS,29,FALSE),""))))))))/IF(OR($Q$3=TRUE,AND($Q$2=TRUE,$Q$7=TRUE),AND($Q$3=TRUE,$Q$7=TRUE))=TRUE,'Shots and Status'!$F$5,IF((OR($Q$2,$Q$7)=TRUE),'Shots and Status'!$D$5,'Shots and Status'!$C$5)))),0),"-")</f>
        <v>-</v>
      </c>
      <c r="K687" s="36" t="str">
        <f>IFERROR(ROUNDUP(IF(AND($Q$1=FALSE,$S$3=FALSE),"-",IF(AND($Q$1=TRUE,$S$3=TRUE),"-",IF(AND($Q$1=TRUE,$S$1=TRUE,$S$4=FALSE),VLOOKUP($E687,'Status Thresholds'!$E:$AS,15,FALSE),IF(AND($Q$1=TRUE,$S$4=FALSE),VLOOKUP($E687,'Status Thresholds'!$E:$AS,5,FALSE), IF(AND($Q$1=TRUE,$S$1=TRUE,$S$4=TRUE),VLOOKUP($E687,'Status Thresholds'!$E:$AS,20,FALSE),IF(AND($Q$1=TRUE,$S$4=TRUE),VLOOKUP($E687,'Status Thresholds'!$E:$AS,10,FALSE),IF(AND($S$3=TRUE,$S$1=TRUE,$S$4=FALSE),VLOOKUP($E687,'Status Thresholds'!$E:$AS,35,FALSE),IF(AND($S$3=TRUE,$S$4=FALSE),VLOOKUP($E687,'Status Thresholds'!$E:$AS,25,FALSE),IF(AND($S$3=TRUE,$S$1=TRUE,$S$4=TRUE),VLOOKUP($E687,'Status Thresholds'!$E:$AS,40,FALSE),IF(AND($S$3=TRUE,$S$4=TRUE),VLOOKUP($E687,'Status Thresholds'!$E:$AS,30,FALSE),""))))))))/IF(OR($Q$3=TRUE,AND($Q$2=TRUE,$Q$7=TRUE),AND($Q$3=TRUE,$Q$7=TRUE))=TRUE,'Shots and Status'!$F$5,IF((OR($Q$2,$Q$7)=TRUE),'Shots and Status'!$D$5,'Shots and Status'!$C$5)))),0),"-")</f>
        <v>-</v>
      </c>
      <c r="L687" s="36" t="str">
        <f>IFERROR(IF(AND($Q$1=FALSE,$S$3=FALSE),"-",VLOOKUP($E687,'Status Thresholds'!$E:$AU,41,FALSE)),"-")</f>
        <v>-</v>
      </c>
      <c r="M687" s="36" t="str">
        <f>IFERROR(IF(AND($Q$1=FALSE,$S$3=FALSE),"-",VLOOKUP($E687,'Status Thresholds'!$E:$AU,42,FALSE)),"-")</f>
        <v>-</v>
      </c>
      <c r="N687" s="36" t="str">
        <f>IFERROR(IF(AND($Q$1=FALSE,$S$3=FALSE),"-",VLOOKUP($E687,'Status Thresholds'!$E:$AU,43,FALSE)),"-")</f>
        <v>-</v>
      </c>
    </row>
    <row r="688" spans="2:14" x14ac:dyDescent="0.25">
      <c r="B688" s="64" t="str">
        <f>VLOOKUP(C688,'Status Thresholds'!B:C,2,FALSE)</f>
        <v>MHGen</v>
      </c>
      <c r="C688" s="46" t="str">
        <f>IF(ISBLANK('KO Calc'!C684)=TRUE,"",'KO Calc'!C684)</f>
        <v>Seregios</v>
      </c>
      <c r="D688" s="67" t="s">
        <v>14</v>
      </c>
      <c r="E688" s="62" t="str">
        <f t="shared" si="19"/>
        <v>SeregiosKO</v>
      </c>
      <c r="F688" s="36" t="s">
        <v>21</v>
      </c>
      <c r="G688" s="36" t="str">
        <f t="shared" si="20"/>
        <v>SeregiosTriblast</v>
      </c>
      <c r="H688" s="36" t="str">
        <f>IF(AND($Q$1=FALSE,$S$3=FALSE),"-",IF(AND($Q$1=TRUE,$S$3=TRUE),"-",IF(AND($Q$1=FALSE,$S$3=FALSE),"-",IF(AND($Q$1=TRUE,$S$1=TRUE,$S$4=FALSE)=TRUE,IF(OR($Q$4=TRUE,$Q$5=TRUE,$S$2=TRUE),VLOOKUP($G688,'KO Calc'!$H:$AW,12,FALSE),VLOOKUP($G688,'KO Calc'!$H694:$AW694,12,FALSE)),IF(AND($Q$1=TRUE,$S$4=FALSE),IF(OR($Q$4=TRUE,$Q$5=TRUE,$S$2=TRUE),VLOOKUP($G688,'KO Calc'!$H:$AW,2,FALSE),VLOOKUP($G688,'KO Calc'!$H694:$AW694,2,FALSE)),
IF(AND($Q$1=TRUE,$S$1=TRUE,$S$4=TRUE)=TRUE,IF(OR($Q$4=TRUE,$Q$5=TRUE,$S$2=TRUE),VLOOKUP($G688,'KO Calc'!$H:$AW,17,FALSE),VLOOKUP($G688,'KO Calc'!$H694:$AW694,17,FALSE)),IF(AND($Q$1=TRUE,$S$4=TRUE),IF(OR($Q$4=TRUE,$Q$5=TRUE,$S$2=TRUE),VLOOKUP($G688,'KO Calc'!$H:$AW,7,FALSE),VLOOKUP($G688,'KO Calc'!$H694:$AW694,7,FALSE)),
IF(AND($S$3=TRUE,$S$1=TRUE,$S$4=FALSE)=TRUE,IF(OR($Q$4=TRUE,$Q$5=TRUE,$S$2=TRUE),VLOOKUP($G688,'KO Calc'!$H:$AW,32,FALSE),VLOOKUP($G688,'KO Calc'!$H694:$AW694,32,FALSE)),IF(AND($S$3=TRUE,$S$4=FALSE),IF(OR($Q$4=TRUE,$Q$5=TRUE,$S$2=TRUE),VLOOKUP($G688,'KO Calc'!$H:$AW,22,FALSE),VLOOKUP($G688,'KO Calc'!$H694:$AW694,22,FALSE)),
IF(AND($S$3=TRUE,$S$1=TRUE,$S$4=TRUE)=TRUE,IF(OR($Q$4=TRUE,$Q$5=TRUE,$S$2=TRUE),VLOOKUP($G688,'KO Calc'!$H:$AW,37,FALSE),VLOOKUP($G688,'KO Calc'!$H694:$AW694,37,FALSE)),IF(AND($S$3=TRUE,$S$4=TRUE),IF(OR($Q$4=TRUE,$Q$5=TRUE,$S$2=TRUE),VLOOKUP($G688,'KO Calc'!$H:$AW,27,FALSE),VLOOKUP($G688,'KO Calc'!$H694:$AW694,27,FALSE)))))))))))))</f>
        <v>-</v>
      </c>
      <c r="I688" s="36" t="str">
        <f>IF(AND($Q$1=FALSE,$S$3=FALSE),"-",IF(AND($Q$1=TRUE,$S$3=TRUE),"-",IF(AND($Q$1=FALSE,$S$3=FALSE),"-",IF(AND($Q$1=TRUE,$S$1=TRUE,$S$4=FALSE)=TRUE,IF(OR($Q$4=TRUE,$Q$5=TRUE,$S$2=TRUE),VLOOKUP($G688,'KO Calc'!$H:$AW,13,FALSE),VLOOKUP($G688,'KO Calc'!$H694:$AW694,13,FALSE)),IF(AND($Q$1=TRUE,$S$4=FALSE),IF(OR($Q$4=TRUE,$Q$5=TRUE,$S$2=TRUE),VLOOKUP($G688,'KO Calc'!$H:$AW,3,FALSE),VLOOKUP($G688,'KO Calc'!$H694:$AW694,3,FALSE)),
IF(AND($Q$1=TRUE,$S$1=TRUE,$S$4=TRUE)=TRUE,IF(OR($Q$4=TRUE,$Q$5=TRUE,$S$2=TRUE),VLOOKUP($G688,'KO Calc'!$H:$AW,18,FALSE),VLOOKUP($G688,'KO Calc'!$H694:$AW694,18,FALSE)),IF(AND($Q$1=TRUE,$S$4=TRUE),IF(OR($Q$4=TRUE,$Q$5=TRUE,$S$2=TRUE),VLOOKUP($G688,'KO Calc'!$H:$AW,8,FALSE),VLOOKUP($G688,'KO Calc'!$H694:$AW694,8,FALSE)),
IF(AND($S$3=TRUE,$S$1=TRUE,$S$4=FALSE)=TRUE,IF(OR($Q$4=TRUE,$Q$5=TRUE,$S$2=TRUE),VLOOKUP($G688,'KO Calc'!$H:$AW,33,FALSE),VLOOKUP($G688,'KO Calc'!$H694:$AW694,33,FALSE)),IF(AND($S$3=TRUE,$S$4=FALSE),IF(OR($Q$4=TRUE,$Q$5=TRUE,$S$2=TRUE),VLOOKUP($G688,'KO Calc'!$H:$AW,23,FALSE),VLOOKUP($G688,'KO Calc'!$H694:$AW694,23,FALSE)),
IF(AND($S$3=TRUE,$S$1=TRUE,$S$4=TRUE)=TRUE,IF(OR($Q$4=TRUE,$Q$5=TRUE,$S$2=TRUE),VLOOKUP($G688,'KO Calc'!$H:$AW,38,FALSE),VLOOKUP($G688,'KO Calc'!$H694:$AW694,38,FALSE)),IF(AND($S$3=TRUE,$S$4=TRUE),IF(OR($Q$4=TRUE,$Q$5=TRUE,$S$2=TRUE),VLOOKUP($G688,'KO Calc'!$H:$AW,28,FALSE),VLOOKUP($G688,'KO Calc'!$H694:$AW694,28,FALSE)))))))))))))</f>
        <v>-</v>
      </c>
      <c r="J688" s="36" t="str">
        <f>IF(AND($Q$1=FALSE,$S$3=FALSE),"-",IF(AND($Q$1=TRUE,$S$3=TRUE),"-",IF(AND($Q$1=FALSE,$S$3=FALSE),"-",IF(AND($Q$1=TRUE,$S$1=TRUE,$S$4=FALSE)=TRUE,IF(OR($Q$4=TRUE,$Q$5=TRUE,$S$2=TRUE),VLOOKUP($G688,'KO Calc'!$H:$AW,FALSE),VLOOKUP($G688,'KO Calc'!$H694:$AW694,14,FALSE)),IF(AND($Q$1=TRUE,$S$4=FALSE),IF(OR($Q$4=TRUE,$Q$5=TRUE,$S$2=TRUE),VLOOKUP($G688,'KO Calc'!$H:$AW,4,FALSE),VLOOKUP($G688,'KO Calc'!$H694:$AW694,4,FALSE)),
IF(AND($Q$1=TRUE,$S$1=TRUE,$S$4=TRUE)=TRUE,IF(OR($Q$4=TRUE,$Q$5=TRUE,$S$2=TRUE),VLOOKUP($G688,'KO Calc'!$H:$AW,19,FALSE),VLOOKUP($G688,'KO Calc'!$H694:$AW694,19,FALSE)),IF(AND($Q$1=TRUE,$S$4=TRUE),IF(OR($Q$4=TRUE,$Q$5=TRUE,$S$2=TRUE),VLOOKUP($G688,'KO Calc'!$H:$AW,9,FALSE),VLOOKUP($G688,'KO Calc'!$H694:$AW694,9,FALSE)),
IF(AND($S$3=TRUE,$S$1=TRUE,$S$4=FALSE)=TRUE,IF(OR($Q$4=TRUE,$Q$5=TRUE,$S$2=TRUE),VLOOKUP($G688,'KO Calc'!$H:$AW,34,FALSE),VLOOKUP($G688,'KO Calc'!$H694:$AW694,34,FALSE)),IF(AND($S$3=TRUE,$S$4=FALSE),IF(OR($Q$4=TRUE,$Q$5=TRUE,$S$2=TRUE),VLOOKUP($G688,'KO Calc'!$H:$AW,24,FALSE),VLOOKUP($G688,'KO Calc'!$H694:$AW694,24,FALSE)),
IF(AND($S$3=TRUE,$S$1=TRUE,$S$4=TRUE)=TRUE,IF(OR($Q$4=TRUE,$Q$5=TRUE,$S$2=TRUE),VLOOKUP($G688,'KO Calc'!$H:$AW,39,FALSE),VLOOKUP($G688,'KO Calc'!$H694:$AW694,39,FALSE)),IF(AND($S$3=TRUE,$S$4=TRUE),IF(OR($Q$4=TRUE,$Q$5=TRUE,$S$2=TRUE),VLOOKUP($G688,'KO Calc'!$H:$AW,29,FALSE),VLOOKUP($G688,'KO Calc'!$H694:$AW694,29,FALSE)))))))))))))</f>
        <v>-</v>
      </c>
      <c r="K688" s="36" t="str">
        <f>IF(AND($Q$1=FALSE,$S$3=FALSE),"-",IF(AND($Q$1=TRUE,$S$3=TRUE),"-",IF(AND($Q$1=FALSE,$S$3=FALSE),"-",IF(AND($Q$1=TRUE,$S$1=TRUE,$S$4=FALSE)=TRUE,IF(OR($Q$4=TRUE,$Q$5=TRUE,$S$2=TRUE),VLOOKUP($G688,'KO Calc'!$H:$AW,15,FALSE),VLOOKUP($G688,'KO Calc'!$H694:$AW694,15,FALSE)),IF(AND($Q$1=TRUE,$S$4=FALSE),IF(OR($Q$4=TRUE,$Q$5=TRUE,$S$2=TRUE),VLOOKUP($G688,'KO Calc'!$H:$AW,5,FALSE),VLOOKUP($G688,'KO Calc'!$H694:$AW694,5,FALSE)),
IF(AND($Q$1=TRUE,$S$1=TRUE,$S$4=TRUE)=TRUE,IF(OR($Q$4=TRUE,$Q$5=TRUE,$S$2=TRUE),VLOOKUP($G688,'KO Calc'!$H:$AW,20,FALSE),VLOOKUP($G688,'KO Calc'!$H694:$AW694,20,FALSE)),IF(AND($Q$1=TRUE,$S$4=TRUE),IF(OR($Q$4=TRUE,$Q$5=TRUE,$S$2=TRUE),VLOOKUP($G688,'KO Calc'!$H:$AW,10,FALSE),VLOOKUP($G688,'KO Calc'!$H694:$AW694,10,FALSE)),
IF(AND($S$3=TRUE,$S$1=TRUE,$S$4=FALSE)=TRUE,IF(OR($Q$4=TRUE,$Q$5=TRUE,$S$2=TRUE),VLOOKUP($G688,'KO Calc'!$H:$AW,35,FALSE),VLOOKUP($G688,'KO Calc'!$H694:$AW694,35,FALSE)),IF(AND($S$3=TRUE,$S$4=FALSE),IF(OR($Q$4=TRUE,$Q$5=TRUE,$S$2=TRUE),VLOOKUP($G688,'KO Calc'!$H:$AW,25,FALSE),VLOOKUP($G688,'KO Calc'!$H694:$AW694,25,FALSE)),
IF(AND($S$3=TRUE,$S$1=TRUE,$S$4=TRUE)=TRUE,IF(OR($Q$4=TRUE,$Q$5=TRUE,$S$2=TRUE),VLOOKUP($G688,'KO Calc'!$H:$AW,40,FALSE),VLOOKUP($G688,'KO Calc'!$H694:$AW694,40,FALSE)),IF(AND($S$3=TRUE,$S$4=TRUE),IF(OR($Q$4=TRUE,$Q$5=TRUE,$S$2=TRUE),VLOOKUP($G688,'KO Calc'!$H:$AW,30,FALSE),VLOOKUP($G688,'KO Calc'!$H694:$AW694,30,FALSE)))))))))))))</f>
        <v>-</v>
      </c>
      <c r="L688" s="36" t="str">
        <f>IFERROR(IF(AND($Q$1=FALSE,$S$3=FALSE),"-",VLOOKUP($E688,'Status Thresholds'!$E:$AU,41,FALSE)),"-")</f>
        <v>-</v>
      </c>
      <c r="M688" s="36" t="str">
        <f>IFERROR(IF(AND($Q$1=FALSE,$S$3=FALSE),"-",VLOOKUP($E688,'Status Thresholds'!$E:$AU,42,FALSE)),"-")</f>
        <v>-</v>
      </c>
      <c r="N688" s="36" t="str">
        <f>IFERROR(IF(AND($Q$1=FALSE,$S$3=FALSE),"-",VLOOKUP($E688,'Status Thresholds'!$E:$AU,43,FALSE)),"-")</f>
        <v>-</v>
      </c>
    </row>
    <row r="689" spans="2:14" x14ac:dyDescent="0.25">
      <c r="B689" s="64" t="str">
        <f>VLOOKUP(C689,'Status Thresholds'!B:C,2,FALSE)</f>
        <v>MHGen</v>
      </c>
      <c r="C689" s="46" t="str">
        <f>IF(ISBLANK('KO Calc'!C685)=TRUE,"",'KO Calc'!C685)</f>
        <v>Seregios</v>
      </c>
      <c r="D689" s="78" t="s">
        <v>207</v>
      </c>
      <c r="E689" s="62" t="str">
        <f t="shared" si="19"/>
        <v>SeregiosShock Trap</v>
      </c>
      <c r="F689" t="s">
        <v>13</v>
      </c>
      <c r="G689" s="36" t="str">
        <f t="shared" si="20"/>
        <v>SeregiosCrag 3</v>
      </c>
      <c r="H689" s="36" t="str">
        <f>IF(AND($Q$1=FALSE,$S$3=FALSE),"-",IF(AND($Q$1=TRUE,$S$3=TRUE),"-",IF(AND($Q$1=FALSE,$S$3=FALSE),"-",IF(AND($Q$1=TRUE,$S$1=TRUE,$S$4=FALSE)=TRUE,IF(OR($Q$4=TRUE,$Q$5=TRUE,$S$2=TRUE),VLOOKUP($G689,'KO Calc'!$H:$AW,12,FALSE),VLOOKUP($G689,'KO Calc'!$H695:$AW695,12,FALSE)),IF(AND($Q$1=TRUE,$S$4=FALSE),IF(OR($Q$4=TRUE,$Q$5=TRUE,$S$2=TRUE),VLOOKUP($G689,'KO Calc'!$H:$AW,2,FALSE),VLOOKUP($G689,'KO Calc'!$H695:$AW695,2,FALSE)),
IF(AND($Q$1=TRUE,$S$1=TRUE,$S$4=TRUE)=TRUE,IF(OR($Q$4=TRUE,$Q$5=TRUE,$S$2=TRUE),VLOOKUP($G689,'KO Calc'!$H:$AW,17,FALSE),VLOOKUP($G689,'KO Calc'!$H695:$AW695,17,FALSE)),IF(AND($Q$1=TRUE,$S$4=TRUE),IF(OR($Q$4=TRUE,$Q$5=TRUE,$S$2=TRUE),VLOOKUP($G689,'KO Calc'!$H:$AW,7,FALSE),VLOOKUP($G689,'KO Calc'!$H695:$AW695,7,FALSE)),
IF(AND($S$3=TRUE,$S$1=TRUE,$S$4=FALSE)=TRUE,IF(OR($Q$4=TRUE,$Q$5=TRUE,$S$2=TRUE),VLOOKUP($G689,'KO Calc'!$H:$AW,32,FALSE),VLOOKUP($G689,'KO Calc'!$H695:$AW695,32,FALSE)),IF(AND($S$3=TRUE,$S$4=FALSE),IF(OR($Q$4=TRUE,$Q$5=TRUE,$S$2=TRUE),VLOOKUP($G689,'KO Calc'!$H:$AW,22,FALSE),VLOOKUP($G689,'KO Calc'!$H695:$AW695,22,FALSE)),
IF(AND($S$3=TRUE,$S$1=TRUE,$S$4=TRUE)=TRUE,IF(OR($Q$4=TRUE,$Q$5=TRUE,$S$2=TRUE),VLOOKUP($G689,'KO Calc'!$H:$AW,37,FALSE),VLOOKUP($G689,'KO Calc'!$H695:$AW695,37,FALSE)),IF(AND($S$3=TRUE,$S$4=TRUE),IF(OR($Q$4=TRUE,$Q$5=TRUE,$S$2=TRUE),VLOOKUP($G689,'KO Calc'!$H:$AW,27,FALSE),VLOOKUP($G689,'KO Calc'!$H695:$AW695,27,FALSE)))))))))))))</f>
        <v>-</v>
      </c>
      <c r="I689" s="36" t="str">
        <f>IF(AND($Q$1=FALSE,$S$3=FALSE),"-",IF(AND($Q$1=TRUE,$S$3=TRUE),"-",IF(AND($Q$1=FALSE,$S$3=FALSE),"-",IF(AND($Q$1=TRUE,$S$1=TRUE,$S$4=FALSE)=TRUE,IF(OR($Q$4=TRUE,$Q$5=TRUE,$S$2=TRUE),VLOOKUP($G689,'KO Calc'!$H:$AW,13,FALSE),VLOOKUP($G689,'KO Calc'!$H695:$AW695,13,FALSE)),IF(AND($Q$1=TRUE,$S$4=FALSE),IF(OR($Q$4=TRUE,$Q$5=TRUE,$S$2=TRUE),VLOOKUP($G689,'KO Calc'!$H:$AW,3,FALSE),VLOOKUP($G689,'KO Calc'!$H695:$AW695,3,FALSE)),
IF(AND($Q$1=TRUE,$S$1=TRUE,$S$4=TRUE)=TRUE,IF(OR($Q$4=TRUE,$Q$5=TRUE,$S$2=TRUE),VLOOKUP($G689,'KO Calc'!$H:$AW,18,FALSE),VLOOKUP($G689,'KO Calc'!$H695:$AW695,18,FALSE)),IF(AND($Q$1=TRUE,$S$4=TRUE),IF(OR($Q$4=TRUE,$Q$5=TRUE,$S$2=TRUE),VLOOKUP($G689,'KO Calc'!$H:$AW,8,FALSE),VLOOKUP($G689,'KO Calc'!$H695:$AW695,8,FALSE)),
IF(AND($S$3=TRUE,$S$1=TRUE,$S$4=FALSE)=TRUE,IF(OR($Q$4=TRUE,$Q$5=TRUE,$S$2=TRUE),VLOOKUP($G689,'KO Calc'!$H:$AW,33,FALSE),VLOOKUP($G689,'KO Calc'!$H695:$AW695,33,FALSE)),IF(AND($S$3=TRUE,$S$4=FALSE),IF(OR($Q$4=TRUE,$Q$5=TRUE,$S$2=TRUE),VLOOKUP($G689,'KO Calc'!$H:$AW,23,FALSE),VLOOKUP($G689,'KO Calc'!$H695:$AW695,23,FALSE)),
IF(AND($S$3=TRUE,$S$1=TRUE,$S$4=TRUE)=TRUE,IF(OR($Q$4=TRUE,$Q$5=TRUE,$S$2=TRUE),VLOOKUP($G689,'KO Calc'!$H:$AW,38,FALSE),VLOOKUP($G689,'KO Calc'!$H695:$AW695,38,FALSE)),IF(AND($S$3=TRUE,$S$4=TRUE),IF(OR($Q$4=TRUE,$Q$5=TRUE,$S$2=TRUE),VLOOKUP($G689,'KO Calc'!$H:$AW,28,FALSE),VLOOKUP($G689,'KO Calc'!$H695:$AW695,28,FALSE)))))))))))))</f>
        <v>-</v>
      </c>
      <c r="J689" s="36" t="str">
        <f>IF(AND($Q$1=FALSE,$S$3=FALSE),"-",IF(AND($Q$1=TRUE,$S$3=TRUE),"-",IF(AND($Q$1=FALSE,$S$3=FALSE),"-",IF(AND($Q$1=TRUE,$S$1=TRUE,$S$4=FALSE)=TRUE,IF(OR($Q$4=TRUE,$Q$5=TRUE,$S$2=TRUE),VLOOKUP($G689,'KO Calc'!$H:$AW,FALSE),VLOOKUP($G689,'KO Calc'!$H695:$AW695,14,FALSE)),IF(AND($Q$1=TRUE,$S$4=FALSE),IF(OR($Q$4=TRUE,$Q$5=TRUE,$S$2=TRUE),VLOOKUP($G689,'KO Calc'!$H:$AW,4,FALSE),VLOOKUP($G689,'KO Calc'!$H695:$AW695,4,FALSE)),
IF(AND($Q$1=TRUE,$S$1=TRUE,$S$4=TRUE)=TRUE,IF(OR($Q$4=TRUE,$Q$5=TRUE,$S$2=TRUE),VLOOKUP($G689,'KO Calc'!$H:$AW,19,FALSE),VLOOKUP($G689,'KO Calc'!$H695:$AW695,19,FALSE)),IF(AND($Q$1=TRUE,$S$4=TRUE),IF(OR($Q$4=TRUE,$Q$5=TRUE,$S$2=TRUE),VLOOKUP($G689,'KO Calc'!$H:$AW,9,FALSE),VLOOKUP($G689,'KO Calc'!$H695:$AW695,9,FALSE)),
IF(AND($S$3=TRUE,$S$1=TRUE,$S$4=FALSE)=TRUE,IF(OR($Q$4=TRUE,$Q$5=TRUE,$S$2=TRUE),VLOOKUP($G689,'KO Calc'!$H:$AW,34,FALSE),VLOOKUP($G689,'KO Calc'!$H695:$AW695,34,FALSE)),IF(AND($S$3=TRUE,$S$4=FALSE),IF(OR($Q$4=TRUE,$Q$5=TRUE,$S$2=TRUE),VLOOKUP($G689,'KO Calc'!$H:$AW,24,FALSE),VLOOKUP($G689,'KO Calc'!$H695:$AW695,24,FALSE)),
IF(AND($S$3=TRUE,$S$1=TRUE,$S$4=TRUE)=TRUE,IF(OR($Q$4=TRUE,$Q$5=TRUE,$S$2=TRUE),VLOOKUP($G689,'KO Calc'!$H:$AW,39,FALSE),VLOOKUP($G689,'KO Calc'!$H695:$AW695,39,FALSE)),IF(AND($S$3=TRUE,$S$4=TRUE),IF(OR($Q$4=TRUE,$Q$5=TRUE,$S$2=TRUE),VLOOKUP($G689,'KO Calc'!$H:$AW,29,FALSE),VLOOKUP($G689,'KO Calc'!$H695:$AW695,29,FALSE)))))))))))))</f>
        <v>-</v>
      </c>
      <c r="K689" s="36" t="str">
        <f>IF(AND($Q$1=FALSE,$S$3=FALSE),"-",IF(AND($Q$1=TRUE,$S$3=TRUE),"-",IF(AND($Q$1=FALSE,$S$3=FALSE),"-",IF(AND($Q$1=TRUE,$S$1=TRUE,$S$4=FALSE)=TRUE,IF(OR($Q$4=TRUE,$Q$5=TRUE,$S$2=TRUE),VLOOKUP($G689,'KO Calc'!$H:$AW,15,FALSE),VLOOKUP($G689,'KO Calc'!$H695:$AW695,15,FALSE)),IF(AND($Q$1=TRUE,$S$4=FALSE),IF(OR($Q$4=TRUE,$Q$5=TRUE,$S$2=TRUE),VLOOKUP($G689,'KO Calc'!$H:$AW,5,FALSE),VLOOKUP($G689,'KO Calc'!$H695:$AW695,5,FALSE)),
IF(AND($Q$1=TRUE,$S$1=TRUE,$S$4=TRUE)=TRUE,IF(OR($Q$4=TRUE,$Q$5=TRUE,$S$2=TRUE),VLOOKUP($G689,'KO Calc'!$H:$AW,20,FALSE),VLOOKUP($G689,'KO Calc'!$H695:$AW695,20,FALSE)),IF(AND($Q$1=TRUE,$S$4=TRUE),IF(OR($Q$4=TRUE,$Q$5=TRUE,$S$2=TRUE),VLOOKUP($G689,'KO Calc'!$H:$AW,10,FALSE),VLOOKUP($G689,'KO Calc'!$H695:$AW695,10,FALSE)),
IF(AND($S$3=TRUE,$S$1=TRUE,$S$4=FALSE)=TRUE,IF(OR($Q$4=TRUE,$Q$5=TRUE,$S$2=TRUE),VLOOKUP($G689,'KO Calc'!$H:$AW,35,FALSE),VLOOKUP($G689,'KO Calc'!$H695:$AW695,35,FALSE)),IF(AND($S$3=TRUE,$S$4=FALSE),IF(OR($Q$4=TRUE,$Q$5=TRUE,$S$2=TRUE),VLOOKUP($G689,'KO Calc'!$H:$AW,25,FALSE),VLOOKUP($G689,'KO Calc'!$H695:$AW695,25,FALSE)),
IF(AND($S$3=TRUE,$S$1=TRUE,$S$4=TRUE)=TRUE,IF(OR($Q$4=TRUE,$Q$5=TRUE,$S$2=TRUE),VLOOKUP($G689,'KO Calc'!$H:$AW,40,FALSE),VLOOKUP($G689,'KO Calc'!$H695:$AW695,40,FALSE)),IF(AND($S$3=TRUE,$S$4=TRUE),IF(OR($Q$4=TRUE,$Q$5=TRUE,$S$2=TRUE),VLOOKUP($G689,'KO Calc'!$H:$AW,30,FALSE),VLOOKUP($G689,'KO Calc'!$H695:$AW695,30,FALSE)))))))))))))</f>
        <v>-</v>
      </c>
      <c r="L689" s="36" t="str">
        <f>IFERROR(IF(AND($Q$1=FALSE,$S$3=FALSE),"-",VLOOKUP($E689,'Status Thresholds'!$E:$AU,43,FALSE)),"-")</f>
        <v>-</v>
      </c>
      <c r="M689" s="36" t="str">
        <f>IFERROR(IF(AND($Q$1=FALSE,$S$3=FALSE),"-",VLOOKUP($E689,'Status Thresholds'!$E:$AU,41,FALSE)),"-")</f>
        <v>-</v>
      </c>
      <c r="N689" s="36" t="str">
        <f>IFERROR(IF(AND($Q$1=FALSE,$S$3=FALSE),"-",VLOOKUP($E689,'Status Thresholds'!$E:$AU,42,FALSE)),"-")</f>
        <v>-</v>
      </c>
    </row>
    <row r="690" spans="2:14" x14ac:dyDescent="0.25">
      <c r="B690" s="64" t="str">
        <f>VLOOKUP(C690,'Status Thresholds'!B:C,2,FALSE)</f>
        <v>MHGen</v>
      </c>
      <c r="C690" s="46" t="str">
        <f>IF(ISBLANK('KO Calc'!C686)=TRUE,"",'KO Calc'!C686)</f>
        <v>Seregios</v>
      </c>
      <c r="D690" s="78" t="s">
        <v>213</v>
      </c>
      <c r="E690" s="62" t="str">
        <f t="shared" si="19"/>
        <v>SeregiosPitfall Trap</v>
      </c>
      <c r="F690" t="s">
        <v>12</v>
      </c>
      <c r="G690" s="36" t="str">
        <f t="shared" si="20"/>
        <v>SeregiosCrag 2</v>
      </c>
      <c r="H690" s="36" t="str">
        <f>IF(AND($Q$1=FALSE,$S$3=FALSE),"-",IF(AND($Q$1=TRUE,$S$3=TRUE),"-",IF(AND($Q$1=FALSE,$S$3=FALSE),"-",IF(AND($Q$1=TRUE,$S$1=TRUE,$S$4=FALSE)=TRUE,IF(OR($Q$4=TRUE,$Q$5=TRUE,$S$2=TRUE),VLOOKUP($G690,'KO Calc'!$H:$AW,12,FALSE),VLOOKUP($G690,'KO Calc'!$H696:$AW696,12,FALSE)),IF(AND($Q$1=TRUE,$S$4=FALSE),IF(OR($Q$4=TRUE,$Q$5=TRUE,$S$2=TRUE),VLOOKUP($G690,'KO Calc'!$H:$AW,2,FALSE),VLOOKUP($G690,'KO Calc'!$H696:$AW696,2,FALSE)),
IF(AND($Q$1=TRUE,$S$1=TRUE,$S$4=TRUE)=TRUE,IF(OR($Q$4=TRUE,$Q$5=TRUE,$S$2=TRUE),VLOOKUP($G690,'KO Calc'!$H:$AW,17,FALSE),VLOOKUP($G690,'KO Calc'!$H696:$AW696,17,FALSE)),IF(AND($Q$1=TRUE,$S$4=TRUE),IF(OR($Q$4=TRUE,$Q$5=TRUE,$S$2=TRUE),VLOOKUP($G690,'KO Calc'!$H:$AW,7,FALSE),VLOOKUP($G690,'KO Calc'!$H696:$AW696,7,FALSE)),
IF(AND($S$3=TRUE,$S$1=TRUE,$S$4=FALSE)=TRUE,IF(OR($Q$4=TRUE,$Q$5=TRUE,$S$2=TRUE),VLOOKUP($G690,'KO Calc'!$H:$AW,32,FALSE),VLOOKUP($G690,'KO Calc'!$H696:$AW696,32,FALSE)),IF(AND($S$3=TRUE,$S$4=FALSE),IF(OR($Q$4=TRUE,$Q$5=TRUE,$S$2=TRUE),VLOOKUP($G690,'KO Calc'!$H:$AW,22,FALSE),VLOOKUP($G690,'KO Calc'!$H696:$AW696,22,FALSE)),
IF(AND($S$3=TRUE,$S$1=TRUE,$S$4=TRUE)=TRUE,IF(OR($Q$4=TRUE,$Q$5=TRUE,$S$2=TRUE),VLOOKUP($G690,'KO Calc'!$H:$AW,37,FALSE),VLOOKUP($G690,'KO Calc'!$H696:$AW696,37,FALSE)),IF(AND($S$3=TRUE,$S$4=TRUE),IF(OR($Q$4=TRUE,$Q$5=TRUE,$S$2=TRUE),VLOOKUP($G690,'KO Calc'!$H:$AW,27,FALSE),VLOOKUP($G690,'KO Calc'!$H696:$AW696,27,FALSE)))))))))))))</f>
        <v>-</v>
      </c>
      <c r="I690" s="36" t="str">
        <f>IF(AND($Q$1=FALSE,$S$3=FALSE),"-",IF(AND($Q$1=TRUE,$S$3=TRUE),"-",IF(AND($Q$1=FALSE,$S$3=FALSE),"-",IF(AND($Q$1=TRUE,$S$1=TRUE,$S$4=FALSE)=TRUE,IF(OR($Q$4=TRUE,$Q$5=TRUE,$S$2=TRUE),VLOOKUP($G690,'KO Calc'!$H:$AW,13,FALSE),VLOOKUP($G690,'KO Calc'!$H696:$AW696,13,FALSE)),IF(AND($Q$1=TRUE,$S$4=FALSE),IF(OR($Q$4=TRUE,$Q$5=TRUE,$S$2=TRUE),VLOOKUP($G690,'KO Calc'!$H:$AW,3,FALSE),VLOOKUP($G690,'KO Calc'!$H696:$AW696,3,FALSE)),
IF(AND($Q$1=TRUE,$S$1=TRUE,$S$4=TRUE)=TRUE,IF(OR($Q$4=TRUE,$Q$5=TRUE,$S$2=TRUE),VLOOKUP($G690,'KO Calc'!$H:$AW,18,FALSE),VLOOKUP($G690,'KO Calc'!$H696:$AW696,18,FALSE)),IF(AND($Q$1=TRUE,$S$4=TRUE),IF(OR($Q$4=TRUE,$Q$5=TRUE,$S$2=TRUE),VLOOKUP($G690,'KO Calc'!$H:$AW,8,FALSE),VLOOKUP($G690,'KO Calc'!$H696:$AW696,8,FALSE)),
IF(AND($S$3=TRUE,$S$1=TRUE,$S$4=FALSE)=TRUE,IF(OR($Q$4=TRUE,$Q$5=TRUE,$S$2=TRUE),VLOOKUP($G690,'KO Calc'!$H:$AW,33,FALSE),VLOOKUP($G690,'KO Calc'!$H696:$AW696,33,FALSE)),IF(AND($S$3=TRUE,$S$4=FALSE),IF(OR($Q$4=TRUE,$Q$5=TRUE,$S$2=TRUE),VLOOKUP($G690,'KO Calc'!$H:$AW,23,FALSE),VLOOKUP($G690,'KO Calc'!$H696:$AW696,23,FALSE)),
IF(AND($S$3=TRUE,$S$1=TRUE,$S$4=TRUE)=TRUE,IF(OR($Q$4=TRUE,$Q$5=TRUE,$S$2=TRUE),VLOOKUP($G690,'KO Calc'!$H:$AW,38,FALSE),VLOOKUP($G690,'KO Calc'!$H696:$AW696,38,FALSE)),IF(AND($S$3=TRUE,$S$4=TRUE),IF(OR($Q$4=TRUE,$Q$5=TRUE,$S$2=TRUE),VLOOKUP($G690,'KO Calc'!$H:$AW,28,FALSE),VLOOKUP($G690,'KO Calc'!$H696:$AW696,28,FALSE)))))))))))))</f>
        <v>-</v>
      </c>
      <c r="J690" s="36" t="str">
        <f>IF(AND($Q$1=FALSE,$S$3=FALSE),"-",IF(AND($Q$1=TRUE,$S$3=TRUE),"-",IF(AND($Q$1=FALSE,$S$3=FALSE),"-",IF(AND($Q$1=TRUE,$S$1=TRUE,$S$4=FALSE)=TRUE,IF(OR($Q$4=TRUE,$Q$5=TRUE,$S$2=TRUE),VLOOKUP($G690,'KO Calc'!$H:$AW,FALSE),VLOOKUP($G690,'KO Calc'!$H696:$AW696,14,FALSE)),IF(AND($Q$1=TRUE,$S$4=FALSE),IF(OR($Q$4=TRUE,$Q$5=TRUE,$S$2=TRUE),VLOOKUP($G690,'KO Calc'!$H:$AW,4,FALSE),VLOOKUP($G690,'KO Calc'!$H696:$AW696,4,FALSE)),
IF(AND($Q$1=TRUE,$S$1=TRUE,$S$4=TRUE)=TRUE,IF(OR($Q$4=TRUE,$Q$5=TRUE,$S$2=TRUE),VLOOKUP($G690,'KO Calc'!$H:$AW,19,FALSE),VLOOKUP($G690,'KO Calc'!$H696:$AW696,19,FALSE)),IF(AND($Q$1=TRUE,$S$4=TRUE),IF(OR($Q$4=TRUE,$Q$5=TRUE,$S$2=TRUE),VLOOKUP($G690,'KO Calc'!$H:$AW,9,FALSE),VLOOKUP($G690,'KO Calc'!$H696:$AW696,9,FALSE)),
IF(AND($S$3=TRUE,$S$1=TRUE,$S$4=FALSE)=TRUE,IF(OR($Q$4=TRUE,$Q$5=TRUE,$S$2=TRUE),VLOOKUP($G690,'KO Calc'!$H:$AW,34,FALSE),VLOOKUP($G690,'KO Calc'!$H696:$AW696,34,FALSE)),IF(AND($S$3=TRUE,$S$4=FALSE),IF(OR($Q$4=TRUE,$Q$5=TRUE,$S$2=TRUE),VLOOKUP($G690,'KO Calc'!$H:$AW,24,FALSE),VLOOKUP($G690,'KO Calc'!$H696:$AW696,24,FALSE)),
IF(AND($S$3=TRUE,$S$1=TRUE,$S$4=TRUE)=TRUE,IF(OR($Q$4=TRUE,$Q$5=TRUE,$S$2=TRUE),VLOOKUP($G690,'KO Calc'!$H:$AW,39,FALSE),VLOOKUP($G690,'KO Calc'!$H696:$AW696,39,FALSE)),IF(AND($S$3=TRUE,$S$4=TRUE),IF(OR($Q$4=TRUE,$Q$5=TRUE,$S$2=TRUE),VLOOKUP($G690,'KO Calc'!$H:$AW,29,FALSE),VLOOKUP($G690,'KO Calc'!$H696:$AW696,29,FALSE)))))))))))))</f>
        <v>-</v>
      </c>
      <c r="K690" s="36" t="str">
        <f>IF(AND($Q$1=FALSE,$S$3=FALSE),"-",IF(AND($Q$1=TRUE,$S$3=TRUE),"-",IF(AND($Q$1=FALSE,$S$3=FALSE),"-",IF(AND($Q$1=TRUE,$S$1=TRUE,$S$4=FALSE)=TRUE,IF(OR($Q$4=TRUE,$Q$5=TRUE,$S$2=TRUE),VLOOKUP($G690,'KO Calc'!$H:$AW,15,FALSE),VLOOKUP($G690,'KO Calc'!$H696:$AW696,15,FALSE)),IF(AND($Q$1=TRUE,$S$4=FALSE),IF(OR($Q$4=TRUE,$Q$5=TRUE,$S$2=TRUE),VLOOKUP($G690,'KO Calc'!$H:$AW,5,FALSE),VLOOKUP($G690,'KO Calc'!$H696:$AW696,5,FALSE)),
IF(AND($Q$1=TRUE,$S$1=TRUE,$S$4=TRUE)=TRUE,IF(OR($Q$4=TRUE,$Q$5=TRUE,$S$2=TRUE),VLOOKUP($G690,'KO Calc'!$H:$AW,20,FALSE),VLOOKUP($G690,'KO Calc'!$H696:$AW696,20,FALSE)),IF(AND($Q$1=TRUE,$S$4=TRUE),IF(OR($Q$4=TRUE,$Q$5=TRUE,$S$2=TRUE),VLOOKUP($G690,'KO Calc'!$H:$AW,10,FALSE),VLOOKUP($G690,'KO Calc'!$H696:$AW696,10,FALSE)),
IF(AND($S$3=TRUE,$S$1=TRUE,$S$4=FALSE)=TRUE,IF(OR($Q$4=TRUE,$Q$5=TRUE,$S$2=TRUE),VLOOKUP($G690,'KO Calc'!$H:$AW,35,FALSE),VLOOKUP($G690,'KO Calc'!$H696:$AW696,35,FALSE)),IF(AND($S$3=TRUE,$S$4=FALSE),IF(OR($Q$4=TRUE,$Q$5=TRUE,$S$2=TRUE),VLOOKUP($G690,'KO Calc'!$H:$AW,25,FALSE),VLOOKUP($G690,'KO Calc'!$H696:$AW696,25,FALSE)),
IF(AND($S$3=TRUE,$S$1=TRUE,$S$4=TRUE)=TRUE,IF(OR($Q$4=TRUE,$Q$5=TRUE,$S$2=TRUE),VLOOKUP($G690,'KO Calc'!$H:$AW,40,FALSE),VLOOKUP($G690,'KO Calc'!$H696:$AW696,40,FALSE)),IF(AND($S$3=TRUE,$S$4=TRUE),IF(OR($Q$4=TRUE,$Q$5=TRUE,$S$2=TRUE),VLOOKUP($G690,'KO Calc'!$H:$AW,30,FALSE),VLOOKUP($G690,'KO Calc'!$H696:$AW696,30,FALSE)))))))))))))</f>
        <v>-</v>
      </c>
      <c r="L690" s="36" t="str">
        <f>IFERROR(IF(AND($Q$1=FALSE,$S$3=FALSE),"-",VLOOKUP($E690,'Status Thresholds'!$E:$AU,43,FALSE)),"-")</f>
        <v>-</v>
      </c>
      <c r="M690" s="36" t="str">
        <f>IFERROR(IF(AND($Q$1=FALSE,$S$3=FALSE),"-",VLOOKUP($E690,'Status Thresholds'!$E:$AU,41,FALSE)),"-")</f>
        <v>-</v>
      </c>
      <c r="N690" s="36" t="str">
        <f>IFERROR(IF(AND($Q$1=FALSE,$S$3=FALSE),"-",VLOOKUP($E690,'Status Thresholds'!$E:$AU,42,FALSE)),"-")</f>
        <v>-</v>
      </c>
    </row>
    <row r="691" spans="2:14" x14ac:dyDescent="0.25">
      <c r="B691" s="64" t="str">
        <f>VLOOKUP(C691,'Status Thresholds'!B:C,2,FALSE)</f>
        <v>MHGen</v>
      </c>
      <c r="C691" s="46" t="str">
        <f>IF(ISBLANK('KO Calc'!C687)=TRUE,"",'KO Calc'!C687)</f>
        <v>Seregios</v>
      </c>
      <c r="D691" s="78"/>
      <c r="E691" s="62" t="str">
        <f t="shared" si="19"/>
        <v>Seregios</v>
      </c>
      <c r="F691" t="s">
        <v>11</v>
      </c>
      <c r="G691" s="36" t="str">
        <f t="shared" si="20"/>
        <v>SeregiosCrag 1</v>
      </c>
      <c r="H691" s="36" t="str">
        <f>IF(AND($Q$1=FALSE,$S$3=FALSE),"-",IF(AND($Q$1=TRUE,$S$3=TRUE),"-",IF(AND($Q$1=FALSE,$S$3=FALSE),"-",IF(AND($Q$1=TRUE,$S$1=TRUE,$S$4=FALSE)=TRUE,IF(OR($Q$4=TRUE,$Q$5=TRUE,$S$2=TRUE),VLOOKUP($G691,'KO Calc'!$H:$AW,12,FALSE),VLOOKUP($G691,'KO Calc'!$H697:$AW697,12,FALSE)),IF(AND($Q$1=TRUE,$S$4=FALSE),IF(OR($Q$4=TRUE,$Q$5=TRUE,$S$2=TRUE),VLOOKUP($G691,'KO Calc'!$H:$AW,2,FALSE),VLOOKUP($G691,'KO Calc'!$H697:$AW697,2,FALSE)),
IF(AND($Q$1=TRUE,$S$1=TRUE,$S$4=TRUE)=TRUE,IF(OR($Q$4=TRUE,$Q$5=TRUE,$S$2=TRUE),VLOOKUP($G691,'KO Calc'!$H:$AW,17,FALSE),VLOOKUP($G691,'KO Calc'!$H697:$AW697,17,FALSE)),IF(AND($Q$1=TRUE,$S$4=TRUE),IF(OR($Q$4=TRUE,$Q$5=TRUE,$S$2=TRUE),VLOOKUP($G691,'KO Calc'!$H:$AW,7,FALSE),VLOOKUP($G691,'KO Calc'!$H697:$AW697,7,FALSE)),
IF(AND($S$3=TRUE,$S$1=TRUE,$S$4=FALSE)=TRUE,IF(OR($Q$4=TRUE,$Q$5=TRUE,$S$2=TRUE),VLOOKUP($G691,'KO Calc'!$H:$AW,32,FALSE),VLOOKUP($G691,'KO Calc'!$H697:$AW697,32,FALSE)),IF(AND($S$3=TRUE,$S$4=FALSE),IF(OR($Q$4=TRUE,$Q$5=TRUE,$S$2=TRUE),VLOOKUP($G691,'KO Calc'!$H:$AW,22,FALSE),VLOOKUP($G691,'KO Calc'!$H697:$AW697,22,FALSE)),
IF(AND($S$3=TRUE,$S$1=TRUE,$S$4=TRUE)=TRUE,IF(OR($Q$4=TRUE,$Q$5=TRUE,$S$2=TRUE),VLOOKUP($G691,'KO Calc'!$H:$AW,37,FALSE),VLOOKUP($G691,'KO Calc'!$H697:$AW697,37,FALSE)),IF(AND($S$3=TRUE,$S$4=TRUE),IF(OR($Q$4=TRUE,$Q$5=TRUE,$S$2=TRUE),VLOOKUP($G691,'KO Calc'!$H:$AW,27,FALSE),VLOOKUP($G691,'KO Calc'!$H697:$AW697,27,FALSE)))))))))))))</f>
        <v>-</v>
      </c>
      <c r="I691" s="36" t="str">
        <f>IF(AND($Q$1=FALSE,$S$3=FALSE),"-",IF(AND($Q$1=TRUE,$S$3=TRUE),"-",IF(AND($Q$1=FALSE,$S$3=FALSE),"-",IF(AND($Q$1=TRUE,$S$1=TRUE,$S$4=FALSE)=TRUE,IF(OR($Q$4=TRUE,$Q$5=TRUE,$S$2=TRUE),VLOOKUP($G691,'KO Calc'!$H:$AW,13,FALSE),VLOOKUP($G691,'KO Calc'!$H697:$AW697,13,FALSE)),IF(AND($Q$1=TRUE,$S$4=FALSE),IF(OR($Q$4=TRUE,$Q$5=TRUE,$S$2=TRUE),VLOOKUP($G691,'KO Calc'!$H:$AW,3,FALSE),VLOOKUP($G691,'KO Calc'!$H697:$AW697,3,FALSE)),
IF(AND($Q$1=TRUE,$S$1=TRUE,$S$4=TRUE)=TRUE,IF(OR($Q$4=TRUE,$Q$5=TRUE,$S$2=TRUE),VLOOKUP($G691,'KO Calc'!$H:$AW,18,FALSE),VLOOKUP($G691,'KO Calc'!$H697:$AW697,18,FALSE)),IF(AND($Q$1=TRUE,$S$4=TRUE),IF(OR($Q$4=TRUE,$Q$5=TRUE,$S$2=TRUE),VLOOKUP($G691,'KO Calc'!$H:$AW,8,FALSE),VLOOKUP($G691,'KO Calc'!$H697:$AW697,8,FALSE)),
IF(AND($S$3=TRUE,$S$1=TRUE,$S$4=FALSE)=TRUE,IF(OR($Q$4=TRUE,$Q$5=TRUE,$S$2=TRUE),VLOOKUP($G691,'KO Calc'!$H:$AW,33,FALSE),VLOOKUP($G691,'KO Calc'!$H697:$AW697,33,FALSE)),IF(AND($S$3=TRUE,$S$4=FALSE),IF(OR($Q$4=TRUE,$Q$5=TRUE,$S$2=TRUE),VLOOKUP($G691,'KO Calc'!$H:$AW,23,FALSE),VLOOKUP($G691,'KO Calc'!$H697:$AW697,23,FALSE)),
IF(AND($S$3=TRUE,$S$1=TRUE,$S$4=TRUE)=TRUE,IF(OR($Q$4=TRUE,$Q$5=TRUE,$S$2=TRUE),VLOOKUP($G691,'KO Calc'!$H:$AW,38,FALSE),VLOOKUP($G691,'KO Calc'!$H697:$AW697,38,FALSE)),IF(AND($S$3=TRUE,$S$4=TRUE),IF(OR($Q$4=TRUE,$Q$5=TRUE,$S$2=TRUE),VLOOKUP($G691,'KO Calc'!$H:$AW,28,FALSE),VLOOKUP($G691,'KO Calc'!$H697:$AW697,28,FALSE)))))))))))))</f>
        <v>-</v>
      </c>
      <c r="J691" s="36" t="str">
        <f>IF(AND($Q$1=FALSE,$S$3=FALSE),"-",IF(AND($Q$1=TRUE,$S$3=TRUE),"-",IF(AND($Q$1=FALSE,$S$3=FALSE),"-",IF(AND($Q$1=TRUE,$S$1=TRUE,$S$4=FALSE)=TRUE,IF(OR($Q$4=TRUE,$Q$5=TRUE,$S$2=TRUE),VLOOKUP($G691,'KO Calc'!$H:$AW,FALSE),VLOOKUP($G691,'KO Calc'!$H697:$AW697,14,FALSE)),IF(AND($Q$1=TRUE,$S$4=FALSE),IF(OR($Q$4=TRUE,$Q$5=TRUE,$S$2=TRUE),VLOOKUP($G691,'KO Calc'!$H:$AW,4,FALSE),VLOOKUP($G691,'KO Calc'!$H697:$AW697,4,FALSE)),
IF(AND($Q$1=TRUE,$S$1=TRUE,$S$4=TRUE)=TRUE,IF(OR($Q$4=TRUE,$Q$5=TRUE,$S$2=TRUE),VLOOKUP($G691,'KO Calc'!$H:$AW,19,FALSE),VLOOKUP($G691,'KO Calc'!$H697:$AW697,19,FALSE)),IF(AND($Q$1=TRUE,$S$4=TRUE),IF(OR($Q$4=TRUE,$Q$5=TRUE,$S$2=TRUE),VLOOKUP($G691,'KO Calc'!$H:$AW,9,FALSE),VLOOKUP($G691,'KO Calc'!$H697:$AW697,9,FALSE)),
IF(AND($S$3=TRUE,$S$1=TRUE,$S$4=FALSE)=TRUE,IF(OR($Q$4=TRUE,$Q$5=TRUE,$S$2=TRUE),VLOOKUP($G691,'KO Calc'!$H:$AW,34,FALSE),VLOOKUP($G691,'KO Calc'!$H697:$AW697,34,FALSE)),IF(AND($S$3=TRUE,$S$4=FALSE),IF(OR($Q$4=TRUE,$Q$5=TRUE,$S$2=TRUE),VLOOKUP($G691,'KO Calc'!$H:$AW,24,FALSE),VLOOKUP($G691,'KO Calc'!$H697:$AW697,24,FALSE)),
IF(AND($S$3=TRUE,$S$1=TRUE,$S$4=TRUE)=TRUE,IF(OR($Q$4=TRUE,$Q$5=TRUE,$S$2=TRUE),VLOOKUP($G691,'KO Calc'!$H:$AW,39,FALSE),VLOOKUP($G691,'KO Calc'!$H697:$AW697,39,FALSE)),IF(AND($S$3=TRUE,$S$4=TRUE),IF(OR($Q$4=TRUE,$Q$5=TRUE,$S$2=TRUE),VLOOKUP($G691,'KO Calc'!$H:$AW,29,FALSE),VLOOKUP($G691,'KO Calc'!$H697:$AW697,29,FALSE)))))))))))))</f>
        <v>-</v>
      </c>
      <c r="K691" s="36" t="str">
        <f>IF(AND($Q$1=FALSE,$S$3=FALSE),"-",IF(AND($Q$1=TRUE,$S$3=TRUE),"-",IF(AND($Q$1=FALSE,$S$3=FALSE),"-",IF(AND($Q$1=TRUE,$S$1=TRUE,$S$4=FALSE)=TRUE,IF(OR($Q$4=TRUE,$Q$5=TRUE,$S$2=TRUE),VLOOKUP($G691,'KO Calc'!$H:$AW,15,FALSE),VLOOKUP($G691,'KO Calc'!$H697:$AW697,15,FALSE)),IF(AND($Q$1=TRUE,$S$4=FALSE),IF(OR($Q$4=TRUE,$Q$5=TRUE,$S$2=TRUE),VLOOKUP($G691,'KO Calc'!$H:$AW,5,FALSE),VLOOKUP($G691,'KO Calc'!$H697:$AW697,5,FALSE)),
IF(AND($Q$1=TRUE,$S$1=TRUE,$S$4=TRUE)=TRUE,IF(OR($Q$4=TRUE,$Q$5=TRUE,$S$2=TRUE),VLOOKUP($G691,'KO Calc'!$H:$AW,20,FALSE),VLOOKUP($G691,'KO Calc'!$H697:$AW697,20,FALSE)),IF(AND($Q$1=TRUE,$S$4=TRUE),IF(OR($Q$4=TRUE,$Q$5=TRUE,$S$2=TRUE),VLOOKUP($G691,'KO Calc'!$H:$AW,10,FALSE),VLOOKUP($G691,'KO Calc'!$H697:$AW697,10,FALSE)),
IF(AND($S$3=TRUE,$S$1=TRUE,$S$4=FALSE)=TRUE,IF(OR($Q$4=TRUE,$Q$5=TRUE,$S$2=TRUE),VLOOKUP($G691,'KO Calc'!$H:$AW,35,FALSE),VLOOKUP($G691,'KO Calc'!$H697:$AW697,35,FALSE)),IF(AND($S$3=TRUE,$S$4=FALSE),IF(OR($Q$4=TRUE,$Q$5=TRUE,$S$2=TRUE),VLOOKUP($G691,'KO Calc'!$H:$AW,25,FALSE),VLOOKUP($G691,'KO Calc'!$H697:$AW697,25,FALSE)),
IF(AND($S$3=TRUE,$S$1=TRUE,$S$4=TRUE)=TRUE,IF(OR($Q$4=TRUE,$Q$5=TRUE,$S$2=TRUE),VLOOKUP($G691,'KO Calc'!$H:$AW,40,FALSE),VLOOKUP($G691,'KO Calc'!$H697:$AW697,40,FALSE)),IF(AND($S$3=TRUE,$S$4=TRUE),IF(OR($Q$4=TRUE,$Q$5=TRUE,$S$2=TRUE),VLOOKUP($G691,'KO Calc'!$H:$AW,30,FALSE),VLOOKUP($G691,'KO Calc'!$H697:$AW697,30,FALSE)))))))))))))</f>
        <v>-</v>
      </c>
      <c r="L691" s="36" t="str">
        <f>IFERROR(VLOOKUP($E691,'Status Thresholds'!$E:$AS,41,FALSE),"-")</f>
        <v>-</v>
      </c>
    </row>
    <row r="692" spans="2:14" x14ac:dyDescent="0.25">
      <c r="B692" s="64" t="str">
        <f>VLOOKUP(C692,'Status Thresholds'!B:C,2,FALSE)</f>
        <v>MHGen</v>
      </c>
      <c r="C692" s="46" t="str">
        <f>IF(ISBLANK('KO Calc'!C688)=TRUE,"",'KO Calc'!C688)</f>
        <v>Seregios</v>
      </c>
      <c r="D692" s="78"/>
      <c r="E692" s="62" t="str">
        <f t="shared" si="19"/>
        <v>Seregios</v>
      </c>
      <c r="G692" s="36" t="str">
        <f t="shared" si="20"/>
        <v>Seregios</v>
      </c>
      <c r="L692" s="36" t="str">
        <f>IFERROR(VLOOKUP($E692,'Status Thresholds'!$E:$AS,41,FALSE),"-")</f>
        <v>-</v>
      </c>
    </row>
    <row r="693" spans="2:14" x14ac:dyDescent="0.25">
      <c r="B693" s="64" t="str">
        <f>VLOOKUP(C693,'Status Thresholds'!B:C,2,FALSE)</f>
        <v>MHGen</v>
      </c>
      <c r="C693" s="46" t="str">
        <f>IF(ISBLANK('KO Calc'!C689)=TRUE,"",'KO Calc'!C689)</f>
        <v>Shogun Ceanataur</v>
      </c>
      <c r="D693" s="65" t="s">
        <v>0</v>
      </c>
      <c r="E693" s="62" t="str">
        <f t="shared" si="19"/>
        <v>Shogun CeanataurPara</v>
      </c>
      <c r="F693" s="36" t="s">
        <v>2</v>
      </c>
      <c r="G693" s="36" t="str">
        <f t="shared" si="20"/>
        <v>Shogun CeanataurPara lvl 2</v>
      </c>
      <c r="H693" s="36" t="str">
        <f>IFERROR(ROUNDUP(IF(AND($Q$1=FALSE,$S$3=FALSE),"-",IF(AND($Q$1=TRUE,$S$3=TRUE),"-",IF(AND($Q$1=TRUE,$S$1=TRUE,$S$4=FALSE),VLOOKUP($E693,'Status Thresholds'!$E:$AS,12,FALSE),IF(AND($Q$1=TRUE,$S$4=FALSE),VLOOKUP($E693,'Status Thresholds'!$E:$AS,2,FALSE), IF(AND($Q$1=TRUE,$S$1=TRUE,$S$4=TRUE),VLOOKUP($E693,'Status Thresholds'!$E:$AS,17,FALSE),IF(AND($Q$1=TRUE,$S$4=TRUE),VLOOKUP($E693,'Status Thresholds'!$E:$AS,7,FALSE),IF(AND($S$3=TRUE,$S$1=TRUE,$S$4=FALSE),VLOOKUP($E693,'Status Thresholds'!$E:$AS,32,FALSE),IF(AND($S$3=TRUE,$S$4=FALSE),VLOOKUP($E693,'Status Thresholds'!$E:$AS,22,FALSE),IF(AND($S$3=TRUE,$S$1=TRUE,$S$4=TRUE),VLOOKUP($E693,'Status Thresholds'!$E:$AS,37,FALSE),IF(AND($S$3=TRUE,$S$4=TRUE),VLOOKUP($E693,'Status Thresholds'!$E:$AS,27,FALSE),""))))))))/IF(OR($Q$3=TRUE,AND($Q$2=TRUE,$Q$7=TRUE),AND($Q$3=TRUE,$Q$7=TRUE))=TRUE,'Shots and Status'!$F$5,IF((OR($Q$2,$Q$7)=TRUE),'Shots and Status'!$D$5,'Shots and Status'!$C$5)))),0),"-")</f>
        <v>-</v>
      </c>
      <c r="I693" s="36" t="str">
        <f>IFERROR(ROUNDUP(IF(AND($Q$1=FALSE,$S$3=FALSE),"-",IF(AND($Q$1=TRUE,$S$3=TRUE),"-",IF(AND($Q$1=TRUE,$S$1=TRUE,$S$4=FALSE),VLOOKUP($E693,'Status Thresholds'!$E:$AS,13,FALSE),IF(AND($Q$1=TRUE,$S$4=FALSE),VLOOKUP($E693,'Status Thresholds'!$E:$AS,3,FALSE), IF(AND($Q$1=TRUE,$S$1=TRUE,$S$4=TRUE),VLOOKUP($E693,'Status Thresholds'!$E:$AS,18,FALSE),IF(AND($Q$1=TRUE,$S$4=TRUE),VLOOKUP($E693,'Status Thresholds'!$E:$AS,8,FALSE),IF(AND($S$3=TRUE,$S$1=TRUE,$S$4=FALSE),VLOOKUP($E693,'Status Thresholds'!$E:$AS,33,FALSE),IF(AND($S$3=TRUE,$S$4=FALSE),VLOOKUP($E693,'Status Thresholds'!$E:$AS,23,FALSE),IF(AND($S$3=TRUE,$S$1=TRUE,$S$4=TRUE),VLOOKUP($E693,'Status Thresholds'!$E:$AS,38,FALSE),IF(AND($S$3=TRUE,$S$4=TRUE),VLOOKUP($E693,'Status Thresholds'!$E:$AS,28,FALSE),""))))))))/IF(OR($Q$3=TRUE,AND($Q$2=TRUE,$Q$7=TRUE),AND($Q$3=TRUE,$Q$7=TRUE))=TRUE,'Shots and Status'!$F$5,IF((OR($Q$2,$Q$7)=TRUE),'Shots and Status'!$D$5,'Shots and Status'!$C$5)))),0),"-")</f>
        <v>-</v>
      </c>
      <c r="J693" s="36" t="str">
        <f>IFERROR(ROUNDUP(IF(AND($Q$1=FALSE,$S$3=FALSE),"-",IF(AND($Q$1=TRUE,$S$3=TRUE),"-",IF(AND($Q$1=TRUE,$S$1=TRUE,$S$4=FALSE),VLOOKUP($E693,'Status Thresholds'!$E:$AS,14,FALSE),IF(AND($Q$1=TRUE,$S$4=FALSE),VLOOKUP($E693,'Status Thresholds'!$E:$AS,4,FALSE), IF(AND($Q$1=TRUE,$S$1=TRUE,$S$4=TRUE),VLOOKUP($E693,'Status Thresholds'!$E:$AS,19,FALSE),IF(AND($Q$1=TRUE,$S$4=TRUE),VLOOKUP($E693,'Status Thresholds'!$E:$AS,9,FALSE),IF(AND($S$3=TRUE,$S$1=TRUE,$S$4=FALSE),VLOOKUP($E693,'Status Thresholds'!$E:$AS,34,FALSE),IF(AND($S$3=TRUE,$S$4=FALSE),VLOOKUP($E693,'Status Thresholds'!$E:$AS,24,FALSE),IF(AND($S$3=TRUE,$S$1=TRUE,$S$4=TRUE),VLOOKUP($E693,'Status Thresholds'!$E:$AS,39,FALSE),IF(AND($S$3=TRUE,$S$4=TRUE),VLOOKUP($E693,'Status Thresholds'!$E:$AS,29,FALSE),""))))))))/IF(OR($Q$3=TRUE,AND($Q$2=TRUE,$Q$7=TRUE),AND($Q$3=TRUE,$Q$7=TRUE))=TRUE,'Shots and Status'!$F$5,IF((OR($Q$2,$Q$7)=TRUE),'Shots and Status'!$D$5,'Shots and Status'!$C$5)))),0),"-")</f>
        <v>-</v>
      </c>
      <c r="K693" s="36" t="str">
        <f>IFERROR(ROUNDUP(IF(AND($Q$1=FALSE,$S$3=FALSE),"-",IF(AND($Q$1=TRUE,$S$3=TRUE),"-",IF(AND($Q$1=TRUE,$S$1=TRUE,$S$4=FALSE),VLOOKUP($E693,'Status Thresholds'!$E:$AS,15,FALSE),IF(AND($Q$1=TRUE,$S$4=FALSE),VLOOKUP($E693,'Status Thresholds'!$E:$AS,5,FALSE), IF(AND($Q$1=TRUE,$S$1=TRUE,$S$4=TRUE),VLOOKUP($E693,'Status Thresholds'!$E:$AS,20,FALSE),IF(AND($Q$1=TRUE,$S$4=TRUE),VLOOKUP($E693,'Status Thresholds'!$E:$AS,10,FALSE),IF(AND($S$3=TRUE,$S$1=TRUE,$S$4=FALSE),VLOOKUP($E693,'Status Thresholds'!$E:$AS,35,FALSE),IF(AND($S$3=TRUE,$S$4=FALSE),VLOOKUP($E693,'Status Thresholds'!$E:$AS,25,FALSE),IF(AND($S$3=TRUE,$S$1=TRUE,$S$4=TRUE),VLOOKUP($E693,'Status Thresholds'!$E:$AS,40,FALSE),IF(AND($S$3=TRUE,$S$4=TRUE),VLOOKUP($E693,'Status Thresholds'!$E:$AS,30,FALSE),""))))))))/IF(OR($Q$3=TRUE,AND($Q$2=TRUE,$Q$7=TRUE),AND($Q$3=TRUE,$Q$7=TRUE))=TRUE,'Shots and Status'!$F$5,IF((OR($Q$2,$Q$7)=TRUE),'Shots and Status'!$D$5,'Shots and Status'!$C$5)))),0),"-")</f>
        <v>-</v>
      </c>
      <c r="L693" s="36" t="str">
        <f>IFERROR(IF(AND($Q$1=FALSE,$S$3=FALSE),"-",VLOOKUP($E693,'Status Thresholds'!$E:$AU,41,FALSE)),"-")</f>
        <v>-</v>
      </c>
      <c r="M693" s="36" t="str">
        <f>IFERROR(IF(AND($Q$1=FALSE,$S$3=FALSE),"-",VLOOKUP($E693,'Status Thresholds'!$E:$AU,42,FALSE)),"-")</f>
        <v>-</v>
      </c>
      <c r="N693" s="36" t="str">
        <f>IFERROR(IF(AND($Q$1=FALSE,$S$3=FALSE),"-",VLOOKUP($E693,'Status Thresholds'!$E:$AU,43,FALSE)),"-")</f>
        <v>-</v>
      </c>
    </row>
    <row r="694" spans="2:14" x14ac:dyDescent="0.25">
      <c r="B694" s="64" t="str">
        <f>VLOOKUP(C694,'Status Thresholds'!B:C,2,FALSE)</f>
        <v>MHGen</v>
      </c>
      <c r="C694" s="46" t="str">
        <f>IF(ISBLANK('KO Calc'!C690)=TRUE,"",'KO Calc'!C690)</f>
        <v>Shogun Ceanataur</v>
      </c>
      <c r="D694" s="60" t="s">
        <v>32</v>
      </c>
      <c r="E694" s="62" t="str">
        <f t="shared" si="19"/>
        <v>Shogun CeanataurSleep</v>
      </c>
      <c r="F694" s="59" t="s">
        <v>5</v>
      </c>
      <c r="G694" s="36" t="str">
        <f t="shared" si="20"/>
        <v>Shogun CeanataurSleep lvl 2</v>
      </c>
      <c r="H694" s="36" t="str">
        <f>IFERROR(ROUNDUP(IF(AND($Q$1=FALSE,$S$3=FALSE),"-",IF(AND($Q$1=TRUE,$S$3=TRUE),"-",IF(AND($Q$1=TRUE,$S$1=TRUE,$S$4=FALSE),VLOOKUP($E694,'Status Thresholds'!$E:$AS,12,FALSE),IF(AND($Q$1=TRUE,$S$4=FALSE),VLOOKUP($E694,'Status Thresholds'!$E:$AS,2,FALSE), IF(AND($Q$1=TRUE,$S$1=TRUE,$S$4=TRUE),VLOOKUP($E694,'Status Thresholds'!$E:$AS,17,FALSE),IF(AND($Q$1=TRUE,$S$4=TRUE),VLOOKUP($E694,'Status Thresholds'!$E:$AS,7,FALSE),IF(AND($S$3=TRUE,$S$1=TRUE,$S$4=FALSE),VLOOKUP($E694,'Status Thresholds'!$E:$AS,32,FALSE),IF(AND($S$3=TRUE,$S$4=FALSE),VLOOKUP($E694,'Status Thresholds'!$E:$AS,22,FALSE),IF(AND($S$3=TRUE,$S$1=TRUE,$S$4=TRUE),VLOOKUP($E694,'Status Thresholds'!$E:$AS,37,FALSE),IF(AND($S$3=TRUE,$S$4=TRUE),VLOOKUP($E694,'Status Thresholds'!$E:$AS,27,FALSE),""))))))))/IF(OR($Q$3=TRUE,AND($Q$2=TRUE,$Q$7=TRUE),AND($Q$3=TRUE,$Q$7=TRUE))=TRUE,'Shots and Status'!$F$5,IF((OR($Q$2,$Q$7)=TRUE),'Shots and Status'!$D$5,'Shots and Status'!$C$5)))),0),"-")</f>
        <v>-</v>
      </c>
      <c r="I694" s="36" t="str">
        <f>IFERROR(ROUNDUP(IF(AND($Q$1=FALSE,$S$3=FALSE),"-",IF(AND($Q$1=TRUE,$S$3=TRUE),"-",IF(AND($Q$1=TRUE,$S$1=TRUE,$S$4=FALSE),VLOOKUP($E694,'Status Thresholds'!$E:$AS,13,FALSE),IF(AND($Q$1=TRUE,$S$4=FALSE),VLOOKUP($E694,'Status Thresholds'!$E:$AS,3,FALSE), IF(AND($Q$1=TRUE,$S$1=TRUE,$S$4=TRUE),VLOOKUP($E694,'Status Thresholds'!$E:$AS,18,FALSE),IF(AND($Q$1=TRUE,$S$4=TRUE),VLOOKUP($E694,'Status Thresholds'!$E:$AS,8,FALSE),IF(AND($S$3=TRUE,$S$1=TRUE,$S$4=FALSE),VLOOKUP($E694,'Status Thresholds'!$E:$AS,33,FALSE),IF(AND($S$3=TRUE,$S$4=FALSE),VLOOKUP($E694,'Status Thresholds'!$E:$AS,23,FALSE),IF(AND($S$3=TRUE,$S$1=TRUE,$S$4=TRUE),VLOOKUP($E694,'Status Thresholds'!$E:$AS,38,FALSE),IF(AND($S$3=TRUE,$S$4=TRUE),VLOOKUP($E694,'Status Thresholds'!$E:$AS,28,FALSE),""))))))))/IF(OR($Q$3=TRUE,AND($Q$2=TRUE,$Q$7=TRUE),AND($Q$3=TRUE,$Q$7=TRUE))=TRUE,'Shots and Status'!$F$5,IF((OR($Q$2,$Q$7)=TRUE),'Shots and Status'!$D$5,'Shots and Status'!$C$5)))),0),"-")</f>
        <v>-</v>
      </c>
      <c r="J694" s="36" t="str">
        <f>IFERROR(ROUNDUP(IF(AND($Q$1=FALSE,$S$3=FALSE),"-",IF(AND($Q$1=TRUE,$S$3=TRUE),"-",IF(AND($Q$1=TRUE,$S$1=TRUE,$S$4=FALSE),VLOOKUP($E694,'Status Thresholds'!$E:$AS,14,FALSE),IF(AND($Q$1=TRUE,$S$4=FALSE),VLOOKUP($E694,'Status Thresholds'!$E:$AS,4,FALSE), IF(AND($Q$1=TRUE,$S$1=TRUE,$S$4=TRUE),VLOOKUP($E694,'Status Thresholds'!$E:$AS,19,FALSE),IF(AND($Q$1=TRUE,$S$4=TRUE),VLOOKUP($E694,'Status Thresholds'!$E:$AS,9,FALSE),IF(AND($S$3=TRUE,$S$1=TRUE,$S$4=FALSE),VLOOKUP($E694,'Status Thresholds'!$E:$AS,34,FALSE),IF(AND($S$3=TRUE,$S$4=FALSE),VLOOKUP($E694,'Status Thresholds'!$E:$AS,24,FALSE),IF(AND($S$3=TRUE,$S$1=TRUE,$S$4=TRUE),VLOOKUP($E694,'Status Thresholds'!$E:$AS,39,FALSE),IF(AND($S$3=TRUE,$S$4=TRUE),VLOOKUP($E694,'Status Thresholds'!$E:$AS,29,FALSE),""))))))))/IF(OR($Q$3=TRUE,AND($Q$2=TRUE,$Q$7=TRUE),AND($Q$3=TRUE,$Q$7=TRUE))=TRUE,'Shots and Status'!$F$5,IF((OR($Q$2,$Q$7)=TRUE),'Shots and Status'!$D$5,'Shots and Status'!$C$5)))),0),"-")</f>
        <v>-</v>
      </c>
      <c r="K694" s="36" t="str">
        <f>IFERROR(ROUNDUP(IF(AND($Q$1=FALSE,$S$3=FALSE),"-",IF(AND($Q$1=TRUE,$S$3=TRUE),"-",IF(AND($Q$1=TRUE,$S$1=TRUE,$S$4=FALSE),VLOOKUP($E694,'Status Thresholds'!$E:$AS,15,FALSE),IF(AND($Q$1=TRUE,$S$4=FALSE),VLOOKUP($E694,'Status Thresholds'!$E:$AS,5,FALSE), IF(AND($Q$1=TRUE,$S$1=TRUE,$S$4=TRUE),VLOOKUP($E694,'Status Thresholds'!$E:$AS,20,FALSE),IF(AND($Q$1=TRUE,$S$4=TRUE),VLOOKUP($E694,'Status Thresholds'!$E:$AS,10,FALSE),IF(AND($S$3=TRUE,$S$1=TRUE,$S$4=FALSE),VLOOKUP($E694,'Status Thresholds'!$E:$AS,35,FALSE),IF(AND($S$3=TRUE,$S$4=FALSE),VLOOKUP($E694,'Status Thresholds'!$E:$AS,25,FALSE),IF(AND($S$3=TRUE,$S$1=TRUE,$S$4=TRUE),VLOOKUP($E694,'Status Thresholds'!$E:$AS,40,FALSE),IF(AND($S$3=TRUE,$S$4=TRUE),VLOOKUP($E694,'Status Thresholds'!$E:$AS,30,FALSE),""))))))))/IF(OR($Q$3=TRUE,AND($Q$2=TRUE,$Q$7=TRUE),AND($Q$3=TRUE,$Q$7=TRUE))=TRUE,'Shots and Status'!$F$5,IF((OR($Q$2,$Q$7)=TRUE),'Shots and Status'!$D$5,'Shots and Status'!$C$5)))),0),"-")</f>
        <v>-</v>
      </c>
      <c r="L694" s="36" t="str">
        <f>IFERROR(IF(AND($Q$1=FALSE,$S$3=FALSE),"-",VLOOKUP($E694,'Status Thresholds'!$E:$AU,41,FALSE)),"-")</f>
        <v>-</v>
      </c>
      <c r="M694" s="36" t="str">
        <f>IFERROR(IF(AND($Q$1=FALSE,$S$3=FALSE),"-",VLOOKUP($E694,'Status Thresholds'!$E:$AU,42,FALSE)),"-")</f>
        <v>-</v>
      </c>
      <c r="N694" s="36" t="str">
        <f>IFERROR(IF(AND($Q$1=FALSE,$S$3=FALSE),"-",VLOOKUP($E694,'Status Thresholds'!$E:$AU,43,FALSE)),"-")</f>
        <v>-</v>
      </c>
    </row>
    <row r="695" spans="2:14" x14ac:dyDescent="0.25">
      <c r="B695" s="64" t="str">
        <f>VLOOKUP(C695,'Status Thresholds'!B:C,2,FALSE)</f>
        <v>MHGen</v>
      </c>
      <c r="C695" s="46" t="str">
        <f>IF(ISBLANK('KO Calc'!C691)=TRUE,"",'KO Calc'!C691)</f>
        <v>Shogun Ceanataur</v>
      </c>
      <c r="D695" s="58" t="s">
        <v>33</v>
      </c>
      <c r="E695" s="62" t="str">
        <f t="shared" si="19"/>
        <v>Shogun CeanataurPoison</v>
      </c>
      <c r="F695" s="59" t="s">
        <v>6</v>
      </c>
      <c r="G695" s="36" t="str">
        <f t="shared" si="20"/>
        <v>Shogun CeanataurPoison lvl 2</v>
      </c>
      <c r="H695" s="36" t="str">
        <f>IFERROR(ROUNDUP(IF(AND($Q$1=FALSE,$S$3=FALSE),"-",IF(AND($Q$1=TRUE,$S$3=TRUE),"-",IF(AND($Q$1=TRUE,$S$1=TRUE,$S$4=FALSE),VLOOKUP($E695,'Status Thresholds'!$E:$AS,12,FALSE),IF(AND($Q$1=TRUE,$S$4=FALSE),VLOOKUP($E695,'Status Thresholds'!$E:$AS,2,FALSE), IF(AND($Q$1=TRUE,$S$1=TRUE,$S$4=TRUE),VLOOKUP($E695,'Status Thresholds'!$E:$AS,17,FALSE),IF(AND($Q$1=TRUE,$S$4=TRUE),VLOOKUP($E695,'Status Thresholds'!$E:$AS,7,FALSE),IF(AND($S$3=TRUE,$S$1=TRUE,$S$4=FALSE),VLOOKUP($E695,'Status Thresholds'!$E:$AS,32,FALSE),IF(AND($S$3=TRUE,$S$4=FALSE),VLOOKUP($E695,'Status Thresholds'!$E:$AS,22,FALSE),IF(AND($S$3=TRUE,$S$1=TRUE,$S$4=TRUE),VLOOKUP($E695,'Status Thresholds'!$E:$AS,37,FALSE),IF(AND($S$3=TRUE,$S$4=TRUE),VLOOKUP($E695,'Status Thresholds'!$E:$AS,27,FALSE),""))))))))/IF(OR($Q$3=TRUE,AND($Q$2=TRUE,$Q$7=TRUE),AND($Q$3=TRUE,$Q$7=TRUE))=TRUE,'Shots and Status'!$F$5,IF((OR($Q$2,$Q$7)=TRUE),'Shots and Status'!$D$5,'Shots and Status'!$C$5)))),0),"-")</f>
        <v>-</v>
      </c>
      <c r="I695" s="36" t="str">
        <f>IFERROR(ROUNDUP(IF(AND($Q$1=FALSE,$S$3=FALSE),"-",IF(AND($Q$1=TRUE,$S$3=TRUE),"-",IF(AND($Q$1=TRUE,$S$1=TRUE,$S$4=FALSE),VLOOKUP($E695,'Status Thresholds'!$E:$AS,13,FALSE),IF(AND($Q$1=TRUE,$S$4=FALSE),VLOOKUP($E695,'Status Thresholds'!$E:$AS,3,FALSE), IF(AND($Q$1=TRUE,$S$1=TRUE,$S$4=TRUE),VLOOKUP($E695,'Status Thresholds'!$E:$AS,18,FALSE),IF(AND($Q$1=TRUE,$S$4=TRUE),VLOOKUP($E695,'Status Thresholds'!$E:$AS,8,FALSE),IF(AND($S$3=TRUE,$S$1=TRUE,$S$4=FALSE),VLOOKUP($E695,'Status Thresholds'!$E:$AS,33,FALSE),IF(AND($S$3=TRUE,$S$4=FALSE),VLOOKUP($E695,'Status Thresholds'!$E:$AS,23,FALSE),IF(AND($S$3=TRUE,$S$1=TRUE,$S$4=TRUE),VLOOKUP($E695,'Status Thresholds'!$E:$AS,38,FALSE),IF(AND($S$3=TRUE,$S$4=TRUE),VLOOKUP($E695,'Status Thresholds'!$E:$AS,28,FALSE),""))))))))/IF(OR($Q$3=TRUE,AND($Q$2=TRUE,$Q$7=TRUE),AND($Q$3=TRUE,$Q$7=TRUE))=TRUE,'Shots and Status'!$F$5,IF((OR($Q$2,$Q$7)=TRUE),'Shots and Status'!$D$5,'Shots and Status'!$C$5)))),0),"-")</f>
        <v>-</v>
      </c>
      <c r="J695" s="36" t="str">
        <f>IFERROR(ROUNDUP(IF(AND($Q$1=FALSE,$S$3=FALSE),"-",IF(AND($Q$1=TRUE,$S$3=TRUE),"-",IF(AND($Q$1=TRUE,$S$1=TRUE,$S$4=FALSE),VLOOKUP($E695,'Status Thresholds'!$E:$AS,14,FALSE),IF(AND($Q$1=TRUE,$S$4=FALSE),VLOOKUP($E695,'Status Thresholds'!$E:$AS,4,FALSE), IF(AND($Q$1=TRUE,$S$1=TRUE,$S$4=TRUE),VLOOKUP($E695,'Status Thresholds'!$E:$AS,19,FALSE),IF(AND($Q$1=TRUE,$S$4=TRUE),VLOOKUP($E695,'Status Thresholds'!$E:$AS,9,FALSE),IF(AND($S$3=TRUE,$S$1=TRUE,$S$4=FALSE),VLOOKUP($E695,'Status Thresholds'!$E:$AS,34,FALSE),IF(AND($S$3=TRUE,$S$4=FALSE),VLOOKUP($E695,'Status Thresholds'!$E:$AS,24,FALSE),IF(AND($S$3=TRUE,$S$1=TRUE,$S$4=TRUE),VLOOKUP($E695,'Status Thresholds'!$E:$AS,39,FALSE),IF(AND($S$3=TRUE,$S$4=TRUE),VLOOKUP($E695,'Status Thresholds'!$E:$AS,29,FALSE),""))))))))/IF(OR($Q$3=TRUE,AND($Q$2=TRUE,$Q$7=TRUE),AND($Q$3=TRUE,$Q$7=TRUE))=TRUE,'Shots and Status'!$F$5,IF((OR($Q$2,$Q$7)=TRUE),'Shots and Status'!$D$5,'Shots and Status'!$C$5)))),0),"-")</f>
        <v>-</v>
      </c>
      <c r="K695" s="36" t="str">
        <f>IFERROR(ROUNDUP(IF(AND($Q$1=FALSE,$S$3=FALSE),"-",IF(AND($Q$1=TRUE,$S$3=TRUE),"-",IF(AND($Q$1=TRUE,$S$1=TRUE,$S$4=FALSE),VLOOKUP($E695,'Status Thresholds'!$E:$AS,15,FALSE),IF(AND($Q$1=TRUE,$S$4=FALSE),VLOOKUP($E695,'Status Thresholds'!$E:$AS,5,FALSE), IF(AND($Q$1=TRUE,$S$1=TRUE,$S$4=TRUE),VLOOKUP($E695,'Status Thresholds'!$E:$AS,20,FALSE),IF(AND($Q$1=TRUE,$S$4=TRUE),VLOOKUP($E695,'Status Thresholds'!$E:$AS,10,FALSE),IF(AND($S$3=TRUE,$S$1=TRUE,$S$4=FALSE),VLOOKUP($E695,'Status Thresholds'!$E:$AS,35,FALSE),IF(AND($S$3=TRUE,$S$4=FALSE),VLOOKUP($E695,'Status Thresholds'!$E:$AS,25,FALSE),IF(AND($S$3=TRUE,$S$1=TRUE,$S$4=TRUE),VLOOKUP($E695,'Status Thresholds'!$E:$AS,40,FALSE),IF(AND($S$3=TRUE,$S$4=TRUE),VLOOKUP($E695,'Status Thresholds'!$E:$AS,30,FALSE),""))))))))/IF(OR($Q$3=TRUE,AND($Q$2=TRUE,$Q$7=TRUE),AND($Q$3=TRUE,$Q$7=TRUE))=TRUE,'Shots and Status'!$F$5,IF((OR($Q$2,$Q$7)=TRUE),'Shots and Status'!$D$5,'Shots and Status'!$C$5)))),0),"-")</f>
        <v>-</v>
      </c>
      <c r="L695" s="36" t="str">
        <f>IFERROR(IF(AND($Q$1=FALSE,$S$3=FALSE),"-",VLOOKUP($E695,'Status Thresholds'!$E:$AU,41,FALSE)),"-")</f>
        <v>-</v>
      </c>
      <c r="M695" s="36" t="str">
        <f>IFERROR(IF(AND($Q$1=FALSE,$S$3=FALSE),"-",VLOOKUP($E695,'Status Thresholds'!$E:$AU,42,FALSE)),"-")</f>
        <v>-</v>
      </c>
      <c r="N695" s="36" t="str">
        <f>IFERROR(IF(AND($Q$1=FALSE,$S$3=FALSE),"-",VLOOKUP($E695,'Status Thresholds'!$E:$AU,43,FALSE)),"-")</f>
        <v>-</v>
      </c>
    </row>
    <row r="696" spans="2:14" x14ac:dyDescent="0.25">
      <c r="B696" s="64" t="str">
        <f>VLOOKUP(C696,'Status Thresholds'!B:C,2,FALSE)</f>
        <v>MHGen</v>
      </c>
      <c r="C696" s="46" t="str">
        <f>IF(ISBLANK('KO Calc'!C692)=TRUE,"",'KO Calc'!C692)</f>
        <v>Shogun Ceanataur</v>
      </c>
      <c r="D696" s="57" t="s">
        <v>22</v>
      </c>
      <c r="E696" s="62" t="str">
        <f t="shared" si="19"/>
        <v>Shogun CeanataurExhaust</v>
      </c>
      <c r="F696" s="36" t="s">
        <v>8</v>
      </c>
      <c r="G696" s="36" t="str">
        <f t="shared" si="20"/>
        <v>Shogun CeanataurExhaust lvl 2</v>
      </c>
      <c r="H696" s="36" t="str">
        <f>IFERROR(ROUNDUP(IF(AND($Q$1=FALSE,$S$3=FALSE),"-",IF(AND($Q$1=TRUE,$S$3=TRUE),"-",IF(AND($Q$1=TRUE,$S$1=TRUE,$S$4=FALSE),VLOOKUP($E696,'Status Thresholds'!$E:$AS,12,FALSE),IF(AND($Q$1=TRUE,$S$4=FALSE),VLOOKUP($E696,'Status Thresholds'!$E:$AS,2,FALSE), IF(AND($Q$1=TRUE,$S$1=TRUE,$S$4=TRUE),VLOOKUP($E696,'Status Thresholds'!$E:$AS,17,FALSE),IF(AND($Q$1=TRUE,$S$4=TRUE),VLOOKUP($E696,'Status Thresholds'!$E:$AS,7,FALSE),IF(AND($S$3=TRUE,$S$1=TRUE,$S$4=FALSE),VLOOKUP($E696,'Status Thresholds'!$E:$AS,32,FALSE),IF(AND($S$3=TRUE,$S$4=FALSE),VLOOKUP($E696,'Status Thresholds'!$E:$AS,22,FALSE),IF(AND($S$3=TRUE,$S$1=TRUE,$S$4=TRUE),VLOOKUP($E696,'Status Thresholds'!$E:$AS,37,FALSE),IF(AND($S$3=TRUE,$S$4=TRUE),VLOOKUP($E696,'Status Thresholds'!$E:$AS,27,FALSE),""))))))))/IF(OR($Q$3=TRUE,AND($Q$2=TRUE,$Q$7=TRUE),AND($Q$3=TRUE,$Q$7=TRUE))=TRUE,'Shots and Status'!$F$5,IF((OR($Q$2,$Q$7)=TRUE),'Shots and Status'!$D$5,'Shots and Status'!$C$5)))),0),"-")</f>
        <v>-</v>
      </c>
      <c r="I696" s="36" t="str">
        <f>IFERROR(ROUNDUP(IF(AND($Q$1=FALSE,$S$3=FALSE),"-",IF(AND($Q$1=TRUE,$S$3=TRUE),"-",IF(AND($Q$1=TRUE,$S$1=TRUE,$S$4=FALSE),VLOOKUP($E696,'Status Thresholds'!$E:$AS,13,FALSE),IF(AND($Q$1=TRUE,$S$4=FALSE),VLOOKUP($E696,'Status Thresholds'!$E:$AS,3,FALSE), IF(AND($Q$1=TRUE,$S$1=TRUE,$S$4=TRUE),VLOOKUP($E696,'Status Thresholds'!$E:$AS,18,FALSE),IF(AND($Q$1=TRUE,$S$4=TRUE),VLOOKUP($E696,'Status Thresholds'!$E:$AS,8,FALSE),IF(AND($S$3=TRUE,$S$1=TRUE,$S$4=FALSE),VLOOKUP($E696,'Status Thresholds'!$E:$AS,33,FALSE),IF(AND($S$3=TRUE,$S$4=FALSE),VLOOKUP($E696,'Status Thresholds'!$E:$AS,23,FALSE),IF(AND($S$3=TRUE,$S$1=TRUE,$S$4=TRUE),VLOOKUP($E696,'Status Thresholds'!$E:$AS,38,FALSE),IF(AND($S$3=TRUE,$S$4=TRUE),VLOOKUP($E696,'Status Thresholds'!$E:$AS,28,FALSE),""))))))))/IF(OR($Q$3=TRUE,AND($Q$2=TRUE,$Q$7=TRUE),AND($Q$3=TRUE,$Q$7=TRUE))=TRUE,'Shots and Status'!$F$5,IF((OR($Q$2,$Q$7)=TRUE),'Shots and Status'!$D$5,'Shots and Status'!$C$5)))),0),"-")</f>
        <v>-</v>
      </c>
      <c r="J696" s="36" t="str">
        <f>IFERROR(ROUNDUP(IF(AND($Q$1=FALSE,$S$3=FALSE),"-",IF(AND($Q$1=TRUE,$S$3=TRUE),"-",IF(AND($Q$1=TRUE,$S$1=TRUE,$S$4=FALSE),VLOOKUP($E696,'Status Thresholds'!$E:$AS,14,FALSE),IF(AND($Q$1=TRUE,$S$4=FALSE),VLOOKUP($E696,'Status Thresholds'!$E:$AS,4,FALSE), IF(AND($Q$1=TRUE,$S$1=TRUE,$S$4=TRUE),VLOOKUP($E696,'Status Thresholds'!$E:$AS,19,FALSE),IF(AND($Q$1=TRUE,$S$4=TRUE),VLOOKUP($E696,'Status Thresholds'!$E:$AS,9,FALSE),IF(AND($S$3=TRUE,$S$1=TRUE,$S$4=FALSE),VLOOKUP($E696,'Status Thresholds'!$E:$AS,34,FALSE),IF(AND($S$3=TRUE,$S$4=FALSE),VLOOKUP($E696,'Status Thresholds'!$E:$AS,24,FALSE),IF(AND($S$3=TRUE,$S$1=TRUE,$S$4=TRUE),VLOOKUP($E696,'Status Thresholds'!$E:$AS,39,FALSE),IF(AND($S$3=TRUE,$S$4=TRUE),VLOOKUP($E696,'Status Thresholds'!$E:$AS,29,FALSE),""))))))))/IF(OR($Q$3=TRUE,AND($Q$2=TRUE,$Q$7=TRUE),AND($Q$3=TRUE,$Q$7=TRUE))=TRUE,'Shots and Status'!$F$5,IF((OR($Q$2,$Q$7)=TRUE),'Shots and Status'!$D$5,'Shots and Status'!$C$5)))),0),"-")</f>
        <v>-</v>
      </c>
      <c r="K696" s="36" t="str">
        <f>IFERROR(ROUNDUP(IF(AND($Q$1=FALSE,$S$3=FALSE),"-",IF(AND($Q$1=TRUE,$S$3=TRUE),"-",IF(AND($Q$1=TRUE,$S$1=TRUE,$S$4=FALSE),VLOOKUP($E696,'Status Thresholds'!$E:$AS,15,FALSE),IF(AND($Q$1=TRUE,$S$4=FALSE),VLOOKUP($E696,'Status Thresholds'!$E:$AS,5,FALSE), IF(AND($Q$1=TRUE,$S$1=TRUE,$S$4=TRUE),VLOOKUP($E696,'Status Thresholds'!$E:$AS,20,FALSE),IF(AND($Q$1=TRUE,$S$4=TRUE),VLOOKUP($E696,'Status Thresholds'!$E:$AS,10,FALSE),IF(AND($S$3=TRUE,$S$1=TRUE,$S$4=FALSE),VLOOKUP($E696,'Status Thresholds'!$E:$AS,35,FALSE),IF(AND($S$3=TRUE,$S$4=FALSE),VLOOKUP($E696,'Status Thresholds'!$E:$AS,25,FALSE),IF(AND($S$3=TRUE,$S$1=TRUE,$S$4=TRUE),VLOOKUP($E696,'Status Thresholds'!$E:$AS,40,FALSE),IF(AND($S$3=TRUE,$S$4=TRUE),VLOOKUP($E696,'Status Thresholds'!$E:$AS,30,FALSE),""))))))))/IF(OR($Q$3=TRUE,AND($Q$2=TRUE,$Q$7=TRUE),AND($Q$3=TRUE,$Q$7=TRUE))=TRUE,'Shots and Status'!$F$5,IF((OR($Q$2,$Q$7)=TRUE),'Shots and Status'!$D$5,'Shots and Status'!$C$5)))),0),"-")</f>
        <v>-</v>
      </c>
      <c r="L696" s="36" t="str">
        <f>IFERROR(IF(AND($Q$1=FALSE,$S$3=FALSE),"-",VLOOKUP($E696,'Status Thresholds'!$E:$AU,41,FALSE)),"-")</f>
        <v>-</v>
      </c>
      <c r="M696" s="36" t="str">
        <f>IFERROR(IF(AND($Q$1=FALSE,$S$3=FALSE),"-",VLOOKUP($E696,'Status Thresholds'!$E:$AU,42,FALSE)),"-")</f>
        <v>-</v>
      </c>
      <c r="N696" s="36" t="str">
        <f>IFERROR(IF(AND($Q$1=FALSE,$S$3=FALSE),"-",VLOOKUP($E696,'Status Thresholds'!$E:$AU,43,FALSE)),"-")</f>
        <v>-</v>
      </c>
    </row>
    <row r="697" spans="2:14" x14ac:dyDescent="0.25">
      <c r="B697" s="64" t="str">
        <f>VLOOKUP(C697,'Status Thresholds'!B:C,2,FALSE)</f>
        <v>MHGen</v>
      </c>
      <c r="C697" s="46" t="str">
        <f>IF(ISBLANK('KO Calc'!C693)=TRUE,"",'KO Calc'!C693)</f>
        <v>Shogun Ceanataur</v>
      </c>
      <c r="D697" s="67" t="s">
        <v>14</v>
      </c>
      <c r="E697" s="62" t="str">
        <f t="shared" si="19"/>
        <v>Shogun CeanataurKO</v>
      </c>
      <c r="F697" s="36" t="s">
        <v>21</v>
      </c>
      <c r="G697" s="36" t="str">
        <f t="shared" si="20"/>
        <v>Shogun CeanataurTriblast</v>
      </c>
      <c r="H697" s="36" t="str">
        <f>IF(AND($Q$1=FALSE,$S$3=FALSE),"-",IF(AND($Q$1=TRUE,$S$3=TRUE),"-",IF(AND($Q$1=FALSE,$S$3=FALSE),"-",IF(AND($Q$1=TRUE,$S$1=TRUE,$S$4=FALSE)=TRUE,IF(OR($Q$4=TRUE,$Q$5=TRUE,$S$2=TRUE),VLOOKUP($G697,'KO Calc'!$H:$AW,12,FALSE),VLOOKUP($G697,'KO Calc'!$H703:$AW703,12,FALSE)),IF(AND($Q$1=TRUE,$S$4=FALSE),IF(OR($Q$4=TRUE,$Q$5=TRUE,$S$2=TRUE),VLOOKUP($G697,'KO Calc'!$H:$AW,2,FALSE),VLOOKUP($G697,'KO Calc'!$H703:$AW703,2,FALSE)),
IF(AND($Q$1=TRUE,$S$1=TRUE,$S$4=TRUE)=TRUE,IF(OR($Q$4=TRUE,$Q$5=TRUE,$S$2=TRUE),VLOOKUP($G697,'KO Calc'!$H:$AW,17,FALSE),VLOOKUP($G697,'KO Calc'!$H703:$AW703,17,FALSE)),IF(AND($Q$1=TRUE,$S$4=TRUE),IF(OR($Q$4=TRUE,$Q$5=TRUE,$S$2=TRUE),VLOOKUP($G697,'KO Calc'!$H:$AW,7,FALSE),VLOOKUP($G697,'KO Calc'!$H703:$AW703,7,FALSE)),
IF(AND($S$3=TRUE,$S$1=TRUE,$S$4=FALSE)=TRUE,IF(OR($Q$4=TRUE,$Q$5=TRUE,$S$2=TRUE),VLOOKUP($G697,'KO Calc'!$H:$AW,32,FALSE),VLOOKUP($G697,'KO Calc'!$H703:$AW703,32,FALSE)),IF(AND($S$3=TRUE,$S$4=FALSE),IF(OR($Q$4=TRUE,$Q$5=TRUE,$S$2=TRUE),VLOOKUP($G697,'KO Calc'!$H:$AW,22,FALSE),VLOOKUP($G697,'KO Calc'!$H703:$AW703,22,FALSE)),
IF(AND($S$3=TRUE,$S$1=TRUE,$S$4=TRUE)=TRUE,IF(OR($Q$4=TRUE,$Q$5=TRUE,$S$2=TRUE),VLOOKUP($G697,'KO Calc'!$H:$AW,37,FALSE),VLOOKUP($G697,'KO Calc'!$H703:$AW703,37,FALSE)),IF(AND($S$3=TRUE,$S$4=TRUE),IF(OR($Q$4=TRUE,$Q$5=TRUE,$S$2=TRUE),VLOOKUP($G697,'KO Calc'!$H:$AW,27,FALSE),VLOOKUP($G697,'KO Calc'!$H703:$AW703,27,FALSE)))))))))))))</f>
        <v>-</v>
      </c>
      <c r="I697" s="36" t="str">
        <f>IF(AND($Q$1=FALSE,$S$3=FALSE),"-",IF(AND($Q$1=TRUE,$S$3=TRUE),"-",IF(AND($Q$1=FALSE,$S$3=FALSE),"-",IF(AND($Q$1=TRUE,$S$1=TRUE,$S$4=FALSE)=TRUE,IF(OR($Q$4=TRUE,$Q$5=TRUE,$S$2=TRUE),VLOOKUP($G697,'KO Calc'!$H:$AW,13,FALSE),VLOOKUP($G697,'KO Calc'!$H703:$AW703,13,FALSE)),IF(AND($Q$1=TRUE,$S$4=FALSE),IF(OR($Q$4=TRUE,$Q$5=TRUE,$S$2=TRUE),VLOOKUP($G697,'KO Calc'!$H:$AW,3,FALSE),VLOOKUP($G697,'KO Calc'!$H703:$AW703,3,FALSE)),
IF(AND($Q$1=TRUE,$S$1=TRUE,$S$4=TRUE)=TRUE,IF(OR($Q$4=TRUE,$Q$5=TRUE,$S$2=TRUE),VLOOKUP($G697,'KO Calc'!$H:$AW,18,FALSE),VLOOKUP($G697,'KO Calc'!$H703:$AW703,18,FALSE)),IF(AND($Q$1=TRUE,$S$4=TRUE),IF(OR($Q$4=TRUE,$Q$5=TRUE,$S$2=TRUE),VLOOKUP($G697,'KO Calc'!$H:$AW,8,FALSE),VLOOKUP($G697,'KO Calc'!$H703:$AW703,8,FALSE)),
IF(AND($S$3=TRUE,$S$1=TRUE,$S$4=FALSE)=TRUE,IF(OR($Q$4=TRUE,$Q$5=TRUE,$S$2=TRUE),VLOOKUP($G697,'KO Calc'!$H:$AW,33,FALSE),VLOOKUP($G697,'KO Calc'!$H703:$AW703,33,FALSE)),IF(AND($S$3=TRUE,$S$4=FALSE),IF(OR($Q$4=TRUE,$Q$5=TRUE,$S$2=TRUE),VLOOKUP($G697,'KO Calc'!$H:$AW,23,FALSE),VLOOKUP($G697,'KO Calc'!$H703:$AW703,23,FALSE)),
IF(AND($S$3=TRUE,$S$1=TRUE,$S$4=TRUE)=TRUE,IF(OR($Q$4=TRUE,$Q$5=TRUE,$S$2=TRUE),VLOOKUP($G697,'KO Calc'!$H:$AW,38,FALSE),VLOOKUP($G697,'KO Calc'!$H703:$AW703,38,FALSE)),IF(AND($S$3=TRUE,$S$4=TRUE),IF(OR($Q$4=TRUE,$Q$5=TRUE,$S$2=TRUE),VLOOKUP($G697,'KO Calc'!$H:$AW,28,FALSE),VLOOKUP($G697,'KO Calc'!$H703:$AW703,28,FALSE)))))))))))))</f>
        <v>-</v>
      </c>
      <c r="J697" s="36" t="str">
        <f>IF(AND($Q$1=FALSE,$S$3=FALSE),"-",IF(AND($Q$1=TRUE,$S$3=TRUE),"-",IF(AND($Q$1=FALSE,$S$3=FALSE),"-",IF(AND($Q$1=TRUE,$S$1=TRUE,$S$4=FALSE)=TRUE,IF(OR($Q$4=TRUE,$Q$5=TRUE,$S$2=TRUE),VLOOKUP($G697,'KO Calc'!$H:$AW,FALSE),VLOOKUP($G697,'KO Calc'!$H703:$AW703,14,FALSE)),IF(AND($Q$1=TRUE,$S$4=FALSE),IF(OR($Q$4=TRUE,$Q$5=TRUE,$S$2=TRUE),VLOOKUP($G697,'KO Calc'!$H:$AW,4,FALSE),VLOOKUP($G697,'KO Calc'!$H703:$AW703,4,FALSE)),
IF(AND($Q$1=TRUE,$S$1=TRUE,$S$4=TRUE)=TRUE,IF(OR($Q$4=TRUE,$Q$5=TRUE,$S$2=TRUE),VLOOKUP($G697,'KO Calc'!$H:$AW,19,FALSE),VLOOKUP($G697,'KO Calc'!$H703:$AW703,19,FALSE)),IF(AND($Q$1=TRUE,$S$4=TRUE),IF(OR($Q$4=TRUE,$Q$5=TRUE,$S$2=TRUE),VLOOKUP($G697,'KO Calc'!$H:$AW,9,FALSE),VLOOKUP($G697,'KO Calc'!$H703:$AW703,9,FALSE)),
IF(AND($S$3=TRUE,$S$1=TRUE,$S$4=FALSE)=TRUE,IF(OR($Q$4=TRUE,$Q$5=TRUE,$S$2=TRUE),VLOOKUP($G697,'KO Calc'!$H:$AW,34,FALSE),VLOOKUP($G697,'KO Calc'!$H703:$AW703,34,FALSE)),IF(AND($S$3=TRUE,$S$4=FALSE),IF(OR($Q$4=TRUE,$Q$5=TRUE,$S$2=TRUE),VLOOKUP($G697,'KO Calc'!$H:$AW,24,FALSE),VLOOKUP($G697,'KO Calc'!$H703:$AW703,24,FALSE)),
IF(AND($S$3=TRUE,$S$1=TRUE,$S$4=TRUE)=TRUE,IF(OR($Q$4=TRUE,$Q$5=TRUE,$S$2=TRUE),VLOOKUP($G697,'KO Calc'!$H:$AW,39,FALSE),VLOOKUP($G697,'KO Calc'!$H703:$AW703,39,FALSE)),IF(AND($S$3=TRUE,$S$4=TRUE),IF(OR($Q$4=TRUE,$Q$5=TRUE,$S$2=TRUE),VLOOKUP($G697,'KO Calc'!$H:$AW,29,FALSE),VLOOKUP($G697,'KO Calc'!$H703:$AW703,29,FALSE)))))))))))))</f>
        <v>-</v>
      </c>
      <c r="K697" s="36" t="str">
        <f>IF(AND($Q$1=FALSE,$S$3=FALSE),"-",IF(AND($Q$1=TRUE,$S$3=TRUE),"-",IF(AND($Q$1=FALSE,$S$3=FALSE),"-",IF(AND($Q$1=TRUE,$S$1=TRUE,$S$4=FALSE)=TRUE,IF(OR($Q$4=TRUE,$Q$5=TRUE,$S$2=TRUE),VLOOKUP($G697,'KO Calc'!$H:$AW,15,FALSE),VLOOKUP($G697,'KO Calc'!$H703:$AW703,15,FALSE)),IF(AND($Q$1=TRUE,$S$4=FALSE),IF(OR($Q$4=TRUE,$Q$5=TRUE,$S$2=TRUE),VLOOKUP($G697,'KO Calc'!$H:$AW,5,FALSE),VLOOKUP($G697,'KO Calc'!$H703:$AW703,5,FALSE)),
IF(AND($Q$1=TRUE,$S$1=TRUE,$S$4=TRUE)=TRUE,IF(OR($Q$4=TRUE,$Q$5=TRUE,$S$2=TRUE),VLOOKUP($G697,'KO Calc'!$H:$AW,20,FALSE),VLOOKUP($G697,'KO Calc'!$H703:$AW703,20,FALSE)),IF(AND($Q$1=TRUE,$S$4=TRUE),IF(OR($Q$4=TRUE,$Q$5=TRUE,$S$2=TRUE),VLOOKUP($G697,'KO Calc'!$H:$AW,10,FALSE),VLOOKUP($G697,'KO Calc'!$H703:$AW703,10,FALSE)),
IF(AND($S$3=TRUE,$S$1=TRUE,$S$4=FALSE)=TRUE,IF(OR($Q$4=TRUE,$Q$5=TRUE,$S$2=TRUE),VLOOKUP($G697,'KO Calc'!$H:$AW,35,FALSE),VLOOKUP($G697,'KO Calc'!$H703:$AW703,35,FALSE)),IF(AND($S$3=TRUE,$S$4=FALSE),IF(OR($Q$4=TRUE,$Q$5=TRUE,$S$2=TRUE),VLOOKUP($G697,'KO Calc'!$H:$AW,25,FALSE),VLOOKUP($G697,'KO Calc'!$H703:$AW703,25,FALSE)),
IF(AND($S$3=TRUE,$S$1=TRUE,$S$4=TRUE)=TRUE,IF(OR($Q$4=TRUE,$Q$5=TRUE,$S$2=TRUE),VLOOKUP($G697,'KO Calc'!$H:$AW,40,FALSE),VLOOKUP($G697,'KO Calc'!$H703:$AW703,40,FALSE)),IF(AND($S$3=TRUE,$S$4=TRUE),IF(OR($Q$4=TRUE,$Q$5=TRUE,$S$2=TRUE),VLOOKUP($G697,'KO Calc'!$H:$AW,30,FALSE),VLOOKUP($G697,'KO Calc'!$H703:$AW703,30,FALSE)))))))))))))</f>
        <v>-</v>
      </c>
      <c r="L697" s="36" t="str">
        <f>IFERROR(IF(AND($Q$1=FALSE,$S$3=FALSE),"-",VLOOKUP($E697,'Status Thresholds'!$E:$AU,41,FALSE)),"-")</f>
        <v>-</v>
      </c>
      <c r="M697" s="36" t="str">
        <f>IFERROR(IF(AND($Q$1=FALSE,$S$3=FALSE),"-",VLOOKUP($E697,'Status Thresholds'!$E:$AU,42,FALSE)),"-")</f>
        <v>-</v>
      </c>
      <c r="N697" s="36" t="str">
        <f>IFERROR(IF(AND($Q$1=FALSE,$S$3=FALSE),"-",VLOOKUP($E697,'Status Thresholds'!$E:$AU,43,FALSE)),"-")</f>
        <v>-</v>
      </c>
    </row>
    <row r="698" spans="2:14" x14ac:dyDescent="0.25">
      <c r="B698" s="64" t="str">
        <f>VLOOKUP(C698,'Status Thresholds'!B:C,2,FALSE)</f>
        <v>MHGen</v>
      </c>
      <c r="C698" s="46" t="str">
        <f>IF(ISBLANK('KO Calc'!C694)=TRUE,"",'KO Calc'!C694)</f>
        <v>Shogun Ceanataur</v>
      </c>
      <c r="D698" s="78" t="s">
        <v>207</v>
      </c>
      <c r="E698" s="62" t="str">
        <f t="shared" si="19"/>
        <v>Shogun CeanataurShock Trap</v>
      </c>
      <c r="F698" t="s">
        <v>13</v>
      </c>
      <c r="G698" s="36" t="str">
        <f t="shared" si="20"/>
        <v>Shogun CeanataurCrag 3</v>
      </c>
      <c r="H698" s="36" t="str">
        <f>IF(AND($Q$1=FALSE,$S$3=FALSE),"-",IF(AND($Q$1=TRUE,$S$3=TRUE),"-",IF(AND($Q$1=FALSE,$S$3=FALSE),"-",IF(AND($Q$1=TRUE,$S$1=TRUE,$S$4=FALSE)=TRUE,IF(OR($Q$4=TRUE,$Q$5=TRUE,$S$2=TRUE),VLOOKUP($G698,'KO Calc'!$H:$AW,12,FALSE),VLOOKUP($G698,'KO Calc'!$H704:$AW704,12,FALSE)),IF(AND($Q$1=TRUE,$S$4=FALSE),IF(OR($Q$4=TRUE,$Q$5=TRUE,$S$2=TRUE),VLOOKUP($G698,'KO Calc'!$H:$AW,2,FALSE),VLOOKUP($G698,'KO Calc'!$H704:$AW704,2,FALSE)),
IF(AND($Q$1=TRUE,$S$1=TRUE,$S$4=TRUE)=TRUE,IF(OR($Q$4=TRUE,$Q$5=TRUE,$S$2=TRUE),VLOOKUP($G698,'KO Calc'!$H:$AW,17,FALSE),VLOOKUP($G698,'KO Calc'!$H704:$AW704,17,FALSE)),IF(AND($Q$1=TRUE,$S$4=TRUE),IF(OR($Q$4=TRUE,$Q$5=TRUE,$S$2=TRUE),VLOOKUP($G698,'KO Calc'!$H:$AW,7,FALSE),VLOOKUP($G698,'KO Calc'!$H704:$AW704,7,FALSE)),
IF(AND($S$3=TRUE,$S$1=TRUE,$S$4=FALSE)=TRUE,IF(OR($Q$4=TRUE,$Q$5=TRUE,$S$2=TRUE),VLOOKUP($G698,'KO Calc'!$H:$AW,32,FALSE),VLOOKUP($G698,'KO Calc'!$H704:$AW704,32,FALSE)),IF(AND($S$3=TRUE,$S$4=FALSE),IF(OR($Q$4=TRUE,$Q$5=TRUE,$S$2=TRUE),VLOOKUP($G698,'KO Calc'!$H:$AW,22,FALSE),VLOOKUP($G698,'KO Calc'!$H704:$AW704,22,FALSE)),
IF(AND($S$3=TRUE,$S$1=TRUE,$S$4=TRUE)=TRUE,IF(OR($Q$4=TRUE,$Q$5=TRUE,$S$2=TRUE),VLOOKUP($G698,'KO Calc'!$H:$AW,37,FALSE),VLOOKUP($G698,'KO Calc'!$H704:$AW704,37,FALSE)),IF(AND($S$3=TRUE,$S$4=TRUE),IF(OR($Q$4=TRUE,$Q$5=TRUE,$S$2=TRUE),VLOOKUP($G698,'KO Calc'!$H:$AW,27,FALSE),VLOOKUP($G698,'KO Calc'!$H704:$AW704,27,FALSE)))))))))))))</f>
        <v>-</v>
      </c>
      <c r="I698" s="36" t="str">
        <f>IF(AND($Q$1=FALSE,$S$3=FALSE),"-",IF(AND($Q$1=TRUE,$S$3=TRUE),"-",IF(AND($Q$1=FALSE,$S$3=FALSE),"-",IF(AND($Q$1=TRUE,$S$1=TRUE,$S$4=FALSE)=TRUE,IF(OR($Q$4=TRUE,$Q$5=TRUE,$S$2=TRUE),VLOOKUP($G698,'KO Calc'!$H:$AW,13,FALSE),VLOOKUP($G698,'KO Calc'!$H704:$AW704,13,FALSE)),IF(AND($Q$1=TRUE,$S$4=FALSE),IF(OR($Q$4=TRUE,$Q$5=TRUE,$S$2=TRUE),VLOOKUP($G698,'KO Calc'!$H:$AW,3,FALSE),VLOOKUP($G698,'KO Calc'!$H704:$AW704,3,FALSE)),
IF(AND($Q$1=TRUE,$S$1=TRUE,$S$4=TRUE)=TRUE,IF(OR($Q$4=TRUE,$Q$5=TRUE,$S$2=TRUE),VLOOKUP($G698,'KO Calc'!$H:$AW,18,FALSE),VLOOKUP($G698,'KO Calc'!$H704:$AW704,18,FALSE)),IF(AND($Q$1=TRUE,$S$4=TRUE),IF(OR($Q$4=TRUE,$Q$5=TRUE,$S$2=TRUE),VLOOKUP($G698,'KO Calc'!$H:$AW,8,FALSE),VLOOKUP($G698,'KO Calc'!$H704:$AW704,8,FALSE)),
IF(AND($S$3=TRUE,$S$1=TRUE,$S$4=FALSE)=TRUE,IF(OR($Q$4=TRUE,$Q$5=TRUE,$S$2=TRUE),VLOOKUP($G698,'KO Calc'!$H:$AW,33,FALSE),VLOOKUP($G698,'KO Calc'!$H704:$AW704,33,FALSE)),IF(AND($S$3=TRUE,$S$4=FALSE),IF(OR($Q$4=TRUE,$Q$5=TRUE,$S$2=TRUE),VLOOKUP($G698,'KO Calc'!$H:$AW,23,FALSE),VLOOKUP($G698,'KO Calc'!$H704:$AW704,23,FALSE)),
IF(AND($S$3=TRUE,$S$1=TRUE,$S$4=TRUE)=TRUE,IF(OR($Q$4=TRUE,$Q$5=TRUE,$S$2=TRUE),VLOOKUP($G698,'KO Calc'!$H:$AW,38,FALSE),VLOOKUP($G698,'KO Calc'!$H704:$AW704,38,FALSE)),IF(AND($S$3=TRUE,$S$4=TRUE),IF(OR($Q$4=TRUE,$Q$5=TRUE,$S$2=TRUE),VLOOKUP($G698,'KO Calc'!$H:$AW,28,FALSE),VLOOKUP($G698,'KO Calc'!$H704:$AW704,28,FALSE)))))))))))))</f>
        <v>-</v>
      </c>
      <c r="J698" s="36" t="str">
        <f>IF(AND($Q$1=FALSE,$S$3=FALSE),"-",IF(AND($Q$1=TRUE,$S$3=TRUE),"-",IF(AND($Q$1=FALSE,$S$3=FALSE),"-",IF(AND($Q$1=TRUE,$S$1=TRUE,$S$4=FALSE)=TRUE,IF(OR($Q$4=TRUE,$Q$5=TRUE,$S$2=TRUE),VLOOKUP($G698,'KO Calc'!$H:$AW,FALSE),VLOOKUP($G698,'KO Calc'!$H704:$AW704,14,FALSE)),IF(AND($Q$1=TRUE,$S$4=FALSE),IF(OR($Q$4=TRUE,$Q$5=TRUE,$S$2=TRUE),VLOOKUP($G698,'KO Calc'!$H:$AW,4,FALSE),VLOOKUP($G698,'KO Calc'!$H704:$AW704,4,FALSE)),
IF(AND($Q$1=TRUE,$S$1=TRUE,$S$4=TRUE)=TRUE,IF(OR($Q$4=TRUE,$Q$5=TRUE,$S$2=TRUE),VLOOKUP($G698,'KO Calc'!$H:$AW,19,FALSE),VLOOKUP($G698,'KO Calc'!$H704:$AW704,19,FALSE)),IF(AND($Q$1=TRUE,$S$4=TRUE),IF(OR($Q$4=TRUE,$Q$5=TRUE,$S$2=TRUE),VLOOKUP($G698,'KO Calc'!$H:$AW,9,FALSE),VLOOKUP($G698,'KO Calc'!$H704:$AW704,9,FALSE)),
IF(AND($S$3=TRUE,$S$1=TRUE,$S$4=FALSE)=TRUE,IF(OR($Q$4=TRUE,$Q$5=TRUE,$S$2=TRUE),VLOOKUP($G698,'KO Calc'!$H:$AW,34,FALSE),VLOOKUP($G698,'KO Calc'!$H704:$AW704,34,FALSE)),IF(AND($S$3=TRUE,$S$4=FALSE),IF(OR($Q$4=TRUE,$Q$5=TRUE,$S$2=TRUE),VLOOKUP($G698,'KO Calc'!$H:$AW,24,FALSE),VLOOKUP($G698,'KO Calc'!$H704:$AW704,24,FALSE)),
IF(AND($S$3=TRUE,$S$1=TRUE,$S$4=TRUE)=TRUE,IF(OR($Q$4=TRUE,$Q$5=TRUE,$S$2=TRUE),VLOOKUP($G698,'KO Calc'!$H:$AW,39,FALSE),VLOOKUP($G698,'KO Calc'!$H704:$AW704,39,FALSE)),IF(AND($S$3=TRUE,$S$4=TRUE),IF(OR($Q$4=TRUE,$Q$5=TRUE,$S$2=TRUE),VLOOKUP($G698,'KO Calc'!$H:$AW,29,FALSE),VLOOKUP($G698,'KO Calc'!$H704:$AW704,29,FALSE)))))))))))))</f>
        <v>-</v>
      </c>
      <c r="K698" s="36" t="str">
        <f>IF(AND($Q$1=FALSE,$S$3=FALSE),"-",IF(AND($Q$1=TRUE,$S$3=TRUE),"-",IF(AND($Q$1=FALSE,$S$3=FALSE),"-",IF(AND($Q$1=TRUE,$S$1=TRUE,$S$4=FALSE)=TRUE,IF(OR($Q$4=TRUE,$Q$5=TRUE,$S$2=TRUE),VLOOKUP($G698,'KO Calc'!$H:$AW,15,FALSE),VLOOKUP($G698,'KO Calc'!$H704:$AW704,15,FALSE)),IF(AND($Q$1=TRUE,$S$4=FALSE),IF(OR($Q$4=TRUE,$Q$5=TRUE,$S$2=TRUE),VLOOKUP($G698,'KO Calc'!$H:$AW,5,FALSE),VLOOKUP($G698,'KO Calc'!$H704:$AW704,5,FALSE)),
IF(AND($Q$1=TRUE,$S$1=TRUE,$S$4=TRUE)=TRUE,IF(OR($Q$4=TRUE,$Q$5=TRUE,$S$2=TRUE),VLOOKUP($G698,'KO Calc'!$H:$AW,20,FALSE),VLOOKUP($G698,'KO Calc'!$H704:$AW704,20,FALSE)),IF(AND($Q$1=TRUE,$S$4=TRUE),IF(OR($Q$4=TRUE,$Q$5=TRUE,$S$2=TRUE),VLOOKUP($G698,'KO Calc'!$H:$AW,10,FALSE),VLOOKUP($G698,'KO Calc'!$H704:$AW704,10,FALSE)),
IF(AND($S$3=TRUE,$S$1=TRUE,$S$4=FALSE)=TRUE,IF(OR($Q$4=TRUE,$Q$5=TRUE,$S$2=TRUE),VLOOKUP($G698,'KO Calc'!$H:$AW,35,FALSE),VLOOKUP($G698,'KO Calc'!$H704:$AW704,35,FALSE)),IF(AND($S$3=TRUE,$S$4=FALSE),IF(OR($Q$4=TRUE,$Q$5=TRUE,$S$2=TRUE),VLOOKUP($G698,'KO Calc'!$H:$AW,25,FALSE),VLOOKUP($G698,'KO Calc'!$H704:$AW704,25,FALSE)),
IF(AND($S$3=TRUE,$S$1=TRUE,$S$4=TRUE)=TRUE,IF(OR($Q$4=TRUE,$Q$5=TRUE,$S$2=TRUE),VLOOKUP($G698,'KO Calc'!$H:$AW,40,FALSE),VLOOKUP($G698,'KO Calc'!$H704:$AW704,40,FALSE)),IF(AND($S$3=TRUE,$S$4=TRUE),IF(OR($Q$4=TRUE,$Q$5=TRUE,$S$2=TRUE),VLOOKUP($G698,'KO Calc'!$H:$AW,30,FALSE),VLOOKUP($G698,'KO Calc'!$H704:$AW704,30,FALSE)))))))))))))</f>
        <v>-</v>
      </c>
      <c r="L698" s="36" t="str">
        <f>IFERROR(IF(AND($Q$1=FALSE,$S$3=FALSE),"-",VLOOKUP($E698,'Status Thresholds'!$E:$AU,43,FALSE)),"-")</f>
        <v>-</v>
      </c>
      <c r="M698" s="36" t="str">
        <f>IFERROR(IF(AND($Q$1=FALSE,$S$3=FALSE),"-",VLOOKUP($E698,'Status Thresholds'!$E:$AU,41,FALSE)),"-")</f>
        <v>-</v>
      </c>
      <c r="N698" s="36" t="str">
        <f>IFERROR(IF(AND($Q$1=FALSE,$S$3=FALSE),"-",VLOOKUP($E698,'Status Thresholds'!$E:$AU,42,FALSE)),"-")</f>
        <v>-</v>
      </c>
    </row>
    <row r="699" spans="2:14" x14ac:dyDescent="0.25">
      <c r="B699" s="64" t="str">
        <f>VLOOKUP(C699,'Status Thresholds'!B:C,2,FALSE)</f>
        <v>MHGen</v>
      </c>
      <c r="C699" s="46" t="str">
        <f>IF(ISBLANK('KO Calc'!C695)=TRUE,"",'KO Calc'!C695)</f>
        <v>Shogun Ceanataur</v>
      </c>
      <c r="D699" s="78" t="s">
        <v>213</v>
      </c>
      <c r="E699" s="62" t="str">
        <f t="shared" si="19"/>
        <v>Shogun CeanataurPitfall Trap</v>
      </c>
      <c r="F699" t="s">
        <v>12</v>
      </c>
      <c r="G699" s="36" t="str">
        <f t="shared" si="20"/>
        <v>Shogun CeanataurCrag 2</v>
      </c>
      <c r="H699" s="36" t="str">
        <f>IF(AND($Q$1=FALSE,$S$3=FALSE),"-",IF(AND($Q$1=TRUE,$S$3=TRUE),"-",IF(AND($Q$1=FALSE,$S$3=FALSE),"-",IF(AND($Q$1=TRUE,$S$1=TRUE,$S$4=FALSE)=TRUE,IF(OR($Q$4=TRUE,$Q$5=TRUE,$S$2=TRUE),VLOOKUP($G699,'KO Calc'!$H:$AW,12,FALSE),VLOOKUP($G699,'KO Calc'!$H705:$AW705,12,FALSE)),IF(AND($Q$1=TRUE,$S$4=FALSE),IF(OR($Q$4=TRUE,$Q$5=TRUE,$S$2=TRUE),VLOOKUP($G699,'KO Calc'!$H:$AW,2,FALSE),VLOOKUP($G699,'KO Calc'!$H705:$AW705,2,FALSE)),
IF(AND($Q$1=TRUE,$S$1=TRUE,$S$4=TRUE)=TRUE,IF(OR($Q$4=TRUE,$Q$5=TRUE,$S$2=TRUE),VLOOKUP($G699,'KO Calc'!$H:$AW,17,FALSE),VLOOKUP($G699,'KO Calc'!$H705:$AW705,17,FALSE)),IF(AND($Q$1=TRUE,$S$4=TRUE),IF(OR($Q$4=TRUE,$Q$5=TRUE,$S$2=TRUE),VLOOKUP($G699,'KO Calc'!$H:$AW,7,FALSE),VLOOKUP($G699,'KO Calc'!$H705:$AW705,7,FALSE)),
IF(AND($S$3=TRUE,$S$1=TRUE,$S$4=FALSE)=TRUE,IF(OR($Q$4=TRUE,$Q$5=TRUE,$S$2=TRUE),VLOOKUP($G699,'KO Calc'!$H:$AW,32,FALSE),VLOOKUP($G699,'KO Calc'!$H705:$AW705,32,FALSE)),IF(AND($S$3=TRUE,$S$4=FALSE),IF(OR($Q$4=TRUE,$Q$5=TRUE,$S$2=TRUE),VLOOKUP($G699,'KO Calc'!$H:$AW,22,FALSE),VLOOKUP($G699,'KO Calc'!$H705:$AW705,22,FALSE)),
IF(AND($S$3=TRUE,$S$1=TRUE,$S$4=TRUE)=TRUE,IF(OR($Q$4=TRUE,$Q$5=TRUE,$S$2=TRUE),VLOOKUP($G699,'KO Calc'!$H:$AW,37,FALSE),VLOOKUP($G699,'KO Calc'!$H705:$AW705,37,FALSE)),IF(AND($S$3=TRUE,$S$4=TRUE),IF(OR($Q$4=TRUE,$Q$5=TRUE,$S$2=TRUE),VLOOKUP($G699,'KO Calc'!$H:$AW,27,FALSE),VLOOKUP($G699,'KO Calc'!$H705:$AW705,27,FALSE)))))))))))))</f>
        <v>-</v>
      </c>
      <c r="I699" s="36" t="str">
        <f>IF(AND($Q$1=FALSE,$S$3=FALSE),"-",IF(AND($Q$1=TRUE,$S$3=TRUE),"-",IF(AND($Q$1=FALSE,$S$3=FALSE),"-",IF(AND($Q$1=TRUE,$S$1=TRUE,$S$4=FALSE)=TRUE,IF(OR($Q$4=TRUE,$Q$5=TRUE,$S$2=TRUE),VLOOKUP($G699,'KO Calc'!$H:$AW,13,FALSE),VLOOKUP($G699,'KO Calc'!$H705:$AW705,13,FALSE)),IF(AND($Q$1=TRUE,$S$4=FALSE),IF(OR($Q$4=TRUE,$Q$5=TRUE,$S$2=TRUE),VLOOKUP($G699,'KO Calc'!$H:$AW,3,FALSE),VLOOKUP($G699,'KO Calc'!$H705:$AW705,3,FALSE)),
IF(AND($Q$1=TRUE,$S$1=TRUE,$S$4=TRUE)=TRUE,IF(OR($Q$4=TRUE,$Q$5=TRUE,$S$2=TRUE),VLOOKUP($G699,'KO Calc'!$H:$AW,18,FALSE),VLOOKUP($G699,'KO Calc'!$H705:$AW705,18,FALSE)),IF(AND($Q$1=TRUE,$S$4=TRUE),IF(OR($Q$4=TRUE,$Q$5=TRUE,$S$2=TRUE),VLOOKUP($G699,'KO Calc'!$H:$AW,8,FALSE),VLOOKUP($G699,'KO Calc'!$H705:$AW705,8,FALSE)),
IF(AND($S$3=TRUE,$S$1=TRUE,$S$4=FALSE)=TRUE,IF(OR($Q$4=TRUE,$Q$5=TRUE,$S$2=TRUE),VLOOKUP($G699,'KO Calc'!$H:$AW,33,FALSE),VLOOKUP($G699,'KO Calc'!$H705:$AW705,33,FALSE)),IF(AND($S$3=TRUE,$S$4=FALSE),IF(OR($Q$4=TRUE,$Q$5=TRUE,$S$2=TRUE),VLOOKUP($G699,'KO Calc'!$H:$AW,23,FALSE),VLOOKUP($G699,'KO Calc'!$H705:$AW705,23,FALSE)),
IF(AND($S$3=TRUE,$S$1=TRUE,$S$4=TRUE)=TRUE,IF(OR($Q$4=TRUE,$Q$5=TRUE,$S$2=TRUE),VLOOKUP($G699,'KO Calc'!$H:$AW,38,FALSE),VLOOKUP($G699,'KO Calc'!$H705:$AW705,38,FALSE)),IF(AND($S$3=TRUE,$S$4=TRUE),IF(OR($Q$4=TRUE,$Q$5=TRUE,$S$2=TRUE),VLOOKUP($G699,'KO Calc'!$H:$AW,28,FALSE),VLOOKUP($G699,'KO Calc'!$H705:$AW705,28,FALSE)))))))))))))</f>
        <v>-</v>
      </c>
      <c r="J699" s="36" t="str">
        <f>IF(AND($Q$1=FALSE,$S$3=FALSE),"-",IF(AND($Q$1=TRUE,$S$3=TRUE),"-",IF(AND($Q$1=FALSE,$S$3=FALSE),"-",IF(AND($Q$1=TRUE,$S$1=TRUE,$S$4=FALSE)=TRUE,IF(OR($Q$4=TRUE,$Q$5=TRUE,$S$2=TRUE),VLOOKUP($G699,'KO Calc'!$H:$AW,FALSE),VLOOKUP($G699,'KO Calc'!$H705:$AW705,14,FALSE)),IF(AND($Q$1=TRUE,$S$4=FALSE),IF(OR($Q$4=TRUE,$Q$5=TRUE,$S$2=TRUE),VLOOKUP($G699,'KO Calc'!$H:$AW,4,FALSE),VLOOKUP($G699,'KO Calc'!$H705:$AW705,4,FALSE)),
IF(AND($Q$1=TRUE,$S$1=TRUE,$S$4=TRUE)=TRUE,IF(OR($Q$4=TRUE,$Q$5=TRUE,$S$2=TRUE),VLOOKUP($G699,'KO Calc'!$H:$AW,19,FALSE),VLOOKUP($G699,'KO Calc'!$H705:$AW705,19,FALSE)),IF(AND($Q$1=TRUE,$S$4=TRUE),IF(OR($Q$4=TRUE,$Q$5=TRUE,$S$2=TRUE),VLOOKUP($G699,'KO Calc'!$H:$AW,9,FALSE),VLOOKUP($G699,'KO Calc'!$H705:$AW705,9,FALSE)),
IF(AND($S$3=TRUE,$S$1=TRUE,$S$4=FALSE)=TRUE,IF(OR($Q$4=TRUE,$Q$5=TRUE,$S$2=TRUE),VLOOKUP($G699,'KO Calc'!$H:$AW,34,FALSE),VLOOKUP($G699,'KO Calc'!$H705:$AW705,34,FALSE)),IF(AND($S$3=TRUE,$S$4=FALSE),IF(OR($Q$4=TRUE,$Q$5=TRUE,$S$2=TRUE),VLOOKUP($G699,'KO Calc'!$H:$AW,24,FALSE),VLOOKUP($G699,'KO Calc'!$H705:$AW705,24,FALSE)),
IF(AND($S$3=TRUE,$S$1=TRUE,$S$4=TRUE)=TRUE,IF(OR($Q$4=TRUE,$Q$5=TRUE,$S$2=TRUE),VLOOKUP($G699,'KO Calc'!$H:$AW,39,FALSE),VLOOKUP($G699,'KO Calc'!$H705:$AW705,39,FALSE)),IF(AND($S$3=TRUE,$S$4=TRUE),IF(OR($Q$4=TRUE,$Q$5=TRUE,$S$2=TRUE),VLOOKUP($G699,'KO Calc'!$H:$AW,29,FALSE),VLOOKUP($G699,'KO Calc'!$H705:$AW705,29,FALSE)))))))))))))</f>
        <v>-</v>
      </c>
      <c r="K699" s="36" t="str">
        <f>IF(AND($Q$1=FALSE,$S$3=FALSE),"-",IF(AND($Q$1=TRUE,$S$3=TRUE),"-",IF(AND($Q$1=FALSE,$S$3=FALSE),"-",IF(AND($Q$1=TRUE,$S$1=TRUE,$S$4=FALSE)=TRUE,IF(OR($Q$4=TRUE,$Q$5=TRUE,$S$2=TRUE),VLOOKUP($G699,'KO Calc'!$H:$AW,15,FALSE),VLOOKUP($G699,'KO Calc'!$H705:$AW705,15,FALSE)),IF(AND($Q$1=TRUE,$S$4=FALSE),IF(OR($Q$4=TRUE,$Q$5=TRUE,$S$2=TRUE),VLOOKUP($G699,'KO Calc'!$H:$AW,5,FALSE),VLOOKUP($G699,'KO Calc'!$H705:$AW705,5,FALSE)),
IF(AND($Q$1=TRUE,$S$1=TRUE,$S$4=TRUE)=TRUE,IF(OR($Q$4=TRUE,$Q$5=TRUE,$S$2=TRUE),VLOOKUP($G699,'KO Calc'!$H:$AW,20,FALSE),VLOOKUP($G699,'KO Calc'!$H705:$AW705,20,FALSE)),IF(AND($Q$1=TRUE,$S$4=TRUE),IF(OR($Q$4=TRUE,$Q$5=TRUE,$S$2=TRUE),VLOOKUP($G699,'KO Calc'!$H:$AW,10,FALSE),VLOOKUP($G699,'KO Calc'!$H705:$AW705,10,FALSE)),
IF(AND($S$3=TRUE,$S$1=TRUE,$S$4=FALSE)=TRUE,IF(OR($Q$4=TRUE,$Q$5=TRUE,$S$2=TRUE),VLOOKUP($G699,'KO Calc'!$H:$AW,35,FALSE),VLOOKUP($G699,'KO Calc'!$H705:$AW705,35,FALSE)),IF(AND($S$3=TRUE,$S$4=FALSE),IF(OR($Q$4=TRUE,$Q$5=TRUE,$S$2=TRUE),VLOOKUP($G699,'KO Calc'!$H:$AW,25,FALSE),VLOOKUP($G699,'KO Calc'!$H705:$AW705,25,FALSE)),
IF(AND($S$3=TRUE,$S$1=TRUE,$S$4=TRUE)=TRUE,IF(OR($Q$4=TRUE,$Q$5=TRUE,$S$2=TRUE),VLOOKUP($G699,'KO Calc'!$H:$AW,40,FALSE),VLOOKUP($G699,'KO Calc'!$H705:$AW705,40,FALSE)),IF(AND($S$3=TRUE,$S$4=TRUE),IF(OR($Q$4=TRUE,$Q$5=TRUE,$S$2=TRUE),VLOOKUP($G699,'KO Calc'!$H:$AW,30,FALSE),VLOOKUP($G699,'KO Calc'!$H705:$AW705,30,FALSE)))))))))))))</f>
        <v>-</v>
      </c>
      <c r="L699" s="36" t="str">
        <f>IFERROR(IF(AND($Q$1=FALSE,$S$3=FALSE),"-",VLOOKUP($E699,'Status Thresholds'!$E:$AU,43,FALSE)),"-")</f>
        <v>-</v>
      </c>
      <c r="M699" s="36" t="str">
        <f>IFERROR(IF(AND($Q$1=FALSE,$S$3=FALSE),"-",VLOOKUP($E699,'Status Thresholds'!$E:$AU,41,FALSE)),"-")</f>
        <v>-</v>
      </c>
      <c r="N699" s="36" t="str">
        <f>IFERROR(IF(AND($Q$1=FALSE,$S$3=FALSE),"-",VLOOKUP($E699,'Status Thresholds'!$E:$AU,42,FALSE)),"-")</f>
        <v>-</v>
      </c>
    </row>
    <row r="700" spans="2:14" x14ac:dyDescent="0.25">
      <c r="B700" s="64" t="str">
        <f>VLOOKUP(C700,'Status Thresholds'!B:C,2,FALSE)</f>
        <v>MHGen</v>
      </c>
      <c r="C700" s="46" t="str">
        <f>IF(ISBLANK('KO Calc'!C696)=TRUE,"",'KO Calc'!C696)</f>
        <v>Shogun Ceanataur</v>
      </c>
      <c r="D700" s="78"/>
      <c r="E700" s="62" t="str">
        <f t="shared" si="19"/>
        <v>Shogun Ceanataur</v>
      </c>
      <c r="F700" t="s">
        <v>11</v>
      </c>
      <c r="G700" s="36" t="str">
        <f t="shared" si="20"/>
        <v>Shogun CeanataurCrag 1</v>
      </c>
      <c r="H700" s="36" t="str">
        <f>IF(AND($Q$1=FALSE,$S$3=FALSE),"-",IF(AND($Q$1=TRUE,$S$3=TRUE),"-",IF(AND($Q$1=FALSE,$S$3=FALSE),"-",IF(AND($Q$1=TRUE,$S$1=TRUE,$S$4=FALSE)=TRUE,IF(OR($Q$4=TRUE,$Q$5=TRUE,$S$2=TRUE),VLOOKUP($G700,'KO Calc'!$H:$AW,12,FALSE),VLOOKUP($G700,'KO Calc'!$H706:$AW706,12,FALSE)),IF(AND($Q$1=TRUE,$S$4=FALSE),IF(OR($Q$4=TRUE,$Q$5=TRUE,$S$2=TRUE),VLOOKUP($G700,'KO Calc'!$H:$AW,2,FALSE),VLOOKUP($G700,'KO Calc'!$H706:$AW706,2,FALSE)),
IF(AND($Q$1=TRUE,$S$1=TRUE,$S$4=TRUE)=TRUE,IF(OR($Q$4=TRUE,$Q$5=TRUE,$S$2=TRUE),VLOOKUP($G700,'KO Calc'!$H:$AW,17,FALSE),VLOOKUP($G700,'KO Calc'!$H706:$AW706,17,FALSE)),IF(AND($Q$1=TRUE,$S$4=TRUE),IF(OR($Q$4=TRUE,$Q$5=TRUE,$S$2=TRUE),VLOOKUP($G700,'KO Calc'!$H:$AW,7,FALSE),VLOOKUP($G700,'KO Calc'!$H706:$AW706,7,FALSE)),
IF(AND($S$3=TRUE,$S$1=TRUE,$S$4=FALSE)=TRUE,IF(OR($Q$4=TRUE,$Q$5=TRUE,$S$2=TRUE),VLOOKUP($G700,'KO Calc'!$H:$AW,32,FALSE),VLOOKUP($G700,'KO Calc'!$H706:$AW706,32,FALSE)),IF(AND($S$3=TRUE,$S$4=FALSE),IF(OR($Q$4=TRUE,$Q$5=TRUE,$S$2=TRUE),VLOOKUP($G700,'KO Calc'!$H:$AW,22,FALSE),VLOOKUP($G700,'KO Calc'!$H706:$AW706,22,FALSE)),
IF(AND($S$3=TRUE,$S$1=TRUE,$S$4=TRUE)=TRUE,IF(OR($Q$4=TRUE,$Q$5=TRUE,$S$2=TRUE),VLOOKUP($G700,'KO Calc'!$H:$AW,37,FALSE),VLOOKUP($G700,'KO Calc'!$H706:$AW706,37,FALSE)),IF(AND($S$3=TRUE,$S$4=TRUE),IF(OR($Q$4=TRUE,$Q$5=TRUE,$S$2=TRUE),VLOOKUP($G700,'KO Calc'!$H:$AW,27,FALSE),VLOOKUP($G700,'KO Calc'!$H706:$AW706,27,FALSE)))))))))))))</f>
        <v>-</v>
      </c>
      <c r="I700" s="36" t="str">
        <f>IF(AND($Q$1=FALSE,$S$3=FALSE),"-",IF(AND($Q$1=TRUE,$S$3=TRUE),"-",IF(AND($Q$1=FALSE,$S$3=FALSE),"-",IF(AND($Q$1=TRUE,$S$1=TRUE,$S$4=FALSE)=TRUE,IF(OR($Q$4=TRUE,$Q$5=TRUE,$S$2=TRUE),VLOOKUP($G700,'KO Calc'!$H:$AW,13,FALSE),VLOOKUP($G700,'KO Calc'!$H706:$AW706,13,FALSE)),IF(AND($Q$1=TRUE,$S$4=FALSE),IF(OR($Q$4=TRUE,$Q$5=TRUE,$S$2=TRUE),VLOOKUP($G700,'KO Calc'!$H:$AW,3,FALSE),VLOOKUP($G700,'KO Calc'!$H706:$AW706,3,FALSE)),
IF(AND($Q$1=TRUE,$S$1=TRUE,$S$4=TRUE)=TRUE,IF(OR($Q$4=TRUE,$Q$5=TRUE,$S$2=TRUE),VLOOKUP($G700,'KO Calc'!$H:$AW,18,FALSE),VLOOKUP($G700,'KO Calc'!$H706:$AW706,18,FALSE)),IF(AND($Q$1=TRUE,$S$4=TRUE),IF(OR($Q$4=TRUE,$Q$5=TRUE,$S$2=TRUE),VLOOKUP($G700,'KO Calc'!$H:$AW,8,FALSE),VLOOKUP($G700,'KO Calc'!$H706:$AW706,8,FALSE)),
IF(AND($S$3=TRUE,$S$1=TRUE,$S$4=FALSE)=TRUE,IF(OR($Q$4=TRUE,$Q$5=TRUE,$S$2=TRUE),VLOOKUP($G700,'KO Calc'!$H:$AW,33,FALSE),VLOOKUP($G700,'KO Calc'!$H706:$AW706,33,FALSE)),IF(AND($S$3=TRUE,$S$4=FALSE),IF(OR($Q$4=TRUE,$Q$5=TRUE,$S$2=TRUE),VLOOKUP($G700,'KO Calc'!$H:$AW,23,FALSE),VLOOKUP($G700,'KO Calc'!$H706:$AW706,23,FALSE)),
IF(AND($S$3=TRUE,$S$1=TRUE,$S$4=TRUE)=TRUE,IF(OR($Q$4=TRUE,$Q$5=TRUE,$S$2=TRUE),VLOOKUP($G700,'KO Calc'!$H:$AW,38,FALSE),VLOOKUP($G700,'KO Calc'!$H706:$AW706,38,FALSE)),IF(AND($S$3=TRUE,$S$4=TRUE),IF(OR($Q$4=TRUE,$Q$5=TRUE,$S$2=TRUE),VLOOKUP($G700,'KO Calc'!$H:$AW,28,FALSE),VLOOKUP($G700,'KO Calc'!$H706:$AW706,28,FALSE)))))))))))))</f>
        <v>-</v>
      </c>
      <c r="J700" s="36" t="str">
        <f>IF(AND($Q$1=FALSE,$S$3=FALSE),"-",IF(AND($Q$1=TRUE,$S$3=TRUE),"-",IF(AND($Q$1=FALSE,$S$3=FALSE),"-",IF(AND($Q$1=TRUE,$S$1=TRUE,$S$4=FALSE)=TRUE,IF(OR($Q$4=TRUE,$Q$5=TRUE,$S$2=TRUE),VLOOKUP($G700,'KO Calc'!$H:$AW,FALSE),VLOOKUP($G700,'KO Calc'!$H706:$AW706,14,FALSE)),IF(AND($Q$1=TRUE,$S$4=FALSE),IF(OR($Q$4=TRUE,$Q$5=TRUE,$S$2=TRUE),VLOOKUP($G700,'KO Calc'!$H:$AW,4,FALSE),VLOOKUP($G700,'KO Calc'!$H706:$AW706,4,FALSE)),
IF(AND($Q$1=TRUE,$S$1=TRUE,$S$4=TRUE)=TRUE,IF(OR($Q$4=TRUE,$Q$5=TRUE,$S$2=TRUE),VLOOKUP($G700,'KO Calc'!$H:$AW,19,FALSE),VLOOKUP($G700,'KO Calc'!$H706:$AW706,19,FALSE)),IF(AND($Q$1=TRUE,$S$4=TRUE),IF(OR($Q$4=TRUE,$Q$5=TRUE,$S$2=TRUE),VLOOKUP($G700,'KO Calc'!$H:$AW,9,FALSE),VLOOKUP($G700,'KO Calc'!$H706:$AW706,9,FALSE)),
IF(AND($S$3=TRUE,$S$1=TRUE,$S$4=FALSE)=TRUE,IF(OR($Q$4=TRUE,$Q$5=TRUE,$S$2=TRUE),VLOOKUP($G700,'KO Calc'!$H:$AW,34,FALSE),VLOOKUP($G700,'KO Calc'!$H706:$AW706,34,FALSE)),IF(AND($S$3=TRUE,$S$4=FALSE),IF(OR($Q$4=TRUE,$Q$5=TRUE,$S$2=TRUE),VLOOKUP($G700,'KO Calc'!$H:$AW,24,FALSE),VLOOKUP($G700,'KO Calc'!$H706:$AW706,24,FALSE)),
IF(AND($S$3=TRUE,$S$1=TRUE,$S$4=TRUE)=TRUE,IF(OR($Q$4=TRUE,$Q$5=TRUE,$S$2=TRUE),VLOOKUP($G700,'KO Calc'!$H:$AW,39,FALSE),VLOOKUP($G700,'KO Calc'!$H706:$AW706,39,FALSE)),IF(AND($S$3=TRUE,$S$4=TRUE),IF(OR($Q$4=TRUE,$Q$5=TRUE,$S$2=TRUE),VLOOKUP($G700,'KO Calc'!$H:$AW,29,FALSE),VLOOKUP($G700,'KO Calc'!$H706:$AW706,29,FALSE)))))))))))))</f>
        <v>-</v>
      </c>
      <c r="K700" s="36" t="str">
        <f>IF(AND($Q$1=FALSE,$S$3=FALSE),"-",IF(AND($Q$1=TRUE,$S$3=TRUE),"-",IF(AND($Q$1=FALSE,$S$3=FALSE),"-",IF(AND($Q$1=TRUE,$S$1=TRUE,$S$4=FALSE)=TRUE,IF(OR($Q$4=TRUE,$Q$5=TRUE,$S$2=TRUE),VLOOKUP($G700,'KO Calc'!$H:$AW,15,FALSE),VLOOKUP($G700,'KO Calc'!$H706:$AW706,15,FALSE)),IF(AND($Q$1=TRUE,$S$4=FALSE),IF(OR($Q$4=TRUE,$Q$5=TRUE,$S$2=TRUE),VLOOKUP($G700,'KO Calc'!$H:$AW,5,FALSE),VLOOKUP($G700,'KO Calc'!$H706:$AW706,5,FALSE)),
IF(AND($Q$1=TRUE,$S$1=TRUE,$S$4=TRUE)=TRUE,IF(OR($Q$4=TRUE,$Q$5=TRUE,$S$2=TRUE),VLOOKUP($G700,'KO Calc'!$H:$AW,20,FALSE),VLOOKUP($G700,'KO Calc'!$H706:$AW706,20,FALSE)),IF(AND($Q$1=TRUE,$S$4=TRUE),IF(OR($Q$4=TRUE,$Q$5=TRUE,$S$2=TRUE),VLOOKUP($G700,'KO Calc'!$H:$AW,10,FALSE),VLOOKUP($G700,'KO Calc'!$H706:$AW706,10,FALSE)),
IF(AND($S$3=TRUE,$S$1=TRUE,$S$4=FALSE)=TRUE,IF(OR($Q$4=TRUE,$Q$5=TRUE,$S$2=TRUE),VLOOKUP($G700,'KO Calc'!$H:$AW,35,FALSE),VLOOKUP($G700,'KO Calc'!$H706:$AW706,35,FALSE)),IF(AND($S$3=TRUE,$S$4=FALSE),IF(OR($Q$4=TRUE,$Q$5=TRUE,$S$2=TRUE),VLOOKUP($G700,'KO Calc'!$H:$AW,25,FALSE),VLOOKUP($G700,'KO Calc'!$H706:$AW706,25,FALSE)),
IF(AND($S$3=TRUE,$S$1=TRUE,$S$4=TRUE)=TRUE,IF(OR($Q$4=TRUE,$Q$5=TRUE,$S$2=TRUE),VLOOKUP($G700,'KO Calc'!$H:$AW,40,FALSE),VLOOKUP($G700,'KO Calc'!$H706:$AW706,40,FALSE)),IF(AND($S$3=TRUE,$S$4=TRUE),IF(OR($Q$4=TRUE,$Q$5=TRUE,$S$2=TRUE),VLOOKUP($G700,'KO Calc'!$H:$AW,30,FALSE),VLOOKUP($G700,'KO Calc'!$H706:$AW706,30,FALSE)))))))))))))</f>
        <v>-</v>
      </c>
      <c r="L700" s="36" t="str">
        <f>IFERROR(VLOOKUP($E700,'Status Thresholds'!$E:$AS,41,FALSE),"-")</f>
        <v>-</v>
      </c>
    </row>
    <row r="701" spans="2:14" x14ac:dyDescent="0.25">
      <c r="B701" s="64" t="str">
        <f>VLOOKUP(C701,'Status Thresholds'!B:C,2,FALSE)</f>
        <v>MHGen</v>
      </c>
      <c r="C701" s="46" t="str">
        <f>IF(ISBLANK('KO Calc'!C697)=TRUE,"",'KO Calc'!C697)</f>
        <v>Shogun Ceanataur</v>
      </c>
      <c r="D701" s="78"/>
      <c r="E701" s="62" t="str">
        <f t="shared" si="19"/>
        <v>Shogun Ceanataur</v>
      </c>
      <c r="G701" s="36" t="str">
        <f t="shared" si="20"/>
        <v>Shogun Ceanataur</v>
      </c>
      <c r="L701" s="36" t="str">
        <f>IFERROR(VLOOKUP($E701,'Status Thresholds'!$E:$AS,41,FALSE),"-")</f>
        <v>-</v>
      </c>
    </row>
    <row r="702" spans="2:14" x14ac:dyDescent="0.25">
      <c r="B702" s="64" t="str">
        <f>VLOOKUP(C702,'Status Thresholds'!B:C,2,FALSE)</f>
        <v>Deviant</v>
      </c>
      <c r="C702" s="46" t="str">
        <f>IF(ISBLANK('KO Calc'!C698)=TRUE,"",'KO Calc'!C698)</f>
        <v>Silverwind Nargacuga</v>
      </c>
      <c r="D702" s="65" t="s">
        <v>0</v>
      </c>
      <c r="E702" s="62" t="str">
        <f t="shared" si="19"/>
        <v>Silverwind NargacugaPara</v>
      </c>
      <c r="F702" s="36" t="s">
        <v>2</v>
      </c>
      <c r="G702" s="36" t="str">
        <f t="shared" si="20"/>
        <v>Silverwind NargacugaPara lvl 2</v>
      </c>
      <c r="H702" s="36" t="str">
        <f>IFERROR(ROUNDUP(IF(AND($Q$1=FALSE,$S$3=FALSE),"-",IF(AND($Q$1=TRUE,$S$3=TRUE),"-",IF(AND($Q$1=TRUE,$S$1=TRUE,$S$4=FALSE),VLOOKUP($E702,'Status Thresholds'!$E:$AS,12,FALSE),IF(AND($Q$1=TRUE,$S$4=FALSE),VLOOKUP($E702,'Status Thresholds'!$E:$AS,2,FALSE), IF(AND($Q$1=TRUE,$S$1=TRUE,$S$4=TRUE),VLOOKUP($E702,'Status Thresholds'!$E:$AS,17,FALSE),IF(AND($Q$1=TRUE,$S$4=TRUE),VLOOKUP($E702,'Status Thresholds'!$E:$AS,7,FALSE),IF(AND($S$3=TRUE,$S$1=TRUE,$S$4=FALSE),VLOOKUP($E702,'Status Thresholds'!$E:$AS,32,FALSE),IF(AND($S$3=TRUE,$S$4=FALSE),VLOOKUP($E702,'Status Thresholds'!$E:$AS,22,FALSE),IF(AND($S$3=TRUE,$S$1=TRUE,$S$4=TRUE),VLOOKUP($E702,'Status Thresholds'!$E:$AS,37,FALSE),IF(AND($S$3=TRUE,$S$4=TRUE),VLOOKUP($E702,'Status Thresholds'!$E:$AS,27,FALSE),""))))))))/IF(OR($Q$3=TRUE,AND($Q$2=TRUE,$Q$7=TRUE),AND($Q$3=TRUE,$Q$7=TRUE))=TRUE,'Shots and Status'!$F$5,IF((OR($Q$2,$Q$7)=TRUE),'Shots and Status'!$D$5,'Shots and Status'!$C$5)))),0),"-")</f>
        <v>-</v>
      </c>
      <c r="I702" s="36" t="str">
        <f>IFERROR(ROUNDUP(IF(AND($Q$1=FALSE,$S$3=FALSE),"-",IF(AND($Q$1=TRUE,$S$3=TRUE),"-",IF(AND($Q$1=TRUE,$S$1=TRUE,$S$4=FALSE),VLOOKUP($E702,'Status Thresholds'!$E:$AS,13,FALSE),IF(AND($Q$1=TRUE,$S$4=FALSE),VLOOKUP($E702,'Status Thresholds'!$E:$AS,3,FALSE), IF(AND($Q$1=TRUE,$S$1=TRUE,$S$4=TRUE),VLOOKUP($E702,'Status Thresholds'!$E:$AS,18,FALSE),IF(AND($Q$1=TRUE,$S$4=TRUE),VLOOKUP($E702,'Status Thresholds'!$E:$AS,8,FALSE),IF(AND($S$3=TRUE,$S$1=TRUE,$S$4=FALSE),VLOOKUP($E702,'Status Thresholds'!$E:$AS,33,FALSE),IF(AND($S$3=TRUE,$S$4=FALSE),VLOOKUP($E702,'Status Thresholds'!$E:$AS,23,FALSE),IF(AND($S$3=TRUE,$S$1=TRUE,$S$4=TRUE),VLOOKUP($E702,'Status Thresholds'!$E:$AS,38,FALSE),IF(AND($S$3=TRUE,$S$4=TRUE),VLOOKUP($E702,'Status Thresholds'!$E:$AS,28,FALSE),""))))))))/IF(OR($Q$3=TRUE,AND($Q$2=TRUE,$Q$7=TRUE),AND($Q$3=TRUE,$Q$7=TRUE))=TRUE,'Shots and Status'!$F$5,IF((OR($Q$2,$Q$7)=TRUE),'Shots and Status'!$D$5,'Shots and Status'!$C$5)))),0),"-")</f>
        <v>-</v>
      </c>
      <c r="J702" s="36" t="str">
        <f>IFERROR(ROUNDUP(IF(AND($Q$1=FALSE,$S$3=FALSE),"-",IF(AND($Q$1=TRUE,$S$3=TRUE),"-",IF(AND($Q$1=TRUE,$S$1=TRUE,$S$4=FALSE),VLOOKUP($E702,'Status Thresholds'!$E:$AS,14,FALSE),IF(AND($Q$1=TRUE,$S$4=FALSE),VLOOKUP($E702,'Status Thresholds'!$E:$AS,4,FALSE), IF(AND($Q$1=TRUE,$S$1=TRUE,$S$4=TRUE),VLOOKUP($E702,'Status Thresholds'!$E:$AS,19,FALSE),IF(AND($Q$1=TRUE,$S$4=TRUE),VLOOKUP($E702,'Status Thresholds'!$E:$AS,9,FALSE),IF(AND($S$3=TRUE,$S$1=TRUE,$S$4=FALSE),VLOOKUP($E702,'Status Thresholds'!$E:$AS,34,FALSE),IF(AND($S$3=TRUE,$S$4=FALSE),VLOOKUP($E702,'Status Thresholds'!$E:$AS,24,FALSE),IF(AND($S$3=TRUE,$S$1=TRUE,$S$4=TRUE),VLOOKUP($E702,'Status Thresholds'!$E:$AS,39,FALSE),IF(AND($S$3=TRUE,$S$4=TRUE),VLOOKUP($E702,'Status Thresholds'!$E:$AS,29,FALSE),""))))))))/IF(OR($Q$3=TRUE,AND($Q$2=TRUE,$Q$7=TRUE),AND($Q$3=TRUE,$Q$7=TRUE))=TRUE,'Shots and Status'!$F$5,IF((OR($Q$2,$Q$7)=TRUE),'Shots and Status'!$D$5,'Shots and Status'!$C$5)))),0),"-")</f>
        <v>-</v>
      </c>
      <c r="K702" s="36" t="str">
        <f>IFERROR(ROUNDUP(IF(AND($Q$1=FALSE,$S$3=FALSE),"-",IF(AND($Q$1=TRUE,$S$3=TRUE),"-",IF(AND($Q$1=TRUE,$S$1=TRUE,$S$4=FALSE),VLOOKUP($E702,'Status Thresholds'!$E:$AS,15,FALSE),IF(AND($Q$1=TRUE,$S$4=FALSE),VLOOKUP($E702,'Status Thresholds'!$E:$AS,5,FALSE), IF(AND($Q$1=TRUE,$S$1=TRUE,$S$4=TRUE),VLOOKUP($E702,'Status Thresholds'!$E:$AS,20,FALSE),IF(AND($Q$1=TRUE,$S$4=TRUE),VLOOKUP($E702,'Status Thresholds'!$E:$AS,10,FALSE),IF(AND($S$3=TRUE,$S$1=TRUE,$S$4=FALSE),VLOOKUP($E702,'Status Thresholds'!$E:$AS,35,FALSE),IF(AND($S$3=TRUE,$S$4=FALSE),VLOOKUP($E702,'Status Thresholds'!$E:$AS,25,FALSE),IF(AND($S$3=TRUE,$S$1=TRUE,$S$4=TRUE),VLOOKUP($E702,'Status Thresholds'!$E:$AS,40,FALSE),IF(AND($S$3=TRUE,$S$4=TRUE),VLOOKUP($E702,'Status Thresholds'!$E:$AS,30,FALSE),""))))))))/IF(OR($Q$3=TRUE,AND($Q$2=TRUE,$Q$7=TRUE),AND($Q$3=TRUE,$Q$7=TRUE))=TRUE,'Shots and Status'!$F$5,IF((OR($Q$2,$Q$7)=TRUE),'Shots and Status'!$D$5,'Shots and Status'!$C$5)))),0),"-")</f>
        <v>-</v>
      </c>
      <c r="L702" s="36" t="str">
        <f>IFERROR(IF(AND($Q$1=FALSE,$S$3=FALSE),"-",VLOOKUP($E702,'Status Thresholds'!$E:$AU,41,FALSE)),"-")</f>
        <v>-</v>
      </c>
      <c r="M702" s="36" t="str">
        <f>IFERROR(IF(AND($Q$1=FALSE,$S$3=FALSE),"-",VLOOKUP($E702,'Status Thresholds'!$E:$AU,42,FALSE)),"-")</f>
        <v>-</v>
      </c>
      <c r="N702" s="36" t="str">
        <f>IFERROR(IF(AND($Q$1=FALSE,$S$3=FALSE),"-",VLOOKUP($E702,'Status Thresholds'!$E:$AU,43,FALSE)),"-")</f>
        <v>-</v>
      </c>
    </row>
    <row r="703" spans="2:14" x14ac:dyDescent="0.25">
      <c r="B703" s="64" t="str">
        <f>VLOOKUP(C703,'Status Thresholds'!B:C,2,FALSE)</f>
        <v>Deviant</v>
      </c>
      <c r="C703" s="46" t="str">
        <f>IF(ISBLANK('KO Calc'!C699)=TRUE,"",'KO Calc'!C699)</f>
        <v>Silverwind Nargacuga</v>
      </c>
      <c r="D703" s="60" t="s">
        <v>32</v>
      </c>
      <c r="E703" s="62" t="str">
        <f t="shared" si="19"/>
        <v>Silverwind NargacugaSleep</v>
      </c>
      <c r="F703" s="59" t="s">
        <v>5</v>
      </c>
      <c r="G703" s="36" t="str">
        <f t="shared" si="20"/>
        <v>Silverwind NargacugaSleep lvl 2</v>
      </c>
      <c r="H703" s="36" t="str">
        <f>IFERROR(ROUNDUP(IF(AND($Q$1=FALSE,$S$3=FALSE),"-",IF(AND($Q$1=TRUE,$S$3=TRUE),"-",IF(AND($Q$1=TRUE,$S$1=TRUE,$S$4=FALSE),VLOOKUP($E703,'Status Thresholds'!$E:$AS,12,FALSE),IF(AND($Q$1=TRUE,$S$4=FALSE),VLOOKUP($E703,'Status Thresholds'!$E:$AS,2,FALSE), IF(AND($Q$1=TRUE,$S$1=TRUE,$S$4=TRUE),VLOOKUP($E703,'Status Thresholds'!$E:$AS,17,FALSE),IF(AND($Q$1=TRUE,$S$4=TRUE),VLOOKUP($E703,'Status Thresholds'!$E:$AS,7,FALSE),IF(AND($S$3=TRUE,$S$1=TRUE,$S$4=FALSE),VLOOKUP($E703,'Status Thresholds'!$E:$AS,32,FALSE),IF(AND($S$3=TRUE,$S$4=FALSE),VLOOKUP($E703,'Status Thresholds'!$E:$AS,22,FALSE),IF(AND($S$3=TRUE,$S$1=TRUE,$S$4=TRUE),VLOOKUP($E703,'Status Thresholds'!$E:$AS,37,FALSE),IF(AND($S$3=TRUE,$S$4=TRUE),VLOOKUP($E703,'Status Thresholds'!$E:$AS,27,FALSE),""))))))))/IF(OR($Q$3=TRUE,AND($Q$2=TRUE,$Q$7=TRUE),AND($Q$3=TRUE,$Q$7=TRUE))=TRUE,'Shots and Status'!$F$5,IF((OR($Q$2,$Q$7)=TRUE),'Shots and Status'!$D$5,'Shots and Status'!$C$5)))),0),"-")</f>
        <v>-</v>
      </c>
      <c r="I703" s="36" t="str">
        <f>IFERROR(ROUNDUP(IF(AND($Q$1=FALSE,$S$3=FALSE),"-",IF(AND($Q$1=TRUE,$S$3=TRUE),"-",IF(AND($Q$1=TRUE,$S$1=TRUE,$S$4=FALSE),VLOOKUP($E703,'Status Thresholds'!$E:$AS,13,FALSE),IF(AND($Q$1=TRUE,$S$4=FALSE),VLOOKUP($E703,'Status Thresholds'!$E:$AS,3,FALSE), IF(AND($Q$1=TRUE,$S$1=TRUE,$S$4=TRUE),VLOOKUP($E703,'Status Thresholds'!$E:$AS,18,FALSE),IF(AND($Q$1=TRUE,$S$4=TRUE),VLOOKUP($E703,'Status Thresholds'!$E:$AS,8,FALSE),IF(AND($S$3=TRUE,$S$1=TRUE,$S$4=FALSE),VLOOKUP($E703,'Status Thresholds'!$E:$AS,33,FALSE),IF(AND($S$3=TRUE,$S$4=FALSE),VLOOKUP($E703,'Status Thresholds'!$E:$AS,23,FALSE),IF(AND($S$3=TRUE,$S$1=TRUE,$S$4=TRUE),VLOOKUP($E703,'Status Thresholds'!$E:$AS,38,FALSE),IF(AND($S$3=TRUE,$S$4=TRUE),VLOOKUP($E703,'Status Thresholds'!$E:$AS,28,FALSE),""))))))))/IF(OR($Q$3=TRUE,AND($Q$2=TRUE,$Q$7=TRUE),AND($Q$3=TRUE,$Q$7=TRUE))=TRUE,'Shots and Status'!$F$5,IF((OR($Q$2,$Q$7)=TRUE),'Shots and Status'!$D$5,'Shots and Status'!$C$5)))),0),"-")</f>
        <v>-</v>
      </c>
      <c r="J703" s="36" t="str">
        <f>IFERROR(ROUNDUP(IF(AND($Q$1=FALSE,$S$3=FALSE),"-",IF(AND($Q$1=TRUE,$S$3=TRUE),"-",IF(AND($Q$1=TRUE,$S$1=TRUE,$S$4=FALSE),VLOOKUP($E703,'Status Thresholds'!$E:$AS,14,FALSE),IF(AND($Q$1=TRUE,$S$4=FALSE),VLOOKUP($E703,'Status Thresholds'!$E:$AS,4,FALSE), IF(AND($Q$1=TRUE,$S$1=TRUE,$S$4=TRUE),VLOOKUP($E703,'Status Thresholds'!$E:$AS,19,FALSE),IF(AND($Q$1=TRUE,$S$4=TRUE),VLOOKUP($E703,'Status Thresholds'!$E:$AS,9,FALSE),IF(AND($S$3=TRUE,$S$1=TRUE,$S$4=FALSE),VLOOKUP($E703,'Status Thresholds'!$E:$AS,34,FALSE),IF(AND($S$3=TRUE,$S$4=FALSE),VLOOKUP($E703,'Status Thresholds'!$E:$AS,24,FALSE),IF(AND($S$3=TRUE,$S$1=TRUE,$S$4=TRUE),VLOOKUP($E703,'Status Thresholds'!$E:$AS,39,FALSE),IF(AND($S$3=TRUE,$S$4=TRUE),VLOOKUP($E703,'Status Thresholds'!$E:$AS,29,FALSE),""))))))))/IF(OR($Q$3=TRUE,AND($Q$2=TRUE,$Q$7=TRUE),AND($Q$3=TRUE,$Q$7=TRUE))=TRUE,'Shots and Status'!$F$5,IF((OR($Q$2,$Q$7)=TRUE),'Shots and Status'!$D$5,'Shots and Status'!$C$5)))),0),"-")</f>
        <v>-</v>
      </c>
      <c r="K703" s="36" t="str">
        <f>IFERROR(ROUNDUP(IF(AND($Q$1=FALSE,$S$3=FALSE),"-",IF(AND($Q$1=TRUE,$S$3=TRUE),"-",IF(AND($Q$1=TRUE,$S$1=TRUE,$S$4=FALSE),VLOOKUP($E703,'Status Thresholds'!$E:$AS,15,FALSE),IF(AND($Q$1=TRUE,$S$4=FALSE),VLOOKUP($E703,'Status Thresholds'!$E:$AS,5,FALSE), IF(AND($Q$1=TRUE,$S$1=TRUE,$S$4=TRUE),VLOOKUP($E703,'Status Thresholds'!$E:$AS,20,FALSE),IF(AND($Q$1=TRUE,$S$4=TRUE),VLOOKUP($E703,'Status Thresholds'!$E:$AS,10,FALSE),IF(AND($S$3=TRUE,$S$1=TRUE,$S$4=FALSE),VLOOKUP($E703,'Status Thresholds'!$E:$AS,35,FALSE),IF(AND($S$3=TRUE,$S$4=FALSE),VLOOKUP($E703,'Status Thresholds'!$E:$AS,25,FALSE),IF(AND($S$3=TRUE,$S$1=TRUE,$S$4=TRUE),VLOOKUP($E703,'Status Thresholds'!$E:$AS,40,FALSE),IF(AND($S$3=TRUE,$S$4=TRUE),VLOOKUP($E703,'Status Thresholds'!$E:$AS,30,FALSE),""))))))))/IF(OR($Q$3=TRUE,AND($Q$2=TRUE,$Q$7=TRUE),AND($Q$3=TRUE,$Q$7=TRUE))=TRUE,'Shots and Status'!$F$5,IF((OR($Q$2,$Q$7)=TRUE),'Shots and Status'!$D$5,'Shots and Status'!$C$5)))),0),"-")</f>
        <v>-</v>
      </c>
      <c r="L703" s="36" t="str">
        <f>IFERROR(IF(AND($Q$1=FALSE,$S$3=FALSE),"-",VLOOKUP($E703,'Status Thresholds'!$E:$AU,41,FALSE)),"-")</f>
        <v>-</v>
      </c>
      <c r="M703" s="36" t="str">
        <f>IFERROR(IF(AND($Q$1=FALSE,$S$3=FALSE),"-",VLOOKUP($E703,'Status Thresholds'!$E:$AU,42,FALSE)),"-")</f>
        <v>-</v>
      </c>
      <c r="N703" s="36" t="str">
        <f>IFERROR(IF(AND($Q$1=FALSE,$S$3=FALSE),"-",VLOOKUP($E703,'Status Thresholds'!$E:$AU,43,FALSE)),"-")</f>
        <v>-</v>
      </c>
    </row>
    <row r="704" spans="2:14" x14ac:dyDescent="0.25">
      <c r="B704" s="64" t="str">
        <f>VLOOKUP(C704,'Status Thresholds'!B:C,2,FALSE)</f>
        <v>Deviant</v>
      </c>
      <c r="C704" s="46" t="str">
        <f>IF(ISBLANK('KO Calc'!C700)=TRUE,"",'KO Calc'!C700)</f>
        <v>Silverwind Nargacuga</v>
      </c>
      <c r="D704" s="58" t="s">
        <v>33</v>
      </c>
      <c r="E704" s="62" t="str">
        <f t="shared" si="19"/>
        <v>Silverwind NargacugaPoison</v>
      </c>
      <c r="F704" s="59" t="s">
        <v>6</v>
      </c>
      <c r="G704" s="36" t="str">
        <f t="shared" si="20"/>
        <v>Silverwind NargacugaPoison lvl 2</v>
      </c>
      <c r="H704" s="36" t="str">
        <f>IFERROR(ROUNDUP(IF(AND($Q$1=FALSE,$S$3=FALSE),"-",IF(AND($Q$1=TRUE,$S$3=TRUE),"-",IF(AND($Q$1=TRUE,$S$1=TRUE,$S$4=FALSE),VLOOKUP($E704,'Status Thresholds'!$E:$AS,12,FALSE),IF(AND($Q$1=TRUE,$S$4=FALSE),VLOOKUP($E704,'Status Thresholds'!$E:$AS,2,FALSE), IF(AND($Q$1=TRUE,$S$1=TRUE,$S$4=TRUE),VLOOKUP($E704,'Status Thresholds'!$E:$AS,17,FALSE),IF(AND($Q$1=TRUE,$S$4=TRUE),VLOOKUP($E704,'Status Thresholds'!$E:$AS,7,FALSE),IF(AND($S$3=TRUE,$S$1=TRUE,$S$4=FALSE),VLOOKUP($E704,'Status Thresholds'!$E:$AS,32,FALSE),IF(AND($S$3=TRUE,$S$4=FALSE),VLOOKUP($E704,'Status Thresholds'!$E:$AS,22,FALSE),IF(AND($S$3=TRUE,$S$1=TRUE,$S$4=TRUE),VLOOKUP($E704,'Status Thresholds'!$E:$AS,37,FALSE),IF(AND($S$3=TRUE,$S$4=TRUE),VLOOKUP($E704,'Status Thresholds'!$E:$AS,27,FALSE),""))))))))/IF(OR($Q$3=TRUE,AND($Q$2=TRUE,$Q$7=TRUE),AND($Q$3=TRUE,$Q$7=TRUE))=TRUE,'Shots and Status'!$F$5,IF((OR($Q$2,$Q$7)=TRUE),'Shots and Status'!$D$5,'Shots and Status'!$C$5)))),0),"-")</f>
        <v>-</v>
      </c>
      <c r="I704" s="36" t="str">
        <f>IFERROR(ROUNDUP(IF(AND($Q$1=FALSE,$S$3=FALSE),"-",IF(AND($Q$1=TRUE,$S$3=TRUE),"-",IF(AND($Q$1=TRUE,$S$1=TRUE,$S$4=FALSE),VLOOKUP($E704,'Status Thresholds'!$E:$AS,13,FALSE),IF(AND($Q$1=TRUE,$S$4=FALSE),VLOOKUP($E704,'Status Thresholds'!$E:$AS,3,FALSE), IF(AND($Q$1=TRUE,$S$1=TRUE,$S$4=TRUE),VLOOKUP($E704,'Status Thresholds'!$E:$AS,18,FALSE),IF(AND($Q$1=TRUE,$S$4=TRUE),VLOOKUP($E704,'Status Thresholds'!$E:$AS,8,FALSE),IF(AND($S$3=TRUE,$S$1=TRUE,$S$4=FALSE),VLOOKUP($E704,'Status Thresholds'!$E:$AS,33,FALSE),IF(AND($S$3=TRUE,$S$4=FALSE),VLOOKUP($E704,'Status Thresholds'!$E:$AS,23,FALSE),IF(AND($S$3=TRUE,$S$1=TRUE,$S$4=TRUE),VLOOKUP($E704,'Status Thresholds'!$E:$AS,38,FALSE),IF(AND($S$3=TRUE,$S$4=TRUE),VLOOKUP($E704,'Status Thresholds'!$E:$AS,28,FALSE),""))))))))/IF(OR($Q$3=TRUE,AND($Q$2=TRUE,$Q$7=TRUE),AND($Q$3=TRUE,$Q$7=TRUE))=TRUE,'Shots and Status'!$F$5,IF((OR($Q$2,$Q$7)=TRUE),'Shots and Status'!$D$5,'Shots and Status'!$C$5)))),0),"-")</f>
        <v>-</v>
      </c>
      <c r="J704" s="36" t="str">
        <f>IFERROR(ROUNDUP(IF(AND($Q$1=FALSE,$S$3=FALSE),"-",IF(AND($Q$1=TRUE,$S$3=TRUE),"-",IF(AND($Q$1=TRUE,$S$1=TRUE,$S$4=FALSE),VLOOKUP($E704,'Status Thresholds'!$E:$AS,14,FALSE),IF(AND($Q$1=TRUE,$S$4=FALSE),VLOOKUP($E704,'Status Thresholds'!$E:$AS,4,FALSE), IF(AND($Q$1=TRUE,$S$1=TRUE,$S$4=TRUE),VLOOKUP($E704,'Status Thresholds'!$E:$AS,19,FALSE),IF(AND($Q$1=TRUE,$S$4=TRUE),VLOOKUP($E704,'Status Thresholds'!$E:$AS,9,FALSE),IF(AND($S$3=TRUE,$S$1=TRUE,$S$4=FALSE),VLOOKUP($E704,'Status Thresholds'!$E:$AS,34,FALSE),IF(AND($S$3=TRUE,$S$4=FALSE),VLOOKUP($E704,'Status Thresholds'!$E:$AS,24,FALSE),IF(AND($S$3=TRUE,$S$1=TRUE,$S$4=TRUE),VLOOKUP($E704,'Status Thresholds'!$E:$AS,39,FALSE),IF(AND($S$3=TRUE,$S$4=TRUE),VLOOKUP($E704,'Status Thresholds'!$E:$AS,29,FALSE),""))))))))/IF(OR($Q$3=TRUE,AND($Q$2=TRUE,$Q$7=TRUE),AND($Q$3=TRUE,$Q$7=TRUE))=TRUE,'Shots and Status'!$F$5,IF((OR($Q$2,$Q$7)=TRUE),'Shots and Status'!$D$5,'Shots and Status'!$C$5)))),0),"-")</f>
        <v>-</v>
      </c>
      <c r="K704" s="36" t="str">
        <f>IFERROR(ROUNDUP(IF(AND($Q$1=FALSE,$S$3=FALSE),"-",IF(AND($Q$1=TRUE,$S$3=TRUE),"-",IF(AND($Q$1=TRUE,$S$1=TRUE,$S$4=FALSE),VLOOKUP($E704,'Status Thresholds'!$E:$AS,15,FALSE),IF(AND($Q$1=TRUE,$S$4=FALSE),VLOOKUP($E704,'Status Thresholds'!$E:$AS,5,FALSE), IF(AND($Q$1=TRUE,$S$1=TRUE,$S$4=TRUE),VLOOKUP($E704,'Status Thresholds'!$E:$AS,20,FALSE),IF(AND($Q$1=TRUE,$S$4=TRUE),VLOOKUP($E704,'Status Thresholds'!$E:$AS,10,FALSE),IF(AND($S$3=TRUE,$S$1=TRUE,$S$4=FALSE),VLOOKUP($E704,'Status Thresholds'!$E:$AS,35,FALSE),IF(AND($S$3=TRUE,$S$4=FALSE),VLOOKUP($E704,'Status Thresholds'!$E:$AS,25,FALSE),IF(AND($S$3=TRUE,$S$1=TRUE,$S$4=TRUE),VLOOKUP($E704,'Status Thresholds'!$E:$AS,40,FALSE),IF(AND($S$3=TRUE,$S$4=TRUE),VLOOKUP($E704,'Status Thresholds'!$E:$AS,30,FALSE),""))))))))/IF(OR($Q$3=TRUE,AND($Q$2=TRUE,$Q$7=TRUE),AND($Q$3=TRUE,$Q$7=TRUE))=TRUE,'Shots and Status'!$F$5,IF((OR($Q$2,$Q$7)=TRUE),'Shots and Status'!$D$5,'Shots and Status'!$C$5)))),0),"-")</f>
        <v>-</v>
      </c>
      <c r="L704" s="36" t="str">
        <f>IFERROR(IF(AND($Q$1=FALSE,$S$3=FALSE),"-",VLOOKUP($E704,'Status Thresholds'!$E:$AU,41,FALSE)),"-")</f>
        <v>-</v>
      </c>
      <c r="M704" s="36" t="str">
        <f>IFERROR(IF(AND($Q$1=FALSE,$S$3=FALSE),"-",VLOOKUP($E704,'Status Thresholds'!$E:$AU,42,FALSE)),"-")</f>
        <v>-</v>
      </c>
      <c r="N704" s="36" t="str">
        <f>IFERROR(IF(AND($Q$1=FALSE,$S$3=FALSE),"-",VLOOKUP($E704,'Status Thresholds'!$E:$AU,43,FALSE)),"-")</f>
        <v>-</v>
      </c>
    </row>
    <row r="705" spans="2:14" x14ac:dyDescent="0.25">
      <c r="B705" s="64" t="str">
        <f>VLOOKUP(C705,'Status Thresholds'!B:C,2,FALSE)</f>
        <v>Deviant</v>
      </c>
      <c r="C705" s="46" t="str">
        <f>IF(ISBLANK('KO Calc'!C701)=TRUE,"",'KO Calc'!C701)</f>
        <v>Silverwind Nargacuga</v>
      </c>
      <c r="D705" s="57" t="s">
        <v>22</v>
      </c>
      <c r="E705" s="62" t="str">
        <f t="shared" si="19"/>
        <v>Silverwind NargacugaExhaust</v>
      </c>
      <c r="F705" s="36" t="s">
        <v>8</v>
      </c>
      <c r="G705" s="36" t="str">
        <f t="shared" si="20"/>
        <v>Silverwind NargacugaExhaust lvl 2</v>
      </c>
      <c r="H705" s="36" t="str">
        <f>IFERROR(ROUNDUP(IF(AND($Q$1=FALSE,$S$3=FALSE),"-",IF(AND($Q$1=TRUE,$S$3=TRUE),"-",IF(AND($Q$1=TRUE,$S$1=TRUE,$S$4=FALSE),VLOOKUP($E705,'Status Thresholds'!$E:$AS,12,FALSE),IF(AND($Q$1=TRUE,$S$4=FALSE),VLOOKUP($E705,'Status Thresholds'!$E:$AS,2,FALSE), IF(AND($Q$1=TRUE,$S$1=TRUE,$S$4=TRUE),VLOOKUP($E705,'Status Thresholds'!$E:$AS,17,FALSE),IF(AND($Q$1=TRUE,$S$4=TRUE),VLOOKUP($E705,'Status Thresholds'!$E:$AS,7,FALSE),IF(AND($S$3=TRUE,$S$1=TRUE,$S$4=FALSE),VLOOKUP($E705,'Status Thresholds'!$E:$AS,32,FALSE),IF(AND($S$3=TRUE,$S$4=FALSE),VLOOKUP($E705,'Status Thresholds'!$E:$AS,22,FALSE),IF(AND($S$3=TRUE,$S$1=TRUE,$S$4=TRUE),VLOOKUP($E705,'Status Thresholds'!$E:$AS,37,FALSE),IF(AND($S$3=TRUE,$S$4=TRUE),VLOOKUP($E705,'Status Thresholds'!$E:$AS,27,FALSE),""))))))))/IF(OR($Q$3=TRUE,AND($Q$2=TRUE,$Q$7=TRUE),AND($Q$3=TRUE,$Q$7=TRUE))=TRUE,'Shots and Status'!$F$5,IF((OR($Q$2,$Q$7)=TRUE),'Shots and Status'!$D$5,'Shots and Status'!$C$5)))),0),"-")</f>
        <v>-</v>
      </c>
      <c r="I705" s="36" t="str">
        <f>IFERROR(ROUNDUP(IF(AND($Q$1=FALSE,$S$3=FALSE),"-",IF(AND($Q$1=TRUE,$S$3=TRUE),"-",IF(AND($Q$1=TRUE,$S$1=TRUE,$S$4=FALSE),VLOOKUP($E705,'Status Thresholds'!$E:$AS,13,FALSE),IF(AND($Q$1=TRUE,$S$4=FALSE),VLOOKUP($E705,'Status Thresholds'!$E:$AS,3,FALSE), IF(AND($Q$1=TRUE,$S$1=TRUE,$S$4=TRUE),VLOOKUP($E705,'Status Thresholds'!$E:$AS,18,FALSE),IF(AND($Q$1=TRUE,$S$4=TRUE),VLOOKUP($E705,'Status Thresholds'!$E:$AS,8,FALSE),IF(AND($S$3=TRUE,$S$1=TRUE,$S$4=FALSE),VLOOKUP($E705,'Status Thresholds'!$E:$AS,33,FALSE),IF(AND($S$3=TRUE,$S$4=FALSE),VLOOKUP($E705,'Status Thresholds'!$E:$AS,23,FALSE),IF(AND($S$3=TRUE,$S$1=TRUE,$S$4=TRUE),VLOOKUP($E705,'Status Thresholds'!$E:$AS,38,FALSE),IF(AND($S$3=TRUE,$S$4=TRUE),VLOOKUP($E705,'Status Thresholds'!$E:$AS,28,FALSE),""))))))))/IF(OR($Q$3=TRUE,AND($Q$2=TRUE,$Q$7=TRUE),AND($Q$3=TRUE,$Q$7=TRUE))=TRUE,'Shots and Status'!$F$5,IF((OR($Q$2,$Q$7)=TRUE),'Shots and Status'!$D$5,'Shots and Status'!$C$5)))),0),"-")</f>
        <v>-</v>
      </c>
      <c r="J705" s="36" t="str">
        <f>IFERROR(ROUNDUP(IF(AND($Q$1=FALSE,$S$3=FALSE),"-",IF(AND($Q$1=TRUE,$S$3=TRUE),"-",IF(AND($Q$1=TRUE,$S$1=TRUE,$S$4=FALSE),VLOOKUP($E705,'Status Thresholds'!$E:$AS,14,FALSE),IF(AND($Q$1=TRUE,$S$4=FALSE),VLOOKUP($E705,'Status Thresholds'!$E:$AS,4,FALSE), IF(AND($Q$1=TRUE,$S$1=TRUE,$S$4=TRUE),VLOOKUP($E705,'Status Thresholds'!$E:$AS,19,FALSE),IF(AND($Q$1=TRUE,$S$4=TRUE),VLOOKUP($E705,'Status Thresholds'!$E:$AS,9,FALSE),IF(AND($S$3=TRUE,$S$1=TRUE,$S$4=FALSE),VLOOKUP($E705,'Status Thresholds'!$E:$AS,34,FALSE),IF(AND($S$3=TRUE,$S$4=FALSE),VLOOKUP($E705,'Status Thresholds'!$E:$AS,24,FALSE),IF(AND($S$3=TRUE,$S$1=TRUE,$S$4=TRUE),VLOOKUP($E705,'Status Thresholds'!$E:$AS,39,FALSE),IF(AND($S$3=TRUE,$S$4=TRUE),VLOOKUP($E705,'Status Thresholds'!$E:$AS,29,FALSE),""))))))))/IF(OR($Q$3=TRUE,AND($Q$2=TRUE,$Q$7=TRUE),AND($Q$3=TRUE,$Q$7=TRUE))=TRUE,'Shots and Status'!$F$5,IF((OR($Q$2,$Q$7)=TRUE),'Shots and Status'!$D$5,'Shots and Status'!$C$5)))),0),"-")</f>
        <v>-</v>
      </c>
      <c r="K705" s="36" t="str">
        <f>IFERROR(ROUNDUP(IF(AND($Q$1=FALSE,$S$3=FALSE),"-",IF(AND($Q$1=TRUE,$S$3=TRUE),"-",IF(AND($Q$1=TRUE,$S$1=TRUE,$S$4=FALSE),VLOOKUP($E705,'Status Thresholds'!$E:$AS,15,FALSE),IF(AND($Q$1=TRUE,$S$4=FALSE),VLOOKUP($E705,'Status Thresholds'!$E:$AS,5,FALSE), IF(AND($Q$1=TRUE,$S$1=TRUE,$S$4=TRUE),VLOOKUP($E705,'Status Thresholds'!$E:$AS,20,FALSE),IF(AND($Q$1=TRUE,$S$4=TRUE),VLOOKUP($E705,'Status Thresholds'!$E:$AS,10,FALSE),IF(AND($S$3=TRUE,$S$1=TRUE,$S$4=FALSE),VLOOKUP($E705,'Status Thresholds'!$E:$AS,35,FALSE),IF(AND($S$3=TRUE,$S$4=FALSE),VLOOKUP($E705,'Status Thresholds'!$E:$AS,25,FALSE),IF(AND($S$3=TRUE,$S$1=TRUE,$S$4=TRUE),VLOOKUP($E705,'Status Thresholds'!$E:$AS,40,FALSE),IF(AND($S$3=TRUE,$S$4=TRUE),VLOOKUP($E705,'Status Thresholds'!$E:$AS,30,FALSE),""))))))))/IF(OR($Q$3=TRUE,AND($Q$2=TRUE,$Q$7=TRUE),AND($Q$3=TRUE,$Q$7=TRUE))=TRUE,'Shots and Status'!$F$5,IF((OR($Q$2,$Q$7)=TRUE),'Shots and Status'!$D$5,'Shots and Status'!$C$5)))),0),"-")</f>
        <v>-</v>
      </c>
      <c r="L705" s="36" t="str">
        <f>IFERROR(IF(AND($Q$1=FALSE,$S$3=FALSE),"-",VLOOKUP($E705,'Status Thresholds'!$E:$AU,41,FALSE)),"-")</f>
        <v>-</v>
      </c>
      <c r="M705" s="36" t="str">
        <f>IFERROR(IF(AND($Q$1=FALSE,$S$3=FALSE),"-",VLOOKUP($E705,'Status Thresholds'!$E:$AU,42,FALSE)),"-")</f>
        <v>-</v>
      </c>
      <c r="N705" s="36" t="str">
        <f>IFERROR(IF(AND($Q$1=FALSE,$S$3=FALSE),"-",VLOOKUP($E705,'Status Thresholds'!$E:$AU,43,FALSE)),"-")</f>
        <v>-</v>
      </c>
    </row>
    <row r="706" spans="2:14" x14ac:dyDescent="0.25">
      <c r="B706" s="64" t="str">
        <f>VLOOKUP(C706,'Status Thresholds'!B:C,2,FALSE)</f>
        <v>Deviant</v>
      </c>
      <c r="C706" s="46" t="str">
        <f>IF(ISBLANK('KO Calc'!C702)=TRUE,"",'KO Calc'!C702)</f>
        <v>Silverwind Nargacuga</v>
      </c>
      <c r="D706" s="67" t="s">
        <v>14</v>
      </c>
      <c r="E706" s="62" t="str">
        <f t="shared" si="19"/>
        <v>Silverwind NargacugaKO</v>
      </c>
      <c r="F706" s="36" t="s">
        <v>21</v>
      </c>
      <c r="G706" s="36" t="str">
        <f t="shared" si="20"/>
        <v>Silverwind NargacugaTriblast</v>
      </c>
      <c r="H706" s="36" t="str">
        <f>IF(AND($Q$1=FALSE,$S$3=FALSE),"-",IF(AND($Q$1=TRUE,$S$3=TRUE),"-",IF(AND($Q$1=FALSE,$S$3=FALSE),"-",IF(AND($Q$1=TRUE,$S$1=TRUE,$S$4=FALSE)=TRUE,IF(OR($Q$4=TRUE,$Q$5=TRUE,$S$2=TRUE),VLOOKUP($G706,'KO Calc'!$H:$AW,12,FALSE),VLOOKUP($G706,'KO Calc'!$H712:$AW712,12,FALSE)),IF(AND($Q$1=TRUE,$S$4=FALSE),IF(OR($Q$4=TRUE,$Q$5=TRUE,$S$2=TRUE),VLOOKUP($G706,'KO Calc'!$H:$AW,2,FALSE),VLOOKUP($G706,'KO Calc'!$H712:$AW712,2,FALSE)),
IF(AND($Q$1=TRUE,$S$1=TRUE,$S$4=TRUE)=TRUE,IF(OR($Q$4=TRUE,$Q$5=TRUE,$S$2=TRUE),VLOOKUP($G706,'KO Calc'!$H:$AW,17,FALSE),VLOOKUP($G706,'KO Calc'!$H712:$AW712,17,FALSE)),IF(AND($Q$1=TRUE,$S$4=TRUE),IF(OR($Q$4=TRUE,$Q$5=TRUE,$S$2=TRUE),VLOOKUP($G706,'KO Calc'!$H:$AW,7,FALSE),VLOOKUP($G706,'KO Calc'!$H712:$AW712,7,FALSE)),
IF(AND($S$3=TRUE,$S$1=TRUE,$S$4=FALSE)=TRUE,IF(OR($Q$4=TRUE,$Q$5=TRUE,$S$2=TRUE),VLOOKUP($G706,'KO Calc'!$H:$AW,32,FALSE),VLOOKUP($G706,'KO Calc'!$H712:$AW712,32,FALSE)),IF(AND($S$3=TRUE,$S$4=FALSE),IF(OR($Q$4=TRUE,$Q$5=TRUE,$S$2=TRUE),VLOOKUP($G706,'KO Calc'!$H:$AW,22,FALSE),VLOOKUP($G706,'KO Calc'!$H712:$AW712,22,FALSE)),
IF(AND($S$3=TRUE,$S$1=TRUE,$S$4=TRUE)=TRUE,IF(OR($Q$4=TRUE,$Q$5=TRUE,$S$2=TRUE),VLOOKUP($G706,'KO Calc'!$H:$AW,37,FALSE),VLOOKUP($G706,'KO Calc'!$H712:$AW712,37,FALSE)),IF(AND($S$3=TRUE,$S$4=TRUE),IF(OR($Q$4=TRUE,$Q$5=TRUE,$S$2=TRUE),VLOOKUP($G706,'KO Calc'!$H:$AW,27,FALSE),VLOOKUP($G706,'KO Calc'!$H712:$AW712,27,FALSE)))))))))))))</f>
        <v>-</v>
      </c>
      <c r="I706" s="36" t="str">
        <f>IF(AND($Q$1=FALSE,$S$3=FALSE),"-",IF(AND($Q$1=TRUE,$S$3=TRUE),"-",IF(AND($Q$1=FALSE,$S$3=FALSE),"-",IF(AND($Q$1=TRUE,$S$1=TRUE,$S$4=FALSE)=TRUE,IF(OR($Q$4=TRUE,$Q$5=TRUE,$S$2=TRUE),VLOOKUP($G706,'KO Calc'!$H:$AW,13,FALSE),VLOOKUP($G706,'KO Calc'!$H712:$AW712,13,FALSE)),IF(AND($Q$1=TRUE,$S$4=FALSE),IF(OR($Q$4=TRUE,$Q$5=TRUE,$S$2=TRUE),VLOOKUP($G706,'KO Calc'!$H:$AW,3,FALSE),VLOOKUP($G706,'KO Calc'!$H712:$AW712,3,FALSE)),
IF(AND($Q$1=TRUE,$S$1=TRUE,$S$4=TRUE)=TRUE,IF(OR($Q$4=TRUE,$Q$5=TRUE,$S$2=TRUE),VLOOKUP($G706,'KO Calc'!$H:$AW,18,FALSE),VLOOKUP($G706,'KO Calc'!$H712:$AW712,18,FALSE)),IF(AND($Q$1=TRUE,$S$4=TRUE),IF(OR($Q$4=TRUE,$Q$5=TRUE,$S$2=TRUE),VLOOKUP($G706,'KO Calc'!$H:$AW,8,FALSE),VLOOKUP($G706,'KO Calc'!$H712:$AW712,8,FALSE)),
IF(AND($S$3=TRUE,$S$1=TRUE,$S$4=FALSE)=TRUE,IF(OR($Q$4=TRUE,$Q$5=TRUE,$S$2=TRUE),VLOOKUP($G706,'KO Calc'!$H:$AW,33,FALSE),VLOOKUP($G706,'KO Calc'!$H712:$AW712,33,FALSE)),IF(AND($S$3=TRUE,$S$4=FALSE),IF(OR($Q$4=TRUE,$Q$5=TRUE,$S$2=TRUE),VLOOKUP($G706,'KO Calc'!$H:$AW,23,FALSE),VLOOKUP($G706,'KO Calc'!$H712:$AW712,23,FALSE)),
IF(AND($S$3=TRUE,$S$1=TRUE,$S$4=TRUE)=TRUE,IF(OR($Q$4=TRUE,$Q$5=TRUE,$S$2=TRUE),VLOOKUP($G706,'KO Calc'!$H:$AW,38,FALSE),VLOOKUP($G706,'KO Calc'!$H712:$AW712,38,FALSE)),IF(AND($S$3=TRUE,$S$4=TRUE),IF(OR($Q$4=TRUE,$Q$5=TRUE,$S$2=TRUE),VLOOKUP($G706,'KO Calc'!$H:$AW,28,FALSE),VLOOKUP($G706,'KO Calc'!$H712:$AW712,28,FALSE)))))))))))))</f>
        <v>-</v>
      </c>
      <c r="J706" s="36" t="str">
        <f>IF(AND($Q$1=FALSE,$S$3=FALSE),"-",IF(AND($Q$1=TRUE,$S$3=TRUE),"-",IF(AND($Q$1=FALSE,$S$3=FALSE),"-",IF(AND($Q$1=TRUE,$S$1=TRUE,$S$4=FALSE)=TRUE,IF(OR($Q$4=TRUE,$Q$5=TRUE,$S$2=TRUE),VLOOKUP($G706,'KO Calc'!$H:$AW,FALSE),VLOOKUP($G706,'KO Calc'!$H712:$AW712,14,FALSE)),IF(AND($Q$1=TRUE,$S$4=FALSE),IF(OR($Q$4=TRUE,$Q$5=TRUE,$S$2=TRUE),VLOOKUP($G706,'KO Calc'!$H:$AW,4,FALSE),VLOOKUP($G706,'KO Calc'!$H712:$AW712,4,FALSE)),
IF(AND($Q$1=TRUE,$S$1=TRUE,$S$4=TRUE)=TRUE,IF(OR($Q$4=TRUE,$Q$5=TRUE,$S$2=TRUE),VLOOKUP($G706,'KO Calc'!$H:$AW,19,FALSE),VLOOKUP($G706,'KO Calc'!$H712:$AW712,19,FALSE)),IF(AND($Q$1=TRUE,$S$4=TRUE),IF(OR($Q$4=TRUE,$Q$5=TRUE,$S$2=TRUE),VLOOKUP($G706,'KO Calc'!$H:$AW,9,FALSE),VLOOKUP($G706,'KO Calc'!$H712:$AW712,9,FALSE)),
IF(AND($S$3=TRUE,$S$1=TRUE,$S$4=FALSE)=TRUE,IF(OR($Q$4=TRUE,$Q$5=TRUE,$S$2=TRUE),VLOOKUP($G706,'KO Calc'!$H:$AW,34,FALSE),VLOOKUP($G706,'KO Calc'!$H712:$AW712,34,FALSE)),IF(AND($S$3=TRUE,$S$4=FALSE),IF(OR($Q$4=TRUE,$Q$5=TRUE,$S$2=TRUE),VLOOKUP($G706,'KO Calc'!$H:$AW,24,FALSE),VLOOKUP($G706,'KO Calc'!$H712:$AW712,24,FALSE)),
IF(AND($S$3=TRUE,$S$1=TRUE,$S$4=TRUE)=TRUE,IF(OR($Q$4=TRUE,$Q$5=TRUE,$S$2=TRUE),VLOOKUP($G706,'KO Calc'!$H:$AW,39,FALSE),VLOOKUP($G706,'KO Calc'!$H712:$AW712,39,FALSE)),IF(AND($S$3=TRUE,$S$4=TRUE),IF(OR($Q$4=TRUE,$Q$5=TRUE,$S$2=TRUE),VLOOKUP($G706,'KO Calc'!$H:$AW,29,FALSE),VLOOKUP($G706,'KO Calc'!$H712:$AW712,29,FALSE)))))))))))))</f>
        <v>-</v>
      </c>
      <c r="K706" s="36" t="str">
        <f>IF(AND($Q$1=FALSE,$S$3=FALSE),"-",IF(AND($Q$1=TRUE,$S$3=TRUE),"-",IF(AND($Q$1=FALSE,$S$3=FALSE),"-",IF(AND($Q$1=TRUE,$S$1=TRUE,$S$4=FALSE)=TRUE,IF(OR($Q$4=TRUE,$Q$5=TRUE,$S$2=TRUE),VLOOKUP($G706,'KO Calc'!$H:$AW,15,FALSE),VLOOKUP($G706,'KO Calc'!$H712:$AW712,15,FALSE)),IF(AND($Q$1=TRUE,$S$4=FALSE),IF(OR($Q$4=TRUE,$Q$5=TRUE,$S$2=TRUE),VLOOKUP($G706,'KO Calc'!$H:$AW,5,FALSE),VLOOKUP($G706,'KO Calc'!$H712:$AW712,5,FALSE)),
IF(AND($Q$1=TRUE,$S$1=TRUE,$S$4=TRUE)=TRUE,IF(OR($Q$4=TRUE,$Q$5=TRUE,$S$2=TRUE),VLOOKUP($G706,'KO Calc'!$H:$AW,20,FALSE),VLOOKUP($G706,'KO Calc'!$H712:$AW712,20,FALSE)),IF(AND($Q$1=TRUE,$S$4=TRUE),IF(OR($Q$4=TRUE,$Q$5=TRUE,$S$2=TRUE),VLOOKUP($G706,'KO Calc'!$H:$AW,10,FALSE),VLOOKUP($G706,'KO Calc'!$H712:$AW712,10,FALSE)),
IF(AND($S$3=TRUE,$S$1=TRUE,$S$4=FALSE)=TRUE,IF(OR($Q$4=TRUE,$Q$5=TRUE,$S$2=TRUE),VLOOKUP($G706,'KO Calc'!$H:$AW,35,FALSE),VLOOKUP($G706,'KO Calc'!$H712:$AW712,35,FALSE)),IF(AND($S$3=TRUE,$S$4=FALSE),IF(OR($Q$4=TRUE,$Q$5=TRUE,$S$2=TRUE),VLOOKUP($G706,'KO Calc'!$H:$AW,25,FALSE),VLOOKUP($G706,'KO Calc'!$H712:$AW712,25,FALSE)),
IF(AND($S$3=TRUE,$S$1=TRUE,$S$4=TRUE)=TRUE,IF(OR($Q$4=TRUE,$Q$5=TRUE,$S$2=TRUE),VLOOKUP($G706,'KO Calc'!$H:$AW,40,FALSE),VLOOKUP($G706,'KO Calc'!$H712:$AW712,40,FALSE)),IF(AND($S$3=TRUE,$S$4=TRUE),IF(OR($Q$4=TRUE,$Q$5=TRUE,$S$2=TRUE),VLOOKUP($G706,'KO Calc'!$H:$AW,30,FALSE),VLOOKUP($G706,'KO Calc'!$H712:$AW712,30,FALSE)))))))))))))</f>
        <v>-</v>
      </c>
      <c r="L706" s="36" t="str">
        <f>IFERROR(IF(AND($Q$1=FALSE,$S$3=FALSE),"-",VLOOKUP($E706,'Status Thresholds'!$E:$AU,41,FALSE)),"-")</f>
        <v>-</v>
      </c>
      <c r="M706" s="36" t="str">
        <f>IFERROR(IF(AND($Q$1=FALSE,$S$3=FALSE),"-",VLOOKUP($E706,'Status Thresholds'!$E:$AU,42,FALSE)),"-")</f>
        <v>-</v>
      </c>
      <c r="N706" s="36" t="str">
        <f>IFERROR(IF(AND($Q$1=FALSE,$S$3=FALSE),"-",VLOOKUP($E706,'Status Thresholds'!$E:$AU,43,FALSE)),"-")</f>
        <v>-</v>
      </c>
    </row>
    <row r="707" spans="2:14" x14ac:dyDescent="0.25">
      <c r="B707" s="64" t="str">
        <f>VLOOKUP(C707,'Status Thresholds'!B:C,2,FALSE)</f>
        <v>Deviant</v>
      </c>
      <c r="C707" s="46" t="str">
        <f>IF(ISBLANK('KO Calc'!C703)=TRUE,"",'KO Calc'!C703)</f>
        <v>Silverwind Nargacuga</v>
      </c>
      <c r="D707" s="78" t="s">
        <v>207</v>
      </c>
      <c r="E707" s="62" t="str">
        <f t="shared" si="19"/>
        <v>Silverwind NargacugaShock Trap</v>
      </c>
      <c r="F707" t="s">
        <v>13</v>
      </c>
      <c r="G707" s="36" t="str">
        <f t="shared" si="20"/>
        <v>Silverwind NargacugaCrag 3</v>
      </c>
      <c r="H707" s="36" t="str">
        <f>IF(AND($Q$1=FALSE,$S$3=FALSE),"-",IF(AND($Q$1=TRUE,$S$3=TRUE),"-",IF(AND($Q$1=FALSE,$S$3=FALSE),"-",IF(AND($Q$1=TRUE,$S$1=TRUE,$S$4=FALSE)=TRUE,IF(OR($Q$4=TRUE,$Q$5=TRUE,$S$2=TRUE),VLOOKUP($G707,'KO Calc'!$H:$AW,12,FALSE),VLOOKUP($G707,'KO Calc'!$H713:$AW713,12,FALSE)),IF(AND($Q$1=TRUE,$S$4=FALSE),IF(OR($Q$4=TRUE,$Q$5=TRUE,$S$2=TRUE),VLOOKUP($G707,'KO Calc'!$H:$AW,2,FALSE),VLOOKUP($G707,'KO Calc'!$H713:$AW713,2,FALSE)),
IF(AND($Q$1=TRUE,$S$1=TRUE,$S$4=TRUE)=TRUE,IF(OR($Q$4=TRUE,$Q$5=TRUE,$S$2=TRUE),VLOOKUP($G707,'KO Calc'!$H:$AW,17,FALSE),VLOOKUP($G707,'KO Calc'!$H713:$AW713,17,FALSE)),IF(AND($Q$1=TRUE,$S$4=TRUE),IF(OR($Q$4=TRUE,$Q$5=TRUE,$S$2=TRUE),VLOOKUP($G707,'KO Calc'!$H:$AW,7,FALSE),VLOOKUP($G707,'KO Calc'!$H713:$AW713,7,FALSE)),
IF(AND($S$3=TRUE,$S$1=TRUE,$S$4=FALSE)=TRUE,IF(OR($Q$4=TRUE,$Q$5=TRUE,$S$2=TRUE),VLOOKUP($G707,'KO Calc'!$H:$AW,32,FALSE),VLOOKUP($G707,'KO Calc'!$H713:$AW713,32,FALSE)),IF(AND($S$3=TRUE,$S$4=FALSE),IF(OR($Q$4=TRUE,$Q$5=TRUE,$S$2=TRUE),VLOOKUP($G707,'KO Calc'!$H:$AW,22,FALSE),VLOOKUP($G707,'KO Calc'!$H713:$AW713,22,FALSE)),
IF(AND($S$3=TRUE,$S$1=TRUE,$S$4=TRUE)=TRUE,IF(OR($Q$4=TRUE,$Q$5=TRUE,$S$2=TRUE),VLOOKUP($G707,'KO Calc'!$H:$AW,37,FALSE),VLOOKUP($G707,'KO Calc'!$H713:$AW713,37,FALSE)),IF(AND($S$3=TRUE,$S$4=TRUE),IF(OR($Q$4=TRUE,$Q$5=TRUE,$S$2=TRUE),VLOOKUP($G707,'KO Calc'!$H:$AW,27,FALSE),VLOOKUP($G707,'KO Calc'!$H713:$AW713,27,FALSE)))))))))))))</f>
        <v>-</v>
      </c>
      <c r="I707" s="36" t="str">
        <f>IF(AND($Q$1=FALSE,$S$3=FALSE),"-",IF(AND($Q$1=TRUE,$S$3=TRUE),"-",IF(AND($Q$1=FALSE,$S$3=FALSE),"-",IF(AND($Q$1=TRUE,$S$1=TRUE,$S$4=FALSE)=TRUE,IF(OR($Q$4=TRUE,$Q$5=TRUE,$S$2=TRUE),VLOOKUP($G707,'KO Calc'!$H:$AW,13,FALSE),VLOOKUP($G707,'KO Calc'!$H713:$AW713,13,FALSE)),IF(AND($Q$1=TRUE,$S$4=FALSE),IF(OR($Q$4=TRUE,$Q$5=TRUE,$S$2=TRUE),VLOOKUP($G707,'KO Calc'!$H:$AW,3,FALSE),VLOOKUP($G707,'KO Calc'!$H713:$AW713,3,FALSE)),
IF(AND($Q$1=TRUE,$S$1=TRUE,$S$4=TRUE)=TRUE,IF(OR($Q$4=TRUE,$Q$5=TRUE,$S$2=TRUE),VLOOKUP($G707,'KO Calc'!$H:$AW,18,FALSE),VLOOKUP($G707,'KO Calc'!$H713:$AW713,18,FALSE)),IF(AND($Q$1=TRUE,$S$4=TRUE),IF(OR($Q$4=TRUE,$Q$5=TRUE,$S$2=TRUE),VLOOKUP($G707,'KO Calc'!$H:$AW,8,FALSE),VLOOKUP($G707,'KO Calc'!$H713:$AW713,8,FALSE)),
IF(AND($S$3=TRUE,$S$1=TRUE,$S$4=FALSE)=TRUE,IF(OR($Q$4=TRUE,$Q$5=TRUE,$S$2=TRUE),VLOOKUP($G707,'KO Calc'!$H:$AW,33,FALSE),VLOOKUP($G707,'KO Calc'!$H713:$AW713,33,FALSE)),IF(AND($S$3=TRUE,$S$4=FALSE),IF(OR($Q$4=TRUE,$Q$5=TRUE,$S$2=TRUE),VLOOKUP($G707,'KO Calc'!$H:$AW,23,FALSE),VLOOKUP($G707,'KO Calc'!$H713:$AW713,23,FALSE)),
IF(AND($S$3=TRUE,$S$1=TRUE,$S$4=TRUE)=TRUE,IF(OR($Q$4=TRUE,$Q$5=TRUE,$S$2=TRUE),VLOOKUP($G707,'KO Calc'!$H:$AW,38,FALSE),VLOOKUP($G707,'KO Calc'!$H713:$AW713,38,FALSE)),IF(AND($S$3=TRUE,$S$4=TRUE),IF(OR($Q$4=TRUE,$Q$5=TRUE,$S$2=TRUE),VLOOKUP($G707,'KO Calc'!$H:$AW,28,FALSE),VLOOKUP($G707,'KO Calc'!$H713:$AW713,28,FALSE)))))))))))))</f>
        <v>-</v>
      </c>
      <c r="J707" s="36" t="str">
        <f>IF(AND($Q$1=FALSE,$S$3=FALSE),"-",IF(AND($Q$1=TRUE,$S$3=TRUE),"-",IF(AND($Q$1=FALSE,$S$3=FALSE),"-",IF(AND($Q$1=TRUE,$S$1=TRUE,$S$4=FALSE)=TRUE,IF(OR($Q$4=TRUE,$Q$5=TRUE,$S$2=TRUE),VLOOKUP($G707,'KO Calc'!$H:$AW,FALSE),VLOOKUP($G707,'KO Calc'!$H713:$AW713,14,FALSE)),IF(AND($Q$1=TRUE,$S$4=FALSE),IF(OR($Q$4=TRUE,$Q$5=TRUE,$S$2=TRUE),VLOOKUP($G707,'KO Calc'!$H:$AW,4,FALSE),VLOOKUP($G707,'KO Calc'!$H713:$AW713,4,FALSE)),
IF(AND($Q$1=TRUE,$S$1=TRUE,$S$4=TRUE)=TRUE,IF(OR($Q$4=TRUE,$Q$5=TRUE,$S$2=TRUE),VLOOKUP($G707,'KO Calc'!$H:$AW,19,FALSE),VLOOKUP($G707,'KO Calc'!$H713:$AW713,19,FALSE)),IF(AND($Q$1=TRUE,$S$4=TRUE),IF(OR($Q$4=TRUE,$Q$5=TRUE,$S$2=TRUE),VLOOKUP($G707,'KO Calc'!$H:$AW,9,FALSE),VLOOKUP($G707,'KO Calc'!$H713:$AW713,9,FALSE)),
IF(AND($S$3=TRUE,$S$1=TRUE,$S$4=FALSE)=TRUE,IF(OR($Q$4=TRUE,$Q$5=TRUE,$S$2=TRUE),VLOOKUP($G707,'KO Calc'!$H:$AW,34,FALSE),VLOOKUP($G707,'KO Calc'!$H713:$AW713,34,FALSE)),IF(AND($S$3=TRUE,$S$4=FALSE),IF(OR($Q$4=TRUE,$Q$5=TRUE,$S$2=TRUE),VLOOKUP($G707,'KO Calc'!$H:$AW,24,FALSE),VLOOKUP($G707,'KO Calc'!$H713:$AW713,24,FALSE)),
IF(AND($S$3=TRUE,$S$1=TRUE,$S$4=TRUE)=TRUE,IF(OR($Q$4=TRUE,$Q$5=TRUE,$S$2=TRUE),VLOOKUP($G707,'KO Calc'!$H:$AW,39,FALSE),VLOOKUP($G707,'KO Calc'!$H713:$AW713,39,FALSE)),IF(AND($S$3=TRUE,$S$4=TRUE),IF(OR($Q$4=TRUE,$Q$5=TRUE,$S$2=TRUE),VLOOKUP($G707,'KO Calc'!$H:$AW,29,FALSE),VLOOKUP($G707,'KO Calc'!$H713:$AW713,29,FALSE)))))))))))))</f>
        <v>-</v>
      </c>
      <c r="K707" s="36" t="str">
        <f>IF(AND($Q$1=FALSE,$S$3=FALSE),"-",IF(AND($Q$1=TRUE,$S$3=TRUE),"-",IF(AND($Q$1=FALSE,$S$3=FALSE),"-",IF(AND($Q$1=TRUE,$S$1=TRUE,$S$4=FALSE)=TRUE,IF(OR($Q$4=TRUE,$Q$5=TRUE,$S$2=TRUE),VLOOKUP($G707,'KO Calc'!$H:$AW,15,FALSE),VLOOKUP($G707,'KO Calc'!$H713:$AW713,15,FALSE)),IF(AND($Q$1=TRUE,$S$4=FALSE),IF(OR($Q$4=TRUE,$Q$5=TRUE,$S$2=TRUE),VLOOKUP($G707,'KO Calc'!$H:$AW,5,FALSE),VLOOKUP($G707,'KO Calc'!$H713:$AW713,5,FALSE)),
IF(AND($Q$1=TRUE,$S$1=TRUE,$S$4=TRUE)=TRUE,IF(OR($Q$4=TRUE,$Q$5=TRUE,$S$2=TRUE),VLOOKUP($G707,'KO Calc'!$H:$AW,20,FALSE),VLOOKUP($G707,'KO Calc'!$H713:$AW713,20,FALSE)),IF(AND($Q$1=TRUE,$S$4=TRUE),IF(OR($Q$4=TRUE,$Q$5=TRUE,$S$2=TRUE),VLOOKUP($G707,'KO Calc'!$H:$AW,10,FALSE),VLOOKUP($G707,'KO Calc'!$H713:$AW713,10,FALSE)),
IF(AND($S$3=TRUE,$S$1=TRUE,$S$4=FALSE)=TRUE,IF(OR($Q$4=TRUE,$Q$5=TRUE,$S$2=TRUE),VLOOKUP($G707,'KO Calc'!$H:$AW,35,FALSE),VLOOKUP($G707,'KO Calc'!$H713:$AW713,35,FALSE)),IF(AND($S$3=TRUE,$S$4=FALSE),IF(OR($Q$4=TRUE,$Q$5=TRUE,$S$2=TRUE),VLOOKUP($G707,'KO Calc'!$H:$AW,25,FALSE),VLOOKUP($G707,'KO Calc'!$H713:$AW713,25,FALSE)),
IF(AND($S$3=TRUE,$S$1=TRUE,$S$4=TRUE)=TRUE,IF(OR($Q$4=TRUE,$Q$5=TRUE,$S$2=TRUE),VLOOKUP($G707,'KO Calc'!$H:$AW,40,FALSE),VLOOKUP($G707,'KO Calc'!$H713:$AW713,40,FALSE)),IF(AND($S$3=TRUE,$S$4=TRUE),IF(OR($Q$4=TRUE,$Q$5=TRUE,$S$2=TRUE),VLOOKUP($G707,'KO Calc'!$H:$AW,30,FALSE),VLOOKUP($G707,'KO Calc'!$H713:$AW713,30,FALSE)))))))))))))</f>
        <v>-</v>
      </c>
      <c r="L707" s="36" t="str">
        <f>IFERROR(IF(AND($Q$1=FALSE,$S$3=FALSE),"-",VLOOKUP($E707,'Status Thresholds'!$E:$AU,43,FALSE)),"-")</f>
        <v>-</v>
      </c>
      <c r="M707" s="36" t="str">
        <f>IFERROR(IF(AND($Q$1=FALSE,$S$3=FALSE),"-",VLOOKUP($E707,'Status Thresholds'!$E:$AU,41,FALSE)),"-")</f>
        <v>-</v>
      </c>
      <c r="N707" s="36" t="str">
        <f>IFERROR(IF(AND($Q$1=FALSE,$S$3=FALSE),"-",VLOOKUP($E707,'Status Thresholds'!$E:$AU,42,FALSE)),"-")</f>
        <v>-</v>
      </c>
    </row>
    <row r="708" spans="2:14" x14ac:dyDescent="0.25">
      <c r="B708" s="64" t="str">
        <f>VLOOKUP(C708,'Status Thresholds'!B:C,2,FALSE)</f>
        <v>Deviant</v>
      </c>
      <c r="C708" s="46" t="str">
        <f>IF(ISBLANK('KO Calc'!C704)=TRUE,"",'KO Calc'!C704)</f>
        <v>Silverwind Nargacuga</v>
      </c>
      <c r="D708" s="78" t="s">
        <v>213</v>
      </c>
      <c r="E708" s="62" t="str">
        <f t="shared" si="19"/>
        <v>Silverwind NargacugaPitfall Trap</v>
      </c>
      <c r="F708" t="s">
        <v>12</v>
      </c>
      <c r="G708" s="36" t="str">
        <f t="shared" si="20"/>
        <v>Silverwind NargacugaCrag 2</v>
      </c>
      <c r="H708" s="36" t="str">
        <f>IF(AND($Q$1=FALSE,$S$3=FALSE),"-",IF(AND($Q$1=TRUE,$S$3=TRUE),"-",IF(AND($Q$1=FALSE,$S$3=FALSE),"-",IF(AND($Q$1=TRUE,$S$1=TRUE,$S$4=FALSE)=TRUE,IF(OR($Q$4=TRUE,$Q$5=TRUE,$S$2=TRUE),VLOOKUP($G708,'KO Calc'!$H:$AW,12,FALSE),VLOOKUP($G708,'KO Calc'!$H714:$AW714,12,FALSE)),IF(AND($Q$1=TRUE,$S$4=FALSE),IF(OR($Q$4=TRUE,$Q$5=TRUE,$S$2=TRUE),VLOOKUP($G708,'KO Calc'!$H:$AW,2,FALSE),VLOOKUP($G708,'KO Calc'!$H714:$AW714,2,FALSE)),
IF(AND($Q$1=TRUE,$S$1=TRUE,$S$4=TRUE)=TRUE,IF(OR($Q$4=TRUE,$Q$5=TRUE,$S$2=TRUE),VLOOKUP($G708,'KO Calc'!$H:$AW,17,FALSE),VLOOKUP($G708,'KO Calc'!$H714:$AW714,17,FALSE)),IF(AND($Q$1=TRUE,$S$4=TRUE),IF(OR($Q$4=TRUE,$Q$5=TRUE,$S$2=TRUE),VLOOKUP($G708,'KO Calc'!$H:$AW,7,FALSE),VLOOKUP($G708,'KO Calc'!$H714:$AW714,7,FALSE)),
IF(AND($S$3=TRUE,$S$1=TRUE,$S$4=FALSE)=TRUE,IF(OR($Q$4=TRUE,$Q$5=TRUE,$S$2=TRUE),VLOOKUP($G708,'KO Calc'!$H:$AW,32,FALSE),VLOOKUP($G708,'KO Calc'!$H714:$AW714,32,FALSE)),IF(AND($S$3=TRUE,$S$4=FALSE),IF(OR($Q$4=TRUE,$Q$5=TRUE,$S$2=TRUE),VLOOKUP($G708,'KO Calc'!$H:$AW,22,FALSE),VLOOKUP($G708,'KO Calc'!$H714:$AW714,22,FALSE)),
IF(AND($S$3=TRUE,$S$1=TRUE,$S$4=TRUE)=TRUE,IF(OR($Q$4=TRUE,$Q$5=TRUE,$S$2=TRUE),VLOOKUP($G708,'KO Calc'!$H:$AW,37,FALSE),VLOOKUP($G708,'KO Calc'!$H714:$AW714,37,FALSE)),IF(AND($S$3=TRUE,$S$4=TRUE),IF(OR($Q$4=TRUE,$Q$5=TRUE,$S$2=TRUE),VLOOKUP($G708,'KO Calc'!$H:$AW,27,FALSE),VLOOKUP($G708,'KO Calc'!$H714:$AW714,27,FALSE)))))))))))))</f>
        <v>-</v>
      </c>
      <c r="I708" s="36" t="str">
        <f>IF(AND($Q$1=FALSE,$S$3=FALSE),"-",IF(AND($Q$1=TRUE,$S$3=TRUE),"-",IF(AND($Q$1=FALSE,$S$3=FALSE),"-",IF(AND($Q$1=TRUE,$S$1=TRUE,$S$4=FALSE)=TRUE,IF(OR($Q$4=TRUE,$Q$5=TRUE,$S$2=TRUE),VLOOKUP($G708,'KO Calc'!$H:$AW,13,FALSE),VLOOKUP($G708,'KO Calc'!$H714:$AW714,13,FALSE)),IF(AND($Q$1=TRUE,$S$4=FALSE),IF(OR($Q$4=TRUE,$Q$5=TRUE,$S$2=TRUE),VLOOKUP($G708,'KO Calc'!$H:$AW,3,FALSE),VLOOKUP($G708,'KO Calc'!$H714:$AW714,3,FALSE)),
IF(AND($Q$1=TRUE,$S$1=TRUE,$S$4=TRUE)=TRUE,IF(OR($Q$4=TRUE,$Q$5=TRUE,$S$2=TRUE),VLOOKUP($G708,'KO Calc'!$H:$AW,18,FALSE),VLOOKUP($G708,'KO Calc'!$H714:$AW714,18,FALSE)),IF(AND($Q$1=TRUE,$S$4=TRUE),IF(OR($Q$4=TRUE,$Q$5=TRUE,$S$2=TRUE),VLOOKUP($G708,'KO Calc'!$H:$AW,8,FALSE),VLOOKUP($G708,'KO Calc'!$H714:$AW714,8,FALSE)),
IF(AND($S$3=TRUE,$S$1=TRUE,$S$4=FALSE)=TRUE,IF(OR($Q$4=TRUE,$Q$5=TRUE,$S$2=TRUE),VLOOKUP($G708,'KO Calc'!$H:$AW,33,FALSE),VLOOKUP($G708,'KO Calc'!$H714:$AW714,33,FALSE)),IF(AND($S$3=TRUE,$S$4=FALSE),IF(OR($Q$4=TRUE,$Q$5=TRUE,$S$2=TRUE),VLOOKUP($G708,'KO Calc'!$H:$AW,23,FALSE),VLOOKUP($G708,'KO Calc'!$H714:$AW714,23,FALSE)),
IF(AND($S$3=TRUE,$S$1=TRUE,$S$4=TRUE)=TRUE,IF(OR($Q$4=TRUE,$Q$5=TRUE,$S$2=TRUE),VLOOKUP($G708,'KO Calc'!$H:$AW,38,FALSE),VLOOKUP($G708,'KO Calc'!$H714:$AW714,38,FALSE)),IF(AND($S$3=TRUE,$S$4=TRUE),IF(OR($Q$4=TRUE,$Q$5=TRUE,$S$2=TRUE),VLOOKUP($G708,'KO Calc'!$H:$AW,28,FALSE),VLOOKUP($G708,'KO Calc'!$H714:$AW714,28,FALSE)))))))))))))</f>
        <v>-</v>
      </c>
      <c r="J708" s="36" t="str">
        <f>IF(AND($Q$1=FALSE,$S$3=FALSE),"-",IF(AND($Q$1=TRUE,$S$3=TRUE),"-",IF(AND($Q$1=FALSE,$S$3=FALSE),"-",IF(AND($Q$1=TRUE,$S$1=TRUE,$S$4=FALSE)=TRUE,IF(OR($Q$4=TRUE,$Q$5=TRUE,$S$2=TRUE),VLOOKUP($G708,'KO Calc'!$H:$AW,FALSE),VLOOKUP($G708,'KO Calc'!$H714:$AW714,14,FALSE)),IF(AND($Q$1=TRUE,$S$4=FALSE),IF(OR($Q$4=TRUE,$Q$5=TRUE,$S$2=TRUE),VLOOKUP($G708,'KO Calc'!$H:$AW,4,FALSE),VLOOKUP($G708,'KO Calc'!$H714:$AW714,4,FALSE)),
IF(AND($Q$1=TRUE,$S$1=TRUE,$S$4=TRUE)=TRUE,IF(OR($Q$4=TRUE,$Q$5=TRUE,$S$2=TRUE),VLOOKUP($G708,'KO Calc'!$H:$AW,19,FALSE),VLOOKUP($G708,'KO Calc'!$H714:$AW714,19,FALSE)),IF(AND($Q$1=TRUE,$S$4=TRUE),IF(OR($Q$4=TRUE,$Q$5=TRUE,$S$2=TRUE),VLOOKUP($G708,'KO Calc'!$H:$AW,9,FALSE),VLOOKUP($G708,'KO Calc'!$H714:$AW714,9,FALSE)),
IF(AND($S$3=TRUE,$S$1=TRUE,$S$4=FALSE)=TRUE,IF(OR($Q$4=TRUE,$Q$5=TRUE,$S$2=TRUE),VLOOKUP($G708,'KO Calc'!$H:$AW,34,FALSE),VLOOKUP($G708,'KO Calc'!$H714:$AW714,34,FALSE)),IF(AND($S$3=TRUE,$S$4=FALSE),IF(OR($Q$4=TRUE,$Q$5=TRUE,$S$2=TRUE),VLOOKUP($G708,'KO Calc'!$H:$AW,24,FALSE),VLOOKUP($G708,'KO Calc'!$H714:$AW714,24,FALSE)),
IF(AND($S$3=TRUE,$S$1=TRUE,$S$4=TRUE)=TRUE,IF(OR($Q$4=TRUE,$Q$5=TRUE,$S$2=TRUE),VLOOKUP($G708,'KO Calc'!$H:$AW,39,FALSE),VLOOKUP($G708,'KO Calc'!$H714:$AW714,39,FALSE)),IF(AND($S$3=TRUE,$S$4=TRUE),IF(OR($Q$4=TRUE,$Q$5=TRUE,$S$2=TRUE),VLOOKUP($G708,'KO Calc'!$H:$AW,29,FALSE),VLOOKUP($G708,'KO Calc'!$H714:$AW714,29,FALSE)))))))))))))</f>
        <v>-</v>
      </c>
      <c r="K708" s="36" t="str">
        <f>IF(AND($Q$1=FALSE,$S$3=FALSE),"-",IF(AND($Q$1=TRUE,$S$3=TRUE),"-",IF(AND($Q$1=FALSE,$S$3=FALSE),"-",IF(AND($Q$1=TRUE,$S$1=TRUE,$S$4=FALSE)=TRUE,IF(OR($Q$4=TRUE,$Q$5=TRUE,$S$2=TRUE),VLOOKUP($G708,'KO Calc'!$H:$AW,15,FALSE),VLOOKUP($G708,'KO Calc'!$H714:$AW714,15,FALSE)),IF(AND($Q$1=TRUE,$S$4=FALSE),IF(OR($Q$4=TRUE,$Q$5=TRUE,$S$2=TRUE),VLOOKUP($G708,'KO Calc'!$H:$AW,5,FALSE),VLOOKUP($G708,'KO Calc'!$H714:$AW714,5,FALSE)),
IF(AND($Q$1=TRUE,$S$1=TRUE,$S$4=TRUE)=TRUE,IF(OR($Q$4=TRUE,$Q$5=TRUE,$S$2=TRUE),VLOOKUP($G708,'KO Calc'!$H:$AW,20,FALSE),VLOOKUP($G708,'KO Calc'!$H714:$AW714,20,FALSE)),IF(AND($Q$1=TRUE,$S$4=TRUE),IF(OR($Q$4=TRUE,$Q$5=TRUE,$S$2=TRUE),VLOOKUP($G708,'KO Calc'!$H:$AW,10,FALSE),VLOOKUP($G708,'KO Calc'!$H714:$AW714,10,FALSE)),
IF(AND($S$3=TRUE,$S$1=TRUE,$S$4=FALSE)=TRUE,IF(OR($Q$4=TRUE,$Q$5=TRUE,$S$2=TRUE),VLOOKUP($G708,'KO Calc'!$H:$AW,35,FALSE),VLOOKUP($G708,'KO Calc'!$H714:$AW714,35,FALSE)),IF(AND($S$3=TRUE,$S$4=FALSE),IF(OR($Q$4=TRUE,$Q$5=TRUE,$S$2=TRUE),VLOOKUP($G708,'KO Calc'!$H:$AW,25,FALSE),VLOOKUP($G708,'KO Calc'!$H714:$AW714,25,FALSE)),
IF(AND($S$3=TRUE,$S$1=TRUE,$S$4=TRUE)=TRUE,IF(OR($Q$4=TRUE,$Q$5=TRUE,$S$2=TRUE),VLOOKUP($G708,'KO Calc'!$H:$AW,40,FALSE),VLOOKUP($G708,'KO Calc'!$H714:$AW714,40,FALSE)),IF(AND($S$3=TRUE,$S$4=TRUE),IF(OR($Q$4=TRUE,$Q$5=TRUE,$S$2=TRUE),VLOOKUP($G708,'KO Calc'!$H:$AW,30,FALSE),VLOOKUP($G708,'KO Calc'!$H714:$AW714,30,FALSE)))))))))))))</f>
        <v>-</v>
      </c>
      <c r="L708" s="36" t="str">
        <f>IFERROR(IF(AND($Q$1=FALSE,$S$3=FALSE),"-",VLOOKUP($E708,'Status Thresholds'!$E:$AU,43,FALSE)),"-")</f>
        <v>-</v>
      </c>
      <c r="M708" s="36" t="str">
        <f>IFERROR(IF(AND($Q$1=FALSE,$S$3=FALSE),"-",VLOOKUP($E708,'Status Thresholds'!$E:$AU,41,FALSE)),"-")</f>
        <v>-</v>
      </c>
      <c r="N708" s="36" t="str">
        <f>IFERROR(IF(AND($Q$1=FALSE,$S$3=FALSE),"-",VLOOKUP($E708,'Status Thresholds'!$E:$AU,42,FALSE)),"-")</f>
        <v>-</v>
      </c>
    </row>
    <row r="709" spans="2:14" x14ac:dyDescent="0.25">
      <c r="B709" s="64" t="str">
        <f>VLOOKUP(C709,'Status Thresholds'!B:C,2,FALSE)</f>
        <v>Deviant</v>
      </c>
      <c r="C709" s="46" t="str">
        <f>IF(ISBLANK('KO Calc'!C705)=TRUE,"",'KO Calc'!C705)</f>
        <v>Silverwind Nargacuga</v>
      </c>
      <c r="D709" s="78"/>
      <c r="E709" s="62" t="str">
        <f t="shared" si="19"/>
        <v>Silverwind Nargacuga</v>
      </c>
      <c r="F709" t="s">
        <v>11</v>
      </c>
      <c r="G709" s="36" t="str">
        <f t="shared" si="20"/>
        <v>Silverwind NargacugaCrag 1</v>
      </c>
      <c r="H709" s="36" t="str">
        <f>IF(AND($Q$1=FALSE,$S$3=FALSE),"-",IF(AND($Q$1=TRUE,$S$3=TRUE),"-",IF(AND($Q$1=FALSE,$S$3=FALSE),"-",IF(AND($Q$1=TRUE,$S$1=TRUE,$S$4=FALSE)=TRUE,IF(OR($Q$4=TRUE,$Q$5=TRUE,$S$2=TRUE),VLOOKUP($G709,'KO Calc'!$H:$AW,12,FALSE),VLOOKUP($G709,'KO Calc'!$H715:$AW715,12,FALSE)),IF(AND($Q$1=TRUE,$S$4=FALSE),IF(OR($Q$4=TRUE,$Q$5=TRUE,$S$2=TRUE),VLOOKUP($G709,'KO Calc'!$H:$AW,2,FALSE),VLOOKUP($G709,'KO Calc'!$H715:$AW715,2,FALSE)),
IF(AND($Q$1=TRUE,$S$1=TRUE,$S$4=TRUE)=TRUE,IF(OR($Q$4=TRUE,$Q$5=TRUE,$S$2=TRUE),VLOOKUP($G709,'KO Calc'!$H:$AW,17,FALSE),VLOOKUP($G709,'KO Calc'!$H715:$AW715,17,FALSE)),IF(AND($Q$1=TRUE,$S$4=TRUE),IF(OR($Q$4=TRUE,$Q$5=TRUE,$S$2=TRUE),VLOOKUP($G709,'KO Calc'!$H:$AW,7,FALSE),VLOOKUP($G709,'KO Calc'!$H715:$AW715,7,FALSE)),
IF(AND($S$3=TRUE,$S$1=TRUE,$S$4=FALSE)=TRUE,IF(OR($Q$4=TRUE,$Q$5=TRUE,$S$2=TRUE),VLOOKUP($G709,'KO Calc'!$H:$AW,32,FALSE),VLOOKUP($G709,'KO Calc'!$H715:$AW715,32,FALSE)),IF(AND($S$3=TRUE,$S$4=FALSE),IF(OR($Q$4=TRUE,$Q$5=TRUE,$S$2=TRUE),VLOOKUP($G709,'KO Calc'!$H:$AW,22,FALSE),VLOOKUP($G709,'KO Calc'!$H715:$AW715,22,FALSE)),
IF(AND($S$3=TRUE,$S$1=TRUE,$S$4=TRUE)=TRUE,IF(OR($Q$4=TRUE,$Q$5=TRUE,$S$2=TRUE),VLOOKUP($G709,'KO Calc'!$H:$AW,37,FALSE),VLOOKUP($G709,'KO Calc'!$H715:$AW715,37,FALSE)),IF(AND($S$3=TRUE,$S$4=TRUE),IF(OR($Q$4=TRUE,$Q$5=TRUE,$S$2=TRUE),VLOOKUP($G709,'KO Calc'!$H:$AW,27,FALSE),VLOOKUP($G709,'KO Calc'!$H715:$AW715,27,FALSE)))))))))))))</f>
        <v>-</v>
      </c>
      <c r="I709" s="36" t="str">
        <f>IF(AND($Q$1=FALSE,$S$3=FALSE),"-",IF(AND($Q$1=TRUE,$S$3=TRUE),"-",IF(AND($Q$1=FALSE,$S$3=FALSE),"-",IF(AND($Q$1=TRUE,$S$1=TRUE,$S$4=FALSE)=TRUE,IF(OR($Q$4=TRUE,$Q$5=TRUE,$S$2=TRUE),VLOOKUP($G709,'KO Calc'!$H:$AW,13,FALSE),VLOOKUP($G709,'KO Calc'!$H715:$AW715,13,FALSE)),IF(AND($Q$1=TRUE,$S$4=FALSE),IF(OR($Q$4=TRUE,$Q$5=TRUE,$S$2=TRUE),VLOOKUP($G709,'KO Calc'!$H:$AW,3,FALSE),VLOOKUP($G709,'KO Calc'!$H715:$AW715,3,FALSE)),
IF(AND($Q$1=TRUE,$S$1=TRUE,$S$4=TRUE)=TRUE,IF(OR($Q$4=TRUE,$Q$5=TRUE,$S$2=TRUE),VLOOKUP($G709,'KO Calc'!$H:$AW,18,FALSE),VLOOKUP($G709,'KO Calc'!$H715:$AW715,18,FALSE)),IF(AND($Q$1=TRUE,$S$4=TRUE),IF(OR($Q$4=TRUE,$Q$5=TRUE,$S$2=TRUE),VLOOKUP($G709,'KO Calc'!$H:$AW,8,FALSE),VLOOKUP($G709,'KO Calc'!$H715:$AW715,8,FALSE)),
IF(AND($S$3=TRUE,$S$1=TRUE,$S$4=FALSE)=TRUE,IF(OR($Q$4=TRUE,$Q$5=TRUE,$S$2=TRUE),VLOOKUP($G709,'KO Calc'!$H:$AW,33,FALSE),VLOOKUP($G709,'KO Calc'!$H715:$AW715,33,FALSE)),IF(AND($S$3=TRUE,$S$4=FALSE),IF(OR($Q$4=TRUE,$Q$5=TRUE,$S$2=TRUE),VLOOKUP($G709,'KO Calc'!$H:$AW,23,FALSE),VLOOKUP($G709,'KO Calc'!$H715:$AW715,23,FALSE)),
IF(AND($S$3=TRUE,$S$1=TRUE,$S$4=TRUE)=TRUE,IF(OR($Q$4=TRUE,$Q$5=TRUE,$S$2=TRUE),VLOOKUP($G709,'KO Calc'!$H:$AW,38,FALSE),VLOOKUP($G709,'KO Calc'!$H715:$AW715,38,FALSE)),IF(AND($S$3=TRUE,$S$4=TRUE),IF(OR($Q$4=TRUE,$Q$5=TRUE,$S$2=TRUE),VLOOKUP($G709,'KO Calc'!$H:$AW,28,FALSE),VLOOKUP($G709,'KO Calc'!$H715:$AW715,28,FALSE)))))))))))))</f>
        <v>-</v>
      </c>
      <c r="J709" s="36" t="str">
        <f>IF(AND($Q$1=FALSE,$S$3=FALSE),"-",IF(AND($Q$1=TRUE,$S$3=TRUE),"-",IF(AND($Q$1=FALSE,$S$3=FALSE),"-",IF(AND($Q$1=TRUE,$S$1=TRUE,$S$4=FALSE)=TRUE,IF(OR($Q$4=TRUE,$Q$5=TRUE,$S$2=TRUE),VLOOKUP($G709,'KO Calc'!$H:$AW,FALSE),VLOOKUP($G709,'KO Calc'!$H715:$AW715,14,FALSE)),IF(AND($Q$1=TRUE,$S$4=FALSE),IF(OR($Q$4=TRUE,$Q$5=TRUE,$S$2=TRUE),VLOOKUP($G709,'KO Calc'!$H:$AW,4,FALSE),VLOOKUP($G709,'KO Calc'!$H715:$AW715,4,FALSE)),
IF(AND($Q$1=TRUE,$S$1=TRUE,$S$4=TRUE)=TRUE,IF(OR($Q$4=TRUE,$Q$5=TRUE,$S$2=TRUE),VLOOKUP($G709,'KO Calc'!$H:$AW,19,FALSE),VLOOKUP($G709,'KO Calc'!$H715:$AW715,19,FALSE)),IF(AND($Q$1=TRUE,$S$4=TRUE),IF(OR($Q$4=TRUE,$Q$5=TRUE,$S$2=TRUE),VLOOKUP($G709,'KO Calc'!$H:$AW,9,FALSE),VLOOKUP($G709,'KO Calc'!$H715:$AW715,9,FALSE)),
IF(AND($S$3=TRUE,$S$1=TRUE,$S$4=FALSE)=TRUE,IF(OR($Q$4=TRUE,$Q$5=TRUE,$S$2=TRUE),VLOOKUP($G709,'KO Calc'!$H:$AW,34,FALSE),VLOOKUP($G709,'KO Calc'!$H715:$AW715,34,FALSE)),IF(AND($S$3=TRUE,$S$4=FALSE),IF(OR($Q$4=TRUE,$Q$5=TRUE,$S$2=TRUE),VLOOKUP($G709,'KO Calc'!$H:$AW,24,FALSE),VLOOKUP($G709,'KO Calc'!$H715:$AW715,24,FALSE)),
IF(AND($S$3=TRUE,$S$1=TRUE,$S$4=TRUE)=TRUE,IF(OR($Q$4=TRUE,$Q$5=TRUE,$S$2=TRUE),VLOOKUP($G709,'KO Calc'!$H:$AW,39,FALSE),VLOOKUP($G709,'KO Calc'!$H715:$AW715,39,FALSE)),IF(AND($S$3=TRUE,$S$4=TRUE),IF(OR($Q$4=TRUE,$Q$5=TRUE,$S$2=TRUE),VLOOKUP($G709,'KO Calc'!$H:$AW,29,FALSE),VLOOKUP($G709,'KO Calc'!$H715:$AW715,29,FALSE)))))))))))))</f>
        <v>-</v>
      </c>
      <c r="K709" s="36" t="str">
        <f>IF(AND($Q$1=FALSE,$S$3=FALSE),"-",IF(AND($Q$1=TRUE,$S$3=TRUE),"-",IF(AND($Q$1=FALSE,$S$3=FALSE),"-",IF(AND($Q$1=TRUE,$S$1=TRUE,$S$4=FALSE)=TRUE,IF(OR($Q$4=TRUE,$Q$5=TRUE,$S$2=TRUE),VLOOKUP($G709,'KO Calc'!$H:$AW,15,FALSE),VLOOKUP($G709,'KO Calc'!$H715:$AW715,15,FALSE)),IF(AND($Q$1=TRUE,$S$4=FALSE),IF(OR($Q$4=TRUE,$Q$5=TRUE,$S$2=TRUE),VLOOKUP($G709,'KO Calc'!$H:$AW,5,FALSE),VLOOKUP($G709,'KO Calc'!$H715:$AW715,5,FALSE)),
IF(AND($Q$1=TRUE,$S$1=TRUE,$S$4=TRUE)=TRUE,IF(OR($Q$4=TRUE,$Q$5=TRUE,$S$2=TRUE),VLOOKUP($G709,'KO Calc'!$H:$AW,20,FALSE),VLOOKUP($G709,'KO Calc'!$H715:$AW715,20,FALSE)),IF(AND($Q$1=TRUE,$S$4=TRUE),IF(OR($Q$4=TRUE,$Q$5=TRUE,$S$2=TRUE),VLOOKUP($G709,'KO Calc'!$H:$AW,10,FALSE),VLOOKUP($G709,'KO Calc'!$H715:$AW715,10,FALSE)),
IF(AND($S$3=TRUE,$S$1=TRUE,$S$4=FALSE)=TRUE,IF(OR($Q$4=TRUE,$Q$5=TRUE,$S$2=TRUE),VLOOKUP($G709,'KO Calc'!$H:$AW,35,FALSE),VLOOKUP($G709,'KO Calc'!$H715:$AW715,35,FALSE)),IF(AND($S$3=TRUE,$S$4=FALSE),IF(OR($Q$4=TRUE,$Q$5=TRUE,$S$2=TRUE),VLOOKUP($G709,'KO Calc'!$H:$AW,25,FALSE),VLOOKUP($G709,'KO Calc'!$H715:$AW715,25,FALSE)),
IF(AND($S$3=TRUE,$S$1=TRUE,$S$4=TRUE)=TRUE,IF(OR($Q$4=TRUE,$Q$5=TRUE,$S$2=TRUE),VLOOKUP($G709,'KO Calc'!$H:$AW,40,FALSE),VLOOKUP($G709,'KO Calc'!$H715:$AW715,40,FALSE)),IF(AND($S$3=TRUE,$S$4=TRUE),IF(OR($Q$4=TRUE,$Q$5=TRUE,$S$2=TRUE),VLOOKUP($G709,'KO Calc'!$H:$AW,30,FALSE),VLOOKUP($G709,'KO Calc'!$H715:$AW715,30,FALSE)))))))))))))</f>
        <v>-</v>
      </c>
      <c r="L709" s="36" t="str">
        <f>IFERROR(VLOOKUP($E709,'Status Thresholds'!$E:$AS,41,FALSE),"-")</f>
        <v>-</v>
      </c>
    </row>
    <row r="710" spans="2:14" x14ac:dyDescent="0.25">
      <c r="B710" s="64" t="str">
        <f>VLOOKUP(C710,'Status Thresholds'!B:C,2,FALSE)</f>
        <v>Deviant</v>
      </c>
      <c r="C710" s="46" t="str">
        <f>IF(ISBLANK('KO Calc'!C706)=TRUE,"",'KO Calc'!C706)</f>
        <v>Silverwind Nargacuga</v>
      </c>
      <c r="D710" s="78"/>
      <c r="E710" s="62" t="str">
        <f t="shared" si="19"/>
        <v>Silverwind Nargacuga</v>
      </c>
      <c r="G710" s="36" t="str">
        <f t="shared" si="20"/>
        <v>Silverwind Nargacuga</v>
      </c>
      <c r="L710" s="36" t="str">
        <f>IFERROR(VLOOKUP($E710,'Status Thresholds'!$E:$AS,41,FALSE),"-")</f>
        <v>-</v>
      </c>
    </row>
    <row r="711" spans="2:14" x14ac:dyDescent="0.25">
      <c r="B711" s="64" t="str">
        <f>VLOOKUP(C711,'Status Thresholds'!B:C,2,FALSE)</f>
        <v>Deviant</v>
      </c>
      <c r="C711" s="46" t="str">
        <f>IF(ISBLANK('KO Calc'!C707)=TRUE,"",'KO Calc'!C707)</f>
        <v>Snowbaron Lagombi</v>
      </c>
      <c r="D711" s="65" t="s">
        <v>0</v>
      </c>
      <c r="E711" s="62" t="str">
        <f t="shared" ref="E711:E774" si="21">C711&amp;D711</f>
        <v>Snowbaron LagombiPara</v>
      </c>
      <c r="F711" s="36" t="s">
        <v>2</v>
      </c>
      <c r="G711" s="36" t="str">
        <f t="shared" si="20"/>
        <v>Snowbaron LagombiPara lvl 2</v>
      </c>
      <c r="H711" s="36" t="str">
        <f>IFERROR(ROUNDUP(IF(AND($Q$1=FALSE,$S$3=FALSE),"-",IF(AND($Q$1=TRUE,$S$3=TRUE),"-",IF(AND($Q$1=TRUE,$S$1=TRUE,$S$4=FALSE),VLOOKUP($E711,'Status Thresholds'!$E:$AS,12,FALSE),IF(AND($Q$1=TRUE,$S$4=FALSE),VLOOKUP($E711,'Status Thresholds'!$E:$AS,2,FALSE), IF(AND($Q$1=TRUE,$S$1=TRUE,$S$4=TRUE),VLOOKUP($E711,'Status Thresholds'!$E:$AS,17,FALSE),IF(AND($Q$1=TRUE,$S$4=TRUE),VLOOKUP($E711,'Status Thresholds'!$E:$AS,7,FALSE),IF(AND($S$3=TRUE,$S$1=TRUE,$S$4=FALSE),VLOOKUP($E711,'Status Thresholds'!$E:$AS,32,FALSE),IF(AND($S$3=TRUE,$S$4=FALSE),VLOOKUP($E711,'Status Thresholds'!$E:$AS,22,FALSE),IF(AND($S$3=TRUE,$S$1=TRUE,$S$4=TRUE),VLOOKUP($E711,'Status Thresholds'!$E:$AS,37,FALSE),IF(AND($S$3=TRUE,$S$4=TRUE),VLOOKUP($E711,'Status Thresholds'!$E:$AS,27,FALSE),""))))))))/IF(OR($Q$3=TRUE,AND($Q$2=TRUE,$Q$7=TRUE),AND($Q$3=TRUE,$Q$7=TRUE))=TRUE,'Shots and Status'!$F$5,IF((OR($Q$2,$Q$7)=TRUE),'Shots and Status'!$D$5,'Shots and Status'!$C$5)))),0),"-")</f>
        <v>-</v>
      </c>
      <c r="I711" s="36" t="str">
        <f>IFERROR(ROUNDUP(IF(AND($Q$1=FALSE,$S$3=FALSE),"-",IF(AND($Q$1=TRUE,$S$3=TRUE),"-",IF(AND($Q$1=TRUE,$S$1=TRUE,$S$4=FALSE),VLOOKUP($E711,'Status Thresholds'!$E:$AS,13,FALSE),IF(AND($Q$1=TRUE,$S$4=FALSE),VLOOKUP($E711,'Status Thresholds'!$E:$AS,3,FALSE), IF(AND($Q$1=TRUE,$S$1=TRUE,$S$4=TRUE),VLOOKUP($E711,'Status Thresholds'!$E:$AS,18,FALSE),IF(AND($Q$1=TRUE,$S$4=TRUE),VLOOKUP($E711,'Status Thresholds'!$E:$AS,8,FALSE),IF(AND($S$3=TRUE,$S$1=TRUE,$S$4=FALSE),VLOOKUP($E711,'Status Thresholds'!$E:$AS,33,FALSE),IF(AND($S$3=TRUE,$S$4=FALSE),VLOOKUP($E711,'Status Thresholds'!$E:$AS,23,FALSE),IF(AND($S$3=TRUE,$S$1=TRUE,$S$4=TRUE),VLOOKUP($E711,'Status Thresholds'!$E:$AS,38,FALSE),IF(AND($S$3=TRUE,$S$4=TRUE),VLOOKUP($E711,'Status Thresholds'!$E:$AS,28,FALSE),""))))))))/IF(OR($Q$3=TRUE,AND($Q$2=TRUE,$Q$7=TRUE),AND($Q$3=TRUE,$Q$7=TRUE))=TRUE,'Shots and Status'!$F$5,IF((OR($Q$2,$Q$7)=TRUE),'Shots and Status'!$D$5,'Shots and Status'!$C$5)))),0),"-")</f>
        <v>-</v>
      </c>
      <c r="J711" s="36" t="str">
        <f>IFERROR(ROUNDUP(IF(AND($Q$1=FALSE,$S$3=FALSE),"-",IF(AND($Q$1=TRUE,$S$3=TRUE),"-",IF(AND($Q$1=TRUE,$S$1=TRUE,$S$4=FALSE),VLOOKUP($E711,'Status Thresholds'!$E:$AS,14,FALSE),IF(AND($Q$1=TRUE,$S$4=FALSE),VLOOKUP($E711,'Status Thresholds'!$E:$AS,4,FALSE), IF(AND($Q$1=TRUE,$S$1=TRUE,$S$4=TRUE),VLOOKUP($E711,'Status Thresholds'!$E:$AS,19,FALSE),IF(AND($Q$1=TRUE,$S$4=TRUE),VLOOKUP($E711,'Status Thresholds'!$E:$AS,9,FALSE),IF(AND($S$3=TRUE,$S$1=TRUE,$S$4=FALSE),VLOOKUP($E711,'Status Thresholds'!$E:$AS,34,FALSE),IF(AND($S$3=TRUE,$S$4=FALSE),VLOOKUP($E711,'Status Thresholds'!$E:$AS,24,FALSE),IF(AND($S$3=TRUE,$S$1=TRUE,$S$4=TRUE),VLOOKUP($E711,'Status Thresholds'!$E:$AS,39,FALSE),IF(AND($S$3=TRUE,$S$4=TRUE),VLOOKUP($E711,'Status Thresholds'!$E:$AS,29,FALSE),""))))))))/IF(OR($Q$3=TRUE,AND($Q$2=TRUE,$Q$7=TRUE),AND($Q$3=TRUE,$Q$7=TRUE))=TRUE,'Shots and Status'!$F$5,IF((OR($Q$2,$Q$7)=TRUE),'Shots and Status'!$D$5,'Shots and Status'!$C$5)))),0),"-")</f>
        <v>-</v>
      </c>
      <c r="K711" s="36" t="str">
        <f>IFERROR(ROUNDUP(IF(AND($Q$1=FALSE,$S$3=FALSE),"-",IF(AND($Q$1=TRUE,$S$3=TRUE),"-",IF(AND($Q$1=TRUE,$S$1=TRUE,$S$4=FALSE),VLOOKUP($E711,'Status Thresholds'!$E:$AS,15,FALSE),IF(AND($Q$1=TRUE,$S$4=FALSE),VLOOKUP($E711,'Status Thresholds'!$E:$AS,5,FALSE), IF(AND($Q$1=TRUE,$S$1=TRUE,$S$4=TRUE),VLOOKUP($E711,'Status Thresholds'!$E:$AS,20,FALSE),IF(AND($Q$1=TRUE,$S$4=TRUE),VLOOKUP($E711,'Status Thresholds'!$E:$AS,10,FALSE),IF(AND($S$3=TRUE,$S$1=TRUE,$S$4=FALSE),VLOOKUP($E711,'Status Thresholds'!$E:$AS,35,FALSE),IF(AND($S$3=TRUE,$S$4=FALSE),VLOOKUP($E711,'Status Thresholds'!$E:$AS,25,FALSE),IF(AND($S$3=TRUE,$S$1=TRUE,$S$4=TRUE),VLOOKUP($E711,'Status Thresholds'!$E:$AS,40,FALSE),IF(AND($S$3=TRUE,$S$4=TRUE),VLOOKUP($E711,'Status Thresholds'!$E:$AS,30,FALSE),""))))))))/IF(OR($Q$3=TRUE,AND($Q$2=TRUE,$Q$7=TRUE),AND($Q$3=TRUE,$Q$7=TRUE))=TRUE,'Shots and Status'!$F$5,IF((OR($Q$2,$Q$7)=TRUE),'Shots and Status'!$D$5,'Shots and Status'!$C$5)))),0),"-")</f>
        <v>-</v>
      </c>
      <c r="L711" s="36" t="str">
        <f>IFERROR(IF(AND($Q$1=FALSE,$S$3=FALSE),"-",VLOOKUP($E711,'Status Thresholds'!$E:$AU,41,FALSE)),"-")</f>
        <v>-</v>
      </c>
      <c r="M711" s="36" t="str">
        <f>IFERROR(IF(AND($Q$1=FALSE,$S$3=FALSE),"-",VLOOKUP($E711,'Status Thresholds'!$E:$AU,42,FALSE)),"-")</f>
        <v>-</v>
      </c>
      <c r="N711" s="36" t="str">
        <f>IFERROR(IF(AND($Q$1=FALSE,$S$3=FALSE),"-",VLOOKUP($E711,'Status Thresholds'!$E:$AU,43,FALSE)),"-")</f>
        <v>-</v>
      </c>
    </row>
    <row r="712" spans="2:14" x14ac:dyDescent="0.25">
      <c r="B712" s="64" t="str">
        <f>VLOOKUP(C712,'Status Thresholds'!B:C,2,FALSE)</f>
        <v>Deviant</v>
      </c>
      <c r="C712" s="46" t="str">
        <f>IF(ISBLANK('KO Calc'!C708)=TRUE,"",'KO Calc'!C708)</f>
        <v>Snowbaron Lagombi</v>
      </c>
      <c r="D712" s="60" t="s">
        <v>32</v>
      </c>
      <c r="E712" s="62" t="str">
        <f t="shared" si="21"/>
        <v>Snowbaron LagombiSleep</v>
      </c>
      <c r="F712" s="59" t="s">
        <v>5</v>
      </c>
      <c r="G712" s="36" t="str">
        <f t="shared" si="20"/>
        <v>Snowbaron LagombiSleep lvl 2</v>
      </c>
      <c r="H712" s="36" t="str">
        <f>IFERROR(ROUNDUP(IF(AND($Q$1=FALSE,$S$3=FALSE),"-",IF(AND($Q$1=TRUE,$S$3=TRUE),"-",IF(AND($Q$1=TRUE,$S$1=TRUE,$S$4=FALSE),VLOOKUP($E712,'Status Thresholds'!$E:$AS,12,FALSE),IF(AND($Q$1=TRUE,$S$4=FALSE),VLOOKUP($E712,'Status Thresholds'!$E:$AS,2,FALSE), IF(AND($Q$1=TRUE,$S$1=TRUE,$S$4=TRUE),VLOOKUP($E712,'Status Thresholds'!$E:$AS,17,FALSE),IF(AND($Q$1=TRUE,$S$4=TRUE),VLOOKUP($E712,'Status Thresholds'!$E:$AS,7,FALSE),IF(AND($S$3=TRUE,$S$1=TRUE,$S$4=FALSE),VLOOKUP($E712,'Status Thresholds'!$E:$AS,32,FALSE),IF(AND($S$3=TRUE,$S$4=FALSE),VLOOKUP($E712,'Status Thresholds'!$E:$AS,22,FALSE),IF(AND($S$3=TRUE,$S$1=TRUE,$S$4=TRUE),VLOOKUP($E712,'Status Thresholds'!$E:$AS,37,FALSE),IF(AND($S$3=TRUE,$S$4=TRUE),VLOOKUP($E712,'Status Thresholds'!$E:$AS,27,FALSE),""))))))))/IF(OR($Q$3=TRUE,AND($Q$2=TRUE,$Q$7=TRUE),AND($Q$3=TRUE,$Q$7=TRUE))=TRUE,'Shots and Status'!$F$5,IF((OR($Q$2,$Q$7)=TRUE),'Shots and Status'!$D$5,'Shots and Status'!$C$5)))),0),"-")</f>
        <v>-</v>
      </c>
      <c r="I712" s="36" t="str">
        <f>IFERROR(ROUNDUP(IF(AND($Q$1=FALSE,$S$3=FALSE),"-",IF(AND($Q$1=TRUE,$S$3=TRUE),"-",IF(AND($Q$1=TRUE,$S$1=TRUE,$S$4=FALSE),VLOOKUP($E712,'Status Thresholds'!$E:$AS,13,FALSE),IF(AND($Q$1=TRUE,$S$4=FALSE),VLOOKUP($E712,'Status Thresholds'!$E:$AS,3,FALSE), IF(AND($Q$1=TRUE,$S$1=TRUE,$S$4=TRUE),VLOOKUP($E712,'Status Thresholds'!$E:$AS,18,FALSE),IF(AND($Q$1=TRUE,$S$4=TRUE),VLOOKUP($E712,'Status Thresholds'!$E:$AS,8,FALSE),IF(AND($S$3=TRUE,$S$1=TRUE,$S$4=FALSE),VLOOKUP($E712,'Status Thresholds'!$E:$AS,33,FALSE),IF(AND($S$3=TRUE,$S$4=FALSE),VLOOKUP($E712,'Status Thresholds'!$E:$AS,23,FALSE),IF(AND($S$3=TRUE,$S$1=TRUE,$S$4=TRUE),VLOOKUP($E712,'Status Thresholds'!$E:$AS,38,FALSE),IF(AND($S$3=TRUE,$S$4=TRUE),VLOOKUP($E712,'Status Thresholds'!$E:$AS,28,FALSE),""))))))))/IF(OR($Q$3=TRUE,AND($Q$2=TRUE,$Q$7=TRUE),AND($Q$3=TRUE,$Q$7=TRUE))=TRUE,'Shots and Status'!$F$5,IF((OR($Q$2,$Q$7)=TRUE),'Shots and Status'!$D$5,'Shots and Status'!$C$5)))),0),"-")</f>
        <v>-</v>
      </c>
      <c r="J712" s="36" t="str">
        <f>IFERROR(ROUNDUP(IF(AND($Q$1=FALSE,$S$3=FALSE),"-",IF(AND($Q$1=TRUE,$S$3=TRUE),"-",IF(AND($Q$1=TRUE,$S$1=TRUE,$S$4=FALSE),VLOOKUP($E712,'Status Thresholds'!$E:$AS,14,FALSE),IF(AND($Q$1=TRUE,$S$4=FALSE),VLOOKUP($E712,'Status Thresholds'!$E:$AS,4,FALSE), IF(AND($Q$1=TRUE,$S$1=TRUE,$S$4=TRUE),VLOOKUP($E712,'Status Thresholds'!$E:$AS,19,FALSE),IF(AND($Q$1=TRUE,$S$4=TRUE),VLOOKUP($E712,'Status Thresholds'!$E:$AS,9,FALSE),IF(AND($S$3=TRUE,$S$1=TRUE,$S$4=FALSE),VLOOKUP($E712,'Status Thresholds'!$E:$AS,34,FALSE),IF(AND($S$3=TRUE,$S$4=FALSE),VLOOKUP($E712,'Status Thresholds'!$E:$AS,24,FALSE),IF(AND($S$3=TRUE,$S$1=TRUE,$S$4=TRUE),VLOOKUP($E712,'Status Thresholds'!$E:$AS,39,FALSE),IF(AND($S$3=TRUE,$S$4=TRUE),VLOOKUP($E712,'Status Thresholds'!$E:$AS,29,FALSE),""))))))))/IF(OR($Q$3=TRUE,AND($Q$2=TRUE,$Q$7=TRUE),AND($Q$3=TRUE,$Q$7=TRUE))=TRUE,'Shots and Status'!$F$5,IF((OR($Q$2,$Q$7)=TRUE),'Shots and Status'!$D$5,'Shots and Status'!$C$5)))),0),"-")</f>
        <v>-</v>
      </c>
      <c r="K712" s="36" t="str">
        <f>IFERROR(ROUNDUP(IF(AND($Q$1=FALSE,$S$3=FALSE),"-",IF(AND($Q$1=TRUE,$S$3=TRUE),"-",IF(AND($Q$1=TRUE,$S$1=TRUE,$S$4=FALSE),VLOOKUP($E712,'Status Thresholds'!$E:$AS,15,FALSE),IF(AND($Q$1=TRUE,$S$4=FALSE),VLOOKUP($E712,'Status Thresholds'!$E:$AS,5,FALSE), IF(AND($Q$1=TRUE,$S$1=TRUE,$S$4=TRUE),VLOOKUP($E712,'Status Thresholds'!$E:$AS,20,FALSE),IF(AND($Q$1=TRUE,$S$4=TRUE),VLOOKUP($E712,'Status Thresholds'!$E:$AS,10,FALSE),IF(AND($S$3=TRUE,$S$1=TRUE,$S$4=FALSE),VLOOKUP($E712,'Status Thresholds'!$E:$AS,35,FALSE),IF(AND($S$3=TRUE,$S$4=FALSE),VLOOKUP($E712,'Status Thresholds'!$E:$AS,25,FALSE),IF(AND($S$3=TRUE,$S$1=TRUE,$S$4=TRUE),VLOOKUP($E712,'Status Thresholds'!$E:$AS,40,FALSE),IF(AND($S$3=TRUE,$S$4=TRUE),VLOOKUP($E712,'Status Thresholds'!$E:$AS,30,FALSE),""))))))))/IF(OR($Q$3=TRUE,AND($Q$2=TRUE,$Q$7=TRUE),AND($Q$3=TRUE,$Q$7=TRUE))=TRUE,'Shots and Status'!$F$5,IF((OR($Q$2,$Q$7)=TRUE),'Shots and Status'!$D$5,'Shots and Status'!$C$5)))),0),"-")</f>
        <v>-</v>
      </c>
      <c r="L712" s="36" t="str">
        <f>IFERROR(IF(AND($Q$1=FALSE,$S$3=FALSE),"-",VLOOKUP($E712,'Status Thresholds'!$E:$AU,41,FALSE)),"-")</f>
        <v>-</v>
      </c>
      <c r="M712" s="36" t="str">
        <f>IFERROR(IF(AND($Q$1=FALSE,$S$3=FALSE),"-",VLOOKUP($E712,'Status Thresholds'!$E:$AU,42,FALSE)),"-")</f>
        <v>-</v>
      </c>
      <c r="N712" s="36" t="str">
        <f>IFERROR(IF(AND($Q$1=FALSE,$S$3=FALSE),"-",VLOOKUP($E712,'Status Thresholds'!$E:$AU,43,FALSE)),"-")</f>
        <v>-</v>
      </c>
    </row>
    <row r="713" spans="2:14" x14ac:dyDescent="0.25">
      <c r="B713" s="64" t="str">
        <f>VLOOKUP(C713,'Status Thresholds'!B:C,2,FALSE)</f>
        <v>Deviant</v>
      </c>
      <c r="C713" s="46" t="str">
        <f>IF(ISBLANK('KO Calc'!C709)=TRUE,"",'KO Calc'!C709)</f>
        <v>Snowbaron Lagombi</v>
      </c>
      <c r="D713" s="58" t="s">
        <v>33</v>
      </c>
      <c r="E713" s="62" t="str">
        <f t="shared" si="21"/>
        <v>Snowbaron LagombiPoison</v>
      </c>
      <c r="F713" s="59" t="s">
        <v>6</v>
      </c>
      <c r="G713" s="36" t="str">
        <f t="shared" si="20"/>
        <v>Snowbaron LagombiPoison lvl 2</v>
      </c>
      <c r="H713" s="36" t="str">
        <f>IFERROR(ROUNDUP(IF(AND($Q$1=FALSE,$S$3=FALSE),"-",IF(AND($Q$1=TRUE,$S$3=TRUE),"-",IF(AND($Q$1=TRUE,$S$1=TRUE,$S$4=FALSE),VLOOKUP($E713,'Status Thresholds'!$E:$AS,12,FALSE),IF(AND($Q$1=TRUE,$S$4=FALSE),VLOOKUP($E713,'Status Thresholds'!$E:$AS,2,FALSE), IF(AND($Q$1=TRUE,$S$1=TRUE,$S$4=TRUE),VLOOKUP($E713,'Status Thresholds'!$E:$AS,17,FALSE),IF(AND($Q$1=TRUE,$S$4=TRUE),VLOOKUP($E713,'Status Thresholds'!$E:$AS,7,FALSE),IF(AND($S$3=TRUE,$S$1=TRUE,$S$4=FALSE),VLOOKUP($E713,'Status Thresholds'!$E:$AS,32,FALSE),IF(AND($S$3=TRUE,$S$4=FALSE),VLOOKUP($E713,'Status Thresholds'!$E:$AS,22,FALSE),IF(AND($S$3=TRUE,$S$1=TRUE,$S$4=TRUE),VLOOKUP($E713,'Status Thresholds'!$E:$AS,37,FALSE),IF(AND($S$3=TRUE,$S$4=TRUE),VLOOKUP($E713,'Status Thresholds'!$E:$AS,27,FALSE),""))))))))/IF(OR($Q$3=TRUE,AND($Q$2=TRUE,$Q$7=TRUE),AND($Q$3=TRUE,$Q$7=TRUE))=TRUE,'Shots and Status'!$F$5,IF((OR($Q$2,$Q$7)=TRUE),'Shots and Status'!$D$5,'Shots and Status'!$C$5)))),0),"-")</f>
        <v>-</v>
      </c>
      <c r="I713" s="36" t="str">
        <f>IFERROR(ROUNDUP(IF(AND($Q$1=FALSE,$S$3=FALSE),"-",IF(AND($Q$1=TRUE,$S$3=TRUE),"-",IF(AND($Q$1=TRUE,$S$1=TRUE,$S$4=FALSE),VLOOKUP($E713,'Status Thresholds'!$E:$AS,13,FALSE),IF(AND($Q$1=TRUE,$S$4=FALSE),VLOOKUP($E713,'Status Thresholds'!$E:$AS,3,FALSE), IF(AND($Q$1=TRUE,$S$1=TRUE,$S$4=TRUE),VLOOKUP($E713,'Status Thresholds'!$E:$AS,18,FALSE),IF(AND($Q$1=TRUE,$S$4=TRUE),VLOOKUP($E713,'Status Thresholds'!$E:$AS,8,FALSE),IF(AND($S$3=TRUE,$S$1=TRUE,$S$4=FALSE),VLOOKUP($E713,'Status Thresholds'!$E:$AS,33,FALSE),IF(AND($S$3=TRUE,$S$4=FALSE),VLOOKUP($E713,'Status Thresholds'!$E:$AS,23,FALSE),IF(AND($S$3=TRUE,$S$1=TRUE,$S$4=TRUE),VLOOKUP($E713,'Status Thresholds'!$E:$AS,38,FALSE),IF(AND($S$3=TRUE,$S$4=TRUE),VLOOKUP($E713,'Status Thresholds'!$E:$AS,28,FALSE),""))))))))/IF(OR($Q$3=TRUE,AND($Q$2=TRUE,$Q$7=TRUE),AND($Q$3=TRUE,$Q$7=TRUE))=TRUE,'Shots and Status'!$F$5,IF((OR($Q$2,$Q$7)=TRUE),'Shots and Status'!$D$5,'Shots and Status'!$C$5)))),0),"-")</f>
        <v>-</v>
      </c>
      <c r="J713" s="36" t="str">
        <f>IFERROR(ROUNDUP(IF(AND($Q$1=FALSE,$S$3=FALSE),"-",IF(AND($Q$1=TRUE,$S$3=TRUE),"-",IF(AND($Q$1=TRUE,$S$1=TRUE,$S$4=FALSE),VLOOKUP($E713,'Status Thresholds'!$E:$AS,14,FALSE),IF(AND($Q$1=TRUE,$S$4=FALSE),VLOOKUP($E713,'Status Thresholds'!$E:$AS,4,FALSE), IF(AND($Q$1=TRUE,$S$1=TRUE,$S$4=TRUE),VLOOKUP($E713,'Status Thresholds'!$E:$AS,19,FALSE),IF(AND($Q$1=TRUE,$S$4=TRUE),VLOOKUP($E713,'Status Thresholds'!$E:$AS,9,FALSE),IF(AND($S$3=TRUE,$S$1=TRUE,$S$4=FALSE),VLOOKUP($E713,'Status Thresholds'!$E:$AS,34,FALSE),IF(AND($S$3=TRUE,$S$4=FALSE),VLOOKUP($E713,'Status Thresholds'!$E:$AS,24,FALSE),IF(AND($S$3=TRUE,$S$1=TRUE,$S$4=TRUE),VLOOKUP($E713,'Status Thresholds'!$E:$AS,39,FALSE),IF(AND($S$3=TRUE,$S$4=TRUE),VLOOKUP($E713,'Status Thresholds'!$E:$AS,29,FALSE),""))))))))/IF(OR($Q$3=TRUE,AND($Q$2=TRUE,$Q$7=TRUE),AND($Q$3=TRUE,$Q$7=TRUE))=TRUE,'Shots and Status'!$F$5,IF((OR($Q$2,$Q$7)=TRUE),'Shots and Status'!$D$5,'Shots and Status'!$C$5)))),0),"-")</f>
        <v>-</v>
      </c>
      <c r="K713" s="36" t="str">
        <f>IFERROR(ROUNDUP(IF(AND($Q$1=FALSE,$S$3=FALSE),"-",IF(AND($Q$1=TRUE,$S$3=TRUE),"-",IF(AND($Q$1=TRUE,$S$1=TRUE,$S$4=FALSE),VLOOKUP($E713,'Status Thresholds'!$E:$AS,15,FALSE),IF(AND($Q$1=TRUE,$S$4=FALSE),VLOOKUP($E713,'Status Thresholds'!$E:$AS,5,FALSE), IF(AND($Q$1=TRUE,$S$1=TRUE,$S$4=TRUE),VLOOKUP($E713,'Status Thresholds'!$E:$AS,20,FALSE),IF(AND($Q$1=TRUE,$S$4=TRUE),VLOOKUP($E713,'Status Thresholds'!$E:$AS,10,FALSE),IF(AND($S$3=TRUE,$S$1=TRUE,$S$4=FALSE),VLOOKUP($E713,'Status Thresholds'!$E:$AS,35,FALSE),IF(AND($S$3=TRUE,$S$4=FALSE),VLOOKUP($E713,'Status Thresholds'!$E:$AS,25,FALSE),IF(AND($S$3=TRUE,$S$1=TRUE,$S$4=TRUE),VLOOKUP($E713,'Status Thresholds'!$E:$AS,40,FALSE),IF(AND($S$3=TRUE,$S$4=TRUE),VLOOKUP($E713,'Status Thresholds'!$E:$AS,30,FALSE),""))))))))/IF(OR($Q$3=TRUE,AND($Q$2=TRUE,$Q$7=TRUE),AND($Q$3=TRUE,$Q$7=TRUE))=TRUE,'Shots and Status'!$F$5,IF((OR($Q$2,$Q$7)=TRUE),'Shots and Status'!$D$5,'Shots and Status'!$C$5)))),0),"-")</f>
        <v>-</v>
      </c>
      <c r="L713" s="36" t="str">
        <f>IFERROR(IF(AND($Q$1=FALSE,$S$3=FALSE),"-",VLOOKUP($E713,'Status Thresholds'!$E:$AU,41,FALSE)),"-")</f>
        <v>-</v>
      </c>
      <c r="M713" s="36" t="str">
        <f>IFERROR(IF(AND($Q$1=FALSE,$S$3=FALSE),"-",VLOOKUP($E713,'Status Thresholds'!$E:$AU,42,FALSE)),"-")</f>
        <v>-</v>
      </c>
      <c r="N713" s="36" t="str">
        <f>IFERROR(IF(AND($Q$1=FALSE,$S$3=FALSE),"-",VLOOKUP($E713,'Status Thresholds'!$E:$AU,43,FALSE)),"-")</f>
        <v>-</v>
      </c>
    </row>
    <row r="714" spans="2:14" x14ac:dyDescent="0.25">
      <c r="B714" s="64" t="str">
        <f>VLOOKUP(C714,'Status Thresholds'!B:C,2,FALSE)</f>
        <v>Deviant</v>
      </c>
      <c r="C714" s="46" t="str">
        <f>IF(ISBLANK('KO Calc'!C710)=TRUE,"",'KO Calc'!C710)</f>
        <v>Snowbaron Lagombi</v>
      </c>
      <c r="D714" s="57" t="s">
        <v>22</v>
      </c>
      <c r="E714" s="62" t="str">
        <f t="shared" si="21"/>
        <v>Snowbaron LagombiExhaust</v>
      </c>
      <c r="F714" s="36" t="s">
        <v>8</v>
      </c>
      <c r="G714" s="36" t="str">
        <f t="shared" si="20"/>
        <v>Snowbaron LagombiExhaust lvl 2</v>
      </c>
      <c r="H714" s="36" t="str">
        <f>IFERROR(ROUNDUP(IF(AND($Q$1=FALSE,$S$3=FALSE),"-",IF(AND($Q$1=TRUE,$S$3=TRUE),"-",IF(AND($Q$1=TRUE,$S$1=TRUE,$S$4=FALSE),VLOOKUP($E714,'Status Thresholds'!$E:$AS,12,FALSE),IF(AND($Q$1=TRUE,$S$4=FALSE),VLOOKUP($E714,'Status Thresholds'!$E:$AS,2,FALSE), IF(AND($Q$1=TRUE,$S$1=TRUE,$S$4=TRUE),VLOOKUP($E714,'Status Thresholds'!$E:$AS,17,FALSE),IF(AND($Q$1=TRUE,$S$4=TRUE),VLOOKUP($E714,'Status Thresholds'!$E:$AS,7,FALSE),IF(AND($S$3=TRUE,$S$1=TRUE,$S$4=FALSE),VLOOKUP($E714,'Status Thresholds'!$E:$AS,32,FALSE),IF(AND($S$3=TRUE,$S$4=FALSE),VLOOKUP($E714,'Status Thresholds'!$E:$AS,22,FALSE),IF(AND($S$3=TRUE,$S$1=TRUE,$S$4=TRUE),VLOOKUP($E714,'Status Thresholds'!$E:$AS,37,FALSE),IF(AND($S$3=TRUE,$S$4=TRUE),VLOOKUP($E714,'Status Thresholds'!$E:$AS,27,FALSE),""))))))))/IF(OR($Q$3=TRUE,AND($Q$2=TRUE,$Q$7=TRUE),AND($Q$3=TRUE,$Q$7=TRUE))=TRUE,'Shots and Status'!$F$5,IF((OR($Q$2,$Q$7)=TRUE),'Shots and Status'!$D$5,'Shots and Status'!$C$5)))),0),"-")</f>
        <v>-</v>
      </c>
      <c r="I714" s="36" t="str">
        <f>IFERROR(ROUNDUP(IF(AND($Q$1=FALSE,$S$3=FALSE),"-",IF(AND($Q$1=TRUE,$S$3=TRUE),"-",IF(AND($Q$1=TRUE,$S$1=TRUE,$S$4=FALSE),VLOOKUP($E714,'Status Thresholds'!$E:$AS,13,FALSE),IF(AND($Q$1=TRUE,$S$4=FALSE),VLOOKUP($E714,'Status Thresholds'!$E:$AS,3,FALSE), IF(AND($Q$1=TRUE,$S$1=TRUE,$S$4=TRUE),VLOOKUP($E714,'Status Thresholds'!$E:$AS,18,FALSE),IF(AND($Q$1=TRUE,$S$4=TRUE),VLOOKUP($E714,'Status Thresholds'!$E:$AS,8,FALSE),IF(AND($S$3=TRUE,$S$1=TRUE,$S$4=FALSE),VLOOKUP($E714,'Status Thresholds'!$E:$AS,33,FALSE),IF(AND($S$3=TRUE,$S$4=FALSE),VLOOKUP($E714,'Status Thresholds'!$E:$AS,23,FALSE),IF(AND($S$3=TRUE,$S$1=TRUE,$S$4=TRUE),VLOOKUP($E714,'Status Thresholds'!$E:$AS,38,FALSE),IF(AND($S$3=TRUE,$S$4=TRUE),VLOOKUP($E714,'Status Thresholds'!$E:$AS,28,FALSE),""))))))))/IF(OR($Q$3=TRUE,AND($Q$2=TRUE,$Q$7=TRUE),AND($Q$3=TRUE,$Q$7=TRUE))=TRUE,'Shots and Status'!$F$5,IF((OR($Q$2,$Q$7)=TRUE),'Shots and Status'!$D$5,'Shots and Status'!$C$5)))),0),"-")</f>
        <v>-</v>
      </c>
      <c r="J714" s="36" t="str">
        <f>IFERROR(ROUNDUP(IF(AND($Q$1=FALSE,$S$3=FALSE),"-",IF(AND($Q$1=TRUE,$S$3=TRUE),"-",IF(AND($Q$1=TRUE,$S$1=TRUE,$S$4=FALSE),VLOOKUP($E714,'Status Thresholds'!$E:$AS,14,FALSE),IF(AND($Q$1=TRUE,$S$4=FALSE),VLOOKUP($E714,'Status Thresholds'!$E:$AS,4,FALSE), IF(AND($Q$1=TRUE,$S$1=TRUE,$S$4=TRUE),VLOOKUP($E714,'Status Thresholds'!$E:$AS,19,FALSE),IF(AND($Q$1=TRUE,$S$4=TRUE),VLOOKUP($E714,'Status Thresholds'!$E:$AS,9,FALSE),IF(AND($S$3=TRUE,$S$1=TRUE,$S$4=FALSE),VLOOKUP($E714,'Status Thresholds'!$E:$AS,34,FALSE),IF(AND($S$3=TRUE,$S$4=FALSE),VLOOKUP($E714,'Status Thresholds'!$E:$AS,24,FALSE),IF(AND($S$3=TRUE,$S$1=TRUE,$S$4=TRUE),VLOOKUP($E714,'Status Thresholds'!$E:$AS,39,FALSE),IF(AND($S$3=TRUE,$S$4=TRUE),VLOOKUP($E714,'Status Thresholds'!$E:$AS,29,FALSE),""))))))))/IF(OR($Q$3=TRUE,AND($Q$2=TRUE,$Q$7=TRUE),AND($Q$3=TRUE,$Q$7=TRUE))=TRUE,'Shots and Status'!$F$5,IF((OR($Q$2,$Q$7)=TRUE),'Shots and Status'!$D$5,'Shots and Status'!$C$5)))),0),"-")</f>
        <v>-</v>
      </c>
      <c r="K714" s="36" t="str">
        <f>IFERROR(ROUNDUP(IF(AND($Q$1=FALSE,$S$3=FALSE),"-",IF(AND($Q$1=TRUE,$S$3=TRUE),"-",IF(AND($Q$1=TRUE,$S$1=TRUE,$S$4=FALSE),VLOOKUP($E714,'Status Thresholds'!$E:$AS,15,FALSE),IF(AND($Q$1=TRUE,$S$4=FALSE),VLOOKUP($E714,'Status Thresholds'!$E:$AS,5,FALSE), IF(AND($Q$1=TRUE,$S$1=TRUE,$S$4=TRUE),VLOOKUP($E714,'Status Thresholds'!$E:$AS,20,FALSE),IF(AND($Q$1=TRUE,$S$4=TRUE),VLOOKUP($E714,'Status Thresholds'!$E:$AS,10,FALSE),IF(AND($S$3=TRUE,$S$1=TRUE,$S$4=FALSE),VLOOKUP($E714,'Status Thresholds'!$E:$AS,35,FALSE),IF(AND($S$3=TRUE,$S$4=FALSE),VLOOKUP($E714,'Status Thresholds'!$E:$AS,25,FALSE),IF(AND($S$3=TRUE,$S$1=TRUE,$S$4=TRUE),VLOOKUP($E714,'Status Thresholds'!$E:$AS,40,FALSE),IF(AND($S$3=TRUE,$S$4=TRUE),VLOOKUP($E714,'Status Thresholds'!$E:$AS,30,FALSE),""))))))))/IF(OR($Q$3=TRUE,AND($Q$2=TRUE,$Q$7=TRUE),AND($Q$3=TRUE,$Q$7=TRUE))=TRUE,'Shots and Status'!$F$5,IF((OR($Q$2,$Q$7)=TRUE),'Shots and Status'!$D$5,'Shots and Status'!$C$5)))),0),"-")</f>
        <v>-</v>
      </c>
      <c r="L714" s="36" t="str">
        <f>IFERROR(IF(AND($Q$1=FALSE,$S$3=FALSE),"-",VLOOKUP($E714,'Status Thresholds'!$E:$AU,41,FALSE)),"-")</f>
        <v>-</v>
      </c>
      <c r="M714" s="36" t="str">
        <f>IFERROR(IF(AND($Q$1=FALSE,$S$3=FALSE),"-",VLOOKUP($E714,'Status Thresholds'!$E:$AU,42,FALSE)),"-")</f>
        <v>-</v>
      </c>
      <c r="N714" s="36" t="str">
        <f>IFERROR(IF(AND($Q$1=FALSE,$S$3=FALSE),"-",VLOOKUP($E714,'Status Thresholds'!$E:$AU,43,FALSE)),"-")</f>
        <v>-</v>
      </c>
    </row>
    <row r="715" spans="2:14" x14ac:dyDescent="0.25">
      <c r="B715" s="64" t="str">
        <f>VLOOKUP(C715,'Status Thresholds'!B:C,2,FALSE)</f>
        <v>Deviant</v>
      </c>
      <c r="C715" s="46" t="str">
        <f>IF(ISBLANK('KO Calc'!C711)=TRUE,"",'KO Calc'!C711)</f>
        <v>Snowbaron Lagombi</v>
      </c>
      <c r="D715" s="67" t="s">
        <v>14</v>
      </c>
      <c r="E715" s="62" t="str">
        <f t="shared" si="21"/>
        <v>Snowbaron LagombiKO</v>
      </c>
      <c r="F715" s="36" t="s">
        <v>21</v>
      </c>
      <c r="G715" s="36" t="str">
        <f t="shared" ref="G715:G778" si="22">C715&amp;F715</f>
        <v>Snowbaron LagombiTriblast</v>
      </c>
      <c r="H715" s="36" t="str">
        <f>IF(AND($Q$1=FALSE,$S$3=FALSE),"-",IF(AND($Q$1=TRUE,$S$3=TRUE),"-",IF(AND($Q$1=FALSE,$S$3=FALSE),"-",IF(AND($Q$1=TRUE,$S$1=TRUE,$S$4=FALSE)=TRUE,IF(OR($Q$4=TRUE,$Q$5=TRUE,$S$2=TRUE),VLOOKUP($G715,'KO Calc'!$H:$AW,12,FALSE),VLOOKUP($G715,'KO Calc'!$H721:$AW721,12,FALSE)),IF(AND($Q$1=TRUE,$S$4=FALSE),IF(OR($Q$4=TRUE,$Q$5=TRUE,$S$2=TRUE),VLOOKUP($G715,'KO Calc'!$H:$AW,2,FALSE),VLOOKUP($G715,'KO Calc'!$H721:$AW721,2,FALSE)),
IF(AND($Q$1=TRUE,$S$1=TRUE,$S$4=TRUE)=TRUE,IF(OR($Q$4=TRUE,$Q$5=TRUE,$S$2=TRUE),VLOOKUP($G715,'KO Calc'!$H:$AW,17,FALSE),VLOOKUP($G715,'KO Calc'!$H721:$AW721,17,FALSE)),IF(AND($Q$1=TRUE,$S$4=TRUE),IF(OR($Q$4=TRUE,$Q$5=TRUE,$S$2=TRUE),VLOOKUP($G715,'KO Calc'!$H:$AW,7,FALSE),VLOOKUP($G715,'KO Calc'!$H721:$AW721,7,FALSE)),
IF(AND($S$3=TRUE,$S$1=TRUE,$S$4=FALSE)=TRUE,IF(OR($Q$4=TRUE,$Q$5=TRUE,$S$2=TRUE),VLOOKUP($G715,'KO Calc'!$H:$AW,32,FALSE),VLOOKUP($G715,'KO Calc'!$H721:$AW721,32,FALSE)),IF(AND($S$3=TRUE,$S$4=FALSE),IF(OR($Q$4=TRUE,$Q$5=TRUE,$S$2=TRUE),VLOOKUP($G715,'KO Calc'!$H:$AW,22,FALSE),VLOOKUP($G715,'KO Calc'!$H721:$AW721,22,FALSE)),
IF(AND($S$3=TRUE,$S$1=TRUE,$S$4=TRUE)=TRUE,IF(OR($Q$4=TRUE,$Q$5=TRUE,$S$2=TRUE),VLOOKUP($G715,'KO Calc'!$H:$AW,37,FALSE),VLOOKUP($G715,'KO Calc'!$H721:$AW721,37,FALSE)),IF(AND($S$3=TRUE,$S$4=TRUE),IF(OR($Q$4=TRUE,$Q$5=TRUE,$S$2=TRUE),VLOOKUP($G715,'KO Calc'!$H:$AW,27,FALSE),VLOOKUP($G715,'KO Calc'!$H721:$AW721,27,FALSE)))))))))))))</f>
        <v>-</v>
      </c>
      <c r="I715" s="36" t="str">
        <f>IF(AND($Q$1=FALSE,$S$3=FALSE),"-",IF(AND($Q$1=TRUE,$S$3=TRUE),"-",IF(AND($Q$1=FALSE,$S$3=FALSE),"-",IF(AND($Q$1=TRUE,$S$1=TRUE,$S$4=FALSE)=TRUE,IF(OR($Q$4=TRUE,$Q$5=TRUE,$S$2=TRUE),VLOOKUP($G715,'KO Calc'!$H:$AW,13,FALSE),VLOOKUP($G715,'KO Calc'!$H721:$AW721,13,FALSE)),IF(AND($Q$1=TRUE,$S$4=FALSE),IF(OR($Q$4=TRUE,$Q$5=TRUE,$S$2=TRUE),VLOOKUP($G715,'KO Calc'!$H:$AW,3,FALSE),VLOOKUP($G715,'KO Calc'!$H721:$AW721,3,FALSE)),
IF(AND($Q$1=TRUE,$S$1=TRUE,$S$4=TRUE)=TRUE,IF(OR($Q$4=TRUE,$Q$5=TRUE,$S$2=TRUE),VLOOKUP($G715,'KO Calc'!$H:$AW,18,FALSE),VLOOKUP($G715,'KO Calc'!$H721:$AW721,18,FALSE)),IF(AND($Q$1=TRUE,$S$4=TRUE),IF(OR($Q$4=TRUE,$Q$5=TRUE,$S$2=TRUE),VLOOKUP($G715,'KO Calc'!$H:$AW,8,FALSE),VLOOKUP($G715,'KO Calc'!$H721:$AW721,8,FALSE)),
IF(AND($S$3=TRUE,$S$1=TRUE,$S$4=FALSE)=TRUE,IF(OR($Q$4=TRUE,$Q$5=TRUE,$S$2=TRUE),VLOOKUP($G715,'KO Calc'!$H:$AW,33,FALSE),VLOOKUP($G715,'KO Calc'!$H721:$AW721,33,FALSE)),IF(AND($S$3=TRUE,$S$4=FALSE),IF(OR($Q$4=TRUE,$Q$5=TRUE,$S$2=TRUE),VLOOKUP($G715,'KO Calc'!$H:$AW,23,FALSE),VLOOKUP($G715,'KO Calc'!$H721:$AW721,23,FALSE)),
IF(AND($S$3=TRUE,$S$1=TRUE,$S$4=TRUE)=TRUE,IF(OR($Q$4=TRUE,$Q$5=TRUE,$S$2=TRUE),VLOOKUP($G715,'KO Calc'!$H:$AW,38,FALSE),VLOOKUP($G715,'KO Calc'!$H721:$AW721,38,FALSE)),IF(AND($S$3=TRUE,$S$4=TRUE),IF(OR($Q$4=TRUE,$Q$5=TRUE,$S$2=TRUE),VLOOKUP($G715,'KO Calc'!$H:$AW,28,FALSE),VLOOKUP($G715,'KO Calc'!$H721:$AW721,28,FALSE)))))))))))))</f>
        <v>-</v>
      </c>
      <c r="J715" s="36" t="str">
        <f>IF(AND($Q$1=FALSE,$S$3=FALSE),"-",IF(AND($Q$1=TRUE,$S$3=TRUE),"-",IF(AND($Q$1=FALSE,$S$3=FALSE),"-",IF(AND($Q$1=TRUE,$S$1=TRUE,$S$4=FALSE)=TRUE,IF(OR($Q$4=TRUE,$Q$5=TRUE,$S$2=TRUE),VLOOKUP($G715,'KO Calc'!$H:$AW,FALSE),VLOOKUP($G715,'KO Calc'!$H721:$AW721,14,FALSE)),IF(AND($Q$1=TRUE,$S$4=FALSE),IF(OR($Q$4=TRUE,$Q$5=TRUE,$S$2=TRUE),VLOOKUP($G715,'KO Calc'!$H:$AW,4,FALSE),VLOOKUP($G715,'KO Calc'!$H721:$AW721,4,FALSE)),
IF(AND($Q$1=TRUE,$S$1=TRUE,$S$4=TRUE)=TRUE,IF(OR($Q$4=TRUE,$Q$5=TRUE,$S$2=TRUE),VLOOKUP($G715,'KO Calc'!$H:$AW,19,FALSE),VLOOKUP($G715,'KO Calc'!$H721:$AW721,19,FALSE)),IF(AND($Q$1=TRUE,$S$4=TRUE),IF(OR($Q$4=TRUE,$Q$5=TRUE,$S$2=TRUE),VLOOKUP($G715,'KO Calc'!$H:$AW,9,FALSE),VLOOKUP($G715,'KO Calc'!$H721:$AW721,9,FALSE)),
IF(AND($S$3=TRUE,$S$1=TRUE,$S$4=FALSE)=TRUE,IF(OR($Q$4=TRUE,$Q$5=TRUE,$S$2=TRUE),VLOOKUP($G715,'KO Calc'!$H:$AW,34,FALSE),VLOOKUP($G715,'KO Calc'!$H721:$AW721,34,FALSE)),IF(AND($S$3=TRUE,$S$4=FALSE),IF(OR($Q$4=TRUE,$Q$5=TRUE,$S$2=TRUE),VLOOKUP($G715,'KO Calc'!$H:$AW,24,FALSE),VLOOKUP($G715,'KO Calc'!$H721:$AW721,24,FALSE)),
IF(AND($S$3=TRUE,$S$1=TRUE,$S$4=TRUE)=TRUE,IF(OR($Q$4=TRUE,$Q$5=TRUE,$S$2=TRUE),VLOOKUP($G715,'KO Calc'!$H:$AW,39,FALSE),VLOOKUP($G715,'KO Calc'!$H721:$AW721,39,FALSE)),IF(AND($S$3=TRUE,$S$4=TRUE),IF(OR($Q$4=TRUE,$Q$5=TRUE,$S$2=TRUE),VLOOKUP($G715,'KO Calc'!$H:$AW,29,FALSE),VLOOKUP($G715,'KO Calc'!$H721:$AW721,29,FALSE)))))))))))))</f>
        <v>-</v>
      </c>
      <c r="K715" s="36" t="str">
        <f>IF(AND($Q$1=FALSE,$S$3=FALSE),"-",IF(AND($Q$1=TRUE,$S$3=TRUE),"-",IF(AND($Q$1=FALSE,$S$3=FALSE),"-",IF(AND($Q$1=TRUE,$S$1=TRUE,$S$4=FALSE)=TRUE,IF(OR($Q$4=TRUE,$Q$5=TRUE,$S$2=TRUE),VLOOKUP($G715,'KO Calc'!$H:$AW,15,FALSE),VLOOKUP($G715,'KO Calc'!$H721:$AW721,15,FALSE)),IF(AND($Q$1=TRUE,$S$4=FALSE),IF(OR($Q$4=TRUE,$Q$5=TRUE,$S$2=TRUE),VLOOKUP($G715,'KO Calc'!$H:$AW,5,FALSE),VLOOKUP($G715,'KO Calc'!$H721:$AW721,5,FALSE)),
IF(AND($Q$1=TRUE,$S$1=TRUE,$S$4=TRUE)=TRUE,IF(OR($Q$4=TRUE,$Q$5=TRUE,$S$2=TRUE),VLOOKUP($G715,'KO Calc'!$H:$AW,20,FALSE),VLOOKUP($G715,'KO Calc'!$H721:$AW721,20,FALSE)),IF(AND($Q$1=TRUE,$S$4=TRUE),IF(OR($Q$4=TRUE,$Q$5=TRUE,$S$2=TRUE),VLOOKUP($G715,'KO Calc'!$H:$AW,10,FALSE),VLOOKUP($G715,'KO Calc'!$H721:$AW721,10,FALSE)),
IF(AND($S$3=TRUE,$S$1=TRUE,$S$4=FALSE)=TRUE,IF(OR($Q$4=TRUE,$Q$5=TRUE,$S$2=TRUE),VLOOKUP($G715,'KO Calc'!$H:$AW,35,FALSE),VLOOKUP($G715,'KO Calc'!$H721:$AW721,35,FALSE)),IF(AND($S$3=TRUE,$S$4=FALSE),IF(OR($Q$4=TRUE,$Q$5=TRUE,$S$2=TRUE),VLOOKUP($G715,'KO Calc'!$H:$AW,25,FALSE),VLOOKUP($G715,'KO Calc'!$H721:$AW721,25,FALSE)),
IF(AND($S$3=TRUE,$S$1=TRUE,$S$4=TRUE)=TRUE,IF(OR($Q$4=TRUE,$Q$5=TRUE,$S$2=TRUE),VLOOKUP($G715,'KO Calc'!$H:$AW,40,FALSE),VLOOKUP($G715,'KO Calc'!$H721:$AW721,40,FALSE)),IF(AND($S$3=TRUE,$S$4=TRUE),IF(OR($Q$4=TRUE,$Q$5=TRUE,$S$2=TRUE),VLOOKUP($G715,'KO Calc'!$H:$AW,30,FALSE),VLOOKUP($G715,'KO Calc'!$H721:$AW721,30,FALSE)))))))))))))</f>
        <v>-</v>
      </c>
      <c r="L715" s="36" t="str">
        <f>IFERROR(IF(AND($Q$1=FALSE,$S$3=FALSE),"-",VLOOKUP($E715,'Status Thresholds'!$E:$AU,41,FALSE)),"-")</f>
        <v>-</v>
      </c>
      <c r="M715" s="36" t="str">
        <f>IFERROR(IF(AND($Q$1=FALSE,$S$3=FALSE),"-",VLOOKUP($E715,'Status Thresholds'!$E:$AU,42,FALSE)),"-")</f>
        <v>-</v>
      </c>
      <c r="N715" s="36" t="str">
        <f>IFERROR(IF(AND($Q$1=FALSE,$S$3=FALSE),"-",VLOOKUP($E715,'Status Thresholds'!$E:$AU,43,FALSE)),"-")</f>
        <v>-</v>
      </c>
    </row>
    <row r="716" spans="2:14" x14ac:dyDescent="0.25">
      <c r="B716" s="64" t="str">
        <f>VLOOKUP(C716,'Status Thresholds'!B:C,2,FALSE)</f>
        <v>Deviant</v>
      </c>
      <c r="C716" s="46" t="str">
        <f>IF(ISBLANK('KO Calc'!C712)=TRUE,"",'KO Calc'!C712)</f>
        <v>Snowbaron Lagombi</v>
      </c>
      <c r="D716" s="78" t="s">
        <v>207</v>
      </c>
      <c r="E716" s="62" t="str">
        <f t="shared" si="21"/>
        <v>Snowbaron LagombiShock Trap</v>
      </c>
      <c r="F716" t="s">
        <v>13</v>
      </c>
      <c r="G716" s="36" t="str">
        <f t="shared" si="22"/>
        <v>Snowbaron LagombiCrag 3</v>
      </c>
      <c r="H716" s="36" t="str">
        <f>IF(AND($Q$1=FALSE,$S$3=FALSE),"-",IF(AND($Q$1=TRUE,$S$3=TRUE),"-",IF(AND($Q$1=FALSE,$S$3=FALSE),"-",IF(AND($Q$1=TRUE,$S$1=TRUE,$S$4=FALSE)=TRUE,IF(OR($Q$4=TRUE,$Q$5=TRUE,$S$2=TRUE),VLOOKUP($G716,'KO Calc'!$H:$AW,12,FALSE),VLOOKUP($G716,'KO Calc'!$H722:$AW722,12,FALSE)),IF(AND($Q$1=TRUE,$S$4=FALSE),IF(OR($Q$4=TRUE,$Q$5=TRUE,$S$2=TRUE),VLOOKUP($G716,'KO Calc'!$H:$AW,2,FALSE),VLOOKUP($G716,'KO Calc'!$H722:$AW722,2,FALSE)),
IF(AND($Q$1=TRUE,$S$1=TRUE,$S$4=TRUE)=TRUE,IF(OR($Q$4=TRUE,$Q$5=TRUE,$S$2=TRUE),VLOOKUP($G716,'KO Calc'!$H:$AW,17,FALSE),VLOOKUP($G716,'KO Calc'!$H722:$AW722,17,FALSE)),IF(AND($Q$1=TRUE,$S$4=TRUE),IF(OR($Q$4=TRUE,$Q$5=TRUE,$S$2=TRUE),VLOOKUP($G716,'KO Calc'!$H:$AW,7,FALSE),VLOOKUP($G716,'KO Calc'!$H722:$AW722,7,FALSE)),
IF(AND($S$3=TRUE,$S$1=TRUE,$S$4=FALSE)=TRUE,IF(OR($Q$4=TRUE,$Q$5=TRUE,$S$2=TRUE),VLOOKUP($G716,'KO Calc'!$H:$AW,32,FALSE),VLOOKUP($G716,'KO Calc'!$H722:$AW722,32,FALSE)),IF(AND($S$3=TRUE,$S$4=FALSE),IF(OR($Q$4=TRUE,$Q$5=TRUE,$S$2=TRUE),VLOOKUP($G716,'KO Calc'!$H:$AW,22,FALSE),VLOOKUP($G716,'KO Calc'!$H722:$AW722,22,FALSE)),
IF(AND($S$3=TRUE,$S$1=TRUE,$S$4=TRUE)=TRUE,IF(OR($Q$4=TRUE,$Q$5=TRUE,$S$2=TRUE),VLOOKUP($G716,'KO Calc'!$H:$AW,37,FALSE),VLOOKUP($G716,'KO Calc'!$H722:$AW722,37,FALSE)),IF(AND($S$3=TRUE,$S$4=TRUE),IF(OR($Q$4=TRUE,$Q$5=TRUE,$S$2=TRUE),VLOOKUP($G716,'KO Calc'!$H:$AW,27,FALSE),VLOOKUP($G716,'KO Calc'!$H722:$AW722,27,FALSE)))))))))))))</f>
        <v>-</v>
      </c>
      <c r="I716" s="36" t="str">
        <f>IF(AND($Q$1=FALSE,$S$3=FALSE),"-",IF(AND($Q$1=TRUE,$S$3=TRUE),"-",IF(AND($Q$1=FALSE,$S$3=FALSE),"-",IF(AND($Q$1=TRUE,$S$1=TRUE,$S$4=FALSE)=TRUE,IF(OR($Q$4=TRUE,$Q$5=TRUE,$S$2=TRUE),VLOOKUP($G716,'KO Calc'!$H:$AW,13,FALSE),VLOOKUP($G716,'KO Calc'!$H722:$AW722,13,FALSE)),IF(AND($Q$1=TRUE,$S$4=FALSE),IF(OR($Q$4=TRUE,$Q$5=TRUE,$S$2=TRUE),VLOOKUP($G716,'KO Calc'!$H:$AW,3,FALSE),VLOOKUP($G716,'KO Calc'!$H722:$AW722,3,FALSE)),
IF(AND($Q$1=TRUE,$S$1=TRUE,$S$4=TRUE)=TRUE,IF(OR($Q$4=TRUE,$Q$5=TRUE,$S$2=TRUE),VLOOKUP($G716,'KO Calc'!$H:$AW,18,FALSE),VLOOKUP($G716,'KO Calc'!$H722:$AW722,18,FALSE)),IF(AND($Q$1=TRUE,$S$4=TRUE),IF(OR($Q$4=TRUE,$Q$5=TRUE,$S$2=TRUE),VLOOKUP($G716,'KO Calc'!$H:$AW,8,FALSE),VLOOKUP($G716,'KO Calc'!$H722:$AW722,8,FALSE)),
IF(AND($S$3=TRUE,$S$1=TRUE,$S$4=FALSE)=TRUE,IF(OR($Q$4=TRUE,$Q$5=TRUE,$S$2=TRUE),VLOOKUP($G716,'KO Calc'!$H:$AW,33,FALSE),VLOOKUP($G716,'KO Calc'!$H722:$AW722,33,FALSE)),IF(AND($S$3=TRUE,$S$4=FALSE),IF(OR($Q$4=TRUE,$Q$5=TRUE,$S$2=TRUE),VLOOKUP($G716,'KO Calc'!$H:$AW,23,FALSE),VLOOKUP($G716,'KO Calc'!$H722:$AW722,23,FALSE)),
IF(AND($S$3=TRUE,$S$1=TRUE,$S$4=TRUE)=TRUE,IF(OR($Q$4=TRUE,$Q$5=TRUE,$S$2=TRUE),VLOOKUP($G716,'KO Calc'!$H:$AW,38,FALSE),VLOOKUP($G716,'KO Calc'!$H722:$AW722,38,FALSE)),IF(AND($S$3=TRUE,$S$4=TRUE),IF(OR($Q$4=TRUE,$Q$5=TRUE,$S$2=TRUE),VLOOKUP($G716,'KO Calc'!$H:$AW,28,FALSE),VLOOKUP($G716,'KO Calc'!$H722:$AW722,28,FALSE)))))))))))))</f>
        <v>-</v>
      </c>
      <c r="J716" s="36" t="str">
        <f>IF(AND($Q$1=FALSE,$S$3=FALSE),"-",IF(AND($Q$1=TRUE,$S$3=TRUE),"-",IF(AND($Q$1=FALSE,$S$3=FALSE),"-",IF(AND($Q$1=TRUE,$S$1=TRUE,$S$4=FALSE)=TRUE,IF(OR($Q$4=TRUE,$Q$5=TRUE,$S$2=TRUE),VLOOKUP($G716,'KO Calc'!$H:$AW,FALSE),VLOOKUP($G716,'KO Calc'!$H722:$AW722,14,FALSE)),IF(AND($Q$1=TRUE,$S$4=FALSE),IF(OR($Q$4=TRUE,$Q$5=TRUE,$S$2=TRUE),VLOOKUP($G716,'KO Calc'!$H:$AW,4,FALSE),VLOOKUP($G716,'KO Calc'!$H722:$AW722,4,FALSE)),
IF(AND($Q$1=TRUE,$S$1=TRUE,$S$4=TRUE)=TRUE,IF(OR($Q$4=TRUE,$Q$5=TRUE,$S$2=TRUE),VLOOKUP($G716,'KO Calc'!$H:$AW,19,FALSE),VLOOKUP($G716,'KO Calc'!$H722:$AW722,19,FALSE)),IF(AND($Q$1=TRUE,$S$4=TRUE),IF(OR($Q$4=TRUE,$Q$5=TRUE,$S$2=TRUE),VLOOKUP($G716,'KO Calc'!$H:$AW,9,FALSE),VLOOKUP($G716,'KO Calc'!$H722:$AW722,9,FALSE)),
IF(AND($S$3=TRUE,$S$1=TRUE,$S$4=FALSE)=TRUE,IF(OR($Q$4=TRUE,$Q$5=TRUE,$S$2=TRUE),VLOOKUP($G716,'KO Calc'!$H:$AW,34,FALSE),VLOOKUP($G716,'KO Calc'!$H722:$AW722,34,FALSE)),IF(AND($S$3=TRUE,$S$4=FALSE),IF(OR($Q$4=TRUE,$Q$5=TRUE,$S$2=TRUE),VLOOKUP($G716,'KO Calc'!$H:$AW,24,FALSE),VLOOKUP($G716,'KO Calc'!$H722:$AW722,24,FALSE)),
IF(AND($S$3=TRUE,$S$1=TRUE,$S$4=TRUE)=TRUE,IF(OR($Q$4=TRUE,$Q$5=TRUE,$S$2=TRUE),VLOOKUP($G716,'KO Calc'!$H:$AW,39,FALSE),VLOOKUP($G716,'KO Calc'!$H722:$AW722,39,FALSE)),IF(AND($S$3=TRUE,$S$4=TRUE),IF(OR($Q$4=TRUE,$Q$5=TRUE,$S$2=TRUE),VLOOKUP($G716,'KO Calc'!$H:$AW,29,FALSE),VLOOKUP($G716,'KO Calc'!$H722:$AW722,29,FALSE)))))))))))))</f>
        <v>-</v>
      </c>
      <c r="K716" s="36" t="str">
        <f>IF(AND($Q$1=FALSE,$S$3=FALSE),"-",IF(AND($Q$1=TRUE,$S$3=TRUE),"-",IF(AND($Q$1=FALSE,$S$3=FALSE),"-",IF(AND($Q$1=TRUE,$S$1=TRUE,$S$4=FALSE)=TRUE,IF(OR($Q$4=TRUE,$Q$5=TRUE,$S$2=TRUE),VLOOKUP($G716,'KO Calc'!$H:$AW,15,FALSE),VLOOKUP($G716,'KO Calc'!$H722:$AW722,15,FALSE)),IF(AND($Q$1=TRUE,$S$4=FALSE),IF(OR($Q$4=TRUE,$Q$5=TRUE,$S$2=TRUE),VLOOKUP($G716,'KO Calc'!$H:$AW,5,FALSE),VLOOKUP($G716,'KO Calc'!$H722:$AW722,5,FALSE)),
IF(AND($Q$1=TRUE,$S$1=TRUE,$S$4=TRUE)=TRUE,IF(OR($Q$4=TRUE,$Q$5=TRUE,$S$2=TRUE),VLOOKUP($G716,'KO Calc'!$H:$AW,20,FALSE),VLOOKUP($G716,'KO Calc'!$H722:$AW722,20,FALSE)),IF(AND($Q$1=TRUE,$S$4=TRUE),IF(OR($Q$4=TRUE,$Q$5=TRUE,$S$2=TRUE),VLOOKUP($G716,'KO Calc'!$H:$AW,10,FALSE),VLOOKUP($G716,'KO Calc'!$H722:$AW722,10,FALSE)),
IF(AND($S$3=TRUE,$S$1=TRUE,$S$4=FALSE)=TRUE,IF(OR($Q$4=TRUE,$Q$5=TRUE,$S$2=TRUE),VLOOKUP($G716,'KO Calc'!$H:$AW,35,FALSE),VLOOKUP($G716,'KO Calc'!$H722:$AW722,35,FALSE)),IF(AND($S$3=TRUE,$S$4=FALSE),IF(OR($Q$4=TRUE,$Q$5=TRUE,$S$2=TRUE),VLOOKUP($G716,'KO Calc'!$H:$AW,25,FALSE),VLOOKUP($G716,'KO Calc'!$H722:$AW722,25,FALSE)),
IF(AND($S$3=TRUE,$S$1=TRUE,$S$4=TRUE)=TRUE,IF(OR($Q$4=TRUE,$Q$5=TRUE,$S$2=TRUE),VLOOKUP($G716,'KO Calc'!$H:$AW,40,FALSE),VLOOKUP($G716,'KO Calc'!$H722:$AW722,40,FALSE)),IF(AND($S$3=TRUE,$S$4=TRUE),IF(OR($Q$4=TRUE,$Q$5=TRUE,$S$2=TRUE),VLOOKUP($G716,'KO Calc'!$H:$AW,30,FALSE),VLOOKUP($G716,'KO Calc'!$H722:$AW722,30,FALSE)))))))))))))</f>
        <v>-</v>
      </c>
      <c r="L716" s="36" t="str">
        <f>IFERROR(IF(AND($Q$1=FALSE,$S$3=FALSE),"-",VLOOKUP($E716,'Status Thresholds'!$E:$AU,43,FALSE)),"-")</f>
        <v>-</v>
      </c>
      <c r="M716" s="36" t="str">
        <f>IFERROR(IF(AND($Q$1=FALSE,$S$3=FALSE),"-",VLOOKUP($E716,'Status Thresholds'!$E:$AU,41,FALSE)),"-")</f>
        <v>-</v>
      </c>
      <c r="N716" s="36" t="str">
        <f>IFERROR(IF(AND($Q$1=FALSE,$S$3=FALSE),"-",VLOOKUP($E716,'Status Thresholds'!$E:$AU,42,FALSE)),"-")</f>
        <v>-</v>
      </c>
    </row>
    <row r="717" spans="2:14" x14ac:dyDescent="0.25">
      <c r="B717" s="64" t="str">
        <f>VLOOKUP(C717,'Status Thresholds'!B:C,2,FALSE)</f>
        <v>Deviant</v>
      </c>
      <c r="C717" s="46" t="str">
        <f>IF(ISBLANK('KO Calc'!C713)=TRUE,"",'KO Calc'!C713)</f>
        <v>Snowbaron Lagombi</v>
      </c>
      <c r="D717" s="78" t="s">
        <v>213</v>
      </c>
      <c r="E717" s="62" t="str">
        <f t="shared" si="21"/>
        <v>Snowbaron LagombiPitfall Trap</v>
      </c>
      <c r="F717" t="s">
        <v>12</v>
      </c>
      <c r="G717" s="36" t="str">
        <f t="shared" si="22"/>
        <v>Snowbaron LagombiCrag 2</v>
      </c>
      <c r="H717" s="36" t="str">
        <f>IF(AND($Q$1=FALSE,$S$3=FALSE),"-",IF(AND($Q$1=TRUE,$S$3=TRUE),"-",IF(AND($Q$1=FALSE,$S$3=FALSE),"-",IF(AND($Q$1=TRUE,$S$1=TRUE,$S$4=FALSE)=TRUE,IF(OR($Q$4=TRUE,$Q$5=TRUE,$S$2=TRUE),VLOOKUP($G717,'KO Calc'!$H:$AW,12,FALSE),VLOOKUP($G717,'KO Calc'!$H723:$AW723,12,FALSE)),IF(AND($Q$1=TRUE,$S$4=FALSE),IF(OR($Q$4=TRUE,$Q$5=TRUE,$S$2=TRUE),VLOOKUP($G717,'KO Calc'!$H:$AW,2,FALSE),VLOOKUP($G717,'KO Calc'!$H723:$AW723,2,FALSE)),
IF(AND($Q$1=TRUE,$S$1=TRUE,$S$4=TRUE)=TRUE,IF(OR($Q$4=TRUE,$Q$5=TRUE,$S$2=TRUE),VLOOKUP($G717,'KO Calc'!$H:$AW,17,FALSE),VLOOKUP($G717,'KO Calc'!$H723:$AW723,17,FALSE)),IF(AND($Q$1=TRUE,$S$4=TRUE),IF(OR($Q$4=TRUE,$Q$5=TRUE,$S$2=TRUE),VLOOKUP($G717,'KO Calc'!$H:$AW,7,FALSE),VLOOKUP($G717,'KO Calc'!$H723:$AW723,7,FALSE)),
IF(AND($S$3=TRUE,$S$1=TRUE,$S$4=FALSE)=TRUE,IF(OR($Q$4=TRUE,$Q$5=TRUE,$S$2=TRUE),VLOOKUP($G717,'KO Calc'!$H:$AW,32,FALSE),VLOOKUP($G717,'KO Calc'!$H723:$AW723,32,FALSE)),IF(AND($S$3=TRUE,$S$4=FALSE),IF(OR($Q$4=TRUE,$Q$5=TRUE,$S$2=TRUE),VLOOKUP($G717,'KO Calc'!$H:$AW,22,FALSE),VLOOKUP($G717,'KO Calc'!$H723:$AW723,22,FALSE)),
IF(AND($S$3=TRUE,$S$1=TRUE,$S$4=TRUE)=TRUE,IF(OR($Q$4=TRUE,$Q$5=TRUE,$S$2=TRUE),VLOOKUP($G717,'KO Calc'!$H:$AW,37,FALSE),VLOOKUP($G717,'KO Calc'!$H723:$AW723,37,FALSE)),IF(AND($S$3=TRUE,$S$4=TRUE),IF(OR($Q$4=TRUE,$Q$5=TRUE,$S$2=TRUE),VLOOKUP($G717,'KO Calc'!$H:$AW,27,FALSE),VLOOKUP($G717,'KO Calc'!$H723:$AW723,27,FALSE)))))))))))))</f>
        <v>-</v>
      </c>
      <c r="I717" s="36" t="str">
        <f>IF(AND($Q$1=FALSE,$S$3=FALSE),"-",IF(AND($Q$1=TRUE,$S$3=TRUE),"-",IF(AND($Q$1=FALSE,$S$3=FALSE),"-",IF(AND($Q$1=TRUE,$S$1=TRUE,$S$4=FALSE)=TRUE,IF(OR($Q$4=TRUE,$Q$5=TRUE,$S$2=TRUE),VLOOKUP($G717,'KO Calc'!$H:$AW,13,FALSE),VLOOKUP($G717,'KO Calc'!$H723:$AW723,13,FALSE)),IF(AND($Q$1=TRUE,$S$4=FALSE),IF(OR($Q$4=TRUE,$Q$5=TRUE,$S$2=TRUE),VLOOKUP($G717,'KO Calc'!$H:$AW,3,FALSE),VLOOKUP($G717,'KO Calc'!$H723:$AW723,3,FALSE)),
IF(AND($Q$1=TRUE,$S$1=TRUE,$S$4=TRUE)=TRUE,IF(OR($Q$4=TRUE,$Q$5=TRUE,$S$2=TRUE),VLOOKUP($G717,'KO Calc'!$H:$AW,18,FALSE),VLOOKUP($G717,'KO Calc'!$H723:$AW723,18,FALSE)),IF(AND($Q$1=TRUE,$S$4=TRUE),IF(OR($Q$4=TRUE,$Q$5=TRUE,$S$2=TRUE),VLOOKUP($G717,'KO Calc'!$H:$AW,8,FALSE),VLOOKUP($G717,'KO Calc'!$H723:$AW723,8,FALSE)),
IF(AND($S$3=TRUE,$S$1=TRUE,$S$4=FALSE)=TRUE,IF(OR($Q$4=TRUE,$Q$5=TRUE,$S$2=TRUE),VLOOKUP($G717,'KO Calc'!$H:$AW,33,FALSE),VLOOKUP($G717,'KO Calc'!$H723:$AW723,33,FALSE)),IF(AND($S$3=TRUE,$S$4=FALSE),IF(OR($Q$4=TRUE,$Q$5=TRUE,$S$2=TRUE),VLOOKUP($G717,'KO Calc'!$H:$AW,23,FALSE),VLOOKUP($G717,'KO Calc'!$H723:$AW723,23,FALSE)),
IF(AND($S$3=TRUE,$S$1=TRUE,$S$4=TRUE)=TRUE,IF(OR($Q$4=TRUE,$Q$5=TRUE,$S$2=TRUE),VLOOKUP($G717,'KO Calc'!$H:$AW,38,FALSE),VLOOKUP($G717,'KO Calc'!$H723:$AW723,38,FALSE)),IF(AND($S$3=TRUE,$S$4=TRUE),IF(OR($Q$4=TRUE,$Q$5=TRUE,$S$2=TRUE),VLOOKUP($G717,'KO Calc'!$H:$AW,28,FALSE),VLOOKUP($G717,'KO Calc'!$H723:$AW723,28,FALSE)))))))))))))</f>
        <v>-</v>
      </c>
      <c r="J717" s="36" t="str">
        <f>IF(AND($Q$1=FALSE,$S$3=FALSE),"-",IF(AND($Q$1=TRUE,$S$3=TRUE),"-",IF(AND($Q$1=FALSE,$S$3=FALSE),"-",IF(AND($Q$1=TRUE,$S$1=TRUE,$S$4=FALSE)=TRUE,IF(OR($Q$4=TRUE,$Q$5=TRUE,$S$2=TRUE),VLOOKUP($G717,'KO Calc'!$H:$AW,FALSE),VLOOKUP($G717,'KO Calc'!$H723:$AW723,14,FALSE)),IF(AND($Q$1=TRUE,$S$4=FALSE),IF(OR($Q$4=TRUE,$Q$5=TRUE,$S$2=TRUE),VLOOKUP($G717,'KO Calc'!$H:$AW,4,FALSE),VLOOKUP($G717,'KO Calc'!$H723:$AW723,4,FALSE)),
IF(AND($Q$1=TRUE,$S$1=TRUE,$S$4=TRUE)=TRUE,IF(OR($Q$4=TRUE,$Q$5=TRUE,$S$2=TRUE),VLOOKUP($G717,'KO Calc'!$H:$AW,19,FALSE),VLOOKUP($G717,'KO Calc'!$H723:$AW723,19,FALSE)),IF(AND($Q$1=TRUE,$S$4=TRUE),IF(OR($Q$4=TRUE,$Q$5=TRUE,$S$2=TRUE),VLOOKUP($G717,'KO Calc'!$H:$AW,9,FALSE),VLOOKUP($G717,'KO Calc'!$H723:$AW723,9,FALSE)),
IF(AND($S$3=TRUE,$S$1=TRUE,$S$4=FALSE)=TRUE,IF(OR($Q$4=TRUE,$Q$5=TRUE,$S$2=TRUE),VLOOKUP($G717,'KO Calc'!$H:$AW,34,FALSE),VLOOKUP($G717,'KO Calc'!$H723:$AW723,34,FALSE)),IF(AND($S$3=TRUE,$S$4=FALSE),IF(OR($Q$4=TRUE,$Q$5=TRUE,$S$2=TRUE),VLOOKUP($G717,'KO Calc'!$H:$AW,24,FALSE),VLOOKUP($G717,'KO Calc'!$H723:$AW723,24,FALSE)),
IF(AND($S$3=TRUE,$S$1=TRUE,$S$4=TRUE)=TRUE,IF(OR($Q$4=TRUE,$Q$5=TRUE,$S$2=TRUE),VLOOKUP($G717,'KO Calc'!$H:$AW,39,FALSE),VLOOKUP($G717,'KO Calc'!$H723:$AW723,39,FALSE)),IF(AND($S$3=TRUE,$S$4=TRUE),IF(OR($Q$4=TRUE,$Q$5=TRUE,$S$2=TRUE),VLOOKUP($G717,'KO Calc'!$H:$AW,29,FALSE),VLOOKUP($G717,'KO Calc'!$H723:$AW723,29,FALSE)))))))))))))</f>
        <v>-</v>
      </c>
      <c r="K717" s="36" t="str">
        <f>IF(AND($Q$1=FALSE,$S$3=FALSE),"-",IF(AND($Q$1=TRUE,$S$3=TRUE),"-",IF(AND($Q$1=FALSE,$S$3=FALSE),"-",IF(AND($Q$1=TRUE,$S$1=TRUE,$S$4=FALSE)=TRUE,IF(OR($Q$4=TRUE,$Q$5=TRUE,$S$2=TRUE),VLOOKUP($G717,'KO Calc'!$H:$AW,15,FALSE),VLOOKUP($G717,'KO Calc'!$H723:$AW723,15,FALSE)),IF(AND($Q$1=TRUE,$S$4=FALSE),IF(OR($Q$4=TRUE,$Q$5=TRUE,$S$2=TRUE),VLOOKUP($G717,'KO Calc'!$H:$AW,5,FALSE),VLOOKUP($G717,'KO Calc'!$H723:$AW723,5,FALSE)),
IF(AND($Q$1=TRUE,$S$1=TRUE,$S$4=TRUE)=TRUE,IF(OR($Q$4=TRUE,$Q$5=TRUE,$S$2=TRUE),VLOOKUP($G717,'KO Calc'!$H:$AW,20,FALSE),VLOOKUP($G717,'KO Calc'!$H723:$AW723,20,FALSE)),IF(AND($Q$1=TRUE,$S$4=TRUE),IF(OR($Q$4=TRUE,$Q$5=TRUE,$S$2=TRUE),VLOOKUP($G717,'KO Calc'!$H:$AW,10,FALSE),VLOOKUP($G717,'KO Calc'!$H723:$AW723,10,FALSE)),
IF(AND($S$3=TRUE,$S$1=TRUE,$S$4=FALSE)=TRUE,IF(OR($Q$4=TRUE,$Q$5=TRUE,$S$2=TRUE),VLOOKUP($G717,'KO Calc'!$H:$AW,35,FALSE),VLOOKUP($G717,'KO Calc'!$H723:$AW723,35,FALSE)),IF(AND($S$3=TRUE,$S$4=FALSE),IF(OR($Q$4=TRUE,$Q$5=TRUE,$S$2=TRUE),VLOOKUP($G717,'KO Calc'!$H:$AW,25,FALSE),VLOOKUP($G717,'KO Calc'!$H723:$AW723,25,FALSE)),
IF(AND($S$3=TRUE,$S$1=TRUE,$S$4=TRUE)=TRUE,IF(OR($Q$4=TRUE,$Q$5=TRUE,$S$2=TRUE),VLOOKUP($G717,'KO Calc'!$H:$AW,40,FALSE),VLOOKUP($G717,'KO Calc'!$H723:$AW723,40,FALSE)),IF(AND($S$3=TRUE,$S$4=TRUE),IF(OR($Q$4=TRUE,$Q$5=TRUE,$S$2=TRUE),VLOOKUP($G717,'KO Calc'!$H:$AW,30,FALSE),VLOOKUP($G717,'KO Calc'!$H723:$AW723,30,FALSE)))))))))))))</f>
        <v>-</v>
      </c>
      <c r="L717" s="36" t="str">
        <f>IFERROR(IF(AND($Q$1=FALSE,$S$3=FALSE),"-",VLOOKUP($E717,'Status Thresholds'!$E:$AU,43,FALSE)),"-")</f>
        <v>-</v>
      </c>
      <c r="M717" s="36" t="str">
        <f>IFERROR(IF(AND($Q$1=FALSE,$S$3=FALSE),"-",VLOOKUP($E717,'Status Thresholds'!$E:$AU,41,FALSE)),"-")</f>
        <v>-</v>
      </c>
      <c r="N717" s="36" t="str">
        <f>IFERROR(IF(AND($Q$1=FALSE,$S$3=FALSE),"-",VLOOKUP($E717,'Status Thresholds'!$E:$AU,42,FALSE)),"-")</f>
        <v>-</v>
      </c>
    </row>
    <row r="718" spans="2:14" x14ac:dyDescent="0.25">
      <c r="B718" s="64" t="str">
        <f>VLOOKUP(C718,'Status Thresholds'!B:C,2,FALSE)</f>
        <v>Deviant</v>
      </c>
      <c r="C718" s="46" t="str">
        <f>IF(ISBLANK('KO Calc'!C714)=TRUE,"",'KO Calc'!C714)</f>
        <v>Snowbaron Lagombi</v>
      </c>
      <c r="D718" s="78"/>
      <c r="E718" s="62" t="str">
        <f t="shared" si="21"/>
        <v>Snowbaron Lagombi</v>
      </c>
      <c r="F718" t="s">
        <v>11</v>
      </c>
      <c r="G718" s="36" t="str">
        <f t="shared" si="22"/>
        <v>Snowbaron LagombiCrag 1</v>
      </c>
      <c r="H718" s="36" t="str">
        <f>IF(AND($Q$1=FALSE,$S$3=FALSE),"-",IF(AND($Q$1=TRUE,$S$3=TRUE),"-",IF(AND($Q$1=FALSE,$S$3=FALSE),"-",IF(AND($Q$1=TRUE,$S$1=TRUE,$S$4=FALSE)=TRUE,IF(OR($Q$4=TRUE,$Q$5=TRUE,$S$2=TRUE),VLOOKUP($G718,'KO Calc'!$H:$AW,12,FALSE),VLOOKUP($G718,'KO Calc'!$H724:$AW724,12,FALSE)),IF(AND($Q$1=TRUE,$S$4=FALSE),IF(OR($Q$4=TRUE,$Q$5=TRUE,$S$2=TRUE),VLOOKUP($G718,'KO Calc'!$H:$AW,2,FALSE),VLOOKUP($G718,'KO Calc'!$H724:$AW724,2,FALSE)),
IF(AND($Q$1=TRUE,$S$1=TRUE,$S$4=TRUE)=TRUE,IF(OR($Q$4=TRUE,$Q$5=TRUE,$S$2=TRUE),VLOOKUP($G718,'KO Calc'!$H:$AW,17,FALSE),VLOOKUP($G718,'KO Calc'!$H724:$AW724,17,FALSE)),IF(AND($Q$1=TRUE,$S$4=TRUE),IF(OR($Q$4=TRUE,$Q$5=TRUE,$S$2=TRUE),VLOOKUP($G718,'KO Calc'!$H:$AW,7,FALSE),VLOOKUP($G718,'KO Calc'!$H724:$AW724,7,FALSE)),
IF(AND($S$3=TRUE,$S$1=TRUE,$S$4=FALSE)=TRUE,IF(OR($Q$4=TRUE,$Q$5=TRUE,$S$2=TRUE),VLOOKUP($G718,'KO Calc'!$H:$AW,32,FALSE),VLOOKUP($G718,'KO Calc'!$H724:$AW724,32,FALSE)),IF(AND($S$3=TRUE,$S$4=FALSE),IF(OR($Q$4=TRUE,$Q$5=TRUE,$S$2=TRUE),VLOOKUP($G718,'KO Calc'!$H:$AW,22,FALSE),VLOOKUP($G718,'KO Calc'!$H724:$AW724,22,FALSE)),
IF(AND($S$3=TRUE,$S$1=TRUE,$S$4=TRUE)=TRUE,IF(OR($Q$4=TRUE,$Q$5=TRUE,$S$2=TRUE),VLOOKUP($G718,'KO Calc'!$H:$AW,37,FALSE),VLOOKUP($G718,'KO Calc'!$H724:$AW724,37,FALSE)),IF(AND($S$3=TRUE,$S$4=TRUE),IF(OR($Q$4=TRUE,$Q$5=TRUE,$S$2=TRUE),VLOOKUP($G718,'KO Calc'!$H:$AW,27,FALSE),VLOOKUP($G718,'KO Calc'!$H724:$AW724,27,FALSE)))))))))))))</f>
        <v>-</v>
      </c>
      <c r="I718" s="36" t="str">
        <f>IF(AND($Q$1=FALSE,$S$3=FALSE),"-",IF(AND($Q$1=TRUE,$S$3=TRUE),"-",IF(AND($Q$1=FALSE,$S$3=FALSE),"-",IF(AND($Q$1=TRUE,$S$1=TRUE,$S$4=FALSE)=TRUE,IF(OR($Q$4=TRUE,$Q$5=TRUE,$S$2=TRUE),VLOOKUP($G718,'KO Calc'!$H:$AW,13,FALSE),VLOOKUP($G718,'KO Calc'!$H724:$AW724,13,FALSE)),IF(AND($Q$1=TRUE,$S$4=FALSE),IF(OR($Q$4=TRUE,$Q$5=TRUE,$S$2=TRUE),VLOOKUP($G718,'KO Calc'!$H:$AW,3,FALSE),VLOOKUP($G718,'KO Calc'!$H724:$AW724,3,FALSE)),
IF(AND($Q$1=TRUE,$S$1=TRUE,$S$4=TRUE)=TRUE,IF(OR($Q$4=TRUE,$Q$5=TRUE,$S$2=TRUE),VLOOKUP($G718,'KO Calc'!$H:$AW,18,FALSE),VLOOKUP($G718,'KO Calc'!$H724:$AW724,18,FALSE)),IF(AND($Q$1=TRUE,$S$4=TRUE),IF(OR($Q$4=TRUE,$Q$5=TRUE,$S$2=TRUE),VLOOKUP($G718,'KO Calc'!$H:$AW,8,FALSE),VLOOKUP($G718,'KO Calc'!$H724:$AW724,8,FALSE)),
IF(AND($S$3=TRUE,$S$1=TRUE,$S$4=FALSE)=TRUE,IF(OR($Q$4=TRUE,$Q$5=TRUE,$S$2=TRUE),VLOOKUP($G718,'KO Calc'!$H:$AW,33,FALSE),VLOOKUP($G718,'KO Calc'!$H724:$AW724,33,FALSE)),IF(AND($S$3=TRUE,$S$4=FALSE),IF(OR($Q$4=TRUE,$Q$5=TRUE,$S$2=TRUE),VLOOKUP($G718,'KO Calc'!$H:$AW,23,FALSE),VLOOKUP($G718,'KO Calc'!$H724:$AW724,23,FALSE)),
IF(AND($S$3=TRUE,$S$1=TRUE,$S$4=TRUE)=TRUE,IF(OR($Q$4=TRUE,$Q$5=TRUE,$S$2=TRUE),VLOOKUP($G718,'KO Calc'!$H:$AW,38,FALSE),VLOOKUP($G718,'KO Calc'!$H724:$AW724,38,FALSE)),IF(AND($S$3=TRUE,$S$4=TRUE),IF(OR($Q$4=TRUE,$Q$5=TRUE,$S$2=TRUE),VLOOKUP($G718,'KO Calc'!$H:$AW,28,FALSE),VLOOKUP($G718,'KO Calc'!$H724:$AW724,28,FALSE)))))))))))))</f>
        <v>-</v>
      </c>
      <c r="J718" s="36" t="str">
        <f>IF(AND($Q$1=FALSE,$S$3=FALSE),"-",IF(AND($Q$1=TRUE,$S$3=TRUE),"-",IF(AND($Q$1=FALSE,$S$3=FALSE),"-",IF(AND($Q$1=TRUE,$S$1=TRUE,$S$4=FALSE)=TRUE,IF(OR($Q$4=TRUE,$Q$5=TRUE,$S$2=TRUE),VLOOKUP($G718,'KO Calc'!$H:$AW,FALSE),VLOOKUP($G718,'KO Calc'!$H724:$AW724,14,FALSE)),IF(AND($Q$1=TRUE,$S$4=FALSE),IF(OR($Q$4=TRUE,$Q$5=TRUE,$S$2=TRUE),VLOOKUP($G718,'KO Calc'!$H:$AW,4,FALSE),VLOOKUP($G718,'KO Calc'!$H724:$AW724,4,FALSE)),
IF(AND($Q$1=TRUE,$S$1=TRUE,$S$4=TRUE)=TRUE,IF(OR($Q$4=TRUE,$Q$5=TRUE,$S$2=TRUE),VLOOKUP($G718,'KO Calc'!$H:$AW,19,FALSE),VLOOKUP($G718,'KO Calc'!$H724:$AW724,19,FALSE)),IF(AND($Q$1=TRUE,$S$4=TRUE),IF(OR($Q$4=TRUE,$Q$5=TRUE,$S$2=TRUE),VLOOKUP($G718,'KO Calc'!$H:$AW,9,FALSE),VLOOKUP($G718,'KO Calc'!$H724:$AW724,9,FALSE)),
IF(AND($S$3=TRUE,$S$1=TRUE,$S$4=FALSE)=TRUE,IF(OR($Q$4=TRUE,$Q$5=TRUE,$S$2=TRUE),VLOOKUP($G718,'KO Calc'!$H:$AW,34,FALSE),VLOOKUP($G718,'KO Calc'!$H724:$AW724,34,FALSE)),IF(AND($S$3=TRUE,$S$4=FALSE),IF(OR($Q$4=TRUE,$Q$5=TRUE,$S$2=TRUE),VLOOKUP($G718,'KO Calc'!$H:$AW,24,FALSE),VLOOKUP($G718,'KO Calc'!$H724:$AW724,24,FALSE)),
IF(AND($S$3=TRUE,$S$1=TRUE,$S$4=TRUE)=TRUE,IF(OR($Q$4=TRUE,$Q$5=TRUE,$S$2=TRUE),VLOOKUP($G718,'KO Calc'!$H:$AW,39,FALSE),VLOOKUP($G718,'KO Calc'!$H724:$AW724,39,FALSE)),IF(AND($S$3=TRUE,$S$4=TRUE),IF(OR($Q$4=TRUE,$Q$5=TRUE,$S$2=TRUE),VLOOKUP($G718,'KO Calc'!$H:$AW,29,FALSE),VLOOKUP($G718,'KO Calc'!$H724:$AW724,29,FALSE)))))))))))))</f>
        <v>-</v>
      </c>
      <c r="K718" s="36" t="str">
        <f>IF(AND($Q$1=FALSE,$S$3=FALSE),"-",IF(AND($Q$1=TRUE,$S$3=TRUE),"-",IF(AND($Q$1=FALSE,$S$3=FALSE),"-",IF(AND($Q$1=TRUE,$S$1=TRUE,$S$4=FALSE)=TRUE,IF(OR($Q$4=TRUE,$Q$5=TRUE,$S$2=TRUE),VLOOKUP($G718,'KO Calc'!$H:$AW,15,FALSE),VLOOKUP($G718,'KO Calc'!$H724:$AW724,15,FALSE)),IF(AND($Q$1=TRUE,$S$4=FALSE),IF(OR($Q$4=TRUE,$Q$5=TRUE,$S$2=TRUE),VLOOKUP($G718,'KO Calc'!$H:$AW,5,FALSE),VLOOKUP($G718,'KO Calc'!$H724:$AW724,5,FALSE)),
IF(AND($Q$1=TRUE,$S$1=TRUE,$S$4=TRUE)=TRUE,IF(OR($Q$4=TRUE,$Q$5=TRUE,$S$2=TRUE),VLOOKUP($G718,'KO Calc'!$H:$AW,20,FALSE),VLOOKUP($G718,'KO Calc'!$H724:$AW724,20,FALSE)),IF(AND($Q$1=TRUE,$S$4=TRUE),IF(OR($Q$4=TRUE,$Q$5=TRUE,$S$2=TRUE),VLOOKUP($G718,'KO Calc'!$H:$AW,10,FALSE),VLOOKUP($G718,'KO Calc'!$H724:$AW724,10,FALSE)),
IF(AND($S$3=TRUE,$S$1=TRUE,$S$4=FALSE)=TRUE,IF(OR($Q$4=TRUE,$Q$5=TRUE,$S$2=TRUE),VLOOKUP($G718,'KO Calc'!$H:$AW,35,FALSE),VLOOKUP($G718,'KO Calc'!$H724:$AW724,35,FALSE)),IF(AND($S$3=TRUE,$S$4=FALSE),IF(OR($Q$4=TRUE,$Q$5=TRUE,$S$2=TRUE),VLOOKUP($G718,'KO Calc'!$H:$AW,25,FALSE),VLOOKUP($G718,'KO Calc'!$H724:$AW724,25,FALSE)),
IF(AND($S$3=TRUE,$S$1=TRUE,$S$4=TRUE)=TRUE,IF(OR($Q$4=TRUE,$Q$5=TRUE,$S$2=TRUE),VLOOKUP($G718,'KO Calc'!$H:$AW,40,FALSE),VLOOKUP($G718,'KO Calc'!$H724:$AW724,40,FALSE)),IF(AND($S$3=TRUE,$S$4=TRUE),IF(OR($Q$4=TRUE,$Q$5=TRUE,$S$2=TRUE),VLOOKUP($G718,'KO Calc'!$H:$AW,30,FALSE),VLOOKUP($G718,'KO Calc'!$H724:$AW724,30,FALSE)))))))))))))</f>
        <v>-</v>
      </c>
      <c r="L718" s="36" t="str">
        <f>IFERROR(VLOOKUP($E718,'Status Thresholds'!$E:$AS,41,FALSE),"-")</f>
        <v>-</v>
      </c>
    </row>
    <row r="719" spans="2:14" x14ac:dyDescent="0.25">
      <c r="B719" s="64" t="str">
        <f>VLOOKUP(C719,'Status Thresholds'!B:C,2,FALSE)</f>
        <v>Deviant</v>
      </c>
      <c r="C719" s="46" t="str">
        <f>IF(ISBLANK('KO Calc'!C715)=TRUE,"",'KO Calc'!C715)</f>
        <v>Snowbaron Lagombi</v>
      </c>
      <c r="D719" s="78"/>
      <c r="E719" s="62" t="str">
        <f t="shared" si="21"/>
        <v>Snowbaron Lagombi</v>
      </c>
      <c r="G719" s="36" t="str">
        <f t="shared" si="22"/>
        <v>Snowbaron Lagombi</v>
      </c>
      <c r="L719" s="36" t="str">
        <f>IFERROR(VLOOKUP($E719,'Status Thresholds'!$E:$AS,41,FALSE),"-")</f>
        <v>-</v>
      </c>
    </row>
    <row r="720" spans="2:14" x14ac:dyDescent="0.25">
      <c r="B720" s="64" t="str">
        <f>VLOOKUP(C720,'Status Thresholds'!B:C,2,FALSE)</f>
        <v>Deviant</v>
      </c>
      <c r="C720" s="46" t="str">
        <f>IF(ISBLANK('KO Calc'!C716)=TRUE,"",'KO Calc'!C716)</f>
        <v>Soulseer Mizutsune</v>
      </c>
      <c r="D720" s="65" t="s">
        <v>0</v>
      </c>
      <c r="E720" s="62" t="str">
        <f t="shared" si="21"/>
        <v>Soulseer MizutsunePara</v>
      </c>
      <c r="F720" s="36" t="s">
        <v>2</v>
      </c>
      <c r="G720" s="36" t="str">
        <f t="shared" si="22"/>
        <v>Soulseer MizutsunePara lvl 2</v>
      </c>
      <c r="H720" s="36" t="str">
        <f>IFERROR(ROUNDUP(IF(AND($Q$1=FALSE,$S$3=FALSE),"-",IF(AND($Q$1=TRUE,$S$3=TRUE),"-",IF(AND($Q$1=TRUE,$S$1=TRUE,$S$4=FALSE),VLOOKUP($E720,'Status Thresholds'!$E:$AS,12,FALSE),IF(AND($Q$1=TRUE,$S$4=FALSE),VLOOKUP($E720,'Status Thresholds'!$E:$AS,2,FALSE), IF(AND($Q$1=TRUE,$S$1=TRUE,$S$4=TRUE),VLOOKUP($E720,'Status Thresholds'!$E:$AS,17,FALSE),IF(AND($Q$1=TRUE,$S$4=TRUE),VLOOKUP($E720,'Status Thresholds'!$E:$AS,7,FALSE),IF(AND($S$3=TRUE,$S$1=TRUE,$S$4=FALSE),VLOOKUP($E720,'Status Thresholds'!$E:$AS,32,FALSE),IF(AND($S$3=TRUE,$S$4=FALSE),VLOOKUP($E720,'Status Thresholds'!$E:$AS,22,FALSE),IF(AND($S$3=TRUE,$S$1=TRUE,$S$4=TRUE),VLOOKUP($E720,'Status Thresholds'!$E:$AS,37,FALSE),IF(AND($S$3=TRUE,$S$4=TRUE),VLOOKUP($E720,'Status Thresholds'!$E:$AS,27,FALSE),""))))))))/IF(OR($Q$3=TRUE,AND($Q$2=TRUE,$Q$7=TRUE),AND($Q$3=TRUE,$Q$7=TRUE))=TRUE,'Shots and Status'!$F$5,IF((OR($Q$2,$Q$7)=TRUE),'Shots and Status'!$D$5,'Shots and Status'!$C$5)))),0),"-")</f>
        <v>-</v>
      </c>
      <c r="I720" s="36" t="str">
        <f>IFERROR(ROUNDUP(IF(AND($Q$1=FALSE,$S$3=FALSE),"-",IF(AND($Q$1=TRUE,$S$3=TRUE),"-",IF(AND($Q$1=TRUE,$S$1=TRUE,$S$4=FALSE),VLOOKUP($E720,'Status Thresholds'!$E:$AS,13,FALSE),IF(AND($Q$1=TRUE,$S$4=FALSE),VLOOKUP($E720,'Status Thresholds'!$E:$AS,3,FALSE), IF(AND($Q$1=TRUE,$S$1=TRUE,$S$4=TRUE),VLOOKUP($E720,'Status Thresholds'!$E:$AS,18,FALSE),IF(AND($Q$1=TRUE,$S$4=TRUE),VLOOKUP($E720,'Status Thresholds'!$E:$AS,8,FALSE),IF(AND($S$3=TRUE,$S$1=TRUE,$S$4=FALSE),VLOOKUP($E720,'Status Thresholds'!$E:$AS,33,FALSE),IF(AND($S$3=TRUE,$S$4=FALSE),VLOOKUP($E720,'Status Thresholds'!$E:$AS,23,FALSE),IF(AND($S$3=TRUE,$S$1=TRUE,$S$4=TRUE),VLOOKUP($E720,'Status Thresholds'!$E:$AS,38,FALSE),IF(AND($S$3=TRUE,$S$4=TRUE),VLOOKUP($E720,'Status Thresholds'!$E:$AS,28,FALSE),""))))))))/IF(OR($Q$3=TRUE,AND($Q$2=TRUE,$Q$7=TRUE),AND($Q$3=TRUE,$Q$7=TRUE))=TRUE,'Shots and Status'!$F$5,IF((OR($Q$2,$Q$7)=TRUE),'Shots and Status'!$D$5,'Shots and Status'!$C$5)))),0),"-")</f>
        <v>-</v>
      </c>
      <c r="J720" s="36" t="str">
        <f>IFERROR(ROUNDUP(IF(AND($Q$1=FALSE,$S$3=FALSE),"-",IF(AND($Q$1=TRUE,$S$3=TRUE),"-",IF(AND($Q$1=TRUE,$S$1=TRUE,$S$4=FALSE),VLOOKUP($E720,'Status Thresholds'!$E:$AS,14,FALSE),IF(AND($Q$1=TRUE,$S$4=FALSE),VLOOKUP($E720,'Status Thresholds'!$E:$AS,4,FALSE), IF(AND($Q$1=TRUE,$S$1=TRUE,$S$4=TRUE),VLOOKUP($E720,'Status Thresholds'!$E:$AS,19,FALSE),IF(AND($Q$1=TRUE,$S$4=TRUE),VLOOKUP($E720,'Status Thresholds'!$E:$AS,9,FALSE),IF(AND($S$3=TRUE,$S$1=TRUE,$S$4=FALSE),VLOOKUP($E720,'Status Thresholds'!$E:$AS,34,FALSE),IF(AND($S$3=TRUE,$S$4=FALSE),VLOOKUP($E720,'Status Thresholds'!$E:$AS,24,FALSE),IF(AND($S$3=TRUE,$S$1=TRUE,$S$4=TRUE),VLOOKUP($E720,'Status Thresholds'!$E:$AS,39,FALSE),IF(AND($S$3=TRUE,$S$4=TRUE),VLOOKUP($E720,'Status Thresholds'!$E:$AS,29,FALSE),""))))))))/IF(OR($Q$3=TRUE,AND($Q$2=TRUE,$Q$7=TRUE),AND($Q$3=TRUE,$Q$7=TRUE))=TRUE,'Shots and Status'!$F$5,IF((OR($Q$2,$Q$7)=TRUE),'Shots and Status'!$D$5,'Shots and Status'!$C$5)))),0),"-")</f>
        <v>-</v>
      </c>
      <c r="K720" s="36" t="str">
        <f>IFERROR(ROUNDUP(IF(AND($Q$1=FALSE,$S$3=FALSE),"-",IF(AND($Q$1=TRUE,$S$3=TRUE),"-",IF(AND($Q$1=TRUE,$S$1=TRUE,$S$4=FALSE),VLOOKUP($E720,'Status Thresholds'!$E:$AS,15,FALSE),IF(AND($Q$1=TRUE,$S$4=FALSE),VLOOKUP($E720,'Status Thresholds'!$E:$AS,5,FALSE), IF(AND($Q$1=TRUE,$S$1=TRUE,$S$4=TRUE),VLOOKUP($E720,'Status Thresholds'!$E:$AS,20,FALSE),IF(AND($Q$1=TRUE,$S$4=TRUE),VLOOKUP($E720,'Status Thresholds'!$E:$AS,10,FALSE),IF(AND($S$3=TRUE,$S$1=TRUE,$S$4=FALSE),VLOOKUP($E720,'Status Thresholds'!$E:$AS,35,FALSE),IF(AND($S$3=TRUE,$S$4=FALSE),VLOOKUP($E720,'Status Thresholds'!$E:$AS,25,FALSE),IF(AND($S$3=TRUE,$S$1=TRUE,$S$4=TRUE),VLOOKUP($E720,'Status Thresholds'!$E:$AS,40,FALSE),IF(AND($S$3=TRUE,$S$4=TRUE),VLOOKUP($E720,'Status Thresholds'!$E:$AS,30,FALSE),""))))))))/IF(OR($Q$3=TRUE,AND($Q$2=TRUE,$Q$7=TRUE),AND($Q$3=TRUE,$Q$7=TRUE))=TRUE,'Shots and Status'!$F$5,IF((OR($Q$2,$Q$7)=TRUE),'Shots and Status'!$D$5,'Shots and Status'!$C$5)))),0),"-")</f>
        <v>-</v>
      </c>
      <c r="L720" s="36" t="str">
        <f>IFERROR(IF(AND($Q$1=FALSE,$S$3=FALSE),"-",VLOOKUP($E720,'Status Thresholds'!$E:$AU,41,FALSE)),"-")</f>
        <v>-</v>
      </c>
      <c r="M720" s="36" t="str">
        <f>IFERROR(IF(AND($Q$1=FALSE,$S$3=FALSE),"-",VLOOKUP($E720,'Status Thresholds'!$E:$AU,42,FALSE)),"-")</f>
        <v>-</v>
      </c>
      <c r="N720" s="36" t="str">
        <f>IFERROR(IF(AND($Q$1=FALSE,$S$3=FALSE),"-",VLOOKUP($E720,'Status Thresholds'!$E:$AU,43,FALSE)),"-")</f>
        <v>-</v>
      </c>
    </row>
    <row r="721" spans="2:14" x14ac:dyDescent="0.25">
      <c r="B721" s="64" t="str">
        <f>VLOOKUP(C721,'Status Thresholds'!B:C,2,FALSE)</f>
        <v>Deviant</v>
      </c>
      <c r="C721" s="46" t="str">
        <f>IF(ISBLANK('KO Calc'!C717)=TRUE,"",'KO Calc'!C717)</f>
        <v>Soulseer Mizutsune</v>
      </c>
      <c r="D721" s="60" t="s">
        <v>32</v>
      </c>
      <c r="E721" s="62" t="str">
        <f t="shared" si="21"/>
        <v>Soulseer MizutsuneSleep</v>
      </c>
      <c r="F721" s="59" t="s">
        <v>5</v>
      </c>
      <c r="G721" s="36" t="str">
        <f t="shared" si="22"/>
        <v>Soulseer MizutsuneSleep lvl 2</v>
      </c>
      <c r="H721" s="36" t="str">
        <f>IFERROR(ROUNDUP(IF(AND($Q$1=FALSE,$S$3=FALSE),"-",IF(AND($Q$1=TRUE,$S$3=TRUE),"-",IF(AND($Q$1=TRUE,$S$1=TRUE,$S$4=FALSE),VLOOKUP($E721,'Status Thresholds'!$E:$AS,12,FALSE),IF(AND($Q$1=TRUE,$S$4=FALSE),VLOOKUP($E721,'Status Thresholds'!$E:$AS,2,FALSE), IF(AND($Q$1=TRUE,$S$1=TRUE,$S$4=TRUE),VLOOKUP($E721,'Status Thresholds'!$E:$AS,17,FALSE),IF(AND($Q$1=TRUE,$S$4=TRUE),VLOOKUP($E721,'Status Thresholds'!$E:$AS,7,FALSE),IF(AND($S$3=TRUE,$S$1=TRUE,$S$4=FALSE),VLOOKUP($E721,'Status Thresholds'!$E:$AS,32,FALSE),IF(AND($S$3=TRUE,$S$4=FALSE),VLOOKUP($E721,'Status Thresholds'!$E:$AS,22,FALSE),IF(AND($S$3=TRUE,$S$1=TRUE,$S$4=TRUE),VLOOKUP($E721,'Status Thresholds'!$E:$AS,37,FALSE),IF(AND($S$3=TRUE,$S$4=TRUE),VLOOKUP($E721,'Status Thresholds'!$E:$AS,27,FALSE),""))))))))/IF(OR($Q$3=TRUE,AND($Q$2=TRUE,$Q$7=TRUE),AND($Q$3=TRUE,$Q$7=TRUE))=TRUE,'Shots and Status'!$F$5,IF((OR($Q$2,$Q$7)=TRUE),'Shots and Status'!$D$5,'Shots and Status'!$C$5)))),0),"-")</f>
        <v>-</v>
      </c>
      <c r="I721" s="36" t="str">
        <f>IFERROR(ROUNDUP(IF(AND($Q$1=FALSE,$S$3=FALSE),"-",IF(AND($Q$1=TRUE,$S$3=TRUE),"-",IF(AND($Q$1=TRUE,$S$1=TRUE,$S$4=FALSE),VLOOKUP($E721,'Status Thresholds'!$E:$AS,13,FALSE),IF(AND($Q$1=TRUE,$S$4=FALSE),VLOOKUP($E721,'Status Thresholds'!$E:$AS,3,FALSE), IF(AND($Q$1=TRUE,$S$1=TRUE,$S$4=TRUE),VLOOKUP($E721,'Status Thresholds'!$E:$AS,18,FALSE),IF(AND($Q$1=TRUE,$S$4=TRUE),VLOOKUP($E721,'Status Thresholds'!$E:$AS,8,FALSE),IF(AND($S$3=TRUE,$S$1=TRUE,$S$4=FALSE),VLOOKUP($E721,'Status Thresholds'!$E:$AS,33,FALSE),IF(AND($S$3=TRUE,$S$4=FALSE),VLOOKUP($E721,'Status Thresholds'!$E:$AS,23,FALSE),IF(AND($S$3=TRUE,$S$1=TRUE,$S$4=TRUE),VLOOKUP($E721,'Status Thresholds'!$E:$AS,38,FALSE),IF(AND($S$3=TRUE,$S$4=TRUE),VLOOKUP($E721,'Status Thresholds'!$E:$AS,28,FALSE),""))))))))/IF(OR($Q$3=TRUE,AND($Q$2=TRUE,$Q$7=TRUE),AND($Q$3=TRUE,$Q$7=TRUE))=TRUE,'Shots and Status'!$F$5,IF((OR($Q$2,$Q$7)=TRUE),'Shots and Status'!$D$5,'Shots and Status'!$C$5)))),0),"-")</f>
        <v>-</v>
      </c>
      <c r="J721" s="36" t="str">
        <f>IFERROR(ROUNDUP(IF(AND($Q$1=FALSE,$S$3=FALSE),"-",IF(AND($Q$1=TRUE,$S$3=TRUE),"-",IF(AND($Q$1=TRUE,$S$1=TRUE,$S$4=FALSE),VLOOKUP($E721,'Status Thresholds'!$E:$AS,14,FALSE),IF(AND($Q$1=TRUE,$S$4=FALSE),VLOOKUP($E721,'Status Thresholds'!$E:$AS,4,FALSE), IF(AND($Q$1=TRUE,$S$1=TRUE,$S$4=TRUE),VLOOKUP($E721,'Status Thresholds'!$E:$AS,19,FALSE),IF(AND($Q$1=TRUE,$S$4=TRUE),VLOOKUP($E721,'Status Thresholds'!$E:$AS,9,FALSE),IF(AND($S$3=TRUE,$S$1=TRUE,$S$4=FALSE),VLOOKUP($E721,'Status Thresholds'!$E:$AS,34,FALSE),IF(AND($S$3=TRUE,$S$4=FALSE),VLOOKUP($E721,'Status Thresholds'!$E:$AS,24,FALSE),IF(AND($S$3=TRUE,$S$1=TRUE,$S$4=TRUE),VLOOKUP($E721,'Status Thresholds'!$E:$AS,39,FALSE),IF(AND($S$3=TRUE,$S$4=TRUE),VLOOKUP($E721,'Status Thresholds'!$E:$AS,29,FALSE),""))))))))/IF(OR($Q$3=TRUE,AND($Q$2=TRUE,$Q$7=TRUE),AND($Q$3=TRUE,$Q$7=TRUE))=TRUE,'Shots and Status'!$F$5,IF((OR($Q$2,$Q$7)=TRUE),'Shots and Status'!$D$5,'Shots and Status'!$C$5)))),0),"-")</f>
        <v>-</v>
      </c>
      <c r="K721" s="36" t="str">
        <f>IFERROR(ROUNDUP(IF(AND($Q$1=FALSE,$S$3=FALSE),"-",IF(AND($Q$1=TRUE,$S$3=TRUE),"-",IF(AND($Q$1=TRUE,$S$1=TRUE,$S$4=FALSE),VLOOKUP($E721,'Status Thresholds'!$E:$AS,15,FALSE),IF(AND($Q$1=TRUE,$S$4=FALSE),VLOOKUP($E721,'Status Thresholds'!$E:$AS,5,FALSE), IF(AND($Q$1=TRUE,$S$1=TRUE,$S$4=TRUE),VLOOKUP($E721,'Status Thresholds'!$E:$AS,20,FALSE),IF(AND($Q$1=TRUE,$S$4=TRUE),VLOOKUP($E721,'Status Thresholds'!$E:$AS,10,FALSE),IF(AND($S$3=TRUE,$S$1=TRUE,$S$4=FALSE),VLOOKUP($E721,'Status Thresholds'!$E:$AS,35,FALSE),IF(AND($S$3=TRUE,$S$4=FALSE),VLOOKUP($E721,'Status Thresholds'!$E:$AS,25,FALSE),IF(AND($S$3=TRUE,$S$1=TRUE,$S$4=TRUE),VLOOKUP($E721,'Status Thresholds'!$E:$AS,40,FALSE),IF(AND($S$3=TRUE,$S$4=TRUE),VLOOKUP($E721,'Status Thresholds'!$E:$AS,30,FALSE),""))))))))/IF(OR($Q$3=TRUE,AND($Q$2=TRUE,$Q$7=TRUE),AND($Q$3=TRUE,$Q$7=TRUE))=TRUE,'Shots and Status'!$F$5,IF((OR($Q$2,$Q$7)=TRUE),'Shots and Status'!$D$5,'Shots and Status'!$C$5)))),0),"-")</f>
        <v>-</v>
      </c>
      <c r="L721" s="36" t="str">
        <f>IFERROR(IF(AND($Q$1=FALSE,$S$3=FALSE),"-",VLOOKUP($E721,'Status Thresholds'!$E:$AU,41,FALSE)),"-")</f>
        <v>-</v>
      </c>
      <c r="M721" s="36" t="str">
        <f>IFERROR(IF(AND($Q$1=FALSE,$S$3=FALSE),"-",VLOOKUP($E721,'Status Thresholds'!$E:$AU,42,FALSE)),"-")</f>
        <v>-</v>
      </c>
      <c r="N721" s="36" t="str">
        <f>IFERROR(IF(AND($Q$1=FALSE,$S$3=FALSE),"-",VLOOKUP($E721,'Status Thresholds'!$E:$AU,43,FALSE)),"-")</f>
        <v>-</v>
      </c>
    </row>
    <row r="722" spans="2:14" x14ac:dyDescent="0.25">
      <c r="B722" s="64" t="str">
        <f>VLOOKUP(C722,'Status Thresholds'!B:C,2,FALSE)</f>
        <v>Deviant</v>
      </c>
      <c r="C722" s="46" t="str">
        <f>IF(ISBLANK('KO Calc'!C718)=TRUE,"",'KO Calc'!C718)</f>
        <v>Soulseer Mizutsune</v>
      </c>
      <c r="D722" s="58" t="s">
        <v>33</v>
      </c>
      <c r="E722" s="62" t="str">
        <f t="shared" si="21"/>
        <v>Soulseer MizutsunePoison</v>
      </c>
      <c r="F722" s="59" t="s">
        <v>6</v>
      </c>
      <c r="G722" s="36" t="str">
        <f t="shared" si="22"/>
        <v>Soulseer MizutsunePoison lvl 2</v>
      </c>
      <c r="H722" s="36" t="str">
        <f>IFERROR(ROUNDUP(IF(AND($Q$1=FALSE,$S$3=FALSE),"-",IF(AND($Q$1=TRUE,$S$3=TRUE),"-",IF(AND($Q$1=TRUE,$S$1=TRUE,$S$4=FALSE),VLOOKUP($E722,'Status Thresholds'!$E:$AS,12,FALSE),IF(AND($Q$1=TRUE,$S$4=FALSE),VLOOKUP($E722,'Status Thresholds'!$E:$AS,2,FALSE), IF(AND($Q$1=TRUE,$S$1=TRUE,$S$4=TRUE),VLOOKUP($E722,'Status Thresholds'!$E:$AS,17,FALSE),IF(AND($Q$1=TRUE,$S$4=TRUE),VLOOKUP($E722,'Status Thresholds'!$E:$AS,7,FALSE),IF(AND($S$3=TRUE,$S$1=TRUE,$S$4=FALSE),VLOOKUP($E722,'Status Thresholds'!$E:$AS,32,FALSE),IF(AND($S$3=TRUE,$S$4=FALSE),VLOOKUP($E722,'Status Thresholds'!$E:$AS,22,FALSE),IF(AND($S$3=TRUE,$S$1=TRUE,$S$4=TRUE),VLOOKUP($E722,'Status Thresholds'!$E:$AS,37,FALSE),IF(AND($S$3=TRUE,$S$4=TRUE),VLOOKUP($E722,'Status Thresholds'!$E:$AS,27,FALSE),""))))))))/IF(OR($Q$3=TRUE,AND($Q$2=TRUE,$Q$7=TRUE),AND($Q$3=TRUE,$Q$7=TRUE))=TRUE,'Shots and Status'!$F$5,IF((OR($Q$2,$Q$7)=TRUE),'Shots and Status'!$D$5,'Shots and Status'!$C$5)))),0),"-")</f>
        <v>-</v>
      </c>
      <c r="I722" s="36" t="str">
        <f>IFERROR(ROUNDUP(IF(AND($Q$1=FALSE,$S$3=FALSE),"-",IF(AND($Q$1=TRUE,$S$3=TRUE),"-",IF(AND($Q$1=TRUE,$S$1=TRUE,$S$4=FALSE),VLOOKUP($E722,'Status Thresholds'!$E:$AS,13,FALSE),IF(AND($Q$1=TRUE,$S$4=FALSE),VLOOKUP($E722,'Status Thresholds'!$E:$AS,3,FALSE), IF(AND($Q$1=TRUE,$S$1=TRUE,$S$4=TRUE),VLOOKUP($E722,'Status Thresholds'!$E:$AS,18,FALSE),IF(AND($Q$1=TRUE,$S$4=TRUE),VLOOKUP($E722,'Status Thresholds'!$E:$AS,8,FALSE),IF(AND($S$3=TRUE,$S$1=TRUE,$S$4=FALSE),VLOOKUP($E722,'Status Thresholds'!$E:$AS,33,FALSE),IF(AND($S$3=TRUE,$S$4=FALSE),VLOOKUP($E722,'Status Thresholds'!$E:$AS,23,FALSE),IF(AND($S$3=TRUE,$S$1=TRUE,$S$4=TRUE),VLOOKUP($E722,'Status Thresholds'!$E:$AS,38,FALSE),IF(AND($S$3=TRUE,$S$4=TRUE),VLOOKUP($E722,'Status Thresholds'!$E:$AS,28,FALSE),""))))))))/IF(OR($Q$3=TRUE,AND($Q$2=TRUE,$Q$7=TRUE),AND($Q$3=TRUE,$Q$7=TRUE))=TRUE,'Shots and Status'!$F$5,IF((OR($Q$2,$Q$7)=TRUE),'Shots and Status'!$D$5,'Shots and Status'!$C$5)))),0),"-")</f>
        <v>-</v>
      </c>
      <c r="J722" s="36" t="str">
        <f>IFERROR(ROUNDUP(IF(AND($Q$1=FALSE,$S$3=FALSE),"-",IF(AND($Q$1=TRUE,$S$3=TRUE),"-",IF(AND($Q$1=TRUE,$S$1=TRUE,$S$4=FALSE),VLOOKUP($E722,'Status Thresholds'!$E:$AS,14,FALSE),IF(AND($Q$1=TRUE,$S$4=FALSE),VLOOKUP($E722,'Status Thresholds'!$E:$AS,4,FALSE), IF(AND($Q$1=TRUE,$S$1=TRUE,$S$4=TRUE),VLOOKUP($E722,'Status Thresholds'!$E:$AS,19,FALSE),IF(AND($Q$1=TRUE,$S$4=TRUE),VLOOKUP($E722,'Status Thresholds'!$E:$AS,9,FALSE),IF(AND($S$3=TRUE,$S$1=TRUE,$S$4=FALSE),VLOOKUP($E722,'Status Thresholds'!$E:$AS,34,FALSE),IF(AND($S$3=TRUE,$S$4=FALSE),VLOOKUP($E722,'Status Thresholds'!$E:$AS,24,FALSE),IF(AND($S$3=TRUE,$S$1=TRUE,$S$4=TRUE),VLOOKUP($E722,'Status Thresholds'!$E:$AS,39,FALSE),IF(AND($S$3=TRUE,$S$4=TRUE),VLOOKUP($E722,'Status Thresholds'!$E:$AS,29,FALSE),""))))))))/IF(OR($Q$3=TRUE,AND($Q$2=TRUE,$Q$7=TRUE),AND($Q$3=TRUE,$Q$7=TRUE))=TRUE,'Shots and Status'!$F$5,IF((OR($Q$2,$Q$7)=TRUE),'Shots and Status'!$D$5,'Shots and Status'!$C$5)))),0),"-")</f>
        <v>-</v>
      </c>
      <c r="K722" s="36" t="str">
        <f>IFERROR(ROUNDUP(IF(AND($Q$1=FALSE,$S$3=FALSE),"-",IF(AND($Q$1=TRUE,$S$3=TRUE),"-",IF(AND($Q$1=TRUE,$S$1=TRUE,$S$4=FALSE),VLOOKUP($E722,'Status Thresholds'!$E:$AS,15,FALSE),IF(AND($Q$1=TRUE,$S$4=FALSE),VLOOKUP($E722,'Status Thresholds'!$E:$AS,5,FALSE), IF(AND($Q$1=TRUE,$S$1=TRUE,$S$4=TRUE),VLOOKUP($E722,'Status Thresholds'!$E:$AS,20,FALSE),IF(AND($Q$1=TRUE,$S$4=TRUE),VLOOKUP($E722,'Status Thresholds'!$E:$AS,10,FALSE),IF(AND($S$3=TRUE,$S$1=TRUE,$S$4=FALSE),VLOOKUP($E722,'Status Thresholds'!$E:$AS,35,FALSE),IF(AND($S$3=TRUE,$S$4=FALSE),VLOOKUP($E722,'Status Thresholds'!$E:$AS,25,FALSE),IF(AND($S$3=TRUE,$S$1=TRUE,$S$4=TRUE),VLOOKUP($E722,'Status Thresholds'!$E:$AS,40,FALSE),IF(AND($S$3=TRUE,$S$4=TRUE),VLOOKUP($E722,'Status Thresholds'!$E:$AS,30,FALSE),""))))))))/IF(OR($Q$3=TRUE,AND($Q$2=TRUE,$Q$7=TRUE),AND($Q$3=TRUE,$Q$7=TRUE))=TRUE,'Shots and Status'!$F$5,IF((OR($Q$2,$Q$7)=TRUE),'Shots and Status'!$D$5,'Shots and Status'!$C$5)))),0),"-")</f>
        <v>-</v>
      </c>
      <c r="L722" s="36" t="str">
        <f>IFERROR(IF(AND($Q$1=FALSE,$S$3=FALSE),"-",VLOOKUP($E722,'Status Thresholds'!$E:$AU,41,FALSE)),"-")</f>
        <v>-</v>
      </c>
      <c r="M722" s="36" t="str">
        <f>IFERROR(IF(AND($Q$1=FALSE,$S$3=FALSE),"-",VLOOKUP($E722,'Status Thresholds'!$E:$AU,42,FALSE)),"-")</f>
        <v>-</v>
      </c>
      <c r="N722" s="36" t="str">
        <f>IFERROR(IF(AND($Q$1=FALSE,$S$3=FALSE),"-",VLOOKUP($E722,'Status Thresholds'!$E:$AU,43,FALSE)),"-")</f>
        <v>-</v>
      </c>
    </row>
    <row r="723" spans="2:14" x14ac:dyDescent="0.25">
      <c r="B723" s="64" t="str">
        <f>VLOOKUP(C723,'Status Thresholds'!B:C,2,FALSE)</f>
        <v>Deviant</v>
      </c>
      <c r="C723" s="46" t="str">
        <f>IF(ISBLANK('KO Calc'!C719)=TRUE,"",'KO Calc'!C719)</f>
        <v>Soulseer Mizutsune</v>
      </c>
      <c r="D723" s="57" t="s">
        <v>22</v>
      </c>
      <c r="E723" s="62" t="str">
        <f t="shared" si="21"/>
        <v>Soulseer MizutsuneExhaust</v>
      </c>
      <c r="F723" s="36" t="s">
        <v>8</v>
      </c>
      <c r="G723" s="36" t="str">
        <f t="shared" si="22"/>
        <v>Soulseer MizutsuneExhaust lvl 2</v>
      </c>
      <c r="H723" s="36" t="str">
        <f>IFERROR(ROUNDUP(IF(AND($Q$1=FALSE,$S$3=FALSE),"-",IF(AND($Q$1=TRUE,$S$3=TRUE),"-",IF(AND($Q$1=TRUE,$S$1=TRUE,$S$4=FALSE),VLOOKUP($E723,'Status Thresholds'!$E:$AS,12,FALSE),IF(AND($Q$1=TRUE,$S$4=FALSE),VLOOKUP($E723,'Status Thresholds'!$E:$AS,2,FALSE), IF(AND($Q$1=TRUE,$S$1=TRUE,$S$4=TRUE),VLOOKUP($E723,'Status Thresholds'!$E:$AS,17,FALSE),IF(AND($Q$1=TRUE,$S$4=TRUE),VLOOKUP($E723,'Status Thresholds'!$E:$AS,7,FALSE),IF(AND($S$3=TRUE,$S$1=TRUE,$S$4=FALSE),VLOOKUP($E723,'Status Thresholds'!$E:$AS,32,FALSE),IF(AND($S$3=TRUE,$S$4=FALSE),VLOOKUP($E723,'Status Thresholds'!$E:$AS,22,FALSE),IF(AND($S$3=TRUE,$S$1=TRUE,$S$4=TRUE),VLOOKUP($E723,'Status Thresholds'!$E:$AS,37,FALSE),IF(AND($S$3=TRUE,$S$4=TRUE),VLOOKUP($E723,'Status Thresholds'!$E:$AS,27,FALSE),""))))))))/IF(OR($Q$3=TRUE,AND($Q$2=TRUE,$Q$7=TRUE),AND($Q$3=TRUE,$Q$7=TRUE))=TRUE,'Shots and Status'!$F$5,IF((OR($Q$2,$Q$7)=TRUE),'Shots and Status'!$D$5,'Shots and Status'!$C$5)))),0),"-")</f>
        <v>-</v>
      </c>
      <c r="I723" s="36" t="str">
        <f>IFERROR(ROUNDUP(IF(AND($Q$1=FALSE,$S$3=FALSE),"-",IF(AND($Q$1=TRUE,$S$3=TRUE),"-",IF(AND($Q$1=TRUE,$S$1=TRUE,$S$4=FALSE),VLOOKUP($E723,'Status Thresholds'!$E:$AS,13,FALSE),IF(AND($Q$1=TRUE,$S$4=FALSE),VLOOKUP($E723,'Status Thresholds'!$E:$AS,3,FALSE), IF(AND($Q$1=TRUE,$S$1=TRUE,$S$4=TRUE),VLOOKUP($E723,'Status Thresholds'!$E:$AS,18,FALSE),IF(AND($Q$1=TRUE,$S$4=TRUE),VLOOKUP($E723,'Status Thresholds'!$E:$AS,8,FALSE),IF(AND($S$3=TRUE,$S$1=TRUE,$S$4=FALSE),VLOOKUP($E723,'Status Thresholds'!$E:$AS,33,FALSE),IF(AND($S$3=TRUE,$S$4=FALSE),VLOOKUP($E723,'Status Thresholds'!$E:$AS,23,FALSE),IF(AND($S$3=TRUE,$S$1=TRUE,$S$4=TRUE),VLOOKUP($E723,'Status Thresholds'!$E:$AS,38,FALSE),IF(AND($S$3=TRUE,$S$4=TRUE),VLOOKUP($E723,'Status Thresholds'!$E:$AS,28,FALSE),""))))))))/IF(OR($Q$3=TRUE,AND($Q$2=TRUE,$Q$7=TRUE),AND($Q$3=TRUE,$Q$7=TRUE))=TRUE,'Shots and Status'!$F$5,IF((OR($Q$2,$Q$7)=TRUE),'Shots and Status'!$D$5,'Shots and Status'!$C$5)))),0),"-")</f>
        <v>-</v>
      </c>
      <c r="J723" s="36" t="str">
        <f>IFERROR(ROUNDUP(IF(AND($Q$1=FALSE,$S$3=FALSE),"-",IF(AND($Q$1=TRUE,$S$3=TRUE),"-",IF(AND($Q$1=TRUE,$S$1=TRUE,$S$4=FALSE),VLOOKUP($E723,'Status Thresholds'!$E:$AS,14,FALSE),IF(AND($Q$1=TRUE,$S$4=FALSE),VLOOKUP($E723,'Status Thresholds'!$E:$AS,4,FALSE), IF(AND($Q$1=TRUE,$S$1=TRUE,$S$4=TRUE),VLOOKUP($E723,'Status Thresholds'!$E:$AS,19,FALSE),IF(AND($Q$1=TRUE,$S$4=TRUE),VLOOKUP($E723,'Status Thresholds'!$E:$AS,9,FALSE),IF(AND($S$3=TRUE,$S$1=TRUE,$S$4=FALSE),VLOOKUP($E723,'Status Thresholds'!$E:$AS,34,FALSE),IF(AND($S$3=TRUE,$S$4=FALSE),VLOOKUP($E723,'Status Thresholds'!$E:$AS,24,FALSE),IF(AND($S$3=TRUE,$S$1=TRUE,$S$4=TRUE),VLOOKUP($E723,'Status Thresholds'!$E:$AS,39,FALSE),IF(AND($S$3=TRUE,$S$4=TRUE),VLOOKUP($E723,'Status Thresholds'!$E:$AS,29,FALSE),""))))))))/IF(OR($Q$3=TRUE,AND($Q$2=TRUE,$Q$7=TRUE),AND($Q$3=TRUE,$Q$7=TRUE))=TRUE,'Shots and Status'!$F$5,IF((OR($Q$2,$Q$7)=TRUE),'Shots and Status'!$D$5,'Shots and Status'!$C$5)))),0),"-")</f>
        <v>-</v>
      </c>
      <c r="K723" s="36" t="str">
        <f>IFERROR(ROUNDUP(IF(AND($Q$1=FALSE,$S$3=FALSE),"-",IF(AND($Q$1=TRUE,$S$3=TRUE),"-",IF(AND($Q$1=TRUE,$S$1=TRUE,$S$4=FALSE),VLOOKUP($E723,'Status Thresholds'!$E:$AS,15,FALSE),IF(AND($Q$1=TRUE,$S$4=FALSE),VLOOKUP($E723,'Status Thresholds'!$E:$AS,5,FALSE), IF(AND($Q$1=TRUE,$S$1=TRUE,$S$4=TRUE),VLOOKUP($E723,'Status Thresholds'!$E:$AS,20,FALSE),IF(AND($Q$1=TRUE,$S$4=TRUE),VLOOKUP($E723,'Status Thresholds'!$E:$AS,10,FALSE),IF(AND($S$3=TRUE,$S$1=TRUE,$S$4=FALSE),VLOOKUP($E723,'Status Thresholds'!$E:$AS,35,FALSE),IF(AND($S$3=TRUE,$S$4=FALSE),VLOOKUP($E723,'Status Thresholds'!$E:$AS,25,FALSE),IF(AND($S$3=TRUE,$S$1=TRUE,$S$4=TRUE),VLOOKUP($E723,'Status Thresholds'!$E:$AS,40,FALSE),IF(AND($S$3=TRUE,$S$4=TRUE),VLOOKUP($E723,'Status Thresholds'!$E:$AS,30,FALSE),""))))))))/IF(OR($Q$3=TRUE,AND($Q$2=TRUE,$Q$7=TRUE),AND($Q$3=TRUE,$Q$7=TRUE))=TRUE,'Shots and Status'!$F$5,IF((OR($Q$2,$Q$7)=TRUE),'Shots and Status'!$D$5,'Shots and Status'!$C$5)))),0),"-")</f>
        <v>-</v>
      </c>
      <c r="L723" s="36" t="str">
        <f>IFERROR(IF(AND($Q$1=FALSE,$S$3=FALSE),"-",VLOOKUP($E723,'Status Thresholds'!$E:$AU,41,FALSE)),"-")</f>
        <v>-</v>
      </c>
      <c r="M723" s="36" t="str">
        <f>IFERROR(IF(AND($Q$1=FALSE,$S$3=FALSE),"-",VLOOKUP($E723,'Status Thresholds'!$E:$AU,42,FALSE)),"-")</f>
        <v>-</v>
      </c>
      <c r="N723" s="36" t="str">
        <f>IFERROR(IF(AND($Q$1=FALSE,$S$3=FALSE),"-",VLOOKUP($E723,'Status Thresholds'!$E:$AU,43,FALSE)),"-")</f>
        <v>-</v>
      </c>
    </row>
    <row r="724" spans="2:14" x14ac:dyDescent="0.25">
      <c r="B724" s="64" t="str">
        <f>VLOOKUP(C724,'Status Thresholds'!B:C,2,FALSE)</f>
        <v>Deviant</v>
      </c>
      <c r="C724" s="46" t="str">
        <f>IF(ISBLANK('KO Calc'!C720)=TRUE,"",'KO Calc'!C720)</f>
        <v>Soulseer Mizutsune</v>
      </c>
      <c r="D724" s="67" t="s">
        <v>14</v>
      </c>
      <c r="E724" s="62" t="str">
        <f t="shared" si="21"/>
        <v>Soulseer MizutsuneKO</v>
      </c>
      <c r="F724" s="36" t="s">
        <v>21</v>
      </c>
      <c r="G724" s="36" t="str">
        <f t="shared" si="22"/>
        <v>Soulseer MizutsuneTriblast</v>
      </c>
      <c r="H724" s="36" t="str">
        <f>IF(AND($Q$1=FALSE,$S$3=FALSE),"-",IF(AND($Q$1=TRUE,$S$3=TRUE),"-",IF(AND($Q$1=FALSE,$S$3=FALSE),"-",IF(AND($Q$1=TRUE,$S$1=TRUE,$S$4=FALSE)=TRUE,IF(OR($Q$4=TRUE,$Q$5=TRUE,$S$2=TRUE),VLOOKUP($G724,'KO Calc'!$H:$AW,12,FALSE),VLOOKUP($G724,'KO Calc'!$H730:$AW730,12,FALSE)),IF(AND($Q$1=TRUE,$S$4=FALSE),IF(OR($Q$4=TRUE,$Q$5=TRUE,$S$2=TRUE),VLOOKUP($G724,'KO Calc'!$H:$AW,2,FALSE),VLOOKUP($G724,'KO Calc'!$H730:$AW730,2,FALSE)),
IF(AND($Q$1=TRUE,$S$1=TRUE,$S$4=TRUE)=TRUE,IF(OR($Q$4=TRUE,$Q$5=TRUE,$S$2=TRUE),VLOOKUP($G724,'KO Calc'!$H:$AW,17,FALSE),VLOOKUP($G724,'KO Calc'!$H730:$AW730,17,FALSE)),IF(AND($Q$1=TRUE,$S$4=TRUE),IF(OR($Q$4=TRUE,$Q$5=TRUE,$S$2=TRUE),VLOOKUP($G724,'KO Calc'!$H:$AW,7,FALSE),VLOOKUP($G724,'KO Calc'!$H730:$AW730,7,FALSE)),
IF(AND($S$3=TRUE,$S$1=TRUE,$S$4=FALSE)=TRUE,IF(OR($Q$4=TRUE,$Q$5=TRUE,$S$2=TRUE),VLOOKUP($G724,'KO Calc'!$H:$AW,32,FALSE),VLOOKUP($G724,'KO Calc'!$H730:$AW730,32,FALSE)),IF(AND($S$3=TRUE,$S$4=FALSE),IF(OR($Q$4=TRUE,$Q$5=TRUE,$S$2=TRUE),VLOOKUP($G724,'KO Calc'!$H:$AW,22,FALSE),VLOOKUP($G724,'KO Calc'!$H730:$AW730,22,FALSE)),
IF(AND($S$3=TRUE,$S$1=TRUE,$S$4=TRUE)=TRUE,IF(OR($Q$4=TRUE,$Q$5=TRUE,$S$2=TRUE),VLOOKUP($G724,'KO Calc'!$H:$AW,37,FALSE),VLOOKUP($G724,'KO Calc'!$H730:$AW730,37,FALSE)),IF(AND($S$3=TRUE,$S$4=TRUE),IF(OR($Q$4=TRUE,$Q$5=TRUE,$S$2=TRUE),VLOOKUP($G724,'KO Calc'!$H:$AW,27,FALSE),VLOOKUP($G724,'KO Calc'!$H730:$AW730,27,FALSE)))))))))))))</f>
        <v>-</v>
      </c>
      <c r="I724" s="36" t="str">
        <f>IF(AND($Q$1=FALSE,$S$3=FALSE),"-",IF(AND($Q$1=TRUE,$S$3=TRUE),"-",IF(AND($Q$1=FALSE,$S$3=FALSE),"-",IF(AND($Q$1=TRUE,$S$1=TRUE,$S$4=FALSE)=TRUE,IF(OR($Q$4=TRUE,$Q$5=TRUE,$S$2=TRUE),VLOOKUP($G724,'KO Calc'!$H:$AW,13,FALSE),VLOOKUP($G724,'KO Calc'!$H730:$AW730,13,FALSE)),IF(AND($Q$1=TRUE,$S$4=FALSE),IF(OR($Q$4=TRUE,$Q$5=TRUE,$S$2=TRUE),VLOOKUP($G724,'KO Calc'!$H:$AW,3,FALSE),VLOOKUP($G724,'KO Calc'!$H730:$AW730,3,FALSE)),
IF(AND($Q$1=TRUE,$S$1=TRUE,$S$4=TRUE)=TRUE,IF(OR($Q$4=TRUE,$Q$5=TRUE,$S$2=TRUE),VLOOKUP($G724,'KO Calc'!$H:$AW,18,FALSE),VLOOKUP($G724,'KO Calc'!$H730:$AW730,18,FALSE)),IF(AND($Q$1=TRUE,$S$4=TRUE),IF(OR($Q$4=TRUE,$Q$5=TRUE,$S$2=TRUE),VLOOKUP($G724,'KO Calc'!$H:$AW,8,FALSE),VLOOKUP($G724,'KO Calc'!$H730:$AW730,8,FALSE)),
IF(AND($S$3=TRUE,$S$1=TRUE,$S$4=FALSE)=TRUE,IF(OR($Q$4=TRUE,$Q$5=TRUE,$S$2=TRUE),VLOOKUP($G724,'KO Calc'!$H:$AW,33,FALSE),VLOOKUP($G724,'KO Calc'!$H730:$AW730,33,FALSE)),IF(AND($S$3=TRUE,$S$4=FALSE),IF(OR($Q$4=TRUE,$Q$5=TRUE,$S$2=TRUE),VLOOKUP($G724,'KO Calc'!$H:$AW,23,FALSE),VLOOKUP($G724,'KO Calc'!$H730:$AW730,23,FALSE)),
IF(AND($S$3=TRUE,$S$1=TRUE,$S$4=TRUE)=TRUE,IF(OR($Q$4=TRUE,$Q$5=TRUE,$S$2=TRUE),VLOOKUP($G724,'KO Calc'!$H:$AW,38,FALSE),VLOOKUP($G724,'KO Calc'!$H730:$AW730,38,FALSE)),IF(AND($S$3=TRUE,$S$4=TRUE),IF(OR($Q$4=TRUE,$Q$5=TRUE,$S$2=TRUE),VLOOKUP($G724,'KO Calc'!$H:$AW,28,FALSE),VLOOKUP($G724,'KO Calc'!$H730:$AW730,28,FALSE)))))))))))))</f>
        <v>-</v>
      </c>
      <c r="J724" s="36" t="str">
        <f>IF(AND($Q$1=FALSE,$S$3=FALSE),"-",IF(AND($Q$1=TRUE,$S$3=TRUE),"-",IF(AND($Q$1=FALSE,$S$3=FALSE),"-",IF(AND($Q$1=TRUE,$S$1=TRUE,$S$4=FALSE)=TRUE,IF(OR($Q$4=TRUE,$Q$5=TRUE,$S$2=TRUE),VLOOKUP($G724,'KO Calc'!$H:$AW,FALSE),VLOOKUP($G724,'KO Calc'!$H730:$AW730,14,FALSE)),IF(AND($Q$1=TRUE,$S$4=FALSE),IF(OR($Q$4=TRUE,$Q$5=TRUE,$S$2=TRUE),VLOOKUP($G724,'KO Calc'!$H:$AW,4,FALSE),VLOOKUP($G724,'KO Calc'!$H730:$AW730,4,FALSE)),
IF(AND($Q$1=TRUE,$S$1=TRUE,$S$4=TRUE)=TRUE,IF(OR($Q$4=TRUE,$Q$5=TRUE,$S$2=TRUE),VLOOKUP($G724,'KO Calc'!$H:$AW,19,FALSE),VLOOKUP($G724,'KO Calc'!$H730:$AW730,19,FALSE)),IF(AND($Q$1=TRUE,$S$4=TRUE),IF(OR($Q$4=TRUE,$Q$5=TRUE,$S$2=TRUE),VLOOKUP($G724,'KO Calc'!$H:$AW,9,FALSE),VLOOKUP($G724,'KO Calc'!$H730:$AW730,9,FALSE)),
IF(AND($S$3=TRUE,$S$1=TRUE,$S$4=FALSE)=TRUE,IF(OR($Q$4=TRUE,$Q$5=TRUE,$S$2=TRUE),VLOOKUP($G724,'KO Calc'!$H:$AW,34,FALSE),VLOOKUP($G724,'KO Calc'!$H730:$AW730,34,FALSE)),IF(AND($S$3=TRUE,$S$4=FALSE),IF(OR($Q$4=TRUE,$Q$5=TRUE,$S$2=TRUE),VLOOKUP($G724,'KO Calc'!$H:$AW,24,FALSE),VLOOKUP($G724,'KO Calc'!$H730:$AW730,24,FALSE)),
IF(AND($S$3=TRUE,$S$1=TRUE,$S$4=TRUE)=TRUE,IF(OR($Q$4=TRUE,$Q$5=TRUE,$S$2=TRUE),VLOOKUP($G724,'KO Calc'!$H:$AW,39,FALSE),VLOOKUP($G724,'KO Calc'!$H730:$AW730,39,FALSE)),IF(AND($S$3=TRUE,$S$4=TRUE),IF(OR($Q$4=TRUE,$Q$5=TRUE,$S$2=TRUE),VLOOKUP($G724,'KO Calc'!$H:$AW,29,FALSE),VLOOKUP($G724,'KO Calc'!$H730:$AW730,29,FALSE)))))))))))))</f>
        <v>-</v>
      </c>
      <c r="K724" s="36" t="str">
        <f>IF(AND($Q$1=FALSE,$S$3=FALSE),"-",IF(AND($Q$1=TRUE,$S$3=TRUE),"-",IF(AND($Q$1=FALSE,$S$3=FALSE),"-",IF(AND($Q$1=TRUE,$S$1=TRUE,$S$4=FALSE)=TRUE,IF(OR($Q$4=TRUE,$Q$5=TRUE,$S$2=TRUE),VLOOKUP($G724,'KO Calc'!$H:$AW,15,FALSE),VLOOKUP($G724,'KO Calc'!$H730:$AW730,15,FALSE)),IF(AND($Q$1=TRUE,$S$4=FALSE),IF(OR($Q$4=TRUE,$Q$5=TRUE,$S$2=TRUE),VLOOKUP($G724,'KO Calc'!$H:$AW,5,FALSE),VLOOKUP($G724,'KO Calc'!$H730:$AW730,5,FALSE)),
IF(AND($Q$1=TRUE,$S$1=TRUE,$S$4=TRUE)=TRUE,IF(OR($Q$4=TRUE,$Q$5=TRUE,$S$2=TRUE),VLOOKUP($G724,'KO Calc'!$H:$AW,20,FALSE),VLOOKUP($G724,'KO Calc'!$H730:$AW730,20,FALSE)),IF(AND($Q$1=TRUE,$S$4=TRUE),IF(OR($Q$4=TRUE,$Q$5=TRUE,$S$2=TRUE),VLOOKUP($G724,'KO Calc'!$H:$AW,10,FALSE),VLOOKUP($G724,'KO Calc'!$H730:$AW730,10,FALSE)),
IF(AND($S$3=TRUE,$S$1=TRUE,$S$4=FALSE)=TRUE,IF(OR($Q$4=TRUE,$Q$5=TRUE,$S$2=TRUE),VLOOKUP($G724,'KO Calc'!$H:$AW,35,FALSE),VLOOKUP($G724,'KO Calc'!$H730:$AW730,35,FALSE)),IF(AND($S$3=TRUE,$S$4=FALSE),IF(OR($Q$4=TRUE,$Q$5=TRUE,$S$2=TRUE),VLOOKUP($G724,'KO Calc'!$H:$AW,25,FALSE),VLOOKUP($G724,'KO Calc'!$H730:$AW730,25,FALSE)),
IF(AND($S$3=TRUE,$S$1=TRUE,$S$4=TRUE)=TRUE,IF(OR($Q$4=TRUE,$Q$5=TRUE,$S$2=TRUE),VLOOKUP($G724,'KO Calc'!$H:$AW,40,FALSE),VLOOKUP($G724,'KO Calc'!$H730:$AW730,40,FALSE)),IF(AND($S$3=TRUE,$S$4=TRUE),IF(OR($Q$4=TRUE,$Q$5=TRUE,$S$2=TRUE),VLOOKUP($G724,'KO Calc'!$H:$AW,30,FALSE),VLOOKUP($G724,'KO Calc'!$H730:$AW730,30,FALSE)))))))))))))</f>
        <v>-</v>
      </c>
      <c r="L724" s="36" t="str">
        <f>IFERROR(IF(AND($Q$1=FALSE,$S$3=FALSE),"-",VLOOKUP($E724,'Status Thresholds'!$E:$AU,41,FALSE)),"-")</f>
        <v>-</v>
      </c>
      <c r="M724" s="36" t="str">
        <f>IFERROR(IF(AND($Q$1=FALSE,$S$3=FALSE),"-",VLOOKUP($E724,'Status Thresholds'!$E:$AU,42,FALSE)),"-")</f>
        <v>-</v>
      </c>
      <c r="N724" s="36" t="str">
        <f>IFERROR(IF(AND($Q$1=FALSE,$S$3=FALSE),"-",VLOOKUP($E724,'Status Thresholds'!$E:$AU,43,FALSE)),"-")</f>
        <v>-</v>
      </c>
    </row>
    <row r="725" spans="2:14" x14ac:dyDescent="0.25">
      <c r="B725" s="64" t="str">
        <f>VLOOKUP(C725,'Status Thresholds'!B:C,2,FALSE)</f>
        <v>Deviant</v>
      </c>
      <c r="C725" s="46" t="str">
        <f>IF(ISBLANK('KO Calc'!C721)=TRUE,"",'KO Calc'!C721)</f>
        <v>Soulseer Mizutsune</v>
      </c>
      <c r="D725" s="78" t="s">
        <v>207</v>
      </c>
      <c r="E725" s="62" t="str">
        <f t="shared" si="21"/>
        <v>Soulseer MizutsuneShock Trap</v>
      </c>
      <c r="F725" t="s">
        <v>13</v>
      </c>
      <c r="G725" s="36" t="str">
        <f t="shared" si="22"/>
        <v>Soulseer MizutsuneCrag 3</v>
      </c>
      <c r="H725" s="36" t="str">
        <f>IF(AND($Q$1=FALSE,$S$3=FALSE),"-",IF(AND($Q$1=TRUE,$S$3=TRUE),"-",IF(AND($Q$1=FALSE,$S$3=FALSE),"-",IF(AND($Q$1=TRUE,$S$1=TRUE,$S$4=FALSE)=TRUE,IF(OR($Q$4=TRUE,$Q$5=TRUE,$S$2=TRUE),VLOOKUP($G725,'KO Calc'!$H:$AW,12,FALSE),VLOOKUP($G725,'KO Calc'!$H731:$AW731,12,FALSE)),IF(AND($Q$1=TRUE,$S$4=FALSE),IF(OR($Q$4=TRUE,$Q$5=TRUE,$S$2=TRUE),VLOOKUP($G725,'KO Calc'!$H:$AW,2,FALSE),VLOOKUP($G725,'KO Calc'!$H731:$AW731,2,FALSE)),
IF(AND($Q$1=TRUE,$S$1=TRUE,$S$4=TRUE)=TRUE,IF(OR($Q$4=TRUE,$Q$5=TRUE,$S$2=TRUE),VLOOKUP($G725,'KO Calc'!$H:$AW,17,FALSE),VLOOKUP($G725,'KO Calc'!$H731:$AW731,17,FALSE)),IF(AND($Q$1=TRUE,$S$4=TRUE),IF(OR($Q$4=TRUE,$Q$5=TRUE,$S$2=TRUE),VLOOKUP($G725,'KO Calc'!$H:$AW,7,FALSE),VLOOKUP($G725,'KO Calc'!$H731:$AW731,7,FALSE)),
IF(AND($S$3=TRUE,$S$1=TRUE,$S$4=FALSE)=TRUE,IF(OR($Q$4=TRUE,$Q$5=TRUE,$S$2=TRUE),VLOOKUP($G725,'KO Calc'!$H:$AW,32,FALSE),VLOOKUP($G725,'KO Calc'!$H731:$AW731,32,FALSE)),IF(AND($S$3=TRUE,$S$4=FALSE),IF(OR($Q$4=TRUE,$Q$5=TRUE,$S$2=TRUE),VLOOKUP($G725,'KO Calc'!$H:$AW,22,FALSE),VLOOKUP($G725,'KO Calc'!$H731:$AW731,22,FALSE)),
IF(AND($S$3=TRUE,$S$1=TRUE,$S$4=TRUE)=TRUE,IF(OR($Q$4=TRUE,$Q$5=TRUE,$S$2=TRUE),VLOOKUP($G725,'KO Calc'!$H:$AW,37,FALSE),VLOOKUP($G725,'KO Calc'!$H731:$AW731,37,FALSE)),IF(AND($S$3=TRUE,$S$4=TRUE),IF(OR($Q$4=TRUE,$Q$5=TRUE,$S$2=TRUE),VLOOKUP($G725,'KO Calc'!$H:$AW,27,FALSE),VLOOKUP($G725,'KO Calc'!$H731:$AW731,27,FALSE)))))))))))))</f>
        <v>-</v>
      </c>
      <c r="I725" s="36" t="str">
        <f>IF(AND($Q$1=FALSE,$S$3=FALSE),"-",IF(AND($Q$1=TRUE,$S$3=TRUE),"-",IF(AND($Q$1=FALSE,$S$3=FALSE),"-",IF(AND($Q$1=TRUE,$S$1=TRUE,$S$4=FALSE)=TRUE,IF(OR($Q$4=TRUE,$Q$5=TRUE,$S$2=TRUE),VLOOKUP($G725,'KO Calc'!$H:$AW,13,FALSE),VLOOKUP($G725,'KO Calc'!$H731:$AW731,13,FALSE)),IF(AND($Q$1=TRUE,$S$4=FALSE),IF(OR($Q$4=TRUE,$Q$5=TRUE,$S$2=TRUE),VLOOKUP($G725,'KO Calc'!$H:$AW,3,FALSE),VLOOKUP($G725,'KO Calc'!$H731:$AW731,3,FALSE)),
IF(AND($Q$1=TRUE,$S$1=TRUE,$S$4=TRUE)=TRUE,IF(OR($Q$4=TRUE,$Q$5=TRUE,$S$2=TRUE),VLOOKUP($G725,'KO Calc'!$H:$AW,18,FALSE),VLOOKUP($G725,'KO Calc'!$H731:$AW731,18,FALSE)),IF(AND($Q$1=TRUE,$S$4=TRUE),IF(OR($Q$4=TRUE,$Q$5=TRUE,$S$2=TRUE),VLOOKUP($G725,'KO Calc'!$H:$AW,8,FALSE),VLOOKUP($G725,'KO Calc'!$H731:$AW731,8,FALSE)),
IF(AND($S$3=TRUE,$S$1=TRUE,$S$4=FALSE)=TRUE,IF(OR($Q$4=TRUE,$Q$5=TRUE,$S$2=TRUE),VLOOKUP($G725,'KO Calc'!$H:$AW,33,FALSE),VLOOKUP($G725,'KO Calc'!$H731:$AW731,33,FALSE)),IF(AND($S$3=TRUE,$S$4=FALSE),IF(OR($Q$4=TRUE,$Q$5=TRUE,$S$2=TRUE),VLOOKUP($G725,'KO Calc'!$H:$AW,23,FALSE),VLOOKUP($G725,'KO Calc'!$H731:$AW731,23,FALSE)),
IF(AND($S$3=TRUE,$S$1=TRUE,$S$4=TRUE)=TRUE,IF(OR($Q$4=TRUE,$Q$5=TRUE,$S$2=TRUE),VLOOKUP($G725,'KO Calc'!$H:$AW,38,FALSE),VLOOKUP($G725,'KO Calc'!$H731:$AW731,38,FALSE)),IF(AND($S$3=TRUE,$S$4=TRUE),IF(OR($Q$4=TRUE,$Q$5=TRUE,$S$2=TRUE),VLOOKUP($G725,'KO Calc'!$H:$AW,28,FALSE),VLOOKUP($G725,'KO Calc'!$H731:$AW731,28,FALSE)))))))))))))</f>
        <v>-</v>
      </c>
      <c r="J725" s="36" t="str">
        <f>IF(AND($Q$1=FALSE,$S$3=FALSE),"-",IF(AND($Q$1=TRUE,$S$3=TRUE),"-",IF(AND($Q$1=FALSE,$S$3=FALSE),"-",IF(AND($Q$1=TRUE,$S$1=TRUE,$S$4=FALSE)=TRUE,IF(OR($Q$4=TRUE,$Q$5=TRUE,$S$2=TRUE),VLOOKUP($G725,'KO Calc'!$H:$AW,FALSE),VLOOKUP($G725,'KO Calc'!$H731:$AW731,14,FALSE)),IF(AND($Q$1=TRUE,$S$4=FALSE),IF(OR($Q$4=TRUE,$Q$5=TRUE,$S$2=TRUE),VLOOKUP($G725,'KO Calc'!$H:$AW,4,FALSE),VLOOKUP($G725,'KO Calc'!$H731:$AW731,4,FALSE)),
IF(AND($Q$1=TRUE,$S$1=TRUE,$S$4=TRUE)=TRUE,IF(OR($Q$4=TRUE,$Q$5=TRUE,$S$2=TRUE),VLOOKUP($G725,'KO Calc'!$H:$AW,19,FALSE),VLOOKUP($G725,'KO Calc'!$H731:$AW731,19,FALSE)),IF(AND($Q$1=TRUE,$S$4=TRUE),IF(OR($Q$4=TRUE,$Q$5=TRUE,$S$2=TRUE),VLOOKUP($G725,'KO Calc'!$H:$AW,9,FALSE),VLOOKUP($G725,'KO Calc'!$H731:$AW731,9,FALSE)),
IF(AND($S$3=TRUE,$S$1=TRUE,$S$4=FALSE)=TRUE,IF(OR($Q$4=TRUE,$Q$5=TRUE,$S$2=TRUE),VLOOKUP($G725,'KO Calc'!$H:$AW,34,FALSE),VLOOKUP($G725,'KO Calc'!$H731:$AW731,34,FALSE)),IF(AND($S$3=TRUE,$S$4=FALSE),IF(OR($Q$4=TRUE,$Q$5=TRUE,$S$2=TRUE),VLOOKUP($G725,'KO Calc'!$H:$AW,24,FALSE),VLOOKUP($G725,'KO Calc'!$H731:$AW731,24,FALSE)),
IF(AND($S$3=TRUE,$S$1=TRUE,$S$4=TRUE)=TRUE,IF(OR($Q$4=TRUE,$Q$5=TRUE,$S$2=TRUE),VLOOKUP($G725,'KO Calc'!$H:$AW,39,FALSE),VLOOKUP($G725,'KO Calc'!$H731:$AW731,39,FALSE)),IF(AND($S$3=TRUE,$S$4=TRUE),IF(OR($Q$4=TRUE,$Q$5=TRUE,$S$2=TRUE),VLOOKUP($G725,'KO Calc'!$H:$AW,29,FALSE),VLOOKUP($G725,'KO Calc'!$H731:$AW731,29,FALSE)))))))))))))</f>
        <v>-</v>
      </c>
      <c r="K725" s="36" t="str">
        <f>IF(AND($Q$1=FALSE,$S$3=FALSE),"-",IF(AND($Q$1=TRUE,$S$3=TRUE),"-",IF(AND($Q$1=FALSE,$S$3=FALSE),"-",IF(AND($Q$1=TRUE,$S$1=TRUE,$S$4=FALSE)=TRUE,IF(OR($Q$4=TRUE,$Q$5=TRUE,$S$2=TRUE),VLOOKUP($G725,'KO Calc'!$H:$AW,15,FALSE),VLOOKUP($G725,'KO Calc'!$H731:$AW731,15,FALSE)),IF(AND($Q$1=TRUE,$S$4=FALSE),IF(OR($Q$4=TRUE,$Q$5=TRUE,$S$2=TRUE),VLOOKUP($G725,'KO Calc'!$H:$AW,5,FALSE),VLOOKUP($G725,'KO Calc'!$H731:$AW731,5,FALSE)),
IF(AND($Q$1=TRUE,$S$1=TRUE,$S$4=TRUE)=TRUE,IF(OR($Q$4=TRUE,$Q$5=TRUE,$S$2=TRUE),VLOOKUP($G725,'KO Calc'!$H:$AW,20,FALSE),VLOOKUP($G725,'KO Calc'!$H731:$AW731,20,FALSE)),IF(AND($Q$1=TRUE,$S$4=TRUE),IF(OR($Q$4=TRUE,$Q$5=TRUE,$S$2=TRUE),VLOOKUP($G725,'KO Calc'!$H:$AW,10,FALSE),VLOOKUP($G725,'KO Calc'!$H731:$AW731,10,FALSE)),
IF(AND($S$3=TRUE,$S$1=TRUE,$S$4=FALSE)=TRUE,IF(OR($Q$4=TRUE,$Q$5=TRUE,$S$2=TRUE),VLOOKUP($G725,'KO Calc'!$H:$AW,35,FALSE),VLOOKUP($G725,'KO Calc'!$H731:$AW731,35,FALSE)),IF(AND($S$3=TRUE,$S$4=FALSE),IF(OR($Q$4=TRUE,$Q$5=TRUE,$S$2=TRUE),VLOOKUP($G725,'KO Calc'!$H:$AW,25,FALSE),VLOOKUP($G725,'KO Calc'!$H731:$AW731,25,FALSE)),
IF(AND($S$3=TRUE,$S$1=TRUE,$S$4=TRUE)=TRUE,IF(OR($Q$4=TRUE,$Q$5=TRUE,$S$2=TRUE),VLOOKUP($G725,'KO Calc'!$H:$AW,40,FALSE),VLOOKUP($G725,'KO Calc'!$H731:$AW731,40,FALSE)),IF(AND($S$3=TRUE,$S$4=TRUE),IF(OR($Q$4=TRUE,$Q$5=TRUE,$S$2=TRUE),VLOOKUP($G725,'KO Calc'!$H:$AW,30,FALSE),VLOOKUP($G725,'KO Calc'!$H731:$AW731,30,FALSE)))))))))))))</f>
        <v>-</v>
      </c>
      <c r="L725" s="36" t="str">
        <f>IFERROR(IF(AND($Q$1=FALSE,$S$3=FALSE),"-",VLOOKUP($E725,'Status Thresholds'!$E:$AU,43,FALSE)),"-")</f>
        <v>-</v>
      </c>
      <c r="M725" s="36" t="str">
        <f>IFERROR(IF(AND($Q$1=FALSE,$S$3=FALSE),"-",VLOOKUP($E725,'Status Thresholds'!$E:$AU,41,FALSE)),"-")</f>
        <v>-</v>
      </c>
      <c r="N725" s="36" t="str">
        <f>IFERROR(IF(AND($Q$1=FALSE,$S$3=FALSE),"-",VLOOKUP($E725,'Status Thresholds'!$E:$AU,42,FALSE)),"-")</f>
        <v>-</v>
      </c>
    </row>
    <row r="726" spans="2:14" x14ac:dyDescent="0.25">
      <c r="B726" s="64" t="str">
        <f>VLOOKUP(C726,'Status Thresholds'!B:C,2,FALSE)</f>
        <v>Deviant</v>
      </c>
      <c r="C726" s="46" t="str">
        <f>IF(ISBLANK('KO Calc'!C722)=TRUE,"",'KO Calc'!C722)</f>
        <v>Soulseer Mizutsune</v>
      </c>
      <c r="D726" s="78" t="s">
        <v>213</v>
      </c>
      <c r="E726" s="62" t="str">
        <f t="shared" si="21"/>
        <v>Soulseer MizutsunePitfall Trap</v>
      </c>
      <c r="F726" t="s">
        <v>12</v>
      </c>
      <c r="G726" s="36" t="str">
        <f t="shared" si="22"/>
        <v>Soulseer MizutsuneCrag 2</v>
      </c>
      <c r="H726" s="36" t="str">
        <f>IF(AND($Q$1=FALSE,$S$3=FALSE),"-",IF(AND($Q$1=TRUE,$S$3=TRUE),"-",IF(AND($Q$1=FALSE,$S$3=FALSE),"-",IF(AND($Q$1=TRUE,$S$1=TRUE,$S$4=FALSE)=TRUE,IF(OR($Q$4=TRUE,$Q$5=TRUE,$S$2=TRUE),VLOOKUP($G726,'KO Calc'!$H:$AW,12,FALSE),VLOOKUP($G726,'KO Calc'!$H732:$AW732,12,FALSE)),IF(AND($Q$1=TRUE,$S$4=FALSE),IF(OR($Q$4=TRUE,$Q$5=TRUE,$S$2=TRUE),VLOOKUP($G726,'KO Calc'!$H:$AW,2,FALSE),VLOOKUP($G726,'KO Calc'!$H732:$AW732,2,FALSE)),
IF(AND($Q$1=TRUE,$S$1=TRUE,$S$4=TRUE)=TRUE,IF(OR($Q$4=TRUE,$Q$5=TRUE,$S$2=TRUE),VLOOKUP($G726,'KO Calc'!$H:$AW,17,FALSE),VLOOKUP($G726,'KO Calc'!$H732:$AW732,17,FALSE)),IF(AND($Q$1=TRUE,$S$4=TRUE),IF(OR($Q$4=TRUE,$Q$5=TRUE,$S$2=TRUE),VLOOKUP($G726,'KO Calc'!$H:$AW,7,FALSE),VLOOKUP($G726,'KO Calc'!$H732:$AW732,7,FALSE)),
IF(AND($S$3=TRUE,$S$1=TRUE,$S$4=FALSE)=TRUE,IF(OR($Q$4=TRUE,$Q$5=TRUE,$S$2=TRUE),VLOOKUP($G726,'KO Calc'!$H:$AW,32,FALSE),VLOOKUP($G726,'KO Calc'!$H732:$AW732,32,FALSE)),IF(AND($S$3=TRUE,$S$4=FALSE),IF(OR($Q$4=TRUE,$Q$5=TRUE,$S$2=TRUE),VLOOKUP($G726,'KO Calc'!$H:$AW,22,FALSE),VLOOKUP($G726,'KO Calc'!$H732:$AW732,22,FALSE)),
IF(AND($S$3=TRUE,$S$1=TRUE,$S$4=TRUE)=TRUE,IF(OR($Q$4=TRUE,$Q$5=TRUE,$S$2=TRUE),VLOOKUP($G726,'KO Calc'!$H:$AW,37,FALSE),VLOOKUP($G726,'KO Calc'!$H732:$AW732,37,FALSE)),IF(AND($S$3=TRUE,$S$4=TRUE),IF(OR($Q$4=TRUE,$Q$5=TRUE,$S$2=TRUE),VLOOKUP($G726,'KO Calc'!$H:$AW,27,FALSE),VLOOKUP($G726,'KO Calc'!$H732:$AW732,27,FALSE)))))))))))))</f>
        <v>-</v>
      </c>
      <c r="I726" s="36" t="str">
        <f>IF(AND($Q$1=FALSE,$S$3=FALSE),"-",IF(AND($Q$1=TRUE,$S$3=TRUE),"-",IF(AND($Q$1=FALSE,$S$3=FALSE),"-",IF(AND($Q$1=TRUE,$S$1=TRUE,$S$4=FALSE)=TRUE,IF(OR($Q$4=TRUE,$Q$5=TRUE,$S$2=TRUE),VLOOKUP($G726,'KO Calc'!$H:$AW,13,FALSE),VLOOKUP($G726,'KO Calc'!$H732:$AW732,13,FALSE)),IF(AND($Q$1=TRUE,$S$4=FALSE),IF(OR($Q$4=TRUE,$Q$5=TRUE,$S$2=TRUE),VLOOKUP($G726,'KO Calc'!$H:$AW,3,FALSE),VLOOKUP($G726,'KO Calc'!$H732:$AW732,3,FALSE)),
IF(AND($Q$1=TRUE,$S$1=TRUE,$S$4=TRUE)=TRUE,IF(OR($Q$4=TRUE,$Q$5=TRUE,$S$2=TRUE),VLOOKUP($G726,'KO Calc'!$H:$AW,18,FALSE),VLOOKUP($G726,'KO Calc'!$H732:$AW732,18,FALSE)),IF(AND($Q$1=TRUE,$S$4=TRUE),IF(OR($Q$4=TRUE,$Q$5=TRUE,$S$2=TRUE),VLOOKUP($G726,'KO Calc'!$H:$AW,8,FALSE),VLOOKUP($G726,'KO Calc'!$H732:$AW732,8,FALSE)),
IF(AND($S$3=TRUE,$S$1=TRUE,$S$4=FALSE)=TRUE,IF(OR($Q$4=TRUE,$Q$5=TRUE,$S$2=TRUE),VLOOKUP($G726,'KO Calc'!$H:$AW,33,FALSE),VLOOKUP($G726,'KO Calc'!$H732:$AW732,33,FALSE)),IF(AND($S$3=TRUE,$S$4=FALSE),IF(OR($Q$4=TRUE,$Q$5=TRUE,$S$2=TRUE),VLOOKUP($G726,'KO Calc'!$H:$AW,23,FALSE),VLOOKUP($G726,'KO Calc'!$H732:$AW732,23,FALSE)),
IF(AND($S$3=TRUE,$S$1=TRUE,$S$4=TRUE)=TRUE,IF(OR($Q$4=TRUE,$Q$5=TRUE,$S$2=TRUE),VLOOKUP($G726,'KO Calc'!$H:$AW,38,FALSE),VLOOKUP($G726,'KO Calc'!$H732:$AW732,38,FALSE)),IF(AND($S$3=TRUE,$S$4=TRUE),IF(OR($Q$4=TRUE,$Q$5=TRUE,$S$2=TRUE),VLOOKUP($G726,'KO Calc'!$H:$AW,28,FALSE),VLOOKUP($G726,'KO Calc'!$H732:$AW732,28,FALSE)))))))))))))</f>
        <v>-</v>
      </c>
      <c r="J726" s="36" t="str">
        <f>IF(AND($Q$1=FALSE,$S$3=FALSE),"-",IF(AND($Q$1=TRUE,$S$3=TRUE),"-",IF(AND($Q$1=FALSE,$S$3=FALSE),"-",IF(AND($Q$1=TRUE,$S$1=TRUE,$S$4=FALSE)=TRUE,IF(OR($Q$4=TRUE,$Q$5=TRUE,$S$2=TRUE),VLOOKUP($G726,'KO Calc'!$H:$AW,FALSE),VLOOKUP($G726,'KO Calc'!$H732:$AW732,14,FALSE)),IF(AND($Q$1=TRUE,$S$4=FALSE),IF(OR($Q$4=TRUE,$Q$5=TRUE,$S$2=TRUE),VLOOKUP($G726,'KO Calc'!$H:$AW,4,FALSE),VLOOKUP($G726,'KO Calc'!$H732:$AW732,4,FALSE)),
IF(AND($Q$1=TRUE,$S$1=TRUE,$S$4=TRUE)=TRUE,IF(OR($Q$4=TRUE,$Q$5=TRUE,$S$2=TRUE),VLOOKUP($G726,'KO Calc'!$H:$AW,19,FALSE),VLOOKUP($G726,'KO Calc'!$H732:$AW732,19,FALSE)),IF(AND($Q$1=TRUE,$S$4=TRUE),IF(OR($Q$4=TRUE,$Q$5=TRUE,$S$2=TRUE),VLOOKUP($G726,'KO Calc'!$H:$AW,9,FALSE),VLOOKUP($G726,'KO Calc'!$H732:$AW732,9,FALSE)),
IF(AND($S$3=TRUE,$S$1=TRUE,$S$4=FALSE)=TRUE,IF(OR($Q$4=TRUE,$Q$5=TRUE,$S$2=TRUE),VLOOKUP($G726,'KO Calc'!$H:$AW,34,FALSE),VLOOKUP($G726,'KO Calc'!$H732:$AW732,34,FALSE)),IF(AND($S$3=TRUE,$S$4=FALSE),IF(OR($Q$4=TRUE,$Q$5=TRUE,$S$2=TRUE),VLOOKUP($G726,'KO Calc'!$H:$AW,24,FALSE),VLOOKUP($G726,'KO Calc'!$H732:$AW732,24,FALSE)),
IF(AND($S$3=TRUE,$S$1=TRUE,$S$4=TRUE)=TRUE,IF(OR($Q$4=TRUE,$Q$5=TRUE,$S$2=TRUE),VLOOKUP($G726,'KO Calc'!$H:$AW,39,FALSE),VLOOKUP($G726,'KO Calc'!$H732:$AW732,39,FALSE)),IF(AND($S$3=TRUE,$S$4=TRUE),IF(OR($Q$4=TRUE,$Q$5=TRUE,$S$2=TRUE),VLOOKUP($G726,'KO Calc'!$H:$AW,29,FALSE),VLOOKUP($G726,'KO Calc'!$H732:$AW732,29,FALSE)))))))))))))</f>
        <v>-</v>
      </c>
      <c r="K726" s="36" t="str">
        <f>IF(AND($Q$1=FALSE,$S$3=FALSE),"-",IF(AND($Q$1=TRUE,$S$3=TRUE),"-",IF(AND($Q$1=FALSE,$S$3=FALSE),"-",IF(AND($Q$1=TRUE,$S$1=TRUE,$S$4=FALSE)=TRUE,IF(OR($Q$4=TRUE,$Q$5=TRUE,$S$2=TRUE),VLOOKUP($G726,'KO Calc'!$H:$AW,15,FALSE),VLOOKUP($G726,'KO Calc'!$H732:$AW732,15,FALSE)),IF(AND($Q$1=TRUE,$S$4=FALSE),IF(OR($Q$4=TRUE,$Q$5=TRUE,$S$2=TRUE),VLOOKUP($G726,'KO Calc'!$H:$AW,5,FALSE),VLOOKUP($G726,'KO Calc'!$H732:$AW732,5,FALSE)),
IF(AND($Q$1=TRUE,$S$1=TRUE,$S$4=TRUE)=TRUE,IF(OR($Q$4=TRUE,$Q$5=TRUE,$S$2=TRUE),VLOOKUP($G726,'KO Calc'!$H:$AW,20,FALSE),VLOOKUP($G726,'KO Calc'!$H732:$AW732,20,FALSE)),IF(AND($Q$1=TRUE,$S$4=TRUE),IF(OR($Q$4=TRUE,$Q$5=TRUE,$S$2=TRUE),VLOOKUP($G726,'KO Calc'!$H:$AW,10,FALSE),VLOOKUP($G726,'KO Calc'!$H732:$AW732,10,FALSE)),
IF(AND($S$3=TRUE,$S$1=TRUE,$S$4=FALSE)=TRUE,IF(OR($Q$4=TRUE,$Q$5=TRUE,$S$2=TRUE),VLOOKUP($G726,'KO Calc'!$H:$AW,35,FALSE),VLOOKUP($G726,'KO Calc'!$H732:$AW732,35,FALSE)),IF(AND($S$3=TRUE,$S$4=FALSE),IF(OR($Q$4=TRUE,$Q$5=TRUE,$S$2=TRUE),VLOOKUP($G726,'KO Calc'!$H:$AW,25,FALSE),VLOOKUP($G726,'KO Calc'!$H732:$AW732,25,FALSE)),
IF(AND($S$3=TRUE,$S$1=TRUE,$S$4=TRUE)=TRUE,IF(OR($Q$4=TRUE,$Q$5=TRUE,$S$2=TRUE),VLOOKUP($G726,'KO Calc'!$H:$AW,40,FALSE),VLOOKUP($G726,'KO Calc'!$H732:$AW732,40,FALSE)),IF(AND($S$3=TRUE,$S$4=TRUE),IF(OR($Q$4=TRUE,$Q$5=TRUE,$S$2=TRUE),VLOOKUP($G726,'KO Calc'!$H:$AW,30,FALSE),VLOOKUP($G726,'KO Calc'!$H732:$AW732,30,FALSE)))))))))))))</f>
        <v>-</v>
      </c>
      <c r="L726" s="36" t="str">
        <f>IFERROR(IF(AND($Q$1=FALSE,$S$3=FALSE),"-",VLOOKUP($E726,'Status Thresholds'!$E:$AU,43,FALSE)),"-")</f>
        <v>-</v>
      </c>
      <c r="M726" s="36" t="str">
        <f>IFERROR(IF(AND($Q$1=FALSE,$S$3=FALSE),"-",VLOOKUP($E726,'Status Thresholds'!$E:$AU,41,FALSE)),"-")</f>
        <v>-</v>
      </c>
      <c r="N726" s="36" t="str">
        <f>IFERROR(IF(AND($Q$1=FALSE,$S$3=FALSE),"-",VLOOKUP($E726,'Status Thresholds'!$E:$AU,42,FALSE)),"-")</f>
        <v>-</v>
      </c>
    </row>
    <row r="727" spans="2:14" x14ac:dyDescent="0.25">
      <c r="B727" s="64" t="str">
        <f>VLOOKUP(C727,'Status Thresholds'!B:C,2,FALSE)</f>
        <v>Deviant</v>
      </c>
      <c r="C727" s="46" t="str">
        <f>IF(ISBLANK('KO Calc'!C723)=TRUE,"",'KO Calc'!C723)</f>
        <v>Soulseer Mizutsune</v>
      </c>
      <c r="D727" s="78"/>
      <c r="E727" s="62" t="str">
        <f t="shared" si="21"/>
        <v>Soulseer Mizutsune</v>
      </c>
      <c r="F727" t="s">
        <v>11</v>
      </c>
      <c r="G727" s="36" t="str">
        <f t="shared" si="22"/>
        <v>Soulseer MizutsuneCrag 1</v>
      </c>
      <c r="H727" s="36" t="str">
        <f>IF(AND($Q$1=FALSE,$S$3=FALSE),"-",IF(AND($Q$1=TRUE,$S$3=TRUE),"-",IF(AND($Q$1=FALSE,$S$3=FALSE),"-",IF(AND($Q$1=TRUE,$S$1=TRUE,$S$4=FALSE)=TRUE,IF(OR($Q$4=TRUE,$Q$5=TRUE,$S$2=TRUE),VLOOKUP($G727,'KO Calc'!$H:$AW,12,FALSE),VLOOKUP($G727,'KO Calc'!$H733:$AW733,12,FALSE)),IF(AND($Q$1=TRUE,$S$4=FALSE),IF(OR($Q$4=TRUE,$Q$5=TRUE,$S$2=TRUE),VLOOKUP($G727,'KO Calc'!$H:$AW,2,FALSE),VLOOKUP($G727,'KO Calc'!$H733:$AW733,2,FALSE)),
IF(AND($Q$1=TRUE,$S$1=TRUE,$S$4=TRUE)=TRUE,IF(OR($Q$4=TRUE,$Q$5=TRUE,$S$2=TRUE),VLOOKUP($G727,'KO Calc'!$H:$AW,17,FALSE),VLOOKUP($G727,'KO Calc'!$H733:$AW733,17,FALSE)),IF(AND($Q$1=TRUE,$S$4=TRUE),IF(OR($Q$4=TRUE,$Q$5=TRUE,$S$2=TRUE),VLOOKUP($G727,'KO Calc'!$H:$AW,7,FALSE),VLOOKUP($G727,'KO Calc'!$H733:$AW733,7,FALSE)),
IF(AND($S$3=TRUE,$S$1=TRUE,$S$4=FALSE)=TRUE,IF(OR($Q$4=TRUE,$Q$5=TRUE,$S$2=TRUE),VLOOKUP($G727,'KO Calc'!$H:$AW,32,FALSE),VLOOKUP($G727,'KO Calc'!$H733:$AW733,32,FALSE)),IF(AND($S$3=TRUE,$S$4=FALSE),IF(OR($Q$4=TRUE,$Q$5=TRUE,$S$2=TRUE),VLOOKUP($G727,'KO Calc'!$H:$AW,22,FALSE),VLOOKUP($G727,'KO Calc'!$H733:$AW733,22,FALSE)),
IF(AND($S$3=TRUE,$S$1=TRUE,$S$4=TRUE)=TRUE,IF(OR($Q$4=TRUE,$Q$5=TRUE,$S$2=TRUE),VLOOKUP($G727,'KO Calc'!$H:$AW,37,FALSE),VLOOKUP($G727,'KO Calc'!$H733:$AW733,37,FALSE)),IF(AND($S$3=TRUE,$S$4=TRUE),IF(OR($Q$4=TRUE,$Q$5=TRUE,$S$2=TRUE),VLOOKUP($G727,'KO Calc'!$H:$AW,27,FALSE),VLOOKUP($G727,'KO Calc'!$H733:$AW733,27,FALSE)))))))))))))</f>
        <v>-</v>
      </c>
      <c r="I727" s="36" t="str">
        <f>IF(AND($Q$1=FALSE,$S$3=FALSE),"-",IF(AND($Q$1=TRUE,$S$3=TRUE),"-",IF(AND($Q$1=FALSE,$S$3=FALSE),"-",IF(AND($Q$1=TRUE,$S$1=TRUE,$S$4=FALSE)=TRUE,IF(OR($Q$4=TRUE,$Q$5=TRUE,$S$2=TRUE),VLOOKUP($G727,'KO Calc'!$H:$AW,13,FALSE),VLOOKUP($G727,'KO Calc'!$H733:$AW733,13,FALSE)),IF(AND($Q$1=TRUE,$S$4=FALSE),IF(OR($Q$4=TRUE,$Q$5=TRUE,$S$2=TRUE),VLOOKUP($G727,'KO Calc'!$H:$AW,3,FALSE),VLOOKUP($G727,'KO Calc'!$H733:$AW733,3,FALSE)),
IF(AND($Q$1=TRUE,$S$1=TRUE,$S$4=TRUE)=TRUE,IF(OR($Q$4=TRUE,$Q$5=TRUE,$S$2=TRUE),VLOOKUP($G727,'KO Calc'!$H:$AW,18,FALSE),VLOOKUP($G727,'KO Calc'!$H733:$AW733,18,FALSE)),IF(AND($Q$1=TRUE,$S$4=TRUE),IF(OR($Q$4=TRUE,$Q$5=TRUE,$S$2=TRUE),VLOOKUP($G727,'KO Calc'!$H:$AW,8,FALSE),VLOOKUP($G727,'KO Calc'!$H733:$AW733,8,FALSE)),
IF(AND($S$3=TRUE,$S$1=TRUE,$S$4=FALSE)=TRUE,IF(OR($Q$4=TRUE,$Q$5=TRUE,$S$2=TRUE),VLOOKUP($G727,'KO Calc'!$H:$AW,33,FALSE),VLOOKUP($G727,'KO Calc'!$H733:$AW733,33,FALSE)),IF(AND($S$3=TRUE,$S$4=FALSE),IF(OR($Q$4=TRUE,$Q$5=TRUE,$S$2=TRUE),VLOOKUP($G727,'KO Calc'!$H:$AW,23,FALSE),VLOOKUP($G727,'KO Calc'!$H733:$AW733,23,FALSE)),
IF(AND($S$3=TRUE,$S$1=TRUE,$S$4=TRUE)=TRUE,IF(OR($Q$4=TRUE,$Q$5=TRUE,$S$2=TRUE),VLOOKUP($G727,'KO Calc'!$H:$AW,38,FALSE),VLOOKUP($G727,'KO Calc'!$H733:$AW733,38,FALSE)),IF(AND($S$3=TRUE,$S$4=TRUE),IF(OR($Q$4=TRUE,$Q$5=TRUE,$S$2=TRUE),VLOOKUP($G727,'KO Calc'!$H:$AW,28,FALSE),VLOOKUP($G727,'KO Calc'!$H733:$AW733,28,FALSE)))))))))))))</f>
        <v>-</v>
      </c>
      <c r="J727" s="36" t="str">
        <f>IF(AND($Q$1=FALSE,$S$3=FALSE),"-",IF(AND($Q$1=TRUE,$S$3=TRUE),"-",IF(AND($Q$1=FALSE,$S$3=FALSE),"-",IF(AND($Q$1=TRUE,$S$1=TRUE,$S$4=FALSE)=TRUE,IF(OR($Q$4=TRUE,$Q$5=TRUE,$S$2=TRUE),VLOOKUP($G727,'KO Calc'!$H:$AW,FALSE),VLOOKUP($G727,'KO Calc'!$H733:$AW733,14,FALSE)),IF(AND($Q$1=TRUE,$S$4=FALSE),IF(OR($Q$4=TRUE,$Q$5=TRUE,$S$2=TRUE),VLOOKUP($G727,'KO Calc'!$H:$AW,4,FALSE),VLOOKUP($G727,'KO Calc'!$H733:$AW733,4,FALSE)),
IF(AND($Q$1=TRUE,$S$1=TRUE,$S$4=TRUE)=TRUE,IF(OR($Q$4=TRUE,$Q$5=TRUE,$S$2=TRUE),VLOOKUP($G727,'KO Calc'!$H:$AW,19,FALSE),VLOOKUP($G727,'KO Calc'!$H733:$AW733,19,FALSE)),IF(AND($Q$1=TRUE,$S$4=TRUE),IF(OR($Q$4=TRUE,$Q$5=TRUE,$S$2=TRUE),VLOOKUP($G727,'KO Calc'!$H:$AW,9,FALSE),VLOOKUP($G727,'KO Calc'!$H733:$AW733,9,FALSE)),
IF(AND($S$3=TRUE,$S$1=TRUE,$S$4=FALSE)=TRUE,IF(OR($Q$4=TRUE,$Q$5=TRUE,$S$2=TRUE),VLOOKUP($G727,'KO Calc'!$H:$AW,34,FALSE),VLOOKUP($G727,'KO Calc'!$H733:$AW733,34,FALSE)),IF(AND($S$3=TRUE,$S$4=FALSE),IF(OR($Q$4=TRUE,$Q$5=TRUE,$S$2=TRUE),VLOOKUP($G727,'KO Calc'!$H:$AW,24,FALSE),VLOOKUP($G727,'KO Calc'!$H733:$AW733,24,FALSE)),
IF(AND($S$3=TRUE,$S$1=TRUE,$S$4=TRUE)=TRUE,IF(OR($Q$4=TRUE,$Q$5=TRUE,$S$2=TRUE),VLOOKUP($G727,'KO Calc'!$H:$AW,39,FALSE),VLOOKUP($G727,'KO Calc'!$H733:$AW733,39,FALSE)),IF(AND($S$3=TRUE,$S$4=TRUE),IF(OR($Q$4=TRUE,$Q$5=TRUE,$S$2=TRUE),VLOOKUP($G727,'KO Calc'!$H:$AW,29,FALSE),VLOOKUP($G727,'KO Calc'!$H733:$AW733,29,FALSE)))))))))))))</f>
        <v>-</v>
      </c>
      <c r="K727" s="36" t="str">
        <f>IF(AND($Q$1=FALSE,$S$3=FALSE),"-",IF(AND($Q$1=TRUE,$S$3=TRUE),"-",IF(AND($Q$1=FALSE,$S$3=FALSE),"-",IF(AND($Q$1=TRUE,$S$1=TRUE,$S$4=FALSE)=TRUE,IF(OR($Q$4=TRUE,$Q$5=TRUE,$S$2=TRUE),VLOOKUP($G727,'KO Calc'!$H:$AW,15,FALSE),VLOOKUP($G727,'KO Calc'!$H733:$AW733,15,FALSE)),IF(AND($Q$1=TRUE,$S$4=FALSE),IF(OR($Q$4=TRUE,$Q$5=TRUE,$S$2=TRUE),VLOOKUP($G727,'KO Calc'!$H:$AW,5,FALSE),VLOOKUP($G727,'KO Calc'!$H733:$AW733,5,FALSE)),
IF(AND($Q$1=TRUE,$S$1=TRUE,$S$4=TRUE)=TRUE,IF(OR($Q$4=TRUE,$Q$5=TRUE,$S$2=TRUE),VLOOKUP($G727,'KO Calc'!$H:$AW,20,FALSE),VLOOKUP($G727,'KO Calc'!$H733:$AW733,20,FALSE)),IF(AND($Q$1=TRUE,$S$4=TRUE),IF(OR($Q$4=TRUE,$Q$5=TRUE,$S$2=TRUE),VLOOKUP($G727,'KO Calc'!$H:$AW,10,FALSE),VLOOKUP($G727,'KO Calc'!$H733:$AW733,10,FALSE)),
IF(AND($S$3=TRUE,$S$1=TRUE,$S$4=FALSE)=TRUE,IF(OR($Q$4=TRUE,$Q$5=TRUE,$S$2=TRUE),VLOOKUP($G727,'KO Calc'!$H:$AW,35,FALSE),VLOOKUP($G727,'KO Calc'!$H733:$AW733,35,FALSE)),IF(AND($S$3=TRUE,$S$4=FALSE),IF(OR($Q$4=TRUE,$Q$5=TRUE,$S$2=TRUE),VLOOKUP($G727,'KO Calc'!$H:$AW,25,FALSE),VLOOKUP($G727,'KO Calc'!$H733:$AW733,25,FALSE)),
IF(AND($S$3=TRUE,$S$1=TRUE,$S$4=TRUE)=TRUE,IF(OR($Q$4=TRUE,$Q$5=TRUE,$S$2=TRUE),VLOOKUP($G727,'KO Calc'!$H:$AW,40,FALSE),VLOOKUP($G727,'KO Calc'!$H733:$AW733,40,FALSE)),IF(AND($S$3=TRUE,$S$4=TRUE),IF(OR($Q$4=TRUE,$Q$5=TRUE,$S$2=TRUE),VLOOKUP($G727,'KO Calc'!$H:$AW,30,FALSE),VLOOKUP($G727,'KO Calc'!$H733:$AW733,30,FALSE)))))))))))))</f>
        <v>-</v>
      </c>
      <c r="L727" s="36" t="str">
        <f>IFERROR(VLOOKUP($E727,'Status Thresholds'!$E:$AS,41,FALSE),"-")</f>
        <v>-</v>
      </c>
    </row>
    <row r="728" spans="2:14" x14ac:dyDescent="0.25">
      <c r="B728" s="64" t="str">
        <f>VLOOKUP(C728,'Status Thresholds'!B:C,2,FALSE)</f>
        <v>Deviant</v>
      </c>
      <c r="C728" s="46" t="str">
        <f>IF(ISBLANK('KO Calc'!C724)=TRUE,"",'KO Calc'!C724)</f>
        <v>Soulseer Mizutsune</v>
      </c>
      <c r="D728" s="78"/>
      <c r="E728" s="62" t="str">
        <f t="shared" si="21"/>
        <v>Soulseer Mizutsune</v>
      </c>
      <c r="G728" s="36" t="str">
        <f t="shared" si="22"/>
        <v>Soulseer Mizutsune</v>
      </c>
      <c r="L728" s="36" t="str">
        <f>IFERROR(VLOOKUP($E728,'Status Thresholds'!$E:$AS,41,FALSE),"-")</f>
        <v>-</v>
      </c>
    </row>
    <row r="729" spans="2:14" x14ac:dyDescent="0.25">
      <c r="B729" s="64" t="str">
        <f>VLOOKUP(C729,'Status Thresholds'!B:C,2,FALSE)</f>
        <v>Deviant</v>
      </c>
      <c r="C729" s="46" t="str">
        <f>IF(ISBLANK('KO Calc'!C725)=TRUE,"",'KO Calc'!C725)</f>
        <v>Stonefist Hermitaur</v>
      </c>
      <c r="D729" s="65" t="s">
        <v>0</v>
      </c>
      <c r="E729" s="62" t="str">
        <f t="shared" si="21"/>
        <v>Stonefist HermitaurPara</v>
      </c>
      <c r="F729" s="36" t="s">
        <v>2</v>
      </c>
      <c r="G729" s="36" t="str">
        <f t="shared" si="22"/>
        <v>Stonefist HermitaurPara lvl 2</v>
      </c>
      <c r="H729" s="36" t="str">
        <f>IFERROR(ROUNDUP(IF(AND($Q$1=FALSE,$S$3=FALSE),"-",IF(AND($Q$1=TRUE,$S$3=TRUE),"-",IF(AND($Q$1=TRUE,$S$1=TRUE,$S$4=FALSE),VLOOKUP($E729,'Status Thresholds'!$E:$AS,12,FALSE),IF(AND($Q$1=TRUE,$S$4=FALSE),VLOOKUP($E729,'Status Thresholds'!$E:$AS,2,FALSE), IF(AND($Q$1=TRUE,$S$1=TRUE,$S$4=TRUE),VLOOKUP($E729,'Status Thresholds'!$E:$AS,17,FALSE),IF(AND($Q$1=TRUE,$S$4=TRUE),VLOOKUP($E729,'Status Thresholds'!$E:$AS,7,FALSE),IF(AND($S$3=TRUE,$S$1=TRUE,$S$4=FALSE),VLOOKUP($E729,'Status Thresholds'!$E:$AS,32,FALSE),IF(AND($S$3=TRUE,$S$4=FALSE),VLOOKUP($E729,'Status Thresholds'!$E:$AS,22,FALSE),IF(AND($S$3=TRUE,$S$1=TRUE,$S$4=TRUE),VLOOKUP($E729,'Status Thresholds'!$E:$AS,37,FALSE),IF(AND($S$3=TRUE,$S$4=TRUE),VLOOKUP($E729,'Status Thresholds'!$E:$AS,27,FALSE),""))))))))/IF(OR($Q$3=TRUE,AND($Q$2=TRUE,$Q$7=TRUE),AND($Q$3=TRUE,$Q$7=TRUE))=TRUE,'Shots and Status'!$F$5,IF((OR($Q$2,$Q$7)=TRUE),'Shots and Status'!$D$5,'Shots and Status'!$C$5)))),0),"-")</f>
        <v>-</v>
      </c>
      <c r="I729" s="36" t="str">
        <f>IFERROR(ROUNDUP(IF(AND($Q$1=FALSE,$S$3=FALSE),"-",IF(AND($Q$1=TRUE,$S$3=TRUE),"-",IF(AND($Q$1=TRUE,$S$1=TRUE,$S$4=FALSE),VLOOKUP($E729,'Status Thresholds'!$E:$AS,13,FALSE),IF(AND($Q$1=TRUE,$S$4=FALSE),VLOOKUP($E729,'Status Thresholds'!$E:$AS,3,FALSE), IF(AND($Q$1=TRUE,$S$1=TRUE,$S$4=TRUE),VLOOKUP($E729,'Status Thresholds'!$E:$AS,18,FALSE),IF(AND($Q$1=TRUE,$S$4=TRUE),VLOOKUP($E729,'Status Thresholds'!$E:$AS,8,FALSE),IF(AND($S$3=TRUE,$S$1=TRUE,$S$4=FALSE),VLOOKUP($E729,'Status Thresholds'!$E:$AS,33,FALSE),IF(AND($S$3=TRUE,$S$4=FALSE),VLOOKUP($E729,'Status Thresholds'!$E:$AS,23,FALSE),IF(AND($S$3=TRUE,$S$1=TRUE,$S$4=TRUE),VLOOKUP($E729,'Status Thresholds'!$E:$AS,38,FALSE),IF(AND($S$3=TRUE,$S$4=TRUE),VLOOKUP($E729,'Status Thresholds'!$E:$AS,28,FALSE),""))))))))/IF(OR($Q$3=TRUE,AND($Q$2=TRUE,$Q$7=TRUE),AND($Q$3=TRUE,$Q$7=TRUE))=TRUE,'Shots and Status'!$F$5,IF((OR($Q$2,$Q$7)=TRUE),'Shots and Status'!$D$5,'Shots and Status'!$C$5)))),0),"-")</f>
        <v>-</v>
      </c>
      <c r="J729" s="36" t="str">
        <f>IFERROR(ROUNDUP(IF(AND($Q$1=FALSE,$S$3=FALSE),"-",IF(AND($Q$1=TRUE,$S$3=TRUE),"-",IF(AND($Q$1=TRUE,$S$1=TRUE,$S$4=FALSE),VLOOKUP($E729,'Status Thresholds'!$E:$AS,14,FALSE),IF(AND($Q$1=TRUE,$S$4=FALSE),VLOOKUP($E729,'Status Thresholds'!$E:$AS,4,FALSE), IF(AND($Q$1=TRUE,$S$1=TRUE,$S$4=TRUE),VLOOKUP($E729,'Status Thresholds'!$E:$AS,19,FALSE),IF(AND($Q$1=TRUE,$S$4=TRUE),VLOOKUP($E729,'Status Thresholds'!$E:$AS,9,FALSE),IF(AND($S$3=TRUE,$S$1=TRUE,$S$4=FALSE),VLOOKUP($E729,'Status Thresholds'!$E:$AS,34,FALSE),IF(AND($S$3=TRUE,$S$4=FALSE),VLOOKUP($E729,'Status Thresholds'!$E:$AS,24,FALSE),IF(AND($S$3=TRUE,$S$1=TRUE,$S$4=TRUE),VLOOKUP($E729,'Status Thresholds'!$E:$AS,39,FALSE),IF(AND($S$3=TRUE,$S$4=TRUE),VLOOKUP($E729,'Status Thresholds'!$E:$AS,29,FALSE),""))))))))/IF(OR($Q$3=TRUE,AND($Q$2=TRUE,$Q$7=TRUE),AND($Q$3=TRUE,$Q$7=TRUE))=TRUE,'Shots and Status'!$F$5,IF((OR($Q$2,$Q$7)=TRUE),'Shots and Status'!$D$5,'Shots and Status'!$C$5)))),0),"-")</f>
        <v>-</v>
      </c>
      <c r="K729" s="36" t="str">
        <f>IFERROR(ROUNDUP(IF(AND($Q$1=FALSE,$S$3=FALSE),"-",IF(AND($Q$1=TRUE,$S$3=TRUE),"-",IF(AND($Q$1=TRUE,$S$1=TRUE,$S$4=FALSE),VLOOKUP($E729,'Status Thresholds'!$E:$AS,15,FALSE),IF(AND($Q$1=TRUE,$S$4=FALSE),VLOOKUP($E729,'Status Thresholds'!$E:$AS,5,FALSE), IF(AND($Q$1=TRUE,$S$1=TRUE,$S$4=TRUE),VLOOKUP($E729,'Status Thresholds'!$E:$AS,20,FALSE),IF(AND($Q$1=TRUE,$S$4=TRUE),VLOOKUP($E729,'Status Thresholds'!$E:$AS,10,FALSE),IF(AND($S$3=TRUE,$S$1=TRUE,$S$4=FALSE),VLOOKUP($E729,'Status Thresholds'!$E:$AS,35,FALSE),IF(AND($S$3=TRUE,$S$4=FALSE),VLOOKUP($E729,'Status Thresholds'!$E:$AS,25,FALSE),IF(AND($S$3=TRUE,$S$1=TRUE,$S$4=TRUE),VLOOKUP($E729,'Status Thresholds'!$E:$AS,40,FALSE),IF(AND($S$3=TRUE,$S$4=TRUE),VLOOKUP($E729,'Status Thresholds'!$E:$AS,30,FALSE),""))))))))/IF(OR($Q$3=TRUE,AND($Q$2=TRUE,$Q$7=TRUE),AND($Q$3=TRUE,$Q$7=TRUE))=TRUE,'Shots and Status'!$F$5,IF((OR($Q$2,$Q$7)=TRUE),'Shots and Status'!$D$5,'Shots and Status'!$C$5)))),0),"-")</f>
        <v>-</v>
      </c>
      <c r="L729" s="36" t="str">
        <f>IFERROR(IF(AND($Q$1=FALSE,$S$3=FALSE),"-",VLOOKUP($E729,'Status Thresholds'!$E:$AU,41,FALSE)),"-")</f>
        <v>-</v>
      </c>
      <c r="M729" s="36" t="str">
        <f>IFERROR(IF(AND($Q$1=FALSE,$S$3=FALSE),"-",VLOOKUP($E729,'Status Thresholds'!$E:$AU,42,FALSE)),"-")</f>
        <v>-</v>
      </c>
      <c r="N729" s="36" t="str">
        <f>IFERROR(IF(AND($Q$1=FALSE,$S$3=FALSE),"-",VLOOKUP($E729,'Status Thresholds'!$E:$AU,43,FALSE)),"-")</f>
        <v>-</v>
      </c>
    </row>
    <row r="730" spans="2:14" x14ac:dyDescent="0.25">
      <c r="B730" s="64" t="str">
        <f>VLOOKUP(C730,'Status Thresholds'!B:C,2,FALSE)</f>
        <v>Deviant</v>
      </c>
      <c r="C730" s="46" t="str">
        <f>IF(ISBLANK('KO Calc'!C726)=TRUE,"",'KO Calc'!C726)</f>
        <v>Stonefist Hermitaur</v>
      </c>
      <c r="D730" s="60" t="s">
        <v>32</v>
      </c>
      <c r="E730" s="62" t="str">
        <f t="shared" si="21"/>
        <v>Stonefist HermitaurSleep</v>
      </c>
      <c r="F730" s="59" t="s">
        <v>5</v>
      </c>
      <c r="G730" s="36" t="str">
        <f t="shared" si="22"/>
        <v>Stonefist HermitaurSleep lvl 2</v>
      </c>
      <c r="H730" s="36" t="str">
        <f>IFERROR(ROUNDUP(IF(AND($Q$1=FALSE,$S$3=FALSE),"-",IF(AND($Q$1=TRUE,$S$3=TRUE),"-",IF(AND($Q$1=TRUE,$S$1=TRUE,$S$4=FALSE),VLOOKUP($E730,'Status Thresholds'!$E:$AS,12,FALSE),IF(AND($Q$1=TRUE,$S$4=FALSE),VLOOKUP($E730,'Status Thresholds'!$E:$AS,2,FALSE), IF(AND($Q$1=TRUE,$S$1=TRUE,$S$4=TRUE),VLOOKUP($E730,'Status Thresholds'!$E:$AS,17,FALSE),IF(AND($Q$1=TRUE,$S$4=TRUE),VLOOKUP($E730,'Status Thresholds'!$E:$AS,7,FALSE),IF(AND($S$3=TRUE,$S$1=TRUE,$S$4=FALSE),VLOOKUP($E730,'Status Thresholds'!$E:$AS,32,FALSE),IF(AND($S$3=TRUE,$S$4=FALSE),VLOOKUP($E730,'Status Thresholds'!$E:$AS,22,FALSE),IF(AND($S$3=TRUE,$S$1=TRUE,$S$4=TRUE),VLOOKUP($E730,'Status Thresholds'!$E:$AS,37,FALSE),IF(AND($S$3=TRUE,$S$4=TRUE),VLOOKUP($E730,'Status Thresholds'!$E:$AS,27,FALSE),""))))))))/IF(OR($Q$3=TRUE,AND($Q$2=TRUE,$Q$7=TRUE),AND($Q$3=TRUE,$Q$7=TRUE))=TRUE,'Shots and Status'!$F$5,IF((OR($Q$2,$Q$7)=TRUE),'Shots and Status'!$D$5,'Shots and Status'!$C$5)))),0),"-")</f>
        <v>-</v>
      </c>
      <c r="I730" s="36" t="str">
        <f>IFERROR(ROUNDUP(IF(AND($Q$1=FALSE,$S$3=FALSE),"-",IF(AND($Q$1=TRUE,$S$3=TRUE),"-",IF(AND($Q$1=TRUE,$S$1=TRUE,$S$4=FALSE),VLOOKUP($E730,'Status Thresholds'!$E:$AS,13,FALSE),IF(AND($Q$1=TRUE,$S$4=FALSE),VLOOKUP($E730,'Status Thresholds'!$E:$AS,3,FALSE), IF(AND($Q$1=TRUE,$S$1=TRUE,$S$4=TRUE),VLOOKUP($E730,'Status Thresholds'!$E:$AS,18,FALSE),IF(AND($Q$1=TRUE,$S$4=TRUE),VLOOKUP($E730,'Status Thresholds'!$E:$AS,8,FALSE),IF(AND($S$3=TRUE,$S$1=TRUE,$S$4=FALSE),VLOOKUP($E730,'Status Thresholds'!$E:$AS,33,FALSE),IF(AND($S$3=TRUE,$S$4=FALSE),VLOOKUP($E730,'Status Thresholds'!$E:$AS,23,FALSE),IF(AND($S$3=TRUE,$S$1=TRUE,$S$4=TRUE),VLOOKUP($E730,'Status Thresholds'!$E:$AS,38,FALSE),IF(AND($S$3=TRUE,$S$4=TRUE),VLOOKUP($E730,'Status Thresholds'!$E:$AS,28,FALSE),""))))))))/IF(OR($Q$3=TRUE,AND($Q$2=TRUE,$Q$7=TRUE),AND($Q$3=TRUE,$Q$7=TRUE))=TRUE,'Shots and Status'!$F$5,IF((OR($Q$2,$Q$7)=TRUE),'Shots and Status'!$D$5,'Shots and Status'!$C$5)))),0),"-")</f>
        <v>-</v>
      </c>
      <c r="J730" s="36" t="str">
        <f>IFERROR(ROUNDUP(IF(AND($Q$1=FALSE,$S$3=FALSE),"-",IF(AND($Q$1=TRUE,$S$3=TRUE),"-",IF(AND($Q$1=TRUE,$S$1=TRUE,$S$4=FALSE),VLOOKUP($E730,'Status Thresholds'!$E:$AS,14,FALSE),IF(AND($Q$1=TRUE,$S$4=FALSE),VLOOKUP($E730,'Status Thresholds'!$E:$AS,4,FALSE), IF(AND($Q$1=TRUE,$S$1=TRUE,$S$4=TRUE),VLOOKUP($E730,'Status Thresholds'!$E:$AS,19,FALSE),IF(AND($Q$1=TRUE,$S$4=TRUE),VLOOKUP($E730,'Status Thresholds'!$E:$AS,9,FALSE),IF(AND($S$3=TRUE,$S$1=TRUE,$S$4=FALSE),VLOOKUP($E730,'Status Thresholds'!$E:$AS,34,FALSE),IF(AND($S$3=TRUE,$S$4=FALSE),VLOOKUP($E730,'Status Thresholds'!$E:$AS,24,FALSE),IF(AND($S$3=TRUE,$S$1=TRUE,$S$4=TRUE),VLOOKUP($E730,'Status Thresholds'!$E:$AS,39,FALSE),IF(AND($S$3=TRUE,$S$4=TRUE),VLOOKUP($E730,'Status Thresholds'!$E:$AS,29,FALSE),""))))))))/IF(OR($Q$3=TRUE,AND($Q$2=TRUE,$Q$7=TRUE),AND($Q$3=TRUE,$Q$7=TRUE))=TRUE,'Shots and Status'!$F$5,IF((OR($Q$2,$Q$7)=TRUE),'Shots and Status'!$D$5,'Shots and Status'!$C$5)))),0),"-")</f>
        <v>-</v>
      </c>
      <c r="K730" s="36" t="str">
        <f>IFERROR(ROUNDUP(IF(AND($Q$1=FALSE,$S$3=FALSE),"-",IF(AND($Q$1=TRUE,$S$3=TRUE),"-",IF(AND($Q$1=TRUE,$S$1=TRUE,$S$4=FALSE),VLOOKUP($E730,'Status Thresholds'!$E:$AS,15,FALSE),IF(AND($Q$1=TRUE,$S$4=FALSE),VLOOKUP($E730,'Status Thresholds'!$E:$AS,5,FALSE), IF(AND($Q$1=TRUE,$S$1=TRUE,$S$4=TRUE),VLOOKUP($E730,'Status Thresholds'!$E:$AS,20,FALSE),IF(AND($Q$1=TRUE,$S$4=TRUE),VLOOKUP($E730,'Status Thresholds'!$E:$AS,10,FALSE),IF(AND($S$3=TRUE,$S$1=TRUE,$S$4=FALSE),VLOOKUP($E730,'Status Thresholds'!$E:$AS,35,FALSE),IF(AND($S$3=TRUE,$S$4=FALSE),VLOOKUP($E730,'Status Thresholds'!$E:$AS,25,FALSE),IF(AND($S$3=TRUE,$S$1=TRUE,$S$4=TRUE),VLOOKUP($E730,'Status Thresholds'!$E:$AS,40,FALSE),IF(AND($S$3=TRUE,$S$4=TRUE),VLOOKUP($E730,'Status Thresholds'!$E:$AS,30,FALSE),""))))))))/IF(OR($Q$3=TRUE,AND($Q$2=TRUE,$Q$7=TRUE),AND($Q$3=TRUE,$Q$7=TRUE))=TRUE,'Shots and Status'!$F$5,IF((OR($Q$2,$Q$7)=TRUE),'Shots and Status'!$D$5,'Shots and Status'!$C$5)))),0),"-")</f>
        <v>-</v>
      </c>
      <c r="L730" s="36" t="str">
        <f>IFERROR(IF(AND($Q$1=FALSE,$S$3=FALSE),"-",VLOOKUP($E730,'Status Thresholds'!$E:$AU,41,FALSE)),"-")</f>
        <v>-</v>
      </c>
      <c r="M730" s="36" t="str">
        <f>IFERROR(IF(AND($Q$1=FALSE,$S$3=FALSE),"-",VLOOKUP($E730,'Status Thresholds'!$E:$AU,42,FALSE)),"-")</f>
        <v>-</v>
      </c>
      <c r="N730" s="36" t="str">
        <f>IFERROR(IF(AND($Q$1=FALSE,$S$3=FALSE),"-",VLOOKUP($E730,'Status Thresholds'!$E:$AU,43,FALSE)),"-")</f>
        <v>-</v>
      </c>
    </row>
    <row r="731" spans="2:14" x14ac:dyDescent="0.25">
      <c r="B731" s="64" t="str">
        <f>VLOOKUP(C731,'Status Thresholds'!B:C,2,FALSE)</f>
        <v>Deviant</v>
      </c>
      <c r="C731" s="46" t="str">
        <f>IF(ISBLANK('KO Calc'!C727)=TRUE,"",'KO Calc'!C727)</f>
        <v>Stonefist Hermitaur</v>
      </c>
      <c r="D731" s="58" t="s">
        <v>33</v>
      </c>
      <c r="E731" s="62" t="str">
        <f t="shared" si="21"/>
        <v>Stonefist HermitaurPoison</v>
      </c>
      <c r="F731" s="59" t="s">
        <v>6</v>
      </c>
      <c r="G731" s="36" t="str">
        <f t="shared" si="22"/>
        <v>Stonefist HermitaurPoison lvl 2</v>
      </c>
      <c r="H731" s="36" t="str">
        <f>IFERROR(ROUNDUP(IF(AND($Q$1=FALSE,$S$3=FALSE),"-",IF(AND($Q$1=TRUE,$S$3=TRUE),"-",IF(AND($Q$1=TRUE,$S$1=TRUE,$S$4=FALSE),VLOOKUP($E731,'Status Thresholds'!$E:$AS,12,FALSE),IF(AND($Q$1=TRUE,$S$4=FALSE),VLOOKUP($E731,'Status Thresholds'!$E:$AS,2,FALSE), IF(AND($Q$1=TRUE,$S$1=TRUE,$S$4=TRUE),VLOOKUP($E731,'Status Thresholds'!$E:$AS,17,FALSE),IF(AND($Q$1=TRUE,$S$4=TRUE),VLOOKUP($E731,'Status Thresholds'!$E:$AS,7,FALSE),IF(AND($S$3=TRUE,$S$1=TRUE,$S$4=FALSE),VLOOKUP($E731,'Status Thresholds'!$E:$AS,32,FALSE),IF(AND($S$3=TRUE,$S$4=FALSE),VLOOKUP($E731,'Status Thresholds'!$E:$AS,22,FALSE),IF(AND($S$3=TRUE,$S$1=TRUE,$S$4=TRUE),VLOOKUP($E731,'Status Thresholds'!$E:$AS,37,FALSE),IF(AND($S$3=TRUE,$S$4=TRUE),VLOOKUP($E731,'Status Thresholds'!$E:$AS,27,FALSE),""))))))))/IF(OR($Q$3=TRUE,AND($Q$2=TRUE,$Q$7=TRUE),AND($Q$3=TRUE,$Q$7=TRUE))=TRUE,'Shots and Status'!$F$5,IF((OR($Q$2,$Q$7)=TRUE),'Shots and Status'!$D$5,'Shots and Status'!$C$5)))),0),"-")</f>
        <v>-</v>
      </c>
      <c r="I731" s="36" t="str">
        <f>IFERROR(ROUNDUP(IF(AND($Q$1=FALSE,$S$3=FALSE),"-",IF(AND($Q$1=TRUE,$S$3=TRUE),"-",IF(AND($Q$1=TRUE,$S$1=TRUE,$S$4=FALSE),VLOOKUP($E731,'Status Thresholds'!$E:$AS,13,FALSE),IF(AND($Q$1=TRUE,$S$4=FALSE),VLOOKUP($E731,'Status Thresholds'!$E:$AS,3,FALSE), IF(AND($Q$1=TRUE,$S$1=TRUE,$S$4=TRUE),VLOOKUP($E731,'Status Thresholds'!$E:$AS,18,FALSE),IF(AND($Q$1=TRUE,$S$4=TRUE),VLOOKUP($E731,'Status Thresholds'!$E:$AS,8,FALSE),IF(AND($S$3=TRUE,$S$1=TRUE,$S$4=FALSE),VLOOKUP($E731,'Status Thresholds'!$E:$AS,33,FALSE),IF(AND($S$3=TRUE,$S$4=FALSE),VLOOKUP($E731,'Status Thresholds'!$E:$AS,23,FALSE),IF(AND($S$3=TRUE,$S$1=TRUE,$S$4=TRUE),VLOOKUP($E731,'Status Thresholds'!$E:$AS,38,FALSE),IF(AND($S$3=TRUE,$S$4=TRUE),VLOOKUP($E731,'Status Thresholds'!$E:$AS,28,FALSE),""))))))))/IF(OR($Q$3=TRUE,AND($Q$2=TRUE,$Q$7=TRUE),AND($Q$3=TRUE,$Q$7=TRUE))=TRUE,'Shots and Status'!$F$5,IF((OR($Q$2,$Q$7)=TRUE),'Shots and Status'!$D$5,'Shots and Status'!$C$5)))),0),"-")</f>
        <v>-</v>
      </c>
      <c r="J731" s="36" t="str">
        <f>IFERROR(ROUNDUP(IF(AND($Q$1=FALSE,$S$3=FALSE),"-",IF(AND($Q$1=TRUE,$S$3=TRUE),"-",IF(AND($Q$1=TRUE,$S$1=TRUE,$S$4=FALSE),VLOOKUP($E731,'Status Thresholds'!$E:$AS,14,FALSE),IF(AND($Q$1=TRUE,$S$4=FALSE),VLOOKUP($E731,'Status Thresholds'!$E:$AS,4,FALSE), IF(AND($Q$1=TRUE,$S$1=TRUE,$S$4=TRUE),VLOOKUP($E731,'Status Thresholds'!$E:$AS,19,FALSE),IF(AND($Q$1=TRUE,$S$4=TRUE),VLOOKUP($E731,'Status Thresholds'!$E:$AS,9,FALSE),IF(AND($S$3=TRUE,$S$1=TRUE,$S$4=FALSE),VLOOKUP($E731,'Status Thresholds'!$E:$AS,34,FALSE),IF(AND($S$3=TRUE,$S$4=FALSE),VLOOKUP($E731,'Status Thresholds'!$E:$AS,24,FALSE),IF(AND($S$3=TRUE,$S$1=TRUE,$S$4=TRUE),VLOOKUP($E731,'Status Thresholds'!$E:$AS,39,FALSE),IF(AND($S$3=TRUE,$S$4=TRUE),VLOOKUP($E731,'Status Thresholds'!$E:$AS,29,FALSE),""))))))))/IF(OR($Q$3=TRUE,AND($Q$2=TRUE,$Q$7=TRUE),AND($Q$3=TRUE,$Q$7=TRUE))=TRUE,'Shots and Status'!$F$5,IF((OR($Q$2,$Q$7)=TRUE),'Shots and Status'!$D$5,'Shots and Status'!$C$5)))),0),"-")</f>
        <v>-</v>
      </c>
      <c r="K731" s="36" t="str">
        <f>IFERROR(ROUNDUP(IF(AND($Q$1=FALSE,$S$3=FALSE),"-",IF(AND($Q$1=TRUE,$S$3=TRUE),"-",IF(AND($Q$1=TRUE,$S$1=TRUE,$S$4=FALSE),VLOOKUP($E731,'Status Thresholds'!$E:$AS,15,FALSE),IF(AND($Q$1=TRUE,$S$4=FALSE),VLOOKUP($E731,'Status Thresholds'!$E:$AS,5,FALSE), IF(AND($Q$1=TRUE,$S$1=TRUE,$S$4=TRUE),VLOOKUP($E731,'Status Thresholds'!$E:$AS,20,FALSE),IF(AND($Q$1=TRUE,$S$4=TRUE),VLOOKUP($E731,'Status Thresholds'!$E:$AS,10,FALSE),IF(AND($S$3=TRUE,$S$1=TRUE,$S$4=FALSE),VLOOKUP($E731,'Status Thresholds'!$E:$AS,35,FALSE),IF(AND($S$3=TRUE,$S$4=FALSE),VLOOKUP($E731,'Status Thresholds'!$E:$AS,25,FALSE),IF(AND($S$3=TRUE,$S$1=TRUE,$S$4=TRUE),VLOOKUP($E731,'Status Thresholds'!$E:$AS,40,FALSE),IF(AND($S$3=TRUE,$S$4=TRUE),VLOOKUP($E731,'Status Thresholds'!$E:$AS,30,FALSE),""))))))))/IF(OR($Q$3=TRUE,AND($Q$2=TRUE,$Q$7=TRUE),AND($Q$3=TRUE,$Q$7=TRUE))=TRUE,'Shots and Status'!$F$5,IF((OR($Q$2,$Q$7)=TRUE),'Shots and Status'!$D$5,'Shots and Status'!$C$5)))),0),"-")</f>
        <v>-</v>
      </c>
      <c r="L731" s="36" t="str">
        <f>IFERROR(IF(AND($Q$1=FALSE,$S$3=FALSE),"-",VLOOKUP($E731,'Status Thresholds'!$E:$AU,41,FALSE)),"-")</f>
        <v>-</v>
      </c>
      <c r="M731" s="36" t="str">
        <f>IFERROR(IF(AND($Q$1=FALSE,$S$3=FALSE),"-",VLOOKUP($E731,'Status Thresholds'!$E:$AU,42,FALSE)),"-")</f>
        <v>-</v>
      </c>
      <c r="N731" s="36" t="str">
        <f>IFERROR(IF(AND($Q$1=FALSE,$S$3=FALSE),"-",VLOOKUP($E731,'Status Thresholds'!$E:$AU,43,FALSE)),"-")</f>
        <v>-</v>
      </c>
    </row>
    <row r="732" spans="2:14" x14ac:dyDescent="0.25">
      <c r="B732" s="64" t="str">
        <f>VLOOKUP(C732,'Status Thresholds'!B:C,2,FALSE)</f>
        <v>Deviant</v>
      </c>
      <c r="C732" s="46" t="str">
        <f>IF(ISBLANK('KO Calc'!C728)=TRUE,"",'KO Calc'!C728)</f>
        <v>Stonefist Hermitaur</v>
      </c>
      <c r="D732" s="57" t="s">
        <v>22</v>
      </c>
      <c r="E732" s="62" t="str">
        <f t="shared" si="21"/>
        <v>Stonefist HermitaurExhaust</v>
      </c>
      <c r="F732" s="36" t="s">
        <v>8</v>
      </c>
      <c r="G732" s="36" t="str">
        <f t="shared" si="22"/>
        <v>Stonefist HermitaurExhaust lvl 2</v>
      </c>
      <c r="H732" s="36" t="str">
        <f>IFERROR(ROUNDUP(IF(AND($Q$1=FALSE,$S$3=FALSE),"-",IF(AND($Q$1=TRUE,$S$3=TRUE),"-",IF(AND($Q$1=TRUE,$S$1=TRUE,$S$4=FALSE),VLOOKUP($E732,'Status Thresholds'!$E:$AS,12,FALSE),IF(AND($Q$1=TRUE,$S$4=FALSE),VLOOKUP($E732,'Status Thresholds'!$E:$AS,2,FALSE), IF(AND($Q$1=TRUE,$S$1=TRUE,$S$4=TRUE),VLOOKUP($E732,'Status Thresholds'!$E:$AS,17,FALSE),IF(AND($Q$1=TRUE,$S$4=TRUE),VLOOKUP($E732,'Status Thresholds'!$E:$AS,7,FALSE),IF(AND($S$3=TRUE,$S$1=TRUE,$S$4=FALSE),VLOOKUP($E732,'Status Thresholds'!$E:$AS,32,FALSE),IF(AND($S$3=TRUE,$S$4=FALSE),VLOOKUP($E732,'Status Thresholds'!$E:$AS,22,FALSE),IF(AND($S$3=TRUE,$S$1=TRUE,$S$4=TRUE),VLOOKUP($E732,'Status Thresholds'!$E:$AS,37,FALSE),IF(AND($S$3=TRUE,$S$4=TRUE),VLOOKUP($E732,'Status Thresholds'!$E:$AS,27,FALSE),""))))))))/IF(OR($Q$3=TRUE,AND($Q$2=TRUE,$Q$7=TRUE),AND($Q$3=TRUE,$Q$7=TRUE))=TRUE,'Shots and Status'!$F$5,IF((OR($Q$2,$Q$7)=TRUE),'Shots and Status'!$D$5,'Shots and Status'!$C$5)))),0),"-")</f>
        <v>-</v>
      </c>
      <c r="I732" s="36" t="str">
        <f>IFERROR(ROUNDUP(IF(AND($Q$1=FALSE,$S$3=FALSE),"-",IF(AND($Q$1=TRUE,$S$3=TRUE),"-",IF(AND($Q$1=TRUE,$S$1=TRUE,$S$4=FALSE),VLOOKUP($E732,'Status Thresholds'!$E:$AS,13,FALSE),IF(AND($Q$1=TRUE,$S$4=FALSE),VLOOKUP($E732,'Status Thresholds'!$E:$AS,3,FALSE), IF(AND($Q$1=TRUE,$S$1=TRUE,$S$4=TRUE),VLOOKUP($E732,'Status Thresholds'!$E:$AS,18,FALSE),IF(AND($Q$1=TRUE,$S$4=TRUE),VLOOKUP($E732,'Status Thresholds'!$E:$AS,8,FALSE),IF(AND($S$3=TRUE,$S$1=TRUE,$S$4=FALSE),VLOOKUP($E732,'Status Thresholds'!$E:$AS,33,FALSE),IF(AND($S$3=TRUE,$S$4=FALSE),VLOOKUP($E732,'Status Thresholds'!$E:$AS,23,FALSE),IF(AND($S$3=TRUE,$S$1=TRUE,$S$4=TRUE),VLOOKUP($E732,'Status Thresholds'!$E:$AS,38,FALSE),IF(AND($S$3=TRUE,$S$4=TRUE),VLOOKUP($E732,'Status Thresholds'!$E:$AS,28,FALSE),""))))))))/IF(OR($Q$3=TRUE,AND($Q$2=TRUE,$Q$7=TRUE),AND($Q$3=TRUE,$Q$7=TRUE))=TRUE,'Shots and Status'!$F$5,IF((OR($Q$2,$Q$7)=TRUE),'Shots and Status'!$D$5,'Shots and Status'!$C$5)))),0),"-")</f>
        <v>-</v>
      </c>
      <c r="J732" s="36" t="str">
        <f>IFERROR(ROUNDUP(IF(AND($Q$1=FALSE,$S$3=FALSE),"-",IF(AND($Q$1=TRUE,$S$3=TRUE),"-",IF(AND($Q$1=TRUE,$S$1=TRUE,$S$4=FALSE),VLOOKUP($E732,'Status Thresholds'!$E:$AS,14,FALSE),IF(AND($Q$1=TRUE,$S$4=FALSE),VLOOKUP($E732,'Status Thresholds'!$E:$AS,4,FALSE), IF(AND($Q$1=TRUE,$S$1=TRUE,$S$4=TRUE),VLOOKUP($E732,'Status Thresholds'!$E:$AS,19,FALSE),IF(AND($Q$1=TRUE,$S$4=TRUE),VLOOKUP($E732,'Status Thresholds'!$E:$AS,9,FALSE),IF(AND($S$3=TRUE,$S$1=TRUE,$S$4=FALSE),VLOOKUP($E732,'Status Thresholds'!$E:$AS,34,FALSE),IF(AND($S$3=TRUE,$S$4=FALSE),VLOOKUP($E732,'Status Thresholds'!$E:$AS,24,FALSE),IF(AND($S$3=TRUE,$S$1=TRUE,$S$4=TRUE),VLOOKUP($E732,'Status Thresholds'!$E:$AS,39,FALSE),IF(AND($S$3=TRUE,$S$4=TRUE),VLOOKUP($E732,'Status Thresholds'!$E:$AS,29,FALSE),""))))))))/IF(OR($Q$3=TRUE,AND($Q$2=TRUE,$Q$7=TRUE),AND($Q$3=TRUE,$Q$7=TRUE))=TRUE,'Shots and Status'!$F$5,IF((OR($Q$2,$Q$7)=TRUE),'Shots and Status'!$D$5,'Shots and Status'!$C$5)))),0),"-")</f>
        <v>-</v>
      </c>
      <c r="K732" s="36" t="str">
        <f>IFERROR(ROUNDUP(IF(AND($Q$1=FALSE,$S$3=FALSE),"-",IF(AND($Q$1=TRUE,$S$3=TRUE),"-",IF(AND($Q$1=TRUE,$S$1=TRUE,$S$4=FALSE),VLOOKUP($E732,'Status Thresholds'!$E:$AS,15,FALSE),IF(AND($Q$1=TRUE,$S$4=FALSE),VLOOKUP($E732,'Status Thresholds'!$E:$AS,5,FALSE), IF(AND($Q$1=TRUE,$S$1=TRUE,$S$4=TRUE),VLOOKUP($E732,'Status Thresholds'!$E:$AS,20,FALSE),IF(AND($Q$1=TRUE,$S$4=TRUE),VLOOKUP($E732,'Status Thresholds'!$E:$AS,10,FALSE),IF(AND($S$3=TRUE,$S$1=TRUE,$S$4=FALSE),VLOOKUP($E732,'Status Thresholds'!$E:$AS,35,FALSE),IF(AND($S$3=TRUE,$S$4=FALSE),VLOOKUP($E732,'Status Thresholds'!$E:$AS,25,FALSE),IF(AND($S$3=TRUE,$S$1=TRUE,$S$4=TRUE),VLOOKUP($E732,'Status Thresholds'!$E:$AS,40,FALSE),IF(AND($S$3=TRUE,$S$4=TRUE),VLOOKUP($E732,'Status Thresholds'!$E:$AS,30,FALSE),""))))))))/IF(OR($Q$3=TRUE,AND($Q$2=TRUE,$Q$7=TRUE),AND($Q$3=TRUE,$Q$7=TRUE))=TRUE,'Shots and Status'!$F$5,IF((OR($Q$2,$Q$7)=TRUE),'Shots and Status'!$D$5,'Shots and Status'!$C$5)))),0),"-")</f>
        <v>-</v>
      </c>
      <c r="L732" s="36" t="str">
        <f>IFERROR(IF(AND($Q$1=FALSE,$S$3=FALSE),"-",VLOOKUP($E732,'Status Thresholds'!$E:$AU,41,FALSE)),"-")</f>
        <v>-</v>
      </c>
      <c r="M732" s="36" t="str">
        <f>IFERROR(IF(AND($Q$1=FALSE,$S$3=FALSE),"-",VLOOKUP($E732,'Status Thresholds'!$E:$AU,42,FALSE)),"-")</f>
        <v>-</v>
      </c>
      <c r="N732" s="36" t="str">
        <f>IFERROR(IF(AND($Q$1=FALSE,$S$3=FALSE),"-",VLOOKUP($E732,'Status Thresholds'!$E:$AU,43,FALSE)),"-")</f>
        <v>-</v>
      </c>
    </row>
    <row r="733" spans="2:14" x14ac:dyDescent="0.25">
      <c r="B733" s="64" t="str">
        <f>VLOOKUP(C733,'Status Thresholds'!B:C,2,FALSE)</f>
        <v>Deviant</v>
      </c>
      <c r="C733" s="46" t="str">
        <f>IF(ISBLANK('KO Calc'!C729)=TRUE,"",'KO Calc'!C729)</f>
        <v>Stonefist Hermitaur</v>
      </c>
      <c r="D733" s="67" t="s">
        <v>14</v>
      </c>
      <c r="E733" s="62" t="str">
        <f t="shared" si="21"/>
        <v>Stonefist HermitaurKO</v>
      </c>
      <c r="F733" s="36" t="s">
        <v>21</v>
      </c>
      <c r="G733" s="36" t="str">
        <f t="shared" si="22"/>
        <v>Stonefist HermitaurTriblast</v>
      </c>
      <c r="H733" s="36" t="str">
        <f>IF(AND($Q$1=FALSE,$S$3=FALSE),"-",IF(AND($Q$1=TRUE,$S$3=TRUE),"-",IF(AND($Q$1=FALSE,$S$3=FALSE),"-",IF(AND($Q$1=TRUE,$S$1=TRUE,$S$4=FALSE)=TRUE,IF(OR($Q$4=TRUE,$Q$5=TRUE,$S$2=TRUE),VLOOKUP($G733,'KO Calc'!$H:$AW,12,FALSE),VLOOKUP($G733,'KO Calc'!$H739:$AW739,12,FALSE)),IF(AND($Q$1=TRUE,$S$4=FALSE),IF(OR($Q$4=TRUE,$Q$5=TRUE,$S$2=TRUE),VLOOKUP($G733,'KO Calc'!$H:$AW,2,FALSE),VLOOKUP($G733,'KO Calc'!$H739:$AW739,2,FALSE)),
IF(AND($Q$1=TRUE,$S$1=TRUE,$S$4=TRUE)=TRUE,IF(OR($Q$4=TRUE,$Q$5=TRUE,$S$2=TRUE),VLOOKUP($G733,'KO Calc'!$H:$AW,17,FALSE),VLOOKUP($G733,'KO Calc'!$H739:$AW739,17,FALSE)),IF(AND($Q$1=TRUE,$S$4=TRUE),IF(OR($Q$4=TRUE,$Q$5=TRUE,$S$2=TRUE),VLOOKUP($G733,'KO Calc'!$H:$AW,7,FALSE),VLOOKUP($G733,'KO Calc'!$H739:$AW739,7,FALSE)),
IF(AND($S$3=TRUE,$S$1=TRUE,$S$4=FALSE)=TRUE,IF(OR($Q$4=TRUE,$Q$5=TRUE,$S$2=TRUE),VLOOKUP($G733,'KO Calc'!$H:$AW,32,FALSE),VLOOKUP($G733,'KO Calc'!$H739:$AW739,32,FALSE)),IF(AND($S$3=TRUE,$S$4=FALSE),IF(OR($Q$4=TRUE,$Q$5=TRUE,$S$2=TRUE),VLOOKUP($G733,'KO Calc'!$H:$AW,22,FALSE),VLOOKUP($G733,'KO Calc'!$H739:$AW739,22,FALSE)),
IF(AND($S$3=TRUE,$S$1=TRUE,$S$4=TRUE)=TRUE,IF(OR($Q$4=TRUE,$Q$5=TRUE,$S$2=TRUE),VLOOKUP($G733,'KO Calc'!$H:$AW,37,FALSE),VLOOKUP($G733,'KO Calc'!$H739:$AW739,37,FALSE)),IF(AND($S$3=TRUE,$S$4=TRUE),IF(OR($Q$4=TRUE,$Q$5=TRUE,$S$2=TRUE),VLOOKUP($G733,'KO Calc'!$H:$AW,27,FALSE),VLOOKUP($G733,'KO Calc'!$H739:$AW739,27,FALSE)))))))))))))</f>
        <v>-</v>
      </c>
      <c r="I733" s="36" t="str">
        <f>IF(AND($Q$1=FALSE,$S$3=FALSE),"-",IF(AND($Q$1=TRUE,$S$3=TRUE),"-",IF(AND($Q$1=FALSE,$S$3=FALSE),"-",IF(AND($Q$1=TRUE,$S$1=TRUE,$S$4=FALSE)=TRUE,IF(OR($Q$4=TRUE,$Q$5=TRUE,$S$2=TRUE),VLOOKUP($G733,'KO Calc'!$H:$AW,13,FALSE),VLOOKUP($G733,'KO Calc'!$H739:$AW739,13,FALSE)),IF(AND($Q$1=TRUE,$S$4=FALSE),IF(OR($Q$4=TRUE,$Q$5=TRUE,$S$2=TRUE),VLOOKUP($G733,'KO Calc'!$H:$AW,3,FALSE),VLOOKUP($G733,'KO Calc'!$H739:$AW739,3,FALSE)),
IF(AND($Q$1=TRUE,$S$1=TRUE,$S$4=TRUE)=TRUE,IF(OR($Q$4=TRUE,$Q$5=TRUE,$S$2=TRUE),VLOOKUP($G733,'KO Calc'!$H:$AW,18,FALSE),VLOOKUP($G733,'KO Calc'!$H739:$AW739,18,FALSE)),IF(AND($Q$1=TRUE,$S$4=TRUE),IF(OR($Q$4=TRUE,$Q$5=TRUE,$S$2=TRUE),VLOOKUP($G733,'KO Calc'!$H:$AW,8,FALSE),VLOOKUP($G733,'KO Calc'!$H739:$AW739,8,FALSE)),
IF(AND($S$3=TRUE,$S$1=TRUE,$S$4=FALSE)=TRUE,IF(OR($Q$4=TRUE,$Q$5=TRUE,$S$2=TRUE),VLOOKUP($G733,'KO Calc'!$H:$AW,33,FALSE),VLOOKUP($G733,'KO Calc'!$H739:$AW739,33,FALSE)),IF(AND($S$3=TRUE,$S$4=FALSE),IF(OR($Q$4=TRUE,$Q$5=TRUE,$S$2=TRUE),VLOOKUP($G733,'KO Calc'!$H:$AW,23,FALSE),VLOOKUP($G733,'KO Calc'!$H739:$AW739,23,FALSE)),
IF(AND($S$3=TRUE,$S$1=TRUE,$S$4=TRUE)=TRUE,IF(OR($Q$4=TRUE,$Q$5=TRUE,$S$2=TRUE),VLOOKUP($G733,'KO Calc'!$H:$AW,38,FALSE),VLOOKUP($G733,'KO Calc'!$H739:$AW739,38,FALSE)),IF(AND($S$3=TRUE,$S$4=TRUE),IF(OR($Q$4=TRUE,$Q$5=TRUE,$S$2=TRUE),VLOOKUP($G733,'KO Calc'!$H:$AW,28,FALSE),VLOOKUP($G733,'KO Calc'!$H739:$AW739,28,FALSE)))))))))))))</f>
        <v>-</v>
      </c>
      <c r="J733" s="36" t="str">
        <f>IF(AND($Q$1=FALSE,$S$3=FALSE),"-",IF(AND($Q$1=TRUE,$S$3=TRUE),"-",IF(AND($Q$1=FALSE,$S$3=FALSE),"-",IF(AND($Q$1=TRUE,$S$1=TRUE,$S$4=FALSE)=TRUE,IF(OR($Q$4=TRUE,$Q$5=TRUE,$S$2=TRUE),VLOOKUP($G733,'KO Calc'!$H:$AW,FALSE),VLOOKUP($G733,'KO Calc'!$H739:$AW739,14,FALSE)),IF(AND($Q$1=TRUE,$S$4=FALSE),IF(OR($Q$4=TRUE,$Q$5=TRUE,$S$2=TRUE),VLOOKUP($G733,'KO Calc'!$H:$AW,4,FALSE),VLOOKUP($G733,'KO Calc'!$H739:$AW739,4,FALSE)),
IF(AND($Q$1=TRUE,$S$1=TRUE,$S$4=TRUE)=TRUE,IF(OR($Q$4=TRUE,$Q$5=TRUE,$S$2=TRUE),VLOOKUP($G733,'KO Calc'!$H:$AW,19,FALSE),VLOOKUP($G733,'KO Calc'!$H739:$AW739,19,FALSE)),IF(AND($Q$1=TRUE,$S$4=TRUE),IF(OR($Q$4=TRUE,$Q$5=TRUE,$S$2=TRUE),VLOOKUP($G733,'KO Calc'!$H:$AW,9,FALSE),VLOOKUP($G733,'KO Calc'!$H739:$AW739,9,FALSE)),
IF(AND($S$3=TRUE,$S$1=TRUE,$S$4=FALSE)=TRUE,IF(OR($Q$4=TRUE,$Q$5=TRUE,$S$2=TRUE),VLOOKUP($G733,'KO Calc'!$H:$AW,34,FALSE),VLOOKUP($G733,'KO Calc'!$H739:$AW739,34,FALSE)),IF(AND($S$3=TRUE,$S$4=FALSE),IF(OR($Q$4=TRUE,$Q$5=TRUE,$S$2=TRUE),VLOOKUP($G733,'KO Calc'!$H:$AW,24,FALSE),VLOOKUP($G733,'KO Calc'!$H739:$AW739,24,FALSE)),
IF(AND($S$3=TRUE,$S$1=TRUE,$S$4=TRUE)=TRUE,IF(OR($Q$4=TRUE,$Q$5=TRUE,$S$2=TRUE),VLOOKUP($G733,'KO Calc'!$H:$AW,39,FALSE),VLOOKUP($G733,'KO Calc'!$H739:$AW739,39,FALSE)),IF(AND($S$3=TRUE,$S$4=TRUE),IF(OR($Q$4=TRUE,$Q$5=TRUE,$S$2=TRUE),VLOOKUP($G733,'KO Calc'!$H:$AW,29,FALSE),VLOOKUP($G733,'KO Calc'!$H739:$AW739,29,FALSE)))))))))))))</f>
        <v>-</v>
      </c>
      <c r="K733" s="36" t="str">
        <f>IF(AND($Q$1=FALSE,$S$3=FALSE),"-",IF(AND($Q$1=TRUE,$S$3=TRUE),"-",IF(AND($Q$1=FALSE,$S$3=FALSE),"-",IF(AND($Q$1=TRUE,$S$1=TRUE,$S$4=FALSE)=TRUE,IF(OR($Q$4=TRUE,$Q$5=TRUE,$S$2=TRUE),VLOOKUP($G733,'KO Calc'!$H:$AW,15,FALSE),VLOOKUP($G733,'KO Calc'!$H739:$AW739,15,FALSE)),IF(AND($Q$1=TRUE,$S$4=FALSE),IF(OR($Q$4=TRUE,$Q$5=TRUE,$S$2=TRUE),VLOOKUP($G733,'KO Calc'!$H:$AW,5,FALSE),VLOOKUP($G733,'KO Calc'!$H739:$AW739,5,FALSE)),
IF(AND($Q$1=TRUE,$S$1=TRUE,$S$4=TRUE)=TRUE,IF(OR($Q$4=TRUE,$Q$5=TRUE,$S$2=TRUE),VLOOKUP($G733,'KO Calc'!$H:$AW,20,FALSE),VLOOKUP($G733,'KO Calc'!$H739:$AW739,20,FALSE)),IF(AND($Q$1=TRUE,$S$4=TRUE),IF(OR($Q$4=TRUE,$Q$5=TRUE,$S$2=TRUE),VLOOKUP($G733,'KO Calc'!$H:$AW,10,FALSE),VLOOKUP($G733,'KO Calc'!$H739:$AW739,10,FALSE)),
IF(AND($S$3=TRUE,$S$1=TRUE,$S$4=FALSE)=TRUE,IF(OR($Q$4=TRUE,$Q$5=TRUE,$S$2=TRUE),VLOOKUP($G733,'KO Calc'!$H:$AW,35,FALSE),VLOOKUP($G733,'KO Calc'!$H739:$AW739,35,FALSE)),IF(AND($S$3=TRUE,$S$4=FALSE),IF(OR($Q$4=TRUE,$Q$5=TRUE,$S$2=TRUE),VLOOKUP($G733,'KO Calc'!$H:$AW,25,FALSE),VLOOKUP($G733,'KO Calc'!$H739:$AW739,25,FALSE)),
IF(AND($S$3=TRUE,$S$1=TRUE,$S$4=TRUE)=TRUE,IF(OR($Q$4=TRUE,$Q$5=TRUE,$S$2=TRUE),VLOOKUP($G733,'KO Calc'!$H:$AW,40,FALSE),VLOOKUP($G733,'KO Calc'!$H739:$AW739,40,FALSE)),IF(AND($S$3=TRUE,$S$4=TRUE),IF(OR($Q$4=TRUE,$Q$5=TRUE,$S$2=TRUE),VLOOKUP($G733,'KO Calc'!$H:$AW,30,FALSE),VLOOKUP($G733,'KO Calc'!$H739:$AW739,30,FALSE)))))))))))))</f>
        <v>-</v>
      </c>
      <c r="L733" s="36" t="str">
        <f>IFERROR(IF(AND($Q$1=FALSE,$S$3=FALSE),"-",VLOOKUP($E733,'Status Thresholds'!$E:$AU,41,FALSE)),"-")</f>
        <v>-</v>
      </c>
      <c r="M733" s="36" t="str">
        <f>IFERROR(IF(AND($Q$1=FALSE,$S$3=FALSE),"-",VLOOKUP($E733,'Status Thresholds'!$E:$AU,42,FALSE)),"-")</f>
        <v>-</v>
      </c>
      <c r="N733" s="36" t="str">
        <f>IFERROR(IF(AND($Q$1=FALSE,$S$3=FALSE),"-",VLOOKUP($E733,'Status Thresholds'!$E:$AU,43,FALSE)),"-")</f>
        <v>-</v>
      </c>
    </row>
    <row r="734" spans="2:14" x14ac:dyDescent="0.25">
      <c r="B734" s="64" t="str">
        <f>VLOOKUP(C734,'Status Thresholds'!B:C,2,FALSE)</f>
        <v>Deviant</v>
      </c>
      <c r="C734" s="46" t="str">
        <f>IF(ISBLANK('KO Calc'!C730)=TRUE,"",'KO Calc'!C730)</f>
        <v>Stonefist Hermitaur</v>
      </c>
      <c r="D734" s="78" t="s">
        <v>207</v>
      </c>
      <c r="E734" s="62" t="str">
        <f t="shared" si="21"/>
        <v>Stonefist HermitaurShock Trap</v>
      </c>
      <c r="F734" t="s">
        <v>13</v>
      </c>
      <c r="G734" s="36" t="str">
        <f t="shared" si="22"/>
        <v>Stonefist HermitaurCrag 3</v>
      </c>
      <c r="H734" s="36" t="str">
        <f>IF(AND($Q$1=FALSE,$S$3=FALSE),"-",IF(AND($Q$1=TRUE,$S$3=TRUE),"-",IF(AND($Q$1=FALSE,$S$3=FALSE),"-",IF(AND($Q$1=TRUE,$S$1=TRUE,$S$4=FALSE)=TRUE,IF(OR($Q$4=TRUE,$Q$5=TRUE,$S$2=TRUE),VLOOKUP($G734,'KO Calc'!$H:$AW,12,FALSE),VLOOKUP($G734,'KO Calc'!$H740:$AW740,12,FALSE)),IF(AND($Q$1=TRUE,$S$4=FALSE),IF(OR($Q$4=TRUE,$Q$5=TRUE,$S$2=TRUE),VLOOKUP($G734,'KO Calc'!$H:$AW,2,FALSE),VLOOKUP($G734,'KO Calc'!$H740:$AW740,2,FALSE)),
IF(AND($Q$1=TRUE,$S$1=TRUE,$S$4=TRUE)=TRUE,IF(OR($Q$4=TRUE,$Q$5=TRUE,$S$2=TRUE),VLOOKUP($G734,'KO Calc'!$H:$AW,17,FALSE),VLOOKUP($G734,'KO Calc'!$H740:$AW740,17,FALSE)),IF(AND($Q$1=TRUE,$S$4=TRUE),IF(OR($Q$4=TRUE,$Q$5=TRUE,$S$2=TRUE),VLOOKUP($G734,'KO Calc'!$H:$AW,7,FALSE),VLOOKUP($G734,'KO Calc'!$H740:$AW740,7,FALSE)),
IF(AND($S$3=TRUE,$S$1=TRUE,$S$4=FALSE)=TRUE,IF(OR($Q$4=TRUE,$Q$5=TRUE,$S$2=TRUE),VLOOKUP($G734,'KO Calc'!$H:$AW,32,FALSE),VLOOKUP($G734,'KO Calc'!$H740:$AW740,32,FALSE)),IF(AND($S$3=TRUE,$S$4=FALSE),IF(OR($Q$4=TRUE,$Q$5=TRUE,$S$2=TRUE),VLOOKUP($G734,'KO Calc'!$H:$AW,22,FALSE),VLOOKUP($G734,'KO Calc'!$H740:$AW740,22,FALSE)),
IF(AND($S$3=TRUE,$S$1=TRUE,$S$4=TRUE)=TRUE,IF(OR($Q$4=TRUE,$Q$5=TRUE,$S$2=TRUE),VLOOKUP($G734,'KO Calc'!$H:$AW,37,FALSE),VLOOKUP($G734,'KO Calc'!$H740:$AW740,37,FALSE)),IF(AND($S$3=TRUE,$S$4=TRUE),IF(OR($Q$4=TRUE,$Q$5=TRUE,$S$2=TRUE),VLOOKUP($G734,'KO Calc'!$H:$AW,27,FALSE),VLOOKUP($G734,'KO Calc'!$H740:$AW740,27,FALSE)))))))))))))</f>
        <v>-</v>
      </c>
      <c r="I734" s="36" t="str">
        <f>IF(AND($Q$1=FALSE,$S$3=FALSE),"-",IF(AND($Q$1=TRUE,$S$3=TRUE),"-",IF(AND($Q$1=FALSE,$S$3=FALSE),"-",IF(AND($Q$1=TRUE,$S$1=TRUE,$S$4=FALSE)=TRUE,IF(OR($Q$4=TRUE,$Q$5=TRUE,$S$2=TRUE),VLOOKUP($G734,'KO Calc'!$H:$AW,13,FALSE),VLOOKUP($G734,'KO Calc'!$H740:$AW740,13,FALSE)),IF(AND($Q$1=TRUE,$S$4=FALSE),IF(OR($Q$4=TRUE,$Q$5=TRUE,$S$2=TRUE),VLOOKUP($G734,'KO Calc'!$H:$AW,3,FALSE),VLOOKUP($G734,'KO Calc'!$H740:$AW740,3,FALSE)),
IF(AND($Q$1=TRUE,$S$1=TRUE,$S$4=TRUE)=TRUE,IF(OR($Q$4=TRUE,$Q$5=TRUE,$S$2=TRUE),VLOOKUP($G734,'KO Calc'!$H:$AW,18,FALSE),VLOOKUP($G734,'KO Calc'!$H740:$AW740,18,FALSE)),IF(AND($Q$1=TRUE,$S$4=TRUE),IF(OR($Q$4=TRUE,$Q$5=TRUE,$S$2=TRUE),VLOOKUP($G734,'KO Calc'!$H:$AW,8,FALSE),VLOOKUP($G734,'KO Calc'!$H740:$AW740,8,FALSE)),
IF(AND($S$3=TRUE,$S$1=TRUE,$S$4=FALSE)=TRUE,IF(OR($Q$4=TRUE,$Q$5=TRUE,$S$2=TRUE),VLOOKUP($G734,'KO Calc'!$H:$AW,33,FALSE),VLOOKUP($G734,'KO Calc'!$H740:$AW740,33,FALSE)),IF(AND($S$3=TRUE,$S$4=FALSE),IF(OR($Q$4=TRUE,$Q$5=TRUE,$S$2=TRUE),VLOOKUP($G734,'KO Calc'!$H:$AW,23,FALSE),VLOOKUP($G734,'KO Calc'!$H740:$AW740,23,FALSE)),
IF(AND($S$3=TRUE,$S$1=TRUE,$S$4=TRUE)=TRUE,IF(OR($Q$4=TRUE,$Q$5=TRUE,$S$2=TRUE),VLOOKUP($G734,'KO Calc'!$H:$AW,38,FALSE),VLOOKUP($G734,'KO Calc'!$H740:$AW740,38,FALSE)),IF(AND($S$3=TRUE,$S$4=TRUE),IF(OR($Q$4=TRUE,$Q$5=TRUE,$S$2=TRUE),VLOOKUP($G734,'KO Calc'!$H:$AW,28,FALSE),VLOOKUP($G734,'KO Calc'!$H740:$AW740,28,FALSE)))))))))))))</f>
        <v>-</v>
      </c>
      <c r="J734" s="36" t="str">
        <f>IF(AND($Q$1=FALSE,$S$3=FALSE),"-",IF(AND($Q$1=TRUE,$S$3=TRUE),"-",IF(AND($Q$1=FALSE,$S$3=FALSE),"-",IF(AND($Q$1=TRUE,$S$1=TRUE,$S$4=FALSE)=TRUE,IF(OR($Q$4=TRUE,$Q$5=TRUE,$S$2=TRUE),VLOOKUP($G734,'KO Calc'!$H:$AW,FALSE),VLOOKUP($G734,'KO Calc'!$H740:$AW740,14,FALSE)),IF(AND($Q$1=TRUE,$S$4=FALSE),IF(OR($Q$4=TRUE,$Q$5=TRUE,$S$2=TRUE),VLOOKUP($G734,'KO Calc'!$H:$AW,4,FALSE),VLOOKUP($G734,'KO Calc'!$H740:$AW740,4,FALSE)),
IF(AND($Q$1=TRUE,$S$1=TRUE,$S$4=TRUE)=TRUE,IF(OR($Q$4=TRUE,$Q$5=TRUE,$S$2=TRUE),VLOOKUP($G734,'KO Calc'!$H:$AW,19,FALSE),VLOOKUP($G734,'KO Calc'!$H740:$AW740,19,FALSE)),IF(AND($Q$1=TRUE,$S$4=TRUE),IF(OR($Q$4=TRUE,$Q$5=TRUE,$S$2=TRUE),VLOOKUP($G734,'KO Calc'!$H:$AW,9,FALSE),VLOOKUP($G734,'KO Calc'!$H740:$AW740,9,FALSE)),
IF(AND($S$3=TRUE,$S$1=TRUE,$S$4=FALSE)=TRUE,IF(OR($Q$4=TRUE,$Q$5=TRUE,$S$2=TRUE),VLOOKUP($G734,'KO Calc'!$H:$AW,34,FALSE),VLOOKUP($G734,'KO Calc'!$H740:$AW740,34,FALSE)),IF(AND($S$3=TRUE,$S$4=FALSE),IF(OR($Q$4=TRUE,$Q$5=TRUE,$S$2=TRUE),VLOOKUP($G734,'KO Calc'!$H:$AW,24,FALSE),VLOOKUP($G734,'KO Calc'!$H740:$AW740,24,FALSE)),
IF(AND($S$3=TRUE,$S$1=TRUE,$S$4=TRUE)=TRUE,IF(OR($Q$4=TRUE,$Q$5=TRUE,$S$2=TRUE),VLOOKUP($G734,'KO Calc'!$H:$AW,39,FALSE),VLOOKUP($G734,'KO Calc'!$H740:$AW740,39,FALSE)),IF(AND($S$3=TRUE,$S$4=TRUE),IF(OR($Q$4=TRUE,$Q$5=TRUE,$S$2=TRUE),VLOOKUP($G734,'KO Calc'!$H:$AW,29,FALSE),VLOOKUP($G734,'KO Calc'!$H740:$AW740,29,FALSE)))))))))))))</f>
        <v>-</v>
      </c>
      <c r="K734" s="36" t="str">
        <f>IF(AND($Q$1=FALSE,$S$3=FALSE),"-",IF(AND($Q$1=TRUE,$S$3=TRUE),"-",IF(AND($Q$1=FALSE,$S$3=FALSE),"-",IF(AND($Q$1=TRUE,$S$1=TRUE,$S$4=FALSE)=TRUE,IF(OR($Q$4=TRUE,$Q$5=TRUE,$S$2=TRUE),VLOOKUP($G734,'KO Calc'!$H:$AW,15,FALSE),VLOOKUP($G734,'KO Calc'!$H740:$AW740,15,FALSE)),IF(AND($Q$1=TRUE,$S$4=FALSE),IF(OR($Q$4=TRUE,$Q$5=TRUE,$S$2=TRUE),VLOOKUP($G734,'KO Calc'!$H:$AW,5,FALSE),VLOOKUP($G734,'KO Calc'!$H740:$AW740,5,FALSE)),
IF(AND($Q$1=TRUE,$S$1=TRUE,$S$4=TRUE)=TRUE,IF(OR($Q$4=TRUE,$Q$5=TRUE,$S$2=TRUE),VLOOKUP($G734,'KO Calc'!$H:$AW,20,FALSE),VLOOKUP($G734,'KO Calc'!$H740:$AW740,20,FALSE)),IF(AND($Q$1=TRUE,$S$4=TRUE),IF(OR($Q$4=TRUE,$Q$5=TRUE,$S$2=TRUE),VLOOKUP($G734,'KO Calc'!$H:$AW,10,FALSE),VLOOKUP($G734,'KO Calc'!$H740:$AW740,10,FALSE)),
IF(AND($S$3=TRUE,$S$1=TRUE,$S$4=FALSE)=TRUE,IF(OR($Q$4=TRUE,$Q$5=TRUE,$S$2=TRUE),VLOOKUP($G734,'KO Calc'!$H:$AW,35,FALSE),VLOOKUP($G734,'KO Calc'!$H740:$AW740,35,FALSE)),IF(AND($S$3=TRUE,$S$4=FALSE),IF(OR($Q$4=TRUE,$Q$5=TRUE,$S$2=TRUE),VLOOKUP($G734,'KO Calc'!$H:$AW,25,FALSE),VLOOKUP($G734,'KO Calc'!$H740:$AW740,25,FALSE)),
IF(AND($S$3=TRUE,$S$1=TRUE,$S$4=TRUE)=TRUE,IF(OR($Q$4=TRUE,$Q$5=TRUE,$S$2=TRUE),VLOOKUP($G734,'KO Calc'!$H:$AW,40,FALSE),VLOOKUP($G734,'KO Calc'!$H740:$AW740,40,FALSE)),IF(AND($S$3=TRUE,$S$4=TRUE),IF(OR($Q$4=TRUE,$Q$5=TRUE,$S$2=TRUE),VLOOKUP($G734,'KO Calc'!$H:$AW,30,FALSE),VLOOKUP($G734,'KO Calc'!$H740:$AW740,30,FALSE)))))))))))))</f>
        <v>-</v>
      </c>
      <c r="L734" s="36" t="str">
        <f>IFERROR(IF(AND($Q$1=FALSE,$S$3=FALSE),"-",VLOOKUP($E734,'Status Thresholds'!$E:$AU,43,FALSE)),"-")</f>
        <v>-</v>
      </c>
      <c r="M734" s="36" t="str">
        <f>IFERROR(IF(AND($Q$1=FALSE,$S$3=FALSE),"-",VLOOKUP($E734,'Status Thresholds'!$E:$AU,41,FALSE)),"-")</f>
        <v>-</v>
      </c>
      <c r="N734" s="36" t="str">
        <f>IFERROR(IF(AND($Q$1=FALSE,$S$3=FALSE),"-",VLOOKUP($E734,'Status Thresholds'!$E:$AU,42,FALSE)),"-")</f>
        <v>-</v>
      </c>
    </row>
    <row r="735" spans="2:14" x14ac:dyDescent="0.25">
      <c r="B735" s="64" t="str">
        <f>VLOOKUP(C735,'Status Thresholds'!B:C,2,FALSE)</f>
        <v>Deviant</v>
      </c>
      <c r="C735" s="46" t="str">
        <f>IF(ISBLANK('KO Calc'!C731)=TRUE,"",'KO Calc'!C731)</f>
        <v>Stonefist Hermitaur</v>
      </c>
      <c r="D735" s="78" t="s">
        <v>213</v>
      </c>
      <c r="E735" s="62" t="str">
        <f t="shared" si="21"/>
        <v>Stonefist HermitaurPitfall Trap</v>
      </c>
      <c r="F735" t="s">
        <v>12</v>
      </c>
      <c r="G735" s="36" t="str">
        <f t="shared" si="22"/>
        <v>Stonefist HermitaurCrag 2</v>
      </c>
      <c r="H735" s="36" t="str">
        <f>IF(AND($Q$1=FALSE,$S$3=FALSE),"-",IF(AND($Q$1=TRUE,$S$3=TRUE),"-",IF(AND($Q$1=FALSE,$S$3=FALSE),"-",IF(AND($Q$1=TRUE,$S$1=TRUE,$S$4=FALSE)=TRUE,IF(OR($Q$4=TRUE,$Q$5=TRUE,$S$2=TRUE),VLOOKUP($G735,'KO Calc'!$H:$AW,12,FALSE),VLOOKUP($G735,'KO Calc'!$H741:$AW741,12,FALSE)),IF(AND($Q$1=TRUE,$S$4=FALSE),IF(OR($Q$4=TRUE,$Q$5=TRUE,$S$2=TRUE),VLOOKUP($G735,'KO Calc'!$H:$AW,2,FALSE),VLOOKUP($G735,'KO Calc'!$H741:$AW741,2,FALSE)),
IF(AND($Q$1=TRUE,$S$1=TRUE,$S$4=TRUE)=TRUE,IF(OR($Q$4=TRUE,$Q$5=TRUE,$S$2=TRUE),VLOOKUP($G735,'KO Calc'!$H:$AW,17,FALSE),VLOOKUP($G735,'KO Calc'!$H741:$AW741,17,FALSE)),IF(AND($Q$1=TRUE,$S$4=TRUE),IF(OR($Q$4=TRUE,$Q$5=TRUE,$S$2=TRUE),VLOOKUP($G735,'KO Calc'!$H:$AW,7,FALSE),VLOOKUP($G735,'KO Calc'!$H741:$AW741,7,FALSE)),
IF(AND($S$3=TRUE,$S$1=TRUE,$S$4=FALSE)=TRUE,IF(OR($Q$4=TRUE,$Q$5=TRUE,$S$2=TRUE),VLOOKUP($G735,'KO Calc'!$H:$AW,32,FALSE),VLOOKUP($G735,'KO Calc'!$H741:$AW741,32,FALSE)),IF(AND($S$3=TRUE,$S$4=FALSE),IF(OR($Q$4=TRUE,$Q$5=TRUE,$S$2=TRUE),VLOOKUP($G735,'KO Calc'!$H:$AW,22,FALSE),VLOOKUP($G735,'KO Calc'!$H741:$AW741,22,FALSE)),
IF(AND($S$3=TRUE,$S$1=TRUE,$S$4=TRUE)=TRUE,IF(OR($Q$4=TRUE,$Q$5=TRUE,$S$2=TRUE),VLOOKUP($G735,'KO Calc'!$H:$AW,37,FALSE),VLOOKUP($G735,'KO Calc'!$H741:$AW741,37,FALSE)),IF(AND($S$3=TRUE,$S$4=TRUE),IF(OR($Q$4=TRUE,$Q$5=TRUE,$S$2=TRUE),VLOOKUP($G735,'KO Calc'!$H:$AW,27,FALSE),VLOOKUP($G735,'KO Calc'!$H741:$AW741,27,FALSE)))))))))))))</f>
        <v>-</v>
      </c>
      <c r="I735" s="36" t="str">
        <f>IF(AND($Q$1=FALSE,$S$3=FALSE),"-",IF(AND($Q$1=TRUE,$S$3=TRUE),"-",IF(AND($Q$1=FALSE,$S$3=FALSE),"-",IF(AND($Q$1=TRUE,$S$1=TRUE,$S$4=FALSE)=TRUE,IF(OR($Q$4=TRUE,$Q$5=TRUE,$S$2=TRUE),VLOOKUP($G735,'KO Calc'!$H:$AW,13,FALSE),VLOOKUP($G735,'KO Calc'!$H741:$AW741,13,FALSE)),IF(AND($Q$1=TRUE,$S$4=FALSE),IF(OR($Q$4=TRUE,$Q$5=TRUE,$S$2=TRUE),VLOOKUP($G735,'KO Calc'!$H:$AW,3,FALSE),VLOOKUP($G735,'KO Calc'!$H741:$AW741,3,FALSE)),
IF(AND($Q$1=TRUE,$S$1=TRUE,$S$4=TRUE)=TRUE,IF(OR($Q$4=TRUE,$Q$5=TRUE,$S$2=TRUE),VLOOKUP($G735,'KO Calc'!$H:$AW,18,FALSE),VLOOKUP($G735,'KO Calc'!$H741:$AW741,18,FALSE)),IF(AND($Q$1=TRUE,$S$4=TRUE),IF(OR($Q$4=TRUE,$Q$5=TRUE,$S$2=TRUE),VLOOKUP($G735,'KO Calc'!$H:$AW,8,FALSE),VLOOKUP($G735,'KO Calc'!$H741:$AW741,8,FALSE)),
IF(AND($S$3=TRUE,$S$1=TRUE,$S$4=FALSE)=TRUE,IF(OR($Q$4=TRUE,$Q$5=TRUE,$S$2=TRUE),VLOOKUP($G735,'KO Calc'!$H:$AW,33,FALSE),VLOOKUP($G735,'KO Calc'!$H741:$AW741,33,FALSE)),IF(AND($S$3=TRUE,$S$4=FALSE),IF(OR($Q$4=TRUE,$Q$5=TRUE,$S$2=TRUE),VLOOKUP($G735,'KO Calc'!$H:$AW,23,FALSE),VLOOKUP($G735,'KO Calc'!$H741:$AW741,23,FALSE)),
IF(AND($S$3=TRUE,$S$1=TRUE,$S$4=TRUE)=TRUE,IF(OR($Q$4=TRUE,$Q$5=TRUE,$S$2=TRUE),VLOOKUP($G735,'KO Calc'!$H:$AW,38,FALSE),VLOOKUP($G735,'KO Calc'!$H741:$AW741,38,FALSE)),IF(AND($S$3=TRUE,$S$4=TRUE),IF(OR($Q$4=TRUE,$Q$5=TRUE,$S$2=TRUE),VLOOKUP($G735,'KO Calc'!$H:$AW,28,FALSE),VLOOKUP($G735,'KO Calc'!$H741:$AW741,28,FALSE)))))))))))))</f>
        <v>-</v>
      </c>
      <c r="J735" s="36" t="str">
        <f>IF(AND($Q$1=FALSE,$S$3=FALSE),"-",IF(AND($Q$1=TRUE,$S$3=TRUE),"-",IF(AND($Q$1=FALSE,$S$3=FALSE),"-",IF(AND($Q$1=TRUE,$S$1=TRUE,$S$4=FALSE)=TRUE,IF(OR($Q$4=TRUE,$Q$5=TRUE,$S$2=TRUE),VLOOKUP($G735,'KO Calc'!$H:$AW,FALSE),VLOOKUP($G735,'KO Calc'!$H741:$AW741,14,FALSE)),IF(AND($Q$1=TRUE,$S$4=FALSE),IF(OR($Q$4=TRUE,$Q$5=TRUE,$S$2=TRUE),VLOOKUP($G735,'KO Calc'!$H:$AW,4,FALSE),VLOOKUP($G735,'KO Calc'!$H741:$AW741,4,FALSE)),
IF(AND($Q$1=TRUE,$S$1=TRUE,$S$4=TRUE)=TRUE,IF(OR($Q$4=TRUE,$Q$5=TRUE,$S$2=TRUE),VLOOKUP($G735,'KO Calc'!$H:$AW,19,FALSE),VLOOKUP($G735,'KO Calc'!$H741:$AW741,19,FALSE)),IF(AND($Q$1=TRUE,$S$4=TRUE),IF(OR($Q$4=TRUE,$Q$5=TRUE,$S$2=TRUE),VLOOKUP($G735,'KO Calc'!$H:$AW,9,FALSE),VLOOKUP($G735,'KO Calc'!$H741:$AW741,9,FALSE)),
IF(AND($S$3=TRUE,$S$1=TRUE,$S$4=FALSE)=TRUE,IF(OR($Q$4=TRUE,$Q$5=TRUE,$S$2=TRUE),VLOOKUP($G735,'KO Calc'!$H:$AW,34,FALSE),VLOOKUP($G735,'KO Calc'!$H741:$AW741,34,FALSE)),IF(AND($S$3=TRUE,$S$4=FALSE),IF(OR($Q$4=TRUE,$Q$5=TRUE,$S$2=TRUE),VLOOKUP($G735,'KO Calc'!$H:$AW,24,FALSE),VLOOKUP($G735,'KO Calc'!$H741:$AW741,24,FALSE)),
IF(AND($S$3=TRUE,$S$1=TRUE,$S$4=TRUE)=TRUE,IF(OR($Q$4=TRUE,$Q$5=TRUE,$S$2=TRUE),VLOOKUP($G735,'KO Calc'!$H:$AW,39,FALSE),VLOOKUP($G735,'KO Calc'!$H741:$AW741,39,FALSE)),IF(AND($S$3=TRUE,$S$4=TRUE),IF(OR($Q$4=TRUE,$Q$5=TRUE,$S$2=TRUE),VLOOKUP($G735,'KO Calc'!$H:$AW,29,FALSE),VLOOKUP($G735,'KO Calc'!$H741:$AW741,29,FALSE)))))))))))))</f>
        <v>-</v>
      </c>
      <c r="K735" s="36" t="str">
        <f>IF(AND($Q$1=FALSE,$S$3=FALSE),"-",IF(AND($Q$1=TRUE,$S$3=TRUE),"-",IF(AND($Q$1=FALSE,$S$3=FALSE),"-",IF(AND($Q$1=TRUE,$S$1=TRUE,$S$4=FALSE)=TRUE,IF(OR($Q$4=TRUE,$Q$5=TRUE,$S$2=TRUE),VLOOKUP($G735,'KO Calc'!$H:$AW,15,FALSE),VLOOKUP($G735,'KO Calc'!$H741:$AW741,15,FALSE)),IF(AND($Q$1=TRUE,$S$4=FALSE),IF(OR($Q$4=TRUE,$Q$5=TRUE,$S$2=TRUE),VLOOKUP($G735,'KO Calc'!$H:$AW,5,FALSE),VLOOKUP($G735,'KO Calc'!$H741:$AW741,5,FALSE)),
IF(AND($Q$1=TRUE,$S$1=TRUE,$S$4=TRUE)=TRUE,IF(OR($Q$4=TRUE,$Q$5=TRUE,$S$2=TRUE),VLOOKUP($G735,'KO Calc'!$H:$AW,20,FALSE),VLOOKUP($G735,'KO Calc'!$H741:$AW741,20,FALSE)),IF(AND($Q$1=TRUE,$S$4=TRUE),IF(OR($Q$4=TRUE,$Q$5=TRUE,$S$2=TRUE),VLOOKUP($G735,'KO Calc'!$H:$AW,10,FALSE),VLOOKUP($G735,'KO Calc'!$H741:$AW741,10,FALSE)),
IF(AND($S$3=TRUE,$S$1=TRUE,$S$4=FALSE)=TRUE,IF(OR($Q$4=TRUE,$Q$5=TRUE,$S$2=TRUE),VLOOKUP($G735,'KO Calc'!$H:$AW,35,FALSE),VLOOKUP($G735,'KO Calc'!$H741:$AW741,35,FALSE)),IF(AND($S$3=TRUE,$S$4=FALSE),IF(OR($Q$4=TRUE,$Q$5=TRUE,$S$2=TRUE),VLOOKUP($G735,'KO Calc'!$H:$AW,25,FALSE),VLOOKUP($G735,'KO Calc'!$H741:$AW741,25,FALSE)),
IF(AND($S$3=TRUE,$S$1=TRUE,$S$4=TRUE)=TRUE,IF(OR($Q$4=TRUE,$Q$5=TRUE,$S$2=TRUE),VLOOKUP($G735,'KO Calc'!$H:$AW,40,FALSE),VLOOKUP($G735,'KO Calc'!$H741:$AW741,40,FALSE)),IF(AND($S$3=TRUE,$S$4=TRUE),IF(OR($Q$4=TRUE,$Q$5=TRUE,$S$2=TRUE),VLOOKUP($G735,'KO Calc'!$H:$AW,30,FALSE),VLOOKUP($G735,'KO Calc'!$H741:$AW741,30,FALSE)))))))))))))</f>
        <v>-</v>
      </c>
      <c r="L735" s="36" t="str">
        <f>IFERROR(IF(AND($Q$1=FALSE,$S$3=FALSE),"-",VLOOKUP($E735,'Status Thresholds'!$E:$AU,43,FALSE)),"-")</f>
        <v>-</v>
      </c>
      <c r="M735" s="36" t="str">
        <f>IFERROR(IF(AND($Q$1=FALSE,$S$3=FALSE),"-",VLOOKUP($E735,'Status Thresholds'!$E:$AU,41,FALSE)),"-")</f>
        <v>-</v>
      </c>
      <c r="N735" s="36" t="str">
        <f>IFERROR(IF(AND($Q$1=FALSE,$S$3=FALSE),"-",VLOOKUP($E735,'Status Thresholds'!$E:$AU,42,FALSE)),"-")</f>
        <v>-</v>
      </c>
    </row>
    <row r="736" spans="2:14" x14ac:dyDescent="0.25">
      <c r="B736" s="64" t="str">
        <f>VLOOKUP(C736,'Status Thresholds'!B:C,2,FALSE)</f>
        <v>Deviant</v>
      </c>
      <c r="C736" s="46" t="str">
        <f>IF(ISBLANK('KO Calc'!C732)=TRUE,"",'KO Calc'!C732)</f>
        <v>Stonefist Hermitaur</v>
      </c>
      <c r="D736" s="78"/>
      <c r="E736" s="62" t="str">
        <f t="shared" si="21"/>
        <v>Stonefist Hermitaur</v>
      </c>
      <c r="F736" t="s">
        <v>11</v>
      </c>
      <c r="G736" s="36" t="str">
        <f t="shared" si="22"/>
        <v>Stonefist HermitaurCrag 1</v>
      </c>
      <c r="H736" s="36" t="str">
        <f>IF(AND($Q$1=FALSE,$S$3=FALSE),"-",IF(AND($Q$1=TRUE,$S$3=TRUE),"-",IF(AND($Q$1=FALSE,$S$3=FALSE),"-",IF(AND($Q$1=TRUE,$S$1=TRUE,$S$4=FALSE)=TRUE,IF(OR($Q$4=TRUE,$Q$5=TRUE,$S$2=TRUE),VLOOKUP($G736,'KO Calc'!$H:$AW,12,FALSE),VLOOKUP($G736,'KO Calc'!$H742:$AW742,12,FALSE)),IF(AND($Q$1=TRUE,$S$4=FALSE),IF(OR($Q$4=TRUE,$Q$5=TRUE,$S$2=TRUE),VLOOKUP($G736,'KO Calc'!$H:$AW,2,FALSE),VLOOKUP($G736,'KO Calc'!$H742:$AW742,2,FALSE)),
IF(AND($Q$1=TRUE,$S$1=TRUE,$S$4=TRUE)=TRUE,IF(OR($Q$4=TRUE,$Q$5=TRUE,$S$2=TRUE),VLOOKUP($G736,'KO Calc'!$H:$AW,17,FALSE),VLOOKUP($G736,'KO Calc'!$H742:$AW742,17,FALSE)),IF(AND($Q$1=TRUE,$S$4=TRUE),IF(OR($Q$4=TRUE,$Q$5=TRUE,$S$2=TRUE),VLOOKUP($G736,'KO Calc'!$H:$AW,7,FALSE),VLOOKUP($G736,'KO Calc'!$H742:$AW742,7,FALSE)),
IF(AND($S$3=TRUE,$S$1=TRUE,$S$4=FALSE)=TRUE,IF(OR($Q$4=TRUE,$Q$5=TRUE,$S$2=TRUE),VLOOKUP($G736,'KO Calc'!$H:$AW,32,FALSE),VLOOKUP($G736,'KO Calc'!$H742:$AW742,32,FALSE)),IF(AND($S$3=TRUE,$S$4=FALSE),IF(OR($Q$4=TRUE,$Q$5=TRUE,$S$2=TRUE),VLOOKUP($G736,'KO Calc'!$H:$AW,22,FALSE),VLOOKUP($G736,'KO Calc'!$H742:$AW742,22,FALSE)),
IF(AND($S$3=TRUE,$S$1=TRUE,$S$4=TRUE)=TRUE,IF(OR($Q$4=TRUE,$Q$5=TRUE,$S$2=TRUE),VLOOKUP($G736,'KO Calc'!$H:$AW,37,FALSE),VLOOKUP($G736,'KO Calc'!$H742:$AW742,37,FALSE)),IF(AND($S$3=TRUE,$S$4=TRUE),IF(OR($Q$4=TRUE,$Q$5=TRUE,$S$2=TRUE),VLOOKUP($G736,'KO Calc'!$H:$AW,27,FALSE),VLOOKUP($G736,'KO Calc'!$H742:$AW742,27,FALSE)))))))))))))</f>
        <v>-</v>
      </c>
      <c r="I736" s="36" t="str">
        <f>IF(AND($Q$1=FALSE,$S$3=FALSE),"-",IF(AND($Q$1=TRUE,$S$3=TRUE),"-",IF(AND($Q$1=FALSE,$S$3=FALSE),"-",IF(AND($Q$1=TRUE,$S$1=TRUE,$S$4=FALSE)=TRUE,IF(OR($Q$4=TRUE,$Q$5=TRUE,$S$2=TRUE),VLOOKUP($G736,'KO Calc'!$H:$AW,13,FALSE),VLOOKUP($G736,'KO Calc'!$H742:$AW742,13,FALSE)),IF(AND($Q$1=TRUE,$S$4=FALSE),IF(OR($Q$4=TRUE,$Q$5=TRUE,$S$2=TRUE),VLOOKUP($G736,'KO Calc'!$H:$AW,3,FALSE),VLOOKUP($G736,'KO Calc'!$H742:$AW742,3,FALSE)),
IF(AND($Q$1=TRUE,$S$1=TRUE,$S$4=TRUE)=TRUE,IF(OR($Q$4=TRUE,$Q$5=TRUE,$S$2=TRUE),VLOOKUP($G736,'KO Calc'!$H:$AW,18,FALSE),VLOOKUP($G736,'KO Calc'!$H742:$AW742,18,FALSE)),IF(AND($Q$1=TRUE,$S$4=TRUE),IF(OR($Q$4=TRUE,$Q$5=TRUE,$S$2=TRUE),VLOOKUP($G736,'KO Calc'!$H:$AW,8,FALSE),VLOOKUP($G736,'KO Calc'!$H742:$AW742,8,FALSE)),
IF(AND($S$3=TRUE,$S$1=TRUE,$S$4=FALSE)=TRUE,IF(OR($Q$4=TRUE,$Q$5=TRUE,$S$2=TRUE),VLOOKUP($G736,'KO Calc'!$H:$AW,33,FALSE),VLOOKUP($G736,'KO Calc'!$H742:$AW742,33,FALSE)),IF(AND($S$3=TRUE,$S$4=FALSE),IF(OR($Q$4=TRUE,$Q$5=TRUE,$S$2=TRUE),VLOOKUP($G736,'KO Calc'!$H:$AW,23,FALSE),VLOOKUP($G736,'KO Calc'!$H742:$AW742,23,FALSE)),
IF(AND($S$3=TRUE,$S$1=TRUE,$S$4=TRUE)=TRUE,IF(OR($Q$4=TRUE,$Q$5=TRUE,$S$2=TRUE),VLOOKUP($G736,'KO Calc'!$H:$AW,38,FALSE),VLOOKUP($G736,'KO Calc'!$H742:$AW742,38,FALSE)),IF(AND($S$3=TRUE,$S$4=TRUE),IF(OR($Q$4=TRUE,$Q$5=TRUE,$S$2=TRUE),VLOOKUP($G736,'KO Calc'!$H:$AW,28,FALSE),VLOOKUP($G736,'KO Calc'!$H742:$AW742,28,FALSE)))))))))))))</f>
        <v>-</v>
      </c>
      <c r="J736" s="36" t="str">
        <f>IF(AND($Q$1=FALSE,$S$3=FALSE),"-",IF(AND($Q$1=TRUE,$S$3=TRUE),"-",IF(AND($Q$1=FALSE,$S$3=FALSE),"-",IF(AND($Q$1=TRUE,$S$1=TRUE,$S$4=FALSE)=TRUE,IF(OR($Q$4=TRUE,$Q$5=TRUE,$S$2=TRUE),VLOOKUP($G736,'KO Calc'!$H:$AW,FALSE),VLOOKUP($G736,'KO Calc'!$H742:$AW742,14,FALSE)),IF(AND($Q$1=TRUE,$S$4=FALSE),IF(OR($Q$4=TRUE,$Q$5=TRUE,$S$2=TRUE),VLOOKUP($G736,'KO Calc'!$H:$AW,4,FALSE),VLOOKUP($G736,'KO Calc'!$H742:$AW742,4,FALSE)),
IF(AND($Q$1=TRUE,$S$1=TRUE,$S$4=TRUE)=TRUE,IF(OR($Q$4=TRUE,$Q$5=TRUE,$S$2=TRUE),VLOOKUP($G736,'KO Calc'!$H:$AW,19,FALSE),VLOOKUP($G736,'KO Calc'!$H742:$AW742,19,FALSE)),IF(AND($Q$1=TRUE,$S$4=TRUE),IF(OR($Q$4=TRUE,$Q$5=TRUE,$S$2=TRUE),VLOOKUP($G736,'KO Calc'!$H:$AW,9,FALSE),VLOOKUP($G736,'KO Calc'!$H742:$AW742,9,FALSE)),
IF(AND($S$3=TRUE,$S$1=TRUE,$S$4=FALSE)=TRUE,IF(OR($Q$4=TRUE,$Q$5=TRUE,$S$2=TRUE),VLOOKUP($G736,'KO Calc'!$H:$AW,34,FALSE),VLOOKUP($G736,'KO Calc'!$H742:$AW742,34,FALSE)),IF(AND($S$3=TRUE,$S$4=FALSE),IF(OR($Q$4=TRUE,$Q$5=TRUE,$S$2=TRUE),VLOOKUP($G736,'KO Calc'!$H:$AW,24,FALSE),VLOOKUP($G736,'KO Calc'!$H742:$AW742,24,FALSE)),
IF(AND($S$3=TRUE,$S$1=TRUE,$S$4=TRUE)=TRUE,IF(OR($Q$4=TRUE,$Q$5=TRUE,$S$2=TRUE),VLOOKUP($G736,'KO Calc'!$H:$AW,39,FALSE),VLOOKUP($G736,'KO Calc'!$H742:$AW742,39,FALSE)),IF(AND($S$3=TRUE,$S$4=TRUE),IF(OR($Q$4=TRUE,$Q$5=TRUE,$S$2=TRUE),VLOOKUP($G736,'KO Calc'!$H:$AW,29,FALSE),VLOOKUP($G736,'KO Calc'!$H742:$AW742,29,FALSE)))))))))))))</f>
        <v>-</v>
      </c>
      <c r="K736" s="36" t="str">
        <f>IF(AND($Q$1=FALSE,$S$3=FALSE),"-",IF(AND($Q$1=TRUE,$S$3=TRUE),"-",IF(AND($Q$1=FALSE,$S$3=FALSE),"-",IF(AND($Q$1=TRUE,$S$1=TRUE,$S$4=FALSE)=TRUE,IF(OR($Q$4=TRUE,$Q$5=TRUE,$S$2=TRUE),VLOOKUP($G736,'KO Calc'!$H:$AW,15,FALSE),VLOOKUP($G736,'KO Calc'!$H742:$AW742,15,FALSE)),IF(AND($Q$1=TRUE,$S$4=FALSE),IF(OR($Q$4=TRUE,$Q$5=TRUE,$S$2=TRUE),VLOOKUP($G736,'KO Calc'!$H:$AW,5,FALSE),VLOOKUP($G736,'KO Calc'!$H742:$AW742,5,FALSE)),
IF(AND($Q$1=TRUE,$S$1=TRUE,$S$4=TRUE)=TRUE,IF(OR($Q$4=TRUE,$Q$5=TRUE,$S$2=TRUE),VLOOKUP($G736,'KO Calc'!$H:$AW,20,FALSE),VLOOKUP($G736,'KO Calc'!$H742:$AW742,20,FALSE)),IF(AND($Q$1=TRUE,$S$4=TRUE),IF(OR($Q$4=TRUE,$Q$5=TRUE,$S$2=TRUE),VLOOKUP($G736,'KO Calc'!$H:$AW,10,FALSE),VLOOKUP($G736,'KO Calc'!$H742:$AW742,10,FALSE)),
IF(AND($S$3=TRUE,$S$1=TRUE,$S$4=FALSE)=TRUE,IF(OR($Q$4=TRUE,$Q$5=TRUE,$S$2=TRUE),VLOOKUP($G736,'KO Calc'!$H:$AW,35,FALSE),VLOOKUP($G736,'KO Calc'!$H742:$AW742,35,FALSE)),IF(AND($S$3=TRUE,$S$4=FALSE),IF(OR($Q$4=TRUE,$Q$5=TRUE,$S$2=TRUE),VLOOKUP($G736,'KO Calc'!$H:$AW,25,FALSE),VLOOKUP($G736,'KO Calc'!$H742:$AW742,25,FALSE)),
IF(AND($S$3=TRUE,$S$1=TRUE,$S$4=TRUE)=TRUE,IF(OR($Q$4=TRUE,$Q$5=TRUE,$S$2=TRUE),VLOOKUP($G736,'KO Calc'!$H:$AW,40,FALSE),VLOOKUP($G736,'KO Calc'!$H742:$AW742,40,FALSE)),IF(AND($S$3=TRUE,$S$4=TRUE),IF(OR($Q$4=TRUE,$Q$5=TRUE,$S$2=TRUE),VLOOKUP($G736,'KO Calc'!$H:$AW,30,FALSE),VLOOKUP($G736,'KO Calc'!$H742:$AW742,30,FALSE)))))))))))))</f>
        <v>-</v>
      </c>
      <c r="L736" s="36" t="str">
        <f>IFERROR(VLOOKUP($E736,'Status Thresholds'!$E:$AS,41,FALSE),"-")</f>
        <v>-</v>
      </c>
    </row>
    <row r="737" spans="2:14" x14ac:dyDescent="0.25">
      <c r="B737" s="64" t="str">
        <f>VLOOKUP(C737,'Status Thresholds'!B:C,2,FALSE)</f>
        <v>Deviant</v>
      </c>
      <c r="C737" s="46" t="str">
        <f>IF(ISBLANK('KO Calc'!C733)=TRUE,"",'KO Calc'!C733)</f>
        <v>Stonefist Hermitaur</v>
      </c>
      <c r="D737" s="78"/>
      <c r="E737" s="62" t="str">
        <f t="shared" si="21"/>
        <v>Stonefist Hermitaur</v>
      </c>
      <c r="G737" s="36" t="str">
        <f t="shared" si="22"/>
        <v>Stonefist Hermitaur</v>
      </c>
      <c r="L737" s="36" t="str">
        <f>IFERROR(VLOOKUP($E737,'Status Thresholds'!$E:$AS,41,FALSE),"-")</f>
        <v>-</v>
      </c>
    </row>
    <row r="738" spans="2:14" x14ac:dyDescent="0.25">
      <c r="B738" s="64" t="str">
        <f>VLOOKUP(C738,'Status Thresholds'!B:C,2,FALSE)</f>
        <v>MHGen</v>
      </c>
      <c r="C738" s="46" t="str">
        <f>IF(ISBLANK('KO Calc'!C734)=TRUE,"",'KO Calc'!C734)</f>
        <v>Teostra</v>
      </c>
      <c r="D738" s="65" t="s">
        <v>0</v>
      </c>
      <c r="E738" s="62" t="str">
        <f t="shared" si="21"/>
        <v>TeostraPara</v>
      </c>
      <c r="F738" s="36" t="s">
        <v>2</v>
      </c>
      <c r="G738" s="36" t="str">
        <f t="shared" si="22"/>
        <v>TeostraPara lvl 2</v>
      </c>
      <c r="H738" s="36" t="str">
        <f>IFERROR(ROUNDUP(IF(AND($Q$1=FALSE,$S$3=FALSE),"-",IF(AND($Q$1=TRUE,$S$3=TRUE),"-",IF(AND($Q$1=TRUE,$S$1=TRUE,$S$4=FALSE),VLOOKUP($E738,'Status Thresholds'!$E:$AS,12,FALSE),IF(AND($Q$1=TRUE,$S$4=FALSE),VLOOKUP($E738,'Status Thresholds'!$E:$AS,2,FALSE), IF(AND($Q$1=TRUE,$S$1=TRUE,$S$4=TRUE),VLOOKUP($E738,'Status Thresholds'!$E:$AS,17,FALSE),IF(AND($Q$1=TRUE,$S$4=TRUE),VLOOKUP($E738,'Status Thresholds'!$E:$AS,7,FALSE),IF(AND($S$3=TRUE,$S$1=TRUE,$S$4=FALSE),VLOOKUP($E738,'Status Thresholds'!$E:$AS,32,FALSE),IF(AND($S$3=TRUE,$S$4=FALSE),VLOOKUP($E738,'Status Thresholds'!$E:$AS,22,FALSE),IF(AND($S$3=TRUE,$S$1=TRUE,$S$4=TRUE),VLOOKUP($E738,'Status Thresholds'!$E:$AS,37,FALSE),IF(AND($S$3=TRUE,$S$4=TRUE),VLOOKUP($E738,'Status Thresholds'!$E:$AS,27,FALSE),""))))))))/IF(OR($Q$3=TRUE,AND($Q$2=TRUE,$Q$7=TRUE),AND($Q$3=TRUE,$Q$7=TRUE))=TRUE,'Shots and Status'!$F$5,IF((OR($Q$2,$Q$7)=TRUE),'Shots and Status'!$D$5,'Shots and Status'!$C$5)))),0),"-")</f>
        <v>-</v>
      </c>
      <c r="I738" s="36" t="str">
        <f>IFERROR(ROUNDUP(IF(AND($Q$1=FALSE,$S$3=FALSE),"-",IF(AND($Q$1=TRUE,$S$3=TRUE),"-",IF(AND($Q$1=TRUE,$S$1=TRUE,$S$4=FALSE),VLOOKUP($E738,'Status Thresholds'!$E:$AS,13,FALSE),IF(AND($Q$1=TRUE,$S$4=FALSE),VLOOKUP($E738,'Status Thresholds'!$E:$AS,3,FALSE), IF(AND($Q$1=TRUE,$S$1=TRUE,$S$4=TRUE),VLOOKUP($E738,'Status Thresholds'!$E:$AS,18,FALSE),IF(AND($Q$1=TRUE,$S$4=TRUE),VLOOKUP($E738,'Status Thresholds'!$E:$AS,8,FALSE),IF(AND($S$3=TRUE,$S$1=TRUE,$S$4=FALSE),VLOOKUP($E738,'Status Thresholds'!$E:$AS,33,FALSE),IF(AND($S$3=TRUE,$S$4=FALSE),VLOOKUP($E738,'Status Thresholds'!$E:$AS,23,FALSE),IF(AND($S$3=TRUE,$S$1=TRUE,$S$4=TRUE),VLOOKUP($E738,'Status Thresholds'!$E:$AS,38,FALSE),IF(AND($S$3=TRUE,$S$4=TRUE),VLOOKUP($E738,'Status Thresholds'!$E:$AS,28,FALSE),""))))))))/IF(OR($Q$3=TRUE,AND($Q$2=TRUE,$Q$7=TRUE),AND($Q$3=TRUE,$Q$7=TRUE))=TRUE,'Shots and Status'!$F$5,IF((OR($Q$2,$Q$7)=TRUE),'Shots and Status'!$D$5,'Shots and Status'!$C$5)))),0),"-")</f>
        <v>-</v>
      </c>
      <c r="J738" s="36" t="str">
        <f>IFERROR(ROUNDUP(IF(AND($Q$1=FALSE,$S$3=FALSE),"-",IF(AND($Q$1=TRUE,$S$3=TRUE),"-",IF(AND($Q$1=TRUE,$S$1=TRUE,$S$4=FALSE),VLOOKUP($E738,'Status Thresholds'!$E:$AS,14,FALSE),IF(AND($Q$1=TRUE,$S$4=FALSE),VLOOKUP($E738,'Status Thresholds'!$E:$AS,4,FALSE), IF(AND($Q$1=TRUE,$S$1=TRUE,$S$4=TRUE),VLOOKUP($E738,'Status Thresholds'!$E:$AS,19,FALSE),IF(AND($Q$1=TRUE,$S$4=TRUE),VLOOKUP($E738,'Status Thresholds'!$E:$AS,9,FALSE),IF(AND($S$3=TRUE,$S$1=TRUE,$S$4=FALSE),VLOOKUP($E738,'Status Thresholds'!$E:$AS,34,FALSE),IF(AND($S$3=TRUE,$S$4=FALSE),VLOOKUP($E738,'Status Thresholds'!$E:$AS,24,FALSE),IF(AND($S$3=TRUE,$S$1=TRUE,$S$4=TRUE),VLOOKUP($E738,'Status Thresholds'!$E:$AS,39,FALSE),IF(AND($S$3=TRUE,$S$4=TRUE),VLOOKUP($E738,'Status Thresholds'!$E:$AS,29,FALSE),""))))))))/IF(OR($Q$3=TRUE,AND($Q$2=TRUE,$Q$7=TRUE),AND($Q$3=TRUE,$Q$7=TRUE))=TRUE,'Shots and Status'!$F$5,IF((OR($Q$2,$Q$7)=TRUE),'Shots and Status'!$D$5,'Shots and Status'!$C$5)))),0),"-")</f>
        <v>-</v>
      </c>
      <c r="K738" s="36" t="str">
        <f>IFERROR(ROUNDUP(IF(AND($Q$1=FALSE,$S$3=FALSE),"-",IF(AND($Q$1=TRUE,$S$3=TRUE),"-",IF(AND($Q$1=TRUE,$S$1=TRUE,$S$4=FALSE),VLOOKUP($E738,'Status Thresholds'!$E:$AS,15,FALSE),IF(AND($Q$1=TRUE,$S$4=FALSE),VLOOKUP($E738,'Status Thresholds'!$E:$AS,5,FALSE), IF(AND($Q$1=TRUE,$S$1=TRUE,$S$4=TRUE),VLOOKUP($E738,'Status Thresholds'!$E:$AS,20,FALSE),IF(AND($Q$1=TRUE,$S$4=TRUE),VLOOKUP($E738,'Status Thresholds'!$E:$AS,10,FALSE),IF(AND($S$3=TRUE,$S$1=TRUE,$S$4=FALSE),VLOOKUP($E738,'Status Thresholds'!$E:$AS,35,FALSE),IF(AND($S$3=TRUE,$S$4=FALSE),VLOOKUP($E738,'Status Thresholds'!$E:$AS,25,FALSE),IF(AND($S$3=TRUE,$S$1=TRUE,$S$4=TRUE),VLOOKUP($E738,'Status Thresholds'!$E:$AS,40,FALSE),IF(AND($S$3=TRUE,$S$4=TRUE),VLOOKUP($E738,'Status Thresholds'!$E:$AS,30,FALSE),""))))))))/IF(OR($Q$3=TRUE,AND($Q$2=TRUE,$Q$7=TRUE),AND($Q$3=TRUE,$Q$7=TRUE))=TRUE,'Shots and Status'!$F$5,IF((OR($Q$2,$Q$7)=TRUE),'Shots and Status'!$D$5,'Shots and Status'!$C$5)))),0),"-")</f>
        <v>-</v>
      </c>
      <c r="L738" s="36" t="str">
        <f>IFERROR(IF(AND($Q$1=FALSE,$S$3=FALSE),"-",VLOOKUP($E738,'Status Thresholds'!$E:$AU,41,FALSE)),"-")</f>
        <v>-</v>
      </c>
      <c r="M738" s="36" t="str">
        <f>IFERROR(IF(AND($Q$1=FALSE,$S$3=FALSE),"-",VLOOKUP($E738,'Status Thresholds'!$E:$AU,42,FALSE)),"-")</f>
        <v>-</v>
      </c>
      <c r="N738" s="36" t="str">
        <f>IFERROR(IF(AND($Q$1=FALSE,$S$3=FALSE),"-",VLOOKUP($E738,'Status Thresholds'!$E:$AU,43,FALSE)),"-")</f>
        <v>-</v>
      </c>
    </row>
    <row r="739" spans="2:14" x14ac:dyDescent="0.25">
      <c r="B739" s="64" t="str">
        <f>VLOOKUP(C739,'Status Thresholds'!B:C,2,FALSE)</f>
        <v>MHGen</v>
      </c>
      <c r="C739" s="46" t="str">
        <f>IF(ISBLANK('KO Calc'!C735)=TRUE,"",'KO Calc'!C735)</f>
        <v>Teostra</v>
      </c>
      <c r="D739" s="60" t="s">
        <v>32</v>
      </c>
      <c r="E739" s="62" t="str">
        <f t="shared" si="21"/>
        <v>TeostraSleep</v>
      </c>
      <c r="F739" s="59" t="s">
        <v>5</v>
      </c>
      <c r="G739" s="36" t="str">
        <f t="shared" si="22"/>
        <v>TeostraSleep lvl 2</v>
      </c>
      <c r="H739" s="36" t="str">
        <f>IFERROR(ROUNDUP(IF(AND($Q$1=FALSE,$S$3=FALSE),"-",IF(AND($Q$1=TRUE,$S$3=TRUE),"-",IF(AND($Q$1=TRUE,$S$1=TRUE,$S$4=FALSE),VLOOKUP($E739,'Status Thresholds'!$E:$AS,12,FALSE),IF(AND($Q$1=TRUE,$S$4=FALSE),VLOOKUP($E739,'Status Thresholds'!$E:$AS,2,FALSE), IF(AND($Q$1=TRUE,$S$1=TRUE,$S$4=TRUE),VLOOKUP($E739,'Status Thresholds'!$E:$AS,17,FALSE),IF(AND($Q$1=TRUE,$S$4=TRUE),VLOOKUP($E739,'Status Thresholds'!$E:$AS,7,FALSE),IF(AND($S$3=TRUE,$S$1=TRUE,$S$4=FALSE),VLOOKUP($E739,'Status Thresholds'!$E:$AS,32,FALSE),IF(AND($S$3=TRUE,$S$4=FALSE),VLOOKUP($E739,'Status Thresholds'!$E:$AS,22,FALSE),IF(AND($S$3=TRUE,$S$1=TRUE,$S$4=TRUE),VLOOKUP($E739,'Status Thresholds'!$E:$AS,37,FALSE),IF(AND($S$3=TRUE,$S$4=TRUE),VLOOKUP($E739,'Status Thresholds'!$E:$AS,27,FALSE),""))))))))/IF(OR($Q$3=TRUE,AND($Q$2=TRUE,$Q$7=TRUE),AND($Q$3=TRUE,$Q$7=TRUE))=TRUE,'Shots and Status'!$F$5,IF((OR($Q$2,$Q$7)=TRUE),'Shots and Status'!$D$5,'Shots and Status'!$C$5)))),0),"-")</f>
        <v>-</v>
      </c>
      <c r="I739" s="36" t="str">
        <f>IFERROR(ROUNDUP(IF(AND($Q$1=FALSE,$S$3=FALSE),"-",IF(AND($Q$1=TRUE,$S$3=TRUE),"-",IF(AND($Q$1=TRUE,$S$1=TRUE,$S$4=FALSE),VLOOKUP($E739,'Status Thresholds'!$E:$AS,13,FALSE),IF(AND($Q$1=TRUE,$S$4=FALSE),VLOOKUP($E739,'Status Thresholds'!$E:$AS,3,FALSE), IF(AND($Q$1=TRUE,$S$1=TRUE,$S$4=TRUE),VLOOKUP($E739,'Status Thresholds'!$E:$AS,18,FALSE),IF(AND($Q$1=TRUE,$S$4=TRUE),VLOOKUP($E739,'Status Thresholds'!$E:$AS,8,FALSE),IF(AND($S$3=TRUE,$S$1=TRUE,$S$4=FALSE),VLOOKUP($E739,'Status Thresholds'!$E:$AS,33,FALSE),IF(AND($S$3=TRUE,$S$4=FALSE),VLOOKUP($E739,'Status Thresholds'!$E:$AS,23,FALSE),IF(AND($S$3=TRUE,$S$1=TRUE,$S$4=TRUE),VLOOKUP($E739,'Status Thresholds'!$E:$AS,38,FALSE),IF(AND($S$3=TRUE,$S$4=TRUE),VLOOKUP($E739,'Status Thresholds'!$E:$AS,28,FALSE),""))))))))/IF(OR($Q$3=TRUE,AND($Q$2=TRUE,$Q$7=TRUE),AND($Q$3=TRUE,$Q$7=TRUE))=TRUE,'Shots and Status'!$F$5,IF((OR($Q$2,$Q$7)=TRUE),'Shots and Status'!$D$5,'Shots and Status'!$C$5)))),0),"-")</f>
        <v>-</v>
      </c>
      <c r="J739" s="36" t="str">
        <f>IFERROR(ROUNDUP(IF(AND($Q$1=FALSE,$S$3=FALSE),"-",IF(AND($Q$1=TRUE,$S$3=TRUE),"-",IF(AND($Q$1=TRUE,$S$1=TRUE,$S$4=FALSE),VLOOKUP($E739,'Status Thresholds'!$E:$AS,14,FALSE),IF(AND($Q$1=TRUE,$S$4=FALSE),VLOOKUP($E739,'Status Thresholds'!$E:$AS,4,FALSE), IF(AND($Q$1=TRUE,$S$1=TRUE,$S$4=TRUE),VLOOKUP($E739,'Status Thresholds'!$E:$AS,19,FALSE),IF(AND($Q$1=TRUE,$S$4=TRUE),VLOOKUP($E739,'Status Thresholds'!$E:$AS,9,FALSE),IF(AND($S$3=TRUE,$S$1=TRUE,$S$4=FALSE),VLOOKUP($E739,'Status Thresholds'!$E:$AS,34,FALSE),IF(AND($S$3=TRUE,$S$4=FALSE),VLOOKUP($E739,'Status Thresholds'!$E:$AS,24,FALSE),IF(AND($S$3=TRUE,$S$1=TRUE,$S$4=TRUE),VLOOKUP($E739,'Status Thresholds'!$E:$AS,39,FALSE),IF(AND($S$3=TRUE,$S$4=TRUE),VLOOKUP($E739,'Status Thresholds'!$E:$AS,29,FALSE),""))))))))/IF(OR($Q$3=TRUE,AND($Q$2=TRUE,$Q$7=TRUE),AND($Q$3=TRUE,$Q$7=TRUE))=TRUE,'Shots and Status'!$F$5,IF((OR($Q$2,$Q$7)=TRUE),'Shots and Status'!$D$5,'Shots and Status'!$C$5)))),0),"-")</f>
        <v>-</v>
      </c>
      <c r="K739" s="36" t="str">
        <f>IFERROR(ROUNDUP(IF(AND($Q$1=FALSE,$S$3=FALSE),"-",IF(AND($Q$1=TRUE,$S$3=TRUE),"-",IF(AND($Q$1=TRUE,$S$1=TRUE,$S$4=FALSE),VLOOKUP($E739,'Status Thresholds'!$E:$AS,15,FALSE),IF(AND($Q$1=TRUE,$S$4=FALSE),VLOOKUP($E739,'Status Thresholds'!$E:$AS,5,FALSE), IF(AND($Q$1=TRUE,$S$1=TRUE,$S$4=TRUE),VLOOKUP($E739,'Status Thresholds'!$E:$AS,20,FALSE),IF(AND($Q$1=TRUE,$S$4=TRUE),VLOOKUP($E739,'Status Thresholds'!$E:$AS,10,FALSE),IF(AND($S$3=TRUE,$S$1=TRUE,$S$4=FALSE),VLOOKUP($E739,'Status Thresholds'!$E:$AS,35,FALSE),IF(AND($S$3=TRUE,$S$4=FALSE),VLOOKUP($E739,'Status Thresholds'!$E:$AS,25,FALSE),IF(AND($S$3=TRUE,$S$1=TRUE,$S$4=TRUE),VLOOKUP($E739,'Status Thresholds'!$E:$AS,40,FALSE),IF(AND($S$3=TRUE,$S$4=TRUE),VLOOKUP($E739,'Status Thresholds'!$E:$AS,30,FALSE),""))))))))/IF(OR($Q$3=TRUE,AND($Q$2=TRUE,$Q$7=TRUE),AND($Q$3=TRUE,$Q$7=TRUE))=TRUE,'Shots and Status'!$F$5,IF((OR($Q$2,$Q$7)=TRUE),'Shots and Status'!$D$5,'Shots and Status'!$C$5)))),0),"-")</f>
        <v>-</v>
      </c>
      <c r="L739" s="36" t="str">
        <f>IFERROR(IF(AND($Q$1=FALSE,$S$3=FALSE),"-",VLOOKUP($E739,'Status Thresholds'!$E:$AU,41,FALSE)),"-")</f>
        <v>-</v>
      </c>
      <c r="M739" s="36" t="str">
        <f>IFERROR(IF(AND($Q$1=FALSE,$S$3=FALSE),"-",VLOOKUP($E739,'Status Thresholds'!$E:$AU,42,FALSE)),"-")</f>
        <v>-</v>
      </c>
      <c r="N739" s="36" t="str">
        <f>IFERROR(IF(AND($Q$1=FALSE,$S$3=FALSE),"-",VLOOKUP($E739,'Status Thresholds'!$E:$AU,43,FALSE)),"-")</f>
        <v>-</v>
      </c>
    </row>
    <row r="740" spans="2:14" x14ac:dyDescent="0.25">
      <c r="B740" s="64" t="str">
        <f>VLOOKUP(C740,'Status Thresholds'!B:C,2,FALSE)</f>
        <v>MHGen</v>
      </c>
      <c r="C740" s="46" t="str">
        <f>IF(ISBLANK('KO Calc'!C736)=TRUE,"",'KO Calc'!C736)</f>
        <v>Teostra</v>
      </c>
      <c r="D740" s="58" t="s">
        <v>33</v>
      </c>
      <c r="E740" s="62" t="str">
        <f t="shared" si="21"/>
        <v>TeostraPoison</v>
      </c>
      <c r="F740" s="59" t="s">
        <v>6</v>
      </c>
      <c r="G740" s="36" t="str">
        <f t="shared" si="22"/>
        <v>TeostraPoison lvl 2</v>
      </c>
      <c r="H740" s="36" t="str">
        <f>IFERROR(ROUNDUP(IF(AND($Q$1=FALSE,$S$3=FALSE),"-",IF(AND($Q$1=TRUE,$S$3=TRUE),"-",IF(AND($Q$1=TRUE,$S$1=TRUE,$S$4=FALSE),VLOOKUP($E740,'Status Thresholds'!$E:$AS,12,FALSE),IF(AND($Q$1=TRUE,$S$4=FALSE),VLOOKUP($E740,'Status Thresholds'!$E:$AS,2,FALSE), IF(AND($Q$1=TRUE,$S$1=TRUE,$S$4=TRUE),VLOOKUP($E740,'Status Thresholds'!$E:$AS,17,FALSE),IF(AND($Q$1=TRUE,$S$4=TRUE),VLOOKUP($E740,'Status Thresholds'!$E:$AS,7,FALSE),IF(AND($S$3=TRUE,$S$1=TRUE,$S$4=FALSE),VLOOKUP($E740,'Status Thresholds'!$E:$AS,32,FALSE),IF(AND($S$3=TRUE,$S$4=FALSE),VLOOKUP($E740,'Status Thresholds'!$E:$AS,22,FALSE),IF(AND($S$3=TRUE,$S$1=TRUE,$S$4=TRUE),VLOOKUP($E740,'Status Thresholds'!$E:$AS,37,FALSE),IF(AND($S$3=TRUE,$S$4=TRUE),VLOOKUP($E740,'Status Thresholds'!$E:$AS,27,FALSE),""))))))))/IF(OR($Q$3=TRUE,AND($Q$2=TRUE,$Q$7=TRUE),AND($Q$3=TRUE,$Q$7=TRUE))=TRUE,'Shots and Status'!$F$5,IF((OR($Q$2,$Q$7)=TRUE),'Shots and Status'!$D$5,'Shots and Status'!$C$5)))),0),"-")</f>
        <v>-</v>
      </c>
      <c r="I740" s="36" t="str">
        <f>IFERROR(ROUNDUP(IF(AND($Q$1=FALSE,$S$3=FALSE),"-",IF(AND($Q$1=TRUE,$S$3=TRUE),"-",IF(AND($Q$1=TRUE,$S$1=TRUE,$S$4=FALSE),VLOOKUP($E740,'Status Thresholds'!$E:$AS,13,FALSE),IF(AND($Q$1=TRUE,$S$4=FALSE),VLOOKUP($E740,'Status Thresholds'!$E:$AS,3,FALSE), IF(AND($Q$1=TRUE,$S$1=TRUE,$S$4=TRUE),VLOOKUP($E740,'Status Thresholds'!$E:$AS,18,FALSE),IF(AND($Q$1=TRUE,$S$4=TRUE),VLOOKUP($E740,'Status Thresholds'!$E:$AS,8,FALSE),IF(AND($S$3=TRUE,$S$1=TRUE,$S$4=FALSE),VLOOKUP($E740,'Status Thresholds'!$E:$AS,33,FALSE),IF(AND($S$3=TRUE,$S$4=FALSE),VLOOKUP($E740,'Status Thresholds'!$E:$AS,23,FALSE),IF(AND($S$3=TRUE,$S$1=TRUE,$S$4=TRUE),VLOOKUP($E740,'Status Thresholds'!$E:$AS,38,FALSE),IF(AND($S$3=TRUE,$S$4=TRUE),VLOOKUP($E740,'Status Thresholds'!$E:$AS,28,FALSE),""))))))))/IF(OR($Q$3=TRUE,AND($Q$2=TRUE,$Q$7=TRUE),AND($Q$3=TRUE,$Q$7=TRUE))=TRUE,'Shots and Status'!$F$5,IF((OR($Q$2,$Q$7)=TRUE),'Shots and Status'!$D$5,'Shots and Status'!$C$5)))),0),"-")</f>
        <v>-</v>
      </c>
      <c r="J740" s="36" t="str">
        <f>IFERROR(ROUNDUP(IF(AND($Q$1=FALSE,$S$3=FALSE),"-",IF(AND($Q$1=TRUE,$S$3=TRUE),"-",IF(AND($Q$1=TRUE,$S$1=TRUE,$S$4=FALSE),VLOOKUP($E740,'Status Thresholds'!$E:$AS,14,FALSE),IF(AND($Q$1=TRUE,$S$4=FALSE),VLOOKUP($E740,'Status Thresholds'!$E:$AS,4,FALSE), IF(AND($Q$1=TRUE,$S$1=TRUE,$S$4=TRUE),VLOOKUP($E740,'Status Thresholds'!$E:$AS,19,FALSE),IF(AND($Q$1=TRUE,$S$4=TRUE),VLOOKUP($E740,'Status Thresholds'!$E:$AS,9,FALSE),IF(AND($S$3=TRUE,$S$1=TRUE,$S$4=FALSE),VLOOKUP($E740,'Status Thresholds'!$E:$AS,34,FALSE),IF(AND($S$3=TRUE,$S$4=FALSE),VLOOKUP($E740,'Status Thresholds'!$E:$AS,24,FALSE),IF(AND($S$3=TRUE,$S$1=TRUE,$S$4=TRUE),VLOOKUP($E740,'Status Thresholds'!$E:$AS,39,FALSE),IF(AND($S$3=TRUE,$S$4=TRUE),VLOOKUP($E740,'Status Thresholds'!$E:$AS,29,FALSE),""))))))))/IF(OR($Q$3=TRUE,AND($Q$2=TRUE,$Q$7=TRUE),AND($Q$3=TRUE,$Q$7=TRUE))=TRUE,'Shots and Status'!$F$5,IF((OR($Q$2,$Q$7)=TRUE),'Shots and Status'!$D$5,'Shots and Status'!$C$5)))),0),"-")</f>
        <v>-</v>
      </c>
      <c r="K740" s="36" t="str">
        <f>IFERROR(ROUNDUP(IF(AND($Q$1=FALSE,$S$3=FALSE),"-",IF(AND($Q$1=TRUE,$S$3=TRUE),"-",IF(AND($Q$1=TRUE,$S$1=TRUE,$S$4=FALSE),VLOOKUP($E740,'Status Thresholds'!$E:$AS,15,FALSE),IF(AND($Q$1=TRUE,$S$4=FALSE),VLOOKUP($E740,'Status Thresholds'!$E:$AS,5,FALSE), IF(AND($Q$1=TRUE,$S$1=TRUE,$S$4=TRUE),VLOOKUP($E740,'Status Thresholds'!$E:$AS,20,FALSE),IF(AND($Q$1=TRUE,$S$4=TRUE),VLOOKUP($E740,'Status Thresholds'!$E:$AS,10,FALSE),IF(AND($S$3=TRUE,$S$1=TRUE,$S$4=FALSE),VLOOKUP($E740,'Status Thresholds'!$E:$AS,35,FALSE),IF(AND($S$3=TRUE,$S$4=FALSE),VLOOKUP($E740,'Status Thresholds'!$E:$AS,25,FALSE),IF(AND($S$3=TRUE,$S$1=TRUE,$S$4=TRUE),VLOOKUP($E740,'Status Thresholds'!$E:$AS,40,FALSE),IF(AND($S$3=TRUE,$S$4=TRUE),VLOOKUP($E740,'Status Thresholds'!$E:$AS,30,FALSE),""))))))))/IF(OR($Q$3=TRUE,AND($Q$2=TRUE,$Q$7=TRUE),AND($Q$3=TRUE,$Q$7=TRUE))=TRUE,'Shots and Status'!$F$5,IF((OR($Q$2,$Q$7)=TRUE),'Shots and Status'!$D$5,'Shots and Status'!$C$5)))),0),"-")</f>
        <v>-</v>
      </c>
      <c r="L740" s="36" t="str">
        <f>IFERROR(IF(AND($Q$1=FALSE,$S$3=FALSE),"-",VLOOKUP($E740,'Status Thresholds'!$E:$AU,41,FALSE)),"-")</f>
        <v>-</v>
      </c>
      <c r="M740" s="36" t="str">
        <f>IFERROR(IF(AND($Q$1=FALSE,$S$3=FALSE),"-",VLOOKUP($E740,'Status Thresholds'!$E:$AU,42,FALSE)),"-")</f>
        <v>-</v>
      </c>
      <c r="N740" s="36" t="str">
        <f>IFERROR(IF(AND($Q$1=FALSE,$S$3=FALSE),"-",VLOOKUP($E740,'Status Thresholds'!$E:$AU,43,FALSE)),"-")</f>
        <v>-</v>
      </c>
    </row>
    <row r="741" spans="2:14" x14ac:dyDescent="0.25">
      <c r="B741" s="64" t="str">
        <f>VLOOKUP(C741,'Status Thresholds'!B:C,2,FALSE)</f>
        <v>MHGen</v>
      </c>
      <c r="C741" s="46" t="str">
        <f>IF(ISBLANK('KO Calc'!C737)=TRUE,"",'KO Calc'!C737)</f>
        <v>Teostra</v>
      </c>
      <c r="D741" s="57" t="s">
        <v>22</v>
      </c>
      <c r="E741" s="62" t="str">
        <f t="shared" si="21"/>
        <v>TeostraExhaust</v>
      </c>
      <c r="F741" s="36" t="s">
        <v>8</v>
      </c>
      <c r="G741" s="36" t="str">
        <f t="shared" si="22"/>
        <v>TeostraExhaust lvl 2</v>
      </c>
      <c r="H741" s="36" t="str">
        <f>IFERROR(ROUNDUP(IF(AND($Q$1=FALSE,$S$3=FALSE),"-",IF(AND($Q$1=TRUE,$S$3=TRUE),"-",IF(AND($Q$1=TRUE,$S$1=TRUE,$S$4=FALSE),VLOOKUP($E741,'Status Thresholds'!$E:$AS,12,FALSE),IF(AND($Q$1=TRUE,$S$4=FALSE),VLOOKUP($E741,'Status Thresholds'!$E:$AS,2,FALSE), IF(AND($Q$1=TRUE,$S$1=TRUE,$S$4=TRUE),VLOOKUP($E741,'Status Thresholds'!$E:$AS,17,FALSE),IF(AND($Q$1=TRUE,$S$4=TRUE),VLOOKUP($E741,'Status Thresholds'!$E:$AS,7,FALSE),IF(AND($S$3=TRUE,$S$1=TRUE,$S$4=FALSE),VLOOKUP($E741,'Status Thresholds'!$E:$AS,32,FALSE),IF(AND($S$3=TRUE,$S$4=FALSE),VLOOKUP($E741,'Status Thresholds'!$E:$AS,22,FALSE),IF(AND($S$3=TRUE,$S$1=TRUE,$S$4=TRUE),VLOOKUP($E741,'Status Thresholds'!$E:$AS,37,FALSE),IF(AND($S$3=TRUE,$S$4=TRUE),VLOOKUP($E741,'Status Thresholds'!$E:$AS,27,FALSE),""))))))))/IF(OR($Q$3=TRUE,AND($Q$2=TRUE,$Q$7=TRUE),AND($Q$3=TRUE,$Q$7=TRUE))=TRUE,'Shots and Status'!$F$5,IF((OR($Q$2,$Q$7)=TRUE),'Shots and Status'!$D$5,'Shots and Status'!$C$5)))),0),"-")</f>
        <v>-</v>
      </c>
      <c r="I741" s="36" t="str">
        <f>IFERROR(ROUNDUP(IF(AND($Q$1=FALSE,$S$3=FALSE),"-",IF(AND($Q$1=TRUE,$S$3=TRUE),"-",IF(AND($Q$1=TRUE,$S$1=TRUE,$S$4=FALSE),VLOOKUP($E741,'Status Thresholds'!$E:$AS,13,FALSE),IF(AND($Q$1=TRUE,$S$4=FALSE),VLOOKUP($E741,'Status Thresholds'!$E:$AS,3,FALSE), IF(AND($Q$1=TRUE,$S$1=TRUE,$S$4=TRUE),VLOOKUP($E741,'Status Thresholds'!$E:$AS,18,FALSE),IF(AND($Q$1=TRUE,$S$4=TRUE),VLOOKUP($E741,'Status Thresholds'!$E:$AS,8,FALSE),IF(AND($S$3=TRUE,$S$1=TRUE,$S$4=FALSE),VLOOKUP($E741,'Status Thresholds'!$E:$AS,33,FALSE),IF(AND($S$3=TRUE,$S$4=FALSE),VLOOKUP($E741,'Status Thresholds'!$E:$AS,23,FALSE),IF(AND($S$3=TRUE,$S$1=TRUE,$S$4=TRUE),VLOOKUP($E741,'Status Thresholds'!$E:$AS,38,FALSE),IF(AND($S$3=TRUE,$S$4=TRUE),VLOOKUP($E741,'Status Thresholds'!$E:$AS,28,FALSE),""))))))))/IF(OR($Q$3=TRUE,AND($Q$2=TRUE,$Q$7=TRUE),AND($Q$3=TRUE,$Q$7=TRUE))=TRUE,'Shots and Status'!$F$5,IF((OR($Q$2,$Q$7)=TRUE),'Shots and Status'!$D$5,'Shots and Status'!$C$5)))),0),"-")</f>
        <v>-</v>
      </c>
      <c r="J741" s="36" t="str">
        <f>IFERROR(ROUNDUP(IF(AND($Q$1=FALSE,$S$3=FALSE),"-",IF(AND($Q$1=TRUE,$S$3=TRUE),"-",IF(AND($Q$1=TRUE,$S$1=TRUE,$S$4=FALSE),VLOOKUP($E741,'Status Thresholds'!$E:$AS,14,FALSE),IF(AND($Q$1=TRUE,$S$4=FALSE),VLOOKUP($E741,'Status Thresholds'!$E:$AS,4,FALSE), IF(AND($Q$1=TRUE,$S$1=TRUE,$S$4=TRUE),VLOOKUP($E741,'Status Thresholds'!$E:$AS,19,FALSE),IF(AND($Q$1=TRUE,$S$4=TRUE),VLOOKUP($E741,'Status Thresholds'!$E:$AS,9,FALSE),IF(AND($S$3=TRUE,$S$1=TRUE,$S$4=FALSE),VLOOKUP($E741,'Status Thresholds'!$E:$AS,34,FALSE),IF(AND($S$3=TRUE,$S$4=FALSE),VLOOKUP($E741,'Status Thresholds'!$E:$AS,24,FALSE),IF(AND($S$3=TRUE,$S$1=TRUE,$S$4=TRUE),VLOOKUP($E741,'Status Thresholds'!$E:$AS,39,FALSE),IF(AND($S$3=TRUE,$S$4=TRUE),VLOOKUP($E741,'Status Thresholds'!$E:$AS,29,FALSE),""))))))))/IF(OR($Q$3=TRUE,AND($Q$2=TRUE,$Q$7=TRUE),AND($Q$3=TRUE,$Q$7=TRUE))=TRUE,'Shots and Status'!$F$5,IF((OR($Q$2,$Q$7)=TRUE),'Shots and Status'!$D$5,'Shots and Status'!$C$5)))),0),"-")</f>
        <v>-</v>
      </c>
      <c r="K741" s="36" t="str">
        <f>IFERROR(ROUNDUP(IF(AND($Q$1=FALSE,$S$3=FALSE),"-",IF(AND($Q$1=TRUE,$S$3=TRUE),"-",IF(AND($Q$1=TRUE,$S$1=TRUE,$S$4=FALSE),VLOOKUP($E741,'Status Thresholds'!$E:$AS,15,FALSE),IF(AND($Q$1=TRUE,$S$4=FALSE),VLOOKUP($E741,'Status Thresholds'!$E:$AS,5,FALSE), IF(AND($Q$1=TRUE,$S$1=TRUE,$S$4=TRUE),VLOOKUP($E741,'Status Thresholds'!$E:$AS,20,FALSE),IF(AND($Q$1=TRUE,$S$4=TRUE),VLOOKUP($E741,'Status Thresholds'!$E:$AS,10,FALSE),IF(AND($S$3=TRUE,$S$1=TRUE,$S$4=FALSE),VLOOKUP($E741,'Status Thresholds'!$E:$AS,35,FALSE),IF(AND($S$3=TRUE,$S$4=FALSE),VLOOKUP($E741,'Status Thresholds'!$E:$AS,25,FALSE),IF(AND($S$3=TRUE,$S$1=TRUE,$S$4=TRUE),VLOOKUP($E741,'Status Thresholds'!$E:$AS,40,FALSE),IF(AND($S$3=TRUE,$S$4=TRUE),VLOOKUP($E741,'Status Thresholds'!$E:$AS,30,FALSE),""))))))))/IF(OR($Q$3=TRUE,AND($Q$2=TRUE,$Q$7=TRUE),AND($Q$3=TRUE,$Q$7=TRUE))=TRUE,'Shots and Status'!$F$5,IF((OR($Q$2,$Q$7)=TRUE),'Shots and Status'!$D$5,'Shots and Status'!$C$5)))),0),"-")</f>
        <v>-</v>
      </c>
      <c r="L741" s="36" t="str">
        <f>IFERROR(IF(AND($Q$1=FALSE,$S$3=FALSE),"-",VLOOKUP($E741,'Status Thresholds'!$E:$AU,41,FALSE)),"-")</f>
        <v>-</v>
      </c>
      <c r="M741" s="36" t="str">
        <f>IFERROR(IF(AND($Q$1=FALSE,$S$3=FALSE),"-",VLOOKUP($E741,'Status Thresholds'!$E:$AU,42,FALSE)),"-")</f>
        <v>-</v>
      </c>
      <c r="N741" s="36" t="str">
        <f>IFERROR(IF(AND($Q$1=FALSE,$S$3=FALSE),"-",VLOOKUP($E741,'Status Thresholds'!$E:$AU,43,FALSE)),"-")</f>
        <v>-</v>
      </c>
    </row>
    <row r="742" spans="2:14" x14ac:dyDescent="0.25">
      <c r="B742" s="64" t="str">
        <f>VLOOKUP(C742,'Status Thresholds'!B:C,2,FALSE)</f>
        <v>MHGen</v>
      </c>
      <c r="C742" s="46" t="str">
        <f>IF(ISBLANK('KO Calc'!C738)=TRUE,"",'KO Calc'!C738)</f>
        <v>Teostra</v>
      </c>
      <c r="D742" s="67" t="s">
        <v>14</v>
      </c>
      <c r="E742" s="62" t="str">
        <f t="shared" si="21"/>
        <v>TeostraKO</v>
      </c>
      <c r="F742" s="36" t="s">
        <v>21</v>
      </c>
      <c r="G742" s="36" t="str">
        <f t="shared" si="22"/>
        <v>TeostraTriblast</v>
      </c>
      <c r="H742" s="36" t="str">
        <f>IF(AND($Q$1=FALSE,$S$3=FALSE),"-",IF(AND($Q$1=TRUE,$S$3=TRUE),"-",IF(AND($Q$1=FALSE,$S$3=FALSE),"-",IF(AND($Q$1=TRUE,$S$1=TRUE,$S$4=FALSE)=TRUE,IF(OR($Q$4=TRUE,$Q$5=TRUE,$S$2=TRUE),VLOOKUP($G742,'KO Calc'!$H:$AW,12,FALSE),VLOOKUP($G742,'KO Calc'!$H748:$AW748,12,FALSE)),IF(AND($Q$1=TRUE,$S$4=FALSE),IF(OR($Q$4=TRUE,$Q$5=TRUE,$S$2=TRUE),VLOOKUP($G742,'KO Calc'!$H:$AW,2,FALSE),VLOOKUP($G742,'KO Calc'!$H748:$AW748,2,FALSE)),
IF(AND($Q$1=TRUE,$S$1=TRUE,$S$4=TRUE)=TRUE,IF(OR($Q$4=TRUE,$Q$5=TRUE,$S$2=TRUE),VLOOKUP($G742,'KO Calc'!$H:$AW,17,FALSE),VLOOKUP($G742,'KO Calc'!$H748:$AW748,17,FALSE)),IF(AND($Q$1=TRUE,$S$4=TRUE),IF(OR($Q$4=TRUE,$Q$5=TRUE,$S$2=TRUE),VLOOKUP($G742,'KO Calc'!$H:$AW,7,FALSE),VLOOKUP($G742,'KO Calc'!$H748:$AW748,7,FALSE)),
IF(AND($S$3=TRUE,$S$1=TRUE,$S$4=FALSE)=TRUE,IF(OR($Q$4=TRUE,$Q$5=TRUE,$S$2=TRUE),VLOOKUP($G742,'KO Calc'!$H:$AW,32,FALSE),VLOOKUP($G742,'KO Calc'!$H748:$AW748,32,FALSE)),IF(AND($S$3=TRUE,$S$4=FALSE),IF(OR($Q$4=TRUE,$Q$5=TRUE,$S$2=TRUE),VLOOKUP($G742,'KO Calc'!$H:$AW,22,FALSE),VLOOKUP($G742,'KO Calc'!$H748:$AW748,22,FALSE)),
IF(AND($S$3=TRUE,$S$1=TRUE,$S$4=TRUE)=TRUE,IF(OR($Q$4=TRUE,$Q$5=TRUE,$S$2=TRUE),VLOOKUP($G742,'KO Calc'!$H:$AW,37,FALSE),VLOOKUP($G742,'KO Calc'!$H748:$AW748,37,FALSE)),IF(AND($S$3=TRUE,$S$4=TRUE),IF(OR($Q$4=TRUE,$Q$5=TRUE,$S$2=TRUE),VLOOKUP($G742,'KO Calc'!$H:$AW,27,FALSE),VLOOKUP($G742,'KO Calc'!$H748:$AW748,27,FALSE)))))))))))))</f>
        <v>-</v>
      </c>
      <c r="I742" s="36" t="str">
        <f>IF(AND($Q$1=FALSE,$S$3=FALSE),"-",IF(AND($Q$1=TRUE,$S$3=TRUE),"-",IF(AND($Q$1=FALSE,$S$3=FALSE),"-",IF(AND($Q$1=TRUE,$S$1=TRUE,$S$4=FALSE)=TRUE,IF(OR($Q$4=TRUE,$Q$5=TRUE,$S$2=TRUE),VLOOKUP($G742,'KO Calc'!$H:$AW,13,FALSE),VLOOKUP($G742,'KO Calc'!$H748:$AW748,13,FALSE)),IF(AND($Q$1=TRUE,$S$4=FALSE),IF(OR($Q$4=TRUE,$Q$5=TRUE,$S$2=TRUE),VLOOKUP($G742,'KO Calc'!$H:$AW,3,FALSE),VLOOKUP($G742,'KO Calc'!$H748:$AW748,3,FALSE)),
IF(AND($Q$1=TRUE,$S$1=TRUE,$S$4=TRUE)=TRUE,IF(OR($Q$4=TRUE,$Q$5=TRUE,$S$2=TRUE),VLOOKUP($G742,'KO Calc'!$H:$AW,18,FALSE),VLOOKUP($G742,'KO Calc'!$H748:$AW748,18,FALSE)),IF(AND($Q$1=TRUE,$S$4=TRUE),IF(OR($Q$4=TRUE,$Q$5=TRUE,$S$2=TRUE),VLOOKUP($G742,'KO Calc'!$H:$AW,8,FALSE),VLOOKUP($G742,'KO Calc'!$H748:$AW748,8,FALSE)),
IF(AND($S$3=TRUE,$S$1=TRUE,$S$4=FALSE)=TRUE,IF(OR($Q$4=TRUE,$Q$5=TRUE,$S$2=TRUE),VLOOKUP($G742,'KO Calc'!$H:$AW,33,FALSE),VLOOKUP($G742,'KO Calc'!$H748:$AW748,33,FALSE)),IF(AND($S$3=TRUE,$S$4=FALSE),IF(OR($Q$4=TRUE,$Q$5=TRUE,$S$2=TRUE),VLOOKUP($G742,'KO Calc'!$H:$AW,23,FALSE),VLOOKUP($G742,'KO Calc'!$H748:$AW748,23,FALSE)),
IF(AND($S$3=TRUE,$S$1=TRUE,$S$4=TRUE)=TRUE,IF(OR($Q$4=TRUE,$Q$5=TRUE,$S$2=TRUE),VLOOKUP($G742,'KO Calc'!$H:$AW,38,FALSE),VLOOKUP($G742,'KO Calc'!$H748:$AW748,38,FALSE)),IF(AND($S$3=TRUE,$S$4=TRUE),IF(OR($Q$4=TRUE,$Q$5=TRUE,$S$2=TRUE),VLOOKUP($G742,'KO Calc'!$H:$AW,28,FALSE),VLOOKUP($G742,'KO Calc'!$H748:$AW748,28,FALSE)))))))))))))</f>
        <v>-</v>
      </c>
      <c r="J742" s="36" t="str">
        <f>IF(AND($Q$1=FALSE,$S$3=FALSE),"-",IF(AND($Q$1=TRUE,$S$3=TRUE),"-",IF(AND($Q$1=FALSE,$S$3=FALSE),"-",IF(AND($Q$1=TRUE,$S$1=TRUE,$S$4=FALSE)=TRUE,IF(OR($Q$4=TRUE,$Q$5=TRUE,$S$2=TRUE),VLOOKUP($G742,'KO Calc'!$H:$AW,FALSE),VLOOKUP($G742,'KO Calc'!$H748:$AW748,14,FALSE)),IF(AND($Q$1=TRUE,$S$4=FALSE),IF(OR($Q$4=TRUE,$Q$5=TRUE,$S$2=TRUE),VLOOKUP($G742,'KO Calc'!$H:$AW,4,FALSE),VLOOKUP($G742,'KO Calc'!$H748:$AW748,4,FALSE)),
IF(AND($Q$1=TRUE,$S$1=TRUE,$S$4=TRUE)=TRUE,IF(OR($Q$4=TRUE,$Q$5=TRUE,$S$2=TRUE),VLOOKUP($G742,'KO Calc'!$H:$AW,19,FALSE),VLOOKUP($G742,'KO Calc'!$H748:$AW748,19,FALSE)),IF(AND($Q$1=TRUE,$S$4=TRUE),IF(OR($Q$4=TRUE,$Q$5=TRUE,$S$2=TRUE),VLOOKUP($G742,'KO Calc'!$H:$AW,9,FALSE),VLOOKUP($G742,'KO Calc'!$H748:$AW748,9,FALSE)),
IF(AND($S$3=TRUE,$S$1=TRUE,$S$4=FALSE)=TRUE,IF(OR($Q$4=TRUE,$Q$5=TRUE,$S$2=TRUE),VLOOKUP($G742,'KO Calc'!$H:$AW,34,FALSE),VLOOKUP($G742,'KO Calc'!$H748:$AW748,34,FALSE)),IF(AND($S$3=TRUE,$S$4=FALSE),IF(OR($Q$4=TRUE,$Q$5=TRUE,$S$2=TRUE),VLOOKUP($G742,'KO Calc'!$H:$AW,24,FALSE),VLOOKUP($G742,'KO Calc'!$H748:$AW748,24,FALSE)),
IF(AND($S$3=TRUE,$S$1=TRUE,$S$4=TRUE)=TRUE,IF(OR($Q$4=TRUE,$Q$5=TRUE,$S$2=TRUE),VLOOKUP($G742,'KO Calc'!$H:$AW,39,FALSE),VLOOKUP($G742,'KO Calc'!$H748:$AW748,39,FALSE)),IF(AND($S$3=TRUE,$S$4=TRUE),IF(OR($Q$4=TRUE,$Q$5=TRUE,$S$2=TRUE),VLOOKUP($G742,'KO Calc'!$H:$AW,29,FALSE),VLOOKUP($G742,'KO Calc'!$H748:$AW748,29,FALSE)))))))))))))</f>
        <v>-</v>
      </c>
      <c r="K742" s="36" t="str">
        <f>IF(AND($Q$1=FALSE,$S$3=FALSE),"-",IF(AND($Q$1=TRUE,$S$3=TRUE),"-",IF(AND($Q$1=FALSE,$S$3=FALSE),"-",IF(AND($Q$1=TRUE,$S$1=TRUE,$S$4=FALSE)=TRUE,IF(OR($Q$4=TRUE,$Q$5=TRUE,$S$2=TRUE),VLOOKUP($G742,'KO Calc'!$H:$AW,15,FALSE),VLOOKUP($G742,'KO Calc'!$H748:$AW748,15,FALSE)),IF(AND($Q$1=TRUE,$S$4=FALSE),IF(OR($Q$4=TRUE,$Q$5=TRUE,$S$2=TRUE),VLOOKUP($G742,'KO Calc'!$H:$AW,5,FALSE),VLOOKUP($G742,'KO Calc'!$H748:$AW748,5,FALSE)),
IF(AND($Q$1=TRUE,$S$1=TRUE,$S$4=TRUE)=TRUE,IF(OR($Q$4=TRUE,$Q$5=TRUE,$S$2=TRUE),VLOOKUP($G742,'KO Calc'!$H:$AW,20,FALSE),VLOOKUP($G742,'KO Calc'!$H748:$AW748,20,FALSE)),IF(AND($Q$1=TRUE,$S$4=TRUE),IF(OR($Q$4=TRUE,$Q$5=TRUE,$S$2=TRUE),VLOOKUP($G742,'KO Calc'!$H:$AW,10,FALSE),VLOOKUP($G742,'KO Calc'!$H748:$AW748,10,FALSE)),
IF(AND($S$3=TRUE,$S$1=TRUE,$S$4=FALSE)=TRUE,IF(OR($Q$4=TRUE,$Q$5=TRUE,$S$2=TRUE),VLOOKUP($G742,'KO Calc'!$H:$AW,35,FALSE),VLOOKUP($G742,'KO Calc'!$H748:$AW748,35,FALSE)),IF(AND($S$3=TRUE,$S$4=FALSE),IF(OR($Q$4=TRUE,$Q$5=TRUE,$S$2=TRUE),VLOOKUP($G742,'KO Calc'!$H:$AW,25,FALSE),VLOOKUP($G742,'KO Calc'!$H748:$AW748,25,FALSE)),
IF(AND($S$3=TRUE,$S$1=TRUE,$S$4=TRUE)=TRUE,IF(OR($Q$4=TRUE,$Q$5=TRUE,$S$2=TRUE),VLOOKUP($G742,'KO Calc'!$H:$AW,40,FALSE),VLOOKUP($G742,'KO Calc'!$H748:$AW748,40,FALSE)),IF(AND($S$3=TRUE,$S$4=TRUE),IF(OR($Q$4=TRUE,$Q$5=TRUE,$S$2=TRUE),VLOOKUP($G742,'KO Calc'!$H:$AW,30,FALSE),VLOOKUP($G742,'KO Calc'!$H748:$AW748,30,FALSE)))))))))))))</f>
        <v>-</v>
      </c>
      <c r="L742" s="36" t="str">
        <f>IFERROR(IF(AND($Q$1=FALSE,$S$3=FALSE),"-",VLOOKUP($E742,'Status Thresholds'!$E:$AU,41,FALSE)),"-")</f>
        <v>-</v>
      </c>
      <c r="M742" s="36" t="str">
        <f>IFERROR(IF(AND($Q$1=FALSE,$S$3=FALSE),"-",VLOOKUP($E742,'Status Thresholds'!$E:$AU,42,FALSE)),"-")</f>
        <v>-</v>
      </c>
      <c r="N742" s="36" t="str">
        <f>IFERROR(IF(AND($Q$1=FALSE,$S$3=FALSE),"-",VLOOKUP($E742,'Status Thresholds'!$E:$AU,43,FALSE)),"-")</f>
        <v>-</v>
      </c>
    </row>
    <row r="743" spans="2:14" x14ac:dyDescent="0.25">
      <c r="B743" s="64" t="str">
        <f>VLOOKUP(C743,'Status Thresholds'!B:C,2,FALSE)</f>
        <v>MHGen</v>
      </c>
      <c r="C743" s="46" t="str">
        <f>IF(ISBLANK('KO Calc'!C739)=TRUE,"",'KO Calc'!C739)</f>
        <v>Teostra</v>
      </c>
      <c r="D743" s="78" t="s">
        <v>207</v>
      </c>
      <c r="E743" s="62" t="str">
        <f t="shared" si="21"/>
        <v>TeostraShock Trap</v>
      </c>
      <c r="F743" t="s">
        <v>13</v>
      </c>
      <c r="G743" s="36" t="str">
        <f t="shared" si="22"/>
        <v>TeostraCrag 3</v>
      </c>
      <c r="H743" s="36" t="str">
        <f>IF(AND($Q$1=FALSE,$S$3=FALSE),"-",IF(AND($Q$1=TRUE,$S$3=TRUE),"-",IF(AND($Q$1=FALSE,$S$3=FALSE),"-",IF(AND($Q$1=TRUE,$S$1=TRUE,$S$4=FALSE)=TRUE,IF(OR($Q$4=TRUE,$Q$5=TRUE,$S$2=TRUE),VLOOKUP($G743,'KO Calc'!$H:$AW,12,FALSE),VLOOKUP($G743,'KO Calc'!$H749:$AW749,12,FALSE)),IF(AND($Q$1=TRUE,$S$4=FALSE),IF(OR($Q$4=TRUE,$Q$5=TRUE,$S$2=TRUE),VLOOKUP($G743,'KO Calc'!$H:$AW,2,FALSE),VLOOKUP($G743,'KO Calc'!$H749:$AW749,2,FALSE)),
IF(AND($Q$1=TRUE,$S$1=TRUE,$S$4=TRUE)=TRUE,IF(OR($Q$4=TRUE,$Q$5=TRUE,$S$2=TRUE),VLOOKUP($G743,'KO Calc'!$H:$AW,17,FALSE),VLOOKUP($G743,'KO Calc'!$H749:$AW749,17,FALSE)),IF(AND($Q$1=TRUE,$S$4=TRUE),IF(OR($Q$4=TRUE,$Q$5=TRUE,$S$2=TRUE),VLOOKUP($G743,'KO Calc'!$H:$AW,7,FALSE),VLOOKUP($G743,'KO Calc'!$H749:$AW749,7,FALSE)),
IF(AND($S$3=TRUE,$S$1=TRUE,$S$4=FALSE)=TRUE,IF(OR($Q$4=TRUE,$Q$5=TRUE,$S$2=TRUE),VLOOKUP($G743,'KO Calc'!$H:$AW,32,FALSE),VLOOKUP($G743,'KO Calc'!$H749:$AW749,32,FALSE)),IF(AND($S$3=TRUE,$S$4=FALSE),IF(OR($Q$4=TRUE,$Q$5=TRUE,$S$2=TRUE),VLOOKUP($G743,'KO Calc'!$H:$AW,22,FALSE),VLOOKUP($G743,'KO Calc'!$H749:$AW749,22,FALSE)),
IF(AND($S$3=TRUE,$S$1=TRUE,$S$4=TRUE)=TRUE,IF(OR($Q$4=TRUE,$Q$5=TRUE,$S$2=TRUE),VLOOKUP($G743,'KO Calc'!$H:$AW,37,FALSE),VLOOKUP($G743,'KO Calc'!$H749:$AW749,37,FALSE)),IF(AND($S$3=TRUE,$S$4=TRUE),IF(OR($Q$4=TRUE,$Q$5=TRUE,$S$2=TRUE),VLOOKUP($G743,'KO Calc'!$H:$AW,27,FALSE),VLOOKUP($G743,'KO Calc'!$H749:$AW749,27,FALSE)))))))))))))</f>
        <v>-</v>
      </c>
      <c r="I743" s="36" t="str">
        <f>IF(AND($Q$1=FALSE,$S$3=FALSE),"-",IF(AND($Q$1=TRUE,$S$3=TRUE),"-",IF(AND($Q$1=FALSE,$S$3=FALSE),"-",IF(AND($Q$1=TRUE,$S$1=TRUE,$S$4=FALSE)=TRUE,IF(OR($Q$4=TRUE,$Q$5=TRUE,$S$2=TRUE),VLOOKUP($G743,'KO Calc'!$H:$AW,13,FALSE),VLOOKUP($G743,'KO Calc'!$H749:$AW749,13,FALSE)),IF(AND($Q$1=TRUE,$S$4=FALSE),IF(OR($Q$4=TRUE,$Q$5=TRUE,$S$2=TRUE),VLOOKUP($G743,'KO Calc'!$H:$AW,3,FALSE),VLOOKUP($G743,'KO Calc'!$H749:$AW749,3,FALSE)),
IF(AND($Q$1=TRUE,$S$1=TRUE,$S$4=TRUE)=TRUE,IF(OR($Q$4=TRUE,$Q$5=TRUE,$S$2=TRUE),VLOOKUP($G743,'KO Calc'!$H:$AW,18,FALSE),VLOOKUP($G743,'KO Calc'!$H749:$AW749,18,FALSE)),IF(AND($Q$1=TRUE,$S$4=TRUE),IF(OR($Q$4=TRUE,$Q$5=TRUE,$S$2=TRUE),VLOOKUP($G743,'KO Calc'!$H:$AW,8,FALSE),VLOOKUP($G743,'KO Calc'!$H749:$AW749,8,FALSE)),
IF(AND($S$3=TRUE,$S$1=TRUE,$S$4=FALSE)=TRUE,IF(OR($Q$4=TRUE,$Q$5=TRUE,$S$2=TRUE),VLOOKUP($G743,'KO Calc'!$H:$AW,33,FALSE),VLOOKUP($G743,'KO Calc'!$H749:$AW749,33,FALSE)),IF(AND($S$3=TRUE,$S$4=FALSE),IF(OR($Q$4=TRUE,$Q$5=TRUE,$S$2=TRUE),VLOOKUP($G743,'KO Calc'!$H:$AW,23,FALSE),VLOOKUP($G743,'KO Calc'!$H749:$AW749,23,FALSE)),
IF(AND($S$3=TRUE,$S$1=TRUE,$S$4=TRUE)=TRUE,IF(OR($Q$4=TRUE,$Q$5=TRUE,$S$2=TRUE),VLOOKUP($G743,'KO Calc'!$H:$AW,38,FALSE),VLOOKUP($G743,'KO Calc'!$H749:$AW749,38,FALSE)),IF(AND($S$3=TRUE,$S$4=TRUE),IF(OR($Q$4=TRUE,$Q$5=TRUE,$S$2=TRUE),VLOOKUP($G743,'KO Calc'!$H:$AW,28,FALSE),VLOOKUP($G743,'KO Calc'!$H749:$AW749,28,FALSE)))))))))))))</f>
        <v>-</v>
      </c>
      <c r="J743" s="36" t="str">
        <f>IF(AND($Q$1=FALSE,$S$3=FALSE),"-",IF(AND($Q$1=TRUE,$S$3=TRUE),"-",IF(AND($Q$1=FALSE,$S$3=FALSE),"-",IF(AND($Q$1=TRUE,$S$1=TRUE,$S$4=FALSE)=TRUE,IF(OR($Q$4=TRUE,$Q$5=TRUE,$S$2=TRUE),VLOOKUP($G743,'KO Calc'!$H:$AW,FALSE),VLOOKUP($G743,'KO Calc'!$H749:$AW749,14,FALSE)),IF(AND($Q$1=TRUE,$S$4=FALSE),IF(OR($Q$4=TRUE,$Q$5=TRUE,$S$2=TRUE),VLOOKUP($G743,'KO Calc'!$H:$AW,4,FALSE),VLOOKUP($G743,'KO Calc'!$H749:$AW749,4,FALSE)),
IF(AND($Q$1=TRUE,$S$1=TRUE,$S$4=TRUE)=TRUE,IF(OR($Q$4=TRUE,$Q$5=TRUE,$S$2=TRUE),VLOOKUP($G743,'KO Calc'!$H:$AW,19,FALSE),VLOOKUP($G743,'KO Calc'!$H749:$AW749,19,FALSE)),IF(AND($Q$1=TRUE,$S$4=TRUE),IF(OR($Q$4=TRUE,$Q$5=TRUE,$S$2=TRUE),VLOOKUP($G743,'KO Calc'!$H:$AW,9,FALSE),VLOOKUP($G743,'KO Calc'!$H749:$AW749,9,FALSE)),
IF(AND($S$3=TRUE,$S$1=TRUE,$S$4=FALSE)=TRUE,IF(OR($Q$4=TRUE,$Q$5=TRUE,$S$2=TRUE),VLOOKUP($G743,'KO Calc'!$H:$AW,34,FALSE),VLOOKUP($G743,'KO Calc'!$H749:$AW749,34,FALSE)),IF(AND($S$3=TRUE,$S$4=FALSE),IF(OR($Q$4=TRUE,$Q$5=TRUE,$S$2=TRUE),VLOOKUP($G743,'KO Calc'!$H:$AW,24,FALSE),VLOOKUP($G743,'KO Calc'!$H749:$AW749,24,FALSE)),
IF(AND($S$3=TRUE,$S$1=TRUE,$S$4=TRUE)=TRUE,IF(OR($Q$4=TRUE,$Q$5=TRUE,$S$2=TRUE),VLOOKUP($G743,'KO Calc'!$H:$AW,39,FALSE),VLOOKUP($G743,'KO Calc'!$H749:$AW749,39,FALSE)),IF(AND($S$3=TRUE,$S$4=TRUE),IF(OR($Q$4=TRUE,$Q$5=TRUE,$S$2=TRUE),VLOOKUP($G743,'KO Calc'!$H:$AW,29,FALSE),VLOOKUP($G743,'KO Calc'!$H749:$AW749,29,FALSE)))))))))))))</f>
        <v>-</v>
      </c>
      <c r="K743" s="36" t="str">
        <f>IF(AND($Q$1=FALSE,$S$3=FALSE),"-",IF(AND($Q$1=TRUE,$S$3=TRUE),"-",IF(AND($Q$1=FALSE,$S$3=FALSE),"-",IF(AND($Q$1=TRUE,$S$1=TRUE,$S$4=FALSE)=TRUE,IF(OR($Q$4=TRUE,$Q$5=TRUE,$S$2=TRUE),VLOOKUP($G743,'KO Calc'!$H:$AW,15,FALSE),VLOOKUP($G743,'KO Calc'!$H749:$AW749,15,FALSE)),IF(AND($Q$1=TRUE,$S$4=FALSE),IF(OR($Q$4=TRUE,$Q$5=TRUE,$S$2=TRUE),VLOOKUP($G743,'KO Calc'!$H:$AW,5,FALSE),VLOOKUP($G743,'KO Calc'!$H749:$AW749,5,FALSE)),
IF(AND($Q$1=TRUE,$S$1=TRUE,$S$4=TRUE)=TRUE,IF(OR($Q$4=TRUE,$Q$5=TRUE,$S$2=TRUE),VLOOKUP($G743,'KO Calc'!$H:$AW,20,FALSE),VLOOKUP($G743,'KO Calc'!$H749:$AW749,20,FALSE)),IF(AND($Q$1=TRUE,$S$4=TRUE),IF(OR($Q$4=TRUE,$Q$5=TRUE,$S$2=TRUE),VLOOKUP($G743,'KO Calc'!$H:$AW,10,FALSE),VLOOKUP($G743,'KO Calc'!$H749:$AW749,10,FALSE)),
IF(AND($S$3=TRUE,$S$1=TRUE,$S$4=FALSE)=TRUE,IF(OR($Q$4=TRUE,$Q$5=TRUE,$S$2=TRUE),VLOOKUP($G743,'KO Calc'!$H:$AW,35,FALSE),VLOOKUP($G743,'KO Calc'!$H749:$AW749,35,FALSE)),IF(AND($S$3=TRUE,$S$4=FALSE),IF(OR($Q$4=TRUE,$Q$5=TRUE,$S$2=TRUE),VLOOKUP($G743,'KO Calc'!$H:$AW,25,FALSE),VLOOKUP($G743,'KO Calc'!$H749:$AW749,25,FALSE)),
IF(AND($S$3=TRUE,$S$1=TRUE,$S$4=TRUE)=TRUE,IF(OR($Q$4=TRUE,$Q$5=TRUE,$S$2=TRUE),VLOOKUP($G743,'KO Calc'!$H:$AW,40,FALSE),VLOOKUP($G743,'KO Calc'!$H749:$AW749,40,FALSE)),IF(AND($S$3=TRUE,$S$4=TRUE),IF(OR($Q$4=TRUE,$Q$5=TRUE,$S$2=TRUE),VLOOKUP($G743,'KO Calc'!$H:$AW,30,FALSE),VLOOKUP($G743,'KO Calc'!$H749:$AW749,30,FALSE)))))))))))))</f>
        <v>-</v>
      </c>
      <c r="L743" s="36" t="str">
        <f>IFERROR(IF(AND($Q$1=FALSE,$S$3=FALSE),"-",VLOOKUP($E743,'Status Thresholds'!$E:$AU,43,FALSE)),"-")</f>
        <v>-</v>
      </c>
      <c r="M743" s="36" t="str">
        <f>IFERROR(IF(AND($Q$1=FALSE,$S$3=FALSE),"-",VLOOKUP($E743,'Status Thresholds'!$E:$AU,41,FALSE)),"-")</f>
        <v>-</v>
      </c>
      <c r="N743" s="36" t="str">
        <f>IFERROR(IF(AND($Q$1=FALSE,$S$3=FALSE),"-",VLOOKUP($E743,'Status Thresholds'!$E:$AU,42,FALSE)),"-")</f>
        <v>-</v>
      </c>
    </row>
    <row r="744" spans="2:14" x14ac:dyDescent="0.25">
      <c r="B744" s="64" t="str">
        <f>VLOOKUP(C744,'Status Thresholds'!B:C,2,FALSE)</f>
        <v>MHGen</v>
      </c>
      <c r="C744" s="46" t="str">
        <f>IF(ISBLANK('KO Calc'!C740)=TRUE,"",'KO Calc'!C740)</f>
        <v>Teostra</v>
      </c>
      <c r="D744" s="78" t="s">
        <v>213</v>
      </c>
      <c r="E744" s="62" t="str">
        <f t="shared" si="21"/>
        <v>TeostraPitfall Trap</v>
      </c>
      <c r="F744" t="s">
        <v>12</v>
      </c>
      <c r="G744" s="36" t="str">
        <f t="shared" si="22"/>
        <v>TeostraCrag 2</v>
      </c>
      <c r="H744" s="36" t="str">
        <f>IF(AND($Q$1=FALSE,$S$3=FALSE),"-",IF(AND($Q$1=TRUE,$S$3=TRUE),"-",IF(AND($Q$1=FALSE,$S$3=FALSE),"-",IF(AND($Q$1=TRUE,$S$1=TRUE,$S$4=FALSE)=TRUE,IF(OR($Q$4=TRUE,$Q$5=TRUE,$S$2=TRUE),VLOOKUP($G744,'KO Calc'!$H:$AW,12,FALSE),VLOOKUP($G744,'KO Calc'!$H750:$AW750,12,FALSE)),IF(AND($Q$1=TRUE,$S$4=FALSE),IF(OR($Q$4=TRUE,$Q$5=TRUE,$S$2=TRUE),VLOOKUP($G744,'KO Calc'!$H:$AW,2,FALSE),VLOOKUP($G744,'KO Calc'!$H750:$AW750,2,FALSE)),
IF(AND($Q$1=TRUE,$S$1=TRUE,$S$4=TRUE)=TRUE,IF(OR($Q$4=TRUE,$Q$5=TRUE,$S$2=TRUE),VLOOKUP($G744,'KO Calc'!$H:$AW,17,FALSE),VLOOKUP($G744,'KO Calc'!$H750:$AW750,17,FALSE)),IF(AND($Q$1=TRUE,$S$4=TRUE),IF(OR($Q$4=TRUE,$Q$5=TRUE,$S$2=TRUE),VLOOKUP($G744,'KO Calc'!$H:$AW,7,FALSE),VLOOKUP($G744,'KO Calc'!$H750:$AW750,7,FALSE)),
IF(AND($S$3=TRUE,$S$1=TRUE,$S$4=FALSE)=TRUE,IF(OR($Q$4=TRUE,$Q$5=TRUE,$S$2=TRUE),VLOOKUP($G744,'KO Calc'!$H:$AW,32,FALSE),VLOOKUP($G744,'KO Calc'!$H750:$AW750,32,FALSE)),IF(AND($S$3=TRUE,$S$4=FALSE),IF(OR($Q$4=TRUE,$Q$5=TRUE,$S$2=TRUE),VLOOKUP($G744,'KO Calc'!$H:$AW,22,FALSE),VLOOKUP($G744,'KO Calc'!$H750:$AW750,22,FALSE)),
IF(AND($S$3=TRUE,$S$1=TRUE,$S$4=TRUE)=TRUE,IF(OR($Q$4=TRUE,$Q$5=TRUE,$S$2=TRUE),VLOOKUP($G744,'KO Calc'!$H:$AW,37,FALSE),VLOOKUP($G744,'KO Calc'!$H750:$AW750,37,FALSE)),IF(AND($S$3=TRUE,$S$4=TRUE),IF(OR($Q$4=TRUE,$Q$5=TRUE,$S$2=TRUE),VLOOKUP($G744,'KO Calc'!$H:$AW,27,FALSE),VLOOKUP($G744,'KO Calc'!$H750:$AW750,27,FALSE)))))))))))))</f>
        <v>-</v>
      </c>
      <c r="I744" s="36" t="str">
        <f>IF(AND($Q$1=FALSE,$S$3=FALSE),"-",IF(AND($Q$1=TRUE,$S$3=TRUE),"-",IF(AND($Q$1=FALSE,$S$3=FALSE),"-",IF(AND($Q$1=TRUE,$S$1=TRUE,$S$4=FALSE)=TRUE,IF(OR($Q$4=TRUE,$Q$5=TRUE,$S$2=TRUE),VLOOKUP($G744,'KO Calc'!$H:$AW,13,FALSE),VLOOKUP($G744,'KO Calc'!$H750:$AW750,13,FALSE)),IF(AND($Q$1=TRUE,$S$4=FALSE),IF(OR($Q$4=TRUE,$Q$5=TRUE,$S$2=TRUE),VLOOKUP($G744,'KO Calc'!$H:$AW,3,FALSE),VLOOKUP($G744,'KO Calc'!$H750:$AW750,3,FALSE)),
IF(AND($Q$1=TRUE,$S$1=TRUE,$S$4=TRUE)=TRUE,IF(OR($Q$4=TRUE,$Q$5=TRUE,$S$2=TRUE),VLOOKUP($G744,'KO Calc'!$H:$AW,18,FALSE),VLOOKUP($G744,'KO Calc'!$H750:$AW750,18,FALSE)),IF(AND($Q$1=TRUE,$S$4=TRUE),IF(OR($Q$4=TRUE,$Q$5=TRUE,$S$2=TRUE),VLOOKUP($G744,'KO Calc'!$H:$AW,8,FALSE),VLOOKUP($G744,'KO Calc'!$H750:$AW750,8,FALSE)),
IF(AND($S$3=TRUE,$S$1=TRUE,$S$4=FALSE)=TRUE,IF(OR($Q$4=TRUE,$Q$5=TRUE,$S$2=TRUE),VLOOKUP($G744,'KO Calc'!$H:$AW,33,FALSE),VLOOKUP($G744,'KO Calc'!$H750:$AW750,33,FALSE)),IF(AND($S$3=TRUE,$S$4=FALSE),IF(OR($Q$4=TRUE,$Q$5=TRUE,$S$2=TRUE),VLOOKUP($G744,'KO Calc'!$H:$AW,23,FALSE),VLOOKUP($G744,'KO Calc'!$H750:$AW750,23,FALSE)),
IF(AND($S$3=TRUE,$S$1=TRUE,$S$4=TRUE)=TRUE,IF(OR($Q$4=TRUE,$Q$5=TRUE,$S$2=TRUE),VLOOKUP($G744,'KO Calc'!$H:$AW,38,FALSE),VLOOKUP($G744,'KO Calc'!$H750:$AW750,38,FALSE)),IF(AND($S$3=TRUE,$S$4=TRUE),IF(OR($Q$4=TRUE,$Q$5=TRUE,$S$2=TRUE),VLOOKUP($G744,'KO Calc'!$H:$AW,28,FALSE),VLOOKUP($G744,'KO Calc'!$H750:$AW750,28,FALSE)))))))))))))</f>
        <v>-</v>
      </c>
      <c r="J744" s="36" t="str">
        <f>IF(AND($Q$1=FALSE,$S$3=FALSE),"-",IF(AND($Q$1=TRUE,$S$3=TRUE),"-",IF(AND($Q$1=FALSE,$S$3=FALSE),"-",IF(AND($Q$1=TRUE,$S$1=TRUE,$S$4=FALSE)=TRUE,IF(OR($Q$4=TRUE,$Q$5=TRUE,$S$2=TRUE),VLOOKUP($G744,'KO Calc'!$H:$AW,FALSE),VLOOKUP($G744,'KO Calc'!$H750:$AW750,14,FALSE)),IF(AND($Q$1=TRUE,$S$4=FALSE),IF(OR($Q$4=TRUE,$Q$5=TRUE,$S$2=TRUE),VLOOKUP($G744,'KO Calc'!$H:$AW,4,FALSE),VLOOKUP($G744,'KO Calc'!$H750:$AW750,4,FALSE)),
IF(AND($Q$1=TRUE,$S$1=TRUE,$S$4=TRUE)=TRUE,IF(OR($Q$4=TRUE,$Q$5=TRUE,$S$2=TRUE),VLOOKUP($G744,'KO Calc'!$H:$AW,19,FALSE),VLOOKUP($G744,'KO Calc'!$H750:$AW750,19,FALSE)),IF(AND($Q$1=TRUE,$S$4=TRUE),IF(OR($Q$4=TRUE,$Q$5=TRUE,$S$2=TRUE),VLOOKUP($G744,'KO Calc'!$H:$AW,9,FALSE),VLOOKUP($G744,'KO Calc'!$H750:$AW750,9,FALSE)),
IF(AND($S$3=TRUE,$S$1=TRUE,$S$4=FALSE)=TRUE,IF(OR($Q$4=TRUE,$Q$5=TRUE,$S$2=TRUE),VLOOKUP($G744,'KO Calc'!$H:$AW,34,FALSE),VLOOKUP($G744,'KO Calc'!$H750:$AW750,34,FALSE)),IF(AND($S$3=TRUE,$S$4=FALSE),IF(OR($Q$4=TRUE,$Q$5=TRUE,$S$2=TRUE),VLOOKUP($G744,'KO Calc'!$H:$AW,24,FALSE),VLOOKUP($G744,'KO Calc'!$H750:$AW750,24,FALSE)),
IF(AND($S$3=TRUE,$S$1=TRUE,$S$4=TRUE)=TRUE,IF(OR($Q$4=TRUE,$Q$5=TRUE,$S$2=TRUE),VLOOKUP($G744,'KO Calc'!$H:$AW,39,FALSE),VLOOKUP($G744,'KO Calc'!$H750:$AW750,39,FALSE)),IF(AND($S$3=TRUE,$S$4=TRUE),IF(OR($Q$4=TRUE,$Q$5=TRUE,$S$2=TRUE),VLOOKUP($G744,'KO Calc'!$H:$AW,29,FALSE),VLOOKUP($G744,'KO Calc'!$H750:$AW750,29,FALSE)))))))))))))</f>
        <v>-</v>
      </c>
      <c r="K744" s="36" t="str">
        <f>IF(AND($Q$1=FALSE,$S$3=FALSE),"-",IF(AND($Q$1=TRUE,$S$3=TRUE),"-",IF(AND($Q$1=FALSE,$S$3=FALSE),"-",IF(AND($Q$1=TRUE,$S$1=TRUE,$S$4=FALSE)=TRUE,IF(OR($Q$4=TRUE,$Q$5=TRUE,$S$2=TRUE),VLOOKUP($G744,'KO Calc'!$H:$AW,15,FALSE),VLOOKUP($G744,'KO Calc'!$H750:$AW750,15,FALSE)),IF(AND($Q$1=TRUE,$S$4=FALSE),IF(OR($Q$4=TRUE,$Q$5=TRUE,$S$2=TRUE),VLOOKUP($G744,'KO Calc'!$H:$AW,5,FALSE),VLOOKUP($G744,'KO Calc'!$H750:$AW750,5,FALSE)),
IF(AND($Q$1=TRUE,$S$1=TRUE,$S$4=TRUE)=TRUE,IF(OR($Q$4=TRUE,$Q$5=TRUE,$S$2=TRUE),VLOOKUP($G744,'KO Calc'!$H:$AW,20,FALSE),VLOOKUP($G744,'KO Calc'!$H750:$AW750,20,FALSE)),IF(AND($Q$1=TRUE,$S$4=TRUE),IF(OR($Q$4=TRUE,$Q$5=TRUE,$S$2=TRUE),VLOOKUP($G744,'KO Calc'!$H:$AW,10,FALSE),VLOOKUP($G744,'KO Calc'!$H750:$AW750,10,FALSE)),
IF(AND($S$3=TRUE,$S$1=TRUE,$S$4=FALSE)=TRUE,IF(OR($Q$4=TRUE,$Q$5=TRUE,$S$2=TRUE),VLOOKUP($G744,'KO Calc'!$H:$AW,35,FALSE),VLOOKUP($G744,'KO Calc'!$H750:$AW750,35,FALSE)),IF(AND($S$3=TRUE,$S$4=FALSE),IF(OR($Q$4=TRUE,$Q$5=TRUE,$S$2=TRUE),VLOOKUP($G744,'KO Calc'!$H:$AW,25,FALSE),VLOOKUP($G744,'KO Calc'!$H750:$AW750,25,FALSE)),
IF(AND($S$3=TRUE,$S$1=TRUE,$S$4=TRUE)=TRUE,IF(OR($Q$4=TRUE,$Q$5=TRUE,$S$2=TRUE),VLOOKUP($G744,'KO Calc'!$H:$AW,40,FALSE),VLOOKUP($G744,'KO Calc'!$H750:$AW750,40,FALSE)),IF(AND($S$3=TRUE,$S$4=TRUE),IF(OR($Q$4=TRUE,$Q$5=TRUE,$S$2=TRUE),VLOOKUP($G744,'KO Calc'!$H:$AW,30,FALSE),VLOOKUP($G744,'KO Calc'!$H750:$AW750,30,FALSE)))))))))))))</f>
        <v>-</v>
      </c>
      <c r="L744" s="36" t="str">
        <f>IFERROR(IF(AND($Q$1=FALSE,$S$3=FALSE),"-",VLOOKUP($E744,'Status Thresholds'!$E:$AU,43,FALSE)),"-")</f>
        <v>-</v>
      </c>
      <c r="M744" s="36" t="str">
        <f>IFERROR(IF(AND($Q$1=FALSE,$S$3=FALSE),"-",VLOOKUP($E744,'Status Thresholds'!$E:$AU,41,FALSE)),"-")</f>
        <v>-</v>
      </c>
      <c r="N744" s="36" t="str">
        <f>IFERROR(IF(AND($Q$1=FALSE,$S$3=FALSE),"-",VLOOKUP($E744,'Status Thresholds'!$E:$AU,42,FALSE)),"-")</f>
        <v>-</v>
      </c>
    </row>
    <row r="745" spans="2:14" x14ac:dyDescent="0.25">
      <c r="B745" s="64" t="str">
        <f>VLOOKUP(C745,'Status Thresholds'!B:C,2,FALSE)</f>
        <v>MHGen</v>
      </c>
      <c r="C745" s="46" t="str">
        <f>IF(ISBLANK('KO Calc'!C741)=TRUE,"",'KO Calc'!C741)</f>
        <v>Teostra</v>
      </c>
      <c r="D745" s="78"/>
      <c r="E745" s="62" t="str">
        <f t="shared" si="21"/>
        <v>Teostra</v>
      </c>
      <c r="F745" t="s">
        <v>11</v>
      </c>
      <c r="G745" s="36" t="str">
        <f t="shared" si="22"/>
        <v>TeostraCrag 1</v>
      </c>
      <c r="H745" s="36" t="str">
        <f>IF(AND($Q$1=FALSE,$S$3=FALSE),"-",IF(AND($Q$1=TRUE,$S$3=TRUE),"-",IF(AND($Q$1=FALSE,$S$3=FALSE),"-",IF(AND($Q$1=TRUE,$S$1=TRUE,$S$4=FALSE)=TRUE,IF(OR($Q$4=TRUE,$Q$5=TRUE,$S$2=TRUE),VLOOKUP($G745,'KO Calc'!$H:$AW,12,FALSE),VLOOKUP($G745,'KO Calc'!$H751:$AW751,12,FALSE)),IF(AND($Q$1=TRUE,$S$4=FALSE),IF(OR($Q$4=TRUE,$Q$5=TRUE,$S$2=TRUE),VLOOKUP($G745,'KO Calc'!$H:$AW,2,FALSE),VLOOKUP($G745,'KO Calc'!$H751:$AW751,2,FALSE)),
IF(AND($Q$1=TRUE,$S$1=TRUE,$S$4=TRUE)=TRUE,IF(OR($Q$4=TRUE,$Q$5=TRUE,$S$2=TRUE),VLOOKUP($G745,'KO Calc'!$H:$AW,17,FALSE),VLOOKUP($G745,'KO Calc'!$H751:$AW751,17,FALSE)),IF(AND($Q$1=TRUE,$S$4=TRUE),IF(OR($Q$4=TRUE,$Q$5=TRUE,$S$2=TRUE),VLOOKUP($G745,'KO Calc'!$H:$AW,7,FALSE),VLOOKUP($G745,'KO Calc'!$H751:$AW751,7,FALSE)),
IF(AND($S$3=TRUE,$S$1=TRUE,$S$4=FALSE)=TRUE,IF(OR($Q$4=TRUE,$Q$5=TRUE,$S$2=TRUE),VLOOKUP($G745,'KO Calc'!$H:$AW,32,FALSE),VLOOKUP($G745,'KO Calc'!$H751:$AW751,32,FALSE)),IF(AND($S$3=TRUE,$S$4=FALSE),IF(OR($Q$4=TRUE,$Q$5=TRUE,$S$2=TRUE),VLOOKUP($G745,'KO Calc'!$H:$AW,22,FALSE),VLOOKUP($G745,'KO Calc'!$H751:$AW751,22,FALSE)),
IF(AND($S$3=TRUE,$S$1=TRUE,$S$4=TRUE)=TRUE,IF(OR($Q$4=TRUE,$Q$5=TRUE,$S$2=TRUE),VLOOKUP($G745,'KO Calc'!$H:$AW,37,FALSE),VLOOKUP($G745,'KO Calc'!$H751:$AW751,37,FALSE)),IF(AND($S$3=TRUE,$S$4=TRUE),IF(OR($Q$4=TRUE,$Q$5=TRUE,$S$2=TRUE),VLOOKUP($G745,'KO Calc'!$H:$AW,27,FALSE),VLOOKUP($G745,'KO Calc'!$H751:$AW751,27,FALSE)))))))))))))</f>
        <v>-</v>
      </c>
      <c r="I745" s="36" t="str">
        <f>IF(AND($Q$1=FALSE,$S$3=FALSE),"-",IF(AND($Q$1=TRUE,$S$3=TRUE),"-",IF(AND($Q$1=FALSE,$S$3=FALSE),"-",IF(AND($Q$1=TRUE,$S$1=TRUE,$S$4=FALSE)=TRUE,IF(OR($Q$4=TRUE,$Q$5=TRUE,$S$2=TRUE),VLOOKUP($G745,'KO Calc'!$H:$AW,13,FALSE),VLOOKUP($G745,'KO Calc'!$H751:$AW751,13,FALSE)),IF(AND($Q$1=TRUE,$S$4=FALSE),IF(OR($Q$4=TRUE,$Q$5=TRUE,$S$2=TRUE),VLOOKUP($G745,'KO Calc'!$H:$AW,3,FALSE),VLOOKUP($G745,'KO Calc'!$H751:$AW751,3,FALSE)),
IF(AND($Q$1=TRUE,$S$1=TRUE,$S$4=TRUE)=TRUE,IF(OR($Q$4=TRUE,$Q$5=TRUE,$S$2=TRUE),VLOOKUP($G745,'KO Calc'!$H:$AW,18,FALSE),VLOOKUP($G745,'KO Calc'!$H751:$AW751,18,FALSE)),IF(AND($Q$1=TRUE,$S$4=TRUE),IF(OR($Q$4=TRUE,$Q$5=TRUE,$S$2=TRUE),VLOOKUP($G745,'KO Calc'!$H:$AW,8,FALSE),VLOOKUP($G745,'KO Calc'!$H751:$AW751,8,FALSE)),
IF(AND($S$3=TRUE,$S$1=TRUE,$S$4=FALSE)=TRUE,IF(OR($Q$4=TRUE,$Q$5=TRUE,$S$2=TRUE),VLOOKUP($G745,'KO Calc'!$H:$AW,33,FALSE),VLOOKUP($G745,'KO Calc'!$H751:$AW751,33,FALSE)),IF(AND($S$3=TRUE,$S$4=FALSE),IF(OR($Q$4=TRUE,$Q$5=TRUE,$S$2=TRUE),VLOOKUP($G745,'KO Calc'!$H:$AW,23,FALSE),VLOOKUP($G745,'KO Calc'!$H751:$AW751,23,FALSE)),
IF(AND($S$3=TRUE,$S$1=TRUE,$S$4=TRUE)=TRUE,IF(OR($Q$4=TRUE,$Q$5=TRUE,$S$2=TRUE),VLOOKUP($G745,'KO Calc'!$H:$AW,38,FALSE),VLOOKUP($G745,'KO Calc'!$H751:$AW751,38,FALSE)),IF(AND($S$3=TRUE,$S$4=TRUE),IF(OR($Q$4=TRUE,$Q$5=TRUE,$S$2=TRUE),VLOOKUP($G745,'KO Calc'!$H:$AW,28,FALSE),VLOOKUP($G745,'KO Calc'!$H751:$AW751,28,FALSE)))))))))))))</f>
        <v>-</v>
      </c>
      <c r="J745" s="36" t="str">
        <f>IF(AND($Q$1=FALSE,$S$3=FALSE),"-",IF(AND($Q$1=TRUE,$S$3=TRUE),"-",IF(AND($Q$1=FALSE,$S$3=FALSE),"-",IF(AND($Q$1=TRUE,$S$1=TRUE,$S$4=FALSE)=TRUE,IF(OR($Q$4=TRUE,$Q$5=TRUE,$S$2=TRUE),VLOOKUP($G745,'KO Calc'!$H:$AW,FALSE),VLOOKUP($G745,'KO Calc'!$H751:$AW751,14,FALSE)),IF(AND($Q$1=TRUE,$S$4=FALSE),IF(OR($Q$4=TRUE,$Q$5=TRUE,$S$2=TRUE),VLOOKUP($G745,'KO Calc'!$H:$AW,4,FALSE),VLOOKUP($G745,'KO Calc'!$H751:$AW751,4,FALSE)),
IF(AND($Q$1=TRUE,$S$1=TRUE,$S$4=TRUE)=TRUE,IF(OR($Q$4=TRUE,$Q$5=TRUE,$S$2=TRUE),VLOOKUP($G745,'KO Calc'!$H:$AW,19,FALSE),VLOOKUP($G745,'KO Calc'!$H751:$AW751,19,FALSE)),IF(AND($Q$1=TRUE,$S$4=TRUE),IF(OR($Q$4=TRUE,$Q$5=TRUE,$S$2=TRUE),VLOOKUP($G745,'KO Calc'!$H:$AW,9,FALSE),VLOOKUP($G745,'KO Calc'!$H751:$AW751,9,FALSE)),
IF(AND($S$3=TRUE,$S$1=TRUE,$S$4=FALSE)=TRUE,IF(OR($Q$4=TRUE,$Q$5=TRUE,$S$2=TRUE),VLOOKUP($G745,'KO Calc'!$H:$AW,34,FALSE),VLOOKUP($G745,'KO Calc'!$H751:$AW751,34,FALSE)),IF(AND($S$3=TRUE,$S$4=FALSE),IF(OR($Q$4=TRUE,$Q$5=TRUE,$S$2=TRUE),VLOOKUP($G745,'KO Calc'!$H:$AW,24,FALSE),VLOOKUP($G745,'KO Calc'!$H751:$AW751,24,FALSE)),
IF(AND($S$3=TRUE,$S$1=TRUE,$S$4=TRUE)=TRUE,IF(OR($Q$4=TRUE,$Q$5=TRUE,$S$2=TRUE),VLOOKUP($G745,'KO Calc'!$H:$AW,39,FALSE),VLOOKUP($G745,'KO Calc'!$H751:$AW751,39,FALSE)),IF(AND($S$3=TRUE,$S$4=TRUE),IF(OR($Q$4=TRUE,$Q$5=TRUE,$S$2=TRUE),VLOOKUP($G745,'KO Calc'!$H:$AW,29,FALSE),VLOOKUP($G745,'KO Calc'!$H751:$AW751,29,FALSE)))))))))))))</f>
        <v>-</v>
      </c>
      <c r="K745" s="36" t="str">
        <f>IF(AND($Q$1=FALSE,$S$3=FALSE),"-",IF(AND($Q$1=TRUE,$S$3=TRUE),"-",IF(AND($Q$1=FALSE,$S$3=FALSE),"-",IF(AND($Q$1=TRUE,$S$1=TRUE,$S$4=FALSE)=TRUE,IF(OR($Q$4=TRUE,$Q$5=TRUE,$S$2=TRUE),VLOOKUP($G745,'KO Calc'!$H:$AW,15,FALSE),VLOOKUP($G745,'KO Calc'!$H751:$AW751,15,FALSE)),IF(AND($Q$1=TRUE,$S$4=FALSE),IF(OR($Q$4=TRUE,$Q$5=TRUE,$S$2=TRUE),VLOOKUP($G745,'KO Calc'!$H:$AW,5,FALSE),VLOOKUP($G745,'KO Calc'!$H751:$AW751,5,FALSE)),
IF(AND($Q$1=TRUE,$S$1=TRUE,$S$4=TRUE)=TRUE,IF(OR($Q$4=TRUE,$Q$5=TRUE,$S$2=TRUE),VLOOKUP($G745,'KO Calc'!$H:$AW,20,FALSE),VLOOKUP($G745,'KO Calc'!$H751:$AW751,20,FALSE)),IF(AND($Q$1=TRUE,$S$4=TRUE),IF(OR($Q$4=TRUE,$Q$5=TRUE,$S$2=TRUE),VLOOKUP($G745,'KO Calc'!$H:$AW,10,FALSE),VLOOKUP($G745,'KO Calc'!$H751:$AW751,10,FALSE)),
IF(AND($S$3=TRUE,$S$1=TRUE,$S$4=FALSE)=TRUE,IF(OR($Q$4=TRUE,$Q$5=TRUE,$S$2=TRUE),VLOOKUP($G745,'KO Calc'!$H:$AW,35,FALSE),VLOOKUP($G745,'KO Calc'!$H751:$AW751,35,FALSE)),IF(AND($S$3=TRUE,$S$4=FALSE),IF(OR($Q$4=TRUE,$Q$5=TRUE,$S$2=TRUE),VLOOKUP($G745,'KO Calc'!$H:$AW,25,FALSE),VLOOKUP($G745,'KO Calc'!$H751:$AW751,25,FALSE)),
IF(AND($S$3=TRUE,$S$1=TRUE,$S$4=TRUE)=TRUE,IF(OR($Q$4=TRUE,$Q$5=TRUE,$S$2=TRUE),VLOOKUP($G745,'KO Calc'!$H:$AW,40,FALSE),VLOOKUP($G745,'KO Calc'!$H751:$AW751,40,FALSE)),IF(AND($S$3=TRUE,$S$4=TRUE),IF(OR($Q$4=TRUE,$Q$5=TRUE,$S$2=TRUE),VLOOKUP($G745,'KO Calc'!$H:$AW,30,FALSE),VLOOKUP($G745,'KO Calc'!$H751:$AW751,30,FALSE)))))))))))))</f>
        <v>-</v>
      </c>
      <c r="L745" s="36" t="str">
        <f>IFERROR(VLOOKUP($E745,'Status Thresholds'!$E:$AS,41,FALSE),"-")</f>
        <v>-</v>
      </c>
    </row>
    <row r="746" spans="2:14" x14ac:dyDescent="0.25">
      <c r="B746" s="64" t="str">
        <f>VLOOKUP(C746,'Status Thresholds'!B:C,2,FALSE)</f>
        <v>MHGen</v>
      </c>
      <c r="C746" s="46" t="str">
        <f>IF(ISBLANK('KO Calc'!C742)=TRUE,"",'KO Calc'!C742)</f>
        <v>Teostra</v>
      </c>
      <c r="D746" s="78"/>
      <c r="E746" s="62" t="str">
        <f t="shared" si="21"/>
        <v>Teostra</v>
      </c>
      <c r="G746" s="36" t="str">
        <f t="shared" si="22"/>
        <v>Teostra</v>
      </c>
      <c r="L746" s="36" t="str">
        <f>IFERROR(VLOOKUP($E746,'Status Thresholds'!$E:$AS,41,FALSE),"-")</f>
        <v>-</v>
      </c>
    </row>
    <row r="747" spans="2:14" x14ac:dyDescent="0.25">
      <c r="B747" s="64" t="str">
        <f>VLOOKUP(C747,'Status Thresholds'!B:C,2,FALSE)</f>
        <v>MHGen</v>
      </c>
      <c r="C747" s="46" t="str">
        <f>IF(ISBLANK('KO Calc'!C743)=TRUE,"",'KO Calc'!C743)</f>
        <v>Tetsucabra</v>
      </c>
      <c r="D747" s="65" t="s">
        <v>0</v>
      </c>
      <c r="E747" s="62" t="str">
        <f t="shared" si="21"/>
        <v>TetsucabraPara</v>
      </c>
      <c r="F747" s="36" t="s">
        <v>2</v>
      </c>
      <c r="G747" s="36" t="str">
        <f t="shared" si="22"/>
        <v>TetsucabraPara lvl 2</v>
      </c>
      <c r="H747" s="36" t="str">
        <f>IFERROR(ROUNDUP(IF(AND($Q$1=FALSE,$S$3=FALSE),"-",IF(AND($Q$1=TRUE,$S$3=TRUE),"-",IF(AND($Q$1=TRUE,$S$1=TRUE,$S$4=FALSE),VLOOKUP($E747,'Status Thresholds'!$E:$AS,12,FALSE),IF(AND($Q$1=TRUE,$S$4=FALSE),VLOOKUP($E747,'Status Thresholds'!$E:$AS,2,FALSE), IF(AND($Q$1=TRUE,$S$1=TRUE,$S$4=TRUE),VLOOKUP($E747,'Status Thresholds'!$E:$AS,17,FALSE),IF(AND($Q$1=TRUE,$S$4=TRUE),VLOOKUP($E747,'Status Thresholds'!$E:$AS,7,FALSE),IF(AND($S$3=TRUE,$S$1=TRUE,$S$4=FALSE),VLOOKUP($E747,'Status Thresholds'!$E:$AS,32,FALSE),IF(AND($S$3=TRUE,$S$4=FALSE),VLOOKUP($E747,'Status Thresholds'!$E:$AS,22,FALSE),IF(AND($S$3=TRUE,$S$1=TRUE,$S$4=TRUE),VLOOKUP($E747,'Status Thresholds'!$E:$AS,37,FALSE),IF(AND($S$3=TRUE,$S$4=TRUE),VLOOKUP($E747,'Status Thresholds'!$E:$AS,27,FALSE),""))))))))/IF(OR($Q$3=TRUE,AND($Q$2=TRUE,$Q$7=TRUE),AND($Q$3=TRUE,$Q$7=TRUE))=TRUE,'Shots and Status'!$F$5,IF((OR($Q$2,$Q$7)=TRUE),'Shots and Status'!$D$5,'Shots and Status'!$C$5)))),0),"-")</f>
        <v>-</v>
      </c>
      <c r="I747" s="36" t="str">
        <f>IFERROR(ROUNDUP(IF(AND($Q$1=FALSE,$S$3=FALSE),"-",IF(AND($Q$1=TRUE,$S$3=TRUE),"-",IF(AND($Q$1=TRUE,$S$1=TRUE,$S$4=FALSE),VLOOKUP($E747,'Status Thresholds'!$E:$AS,13,FALSE),IF(AND($Q$1=TRUE,$S$4=FALSE),VLOOKUP($E747,'Status Thresholds'!$E:$AS,3,FALSE), IF(AND($Q$1=TRUE,$S$1=TRUE,$S$4=TRUE),VLOOKUP($E747,'Status Thresholds'!$E:$AS,18,FALSE),IF(AND($Q$1=TRUE,$S$4=TRUE),VLOOKUP($E747,'Status Thresholds'!$E:$AS,8,FALSE),IF(AND($S$3=TRUE,$S$1=TRUE,$S$4=FALSE),VLOOKUP($E747,'Status Thresholds'!$E:$AS,33,FALSE),IF(AND($S$3=TRUE,$S$4=FALSE),VLOOKUP($E747,'Status Thresholds'!$E:$AS,23,FALSE),IF(AND($S$3=TRUE,$S$1=TRUE,$S$4=TRUE),VLOOKUP($E747,'Status Thresholds'!$E:$AS,38,FALSE),IF(AND($S$3=TRUE,$S$4=TRUE),VLOOKUP($E747,'Status Thresholds'!$E:$AS,28,FALSE),""))))))))/IF(OR($Q$3=TRUE,AND($Q$2=TRUE,$Q$7=TRUE),AND($Q$3=TRUE,$Q$7=TRUE))=TRUE,'Shots and Status'!$F$5,IF((OR($Q$2,$Q$7)=TRUE),'Shots and Status'!$D$5,'Shots and Status'!$C$5)))),0),"-")</f>
        <v>-</v>
      </c>
      <c r="J747" s="36" t="str">
        <f>IFERROR(ROUNDUP(IF(AND($Q$1=FALSE,$S$3=FALSE),"-",IF(AND($Q$1=TRUE,$S$3=TRUE),"-",IF(AND($Q$1=TRUE,$S$1=TRUE,$S$4=FALSE),VLOOKUP($E747,'Status Thresholds'!$E:$AS,14,FALSE),IF(AND($Q$1=TRUE,$S$4=FALSE),VLOOKUP($E747,'Status Thresholds'!$E:$AS,4,FALSE), IF(AND($Q$1=TRUE,$S$1=TRUE,$S$4=TRUE),VLOOKUP($E747,'Status Thresholds'!$E:$AS,19,FALSE),IF(AND($Q$1=TRUE,$S$4=TRUE),VLOOKUP($E747,'Status Thresholds'!$E:$AS,9,FALSE),IF(AND($S$3=TRUE,$S$1=TRUE,$S$4=FALSE),VLOOKUP($E747,'Status Thresholds'!$E:$AS,34,FALSE),IF(AND($S$3=TRUE,$S$4=FALSE),VLOOKUP($E747,'Status Thresholds'!$E:$AS,24,FALSE),IF(AND($S$3=TRUE,$S$1=TRUE,$S$4=TRUE),VLOOKUP($E747,'Status Thresholds'!$E:$AS,39,FALSE),IF(AND($S$3=TRUE,$S$4=TRUE),VLOOKUP($E747,'Status Thresholds'!$E:$AS,29,FALSE),""))))))))/IF(OR($Q$3=TRUE,AND($Q$2=TRUE,$Q$7=TRUE),AND($Q$3=TRUE,$Q$7=TRUE))=TRUE,'Shots and Status'!$F$5,IF((OR($Q$2,$Q$7)=TRUE),'Shots and Status'!$D$5,'Shots and Status'!$C$5)))),0),"-")</f>
        <v>-</v>
      </c>
      <c r="K747" s="36" t="str">
        <f>IFERROR(ROUNDUP(IF(AND($Q$1=FALSE,$S$3=FALSE),"-",IF(AND($Q$1=TRUE,$S$3=TRUE),"-",IF(AND($Q$1=TRUE,$S$1=TRUE,$S$4=FALSE),VLOOKUP($E747,'Status Thresholds'!$E:$AS,15,FALSE),IF(AND($Q$1=TRUE,$S$4=FALSE),VLOOKUP($E747,'Status Thresholds'!$E:$AS,5,FALSE), IF(AND($Q$1=TRUE,$S$1=TRUE,$S$4=TRUE),VLOOKUP($E747,'Status Thresholds'!$E:$AS,20,FALSE),IF(AND($Q$1=TRUE,$S$4=TRUE),VLOOKUP($E747,'Status Thresholds'!$E:$AS,10,FALSE),IF(AND($S$3=TRUE,$S$1=TRUE,$S$4=FALSE),VLOOKUP($E747,'Status Thresholds'!$E:$AS,35,FALSE),IF(AND($S$3=TRUE,$S$4=FALSE),VLOOKUP($E747,'Status Thresholds'!$E:$AS,25,FALSE),IF(AND($S$3=TRUE,$S$1=TRUE,$S$4=TRUE),VLOOKUP($E747,'Status Thresholds'!$E:$AS,40,FALSE),IF(AND($S$3=TRUE,$S$4=TRUE),VLOOKUP($E747,'Status Thresholds'!$E:$AS,30,FALSE),""))))))))/IF(OR($Q$3=TRUE,AND($Q$2=TRUE,$Q$7=TRUE),AND($Q$3=TRUE,$Q$7=TRUE))=TRUE,'Shots and Status'!$F$5,IF((OR($Q$2,$Q$7)=TRUE),'Shots and Status'!$D$5,'Shots and Status'!$C$5)))),0),"-")</f>
        <v>-</v>
      </c>
      <c r="L747" s="36" t="str">
        <f>IFERROR(IF(AND($Q$1=FALSE,$S$3=FALSE),"-",VLOOKUP($E747,'Status Thresholds'!$E:$AU,41,FALSE)),"-")</f>
        <v>-</v>
      </c>
      <c r="M747" s="36" t="str">
        <f>IFERROR(IF(AND($Q$1=FALSE,$S$3=FALSE),"-",VLOOKUP($E747,'Status Thresholds'!$E:$AU,42,FALSE)),"-")</f>
        <v>-</v>
      </c>
      <c r="N747" s="36" t="str">
        <f>IFERROR(IF(AND($Q$1=FALSE,$S$3=FALSE),"-",VLOOKUP($E747,'Status Thresholds'!$E:$AU,43,FALSE)),"-")</f>
        <v>-</v>
      </c>
    </row>
    <row r="748" spans="2:14" x14ac:dyDescent="0.25">
      <c r="B748" s="64" t="str">
        <f>VLOOKUP(C748,'Status Thresholds'!B:C,2,FALSE)</f>
        <v>MHGen</v>
      </c>
      <c r="C748" s="46" t="str">
        <f>IF(ISBLANK('KO Calc'!C744)=TRUE,"",'KO Calc'!C744)</f>
        <v>Tetsucabra</v>
      </c>
      <c r="D748" s="60" t="s">
        <v>32</v>
      </c>
      <c r="E748" s="62" t="str">
        <f t="shared" si="21"/>
        <v>TetsucabraSleep</v>
      </c>
      <c r="F748" s="59" t="s">
        <v>5</v>
      </c>
      <c r="G748" s="36" t="str">
        <f t="shared" si="22"/>
        <v>TetsucabraSleep lvl 2</v>
      </c>
      <c r="H748" s="36" t="str">
        <f>IFERROR(ROUNDUP(IF(AND($Q$1=FALSE,$S$3=FALSE),"-",IF(AND($Q$1=TRUE,$S$3=TRUE),"-",IF(AND($Q$1=TRUE,$S$1=TRUE,$S$4=FALSE),VLOOKUP($E748,'Status Thresholds'!$E:$AS,12,FALSE),IF(AND($Q$1=TRUE,$S$4=FALSE),VLOOKUP($E748,'Status Thresholds'!$E:$AS,2,FALSE), IF(AND($Q$1=TRUE,$S$1=TRUE,$S$4=TRUE),VLOOKUP($E748,'Status Thresholds'!$E:$AS,17,FALSE),IF(AND($Q$1=TRUE,$S$4=TRUE),VLOOKUP($E748,'Status Thresholds'!$E:$AS,7,FALSE),IF(AND($S$3=TRUE,$S$1=TRUE,$S$4=FALSE),VLOOKUP($E748,'Status Thresholds'!$E:$AS,32,FALSE),IF(AND($S$3=TRUE,$S$4=FALSE),VLOOKUP($E748,'Status Thresholds'!$E:$AS,22,FALSE),IF(AND($S$3=TRUE,$S$1=TRUE,$S$4=TRUE),VLOOKUP($E748,'Status Thresholds'!$E:$AS,37,FALSE),IF(AND($S$3=TRUE,$S$4=TRUE),VLOOKUP($E748,'Status Thresholds'!$E:$AS,27,FALSE),""))))))))/IF(OR($Q$3=TRUE,AND($Q$2=TRUE,$Q$7=TRUE),AND($Q$3=TRUE,$Q$7=TRUE))=TRUE,'Shots and Status'!$F$5,IF((OR($Q$2,$Q$7)=TRUE),'Shots and Status'!$D$5,'Shots and Status'!$C$5)))),0),"-")</f>
        <v>-</v>
      </c>
      <c r="I748" s="36" t="str">
        <f>IFERROR(ROUNDUP(IF(AND($Q$1=FALSE,$S$3=FALSE),"-",IF(AND($Q$1=TRUE,$S$3=TRUE),"-",IF(AND($Q$1=TRUE,$S$1=TRUE,$S$4=FALSE),VLOOKUP($E748,'Status Thresholds'!$E:$AS,13,FALSE),IF(AND($Q$1=TRUE,$S$4=FALSE),VLOOKUP($E748,'Status Thresholds'!$E:$AS,3,FALSE), IF(AND($Q$1=TRUE,$S$1=TRUE,$S$4=TRUE),VLOOKUP($E748,'Status Thresholds'!$E:$AS,18,FALSE),IF(AND($Q$1=TRUE,$S$4=TRUE),VLOOKUP($E748,'Status Thresholds'!$E:$AS,8,FALSE),IF(AND($S$3=TRUE,$S$1=TRUE,$S$4=FALSE),VLOOKUP($E748,'Status Thresholds'!$E:$AS,33,FALSE),IF(AND($S$3=TRUE,$S$4=FALSE),VLOOKUP($E748,'Status Thresholds'!$E:$AS,23,FALSE),IF(AND($S$3=TRUE,$S$1=TRUE,$S$4=TRUE),VLOOKUP($E748,'Status Thresholds'!$E:$AS,38,FALSE),IF(AND($S$3=TRUE,$S$4=TRUE),VLOOKUP($E748,'Status Thresholds'!$E:$AS,28,FALSE),""))))))))/IF(OR($Q$3=TRUE,AND($Q$2=TRUE,$Q$7=TRUE),AND($Q$3=TRUE,$Q$7=TRUE))=TRUE,'Shots and Status'!$F$5,IF((OR($Q$2,$Q$7)=TRUE),'Shots and Status'!$D$5,'Shots and Status'!$C$5)))),0),"-")</f>
        <v>-</v>
      </c>
      <c r="J748" s="36" t="str">
        <f>IFERROR(ROUNDUP(IF(AND($Q$1=FALSE,$S$3=FALSE),"-",IF(AND($Q$1=TRUE,$S$3=TRUE),"-",IF(AND($Q$1=TRUE,$S$1=TRUE,$S$4=FALSE),VLOOKUP($E748,'Status Thresholds'!$E:$AS,14,FALSE),IF(AND($Q$1=TRUE,$S$4=FALSE),VLOOKUP($E748,'Status Thresholds'!$E:$AS,4,FALSE), IF(AND($Q$1=TRUE,$S$1=TRUE,$S$4=TRUE),VLOOKUP($E748,'Status Thresholds'!$E:$AS,19,FALSE),IF(AND($Q$1=TRUE,$S$4=TRUE),VLOOKUP($E748,'Status Thresholds'!$E:$AS,9,FALSE),IF(AND($S$3=TRUE,$S$1=TRUE,$S$4=FALSE),VLOOKUP($E748,'Status Thresholds'!$E:$AS,34,FALSE),IF(AND($S$3=TRUE,$S$4=FALSE),VLOOKUP($E748,'Status Thresholds'!$E:$AS,24,FALSE),IF(AND($S$3=TRUE,$S$1=TRUE,$S$4=TRUE),VLOOKUP($E748,'Status Thresholds'!$E:$AS,39,FALSE),IF(AND($S$3=TRUE,$S$4=TRUE),VLOOKUP($E748,'Status Thresholds'!$E:$AS,29,FALSE),""))))))))/IF(OR($Q$3=TRUE,AND($Q$2=TRUE,$Q$7=TRUE),AND($Q$3=TRUE,$Q$7=TRUE))=TRUE,'Shots and Status'!$F$5,IF((OR($Q$2,$Q$7)=TRUE),'Shots and Status'!$D$5,'Shots and Status'!$C$5)))),0),"-")</f>
        <v>-</v>
      </c>
      <c r="K748" s="36" t="str">
        <f>IFERROR(ROUNDUP(IF(AND($Q$1=FALSE,$S$3=FALSE),"-",IF(AND($Q$1=TRUE,$S$3=TRUE),"-",IF(AND($Q$1=TRUE,$S$1=TRUE,$S$4=FALSE),VLOOKUP($E748,'Status Thresholds'!$E:$AS,15,FALSE),IF(AND($Q$1=TRUE,$S$4=FALSE),VLOOKUP($E748,'Status Thresholds'!$E:$AS,5,FALSE), IF(AND($Q$1=TRUE,$S$1=TRUE,$S$4=TRUE),VLOOKUP($E748,'Status Thresholds'!$E:$AS,20,FALSE),IF(AND($Q$1=TRUE,$S$4=TRUE),VLOOKUP($E748,'Status Thresholds'!$E:$AS,10,FALSE),IF(AND($S$3=TRUE,$S$1=TRUE,$S$4=FALSE),VLOOKUP($E748,'Status Thresholds'!$E:$AS,35,FALSE),IF(AND($S$3=TRUE,$S$4=FALSE),VLOOKUP($E748,'Status Thresholds'!$E:$AS,25,FALSE),IF(AND($S$3=TRUE,$S$1=TRUE,$S$4=TRUE),VLOOKUP($E748,'Status Thresholds'!$E:$AS,40,FALSE),IF(AND($S$3=TRUE,$S$4=TRUE),VLOOKUP($E748,'Status Thresholds'!$E:$AS,30,FALSE),""))))))))/IF(OR($Q$3=TRUE,AND($Q$2=TRUE,$Q$7=TRUE),AND($Q$3=TRUE,$Q$7=TRUE))=TRUE,'Shots and Status'!$F$5,IF((OR($Q$2,$Q$7)=TRUE),'Shots and Status'!$D$5,'Shots and Status'!$C$5)))),0),"-")</f>
        <v>-</v>
      </c>
      <c r="L748" s="36" t="str">
        <f>IFERROR(IF(AND($Q$1=FALSE,$S$3=FALSE),"-",VLOOKUP($E748,'Status Thresholds'!$E:$AU,41,FALSE)),"-")</f>
        <v>-</v>
      </c>
      <c r="M748" s="36" t="str">
        <f>IFERROR(IF(AND($Q$1=FALSE,$S$3=FALSE),"-",VLOOKUP($E748,'Status Thresholds'!$E:$AU,42,FALSE)),"-")</f>
        <v>-</v>
      </c>
      <c r="N748" s="36" t="str">
        <f>IFERROR(IF(AND($Q$1=FALSE,$S$3=FALSE),"-",VLOOKUP($E748,'Status Thresholds'!$E:$AU,43,FALSE)),"-")</f>
        <v>-</v>
      </c>
    </row>
    <row r="749" spans="2:14" x14ac:dyDescent="0.25">
      <c r="B749" s="64" t="str">
        <f>VLOOKUP(C749,'Status Thresholds'!B:C,2,FALSE)</f>
        <v>MHGen</v>
      </c>
      <c r="C749" s="46" t="str">
        <f>IF(ISBLANK('KO Calc'!C745)=TRUE,"",'KO Calc'!C745)</f>
        <v>Tetsucabra</v>
      </c>
      <c r="D749" s="58" t="s">
        <v>33</v>
      </c>
      <c r="E749" s="62" t="str">
        <f t="shared" si="21"/>
        <v>TetsucabraPoison</v>
      </c>
      <c r="F749" s="59" t="s">
        <v>6</v>
      </c>
      <c r="G749" s="36" t="str">
        <f t="shared" si="22"/>
        <v>TetsucabraPoison lvl 2</v>
      </c>
      <c r="H749" s="36" t="str">
        <f>IFERROR(ROUNDUP(IF(AND($Q$1=FALSE,$S$3=FALSE),"-",IF(AND($Q$1=TRUE,$S$3=TRUE),"-",IF(AND($Q$1=TRUE,$S$1=TRUE,$S$4=FALSE),VLOOKUP($E749,'Status Thresholds'!$E:$AS,12,FALSE),IF(AND($Q$1=TRUE,$S$4=FALSE),VLOOKUP($E749,'Status Thresholds'!$E:$AS,2,FALSE), IF(AND($Q$1=TRUE,$S$1=TRUE,$S$4=TRUE),VLOOKUP($E749,'Status Thresholds'!$E:$AS,17,FALSE),IF(AND($Q$1=TRUE,$S$4=TRUE),VLOOKUP($E749,'Status Thresholds'!$E:$AS,7,FALSE),IF(AND($S$3=TRUE,$S$1=TRUE,$S$4=FALSE),VLOOKUP($E749,'Status Thresholds'!$E:$AS,32,FALSE),IF(AND($S$3=TRUE,$S$4=FALSE),VLOOKUP($E749,'Status Thresholds'!$E:$AS,22,FALSE),IF(AND($S$3=TRUE,$S$1=TRUE,$S$4=TRUE),VLOOKUP($E749,'Status Thresholds'!$E:$AS,37,FALSE),IF(AND($S$3=TRUE,$S$4=TRUE),VLOOKUP($E749,'Status Thresholds'!$E:$AS,27,FALSE),""))))))))/IF(OR($Q$3=TRUE,AND($Q$2=TRUE,$Q$7=TRUE),AND($Q$3=TRUE,$Q$7=TRUE))=TRUE,'Shots and Status'!$F$5,IF((OR($Q$2,$Q$7)=TRUE),'Shots and Status'!$D$5,'Shots and Status'!$C$5)))),0),"-")</f>
        <v>-</v>
      </c>
      <c r="I749" s="36" t="str">
        <f>IFERROR(ROUNDUP(IF(AND($Q$1=FALSE,$S$3=FALSE),"-",IF(AND($Q$1=TRUE,$S$3=TRUE),"-",IF(AND($Q$1=TRUE,$S$1=TRUE,$S$4=FALSE),VLOOKUP($E749,'Status Thresholds'!$E:$AS,13,FALSE),IF(AND($Q$1=TRUE,$S$4=FALSE),VLOOKUP($E749,'Status Thresholds'!$E:$AS,3,FALSE), IF(AND($Q$1=TRUE,$S$1=TRUE,$S$4=TRUE),VLOOKUP($E749,'Status Thresholds'!$E:$AS,18,FALSE),IF(AND($Q$1=TRUE,$S$4=TRUE),VLOOKUP($E749,'Status Thresholds'!$E:$AS,8,FALSE),IF(AND($S$3=TRUE,$S$1=TRUE,$S$4=FALSE),VLOOKUP($E749,'Status Thresholds'!$E:$AS,33,FALSE),IF(AND($S$3=TRUE,$S$4=FALSE),VLOOKUP($E749,'Status Thresholds'!$E:$AS,23,FALSE),IF(AND($S$3=TRUE,$S$1=TRUE,$S$4=TRUE),VLOOKUP($E749,'Status Thresholds'!$E:$AS,38,FALSE),IF(AND($S$3=TRUE,$S$4=TRUE),VLOOKUP($E749,'Status Thresholds'!$E:$AS,28,FALSE),""))))))))/IF(OR($Q$3=TRUE,AND($Q$2=TRUE,$Q$7=TRUE),AND($Q$3=TRUE,$Q$7=TRUE))=TRUE,'Shots and Status'!$F$5,IF((OR($Q$2,$Q$7)=TRUE),'Shots and Status'!$D$5,'Shots and Status'!$C$5)))),0),"-")</f>
        <v>-</v>
      </c>
      <c r="J749" s="36" t="str">
        <f>IFERROR(ROUNDUP(IF(AND($Q$1=FALSE,$S$3=FALSE),"-",IF(AND($Q$1=TRUE,$S$3=TRUE),"-",IF(AND($Q$1=TRUE,$S$1=TRUE,$S$4=FALSE),VLOOKUP($E749,'Status Thresholds'!$E:$AS,14,FALSE),IF(AND($Q$1=TRUE,$S$4=FALSE),VLOOKUP($E749,'Status Thresholds'!$E:$AS,4,FALSE), IF(AND($Q$1=TRUE,$S$1=TRUE,$S$4=TRUE),VLOOKUP($E749,'Status Thresholds'!$E:$AS,19,FALSE),IF(AND($Q$1=TRUE,$S$4=TRUE),VLOOKUP($E749,'Status Thresholds'!$E:$AS,9,FALSE),IF(AND($S$3=TRUE,$S$1=TRUE,$S$4=FALSE),VLOOKUP($E749,'Status Thresholds'!$E:$AS,34,FALSE),IF(AND($S$3=TRUE,$S$4=FALSE),VLOOKUP($E749,'Status Thresholds'!$E:$AS,24,FALSE),IF(AND($S$3=TRUE,$S$1=TRUE,$S$4=TRUE),VLOOKUP($E749,'Status Thresholds'!$E:$AS,39,FALSE),IF(AND($S$3=TRUE,$S$4=TRUE),VLOOKUP($E749,'Status Thresholds'!$E:$AS,29,FALSE),""))))))))/IF(OR($Q$3=TRUE,AND($Q$2=TRUE,$Q$7=TRUE),AND($Q$3=TRUE,$Q$7=TRUE))=TRUE,'Shots and Status'!$F$5,IF((OR($Q$2,$Q$7)=TRUE),'Shots and Status'!$D$5,'Shots and Status'!$C$5)))),0),"-")</f>
        <v>-</v>
      </c>
      <c r="K749" s="36" t="str">
        <f>IFERROR(ROUNDUP(IF(AND($Q$1=FALSE,$S$3=FALSE),"-",IF(AND($Q$1=TRUE,$S$3=TRUE),"-",IF(AND($Q$1=TRUE,$S$1=TRUE,$S$4=FALSE),VLOOKUP($E749,'Status Thresholds'!$E:$AS,15,FALSE),IF(AND($Q$1=TRUE,$S$4=FALSE),VLOOKUP($E749,'Status Thresholds'!$E:$AS,5,FALSE), IF(AND($Q$1=TRUE,$S$1=TRUE,$S$4=TRUE),VLOOKUP($E749,'Status Thresholds'!$E:$AS,20,FALSE),IF(AND($Q$1=TRUE,$S$4=TRUE),VLOOKUP($E749,'Status Thresholds'!$E:$AS,10,FALSE),IF(AND($S$3=TRUE,$S$1=TRUE,$S$4=FALSE),VLOOKUP($E749,'Status Thresholds'!$E:$AS,35,FALSE),IF(AND($S$3=TRUE,$S$4=FALSE),VLOOKUP($E749,'Status Thresholds'!$E:$AS,25,FALSE),IF(AND($S$3=TRUE,$S$1=TRUE,$S$4=TRUE),VLOOKUP($E749,'Status Thresholds'!$E:$AS,40,FALSE),IF(AND($S$3=TRUE,$S$4=TRUE),VLOOKUP($E749,'Status Thresholds'!$E:$AS,30,FALSE),""))))))))/IF(OR($Q$3=TRUE,AND($Q$2=TRUE,$Q$7=TRUE),AND($Q$3=TRUE,$Q$7=TRUE))=TRUE,'Shots and Status'!$F$5,IF((OR($Q$2,$Q$7)=TRUE),'Shots and Status'!$D$5,'Shots and Status'!$C$5)))),0),"-")</f>
        <v>-</v>
      </c>
      <c r="L749" s="36" t="str">
        <f>IFERROR(IF(AND($Q$1=FALSE,$S$3=FALSE),"-",VLOOKUP($E749,'Status Thresholds'!$E:$AU,41,FALSE)),"-")</f>
        <v>-</v>
      </c>
      <c r="M749" s="36" t="str">
        <f>IFERROR(IF(AND($Q$1=FALSE,$S$3=FALSE),"-",VLOOKUP($E749,'Status Thresholds'!$E:$AU,42,FALSE)),"-")</f>
        <v>-</v>
      </c>
      <c r="N749" s="36" t="str">
        <f>IFERROR(IF(AND($Q$1=FALSE,$S$3=FALSE),"-",VLOOKUP($E749,'Status Thresholds'!$E:$AU,43,FALSE)),"-")</f>
        <v>-</v>
      </c>
    </row>
    <row r="750" spans="2:14" x14ac:dyDescent="0.25">
      <c r="B750" s="64" t="str">
        <f>VLOOKUP(C750,'Status Thresholds'!B:C,2,FALSE)</f>
        <v>MHGen</v>
      </c>
      <c r="C750" s="46" t="str">
        <f>IF(ISBLANK('KO Calc'!C746)=TRUE,"",'KO Calc'!C746)</f>
        <v>Tetsucabra</v>
      </c>
      <c r="D750" s="57" t="s">
        <v>22</v>
      </c>
      <c r="E750" s="62" t="str">
        <f t="shared" si="21"/>
        <v>TetsucabraExhaust</v>
      </c>
      <c r="F750" s="36" t="s">
        <v>8</v>
      </c>
      <c r="G750" s="36" t="str">
        <f t="shared" si="22"/>
        <v>TetsucabraExhaust lvl 2</v>
      </c>
      <c r="H750" s="36" t="str">
        <f>IFERROR(ROUNDUP(IF(AND($Q$1=FALSE,$S$3=FALSE),"-",IF(AND($Q$1=TRUE,$S$3=TRUE),"-",IF(AND($Q$1=TRUE,$S$1=TRUE,$S$4=FALSE),VLOOKUP($E750,'Status Thresholds'!$E:$AS,12,FALSE),IF(AND($Q$1=TRUE,$S$4=FALSE),VLOOKUP($E750,'Status Thresholds'!$E:$AS,2,FALSE), IF(AND($Q$1=TRUE,$S$1=TRUE,$S$4=TRUE),VLOOKUP($E750,'Status Thresholds'!$E:$AS,17,FALSE),IF(AND($Q$1=TRUE,$S$4=TRUE),VLOOKUP($E750,'Status Thresholds'!$E:$AS,7,FALSE),IF(AND($S$3=TRUE,$S$1=TRUE,$S$4=FALSE),VLOOKUP($E750,'Status Thresholds'!$E:$AS,32,FALSE),IF(AND($S$3=TRUE,$S$4=FALSE),VLOOKUP($E750,'Status Thresholds'!$E:$AS,22,FALSE),IF(AND($S$3=TRUE,$S$1=TRUE,$S$4=TRUE),VLOOKUP($E750,'Status Thresholds'!$E:$AS,37,FALSE),IF(AND($S$3=TRUE,$S$4=TRUE),VLOOKUP($E750,'Status Thresholds'!$E:$AS,27,FALSE),""))))))))/IF(OR($Q$3=TRUE,AND($Q$2=TRUE,$Q$7=TRUE),AND($Q$3=TRUE,$Q$7=TRUE))=TRUE,'Shots and Status'!$F$5,IF((OR($Q$2,$Q$7)=TRUE),'Shots and Status'!$D$5,'Shots and Status'!$C$5)))),0),"-")</f>
        <v>-</v>
      </c>
      <c r="I750" s="36" t="str">
        <f>IFERROR(ROUNDUP(IF(AND($Q$1=FALSE,$S$3=FALSE),"-",IF(AND($Q$1=TRUE,$S$3=TRUE),"-",IF(AND($Q$1=TRUE,$S$1=TRUE,$S$4=FALSE),VLOOKUP($E750,'Status Thresholds'!$E:$AS,13,FALSE),IF(AND($Q$1=TRUE,$S$4=FALSE),VLOOKUP($E750,'Status Thresholds'!$E:$AS,3,FALSE), IF(AND($Q$1=TRUE,$S$1=TRUE,$S$4=TRUE),VLOOKUP($E750,'Status Thresholds'!$E:$AS,18,FALSE),IF(AND($Q$1=TRUE,$S$4=TRUE),VLOOKUP($E750,'Status Thresholds'!$E:$AS,8,FALSE),IF(AND($S$3=TRUE,$S$1=TRUE,$S$4=FALSE),VLOOKUP($E750,'Status Thresholds'!$E:$AS,33,FALSE),IF(AND($S$3=TRUE,$S$4=FALSE),VLOOKUP($E750,'Status Thresholds'!$E:$AS,23,FALSE),IF(AND($S$3=TRUE,$S$1=TRUE,$S$4=TRUE),VLOOKUP($E750,'Status Thresholds'!$E:$AS,38,FALSE),IF(AND($S$3=TRUE,$S$4=TRUE),VLOOKUP($E750,'Status Thresholds'!$E:$AS,28,FALSE),""))))))))/IF(OR($Q$3=TRUE,AND($Q$2=TRUE,$Q$7=TRUE),AND($Q$3=TRUE,$Q$7=TRUE))=TRUE,'Shots and Status'!$F$5,IF((OR($Q$2,$Q$7)=TRUE),'Shots and Status'!$D$5,'Shots and Status'!$C$5)))),0),"-")</f>
        <v>-</v>
      </c>
      <c r="J750" s="36" t="str">
        <f>IFERROR(ROUNDUP(IF(AND($Q$1=FALSE,$S$3=FALSE),"-",IF(AND($Q$1=TRUE,$S$3=TRUE),"-",IF(AND($Q$1=TRUE,$S$1=TRUE,$S$4=FALSE),VLOOKUP($E750,'Status Thresholds'!$E:$AS,14,FALSE),IF(AND($Q$1=TRUE,$S$4=FALSE),VLOOKUP($E750,'Status Thresholds'!$E:$AS,4,FALSE), IF(AND($Q$1=TRUE,$S$1=TRUE,$S$4=TRUE),VLOOKUP($E750,'Status Thresholds'!$E:$AS,19,FALSE),IF(AND($Q$1=TRUE,$S$4=TRUE),VLOOKUP($E750,'Status Thresholds'!$E:$AS,9,FALSE),IF(AND($S$3=TRUE,$S$1=TRUE,$S$4=FALSE),VLOOKUP($E750,'Status Thresholds'!$E:$AS,34,FALSE),IF(AND($S$3=TRUE,$S$4=FALSE),VLOOKUP($E750,'Status Thresholds'!$E:$AS,24,FALSE),IF(AND($S$3=TRUE,$S$1=TRUE,$S$4=TRUE),VLOOKUP($E750,'Status Thresholds'!$E:$AS,39,FALSE),IF(AND($S$3=TRUE,$S$4=TRUE),VLOOKUP($E750,'Status Thresholds'!$E:$AS,29,FALSE),""))))))))/IF(OR($Q$3=TRUE,AND($Q$2=TRUE,$Q$7=TRUE),AND($Q$3=TRUE,$Q$7=TRUE))=TRUE,'Shots and Status'!$F$5,IF((OR($Q$2,$Q$7)=TRUE),'Shots and Status'!$D$5,'Shots and Status'!$C$5)))),0),"-")</f>
        <v>-</v>
      </c>
      <c r="K750" s="36" t="str">
        <f>IFERROR(ROUNDUP(IF(AND($Q$1=FALSE,$S$3=FALSE),"-",IF(AND($Q$1=TRUE,$S$3=TRUE),"-",IF(AND($Q$1=TRUE,$S$1=TRUE,$S$4=FALSE),VLOOKUP($E750,'Status Thresholds'!$E:$AS,15,FALSE),IF(AND($Q$1=TRUE,$S$4=FALSE),VLOOKUP($E750,'Status Thresholds'!$E:$AS,5,FALSE), IF(AND($Q$1=TRUE,$S$1=TRUE,$S$4=TRUE),VLOOKUP($E750,'Status Thresholds'!$E:$AS,20,FALSE),IF(AND($Q$1=TRUE,$S$4=TRUE),VLOOKUP($E750,'Status Thresholds'!$E:$AS,10,FALSE),IF(AND($S$3=TRUE,$S$1=TRUE,$S$4=FALSE),VLOOKUP($E750,'Status Thresholds'!$E:$AS,35,FALSE),IF(AND($S$3=TRUE,$S$4=FALSE),VLOOKUP($E750,'Status Thresholds'!$E:$AS,25,FALSE),IF(AND($S$3=TRUE,$S$1=TRUE,$S$4=TRUE),VLOOKUP($E750,'Status Thresholds'!$E:$AS,40,FALSE),IF(AND($S$3=TRUE,$S$4=TRUE),VLOOKUP($E750,'Status Thresholds'!$E:$AS,30,FALSE),""))))))))/IF(OR($Q$3=TRUE,AND($Q$2=TRUE,$Q$7=TRUE),AND($Q$3=TRUE,$Q$7=TRUE))=TRUE,'Shots and Status'!$F$5,IF((OR($Q$2,$Q$7)=TRUE),'Shots and Status'!$D$5,'Shots and Status'!$C$5)))),0),"-")</f>
        <v>-</v>
      </c>
      <c r="L750" s="36" t="str">
        <f>IFERROR(IF(AND($Q$1=FALSE,$S$3=FALSE),"-",VLOOKUP($E750,'Status Thresholds'!$E:$AU,41,FALSE)),"-")</f>
        <v>-</v>
      </c>
      <c r="M750" s="36" t="str">
        <f>IFERROR(IF(AND($Q$1=FALSE,$S$3=FALSE),"-",VLOOKUP($E750,'Status Thresholds'!$E:$AU,42,FALSE)),"-")</f>
        <v>-</v>
      </c>
      <c r="N750" s="36" t="str">
        <f>IFERROR(IF(AND($Q$1=FALSE,$S$3=FALSE),"-",VLOOKUP($E750,'Status Thresholds'!$E:$AU,43,FALSE)),"-")</f>
        <v>-</v>
      </c>
    </row>
    <row r="751" spans="2:14" x14ac:dyDescent="0.25">
      <c r="B751" s="64" t="str">
        <f>VLOOKUP(C751,'Status Thresholds'!B:C,2,FALSE)</f>
        <v>MHGen</v>
      </c>
      <c r="C751" s="46" t="str">
        <f>IF(ISBLANK('KO Calc'!C747)=TRUE,"",'KO Calc'!C747)</f>
        <v>Tetsucabra</v>
      </c>
      <c r="D751" s="67" t="s">
        <v>14</v>
      </c>
      <c r="E751" s="62" t="str">
        <f t="shared" si="21"/>
        <v>TetsucabraKO</v>
      </c>
      <c r="F751" s="36" t="s">
        <v>21</v>
      </c>
      <c r="G751" s="36" t="str">
        <f t="shared" si="22"/>
        <v>TetsucabraTriblast</v>
      </c>
      <c r="H751" s="36" t="str">
        <f>IF(AND($Q$1=FALSE,$S$3=FALSE),"-",IF(AND($Q$1=TRUE,$S$3=TRUE),"-",IF(AND($Q$1=FALSE,$S$3=FALSE),"-",IF(AND($Q$1=TRUE,$S$1=TRUE,$S$4=FALSE)=TRUE,IF(OR($Q$4=TRUE,$Q$5=TRUE,$S$2=TRUE),VLOOKUP($G751,'KO Calc'!$H:$AW,12,FALSE),VLOOKUP($G751,'KO Calc'!$H757:$AW757,12,FALSE)),IF(AND($Q$1=TRUE,$S$4=FALSE),IF(OR($Q$4=TRUE,$Q$5=TRUE,$S$2=TRUE),VLOOKUP($G751,'KO Calc'!$H:$AW,2,FALSE),VLOOKUP($G751,'KO Calc'!$H757:$AW757,2,FALSE)),
IF(AND($Q$1=TRUE,$S$1=TRUE,$S$4=TRUE)=TRUE,IF(OR($Q$4=TRUE,$Q$5=TRUE,$S$2=TRUE),VLOOKUP($G751,'KO Calc'!$H:$AW,17,FALSE),VLOOKUP($G751,'KO Calc'!$H757:$AW757,17,FALSE)),IF(AND($Q$1=TRUE,$S$4=TRUE),IF(OR($Q$4=TRUE,$Q$5=TRUE,$S$2=TRUE),VLOOKUP($G751,'KO Calc'!$H:$AW,7,FALSE),VLOOKUP($G751,'KO Calc'!$H757:$AW757,7,FALSE)),
IF(AND($S$3=TRUE,$S$1=TRUE,$S$4=FALSE)=TRUE,IF(OR($Q$4=TRUE,$Q$5=TRUE,$S$2=TRUE),VLOOKUP($G751,'KO Calc'!$H:$AW,32,FALSE),VLOOKUP($G751,'KO Calc'!$H757:$AW757,32,FALSE)),IF(AND($S$3=TRUE,$S$4=FALSE),IF(OR($Q$4=TRUE,$Q$5=TRUE,$S$2=TRUE),VLOOKUP($G751,'KO Calc'!$H:$AW,22,FALSE),VLOOKUP($G751,'KO Calc'!$H757:$AW757,22,FALSE)),
IF(AND($S$3=TRUE,$S$1=TRUE,$S$4=TRUE)=TRUE,IF(OR($Q$4=TRUE,$Q$5=TRUE,$S$2=TRUE),VLOOKUP($G751,'KO Calc'!$H:$AW,37,FALSE),VLOOKUP($G751,'KO Calc'!$H757:$AW757,37,FALSE)),IF(AND($S$3=TRUE,$S$4=TRUE),IF(OR($Q$4=TRUE,$Q$5=TRUE,$S$2=TRUE),VLOOKUP($G751,'KO Calc'!$H:$AW,27,FALSE),VLOOKUP($G751,'KO Calc'!$H757:$AW757,27,FALSE)))))))))))))</f>
        <v>-</v>
      </c>
      <c r="I751" s="36" t="str">
        <f>IF(AND($Q$1=FALSE,$S$3=FALSE),"-",IF(AND($Q$1=TRUE,$S$3=TRUE),"-",IF(AND($Q$1=FALSE,$S$3=FALSE),"-",IF(AND($Q$1=TRUE,$S$1=TRUE,$S$4=FALSE)=TRUE,IF(OR($Q$4=TRUE,$Q$5=TRUE,$S$2=TRUE),VLOOKUP($G751,'KO Calc'!$H:$AW,13,FALSE),VLOOKUP($G751,'KO Calc'!$H757:$AW757,13,FALSE)),IF(AND($Q$1=TRUE,$S$4=FALSE),IF(OR($Q$4=TRUE,$Q$5=TRUE,$S$2=TRUE),VLOOKUP($G751,'KO Calc'!$H:$AW,3,FALSE),VLOOKUP($G751,'KO Calc'!$H757:$AW757,3,FALSE)),
IF(AND($Q$1=TRUE,$S$1=TRUE,$S$4=TRUE)=TRUE,IF(OR($Q$4=TRUE,$Q$5=TRUE,$S$2=TRUE),VLOOKUP($G751,'KO Calc'!$H:$AW,18,FALSE),VLOOKUP($G751,'KO Calc'!$H757:$AW757,18,FALSE)),IF(AND($Q$1=TRUE,$S$4=TRUE),IF(OR($Q$4=TRUE,$Q$5=TRUE,$S$2=TRUE),VLOOKUP($G751,'KO Calc'!$H:$AW,8,FALSE),VLOOKUP($G751,'KO Calc'!$H757:$AW757,8,FALSE)),
IF(AND($S$3=TRUE,$S$1=TRUE,$S$4=FALSE)=TRUE,IF(OR($Q$4=TRUE,$Q$5=TRUE,$S$2=TRUE),VLOOKUP($G751,'KO Calc'!$H:$AW,33,FALSE),VLOOKUP($G751,'KO Calc'!$H757:$AW757,33,FALSE)),IF(AND($S$3=TRUE,$S$4=FALSE),IF(OR($Q$4=TRUE,$Q$5=TRUE,$S$2=TRUE),VLOOKUP($G751,'KO Calc'!$H:$AW,23,FALSE),VLOOKUP($G751,'KO Calc'!$H757:$AW757,23,FALSE)),
IF(AND($S$3=TRUE,$S$1=TRUE,$S$4=TRUE)=TRUE,IF(OR($Q$4=TRUE,$Q$5=TRUE,$S$2=TRUE),VLOOKUP($G751,'KO Calc'!$H:$AW,38,FALSE),VLOOKUP($G751,'KO Calc'!$H757:$AW757,38,FALSE)),IF(AND($S$3=TRUE,$S$4=TRUE),IF(OR($Q$4=TRUE,$Q$5=TRUE,$S$2=TRUE),VLOOKUP($G751,'KO Calc'!$H:$AW,28,FALSE),VLOOKUP($G751,'KO Calc'!$H757:$AW757,28,FALSE)))))))))))))</f>
        <v>-</v>
      </c>
      <c r="J751" s="36" t="str">
        <f>IF(AND($Q$1=FALSE,$S$3=FALSE),"-",IF(AND($Q$1=TRUE,$S$3=TRUE),"-",IF(AND($Q$1=FALSE,$S$3=FALSE),"-",IF(AND($Q$1=TRUE,$S$1=TRUE,$S$4=FALSE)=TRUE,IF(OR($Q$4=TRUE,$Q$5=TRUE,$S$2=TRUE),VLOOKUP($G751,'KO Calc'!$H:$AW,FALSE),VLOOKUP($G751,'KO Calc'!$H757:$AW757,14,FALSE)),IF(AND($Q$1=TRUE,$S$4=FALSE),IF(OR($Q$4=TRUE,$Q$5=TRUE,$S$2=TRUE),VLOOKUP($G751,'KO Calc'!$H:$AW,4,FALSE),VLOOKUP($G751,'KO Calc'!$H757:$AW757,4,FALSE)),
IF(AND($Q$1=TRUE,$S$1=TRUE,$S$4=TRUE)=TRUE,IF(OR($Q$4=TRUE,$Q$5=TRUE,$S$2=TRUE),VLOOKUP($G751,'KO Calc'!$H:$AW,19,FALSE),VLOOKUP($G751,'KO Calc'!$H757:$AW757,19,FALSE)),IF(AND($Q$1=TRUE,$S$4=TRUE),IF(OR($Q$4=TRUE,$Q$5=TRUE,$S$2=TRUE),VLOOKUP($G751,'KO Calc'!$H:$AW,9,FALSE),VLOOKUP($G751,'KO Calc'!$H757:$AW757,9,FALSE)),
IF(AND($S$3=TRUE,$S$1=TRUE,$S$4=FALSE)=TRUE,IF(OR($Q$4=TRUE,$Q$5=TRUE,$S$2=TRUE),VLOOKUP($G751,'KO Calc'!$H:$AW,34,FALSE),VLOOKUP($G751,'KO Calc'!$H757:$AW757,34,FALSE)),IF(AND($S$3=TRUE,$S$4=FALSE),IF(OR($Q$4=TRUE,$Q$5=TRUE,$S$2=TRUE),VLOOKUP($G751,'KO Calc'!$H:$AW,24,FALSE),VLOOKUP($G751,'KO Calc'!$H757:$AW757,24,FALSE)),
IF(AND($S$3=TRUE,$S$1=TRUE,$S$4=TRUE)=TRUE,IF(OR($Q$4=TRUE,$Q$5=TRUE,$S$2=TRUE),VLOOKUP($G751,'KO Calc'!$H:$AW,39,FALSE),VLOOKUP($G751,'KO Calc'!$H757:$AW757,39,FALSE)),IF(AND($S$3=TRUE,$S$4=TRUE),IF(OR($Q$4=TRUE,$Q$5=TRUE,$S$2=TRUE),VLOOKUP($G751,'KO Calc'!$H:$AW,29,FALSE),VLOOKUP($G751,'KO Calc'!$H757:$AW757,29,FALSE)))))))))))))</f>
        <v>-</v>
      </c>
      <c r="K751" s="36" t="str">
        <f>IF(AND($Q$1=FALSE,$S$3=FALSE),"-",IF(AND($Q$1=TRUE,$S$3=TRUE),"-",IF(AND($Q$1=FALSE,$S$3=FALSE),"-",IF(AND($Q$1=TRUE,$S$1=TRUE,$S$4=FALSE)=TRUE,IF(OR($Q$4=TRUE,$Q$5=TRUE,$S$2=TRUE),VLOOKUP($G751,'KO Calc'!$H:$AW,15,FALSE),VLOOKUP($G751,'KO Calc'!$H757:$AW757,15,FALSE)),IF(AND($Q$1=TRUE,$S$4=FALSE),IF(OR($Q$4=TRUE,$Q$5=TRUE,$S$2=TRUE),VLOOKUP($G751,'KO Calc'!$H:$AW,5,FALSE),VLOOKUP($G751,'KO Calc'!$H757:$AW757,5,FALSE)),
IF(AND($Q$1=TRUE,$S$1=TRUE,$S$4=TRUE)=TRUE,IF(OR($Q$4=TRUE,$Q$5=TRUE,$S$2=TRUE),VLOOKUP($G751,'KO Calc'!$H:$AW,20,FALSE),VLOOKUP($G751,'KO Calc'!$H757:$AW757,20,FALSE)),IF(AND($Q$1=TRUE,$S$4=TRUE),IF(OR($Q$4=TRUE,$Q$5=TRUE,$S$2=TRUE),VLOOKUP($G751,'KO Calc'!$H:$AW,10,FALSE),VLOOKUP($G751,'KO Calc'!$H757:$AW757,10,FALSE)),
IF(AND($S$3=TRUE,$S$1=TRUE,$S$4=FALSE)=TRUE,IF(OR($Q$4=TRUE,$Q$5=TRUE,$S$2=TRUE),VLOOKUP($G751,'KO Calc'!$H:$AW,35,FALSE),VLOOKUP($G751,'KO Calc'!$H757:$AW757,35,FALSE)),IF(AND($S$3=TRUE,$S$4=FALSE),IF(OR($Q$4=TRUE,$Q$5=TRUE,$S$2=TRUE),VLOOKUP($G751,'KO Calc'!$H:$AW,25,FALSE),VLOOKUP($G751,'KO Calc'!$H757:$AW757,25,FALSE)),
IF(AND($S$3=TRUE,$S$1=TRUE,$S$4=TRUE)=TRUE,IF(OR($Q$4=TRUE,$Q$5=TRUE,$S$2=TRUE),VLOOKUP($G751,'KO Calc'!$H:$AW,40,FALSE),VLOOKUP($G751,'KO Calc'!$H757:$AW757,40,FALSE)),IF(AND($S$3=TRUE,$S$4=TRUE),IF(OR($Q$4=TRUE,$Q$5=TRUE,$S$2=TRUE),VLOOKUP($G751,'KO Calc'!$H:$AW,30,FALSE),VLOOKUP($G751,'KO Calc'!$H757:$AW757,30,FALSE)))))))))))))</f>
        <v>-</v>
      </c>
      <c r="L751" s="36" t="str">
        <f>IFERROR(IF(AND($Q$1=FALSE,$S$3=FALSE),"-",VLOOKUP($E751,'Status Thresholds'!$E:$AU,41,FALSE)),"-")</f>
        <v>-</v>
      </c>
      <c r="M751" s="36" t="str">
        <f>IFERROR(IF(AND($Q$1=FALSE,$S$3=FALSE),"-",VLOOKUP($E751,'Status Thresholds'!$E:$AU,42,FALSE)),"-")</f>
        <v>-</v>
      </c>
      <c r="N751" s="36" t="str">
        <f>IFERROR(IF(AND($Q$1=FALSE,$S$3=FALSE),"-",VLOOKUP($E751,'Status Thresholds'!$E:$AU,43,FALSE)),"-")</f>
        <v>-</v>
      </c>
    </row>
    <row r="752" spans="2:14" x14ac:dyDescent="0.25">
      <c r="B752" s="64" t="str">
        <f>VLOOKUP(C752,'Status Thresholds'!B:C,2,FALSE)</f>
        <v>MHGen</v>
      </c>
      <c r="C752" s="46" t="str">
        <f>IF(ISBLANK('KO Calc'!C748)=TRUE,"",'KO Calc'!C748)</f>
        <v>Tetsucabra</v>
      </c>
      <c r="D752" s="78" t="s">
        <v>207</v>
      </c>
      <c r="E752" s="62" t="str">
        <f t="shared" si="21"/>
        <v>TetsucabraShock Trap</v>
      </c>
      <c r="F752" t="s">
        <v>13</v>
      </c>
      <c r="G752" s="36" t="str">
        <f t="shared" si="22"/>
        <v>TetsucabraCrag 3</v>
      </c>
      <c r="H752" s="36" t="str">
        <f>IF(AND($Q$1=FALSE,$S$3=FALSE),"-",IF(AND($Q$1=TRUE,$S$3=TRUE),"-",IF(AND($Q$1=FALSE,$S$3=FALSE),"-",IF(AND($Q$1=TRUE,$S$1=TRUE,$S$4=FALSE)=TRUE,IF(OR($Q$4=TRUE,$Q$5=TRUE,$S$2=TRUE),VLOOKUP($G752,'KO Calc'!$H:$AW,12,FALSE),VLOOKUP($G752,'KO Calc'!$H758:$AW758,12,FALSE)),IF(AND($Q$1=TRUE,$S$4=FALSE),IF(OR($Q$4=TRUE,$Q$5=TRUE,$S$2=TRUE),VLOOKUP($G752,'KO Calc'!$H:$AW,2,FALSE),VLOOKUP($G752,'KO Calc'!$H758:$AW758,2,FALSE)),
IF(AND($Q$1=TRUE,$S$1=TRUE,$S$4=TRUE)=TRUE,IF(OR($Q$4=TRUE,$Q$5=TRUE,$S$2=TRUE),VLOOKUP($G752,'KO Calc'!$H:$AW,17,FALSE),VLOOKUP($G752,'KO Calc'!$H758:$AW758,17,FALSE)),IF(AND($Q$1=TRUE,$S$4=TRUE),IF(OR($Q$4=TRUE,$Q$5=TRUE,$S$2=TRUE),VLOOKUP($G752,'KO Calc'!$H:$AW,7,FALSE),VLOOKUP($G752,'KO Calc'!$H758:$AW758,7,FALSE)),
IF(AND($S$3=TRUE,$S$1=TRUE,$S$4=FALSE)=TRUE,IF(OR($Q$4=TRUE,$Q$5=TRUE,$S$2=TRUE),VLOOKUP($G752,'KO Calc'!$H:$AW,32,FALSE),VLOOKUP($G752,'KO Calc'!$H758:$AW758,32,FALSE)),IF(AND($S$3=TRUE,$S$4=FALSE),IF(OR($Q$4=TRUE,$Q$5=TRUE,$S$2=TRUE),VLOOKUP($G752,'KO Calc'!$H:$AW,22,FALSE),VLOOKUP($G752,'KO Calc'!$H758:$AW758,22,FALSE)),
IF(AND($S$3=TRUE,$S$1=TRUE,$S$4=TRUE)=TRUE,IF(OR($Q$4=TRUE,$Q$5=TRUE,$S$2=TRUE),VLOOKUP($G752,'KO Calc'!$H:$AW,37,FALSE),VLOOKUP($G752,'KO Calc'!$H758:$AW758,37,FALSE)),IF(AND($S$3=TRUE,$S$4=TRUE),IF(OR($Q$4=TRUE,$Q$5=TRUE,$S$2=TRUE),VLOOKUP($G752,'KO Calc'!$H:$AW,27,FALSE),VLOOKUP($G752,'KO Calc'!$H758:$AW758,27,FALSE)))))))))))))</f>
        <v>-</v>
      </c>
      <c r="I752" s="36" t="str">
        <f>IF(AND($Q$1=FALSE,$S$3=FALSE),"-",IF(AND($Q$1=TRUE,$S$3=TRUE),"-",IF(AND($Q$1=FALSE,$S$3=FALSE),"-",IF(AND($Q$1=TRUE,$S$1=TRUE,$S$4=FALSE)=TRUE,IF(OR($Q$4=TRUE,$Q$5=TRUE,$S$2=TRUE),VLOOKUP($G752,'KO Calc'!$H:$AW,13,FALSE),VLOOKUP($G752,'KO Calc'!$H758:$AW758,13,FALSE)),IF(AND($Q$1=TRUE,$S$4=FALSE),IF(OR($Q$4=TRUE,$Q$5=TRUE,$S$2=TRUE),VLOOKUP($G752,'KO Calc'!$H:$AW,3,FALSE),VLOOKUP($G752,'KO Calc'!$H758:$AW758,3,FALSE)),
IF(AND($Q$1=TRUE,$S$1=TRUE,$S$4=TRUE)=TRUE,IF(OR($Q$4=TRUE,$Q$5=TRUE,$S$2=TRUE),VLOOKUP($G752,'KO Calc'!$H:$AW,18,FALSE),VLOOKUP($G752,'KO Calc'!$H758:$AW758,18,FALSE)),IF(AND($Q$1=TRUE,$S$4=TRUE),IF(OR($Q$4=TRUE,$Q$5=TRUE,$S$2=TRUE),VLOOKUP($G752,'KO Calc'!$H:$AW,8,FALSE),VLOOKUP($G752,'KO Calc'!$H758:$AW758,8,FALSE)),
IF(AND($S$3=TRUE,$S$1=TRUE,$S$4=FALSE)=TRUE,IF(OR($Q$4=TRUE,$Q$5=TRUE,$S$2=TRUE),VLOOKUP($G752,'KO Calc'!$H:$AW,33,FALSE),VLOOKUP($G752,'KO Calc'!$H758:$AW758,33,FALSE)),IF(AND($S$3=TRUE,$S$4=FALSE),IF(OR($Q$4=TRUE,$Q$5=TRUE,$S$2=TRUE),VLOOKUP($G752,'KO Calc'!$H:$AW,23,FALSE),VLOOKUP($G752,'KO Calc'!$H758:$AW758,23,FALSE)),
IF(AND($S$3=TRUE,$S$1=TRUE,$S$4=TRUE)=TRUE,IF(OR($Q$4=TRUE,$Q$5=TRUE,$S$2=TRUE),VLOOKUP($G752,'KO Calc'!$H:$AW,38,FALSE),VLOOKUP($G752,'KO Calc'!$H758:$AW758,38,FALSE)),IF(AND($S$3=TRUE,$S$4=TRUE),IF(OR($Q$4=TRUE,$Q$5=TRUE,$S$2=TRUE),VLOOKUP($G752,'KO Calc'!$H:$AW,28,FALSE),VLOOKUP($G752,'KO Calc'!$H758:$AW758,28,FALSE)))))))))))))</f>
        <v>-</v>
      </c>
      <c r="J752" s="36" t="str">
        <f>IF(AND($Q$1=FALSE,$S$3=FALSE),"-",IF(AND($Q$1=TRUE,$S$3=TRUE),"-",IF(AND($Q$1=FALSE,$S$3=FALSE),"-",IF(AND($Q$1=TRUE,$S$1=TRUE,$S$4=FALSE)=TRUE,IF(OR($Q$4=TRUE,$Q$5=TRUE,$S$2=TRUE),VLOOKUP($G752,'KO Calc'!$H:$AW,FALSE),VLOOKUP($G752,'KO Calc'!$H758:$AW758,14,FALSE)),IF(AND($Q$1=TRUE,$S$4=FALSE),IF(OR($Q$4=TRUE,$Q$5=TRUE,$S$2=TRUE),VLOOKUP($G752,'KO Calc'!$H:$AW,4,FALSE),VLOOKUP($G752,'KO Calc'!$H758:$AW758,4,FALSE)),
IF(AND($Q$1=TRUE,$S$1=TRUE,$S$4=TRUE)=TRUE,IF(OR($Q$4=TRUE,$Q$5=TRUE,$S$2=TRUE),VLOOKUP($G752,'KO Calc'!$H:$AW,19,FALSE),VLOOKUP($G752,'KO Calc'!$H758:$AW758,19,FALSE)),IF(AND($Q$1=TRUE,$S$4=TRUE),IF(OR($Q$4=TRUE,$Q$5=TRUE,$S$2=TRUE),VLOOKUP($G752,'KO Calc'!$H:$AW,9,FALSE),VLOOKUP($G752,'KO Calc'!$H758:$AW758,9,FALSE)),
IF(AND($S$3=TRUE,$S$1=TRUE,$S$4=FALSE)=TRUE,IF(OR($Q$4=TRUE,$Q$5=TRUE,$S$2=TRUE),VLOOKUP($G752,'KO Calc'!$H:$AW,34,FALSE),VLOOKUP($G752,'KO Calc'!$H758:$AW758,34,FALSE)),IF(AND($S$3=TRUE,$S$4=FALSE),IF(OR($Q$4=TRUE,$Q$5=TRUE,$S$2=TRUE),VLOOKUP($G752,'KO Calc'!$H:$AW,24,FALSE),VLOOKUP($G752,'KO Calc'!$H758:$AW758,24,FALSE)),
IF(AND($S$3=TRUE,$S$1=TRUE,$S$4=TRUE)=TRUE,IF(OR($Q$4=TRUE,$Q$5=TRUE,$S$2=TRUE),VLOOKUP($G752,'KO Calc'!$H:$AW,39,FALSE),VLOOKUP($G752,'KO Calc'!$H758:$AW758,39,FALSE)),IF(AND($S$3=TRUE,$S$4=TRUE),IF(OR($Q$4=TRUE,$Q$5=TRUE,$S$2=TRUE),VLOOKUP($G752,'KO Calc'!$H:$AW,29,FALSE),VLOOKUP($G752,'KO Calc'!$H758:$AW758,29,FALSE)))))))))))))</f>
        <v>-</v>
      </c>
      <c r="K752" s="36" t="str">
        <f>IF(AND($Q$1=FALSE,$S$3=FALSE),"-",IF(AND($Q$1=TRUE,$S$3=TRUE),"-",IF(AND($Q$1=FALSE,$S$3=FALSE),"-",IF(AND($Q$1=TRUE,$S$1=TRUE,$S$4=FALSE)=TRUE,IF(OR($Q$4=TRUE,$Q$5=TRUE,$S$2=TRUE),VLOOKUP($G752,'KO Calc'!$H:$AW,15,FALSE),VLOOKUP($G752,'KO Calc'!$H758:$AW758,15,FALSE)),IF(AND($Q$1=TRUE,$S$4=FALSE),IF(OR($Q$4=TRUE,$Q$5=TRUE,$S$2=TRUE),VLOOKUP($G752,'KO Calc'!$H:$AW,5,FALSE),VLOOKUP($G752,'KO Calc'!$H758:$AW758,5,FALSE)),
IF(AND($Q$1=TRUE,$S$1=TRUE,$S$4=TRUE)=TRUE,IF(OR($Q$4=TRUE,$Q$5=TRUE,$S$2=TRUE),VLOOKUP($G752,'KO Calc'!$H:$AW,20,FALSE),VLOOKUP($G752,'KO Calc'!$H758:$AW758,20,FALSE)),IF(AND($Q$1=TRUE,$S$4=TRUE),IF(OR($Q$4=TRUE,$Q$5=TRUE,$S$2=TRUE),VLOOKUP($G752,'KO Calc'!$H:$AW,10,FALSE),VLOOKUP($G752,'KO Calc'!$H758:$AW758,10,FALSE)),
IF(AND($S$3=TRUE,$S$1=TRUE,$S$4=FALSE)=TRUE,IF(OR($Q$4=TRUE,$Q$5=TRUE,$S$2=TRUE),VLOOKUP($G752,'KO Calc'!$H:$AW,35,FALSE),VLOOKUP($G752,'KO Calc'!$H758:$AW758,35,FALSE)),IF(AND($S$3=TRUE,$S$4=FALSE),IF(OR($Q$4=TRUE,$Q$5=TRUE,$S$2=TRUE),VLOOKUP($G752,'KO Calc'!$H:$AW,25,FALSE),VLOOKUP($G752,'KO Calc'!$H758:$AW758,25,FALSE)),
IF(AND($S$3=TRUE,$S$1=TRUE,$S$4=TRUE)=TRUE,IF(OR($Q$4=TRUE,$Q$5=TRUE,$S$2=TRUE),VLOOKUP($G752,'KO Calc'!$H:$AW,40,FALSE),VLOOKUP($G752,'KO Calc'!$H758:$AW758,40,FALSE)),IF(AND($S$3=TRUE,$S$4=TRUE),IF(OR($Q$4=TRUE,$Q$5=TRUE,$S$2=TRUE),VLOOKUP($G752,'KO Calc'!$H:$AW,30,FALSE),VLOOKUP($G752,'KO Calc'!$H758:$AW758,30,FALSE)))))))))))))</f>
        <v>-</v>
      </c>
      <c r="L752" s="36" t="str">
        <f>IFERROR(IF(AND($Q$1=FALSE,$S$3=FALSE),"-",VLOOKUP($E752,'Status Thresholds'!$E:$AU,43,FALSE)),"-")</f>
        <v>-</v>
      </c>
      <c r="M752" s="36" t="str">
        <f>IFERROR(IF(AND($Q$1=FALSE,$S$3=FALSE),"-",VLOOKUP($E752,'Status Thresholds'!$E:$AU,41,FALSE)),"-")</f>
        <v>-</v>
      </c>
      <c r="N752" s="36" t="str">
        <f>IFERROR(IF(AND($Q$1=FALSE,$S$3=FALSE),"-",VLOOKUP($E752,'Status Thresholds'!$E:$AU,42,FALSE)),"-")</f>
        <v>-</v>
      </c>
    </row>
    <row r="753" spans="2:14" x14ac:dyDescent="0.25">
      <c r="B753" s="64" t="str">
        <f>VLOOKUP(C753,'Status Thresholds'!B:C,2,FALSE)</f>
        <v>MHGen</v>
      </c>
      <c r="C753" s="46" t="str">
        <f>IF(ISBLANK('KO Calc'!C749)=TRUE,"",'KO Calc'!C749)</f>
        <v>Tetsucabra</v>
      </c>
      <c r="D753" s="78" t="s">
        <v>213</v>
      </c>
      <c r="E753" s="62" t="str">
        <f t="shared" si="21"/>
        <v>TetsucabraPitfall Trap</v>
      </c>
      <c r="F753" t="s">
        <v>12</v>
      </c>
      <c r="G753" s="36" t="str">
        <f t="shared" si="22"/>
        <v>TetsucabraCrag 2</v>
      </c>
      <c r="H753" s="36" t="str">
        <f>IF(AND($Q$1=FALSE,$S$3=FALSE),"-",IF(AND($Q$1=TRUE,$S$3=TRUE),"-",IF(AND($Q$1=FALSE,$S$3=FALSE),"-",IF(AND($Q$1=TRUE,$S$1=TRUE,$S$4=FALSE)=TRUE,IF(OR($Q$4=TRUE,$Q$5=TRUE,$S$2=TRUE),VLOOKUP($G753,'KO Calc'!$H:$AW,12,FALSE),VLOOKUP($G753,'KO Calc'!$H759:$AW759,12,FALSE)),IF(AND($Q$1=TRUE,$S$4=FALSE),IF(OR($Q$4=TRUE,$Q$5=TRUE,$S$2=TRUE),VLOOKUP($G753,'KO Calc'!$H:$AW,2,FALSE),VLOOKUP($G753,'KO Calc'!$H759:$AW759,2,FALSE)),
IF(AND($Q$1=TRUE,$S$1=TRUE,$S$4=TRUE)=TRUE,IF(OR($Q$4=TRUE,$Q$5=TRUE,$S$2=TRUE),VLOOKUP($G753,'KO Calc'!$H:$AW,17,FALSE),VLOOKUP($G753,'KO Calc'!$H759:$AW759,17,FALSE)),IF(AND($Q$1=TRUE,$S$4=TRUE),IF(OR($Q$4=TRUE,$Q$5=TRUE,$S$2=TRUE),VLOOKUP($G753,'KO Calc'!$H:$AW,7,FALSE),VLOOKUP($G753,'KO Calc'!$H759:$AW759,7,FALSE)),
IF(AND($S$3=TRUE,$S$1=TRUE,$S$4=FALSE)=TRUE,IF(OR($Q$4=TRUE,$Q$5=TRUE,$S$2=TRUE),VLOOKUP($G753,'KO Calc'!$H:$AW,32,FALSE),VLOOKUP($G753,'KO Calc'!$H759:$AW759,32,FALSE)),IF(AND($S$3=TRUE,$S$4=FALSE),IF(OR($Q$4=TRUE,$Q$5=TRUE,$S$2=TRUE),VLOOKUP($G753,'KO Calc'!$H:$AW,22,FALSE),VLOOKUP($G753,'KO Calc'!$H759:$AW759,22,FALSE)),
IF(AND($S$3=TRUE,$S$1=TRUE,$S$4=TRUE)=TRUE,IF(OR($Q$4=TRUE,$Q$5=TRUE,$S$2=TRUE),VLOOKUP($G753,'KO Calc'!$H:$AW,37,FALSE),VLOOKUP($G753,'KO Calc'!$H759:$AW759,37,FALSE)),IF(AND($S$3=TRUE,$S$4=TRUE),IF(OR($Q$4=TRUE,$Q$5=TRUE,$S$2=TRUE),VLOOKUP($G753,'KO Calc'!$H:$AW,27,FALSE),VLOOKUP($G753,'KO Calc'!$H759:$AW759,27,FALSE)))))))))))))</f>
        <v>-</v>
      </c>
      <c r="I753" s="36" t="str">
        <f>IF(AND($Q$1=FALSE,$S$3=FALSE),"-",IF(AND($Q$1=TRUE,$S$3=TRUE),"-",IF(AND($Q$1=FALSE,$S$3=FALSE),"-",IF(AND($Q$1=TRUE,$S$1=TRUE,$S$4=FALSE)=TRUE,IF(OR($Q$4=TRUE,$Q$5=TRUE,$S$2=TRUE),VLOOKUP($G753,'KO Calc'!$H:$AW,13,FALSE),VLOOKUP($G753,'KO Calc'!$H759:$AW759,13,FALSE)),IF(AND($Q$1=TRUE,$S$4=FALSE),IF(OR($Q$4=TRUE,$Q$5=TRUE,$S$2=TRUE),VLOOKUP($G753,'KO Calc'!$H:$AW,3,FALSE),VLOOKUP($G753,'KO Calc'!$H759:$AW759,3,FALSE)),
IF(AND($Q$1=TRUE,$S$1=TRUE,$S$4=TRUE)=TRUE,IF(OR($Q$4=TRUE,$Q$5=TRUE,$S$2=TRUE),VLOOKUP($G753,'KO Calc'!$H:$AW,18,FALSE),VLOOKUP($G753,'KO Calc'!$H759:$AW759,18,FALSE)),IF(AND($Q$1=TRUE,$S$4=TRUE),IF(OR($Q$4=TRUE,$Q$5=TRUE,$S$2=TRUE),VLOOKUP($G753,'KO Calc'!$H:$AW,8,FALSE),VLOOKUP($G753,'KO Calc'!$H759:$AW759,8,FALSE)),
IF(AND($S$3=TRUE,$S$1=TRUE,$S$4=FALSE)=TRUE,IF(OR($Q$4=TRUE,$Q$5=TRUE,$S$2=TRUE),VLOOKUP($G753,'KO Calc'!$H:$AW,33,FALSE),VLOOKUP($G753,'KO Calc'!$H759:$AW759,33,FALSE)),IF(AND($S$3=TRUE,$S$4=FALSE),IF(OR($Q$4=TRUE,$Q$5=TRUE,$S$2=TRUE),VLOOKUP($G753,'KO Calc'!$H:$AW,23,FALSE),VLOOKUP($G753,'KO Calc'!$H759:$AW759,23,FALSE)),
IF(AND($S$3=TRUE,$S$1=TRUE,$S$4=TRUE)=TRUE,IF(OR($Q$4=TRUE,$Q$5=TRUE,$S$2=TRUE),VLOOKUP($G753,'KO Calc'!$H:$AW,38,FALSE),VLOOKUP($G753,'KO Calc'!$H759:$AW759,38,FALSE)),IF(AND($S$3=TRUE,$S$4=TRUE),IF(OR($Q$4=TRUE,$Q$5=TRUE,$S$2=TRUE),VLOOKUP($G753,'KO Calc'!$H:$AW,28,FALSE),VLOOKUP($G753,'KO Calc'!$H759:$AW759,28,FALSE)))))))))))))</f>
        <v>-</v>
      </c>
      <c r="J753" s="36" t="str">
        <f>IF(AND($Q$1=FALSE,$S$3=FALSE),"-",IF(AND($Q$1=TRUE,$S$3=TRUE),"-",IF(AND($Q$1=FALSE,$S$3=FALSE),"-",IF(AND($Q$1=TRUE,$S$1=TRUE,$S$4=FALSE)=TRUE,IF(OR($Q$4=TRUE,$Q$5=TRUE,$S$2=TRUE),VLOOKUP($G753,'KO Calc'!$H:$AW,FALSE),VLOOKUP($G753,'KO Calc'!$H759:$AW759,14,FALSE)),IF(AND($Q$1=TRUE,$S$4=FALSE),IF(OR($Q$4=TRUE,$Q$5=TRUE,$S$2=TRUE),VLOOKUP($G753,'KO Calc'!$H:$AW,4,FALSE),VLOOKUP($G753,'KO Calc'!$H759:$AW759,4,FALSE)),
IF(AND($Q$1=TRUE,$S$1=TRUE,$S$4=TRUE)=TRUE,IF(OR($Q$4=TRUE,$Q$5=TRUE,$S$2=TRUE),VLOOKUP($G753,'KO Calc'!$H:$AW,19,FALSE),VLOOKUP($G753,'KO Calc'!$H759:$AW759,19,FALSE)),IF(AND($Q$1=TRUE,$S$4=TRUE),IF(OR($Q$4=TRUE,$Q$5=TRUE,$S$2=TRUE),VLOOKUP($G753,'KO Calc'!$H:$AW,9,FALSE),VLOOKUP($G753,'KO Calc'!$H759:$AW759,9,FALSE)),
IF(AND($S$3=TRUE,$S$1=TRUE,$S$4=FALSE)=TRUE,IF(OR($Q$4=TRUE,$Q$5=TRUE,$S$2=TRUE),VLOOKUP($G753,'KO Calc'!$H:$AW,34,FALSE),VLOOKUP($G753,'KO Calc'!$H759:$AW759,34,FALSE)),IF(AND($S$3=TRUE,$S$4=FALSE),IF(OR($Q$4=TRUE,$Q$5=TRUE,$S$2=TRUE),VLOOKUP($G753,'KO Calc'!$H:$AW,24,FALSE),VLOOKUP($G753,'KO Calc'!$H759:$AW759,24,FALSE)),
IF(AND($S$3=TRUE,$S$1=TRUE,$S$4=TRUE)=TRUE,IF(OR($Q$4=TRUE,$Q$5=TRUE,$S$2=TRUE),VLOOKUP($G753,'KO Calc'!$H:$AW,39,FALSE),VLOOKUP($G753,'KO Calc'!$H759:$AW759,39,FALSE)),IF(AND($S$3=TRUE,$S$4=TRUE),IF(OR($Q$4=TRUE,$Q$5=TRUE,$S$2=TRUE),VLOOKUP($G753,'KO Calc'!$H:$AW,29,FALSE),VLOOKUP($G753,'KO Calc'!$H759:$AW759,29,FALSE)))))))))))))</f>
        <v>-</v>
      </c>
      <c r="K753" s="36" t="str">
        <f>IF(AND($Q$1=FALSE,$S$3=FALSE),"-",IF(AND($Q$1=TRUE,$S$3=TRUE),"-",IF(AND($Q$1=FALSE,$S$3=FALSE),"-",IF(AND($Q$1=TRUE,$S$1=TRUE,$S$4=FALSE)=TRUE,IF(OR($Q$4=TRUE,$Q$5=TRUE,$S$2=TRUE),VLOOKUP($G753,'KO Calc'!$H:$AW,15,FALSE),VLOOKUP($G753,'KO Calc'!$H759:$AW759,15,FALSE)),IF(AND($Q$1=TRUE,$S$4=FALSE),IF(OR($Q$4=TRUE,$Q$5=TRUE,$S$2=TRUE),VLOOKUP($G753,'KO Calc'!$H:$AW,5,FALSE),VLOOKUP($G753,'KO Calc'!$H759:$AW759,5,FALSE)),
IF(AND($Q$1=TRUE,$S$1=TRUE,$S$4=TRUE)=TRUE,IF(OR($Q$4=TRUE,$Q$5=TRUE,$S$2=TRUE),VLOOKUP($G753,'KO Calc'!$H:$AW,20,FALSE),VLOOKUP($G753,'KO Calc'!$H759:$AW759,20,FALSE)),IF(AND($Q$1=TRUE,$S$4=TRUE),IF(OR($Q$4=TRUE,$Q$5=TRUE,$S$2=TRUE),VLOOKUP($G753,'KO Calc'!$H:$AW,10,FALSE),VLOOKUP($G753,'KO Calc'!$H759:$AW759,10,FALSE)),
IF(AND($S$3=TRUE,$S$1=TRUE,$S$4=FALSE)=TRUE,IF(OR($Q$4=TRUE,$Q$5=TRUE,$S$2=TRUE),VLOOKUP($G753,'KO Calc'!$H:$AW,35,FALSE),VLOOKUP($G753,'KO Calc'!$H759:$AW759,35,FALSE)),IF(AND($S$3=TRUE,$S$4=FALSE),IF(OR($Q$4=TRUE,$Q$5=TRUE,$S$2=TRUE),VLOOKUP($G753,'KO Calc'!$H:$AW,25,FALSE),VLOOKUP($G753,'KO Calc'!$H759:$AW759,25,FALSE)),
IF(AND($S$3=TRUE,$S$1=TRUE,$S$4=TRUE)=TRUE,IF(OR($Q$4=TRUE,$Q$5=TRUE,$S$2=TRUE),VLOOKUP($G753,'KO Calc'!$H:$AW,40,FALSE),VLOOKUP($G753,'KO Calc'!$H759:$AW759,40,FALSE)),IF(AND($S$3=TRUE,$S$4=TRUE),IF(OR($Q$4=TRUE,$Q$5=TRUE,$S$2=TRUE),VLOOKUP($G753,'KO Calc'!$H:$AW,30,FALSE),VLOOKUP($G753,'KO Calc'!$H759:$AW759,30,FALSE)))))))))))))</f>
        <v>-</v>
      </c>
      <c r="L753" s="36" t="str">
        <f>IFERROR(IF(AND($Q$1=FALSE,$S$3=FALSE),"-",VLOOKUP($E753,'Status Thresholds'!$E:$AU,43,FALSE)),"-")</f>
        <v>-</v>
      </c>
      <c r="M753" s="36" t="str">
        <f>IFERROR(IF(AND($Q$1=FALSE,$S$3=FALSE),"-",VLOOKUP($E753,'Status Thresholds'!$E:$AU,41,FALSE)),"-")</f>
        <v>-</v>
      </c>
      <c r="N753" s="36" t="str">
        <f>IFERROR(IF(AND($Q$1=FALSE,$S$3=FALSE),"-",VLOOKUP($E753,'Status Thresholds'!$E:$AU,42,FALSE)),"-")</f>
        <v>-</v>
      </c>
    </row>
    <row r="754" spans="2:14" x14ac:dyDescent="0.25">
      <c r="B754" s="64" t="str">
        <f>VLOOKUP(C754,'Status Thresholds'!B:C,2,FALSE)</f>
        <v>MHGen</v>
      </c>
      <c r="C754" s="46" t="str">
        <f>IF(ISBLANK('KO Calc'!C750)=TRUE,"",'KO Calc'!C750)</f>
        <v>Tetsucabra</v>
      </c>
      <c r="D754" s="78"/>
      <c r="E754" s="62" t="str">
        <f t="shared" si="21"/>
        <v>Tetsucabra</v>
      </c>
      <c r="F754" t="s">
        <v>11</v>
      </c>
      <c r="G754" s="36" t="str">
        <f t="shared" si="22"/>
        <v>TetsucabraCrag 1</v>
      </c>
      <c r="H754" s="36" t="str">
        <f>IF(AND($Q$1=FALSE,$S$3=FALSE),"-",IF(AND($Q$1=TRUE,$S$3=TRUE),"-",IF(AND($Q$1=FALSE,$S$3=FALSE),"-",IF(AND($Q$1=TRUE,$S$1=TRUE,$S$4=FALSE)=TRUE,IF(OR($Q$4=TRUE,$Q$5=TRUE,$S$2=TRUE),VLOOKUP($G754,'KO Calc'!$H:$AW,12,FALSE),VLOOKUP($G754,'KO Calc'!$H760:$AW760,12,FALSE)),IF(AND($Q$1=TRUE,$S$4=FALSE),IF(OR($Q$4=TRUE,$Q$5=TRUE,$S$2=TRUE),VLOOKUP($G754,'KO Calc'!$H:$AW,2,FALSE),VLOOKUP($G754,'KO Calc'!$H760:$AW760,2,FALSE)),
IF(AND($Q$1=TRUE,$S$1=TRUE,$S$4=TRUE)=TRUE,IF(OR($Q$4=TRUE,$Q$5=TRUE,$S$2=TRUE),VLOOKUP($G754,'KO Calc'!$H:$AW,17,FALSE),VLOOKUP($G754,'KO Calc'!$H760:$AW760,17,FALSE)),IF(AND($Q$1=TRUE,$S$4=TRUE),IF(OR($Q$4=TRUE,$Q$5=TRUE,$S$2=TRUE),VLOOKUP($G754,'KO Calc'!$H:$AW,7,FALSE),VLOOKUP($G754,'KO Calc'!$H760:$AW760,7,FALSE)),
IF(AND($S$3=TRUE,$S$1=TRUE,$S$4=FALSE)=TRUE,IF(OR($Q$4=TRUE,$Q$5=TRUE,$S$2=TRUE),VLOOKUP($G754,'KO Calc'!$H:$AW,32,FALSE),VLOOKUP($G754,'KO Calc'!$H760:$AW760,32,FALSE)),IF(AND($S$3=TRUE,$S$4=FALSE),IF(OR($Q$4=TRUE,$Q$5=TRUE,$S$2=TRUE),VLOOKUP($G754,'KO Calc'!$H:$AW,22,FALSE),VLOOKUP($G754,'KO Calc'!$H760:$AW760,22,FALSE)),
IF(AND($S$3=TRUE,$S$1=TRUE,$S$4=TRUE)=TRUE,IF(OR($Q$4=TRUE,$Q$5=TRUE,$S$2=TRUE),VLOOKUP($G754,'KO Calc'!$H:$AW,37,FALSE),VLOOKUP($G754,'KO Calc'!$H760:$AW760,37,FALSE)),IF(AND($S$3=TRUE,$S$4=TRUE),IF(OR($Q$4=TRUE,$Q$5=TRUE,$S$2=TRUE),VLOOKUP($G754,'KO Calc'!$H:$AW,27,FALSE),VLOOKUP($G754,'KO Calc'!$H760:$AW760,27,FALSE)))))))))))))</f>
        <v>-</v>
      </c>
      <c r="I754" s="36" t="str">
        <f>IF(AND($Q$1=FALSE,$S$3=FALSE),"-",IF(AND($Q$1=TRUE,$S$3=TRUE),"-",IF(AND($Q$1=FALSE,$S$3=FALSE),"-",IF(AND($Q$1=TRUE,$S$1=TRUE,$S$4=FALSE)=TRUE,IF(OR($Q$4=TRUE,$Q$5=TRUE,$S$2=TRUE),VLOOKUP($G754,'KO Calc'!$H:$AW,13,FALSE),VLOOKUP($G754,'KO Calc'!$H760:$AW760,13,FALSE)),IF(AND($Q$1=TRUE,$S$4=FALSE),IF(OR($Q$4=TRUE,$Q$5=TRUE,$S$2=TRUE),VLOOKUP($G754,'KO Calc'!$H:$AW,3,FALSE),VLOOKUP($G754,'KO Calc'!$H760:$AW760,3,FALSE)),
IF(AND($Q$1=TRUE,$S$1=TRUE,$S$4=TRUE)=TRUE,IF(OR($Q$4=TRUE,$Q$5=TRUE,$S$2=TRUE),VLOOKUP($G754,'KO Calc'!$H:$AW,18,FALSE),VLOOKUP($G754,'KO Calc'!$H760:$AW760,18,FALSE)),IF(AND($Q$1=TRUE,$S$4=TRUE),IF(OR($Q$4=TRUE,$Q$5=TRUE,$S$2=TRUE),VLOOKUP($G754,'KO Calc'!$H:$AW,8,FALSE),VLOOKUP($G754,'KO Calc'!$H760:$AW760,8,FALSE)),
IF(AND($S$3=TRUE,$S$1=TRUE,$S$4=FALSE)=TRUE,IF(OR($Q$4=TRUE,$Q$5=TRUE,$S$2=TRUE),VLOOKUP($G754,'KO Calc'!$H:$AW,33,FALSE),VLOOKUP($G754,'KO Calc'!$H760:$AW760,33,FALSE)),IF(AND($S$3=TRUE,$S$4=FALSE),IF(OR($Q$4=TRUE,$Q$5=TRUE,$S$2=TRUE),VLOOKUP($G754,'KO Calc'!$H:$AW,23,FALSE),VLOOKUP($G754,'KO Calc'!$H760:$AW760,23,FALSE)),
IF(AND($S$3=TRUE,$S$1=TRUE,$S$4=TRUE)=TRUE,IF(OR($Q$4=TRUE,$Q$5=TRUE,$S$2=TRUE),VLOOKUP($G754,'KO Calc'!$H:$AW,38,FALSE),VLOOKUP($G754,'KO Calc'!$H760:$AW760,38,FALSE)),IF(AND($S$3=TRUE,$S$4=TRUE),IF(OR($Q$4=TRUE,$Q$5=TRUE,$S$2=TRUE),VLOOKUP($G754,'KO Calc'!$H:$AW,28,FALSE),VLOOKUP($G754,'KO Calc'!$H760:$AW760,28,FALSE)))))))))))))</f>
        <v>-</v>
      </c>
      <c r="J754" s="36" t="str">
        <f>IF(AND($Q$1=FALSE,$S$3=FALSE),"-",IF(AND($Q$1=TRUE,$S$3=TRUE),"-",IF(AND($Q$1=FALSE,$S$3=FALSE),"-",IF(AND($Q$1=TRUE,$S$1=TRUE,$S$4=FALSE)=TRUE,IF(OR($Q$4=TRUE,$Q$5=TRUE,$S$2=TRUE),VLOOKUP($G754,'KO Calc'!$H:$AW,FALSE),VLOOKUP($G754,'KO Calc'!$H760:$AW760,14,FALSE)),IF(AND($Q$1=TRUE,$S$4=FALSE),IF(OR($Q$4=TRUE,$Q$5=TRUE,$S$2=TRUE),VLOOKUP($G754,'KO Calc'!$H:$AW,4,FALSE),VLOOKUP($G754,'KO Calc'!$H760:$AW760,4,FALSE)),
IF(AND($Q$1=TRUE,$S$1=TRUE,$S$4=TRUE)=TRUE,IF(OR($Q$4=TRUE,$Q$5=TRUE,$S$2=TRUE),VLOOKUP($G754,'KO Calc'!$H:$AW,19,FALSE),VLOOKUP($G754,'KO Calc'!$H760:$AW760,19,FALSE)),IF(AND($Q$1=TRUE,$S$4=TRUE),IF(OR($Q$4=TRUE,$Q$5=TRUE,$S$2=TRUE),VLOOKUP($G754,'KO Calc'!$H:$AW,9,FALSE),VLOOKUP($G754,'KO Calc'!$H760:$AW760,9,FALSE)),
IF(AND($S$3=TRUE,$S$1=TRUE,$S$4=FALSE)=TRUE,IF(OR($Q$4=TRUE,$Q$5=TRUE,$S$2=TRUE),VLOOKUP($G754,'KO Calc'!$H:$AW,34,FALSE),VLOOKUP($G754,'KO Calc'!$H760:$AW760,34,FALSE)),IF(AND($S$3=TRUE,$S$4=FALSE),IF(OR($Q$4=TRUE,$Q$5=TRUE,$S$2=TRUE),VLOOKUP($G754,'KO Calc'!$H:$AW,24,FALSE),VLOOKUP($G754,'KO Calc'!$H760:$AW760,24,FALSE)),
IF(AND($S$3=TRUE,$S$1=TRUE,$S$4=TRUE)=TRUE,IF(OR($Q$4=TRUE,$Q$5=TRUE,$S$2=TRUE),VLOOKUP($G754,'KO Calc'!$H:$AW,39,FALSE),VLOOKUP($G754,'KO Calc'!$H760:$AW760,39,FALSE)),IF(AND($S$3=TRUE,$S$4=TRUE),IF(OR($Q$4=TRUE,$Q$5=TRUE,$S$2=TRUE),VLOOKUP($G754,'KO Calc'!$H:$AW,29,FALSE),VLOOKUP($G754,'KO Calc'!$H760:$AW760,29,FALSE)))))))))))))</f>
        <v>-</v>
      </c>
      <c r="K754" s="36" t="str">
        <f>IF(AND($Q$1=FALSE,$S$3=FALSE),"-",IF(AND($Q$1=TRUE,$S$3=TRUE),"-",IF(AND($Q$1=FALSE,$S$3=FALSE),"-",IF(AND($Q$1=TRUE,$S$1=TRUE,$S$4=FALSE)=TRUE,IF(OR($Q$4=TRUE,$Q$5=TRUE,$S$2=TRUE),VLOOKUP($G754,'KO Calc'!$H:$AW,15,FALSE),VLOOKUP($G754,'KO Calc'!$H760:$AW760,15,FALSE)),IF(AND($Q$1=TRUE,$S$4=FALSE),IF(OR($Q$4=TRUE,$Q$5=TRUE,$S$2=TRUE),VLOOKUP($G754,'KO Calc'!$H:$AW,5,FALSE),VLOOKUP($G754,'KO Calc'!$H760:$AW760,5,FALSE)),
IF(AND($Q$1=TRUE,$S$1=TRUE,$S$4=TRUE)=TRUE,IF(OR($Q$4=TRUE,$Q$5=TRUE,$S$2=TRUE),VLOOKUP($G754,'KO Calc'!$H:$AW,20,FALSE),VLOOKUP($G754,'KO Calc'!$H760:$AW760,20,FALSE)),IF(AND($Q$1=TRUE,$S$4=TRUE),IF(OR($Q$4=TRUE,$Q$5=TRUE,$S$2=TRUE),VLOOKUP($G754,'KO Calc'!$H:$AW,10,FALSE),VLOOKUP($G754,'KO Calc'!$H760:$AW760,10,FALSE)),
IF(AND($S$3=TRUE,$S$1=TRUE,$S$4=FALSE)=TRUE,IF(OR($Q$4=TRUE,$Q$5=TRUE,$S$2=TRUE),VLOOKUP($G754,'KO Calc'!$H:$AW,35,FALSE),VLOOKUP($G754,'KO Calc'!$H760:$AW760,35,FALSE)),IF(AND($S$3=TRUE,$S$4=FALSE),IF(OR($Q$4=TRUE,$Q$5=TRUE,$S$2=TRUE),VLOOKUP($G754,'KO Calc'!$H:$AW,25,FALSE),VLOOKUP($G754,'KO Calc'!$H760:$AW760,25,FALSE)),
IF(AND($S$3=TRUE,$S$1=TRUE,$S$4=TRUE)=TRUE,IF(OR($Q$4=TRUE,$Q$5=TRUE,$S$2=TRUE),VLOOKUP($G754,'KO Calc'!$H:$AW,40,FALSE),VLOOKUP($G754,'KO Calc'!$H760:$AW760,40,FALSE)),IF(AND($S$3=TRUE,$S$4=TRUE),IF(OR($Q$4=TRUE,$Q$5=TRUE,$S$2=TRUE),VLOOKUP($G754,'KO Calc'!$H:$AW,30,FALSE),VLOOKUP($G754,'KO Calc'!$H760:$AW760,30,FALSE)))))))))))))</f>
        <v>-</v>
      </c>
      <c r="L754" s="36" t="str">
        <f>IFERROR(VLOOKUP($E754,'Status Thresholds'!$E:$AS,41,FALSE),"-")</f>
        <v>-</v>
      </c>
    </row>
    <row r="755" spans="2:14" x14ac:dyDescent="0.25">
      <c r="B755" s="64" t="str">
        <f>VLOOKUP(C755,'Status Thresholds'!B:C,2,FALSE)</f>
        <v>MHGen</v>
      </c>
      <c r="C755" s="46" t="str">
        <f>IF(ISBLANK('KO Calc'!C751)=TRUE,"",'KO Calc'!C751)</f>
        <v>Tetsucabra</v>
      </c>
      <c r="D755" s="78"/>
      <c r="E755" s="62" t="str">
        <f t="shared" si="21"/>
        <v>Tetsucabra</v>
      </c>
      <c r="G755" s="36" t="str">
        <f t="shared" si="22"/>
        <v>Tetsucabra</v>
      </c>
      <c r="L755" s="36" t="str">
        <f>IFERROR(VLOOKUP($E755,'Status Thresholds'!$E:$AS,41,FALSE),"-")</f>
        <v>-</v>
      </c>
    </row>
    <row r="756" spans="2:14" x14ac:dyDescent="0.25">
      <c r="B756" s="64" t="str">
        <f>VLOOKUP(C756,'Status Thresholds'!B:C,2,FALSE)</f>
        <v>Deviant</v>
      </c>
      <c r="C756" s="46" t="str">
        <f>IF(ISBLANK('KO Calc'!C752)=TRUE,"",'KO Calc'!C752)</f>
        <v>Thunderlord</v>
      </c>
      <c r="D756" s="65" t="s">
        <v>0</v>
      </c>
      <c r="E756" s="62" t="str">
        <f t="shared" si="21"/>
        <v>ThunderlordPara</v>
      </c>
      <c r="F756" s="36" t="s">
        <v>2</v>
      </c>
      <c r="G756" s="36" t="str">
        <f t="shared" si="22"/>
        <v>ThunderlordPara lvl 2</v>
      </c>
      <c r="H756" s="36" t="str">
        <f>IFERROR(ROUNDUP(IF(AND($Q$1=FALSE,$S$3=FALSE),"-",IF(AND($Q$1=TRUE,$S$3=TRUE),"-",IF(AND($Q$1=TRUE,$S$1=TRUE,$S$4=FALSE),VLOOKUP($E756,'Status Thresholds'!$E:$AS,12,FALSE),IF(AND($Q$1=TRUE,$S$4=FALSE),VLOOKUP($E756,'Status Thresholds'!$E:$AS,2,FALSE), IF(AND($Q$1=TRUE,$S$1=TRUE,$S$4=TRUE),VLOOKUP($E756,'Status Thresholds'!$E:$AS,17,FALSE),IF(AND($Q$1=TRUE,$S$4=TRUE),VLOOKUP($E756,'Status Thresholds'!$E:$AS,7,FALSE),IF(AND($S$3=TRUE,$S$1=TRUE,$S$4=FALSE),VLOOKUP($E756,'Status Thresholds'!$E:$AS,32,FALSE),IF(AND($S$3=TRUE,$S$4=FALSE),VLOOKUP($E756,'Status Thresholds'!$E:$AS,22,FALSE),IF(AND($S$3=TRUE,$S$1=TRUE,$S$4=TRUE),VLOOKUP($E756,'Status Thresholds'!$E:$AS,37,FALSE),IF(AND($S$3=TRUE,$S$4=TRUE),VLOOKUP($E756,'Status Thresholds'!$E:$AS,27,FALSE),""))))))))/IF(OR($Q$3=TRUE,AND($Q$2=TRUE,$Q$7=TRUE),AND($Q$3=TRUE,$Q$7=TRUE))=TRUE,'Shots and Status'!$F$5,IF((OR($Q$2,$Q$7)=TRUE),'Shots and Status'!$D$5,'Shots and Status'!$C$5)))),0),"-")</f>
        <v>-</v>
      </c>
      <c r="I756" s="36" t="str">
        <f>IFERROR(ROUNDUP(IF(AND($Q$1=FALSE,$S$3=FALSE),"-",IF(AND($Q$1=TRUE,$S$3=TRUE),"-",IF(AND($Q$1=TRUE,$S$1=TRUE,$S$4=FALSE),VLOOKUP($E756,'Status Thresholds'!$E:$AS,13,FALSE),IF(AND($Q$1=TRUE,$S$4=FALSE),VLOOKUP($E756,'Status Thresholds'!$E:$AS,3,FALSE), IF(AND($Q$1=TRUE,$S$1=TRUE,$S$4=TRUE),VLOOKUP($E756,'Status Thresholds'!$E:$AS,18,FALSE),IF(AND($Q$1=TRUE,$S$4=TRUE),VLOOKUP($E756,'Status Thresholds'!$E:$AS,8,FALSE),IF(AND($S$3=TRUE,$S$1=TRUE,$S$4=FALSE),VLOOKUP($E756,'Status Thresholds'!$E:$AS,33,FALSE),IF(AND($S$3=TRUE,$S$4=FALSE),VLOOKUP($E756,'Status Thresholds'!$E:$AS,23,FALSE),IF(AND($S$3=TRUE,$S$1=TRUE,$S$4=TRUE),VLOOKUP($E756,'Status Thresholds'!$E:$AS,38,FALSE),IF(AND($S$3=TRUE,$S$4=TRUE),VLOOKUP($E756,'Status Thresholds'!$E:$AS,28,FALSE),""))))))))/IF(OR($Q$3=TRUE,AND($Q$2=TRUE,$Q$7=TRUE),AND($Q$3=TRUE,$Q$7=TRUE))=TRUE,'Shots and Status'!$F$5,IF((OR($Q$2,$Q$7)=TRUE),'Shots and Status'!$D$5,'Shots and Status'!$C$5)))),0),"-")</f>
        <v>-</v>
      </c>
      <c r="J756" s="36" t="str">
        <f>IFERROR(ROUNDUP(IF(AND($Q$1=FALSE,$S$3=FALSE),"-",IF(AND($Q$1=TRUE,$S$3=TRUE),"-",IF(AND($Q$1=TRUE,$S$1=TRUE,$S$4=FALSE),VLOOKUP($E756,'Status Thresholds'!$E:$AS,14,FALSE),IF(AND($Q$1=TRUE,$S$4=FALSE),VLOOKUP($E756,'Status Thresholds'!$E:$AS,4,FALSE), IF(AND($Q$1=TRUE,$S$1=TRUE,$S$4=TRUE),VLOOKUP($E756,'Status Thresholds'!$E:$AS,19,FALSE),IF(AND($Q$1=TRUE,$S$4=TRUE),VLOOKUP($E756,'Status Thresholds'!$E:$AS,9,FALSE),IF(AND($S$3=TRUE,$S$1=TRUE,$S$4=FALSE),VLOOKUP($E756,'Status Thresholds'!$E:$AS,34,FALSE),IF(AND($S$3=TRUE,$S$4=FALSE),VLOOKUP($E756,'Status Thresholds'!$E:$AS,24,FALSE),IF(AND($S$3=TRUE,$S$1=TRUE,$S$4=TRUE),VLOOKUP($E756,'Status Thresholds'!$E:$AS,39,FALSE),IF(AND($S$3=TRUE,$S$4=TRUE),VLOOKUP($E756,'Status Thresholds'!$E:$AS,29,FALSE),""))))))))/IF(OR($Q$3=TRUE,AND($Q$2=TRUE,$Q$7=TRUE),AND($Q$3=TRUE,$Q$7=TRUE))=TRUE,'Shots and Status'!$F$5,IF((OR($Q$2,$Q$7)=TRUE),'Shots and Status'!$D$5,'Shots and Status'!$C$5)))),0),"-")</f>
        <v>-</v>
      </c>
      <c r="K756" s="36" t="str">
        <f>IFERROR(ROUNDUP(IF(AND($Q$1=FALSE,$S$3=FALSE),"-",IF(AND($Q$1=TRUE,$S$3=TRUE),"-",IF(AND($Q$1=TRUE,$S$1=TRUE,$S$4=FALSE),VLOOKUP($E756,'Status Thresholds'!$E:$AS,15,FALSE),IF(AND($Q$1=TRUE,$S$4=FALSE),VLOOKUP($E756,'Status Thresholds'!$E:$AS,5,FALSE), IF(AND($Q$1=TRUE,$S$1=TRUE,$S$4=TRUE),VLOOKUP($E756,'Status Thresholds'!$E:$AS,20,FALSE),IF(AND($Q$1=TRUE,$S$4=TRUE),VLOOKUP($E756,'Status Thresholds'!$E:$AS,10,FALSE),IF(AND($S$3=TRUE,$S$1=TRUE,$S$4=FALSE),VLOOKUP($E756,'Status Thresholds'!$E:$AS,35,FALSE),IF(AND($S$3=TRUE,$S$4=FALSE),VLOOKUP($E756,'Status Thresholds'!$E:$AS,25,FALSE),IF(AND($S$3=TRUE,$S$1=TRUE,$S$4=TRUE),VLOOKUP($E756,'Status Thresholds'!$E:$AS,40,FALSE),IF(AND($S$3=TRUE,$S$4=TRUE),VLOOKUP($E756,'Status Thresholds'!$E:$AS,30,FALSE),""))))))))/IF(OR($Q$3=TRUE,AND($Q$2=TRUE,$Q$7=TRUE),AND($Q$3=TRUE,$Q$7=TRUE))=TRUE,'Shots and Status'!$F$5,IF((OR($Q$2,$Q$7)=TRUE),'Shots and Status'!$D$5,'Shots and Status'!$C$5)))),0),"-")</f>
        <v>-</v>
      </c>
      <c r="L756" s="36" t="str">
        <f>IFERROR(IF(AND($Q$1=FALSE,$S$3=FALSE),"-",VLOOKUP($E756,'Status Thresholds'!$E:$AU,41,FALSE)),"-")</f>
        <v>-</v>
      </c>
      <c r="M756" s="36" t="str">
        <f>IFERROR(IF(AND($Q$1=FALSE,$S$3=FALSE),"-",VLOOKUP($E756,'Status Thresholds'!$E:$AU,42,FALSE)),"-")</f>
        <v>-</v>
      </c>
      <c r="N756" s="36" t="str">
        <f>IFERROR(IF(AND($Q$1=FALSE,$S$3=FALSE),"-",VLOOKUP($E756,'Status Thresholds'!$E:$AU,43,FALSE)),"-")</f>
        <v>-</v>
      </c>
    </row>
    <row r="757" spans="2:14" x14ac:dyDescent="0.25">
      <c r="B757" s="64" t="str">
        <f>VLOOKUP(C757,'Status Thresholds'!B:C,2,FALSE)</f>
        <v>Deviant</v>
      </c>
      <c r="C757" s="46" t="str">
        <f>IF(ISBLANK('KO Calc'!C753)=TRUE,"",'KO Calc'!C753)</f>
        <v>Thunderlord</v>
      </c>
      <c r="D757" s="60" t="s">
        <v>32</v>
      </c>
      <c r="E757" s="62" t="str">
        <f t="shared" si="21"/>
        <v>ThunderlordSleep</v>
      </c>
      <c r="F757" s="59" t="s">
        <v>5</v>
      </c>
      <c r="G757" s="36" t="str">
        <f t="shared" si="22"/>
        <v>ThunderlordSleep lvl 2</v>
      </c>
      <c r="H757" s="36" t="str">
        <f>IFERROR(ROUNDUP(IF(AND($Q$1=FALSE,$S$3=FALSE),"-",IF(AND($Q$1=TRUE,$S$3=TRUE),"-",IF(AND($Q$1=TRUE,$S$1=TRUE,$S$4=FALSE),VLOOKUP($E757,'Status Thresholds'!$E:$AS,12,FALSE),IF(AND($Q$1=TRUE,$S$4=FALSE),VLOOKUP($E757,'Status Thresholds'!$E:$AS,2,FALSE), IF(AND($Q$1=TRUE,$S$1=TRUE,$S$4=TRUE),VLOOKUP($E757,'Status Thresholds'!$E:$AS,17,FALSE),IF(AND($Q$1=TRUE,$S$4=TRUE),VLOOKUP($E757,'Status Thresholds'!$E:$AS,7,FALSE),IF(AND($S$3=TRUE,$S$1=TRUE,$S$4=FALSE),VLOOKUP($E757,'Status Thresholds'!$E:$AS,32,FALSE),IF(AND($S$3=TRUE,$S$4=FALSE),VLOOKUP($E757,'Status Thresholds'!$E:$AS,22,FALSE),IF(AND($S$3=TRUE,$S$1=TRUE,$S$4=TRUE),VLOOKUP($E757,'Status Thresholds'!$E:$AS,37,FALSE),IF(AND($S$3=TRUE,$S$4=TRUE),VLOOKUP($E757,'Status Thresholds'!$E:$AS,27,FALSE),""))))))))/IF(OR($Q$3=TRUE,AND($Q$2=TRUE,$Q$7=TRUE),AND($Q$3=TRUE,$Q$7=TRUE))=TRUE,'Shots and Status'!$F$5,IF((OR($Q$2,$Q$7)=TRUE),'Shots and Status'!$D$5,'Shots and Status'!$C$5)))),0),"-")</f>
        <v>-</v>
      </c>
      <c r="I757" s="36" t="str">
        <f>IFERROR(ROUNDUP(IF(AND($Q$1=FALSE,$S$3=FALSE),"-",IF(AND($Q$1=TRUE,$S$3=TRUE),"-",IF(AND($Q$1=TRUE,$S$1=TRUE,$S$4=FALSE),VLOOKUP($E757,'Status Thresholds'!$E:$AS,13,FALSE),IF(AND($Q$1=TRUE,$S$4=FALSE),VLOOKUP($E757,'Status Thresholds'!$E:$AS,3,FALSE), IF(AND($Q$1=TRUE,$S$1=TRUE,$S$4=TRUE),VLOOKUP($E757,'Status Thresholds'!$E:$AS,18,FALSE),IF(AND($Q$1=TRUE,$S$4=TRUE),VLOOKUP($E757,'Status Thresholds'!$E:$AS,8,FALSE),IF(AND($S$3=TRUE,$S$1=TRUE,$S$4=FALSE),VLOOKUP($E757,'Status Thresholds'!$E:$AS,33,FALSE),IF(AND($S$3=TRUE,$S$4=FALSE),VLOOKUP($E757,'Status Thresholds'!$E:$AS,23,FALSE),IF(AND($S$3=TRUE,$S$1=TRUE,$S$4=TRUE),VLOOKUP($E757,'Status Thresholds'!$E:$AS,38,FALSE),IF(AND($S$3=TRUE,$S$4=TRUE),VLOOKUP($E757,'Status Thresholds'!$E:$AS,28,FALSE),""))))))))/IF(OR($Q$3=TRUE,AND($Q$2=TRUE,$Q$7=TRUE),AND($Q$3=TRUE,$Q$7=TRUE))=TRUE,'Shots and Status'!$F$5,IF((OR($Q$2,$Q$7)=TRUE),'Shots and Status'!$D$5,'Shots and Status'!$C$5)))),0),"-")</f>
        <v>-</v>
      </c>
      <c r="J757" s="36" t="str">
        <f>IFERROR(ROUNDUP(IF(AND($Q$1=FALSE,$S$3=FALSE),"-",IF(AND($Q$1=TRUE,$S$3=TRUE),"-",IF(AND($Q$1=TRUE,$S$1=TRUE,$S$4=FALSE),VLOOKUP($E757,'Status Thresholds'!$E:$AS,14,FALSE),IF(AND($Q$1=TRUE,$S$4=FALSE),VLOOKUP($E757,'Status Thresholds'!$E:$AS,4,FALSE), IF(AND($Q$1=TRUE,$S$1=TRUE,$S$4=TRUE),VLOOKUP($E757,'Status Thresholds'!$E:$AS,19,FALSE),IF(AND($Q$1=TRUE,$S$4=TRUE),VLOOKUP($E757,'Status Thresholds'!$E:$AS,9,FALSE),IF(AND($S$3=TRUE,$S$1=TRUE,$S$4=FALSE),VLOOKUP($E757,'Status Thresholds'!$E:$AS,34,FALSE),IF(AND($S$3=TRUE,$S$4=FALSE),VLOOKUP($E757,'Status Thresholds'!$E:$AS,24,FALSE),IF(AND($S$3=TRUE,$S$1=TRUE,$S$4=TRUE),VLOOKUP($E757,'Status Thresholds'!$E:$AS,39,FALSE),IF(AND($S$3=TRUE,$S$4=TRUE),VLOOKUP($E757,'Status Thresholds'!$E:$AS,29,FALSE),""))))))))/IF(OR($Q$3=TRUE,AND($Q$2=TRUE,$Q$7=TRUE),AND($Q$3=TRUE,$Q$7=TRUE))=TRUE,'Shots and Status'!$F$5,IF((OR($Q$2,$Q$7)=TRUE),'Shots and Status'!$D$5,'Shots and Status'!$C$5)))),0),"-")</f>
        <v>-</v>
      </c>
      <c r="K757" s="36" t="str">
        <f>IFERROR(ROUNDUP(IF(AND($Q$1=FALSE,$S$3=FALSE),"-",IF(AND($Q$1=TRUE,$S$3=TRUE),"-",IF(AND($Q$1=TRUE,$S$1=TRUE,$S$4=FALSE),VLOOKUP($E757,'Status Thresholds'!$E:$AS,15,FALSE),IF(AND($Q$1=TRUE,$S$4=FALSE),VLOOKUP($E757,'Status Thresholds'!$E:$AS,5,FALSE), IF(AND($Q$1=TRUE,$S$1=TRUE,$S$4=TRUE),VLOOKUP($E757,'Status Thresholds'!$E:$AS,20,FALSE),IF(AND($Q$1=TRUE,$S$4=TRUE),VLOOKUP($E757,'Status Thresholds'!$E:$AS,10,FALSE),IF(AND($S$3=TRUE,$S$1=TRUE,$S$4=FALSE),VLOOKUP($E757,'Status Thresholds'!$E:$AS,35,FALSE),IF(AND($S$3=TRUE,$S$4=FALSE),VLOOKUP($E757,'Status Thresholds'!$E:$AS,25,FALSE),IF(AND($S$3=TRUE,$S$1=TRUE,$S$4=TRUE),VLOOKUP($E757,'Status Thresholds'!$E:$AS,40,FALSE),IF(AND($S$3=TRUE,$S$4=TRUE),VLOOKUP($E757,'Status Thresholds'!$E:$AS,30,FALSE),""))))))))/IF(OR($Q$3=TRUE,AND($Q$2=TRUE,$Q$7=TRUE),AND($Q$3=TRUE,$Q$7=TRUE))=TRUE,'Shots and Status'!$F$5,IF((OR($Q$2,$Q$7)=TRUE),'Shots and Status'!$D$5,'Shots and Status'!$C$5)))),0),"-")</f>
        <v>-</v>
      </c>
      <c r="L757" s="36" t="str">
        <f>IFERROR(IF(AND($Q$1=FALSE,$S$3=FALSE),"-",VLOOKUP($E757,'Status Thresholds'!$E:$AU,41,FALSE)),"-")</f>
        <v>-</v>
      </c>
      <c r="M757" s="36" t="str">
        <f>IFERROR(IF(AND($Q$1=FALSE,$S$3=FALSE),"-",VLOOKUP($E757,'Status Thresholds'!$E:$AU,42,FALSE)),"-")</f>
        <v>-</v>
      </c>
      <c r="N757" s="36" t="str">
        <f>IFERROR(IF(AND($Q$1=FALSE,$S$3=FALSE),"-",VLOOKUP($E757,'Status Thresholds'!$E:$AU,43,FALSE)),"-")</f>
        <v>-</v>
      </c>
    </row>
    <row r="758" spans="2:14" x14ac:dyDescent="0.25">
      <c r="B758" s="64" t="str">
        <f>VLOOKUP(C758,'Status Thresholds'!B:C,2,FALSE)</f>
        <v>Deviant</v>
      </c>
      <c r="C758" s="46" t="str">
        <f>IF(ISBLANK('KO Calc'!C754)=TRUE,"",'KO Calc'!C754)</f>
        <v>Thunderlord</v>
      </c>
      <c r="D758" s="58" t="s">
        <v>33</v>
      </c>
      <c r="E758" s="62" t="str">
        <f t="shared" si="21"/>
        <v>ThunderlordPoison</v>
      </c>
      <c r="F758" s="59" t="s">
        <v>6</v>
      </c>
      <c r="G758" s="36" t="str">
        <f t="shared" si="22"/>
        <v>ThunderlordPoison lvl 2</v>
      </c>
      <c r="H758" s="36" t="str">
        <f>IFERROR(ROUNDUP(IF(AND($Q$1=FALSE,$S$3=FALSE),"-",IF(AND($Q$1=TRUE,$S$3=TRUE),"-",IF(AND($Q$1=TRUE,$S$1=TRUE,$S$4=FALSE),VLOOKUP($E758,'Status Thresholds'!$E:$AS,12,FALSE),IF(AND($Q$1=TRUE,$S$4=FALSE),VLOOKUP($E758,'Status Thresholds'!$E:$AS,2,FALSE), IF(AND($Q$1=TRUE,$S$1=TRUE,$S$4=TRUE),VLOOKUP($E758,'Status Thresholds'!$E:$AS,17,FALSE),IF(AND($Q$1=TRUE,$S$4=TRUE),VLOOKUP($E758,'Status Thresholds'!$E:$AS,7,FALSE),IF(AND($S$3=TRUE,$S$1=TRUE,$S$4=FALSE),VLOOKUP($E758,'Status Thresholds'!$E:$AS,32,FALSE),IF(AND($S$3=TRUE,$S$4=FALSE),VLOOKUP($E758,'Status Thresholds'!$E:$AS,22,FALSE),IF(AND($S$3=TRUE,$S$1=TRUE,$S$4=TRUE),VLOOKUP($E758,'Status Thresholds'!$E:$AS,37,FALSE),IF(AND($S$3=TRUE,$S$4=TRUE),VLOOKUP($E758,'Status Thresholds'!$E:$AS,27,FALSE),""))))))))/IF(OR($Q$3=TRUE,AND($Q$2=TRUE,$Q$7=TRUE),AND($Q$3=TRUE,$Q$7=TRUE))=TRUE,'Shots and Status'!$F$5,IF((OR($Q$2,$Q$7)=TRUE),'Shots and Status'!$D$5,'Shots and Status'!$C$5)))),0),"-")</f>
        <v>-</v>
      </c>
      <c r="I758" s="36" t="str">
        <f>IFERROR(ROUNDUP(IF(AND($Q$1=FALSE,$S$3=FALSE),"-",IF(AND($Q$1=TRUE,$S$3=TRUE),"-",IF(AND($Q$1=TRUE,$S$1=TRUE,$S$4=FALSE),VLOOKUP($E758,'Status Thresholds'!$E:$AS,13,FALSE),IF(AND($Q$1=TRUE,$S$4=FALSE),VLOOKUP($E758,'Status Thresholds'!$E:$AS,3,FALSE), IF(AND($Q$1=TRUE,$S$1=TRUE,$S$4=TRUE),VLOOKUP($E758,'Status Thresholds'!$E:$AS,18,FALSE),IF(AND($Q$1=TRUE,$S$4=TRUE),VLOOKUP($E758,'Status Thresholds'!$E:$AS,8,FALSE),IF(AND($S$3=TRUE,$S$1=TRUE,$S$4=FALSE),VLOOKUP($E758,'Status Thresholds'!$E:$AS,33,FALSE),IF(AND($S$3=TRUE,$S$4=FALSE),VLOOKUP($E758,'Status Thresholds'!$E:$AS,23,FALSE),IF(AND($S$3=TRUE,$S$1=TRUE,$S$4=TRUE),VLOOKUP($E758,'Status Thresholds'!$E:$AS,38,FALSE),IF(AND($S$3=TRUE,$S$4=TRUE),VLOOKUP($E758,'Status Thresholds'!$E:$AS,28,FALSE),""))))))))/IF(OR($Q$3=TRUE,AND($Q$2=TRUE,$Q$7=TRUE),AND($Q$3=TRUE,$Q$7=TRUE))=TRUE,'Shots and Status'!$F$5,IF((OR($Q$2,$Q$7)=TRUE),'Shots and Status'!$D$5,'Shots and Status'!$C$5)))),0),"-")</f>
        <v>-</v>
      </c>
      <c r="J758" s="36" t="str">
        <f>IFERROR(ROUNDUP(IF(AND($Q$1=FALSE,$S$3=FALSE),"-",IF(AND($Q$1=TRUE,$S$3=TRUE),"-",IF(AND($Q$1=TRUE,$S$1=TRUE,$S$4=FALSE),VLOOKUP($E758,'Status Thresholds'!$E:$AS,14,FALSE),IF(AND($Q$1=TRUE,$S$4=FALSE),VLOOKUP($E758,'Status Thresholds'!$E:$AS,4,FALSE), IF(AND($Q$1=TRUE,$S$1=TRUE,$S$4=TRUE),VLOOKUP($E758,'Status Thresholds'!$E:$AS,19,FALSE),IF(AND($Q$1=TRUE,$S$4=TRUE),VLOOKUP($E758,'Status Thresholds'!$E:$AS,9,FALSE),IF(AND($S$3=TRUE,$S$1=TRUE,$S$4=FALSE),VLOOKUP($E758,'Status Thresholds'!$E:$AS,34,FALSE),IF(AND($S$3=TRUE,$S$4=FALSE),VLOOKUP($E758,'Status Thresholds'!$E:$AS,24,FALSE),IF(AND($S$3=TRUE,$S$1=TRUE,$S$4=TRUE),VLOOKUP($E758,'Status Thresholds'!$E:$AS,39,FALSE),IF(AND($S$3=TRUE,$S$4=TRUE),VLOOKUP($E758,'Status Thresholds'!$E:$AS,29,FALSE),""))))))))/IF(OR($Q$3=TRUE,AND($Q$2=TRUE,$Q$7=TRUE),AND($Q$3=TRUE,$Q$7=TRUE))=TRUE,'Shots and Status'!$F$5,IF((OR($Q$2,$Q$7)=TRUE),'Shots and Status'!$D$5,'Shots and Status'!$C$5)))),0),"-")</f>
        <v>-</v>
      </c>
      <c r="K758" s="36" t="str">
        <f>IFERROR(ROUNDUP(IF(AND($Q$1=FALSE,$S$3=FALSE),"-",IF(AND($Q$1=TRUE,$S$3=TRUE),"-",IF(AND($Q$1=TRUE,$S$1=TRUE,$S$4=FALSE),VLOOKUP($E758,'Status Thresholds'!$E:$AS,15,FALSE),IF(AND($Q$1=TRUE,$S$4=FALSE),VLOOKUP($E758,'Status Thresholds'!$E:$AS,5,FALSE), IF(AND($Q$1=TRUE,$S$1=TRUE,$S$4=TRUE),VLOOKUP($E758,'Status Thresholds'!$E:$AS,20,FALSE),IF(AND($Q$1=TRUE,$S$4=TRUE),VLOOKUP($E758,'Status Thresholds'!$E:$AS,10,FALSE),IF(AND($S$3=TRUE,$S$1=TRUE,$S$4=FALSE),VLOOKUP($E758,'Status Thresholds'!$E:$AS,35,FALSE),IF(AND($S$3=TRUE,$S$4=FALSE),VLOOKUP($E758,'Status Thresholds'!$E:$AS,25,FALSE),IF(AND($S$3=TRUE,$S$1=TRUE,$S$4=TRUE),VLOOKUP($E758,'Status Thresholds'!$E:$AS,40,FALSE),IF(AND($S$3=TRUE,$S$4=TRUE),VLOOKUP($E758,'Status Thresholds'!$E:$AS,30,FALSE),""))))))))/IF(OR($Q$3=TRUE,AND($Q$2=TRUE,$Q$7=TRUE),AND($Q$3=TRUE,$Q$7=TRUE))=TRUE,'Shots and Status'!$F$5,IF((OR($Q$2,$Q$7)=TRUE),'Shots and Status'!$D$5,'Shots and Status'!$C$5)))),0),"-")</f>
        <v>-</v>
      </c>
      <c r="L758" s="36" t="str">
        <f>IFERROR(IF(AND($Q$1=FALSE,$S$3=FALSE),"-",VLOOKUP($E758,'Status Thresholds'!$E:$AU,41,FALSE)),"-")</f>
        <v>-</v>
      </c>
      <c r="M758" s="36" t="str">
        <f>IFERROR(IF(AND($Q$1=FALSE,$S$3=FALSE),"-",VLOOKUP($E758,'Status Thresholds'!$E:$AU,42,FALSE)),"-")</f>
        <v>-</v>
      </c>
      <c r="N758" s="36" t="str">
        <f>IFERROR(IF(AND($Q$1=FALSE,$S$3=FALSE),"-",VLOOKUP($E758,'Status Thresholds'!$E:$AU,43,FALSE)),"-")</f>
        <v>-</v>
      </c>
    </row>
    <row r="759" spans="2:14" x14ac:dyDescent="0.25">
      <c r="B759" s="64" t="str">
        <f>VLOOKUP(C759,'Status Thresholds'!B:C,2,FALSE)</f>
        <v>Deviant</v>
      </c>
      <c r="C759" s="46" t="str">
        <f>IF(ISBLANK('KO Calc'!C755)=TRUE,"",'KO Calc'!C755)</f>
        <v>Thunderlord</v>
      </c>
      <c r="D759" s="57" t="s">
        <v>22</v>
      </c>
      <c r="E759" s="62" t="str">
        <f t="shared" si="21"/>
        <v>ThunderlordExhaust</v>
      </c>
      <c r="F759" s="36" t="s">
        <v>8</v>
      </c>
      <c r="G759" s="36" t="str">
        <f t="shared" si="22"/>
        <v>ThunderlordExhaust lvl 2</v>
      </c>
      <c r="H759" s="36" t="str">
        <f>IFERROR(ROUNDUP(IF(AND($Q$1=FALSE,$S$3=FALSE),"-",IF(AND($Q$1=TRUE,$S$3=TRUE),"-",IF(AND($Q$1=TRUE,$S$1=TRUE,$S$4=FALSE),VLOOKUP($E759,'Status Thresholds'!$E:$AS,12,FALSE),IF(AND($Q$1=TRUE,$S$4=FALSE),VLOOKUP($E759,'Status Thresholds'!$E:$AS,2,FALSE), IF(AND($Q$1=TRUE,$S$1=TRUE,$S$4=TRUE),VLOOKUP($E759,'Status Thresholds'!$E:$AS,17,FALSE),IF(AND($Q$1=TRUE,$S$4=TRUE),VLOOKUP($E759,'Status Thresholds'!$E:$AS,7,FALSE),IF(AND($S$3=TRUE,$S$1=TRUE,$S$4=FALSE),VLOOKUP($E759,'Status Thresholds'!$E:$AS,32,FALSE),IF(AND($S$3=TRUE,$S$4=FALSE),VLOOKUP($E759,'Status Thresholds'!$E:$AS,22,FALSE),IF(AND($S$3=TRUE,$S$1=TRUE,$S$4=TRUE),VLOOKUP($E759,'Status Thresholds'!$E:$AS,37,FALSE),IF(AND($S$3=TRUE,$S$4=TRUE),VLOOKUP($E759,'Status Thresholds'!$E:$AS,27,FALSE),""))))))))/IF(OR($Q$3=TRUE,AND($Q$2=TRUE,$Q$7=TRUE),AND($Q$3=TRUE,$Q$7=TRUE))=TRUE,'Shots and Status'!$F$5,IF((OR($Q$2,$Q$7)=TRUE),'Shots and Status'!$D$5,'Shots and Status'!$C$5)))),0),"-")</f>
        <v>-</v>
      </c>
      <c r="I759" s="36" t="str">
        <f>IFERROR(ROUNDUP(IF(AND($Q$1=FALSE,$S$3=FALSE),"-",IF(AND($Q$1=TRUE,$S$3=TRUE),"-",IF(AND($Q$1=TRUE,$S$1=TRUE,$S$4=FALSE),VLOOKUP($E759,'Status Thresholds'!$E:$AS,13,FALSE),IF(AND($Q$1=TRUE,$S$4=FALSE),VLOOKUP($E759,'Status Thresholds'!$E:$AS,3,FALSE), IF(AND($Q$1=TRUE,$S$1=TRUE,$S$4=TRUE),VLOOKUP($E759,'Status Thresholds'!$E:$AS,18,FALSE),IF(AND($Q$1=TRUE,$S$4=TRUE),VLOOKUP($E759,'Status Thresholds'!$E:$AS,8,FALSE),IF(AND($S$3=TRUE,$S$1=TRUE,$S$4=FALSE),VLOOKUP($E759,'Status Thresholds'!$E:$AS,33,FALSE),IF(AND($S$3=TRUE,$S$4=FALSE),VLOOKUP($E759,'Status Thresholds'!$E:$AS,23,FALSE),IF(AND($S$3=TRUE,$S$1=TRUE,$S$4=TRUE),VLOOKUP($E759,'Status Thresholds'!$E:$AS,38,FALSE),IF(AND($S$3=TRUE,$S$4=TRUE),VLOOKUP($E759,'Status Thresholds'!$E:$AS,28,FALSE),""))))))))/IF(OR($Q$3=TRUE,AND($Q$2=TRUE,$Q$7=TRUE),AND($Q$3=TRUE,$Q$7=TRUE))=TRUE,'Shots and Status'!$F$5,IF((OR($Q$2,$Q$7)=TRUE),'Shots and Status'!$D$5,'Shots and Status'!$C$5)))),0),"-")</f>
        <v>-</v>
      </c>
      <c r="J759" s="36" t="str">
        <f>IFERROR(ROUNDUP(IF(AND($Q$1=FALSE,$S$3=FALSE),"-",IF(AND($Q$1=TRUE,$S$3=TRUE),"-",IF(AND($Q$1=TRUE,$S$1=TRUE,$S$4=FALSE),VLOOKUP($E759,'Status Thresholds'!$E:$AS,14,FALSE),IF(AND($Q$1=TRUE,$S$4=FALSE),VLOOKUP($E759,'Status Thresholds'!$E:$AS,4,FALSE), IF(AND($Q$1=TRUE,$S$1=TRUE,$S$4=TRUE),VLOOKUP($E759,'Status Thresholds'!$E:$AS,19,FALSE),IF(AND($Q$1=TRUE,$S$4=TRUE),VLOOKUP($E759,'Status Thresholds'!$E:$AS,9,FALSE),IF(AND($S$3=TRUE,$S$1=TRUE,$S$4=FALSE),VLOOKUP($E759,'Status Thresholds'!$E:$AS,34,FALSE),IF(AND($S$3=TRUE,$S$4=FALSE),VLOOKUP($E759,'Status Thresholds'!$E:$AS,24,FALSE),IF(AND($S$3=TRUE,$S$1=TRUE,$S$4=TRUE),VLOOKUP($E759,'Status Thresholds'!$E:$AS,39,FALSE),IF(AND($S$3=TRUE,$S$4=TRUE),VLOOKUP($E759,'Status Thresholds'!$E:$AS,29,FALSE),""))))))))/IF(OR($Q$3=TRUE,AND($Q$2=TRUE,$Q$7=TRUE),AND($Q$3=TRUE,$Q$7=TRUE))=TRUE,'Shots and Status'!$F$5,IF((OR($Q$2,$Q$7)=TRUE),'Shots and Status'!$D$5,'Shots and Status'!$C$5)))),0),"-")</f>
        <v>-</v>
      </c>
      <c r="K759" s="36" t="str">
        <f>IFERROR(ROUNDUP(IF(AND($Q$1=FALSE,$S$3=FALSE),"-",IF(AND($Q$1=TRUE,$S$3=TRUE),"-",IF(AND($Q$1=TRUE,$S$1=TRUE,$S$4=FALSE),VLOOKUP($E759,'Status Thresholds'!$E:$AS,15,FALSE),IF(AND($Q$1=TRUE,$S$4=FALSE),VLOOKUP($E759,'Status Thresholds'!$E:$AS,5,FALSE), IF(AND($Q$1=TRUE,$S$1=TRUE,$S$4=TRUE),VLOOKUP($E759,'Status Thresholds'!$E:$AS,20,FALSE),IF(AND($Q$1=TRUE,$S$4=TRUE),VLOOKUP($E759,'Status Thresholds'!$E:$AS,10,FALSE),IF(AND($S$3=TRUE,$S$1=TRUE,$S$4=FALSE),VLOOKUP($E759,'Status Thresholds'!$E:$AS,35,FALSE),IF(AND($S$3=TRUE,$S$4=FALSE),VLOOKUP($E759,'Status Thresholds'!$E:$AS,25,FALSE),IF(AND($S$3=TRUE,$S$1=TRUE,$S$4=TRUE),VLOOKUP($E759,'Status Thresholds'!$E:$AS,40,FALSE),IF(AND($S$3=TRUE,$S$4=TRUE),VLOOKUP($E759,'Status Thresholds'!$E:$AS,30,FALSE),""))))))))/IF(OR($Q$3=TRUE,AND($Q$2=TRUE,$Q$7=TRUE),AND($Q$3=TRUE,$Q$7=TRUE))=TRUE,'Shots and Status'!$F$5,IF((OR($Q$2,$Q$7)=TRUE),'Shots and Status'!$D$5,'Shots and Status'!$C$5)))),0),"-")</f>
        <v>-</v>
      </c>
      <c r="L759" s="36" t="str">
        <f>IFERROR(IF(AND($Q$1=FALSE,$S$3=FALSE),"-",VLOOKUP($E759,'Status Thresholds'!$E:$AU,41,FALSE)),"-")</f>
        <v>-</v>
      </c>
      <c r="M759" s="36" t="str">
        <f>IFERROR(IF(AND($Q$1=FALSE,$S$3=FALSE),"-",VLOOKUP($E759,'Status Thresholds'!$E:$AU,42,FALSE)),"-")</f>
        <v>-</v>
      </c>
      <c r="N759" s="36" t="str">
        <f>IFERROR(IF(AND($Q$1=FALSE,$S$3=FALSE),"-",VLOOKUP($E759,'Status Thresholds'!$E:$AU,43,FALSE)),"-")</f>
        <v>-</v>
      </c>
    </row>
    <row r="760" spans="2:14" x14ac:dyDescent="0.25">
      <c r="B760" s="64" t="str">
        <f>VLOOKUP(C760,'Status Thresholds'!B:C,2,FALSE)</f>
        <v>Deviant</v>
      </c>
      <c r="C760" s="46" t="str">
        <f>IF(ISBLANK('KO Calc'!C756)=TRUE,"",'KO Calc'!C756)</f>
        <v>Thunderlord</v>
      </c>
      <c r="D760" s="67" t="s">
        <v>14</v>
      </c>
      <c r="E760" s="62" t="str">
        <f t="shared" si="21"/>
        <v>ThunderlordKO</v>
      </c>
      <c r="F760" s="36" t="s">
        <v>21</v>
      </c>
      <c r="G760" s="36" t="str">
        <f t="shared" si="22"/>
        <v>ThunderlordTriblast</v>
      </c>
      <c r="H760" s="36" t="str">
        <f>IF(AND($Q$1=FALSE,$S$3=FALSE),"-",IF(AND($Q$1=TRUE,$S$3=TRUE),"-",IF(AND($Q$1=FALSE,$S$3=FALSE),"-",IF(AND($Q$1=TRUE,$S$1=TRUE,$S$4=FALSE)=TRUE,IF(OR($Q$4=TRUE,$Q$5=TRUE,$S$2=TRUE),VLOOKUP($G760,'KO Calc'!$H:$AW,12,FALSE),VLOOKUP($G760,'KO Calc'!$H766:$AW766,12,FALSE)),IF(AND($Q$1=TRUE,$S$4=FALSE),IF(OR($Q$4=TRUE,$Q$5=TRUE,$S$2=TRUE),VLOOKUP($G760,'KO Calc'!$H:$AW,2,FALSE),VLOOKUP($G760,'KO Calc'!$H766:$AW766,2,FALSE)),
IF(AND($Q$1=TRUE,$S$1=TRUE,$S$4=TRUE)=TRUE,IF(OR($Q$4=TRUE,$Q$5=TRUE,$S$2=TRUE),VLOOKUP($G760,'KO Calc'!$H:$AW,17,FALSE),VLOOKUP($G760,'KO Calc'!$H766:$AW766,17,FALSE)),IF(AND($Q$1=TRUE,$S$4=TRUE),IF(OR($Q$4=TRUE,$Q$5=TRUE,$S$2=TRUE),VLOOKUP($G760,'KO Calc'!$H:$AW,7,FALSE),VLOOKUP($G760,'KO Calc'!$H766:$AW766,7,FALSE)),
IF(AND($S$3=TRUE,$S$1=TRUE,$S$4=FALSE)=TRUE,IF(OR($Q$4=TRUE,$Q$5=TRUE,$S$2=TRUE),VLOOKUP($G760,'KO Calc'!$H:$AW,32,FALSE),VLOOKUP($G760,'KO Calc'!$H766:$AW766,32,FALSE)),IF(AND($S$3=TRUE,$S$4=FALSE),IF(OR($Q$4=TRUE,$Q$5=TRUE,$S$2=TRUE),VLOOKUP($G760,'KO Calc'!$H:$AW,22,FALSE),VLOOKUP($G760,'KO Calc'!$H766:$AW766,22,FALSE)),
IF(AND($S$3=TRUE,$S$1=TRUE,$S$4=TRUE)=TRUE,IF(OR($Q$4=TRUE,$Q$5=TRUE,$S$2=TRUE),VLOOKUP($G760,'KO Calc'!$H:$AW,37,FALSE),VLOOKUP($G760,'KO Calc'!$H766:$AW766,37,FALSE)),IF(AND($S$3=TRUE,$S$4=TRUE),IF(OR($Q$4=TRUE,$Q$5=TRUE,$S$2=TRUE),VLOOKUP($G760,'KO Calc'!$H:$AW,27,FALSE),VLOOKUP($G760,'KO Calc'!$H766:$AW766,27,FALSE)))))))))))))</f>
        <v>-</v>
      </c>
      <c r="I760" s="36" t="str">
        <f>IF(AND($Q$1=FALSE,$S$3=FALSE),"-",IF(AND($Q$1=TRUE,$S$3=TRUE),"-",IF(AND($Q$1=FALSE,$S$3=FALSE),"-",IF(AND($Q$1=TRUE,$S$1=TRUE,$S$4=FALSE)=TRUE,IF(OR($Q$4=TRUE,$Q$5=TRUE,$S$2=TRUE),VLOOKUP($G760,'KO Calc'!$H:$AW,13,FALSE),VLOOKUP($G760,'KO Calc'!$H766:$AW766,13,FALSE)),IF(AND($Q$1=TRUE,$S$4=FALSE),IF(OR($Q$4=TRUE,$Q$5=TRUE,$S$2=TRUE),VLOOKUP($G760,'KO Calc'!$H:$AW,3,FALSE),VLOOKUP($G760,'KO Calc'!$H766:$AW766,3,FALSE)),
IF(AND($Q$1=TRUE,$S$1=TRUE,$S$4=TRUE)=TRUE,IF(OR($Q$4=TRUE,$Q$5=TRUE,$S$2=TRUE),VLOOKUP($G760,'KO Calc'!$H:$AW,18,FALSE),VLOOKUP($G760,'KO Calc'!$H766:$AW766,18,FALSE)),IF(AND($Q$1=TRUE,$S$4=TRUE),IF(OR($Q$4=TRUE,$Q$5=TRUE,$S$2=TRUE),VLOOKUP($G760,'KO Calc'!$H:$AW,8,FALSE),VLOOKUP($G760,'KO Calc'!$H766:$AW766,8,FALSE)),
IF(AND($S$3=TRUE,$S$1=TRUE,$S$4=FALSE)=TRUE,IF(OR($Q$4=TRUE,$Q$5=TRUE,$S$2=TRUE),VLOOKUP($G760,'KO Calc'!$H:$AW,33,FALSE),VLOOKUP($G760,'KO Calc'!$H766:$AW766,33,FALSE)),IF(AND($S$3=TRUE,$S$4=FALSE),IF(OR($Q$4=TRUE,$Q$5=TRUE,$S$2=TRUE),VLOOKUP($G760,'KO Calc'!$H:$AW,23,FALSE),VLOOKUP($G760,'KO Calc'!$H766:$AW766,23,FALSE)),
IF(AND($S$3=TRUE,$S$1=TRUE,$S$4=TRUE)=TRUE,IF(OR($Q$4=TRUE,$Q$5=TRUE,$S$2=TRUE),VLOOKUP($G760,'KO Calc'!$H:$AW,38,FALSE),VLOOKUP($G760,'KO Calc'!$H766:$AW766,38,FALSE)),IF(AND($S$3=TRUE,$S$4=TRUE),IF(OR($Q$4=TRUE,$Q$5=TRUE,$S$2=TRUE),VLOOKUP($G760,'KO Calc'!$H:$AW,28,FALSE),VLOOKUP($G760,'KO Calc'!$H766:$AW766,28,FALSE)))))))))))))</f>
        <v>-</v>
      </c>
      <c r="J760" s="36" t="str">
        <f>IF(AND($Q$1=FALSE,$S$3=FALSE),"-",IF(AND($Q$1=TRUE,$S$3=TRUE),"-",IF(AND($Q$1=FALSE,$S$3=FALSE),"-",IF(AND($Q$1=TRUE,$S$1=TRUE,$S$4=FALSE)=TRUE,IF(OR($Q$4=TRUE,$Q$5=TRUE,$S$2=TRUE),VLOOKUP($G760,'KO Calc'!$H:$AW,FALSE),VLOOKUP($G760,'KO Calc'!$H766:$AW766,14,FALSE)),IF(AND($Q$1=TRUE,$S$4=FALSE),IF(OR($Q$4=TRUE,$Q$5=TRUE,$S$2=TRUE),VLOOKUP($G760,'KO Calc'!$H:$AW,4,FALSE),VLOOKUP($G760,'KO Calc'!$H766:$AW766,4,FALSE)),
IF(AND($Q$1=TRUE,$S$1=TRUE,$S$4=TRUE)=TRUE,IF(OR($Q$4=TRUE,$Q$5=TRUE,$S$2=TRUE),VLOOKUP($G760,'KO Calc'!$H:$AW,19,FALSE),VLOOKUP($G760,'KO Calc'!$H766:$AW766,19,FALSE)),IF(AND($Q$1=TRUE,$S$4=TRUE),IF(OR($Q$4=TRUE,$Q$5=TRUE,$S$2=TRUE),VLOOKUP($G760,'KO Calc'!$H:$AW,9,FALSE),VLOOKUP($G760,'KO Calc'!$H766:$AW766,9,FALSE)),
IF(AND($S$3=TRUE,$S$1=TRUE,$S$4=FALSE)=TRUE,IF(OR($Q$4=TRUE,$Q$5=TRUE,$S$2=TRUE),VLOOKUP($G760,'KO Calc'!$H:$AW,34,FALSE),VLOOKUP($G760,'KO Calc'!$H766:$AW766,34,FALSE)),IF(AND($S$3=TRUE,$S$4=FALSE),IF(OR($Q$4=TRUE,$Q$5=TRUE,$S$2=TRUE),VLOOKUP($G760,'KO Calc'!$H:$AW,24,FALSE),VLOOKUP($G760,'KO Calc'!$H766:$AW766,24,FALSE)),
IF(AND($S$3=TRUE,$S$1=TRUE,$S$4=TRUE)=TRUE,IF(OR($Q$4=TRUE,$Q$5=TRUE,$S$2=TRUE),VLOOKUP($G760,'KO Calc'!$H:$AW,39,FALSE),VLOOKUP($G760,'KO Calc'!$H766:$AW766,39,FALSE)),IF(AND($S$3=TRUE,$S$4=TRUE),IF(OR($Q$4=TRUE,$Q$5=TRUE,$S$2=TRUE),VLOOKUP($G760,'KO Calc'!$H:$AW,29,FALSE),VLOOKUP($G760,'KO Calc'!$H766:$AW766,29,FALSE)))))))))))))</f>
        <v>-</v>
      </c>
      <c r="K760" s="36" t="str">
        <f>IF(AND($Q$1=FALSE,$S$3=FALSE),"-",IF(AND($Q$1=TRUE,$S$3=TRUE),"-",IF(AND($Q$1=FALSE,$S$3=FALSE),"-",IF(AND($Q$1=TRUE,$S$1=TRUE,$S$4=FALSE)=TRUE,IF(OR($Q$4=TRUE,$Q$5=TRUE,$S$2=TRUE),VLOOKUP($G760,'KO Calc'!$H:$AW,15,FALSE),VLOOKUP($G760,'KO Calc'!$H766:$AW766,15,FALSE)),IF(AND($Q$1=TRUE,$S$4=FALSE),IF(OR($Q$4=TRUE,$Q$5=TRUE,$S$2=TRUE),VLOOKUP($G760,'KO Calc'!$H:$AW,5,FALSE),VLOOKUP($G760,'KO Calc'!$H766:$AW766,5,FALSE)),
IF(AND($Q$1=TRUE,$S$1=TRUE,$S$4=TRUE)=TRUE,IF(OR($Q$4=TRUE,$Q$5=TRUE,$S$2=TRUE),VLOOKUP($G760,'KO Calc'!$H:$AW,20,FALSE),VLOOKUP($G760,'KO Calc'!$H766:$AW766,20,FALSE)),IF(AND($Q$1=TRUE,$S$4=TRUE),IF(OR($Q$4=TRUE,$Q$5=TRUE,$S$2=TRUE),VLOOKUP($G760,'KO Calc'!$H:$AW,10,FALSE),VLOOKUP($G760,'KO Calc'!$H766:$AW766,10,FALSE)),
IF(AND($S$3=TRUE,$S$1=TRUE,$S$4=FALSE)=TRUE,IF(OR($Q$4=TRUE,$Q$5=TRUE,$S$2=TRUE),VLOOKUP($G760,'KO Calc'!$H:$AW,35,FALSE),VLOOKUP($G760,'KO Calc'!$H766:$AW766,35,FALSE)),IF(AND($S$3=TRUE,$S$4=FALSE),IF(OR($Q$4=TRUE,$Q$5=TRUE,$S$2=TRUE),VLOOKUP($G760,'KO Calc'!$H:$AW,25,FALSE),VLOOKUP($G760,'KO Calc'!$H766:$AW766,25,FALSE)),
IF(AND($S$3=TRUE,$S$1=TRUE,$S$4=TRUE)=TRUE,IF(OR($Q$4=TRUE,$Q$5=TRUE,$S$2=TRUE),VLOOKUP($G760,'KO Calc'!$H:$AW,40,FALSE),VLOOKUP($G760,'KO Calc'!$H766:$AW766,40,FALSE)),IF(AND($S$3=TRUE,$S$4=TRUE),IF(OR($Q$4=TRUE,$Q$5=TRUE,$S$2=TRUE),VLOOKUP($G760,'KO Calc'!$H:$AW,30,FALSE),VLOOKUP($G760,'KO Calc'!$H766:$AW766,30,FALSE)))))))))))))</f>
        <v>-</v>
      </c>
      <c r="L760" s="36" t="str">
        <f>IFERROR(IF(AND($Q$1=FALSE,$S$3=FALSE),"-",VLOOKUP($E760,'Status Thresholds'!$E:$AU,41,FALSE)),"-")</f>
        <v>-</v>
      </c>
      <c r="M760" s="36" t="str">
        <f>IFERROR(IF(AND($Q$1=FALSE,$S$3=FALSE),"-",VLOOKUP($E760,'Status Thresholds'!$E:$AU,42,FALSE)),"-")</f>
        <v>-</v>
      </c>
      <c r="N760" s="36" t="str">
        <f>IFERROR(IF(AND($Q$1=FALSE,$S$3=FALSE),"-",VLOOKUP($E760,'Status Thresholds'!$E:$AU,43,FALSE)),"-")</f>
        <v>-</v>
      </c>
    </row>
    <row r="761" spans="2:14" x14ac:dyDescent="0.25">
      <c r="B761" s="64" t="str">
        <f>VLOOKUP(C761,'Status Thresholds'!B:C,2,FALSE)</f>
        <v>Deviant</v>
      </c>
      <c r="C761" s="46" t="str">
        <f>IF(ISBLANK('KO Calc'!C757)=TRUE,"",'KO Calc'!C757)</f>
        <v>Thunderlord</v>
      </c>
      <c r="D761" s="78" t="s">
        <v>207</v>
      </c>
      <c r="E761" s="62" t="str">
        <f t="shared" si="21"/>
        <v>ThunderlordShock Trap</v>
      </c>
      <c r="F761" t="s">
        <v>13</v>
      </c>
      <c r="G761" s="36" t="str">
        <f t="shared" si="22"/>
        <v>ThunderlordCrag 3</v>
      </c>
      <c r="H761" s="36" t="str">
        <f>IF(AND($Q$1=FALSE,$S$3=FALSE),"-",IF(AND($Q$1=TRUE,$S$3=TRUE),"-",IF(AND($Q$1=FALSE,$S$3=FALSE),"-",IF(AND($Q$1=TRUE,$S$1=TRUE,$S$4=FALSE)=TRUE,IF(OR($Q$4=TRUE,$Q$5=TRUE,$S$2=TRUE),VLOOKUP($G761,'KO Calc'!$H:$AW,12,FALSE),VLOOKUP($G761,'KO Calc'!$H767:$AW767,12,FALSE)),IF(AND($Q$1=TRUE,$S$4=FALSE),IF(OR($Q$4=TRUE,$Q$5=TRUE,$S$2=TRUE),VLOOKUP($G761,'KO Calc'!$H:$AW,2,FALSE),VLOOKUP($G761,'KO Calc'!$H767:$AW767,2,FALSE)),
IF(AND($Q$1=TRUE,$S$1=TRUE,$S$4=TRUE)=TRUE,IF(OR($Q$4=TRUE,$Q$5=TRUE,$S$2=TRUE),VLOOKUP($G761,'KO Calc'!$H:$AW,17,FALSE),VLOOKUP($G761,'KO Calc'!$H767:$AW767,17,FALSE)),IF(AND($Q$1=TRUE,$S$4=TRUE),IF(OR($Q$4=TRUE,$Q$5=TRUE,$S$2=TRUE),VLOOKUP($G761,'KO Calc'!$H:$AW,7,FALSE),VLOOKUP($G761,'KO Calc'!$H767:$AW767,7,FALSE)),
IF(AND($S$3=TRUE,$S$1=TRUE,$S$4=FALSE)=TRUE,IF(OR($Q$4=TRUE,$Q$5=TRUE,$S$2=TRUE),VLOOKUP($G761,'KO Calc'!$H:$AW,32,FALSE),VLOOKUP($G761,'KO Calc'!$H767:$AW767,32,FALSE)),IF(AND($S$3=TRUE,$S$4=FALSE),IF(OR($Q$4=TRUE,$Q$5=TRUE,$S$2=TRUE),VLOOKUP($G761,'KO Calc'!$H:$AW,22,FALSE),VLOOKUP($G761,'KO Calc'!$H767:$AW767,22,FALSE)),
IF(AND($S$3=TRUE,$S$1=TRUE,$S$4=TRUE)=TRUE,IF(OR($Q$4=TRUE,$Q$5=TRUE,$S$2=TRUE),VLOOKUP($G761,'KO Calc'!$H:$AW,37,FALSE),VLOOKUP($G761,'KO Calc'!$H767:$AW767,37,FALSE)),IF(AND($S$3=TRUE,$S$4=TRUE),IF(OR($Q$4=TRUE,$Q$5=TRUE,$S$2=TRUE),VLOOKUP($G761,'KO Calc'!$H:$AW,27,FALSE),VLOOKUP($G761,'KO Calc'!$H767:$AW767,27,FALSE)))))))))))))</f>
        <v>-</v>
      </c>
      <c r="I761" s="36" t="str">
        <f>IF(AND($Q$1=FALSE,$S$3=FALSE),"-",IF(AND($Q$1=TRUE,$S$3=TRUE),"-",IF(AND($Q$1=FALSE,$S$3=FALSE),"-",IF(AND($Q$1=TRUE,$S$1=TRUE,$S$4=FALSE)=TRUE,IF(OR($Q$4=TRUE,$Q$5=TRUE,$S$2=TRUE),VLOOKUP($G761,'KO Calc'!$H:$AW,13,FALSE),VLOOKUP($G761,'KO Calc'!$H767:$AW767,13,FALSE)),IF(AND($Q$1=TRUE,$S$4=FALSE),IF(OR($Q$4=TRUE,$Q$5=TRUE,$S$2=TRUE),VLOOKUP($G761,'KO Calc'!$H:$AW,3,FALSE),VLOOKUP($G761,'KO Calc'!$H767:$AW767,3,FALSE)),
IF(AND($Q$1=TRUE,$S$1=TRUE,$S$4=TRUE)=TRUE,IF(OR($Q$4=TRUE,$Q$5=TRUE,$S$2=TRUE),VLOOKUP($G761,'KO Calc'!$H:$AW,18,FALSE),VLOOKUP($G761,'KO Calc'!$H767:$AW767,18,FALSE)),IF(AND($Q$1=TRUE,$S$4=TRUE),IF(OR($Q$4=TRUE,$Q$5=TRUE,$S$2=TRUE),VLOOKUP($G761,'KO Calc'!$H:$AW,8,FALSE),VLOOKUP($G761,'KO Calc'!$H767:$AW767,8,FALSE)),
IF(AND($S$3=TRUE,$S$1=TRUE,$S$4=FALSE)=TRUE,IF(OR($Q$4=TRUE,$Q$5=TRUE,$S$2=TRUE),VLOOKUP($G761,'KO Calc'!$H:$AW,33,FALSE),VLOOKUP($G761,'KO Calc'!$H767:$AW767,33,FALSE)),IF(AND($S$3=TRUE,$S$4=FALSE),IF(OR($Q$4=TRUE,$Q$5=TRUE,$S$2=TRUE),VLOOKUP($G761,'KO Calc'!$H:$AW,23,FALSE),VLOOKUP($G761,'KO Calc'!$H767:$AW767,23,FALSE)),
IF(AND($S$3=TRUE,$S$1=TRUE,$S$4=TRUE)=TRUE,IF(OR($Q$4=TRUE,$Q$5=TRUE,$S$2=TRUE),VLOOKUP($G761,'KO Calc'!$H:$AW,38,FALSE),VLOOKUP($G761,'KO Calc'!$H767:$AW767,38,FALSE)),IF(AND($S$3=TRUE,$S$4=TRUE),IF(OR($Q$4=TRUE,$Q$5=TRUE,$S$2=TRUE),VLOOKUP($G761,'KO Calc'!$H:$AW,28,FALSE),VLOOKUP($G761,'KO Calc'!$H767:$AW767,28,FALSE)))))))))))))</f>
        <v>-</v>
      </c>
      <c r="J761" s="36" t="str">
        <f>IF(AND($Q$1=FALSE,$S$3=FALSE),"-",IF(AND($Q$1=TRUE,$S$3=TRUE),"-",IF(AND($Q$1=FALSE,$S$3=FALSE),"-",IF(AND($Q$1=TRUE,$S$1=TRUE,$S$4=FALSE)=TRUE,IF(OR($Q$4=TRUE,$Q$5=TRUE,$S$2=TRUE),VLOOKUP($G761,'KO Calc'!$H:$AW,FALSE),VLOOKUP($G761,'KO Calc'!$H767:$AW767,14,FALSE)),IF(AND($Q$1=TRUE,$S$4=FALSE),IF(OR($Q$4=TRUE,$Q$5=TRUE,$S$2=TRUE),VLOOKUP($G761,'KO Calc'!$H:$AW,4,FALSE),VLOOKUP($G761,'KO Calc'!$H767:$AW767,4,FALSE)),
IF(AND($Q$1=TRUE,$S$1=TRUE,$S$4=TRUE)=TRUE,IF(OR($Q$4=TRUE,$Q$5=TRUE,$S$2=TRUE),VLOOKUP($G761,'KO Calc'!$H:$AW,19,FALSE),VLOOKUP($G761,'KO Calc'!$H767:$AW767,19,FALSE)),IF(AND($Q$1=TRUE,$S$4=TRUE),IF(OR($Q$4=TRUE,$Q$5=TRUE,$S$2=TRUE),VLOOKUP($G761,'KO Calc'!$H:$AW,9,FALSE),VLOOKUP($G761,'KO Calc'!$H767:$AW767,9,FALSE)),
IF(AND($S$3=TRUE,$S$1=TRUE,$S$4=FALSE)=TRUE,IF(OR($Q$4=TRUE,$Q$5=TRUE,$S$2=TRUE),VLOOKUP($G761,'KO Calc'!$H:$AW,34,FALSE),VLOOKUP($G761,'KO Calc'!$H767:$AW767,34,FALSE)),IF(AND($S$3=TRUE,$S$4=FALSE),IF(OR($Q$4=TRUE,$Q$5=TRUE,$S$2=TRUE),VLOOKUP($G761,'KO Calc'!$H:$AW,24,FALSE),VLOOKUP($G761,'KO Calc'!$H767:$AW767,24,FALSE)),
IF(AND($S$3=TRUE,$S$1=TRUE,$S$4=TRUE)=TRUE,IF(OR($Q$4=TRUE,$Q$5=TRUE,$S$2=TRUE),VLOOKUP($G761,'KO Calc'!$H:$AW,39,FALSE),VLOOKUP($G761,'KO Calc'!$H767:$AW767,39,FALSE)),IF(AND($S$3=TRUE,$S$4=TRUE),IF(OR($Q$4=TRUE,$Q$5=TRUE,$S$2=TRUE),VLOOKUP($G761,'KO Calc'!$H:$AW,29,FALSE),VLOOKUP($G761,'KO Calc'!$H767:$AW767,29,FALSE)))))))))))))</f>
        <v>-</v>
      </c>
      <c r="K761" s="36" t="str">
        <f>IF(AND($Q$1=FALSE,$S$3=FALSE),"-",IF(AND($Q$1=TRUE,$S$3=TRUE),"-",IF(AND($Q$1=FALSE,$S$3=FALSE),"-",IF(AND($Q$1=TRUE,$S$1=TRUE,$S$4=FALSE)=TRUE,IF(OR($Q$4=TRUE,$Q$5=TRUE,$S$2=TRUE),VLOOKUP($G761,'KO Calc'!$H:$AW,15,FALSE),VLOOKUP($G761,'KO Calc'!$H767:$AW767,15,FALSE)),IF(AND($Q$1=TRUE,$S$4=FALSE),IF(OR($Q$4=TRUE,$Q$5=TRUE,$S$2=TRUE),VLOOKUP($G761,'KO Calc'!$H:$AW,5,FALSE),VLOOKUP($G761,'KO Calc'!$H767:$AW767,5,FALSE)),
IF(AND($Q$1=TRUE,$S$1=TRUE,$S$4=TRUE)=TRUE,IF(OR($Q$4=TRUE,$Q$5=TRUE,$S$2=TRUE),VLOOKUP($G761,'KO Calc'!$H:$AW,20,FALSE),VLOOKUP($G761,'KO Calc'!$H767:$AW767,20,FALSE)),IF(AND($Q$1=TRUE,$S$4=TRUE),IF(OR($Q$4=TRUE,$Q$5=TRUE,$S$2=TRUE),VLOOKUP($G761,'KO Calc'!$H:$AW,10,FALSE),VLOOKUP($G761,'KO Calc'!$H767:$AW767,10,FALSE)),
IF(AND($S$3=TRUE,$S$1=TRUE,$S$4=FALSE)=TRUE,IF(OR($Q$4=TRUE,$Q$5=TRUE,$S$2=TRUE),VLOOKUP($G761,'KO Calc'!$H:$AW,35,FALSE),VLOOKUP($G761,'KO Calc'!$H767:$AW767,35,FALSE)),IF(AND($S$3=TRUE,$S$4=FALSE),IF(OR($Q$4=TRUE,$Q$5=TRUE,$S$2=TRUE),VLOOKUP($G761,'KO Calc'!$H:$AW,25,FALSE),VLOOKUP($G761,'KO Calc'!$H767:$AW767,25,FALSE)),
IF(AND($S$3=TRUE,$S$1=TRUE,$S$4=TRUE)=TRUE,IF(OR($Q$4=TRUE,$Q$5=TRUE,$S$2=TRUE),VLOOKUP($G761,'KO Calc'!$H:$AW,40,FALSE),VLOOKUP($G761,'KO Calc'!$H767:$AW767,40,FALSE)),IF(AND($S$3=TRUE,$S$4=TRUE),IF(OR($Q$4=TRUE,$Q$5=TRUE,$S$2=TRUE),VLOOKUP($G761,'KO Calc'!$H:$AW,30,FALSE),VLOOKUP($G761,'KO Calc'!$H767:$AW767,30,FALSE)))))))))))))</f>
        <v>-</v>
      </c>
      <c r="L761" s="36" t="str">
        <f>IFERROR(IF(AND($Q$1=FALSE,$S$3=FALSE),"-",VLOOKUP($E761,'Status Thresholds'!$E:$AU,43,FALSE)),"-")</f>
        <v>-</v>
      </c>
      <c r="M761" s="36" t="str">
        <f>IFERROR(IF(AND($Q$1=FALSE,$S$3=FALSE),"-",VLOOKUP($E761,'Status Thresholds'!$E:$AU,41,FALSE)),"-")</f>
        <v>-</v>
      </c>
      <c r="N761" s="36" t="str">
        <f>IFERROR(IF(AND($Q$1=FALSE,$S$3=FALSE),"-",VLOOKUP($E761,'Status Thresholds'!$E:$AU,42,FALSE)),"-")</f>
        <v>-</v>
      </c>
    </row>
    <row r="762" spans="2:14" x14ac:dyDescent="0.25">
      <c r="B762" s="64" t="str">
        <f>VLOOKUP(C762,'Status Thresholds'!B:C,2,FALSE)</f>
        <v>Deviant</v>
      </c>
      <c r="C762" s="46" t="str">
        <f>IF(ISBLANK('KO Calc'!C758)=TRUE,"",'KO Calc'!C758)</f>
        <v>Thunderlord</v>
      </c>
      <c r="D762" s="78" t="s">
        <v>213</v>
      </c>
      <c r="E762" s="62" t="str">
        <f t="shared" si="21"/>
        <v>ThunderlordPitfall Trap</v>
      </c>
      <c r="F762" t="s">
        <v>12</v>
      </c>
      <c r="G762" s="36" t="str">
        <f t="shared" si="22"/>
        <v>ThunderlordCrag 2</v>
      </c>
      <c r="H762" s="36" t="str">
        <f>IF(AND($Q$1=FALSE,$S$3=FALSE),"-",IF(AND($Q$1=TRUE,$S$3=TRUE),"-",IF(AND($Q$1=FALSE,$S$3=FALSE),"-",IF(AND($Q$1=TRUE,$S$1=TRUE,$S$4=FALSE)=TRUE,IF(OR($Q$4=TRUE,$Q$5=TRUE,$S$2=TRUE),VLOOKUP($G762,'KO Calc'!$H:$AW,12,FALSE),VLOOKUP($G762,'KO Calc'!$H768:$AW768,12,FALSE)),IF(AND($Q$1=TRUE,$S$4=FALSE),IF(OR($Q$4=TRUE,$Q$5=TRUE,$S$2=TRUE),VLOOKUP($G762,'KO Calc'!$H:$AW,2,FALSE),VLOOKUP($G762,'KO Calc'!$H768:$AW768,2,FALSE)),
IF(AND($Q$1=TRUE,$S$1=TRUE,$S$4=TRUE)=TRUE,IF(OR($Q$4=TRUE,$Q$5=TRUE,$S$2=TRUE),VLOOKUP($G762,'KO Calc'!$H:$AW,17,FALSE),VLOOKUP($G762,'KO Calc'!$H768:$AW768,17,FALSE)),IF(AND($Q$1=TRUE,$S$4=TRUE),IF(OR($Q$4=TRUE,$Q$5=TRUE,$S$2=TRUE),VLOOKUP($G762,'KO Calc'!$H:$AW,7,FALSE),VLOOKUP($G762,'KO Calc'!$H768:$AW768,7,FALSE)),
IF(AND($S$3=TRUE,$S$1=TRUE,$S$4=FALSE)=TRUE,IF(OR($Q$4=TRUE,$Q$5=TRUE,$S$2=TRUE),VLOOKUP($G762,'KO Calc'!$H:$AW,32,FALSE),VLOOKUP($G762,'KO Calc'!$H768:$AW768,32,FALSE)),IF(AND($S$3=TRUE,$S$4=FALSE),IF(OR($Q$4=TRUE,$Q$5=TRUE,$S$2=TRUE),VLOOKUP($G762,'KO Calc'!$H:$AW,22,FALSE),VLOOKUP($G762,'KO Calc'!$H768:$AW768,22,FALSE)),
IF(AND($S$3=TRUE,$S$1=TRUE,$S$4=TRUE)=TRUE,IF(OR($Q$4=TRUE,$Q$5=TRUE,$S$2=TRUE),VLOOKUP($G762,'KO Calc'!$H:$AW,37,FALSE),VLOOKUP($G762,'KO Calc'!$H768:$AW768,37,FALSE)),IF(AND($S$3=TRUE,$S$4=TRUE),IF(OR($Q$4=TRUE,$Q$5=TRUE,$S$2=TRUE),VLOOKUP($G762,'KO Calc'!$H:$AW,27,FALSE),VLOOKUP($G762,'KO Calc'!$H768:$AW768,27,FALSE)))))))))))))</f>
        <v>-</v>
      </c>
      <c r="I762" s="36" t="str">
        <f>IF(AND($Q$1=FALSE,$S$3=FALSE),"-",IF(AND($Q$1=TRUE,$S$3=TRUE),"-",IF(AND($Q$1=FALSE,$S$3=FALSE),"-",IF(AND($Q$1=TRUE,$S$1=TRUE,$S$4=FALSE)=TRUE,IF(OR($Q$4=TRUE,$Q$5=TRUE,$S$2=TRUE),VLOOKUP($G762,'KO Calc'!$H:$AW,13,FALSE),VLOOKUP($G762,'KO Calc'!$H768:$AW768,13,FALSE)),IF(AND($Q$1=TRUE,$S$4=FALSE),IF(OR($Q$4=TRUE,$Q$5=TRUE,$S$2=TRUE),VLOOKUP($G762,'KO Calc'!$H:$AW,3,FALSE),VLOOKUP($G762,'KO Calc'!$H768:$AW768,3,FALSE)),
IF(AND($Q$1=TRUE,$S$1=TRUE,$S$4=TRUE)=TRUE,IF(OR($Q$4=TRUE,$Q$5=TRUE,$S$2=TRUE),VLOOKUP($G762,'KO Calc'!$H:$AW,18,FALSE),VLOOKUP($G762,'KO Calc'!$H768:$AW768,18,FALSE)),IF(AND($Q$1=TRUE,$S$4=TRUE),IF(OR($Q$4=TRUE,$Q$5=TRUE,$S$2=TRUE),VLOOKUP($G762,'KO Calc'!$H:$AW,8,FALSE),VLOOKUP($G762,'KO Calc'!$H768:$AW768,8,FALSE)),
IF(AND($S$3=TRUE,$S$1=TRUE,$S$4=FALSE)=TRUE,IF(OR($Q$4=TRUE,$Q$5=TRUE,$S$2=TRUE),VLOOKUP($G762,'KO Calc'!$H:$AW,33,FALSE),VLOOKUP($G762,'KO Calc'!$H768:$AW768,33,FALSE)),IF(AND($S$3=TRUE,$S$4=FALSE),IF(OR($Q$4=TRUE,$Q$5=TRUE,$S$2=TRUE),VLOOKUP($G762,'KO Calc'!$H:$AW,23,FALSE),VLOOKUP($G762,'KO Calc'!$H768:$AW768,23,FALSE)),
IF(AND($S$3=TRUE,$S$1=TRUE,$S$4=TRUE)=TRUE,IF(OR($Q$4=TRUE,$Q$5=TRUE,$S$2=TRUE),VLOOKUP($G762,'KO Calc'!$H:$AW,38,FALSE),VLOOKUP($G762,'KO Calc'!$H768:$AW768,38,FALSE)),IF(AND($S$3=TRUE,$S$4=TRUE),IF(OR($Q$4=TRUE,$Q$5=TRUE,$S$2=TRUE),VLOOKUP($G762,'KO Calc'!$H:$AW,28,FALSE),VLOOKUP($G762,'KO Calc'!$H768:$AW768,28,FALSE)))))))))))))</f>
        <v>-</v>
      </c>
      <c r="J762" s="36" t="str">
        <f>IF(AND($Q$1=FALSE,$S$3=FALSE),"-",IF(AND($Q$1=TRUE,$S$3=TRUE),"-",IF(AND($Q$1=FALSE,$S$3=FALSE),"-",IF(AND($Q$1=TRUE,$S$1=TRUE,$S$4=FALSE)=TRUE,IF(OR($Q$4=TRUE,$Q$5=TRUE,$S$2=TRUE),VLOOKUP($G762,'KO Calc'!$H:$AW,FALSE),VLOOKUP($G762,'KO Calc'!$H768:$AW768,14,FALSE)),IF(AND($Q$1=TRUE,$S$4=FALSE),IF(OR($Q$4=TRUE,$Q$5=TRUE,$S$2=TRUE),VLOOKUP($G762,'KO Calc'!$H:$AW,4,FALSE),VLOOKUP($G762,'KO Calc'!$H768:$AW768,4,FALSE)),
IF(AND($Q$1=TRUE,$S$1=TRUE,$S$4=TRUE)=TRUE,IF(OR($Q$4=TRUE,$Q$5=TRUE,$S$2=TRUE),VLOOKUP($G762,'KO Calc'!$H:$AW,19,FALSE),VLOOKUP($G762,'KO Calc'!$H768:$AW768,19,FALSE)),IF(AND($Q$1=TRUE,$S$4=TRUE),IF(OR($Q$4=TRUE,$Q$5=TRUE,$S$2=TRUE),VLOOKUP($G762,'KO Calc'!$H:$AW,9,FALSE),VLOOKUP($G762,'KO Calc'!$H768:$AW768,9,FALSE)),
IF(AND($S$3=TRUE,$S$1=TRUE,$S$4=FALSE)=TRUE,IF(OR($Q$4=TRUE,$Q$5=TRUE,$S$2=TRUE),VLOOKUP($G762,'KO Calc'!$H:$AW,34,FALSE),VLOOKUP($G762,'KO Calc'!$H768:$AW768,34,FALSE)),IF(AND($S$3=TRUE,$S$4=FALSE),IF(OR($Q$4=TRUE,$Q$5=TRUE,$S$2=TRUE),VLOOKUP($G762,'KO Calc'!$H:$AW,24,FALSE),VLOOKUP($G762,'KO Calc'!$H768:$AW768,24,FALSE)),
IF(AND($S$3=TRUE,$S$1=TRUE,$S$4=TRUE)=TRUE,IF(OR($Q$4=TRUE,$Q$5=TRUE,$S$2=TRUE),VLOOKUP($G762,'KO Calc'!$H:$AW,39,FALSE),VLOOKUP($G762,'KO Calc'!$H768:$AW768,39,FALSE)),IF(AND($S$3=TRUE,$S$4=TRUE),IF(OR($Q$4=TRUE,$Q$5=TRUE,$S$2=TRUE),VLOOKUP($G762,'KO Calc'!$H:$AW,29,FALSE),VLOOKUP($G762,'KO Calc'!$H768:$AW768,29,FALSE)))))))))))))</f>
        <v>-</v>
      </c>
      <c r="K762" s="36" t="str">
        <f>IF(AND($Q$1=FALSE,$S$3=FALSE),"-",IF(AND($Q$1=TRUE,$S$3=TRUE),"-",IF(AND($Q$1=FALSE,$S$3=FALSE),"-",IF(AND($Q$1=TRUE,$S$1=TRUE,$S$4=FALSE)=TRUE,IF(OR($Q$4=TRUE,$Q$5=TRUE,$S$2=TRUE),VLOOKUP($G762,'KO Calc'!$H:$AW,15,FALSE),VLOOKUP($G762,'KO Calc'!$H768:$AW768,15,FALSE)),IF(AND($Q$1=TRUE,$S$4=FALSE),IF(OR($Q$4=TRUE,$Q$5=TRUE,$S$2=TRUE),VLOOKUP($G762,'KO Calc'!$H:$AW,5,FALSE),VLOOKUP($G762,'KO Calc'!$H768:$AW768,5,FALSE)),
IF(AND($Q$1=TRUE,$S$1=TRUE,$S$4=TRUE)=TRUE,IF(OR($Q$4=TRUE,$Q$5=TRUE,$S$2=TRUE),VLOOKUP($G762,'KO Calc'!$H:$AW,20,FALSE),VLOOKUP($G762,'KO Calc'!$H768:$AW768,20,FALSE)),IF(AND($Q$1=TRUE,$S$4=TRUE),IF(OR($Q$4=TRUE,$Q$5=TRUE,$S$2=TRUE),VLOOKUP($G762,'KO Calc'!$H:$AW,10,FALSE),VLOOKUP($G762,'KO Calc'!$H768:$AW768,10,FALSE)),
IF(AND($S$3=TRUE,$S$1=TRUE,$S$4=FALSE)=TRUE,IF(OR($Q$4=TRUE,$Q$5=TRUE,$S$2=TRUE),VLOOKUP($G762,'KO Calc'!$H:$AW,35,FALSE),VLOOKUP($G762,'KO Calc'!$H768:$AW768,35,FALSE)),IF(AND($S$3=TRUE,$S$4=FALSE),IF(OR($Q$4=TRUE,$Q$5=TRUE,$S$2=TRUE),VLOOKUP($G762,'KO Calc'!$H:$AW,25,FALSE),VLOOKUP($G762,'KO Calc'!$H768:$AW768,25,FALSE)),
IF(AND($S$3=TRUE,$S$1=TRUE,$S$4=TRUE)=TRUE,IF(OR($Q$4=TRUE,$Q$5=TRUE,$S$2=TRUE),VLOOKUP($G762,'KO Calc'!$H:$AW,40,FALSE),VLOOKUP($G762,'KO Calc'!$H768:$AW768,40,FALSE)),IF(AND($S$3=TRUE,$S$4=TRUE),IF(OR($Q$4=TRUE,$Q$5=TRUE,$S$2=TRUE),VLOOKUP($G762,'KO Calc'!$H:$AW,30,FALSE),VLOOKUP($G762,'KO Calc'!$H768:$AW768,30,FALSE)))))))))))))</f>
        <v>-</v>
      </c>
      <c r="L762" s="36" t="str">
        <f>IFERROR(IF(AND($Q$1=FALSE,$S$3=FALSE),"-",VLOOKUP($E762,'Status Thresholds'!$E:$AU,43,FALSE)),"-")</f>
        <v>-</v>
      </c>
      <c r="M762" s="36" t="str">
        <f>IFERROR(IF(AND($Q$1=FALSE,$S$3=FALSE),"-",VLOOKUP($E762,'Status Thresholds'!$E:$AU,41,FALSE)),"-")</f>
        <v>-</v>
      </c>
      <c r="N762" s="36" t="str">
        <f>IFERROR(IF(AND($Q$1=FALSE,$S$3=FALSE),"-",VLOOKUP($E762,'Status Thresholds'!$E:$AU,42,FALSE)),"-")</f>
        <v>-</v>
      </c>
    </row>
    <row r="763" spans="2:14" x14ac:dyDescent="0.25">
      <c r="B763" s="64" t="str">
        <f>VLOOKUP(C763,'Status Thresholds'!B:C,2,FALSE)</f>
        <v>Deviant</v>
      </c>
      <c r="C763" s="46" t="str">
        <f>IF(ISBLANK('KO Calc'!C759)=TRUE,"",'KO Calc'!C759)</f>
        <v>Thunderlord</v>
      </c>
      <c r="D763" s="78"/>
      <c r="E763" s="62" t="str">
        <f t="shared" si="21"/>
        <v>Thunderlord</v>
      </c>
      <c r="F763" t="s">
        <v>11</v>
      </c>
      <c r="G763" s="36" t="str">
        <f t="shared" si="22"/>
        <v>ThunderlordCrag 1</v>
      </c>
      <c r="H763" s="36" t="str">
        <f>IF(AND($Q$1=FALSE,$S$3=FALSE),"-",IF(AND($Q$1=TRUE,$S$3=TRUE),"-",IF(AND($Q$1=FALSE,$S$3=FALSE),"-",IF(AND($Q$1=TRUE,$S$1=TRUE,$S$4=FALSE)=TRUE,IF(OR($Q$4=TRUE,$Q$5=TRUE,$S$2=TRUE),VLOOKUP($G763,'KO Calc'!$H:$AW,12,FALSE),VLOOKUP($G763,'KO Calc'!$H769:$AW769,12,FALSE)),IF(AND($Q$1=TRUE,$S$4=FALSE),IF(OR($Q$4=TRUE,$Q$5=TRUE,$S$2=TRUE),VLOOKUP($G763,'KO Calc'!$H:$AW,2,FALSE),VLOOKUP($G763,'KO Calc'!$H769:$AW769,2,FALSE)),
IF(AND($Q$1=TRUE,$S$1=TRUE,$S$4=TRUE)=TRUE,IF(OR($Q$4=TRUE,$Q$5=TRUE,$S$2=TRUE),VLOOKUP($G763,'KO Calc'!$H:$AW,17,FALSE),VLOOKUP($G763,'KO Calc'!$H769:$AW769,17,FALSE)),IF(AND($Q$1=TRUE,$S$4=TRUE),IF(OR($Q$4=TRUE,$Q$5=TRUE,$S$2=TRUE),VLOOKUP($G763,'KO Calc'!$H:$AW,7,FALSE),VLOOKUP($G763,'KO Calc'!$H769:$AW769,7,FALSE)),
IF(AND($S$3=TRUE,$S$1=TRUE,$S$4=FALSE)=TRUE,IF(OR($Q$4=TRUE,$Q$5=TRUE,$S$2=TRUE),VLOOKUP($G763,'KO Calc'!$H:$AW,32,FALSE),VLOOKUP($G763,'KO Calc'!$H769:$AW769,32,FALSE)),IF(AND($S$3=TRUE,$S$4=FALSE),IF(OR($Q$4=TRUE,$Q$5=TRUE,$S$2=TRUE),VLOOKUP($G763,'KO Calc'!$H:$AW,22,FALSE),VLOOKUP($G763,'KO Calc'!$H769:$AW769,22,FALSE)),
IF(AND($S$3=TRUE,$S$1=TRUE,$S$4=TRUE)=TRUE,IF(OR($Q$4=TRUE,$Q$5=TRUE,$S$2=TRUE),VLOOKUP($G763,'KO Calc'!$H:$AW,37,FALSE),VLOOKUP($G763,'KO Calc'!$H769:$AW769,37,FALSE)),IF(AND($S$3=TRUE,$S$4=TRUE),IF(OR($Q$4=TRUE,$Q$5=TRUE,$S$2=TRUE),VLOOKUP($G763,'KO Calc'!$H:$AW,27,FALSE),VLOOKUP($G763,'KO Calc'!$H769:$AW769,27,FALSE)))))))))))))</f>
        <v>-</v>
      </c>
      <c r="I763" s="36" t="str">
        <f>IF(AND($Q$1=FALSE,$S$3=FALSE),"-",IF(AND($Q$1=TRUE,$S$3=TRUE),"-",IF(AND($Q$1=FALSE,$S$3=FALSE),"-",IF(AND($Q$1=TRUE,$S$1=TRUE,$S$4=FALSE)=TRUE,IF(OR($Q$4=TRUE,$Q$5=TRUE,$S$2=TRUE),VLOOKUP($G763,'KO Calc'!$H:$AW,13,FALSE),VLOOKUP($G763,'KO Calc'!$H769:$AW769,13,FALSE)),IF(AND($Q$1=TRUE,$S$4=FALSE),IF(OR($Q$4=TRUE,$Q$5=TRUE,$S$2=TRUE),VLOOKUP($G763,'KO Calc'!$H:$AW,3,FALSE),VLOOKUP($G763,'KO Calc'!$H769:$AW769,3,FALSE)),
IF(AND($Q$1=TRUE,$S$1=TRUE,$S$4=TRUE)=TRUE,IF(OR($Q$4=TRUE,$Q$5=TRUE,$S$2=TRUE),VLOOKUP($G763,'KO Calc'!$H:$AW,18,FALSE),VLOOKUP($G763,'KO Calc'!$H769:$AW769,18,FALSE)),IF(AND($Q$1=TRUE,$S$4=TRUE),IF(OR($Q$4=TRUE,$Q$5=TRUE,$S$2=TRUE),VLOOKUP($G763,'KO Calc'!$H:$AW,8,FALSE),VLOOKUP($G763,'KO Calc'!$H769:$AW769,8,FALSE)),
IF(AND($S$3=TRUE,$S$1=TRUE,$S$4=FALSE)=TRUE,IF(OR($Q$4=TRUE,$Q$5=TRUE,$S$2=TRUE),VLOOKUP($G763,'KO Calc'!$H:$AW,33,FALSE),VLOOKUP($G763,'KO Calc'!$H769:$AW769,33,FALSE)),IF(AND($S$3=TRUE,$S$4=FALSE),IF(OR($Q$4=TRUE,$Q$5=TRUE,$S$2=TRUE),VLOOKUP($G763,'KO Calc'!$H:$AW,23,FALSE),VLOOKUP($G763,'KO Calc'!$H769:$AW769,23,FALSE)),
IF(AND($S$3=TRUE,$S$1=TRUE,$S$4=TRUE)=TRUE,IF(OR($Q$4=TRUE,$Q$5=TRUE,$S$2=TRUE),VLOOKUP($G763,'KO Calc'!$H:$AW,38,FALSE),VLOOKUP($G763,'KO Calc'!$H769:$AW769,38,FALSE)),IF(AND($S$3=TRUE,$S$4=TRUE),IF(OR($Q$4=TRUE,$Q$5=TRUE,$S$2=TRUE),VLOOKUP($G763,'KO Calc'!$H:$AW,28,FALSE),VLOOKUP($G763,'KO Calc'!$H769:$AW769,28,FALSE)))))))))))))</f>
        <v>-</v>
      </c>
      <c r="J763" s="36" t="str">
        <f>IF(AND($Q$1=FALSE,$S$3=FALSE),"-",IF(AND($Q$1=TRUE,$S$3=TRUE),"-",IF(AND($Q$1=FALSE,$S$3=FALSE),"-",IF(AND($Q$1=TRUE,$S$1=TRUE,$S$4=FALSE)=TRUE,IF(OR($Q$4=TRUE,$Q$5=TRUE,$S$2=TRUE),VLOOKUP($G763,'KO Calc'!$H:$AW,FALSE),VLOOKUP($G763,'KO Calc'!$H769:$AW769,14,FALSE)),IF(AND($Q$1=TRUE,$S$4=FALSE),IF(OR($Q$4=TRUE,$Q$5=TRUE,$S$2=TRUE),VLOOKUP($G763,'KO Calc'!$H:$AW,4,FALSE),VLOOKUP($G763,'KO Calc'!$H769:$AW769,4,FALSE)),
IF(AND($Q$1=TRUE,$S$1=TRUE,$S$4=TRUE)=TRUE,IF(OR($Q$4=TRUE,$Q$5=TRUE,$S$2=TRUE),VLOOKUP($G763,'KO Calc'!$H:$AW,19,FALSE),VLOOKUP($G763,'KO Calc'!$H769:$AW769,19,FALSE)),IF(AND($Q$1=TRUE,$S$4=TRUE),IF(OR($Q$4=TRUE,$Q$5=TRUE,$S$2=TRUE),VLOOKUP($G763,'KO Calc'!$H:$AW,9,FALSE),VLOOKUP($G763,'KO Calc'!$H769:$AW769,9,FALSE)),
IF(AND($S$3=TRUE,$S$1=TRUE,$S$4=FALSE)=TRUE,IF(OR($Q$4=TRUE,$Q$5=TRUE,$S$2=TRUE),VLOOKUP($G763,'KO Calc'!$H:$AW,34,FALSE),VLOOKUP($G763,'KO Calc'!$H769:$AW769,34,FALSE)),IF(AND($S$3=TRUE,$S$4=FALSE),IF(OR($Q$4=TRUE,$Q$5=TRUE,$S$2=TRUE),VLOOKUP($G763,'KO Calc'!$H:$AW,24,FALSE),VLOOKUP($G763,'KO Calc'!$H769:$AW769,24,FALSE)),
IF(AND($S$3=TRUE,$S$1=TRUE,$S$4=TRUE)=TRUE,IF(OR($Q$4=TRUE,$Q$5=TRUE,$S$2=TRUE),VLOOKUP($G763,'KO Calc'!$H:$AW,39,FALSE),VLOOKUP($G763,'KO Calc'!$H769:$AW769,39,FALSE)),IF(AND($S$3=TRUE,$S$4=TRUE),IF(OR($Q$4=TRUE,$Q$5=TRUE,$S$2=TRUE),VLOOKUP($G763,'KO Calc'!$H:$AW,29,FALSE),VLOOKUP($G763,'KO Calc'!$H769:$AW769,29,FALSE)))))))))))))</f>
        <v>-</v>
      </c>
      <c r="K763" s="36" t="str">
        <f>IF(AND($Q$1=FALSE,$S$3=FALSE),"-",IF(AND($Q$1=TRUE,$S$3=TRUE),"-",IF(AND($Q$1=FALSE,$S$3=FALSE),"-",IF(AND($Q$1=TRUE,$S$1=TRUE,$S$4=FALSE)=TRUE,IF(OR($Q$4=TRUE,$Q$5=TRUE,$S$2=TRUE),VLOOKUP($G763,'KO Calc'!$H:$AW,15,FALSE),VLOOKUP($G763,'KO Calc'!$H769:$AW769,15,FALSE)),IF(AND($Q$1=TRUE,$S$4=FALSE),IF(OR($Q$4=TRUE,$Q$5=TRUE,$S$2=TRUE),VLOOKUP($G763,'KO Calc'!$H:$AW,5,FALSE),VLOOKUP($G763,'KO Calc'!$H769:$AW769,5,FALSE)),
IF(AND($Q$1=TRUE,$S$1=TRUE,$S$4=TRUE)=TRUE,IF(OR($Q$4=TRUE,$Q$5=TRUE,$S$2=TRUE),VLOOKUP($G763,'KO Calc'!$H:$AW,20,FALSE),VLOOKUP($G763,'KO Calc'!$H769:$AW769,20,FALSE)),IF(AND($Q$1=TRUE,$S$4=TRUE),IF(OR($Q$4=TRUE,$Q$5=TRUE,$S$2=TRUE),VLOOKUP($G763,'KO Calc'!$H:$AW,10,FALSE),VLOOKUP($G763,'KO Calc'!$H769:$AW769,10,FALSE)),
IF(AND($S$3=TRUE,$S$1=TRUE,$S$4=FALSE)=TRUE,IF(OR($Q$4=TRUE,$Q$5=TRUE,$S$2=TRUE),VLOOKUP($G763,'KO Calc'!$H:$AW,35,FALSE),VLOOKUP($G763,'KO Calc'!$H769:$AW769,35,FALSE)),IF(AND($S$3=TRUE,$S$4=FALSE),IF(OR($Q$4=TRUE,$Q$5=TRUE,$S$2=TRUE),VLOOKUP($G763,'KO Calc'!$H:$AW,25,FALSE),VLOOKUP($G763,'KO Calc'!$H769:$AW769,25,FALSE)),
IF(AND($S$3=TRUE,$S$1=TRUE,$S$4=TRUE)=TRUE,IF(OR($Q$4=TRUE,$Q$5=TRUE,$S$2=TRUE),VLOOKUP($G763,'KO Calc'!$H:$AW,40,FALSE),VLOOKUP($G763,'KO Calc'!$H769:$AW769,40,FALSE)),IF(AND($S$3=TRUE,$S$4=TRUE),IF(OR($Q$4=TRUE,$Q$5=TRUE,$S$2=TRUE),VLOOKUP($G763,'KO Calc'!$H:$AW,30,FALSE),VLOOKUP($G763,'KO Calc'!$H769:$AW769,30,FALSE)))))))))))))</f>
        <v>-</v>
      </c>
      <c r="L763" s="36" t="str">
        <f>IFERROR(VLOOKUP($E763,'Status Thresholds'!$E:$AS,41,FALSE),"-")</f>
        <v>-</v>
      </c>
    </row>
    <row r="764" spans="2:14" x14ac:dyDescent="0.25">
      <c r="B764" s="64" t="str">
        <f>VLOOKUP(C764,'Status Thresholds'!B:C,2,FALSE)</f>
        <v>Deviant</v>
      </c>
      <c r="C764" s="46" t="str">
        <f>IF(ISBLANK('KO Calc'!C760)=TRUE,"",'KO Calc'!C760)</f>
        <v>Thunderlord</v>
      </c>
      <c r="D764" s="78"/>
      <c r="E764" s="62" t="str">
        <f t="shared" si="21"/>
        <v>Thunderlord</v>
      </c>
      <c r="G764" s="36" t="str">
        <f t="shared" si="22"/>
        <v>Thunderlord</v>
      </c>
      <c r="L764" s="36" t="str">
        <f>IFERROR(VLOOKUP($E764,'Status Thresholds'!$E:$AS,41,FALSE),"-")</f>
        <v>-</v>
      </c>
    </row>
    <row r="765" spans="2:14" x14ac:dyDescent="0.25">
      <c r="B765" s="64" t="str">
        <f>VLOOKUP(C765,'Status Thresholds'!B:C,2,FALSE)</f>
        <v>MHGen</v>
      </c>
      <c r="C765" s="46" t="str">
        <f>IF(ISBLANK('KO Calc'!C761)=TRUE,"",'KO Calc'!C761)</f>
        <v>Tigrex</v>
      </c>
      <c r="D765" s="65" t="s">
        <v>0</v>
      </c>
      <c r="E765" s="62" t="str">
        <f t="shared" si="21"/>
        <v>TigrexPara</v>
      </c>
      <c r="F765" s="36" t="s">
        <v>2</v>
      </c>
      <c r="G765" s="36" t="str">
        <f t="shared" si="22"/>
        <v>TigrexPara lvl 2</v>
      </c>
      <c r="H765" s="36" t="str">
        <f>IFERROR(ROUNDUP(IF(AND($Q$1=FALSE,$S$3=FALSE),"-",IF(AND($Q$1=TRUE,$S$3=TRUE),"-",IF(AND($Q$1=TRUE,$S$1=TRUE,$S$4=FALSE),VLOOKUP($E765,'Status Thresholds'!$E:$AS,12,FALSE),IF(AND($Q$1=TRUE,$S$4=FALSE),VLOOKUP($E765,'Status Thresholds'!$E:$AS,2,FALSE), IF(AND($Q$1=TRUE,$S$1=TRUE,$S$4=TRUE),VLOOKUP($E765,'Status Thresholds'!$E:$AS,17,FALSE),IF(AND($Q$1=TRUE,$S$4=TRUE),VLOOKUP($E765,'Status Thresholds'!$E:$AS,7,FALSE),IF(AND($S$3=TRUE,$S$1=TRUE,$S$4=FALSE),VLOOKUP($E765,'Status Thresholds'!$E:$AS,32,FALSE),IF(AND($S$3=TRUE,$S$4=FALSE),VLOOKUP($E765,'Status Thresholds'!$E:$AS,22,FALSE),IF(AND($S$3=TRUE,$S$1=TRUE,$S$4=TRUE),VLOOKUP($E765,'Status Thresholds'!$E:$AS,37,FALSE),IF(AND($S$3=TRUE,$S$4=TRUE),VLOOKUP($E765,'Status Thresholds'!$E:$AS,27,FALSE),""))))))))/IF(OR($Q$3=TRUE,AND($Q$2=TRUE,$Q$7=TRUE),AND($Q$3=TRUE,$Q$7=TRUE))=TRUE,'Shots and Status'!$F$5,IF((OR($Q$2,$Q$7)=TRUE),'Shots and Status'!$D$5,'Shots and Status'!$C$5)))),0),"-")</f>
        <v>-</v>
      </c>
      <c r="I765" s="36" t="str">
        <f>IFERROR(ROUNDUP(IF(AND($Q$1=FALSE,$S$3=FALSE),"-",IF(AND($Q$1=TRUE,$S$3=TRUE),"-",IF(AND($Q$1=TRUE,$S$1=TRUE,$S$4=FALSE),VLOOKUP($E765,'Status Thresholds'!$E:$AS,13,FALSE),IF(AND($Q$1=TRUE,$S$4=FALSE),VLOOKUP($E765,'Status Thresholds'!$E:$AS,3,FALSE), IF(AND($Q$1=TRUE,$S$1=TRUE,$S$4=TRUE),VLOOKUP($E765,'Status Thresholds'!$E:$AS,18,FALSE),IF(AND($Q$1=TRUE,$S$4=TRUE),VLOOKUP($E765,'Status Thresholds'!$E:$AS,8,FALSE),IF(AND($S$3=TRUE,$S$1=TRUE,$S$4=FALSE),VLOOKUP($E765,'Status Thresholds'!$E:$AS,33,FALSE),IF(AND($S$3=TRUE,$S$4=FALSE),VLOOKUP($E765,'Status Thresholds'!$E:$AS,23,FALSE),IF(AND($S$3=TRUE,$S$1=TRUE,$S$4=TRUE),VLOOKUP($E765,'Status Thresholds'!$E:$AS,38,FALSE),IF(AND($S$3=TRUE,$S$4=TRUE),VLOOKUP($E765,'Status Thresholds'!$E:$AS,28,FALSE),""))))))))/IF(OR($Q$3=TRUE,AND($Q$2=TRUE,$Q$7=TRUE),AND($Q$3=TRUE,$Q$7=TRUE))=TRUE,'Shots and Status'!$F$5,IF((OR($Q$2,$Q$7)=TRUE),'Shots and Status'!$D$5,'Shots and Status'!$C$5)))),0),"-")</f>
        <v>-</v>
      </c>
      <c r="J765" s="36" t="str">
        <f>IFERROR(ROUNDUP(IF(AND($Q$1=FALSE,$S$3=FALSE),"-",IF(AND($Q$1=TRUE,$S$3=TRUE),"-",IF(AND($Q$1=TRUE,$S$1=TRUE,$S$4=FALSE),VLOOKUP($E765,'Status Thresholds'!$E:$AS,14,FALSE),IF(AND($Q$1=TRUE,$S$4=FALSE),VLOOKUP($E765,'Status Thresholds'!$E:$AS,4,FALSE), IF(AND($Q$1=TRUE,$S$1=TRUE,$S$4=TRUE),VLOOKUP($E765,'Status Thresholds'!$E:$AS,19,FALSE),IF(AND($Q$1=TRUE,$S$4=TRUE),VLOOKUP($E765,'Status Thresholds'!$E:$AS,9,FALSE),IF(AND($S$3=TRUE,$S$1=TRUE,$S$4=FALSE),VLOOKUP($E765,'Status Thresholds'!$E:$AS,34,FALSE),IF(AND($S$3=TRUE,$S$4=FALSE),VLOOKUP($E765,'Status Thresholds'!$E:$AS,24,FALSE),IF(AND($S$3=TRUE,$S$1=TRUE,$S$4=TRUE),VLOOKUP($E765,'Status Thresholds'!$E:$AS,39,FALSE),IF(AND($S$3=TRUE,$S$4=TRUE),VLOOKUP($E765,'Status Thresholds'!$E:$AS,29,FALSE),""))))))))/IF(OR($Q$3=TRUE,AND($Q$2=TRUE,$Q$7=TRUE),AND($Q$3=TRUE,$Q$7=TRUE))=TRUE,'Shots and Status'!$F$5,IF((OR($Q$2,$Q$7)=TRUE),'Shots and Status'!$D$5,'Shots and Status'!$C$5)))),0),"-")</f>
        <v>-</v>
      </c>
      <c r="K765" s="36" t="str">
        <f>IFERROR(ROUNDUP(IF(AND($Q$1=FALSE,$S$3=FALSE),"-",IF(AND($Q$1=TRUE,$S$3=TRUE),"-",IF(AND($Q$1=TRUE,$S$1=TRUE,$S$4=FALSE),VLOOKUP($E765,'Status Thresholds'!$E:$AS,15,FALSE),IF(AND($Q$1=TRUE,$S$4=FALSE),VLOOKUP($E765,'Status Thresholds'!$E:$AS,5,FALSE), IF(AND($Q$1=TRUE,$S$1=TRUE,$S$4=TRUE),VLOOKUP($E765,'Status Thresholds'!$E:$AS,20,FALSE),IF(AND($Q$1=TRUE,$S$4=TRUE),VLOOKUP($E765,'Status Thresholds'!$E:$AS,10,FALSE),IF(AND($S$3=TRUE,$S$1=TRUE,$S$4=FALSE),VLOOKUP($E765,'Status Thresholds'!$E:$AS,35,FALSE),IF(AND($S$3=TRUE,$S$4=FALSE),VLOOKUP($E765,'Status Thresholds'!$E:$AS,25,FALSE),IF(AND($S$3=TRUE,$S$1=TRUE,$S$4=TRUE),VLOOKUP($E765,'Status Thresholds'!$E:$AS,40,FALSE),IF(AND($S$3=TRUE,$S$4=TRUE),VLOOKUP($E765,'Status Thresholds'!$E:$AS,30,FALSE),""))))))))/IF(OR($Q$3=TRUE,AND($Q$2=TRUE,$Q$7=TRUE),AND($Q$3=TRUE,$Q$7=TRUE))=TRUE,'Shots and Status'!$F$5,IF((OR($Q$2,$Q$7)=TRUE),'Shots and Status'!$D$5,'Shots and Status'!$C$5)))),0),"-")</f>
        <v>-</v>
      </c>
      <c r="L765" s="36" t="str">
        <f>IFERROR(IF(AND($Q$1=FALSE,$S$3=FALSE),"-",VLOOKUP($E765,'Status Thresholds'!$E:$AU,41,FALSE)),"-")</f>
        <v>-</v>
      </c>
      <c r="M765" s="36" t="str">
        <f>IFERROR(IF(AND($Q$1=FALSE,$S$3=FALSE),"-",VLOOKUP($E765,'Status Thresholds'!$E:$AU,42,FALSE)),"-")</f>
        <v>-</v>
      </c>
      <c r="N765" s="36" t="str">
        <f>IFERROR(IF(AND($Q$1=FALSE,$S$3=FALSE),"-",VLOOKUP($E765,'Status Thresholds'!$E:$AU,43,FALSE)),"-")</f>
        <v>-</v>
      </c>
    </row>
    <row r="766" spans="2:14" x14ac:dyDescent="0.25">
      <c r="B766" s="64" t="str">
        <f>VLOOKUP(C766,'Status Thresholds'!B:C,2,FALSE)</f>
        <v>MHGen</v>
      </c>
      <c r="C766" s="46" t="str">
        <f>IF(ISBLANK('KO Calc'!C762)=TRUE,"",'KO Calc'!C762)</f>
        <v>Tigrex</v>
      </c>
      <c r="D766" s="60" t="s">
        <v>32</v>
      </c>
      <c r="E766" s="62" t="str">
        <f t="shared" si="21"/>
        <v>TigrexSleep</v>
      </c>
      <c r="F766" s="59" t="s">
        <v>5</v>
      </c>
      <c r="G766" s="36" t="str">
        <f t="shared" si="22"/>
        <v>TigrexSleep lvl 2</v>
      </c>
      <c r="H766" s="36" t="str">
        <f>IFERROR(ROUNDUP(IF(AND($Q$1=FALSE,$S$3=FALSE),"-",IF(AND($Q$1=TRUE,$S$3=TRUE),"-",IF(AND($Q$1=TRUE,$S$1=TRUE,$S$4=FALSE),VLOOKUP($E766,'Status Thresholds'!$E:$AS,12,FALSE),IF(AND($Q$1=TRUE,$S$4=FALSE),VLOOKUP($E766,'Status Thresholds'!$E:$AS,2,FALSE), IF(AND($Q$1=TRUE,$S$1=TRUE,$S$4=TRUE),VLOOKUP($E766,'Status Thresholds'!$E:$AS,17,FALSE),IF(AND($Q$1=TRUE,$S$4=TRUE),VLOOKUP($E766,'Status Thresholds'!$E:$AS,7,FALSE),IF(AND($S$3=TRUE,$S$1=TRUE,$S$4=FALSE),VLOOKUP($E766,'Status Thresholds'!$E:$AS,32,FALSE),IF(AND($S$3=TRUE,$S$4=FALSE),VLOOKUP($E766,'Status Thresholds'!$E:$AS,22,FALSE),IF(AND($S$3=TRUE,$S$1=TRUE,$S$4=TRUE),VLOOKUP($E766,'Status Thresholds'!$E:$AS,37,FALSE),IF(AND($S$3=TRUE,$S$4=TRUE),VLOOKUP($E766,'Status Thresholds'!$E:$AS,27,FALSE),""))))))))/IF(OR($Q$3=TRUE,AND($Q$2=TRUE,$Q$7=TRUE),AND($Q$3=TRUE,$Q$7=TRUE))=TRUE,'Shots and Status'!$F$5,IF((OR($Q$2,$Q$7)=TRUE),'Shots and Status'!$D$5,'Shots and Status'!$C$5)))),0),"-")</f>
        <v>-</v>
      </c>
      <c r="I766" s="36" t="str">
        <f>IFERROR(ROUNDUP(IF(AND($Q$1=FALSE,$S$3=FALSE),"-",IF(AND($Q$1=TRUE,$S$3=TRUE),"-",IF(AND($Q$1=TRUE,$S$1=TRUE,$S$4=FALSE),VLOOKUP($E766,'Status Thresholds'!$E:$AS,13,FALSE),IF(AND($Q$1=TRUE,$S$4=FALSE),VLOOKUP($E766,'Status Thresholds'!$E:$AS,3,FALSE), IF(AND($Q$1=TRUE,$S$1=TRUE,$S$4=TRUE),VLOOKUP($E766,'Status Thresholds'!$E:$AS,18,FALSE),IF(AND($Q$1=TRUE,$S$4=TRUE),VLOOKUP($E766,'Status Thresholds'!$E:$AS,8,FALSE),IF(AND($S$3=TRUE,$S$1=TRUE,$S$4=FALSE),VLOOKUP($E766,'Status Thresholds'!$E:$AS,33,FALSE),IF(AND($S$3=TRUE,$S$4=FALSE),VLOOKUP($E766,'Status Thresholds'!$E:$AS,23,FALSE),IF(AND($S$3=TRUE,$S$1=TRUE,$S$4=TRUE),VLOOKUP($E766,'Status Thresholds'!$E:$AS,38,FALSE),IF(AND($S$3=TRUE,$S$4=TRUE),VLOOKUP($E766,'Status Thresholds'!$E:$AS,28,FALSE),""))))))))/IF(OR($Q$3=TRUE,AND($Q$2=TRUE,$Q$7=TRUE),AND($Q$3=TRUE,$Q$7=TRUE))=TRUE,'Shots and Status'!$F$5,IF((OR($Q$2,$Q$7)=TRUE),'Shots and Status'!$D$5,'Shots and Status'!$C$5)))),0),"-")</f>
        <v>-</v>
      </c>
      <c r="J766" s="36" t="str">
        <f>IFERROR(ROUNDUP(IF(AND($Q$1=FALSE,$S$3=FALSE),"-",IF(AND($Q$1=TRUE,$S$3=TRUE),"-",IF(AND($Q$1=TRUE,$S$1=TRUE,$S$4=FALSE),VLOOKUP($E766,'Status Thresholds'!$E:$AS,14,FALSE),IF(AND($Q$1=TRUE,$S$4=FALSE),VLOOKUP($E766,'Status Thresholds'!$E:$AS,4,FALSE), IF(AND($Q$1=TRUE,$S$1=TRUE,$S$4=TRUE),VLOOKUP($E766,'Status Thresholds'!$E:$AS,19,FALSE),IF(AND($Q$1=TRUE,$S$4=TRUE),VLOOKUP($E766,'Status Thresholds'!$E:$AS,9,FALSE),IF(AND($S$3=TRUE,$S$1=TRUE,$S$4=FALSE),VLOOKUP($E766,'Status Thresholds'!$E:$AS,34,FALSE),IF(AND($S$3=TRUE,$S$4=FALSE),VLOOKUP($E766,'Status Thresholds'!$E:$AS,24,FALSE),IF(AND($S$3=TRUE,$S$1=TRUE,$S$4=TRUE),VLOOKUP($E766,'Status Thresholds'!$E:$AS,39,FALSE),IF(AND($S$3=TRUE,$S$4=TRUE),VLOOKUP($E766,'Status Thresholds'!$E:$AS,29,FALSE),""))))))))/IF(OR($Q$3=TRUE,AND($Q$2=TRUE,$Q$7=TRUE),AND($Q$3=TRUE,$Q$7=TRUE))=TRUE,'Shots and Status'!$F$5,IF((OR($Q$2,$Q$7)=TRUE),'Shots and Status'!$D$5,'Shots and Status'!$C$5)))),0),"-")</f>
        <v>-</v>
      </c>
      <c r="K766" s="36" t="str">
        <f>IFERROR(ROUNDUP(IF(AND($Q$1=FALSE,$S$3=FALSE),"-",IF(AND($Q$1=TRUE,$S$3=TRUE),"-",IF(AND($Q$1=TRUE,$S$1=TRUE,$S$4=FALSE),VLOOKUP($E766,'Status Thresholds'!$E:$AS,15,FALSE),IF(AND($Q$1=TRUE,$S$4=FALSE),VLOOKUP($E766,'Status Thresholds'!$E:$AS,5,FALSE), IF(AND($Q$1=TRUE,$S$1=TRUE,$S$4=TRUE),VLOOKUP($E766,'Status Thresholds'!$E:$AS,20,FALSE),IF(AND($Q$1=TRUE,$S$4=TRUE),VLOOKUP($E766,'Status Thresholds'!$E:$AS,10,FALSE),IF(AND($S$3=TRUE,$S$1=TRUE,$S$4=FALSE),VLOOKUP($E766,'Status Thresholds'!$E:$AS,35,FALSE),IF(AND($S$3=TRUE,$S$4=FALSE),VLOOKUP($E766,'Status Thresholds'!$E:$AS,25,FALSE),IF(AND($S$3=TRUE,$S$1=TRUE,$S$4=TRUE),VLOOKUP($E766,'Status Thresholds'!$E:$AS,40,FALSE),IF(AND($S$3=TRUE,$S$4=TRUE),VLOOKUP($E766,'Status Thresholds'!$E:$AS,30,FALSE),""))))))))/IF(OR($Q$3=TRUE,AND($Q$2=TRUE,$Q$7=TRUE),AND($Q$3=TRUE,$Q$7=TRUE))=TRUE,'Shots and Status'!$F$5,IF((OR($Q$2,$Q$7)=TRUE),'Shots and Status'!$D$5,'Shots and Status'!$C$5)))),0),"-")</f>
        <v>-</v>
      </c>
      <c r="L766" s="36" t="str">
        <f>IFERROR(IF(AND($Q$1=FALSE,$S$3=FALSE),"-",VLOOKUP($E766,'Status Thresholds'!$E:$AU,41,FALSE)),"-")</f>
        <v>-</v>
      </c>
      <c r="M766" s="36" t="str">
        <f>IFERROR(IF(AND($Q$1=FALSE,$S$3=FALSE),"-",VLOOKUP($E766,'Status Thresholds'!$E:$AU,42,FALSE)),"-")</f>
        <v>-</v>
      </c>
      <c r="N766" s="36" t="str">
        <f>IFERROR(IF(AND($Q$1=FALSE,$S$3=FALSE),"-",VLOOKUP($E766,'Status Thresholds'!$E:$AU,43,FALSE)),"-")</f>
        <v>-</v>
      </c>
    </row>
    <row r="767" spans="2:14" x14ac:dyDescent="0.25">
      <c r="B767" s="64" t="str">
        <f>VLOOKUP(C767,'Status Thresholds'!B:C,2,FALSE)</f>
        <v>MHGen</v>
      </c>
      <c r="C767" s="46" t="str">
        <f>IF(ISBLANK('KO Calc'!C763)=TRUE,"",'KO Calc'!C763)</f>
        <v>Tigrex</v>
      </c>
      <c r="D767" s="58" t="s">
        <v>33</v>
      </c>
      <c r="E767" s="62" t="str">
        <f t="shared" si="21"/>
        <v>TigrexPoison</v>
      </c>
      <c r="F767" s="59" t="s">
        <v>6</v>
      </c>
      <c r="G767" s="36" t="str">
        <f t="shared" si="22"/>
        <v>TigrexPoison lvl 2</v>
      </c>
      <c r="H767" s="36" t="str">
        <f>IFERROR(ROUNDUP(IF(AND($Q$1=FALSE,$S$3=FALSE),"-",IF(AND($Q$1=TRUE,$S$3=TRUE),"-",IF(AND($Q$1=TRUE,$S$1=TRUE,$S$4=FALSE),VLOOKUP($E767,'Status Thresholds'!$E:$AS,12,FALSE),IF(AND($Q$1=TRUE,$S$4=FALSE),VLOOKUP($E767,'Status Thresholds'!$E:$AS,2,FALSE), IF(AND($Q$1=TRUE,$S$1=TRUE,$S$4=TRUE),VLOOKUP($E767,'Status Thresholds'!$E:$AS,17,FALSE),IF(AND($Q$1=TRUE,$S$4=TRUE),VLOOKUP($E767,'Status Thresholds'!$E:$AS,7,FALSE),IF(AND($S$3=TRUE,$S$1=TRUE,$S$4=FALSE),VLOOKUP($E767,'Status Thresholds'!$E:$AS,32,FALSE),IF(AND($S$3=TRUE,$S$4=FALSE),VLOOKUP($E767,'Status Thresholds'!$E:$AS,22,FALSE),IF(AND($S$3=TRUE,$S$1=TRUE,$S$4=TRUE),VLOOKUP($E767,'Status Thresholds'!$E:$AS,37,FALSE),IF(AND($S$3=TRUE,$S$4=TRUE),VLOOKUP($E767,'Status Thresholds'!$E:$AS,27,FALSE),""))))))))/IF(OR($Q$3=TRUE,AND($Q$2=TRUE,$Q$7=TRUE),AND($Q$3=TRUE,$Q$7=TRUE))=TRUE,'Shots and Status'!$F$5,IF((OR($Q$2,$Q$7)=TRUE),'Shots and Status'!$D$5,'Shots and Status'!$C$5)))),0),"-")</f>
        <v>-</v>
      </c>
      <c r="I767" s="36" t="str">
        <f>IFERROR(ROUNDUP(IF(AND($Q$1=FALSE,$S$3=FALSE),"-",IF(AND($Q$1=TRUE,$S$3=TRUE),"-",IF(AND($Q$1=TRUE,$S$1=TRUE,$S$4=FALSE),VLOOKUP($E767,'Status Thresholds'!$E:$AS,13,FALSE),IF(AND($Q$1=TRUE,$S$4=FALSE),VLOOKUP($E767,'Status Thresholds'!$E:$AS,3,FALSE), IF(AND($Q$1=TRUE,$S$1=TRUE,$S$4=TRUE),VLOOKUP($E767,'Status Thresholds'!$E:$AS,18,FALSE),IF(AND($Q$1=TRUE,$S$4=TRUE),VLOOKUP($E767,'Status Thresholds'!$E:$AS,8,FALSE),IF(AND($S$3=TRUE,$S$1=TRUE,$S$4=FALSE),VLOOKUP($E767,'Status Thresholds'!$E:$AS,33,FALSE),IF(AND($S$3=TRUE,$S$4=FALSE),VLOOKUP($E767,'Status Thresholds'!$E:$AS,23,FALSE),IF(AND($S$3=TRUE,$S$1=TRUE,$S$4=TRUE),VLOOKUP($E767,'Status Thresholds'!$E:$AS,38,FALSE),IF(AND($S$3=TRUE,$S$4=TRUE),VLOOKUP($E767,'Status Thresholds'!$E:$AS,28,FALSE),""))))))))/IF(OR($Q$3=TRUE,AND($Q$2=TRUE,$Q$7=TRUE),AND($Q$3=TRUE,$Q$7=TRUE))=TRUE,'Shots and Status'!$F$5,IF((OR($Q$2,$Q$7)=TRUE),'Shots and Status'!$D$5,'Shots and Status'!$C$5)))),0),"-")</f>
        <v>-</v>
      </c>
      <c r="J767" s="36" t="str">
        <f>IFERROR(ROUNDUP(IF(AND($Q$1=FALSE,$S$3=FALSE),"-",IF(AND($Q$1=TRUE,$S$3=TRUE),"-",IF(AND($Q$1=TRUE,$S$1=TRUE,$S$4=FALSE),VLOOKUP($E767,'Status Thresholds'!$E:$AS,14,FALSE),IF(AND($Q$1=TRUE,$S$4=FALSE),VLOOKUP($E767,'Status Thresholds'!$E:$AS,4,FALSE), IF(AND($Q$1=TRUE,$S$1=TRUE,$S$4=TRUE),VLOOKUP($E767,'Status Thresholds'!$E:$AS,19,FALSE),IF(AND($Q$1=TRUE,$S$4=TRUE),VLOOKUP($E767,'Status Thresholds'!$E:$AS,9,FALSE),IF(AND($S$3=TRUE,$S$1=TRUE,$S$4=FALSE),VLOOKUP($E767,'Status Thresholds'!$E:$AS,34,FALSE),IF(AND($S$3=TRUE,$S$4=FALSE),VLOOKUP($E767,'Status Thresholds'!$E:$AS,24,FALSE),IF(AND($S$3=TRUE,$S$1=TRUE,$S$4=TRUE),VLOOKUP($E767,'Status Thresholds'!$E:$AS,39,FALSE),IF(AND($S$3=TRUE,$S$4=TRUE),VLOOKUP($E767,'Status Thresholds'!$E:$AS,29,FALSE),""))))))))/IF(OR($Q$3=TRUE,AND($Q$2=TRUE,$Q$7=TRUE),AND($Q$3=TRUE,$Q$7=TRUE))=TRUE,'Shots and Status'!$F$5,IF((OR($Q$2,$Q$7)=TRUE),'Shots and Status'!$D$5,'Shots and Status'!$C$5)))),0),"-")</f>
        <v>-</v>
      </c>
      <c r="K767" s="36" t="str">
        <f>IFERROR(ROUNDUP(IF(AND($Q$1=FALSE,$S$3=FALSE),"-",IF(AND($Q$1=TRUE,$S$3=TRUE),"-",IF(AND($Q$1=TRUE,$S$1=TRUE,$S$4=FALSE),VLOOKUP($E767,'Status Thresholds'!$E:$AS,15,FALSE),IF(AND($Q$1=TRUE,$S$4=FALSE),VLOOKUP($E767,'Status Thresholds'!$E:$AS,5,FALSE), IF(AND($Q$1=TRUE,$S$1=TRUE,$S$4=TRUE),VLOOKUP($E767,'Status Thresholds'!$E:$AS,20,FALSE),IF(AND($Q$1=TRUE,$S$4=TRUE),VLOOKUP($E767,'Status Thresholds'!$E:$AS,10,FALSE),IF(AND($S$3=TRUE,$S$1=TRUE,$S$4=FALSE),VLOOKUP($E767,'Status Thresholds'!$E:$AS,35,FALSE),IF(AND($S$3=TRUE,$S$4=FALSE),VLOOKUP($E767,'Status Thresholds'!$E:$AS,25,FALSE),IF(AND($S$3=TRUE,$S$1=TRUE,$S$4=TRUE),VLOOKUP($E767,'Status Thresholds'!$E:$AS,40,FALSE),IF(AND($S$3=TRUE,$S$4=TRUE),VLOOKUP($E767,'Status Thresholds'!$E:$AS,30,FALSE),""))))))))/IF(OR($Q$3=TRUE,AND($Q$2=TRUE,$Q$7=TRUE),AND($Q$3=TRUE,$Q$7=TRUE))=TRUE,'Shots and Status'!$F$5,IF((OR($Q$2,$Q$7)=TRUE),'Shots and Status'!$D$5,'Shots and Status'!$C$5)))),0),"-")</f>
        <v>-</v>
      </c>
      <c r="L767" s="36" t="str">
        <f>IFERROR(IF(AND($Q$1=FALSE,$S$3=FALSE),"-",VLOOKUP($E767,'Status Thresholds'!$E:$AU,41,FALSE)),"-")</f>
        <v>-</v>
      </c>
      <c r="M767" s="36" t="str">
        <f>IFERROR(IF(AND($Q$1=FALSE,$S$3=FALSE),"-",VLOOKUP($E767,'Status Thresholds'!$E:$AU,42,FALSE)),"-")</f>
        <v>-</v>
      </c>
      <c r="N767" s="36" t="str">
        <f>IFERROR(IF(AND($Q$1=FALSE,$S$3=FALSE),"-",VLOOKUP($E767,'Status Thresholds'!$E:$AU,43,FALSE)),"-")</f>
        <v>-</v>
      </c>
    </row>
    <row r="768" spans="2:14" x14ac:dyDescent="0.25">
      <c r="B768" s="64" t="str">
        <f>VLOOKUP(C768,'Status Thresholds'!B:C,2,FALSE)</f>
        <v>MHGen</v>
      </c>
      <c r="C768" s="46" t="str">
        <f>IF(ISBLANK('KO Calc'!C764)=TRUE,"",'KO Calc'!C764)</f>
        <v>Tigrex</v>
      </c>
      <c r="D768" s="57" t="s">
        <v>22</v>
      </c>
      <c r="E768" s="62" t="str">
        <f t="shared" si="21"/>
        <v>TigrexExhaust</v>
      </c>
      <c r="F768" s="36" t="s">
        <v>8</v>
      </c>
      <c r="G768" s="36" t="str">
        <f t="shared" si="22"/>
        <v>TigrexExhaust lvl 2</v>
      </c>
      <c r="H768" s="36" t="str">
        <f>IFERROR(ROUNDUP(IF(AND($Q$1=FALSE,$S$3=FALSE),"-",IF(AND($Q$1=TRUE,$S$3=TRUE),"-",IF(AND($Q$1=TRUE,$S$1=TRUE,$S$4=FALSE),VLOOKUP($E768,'Status Thresholds'!$E:$AS,12,FALSE),IF(AND($Q$1=TRUE,$S$4=FALSE),VLOOKUP($E768,'Status Thresholds'!$E:$AS,2,FALSE), IF(AND($Q$1=TRUE,$S$1=TRUE,$S$4=TRUE),VLOOKUP($E768,'Status Thresholds'!$E:$AS,17,FALSE),IF(AND($Q$1=TRUE,$S$4=TRUE),VLOOKUP($E768,'Status Thresholds'!$E:$AS,7,FALSE),IF(AND($S$3=TRUE,$S$1=TRUE,$S$4=FALSE),VLOOKUP($E768,'Status Thresholds'!$E:$AS,32,FALSE),IF(AND($S$3=TRUE,$S$4=FALSE),VLOOKUP($E768,'Status Thresholds'!$E:$AS,22,FALSE),IF(AND($S$3=TRUE,$S$1=TRUE,$S$4=TRUE),VLOOKUP($E768,'Status Thresholds'!$E:$AS,37,FALSE),IF(AND($S$3=TRUE,$S$4=TRUE),VLOOKUP($E768,'Status Thresholds'!$E:$AS,27,FALSE),""))))))))/IF(OR($Q$3=TRUE,AND($Q$2=TRUE,$Q$7=TRUE),AND($Q$3=TRUE,$Q$7=TRUE))=TRUE,'Shots and Status'!$F$5,IF((OR($Q$2,$Q$7)=TRUE),'Shots and Status'!$D$5,'Shots and Status'!$C$5)))),0),"-")</f>
        <v>-</v>
      </c>
      <c r="I768" s="36" t="str">
        <f>IFERROR(ROUNDUP(IF(AND($Q$1=FALSE,$S$3=FALSE),"-",IF(AND($Q$1=TRUE,$S$3=TRUE),"-",IF(AND($Q$1=TRUE,$S$1=TRUE,$S$4=FALSE),VLOOKUP($E768,'Status Thresholds'!$E:$AS,13,FALSE),IF(AND($Q$1=TRUE,$S$4=FALSE),VLOOKUP($E768,'Status Thresholds'!$E:$AS,3,FALSE), IF(AND($Q$1=TRUE,$S$1=TRUE,$S$4=TRUE),VLOOKUP($E768,'Status Thresholds'!$E:$AS,18,FALSE),IF(AND($Q$1=TRUE,$S$4=TRUE),VLOOKUP($E768,'Status Thresholds'!$E:$AS,8,FALSE),IF(AND($S$3=TRUE,$S$1=TRUE,$S$4=FALSE),VLOOKUP($E768,'Status Thresholds'!$E:$AS,33,FALSE),IF(AND($S$3=TRUE,$S$4=FALSE),VLOOKUP($E768,'Status Thresholds'!$E:$AS,23,FALSE),IF(AND($S$3=TRUE,$S$1=TRUE,$S$4=TRUE),VLOOKUP($E768,'Status Thresholds'!$E:$AS,38,FALSE),IF(AND($S$3=TRUE,$S$4=TRUE),VLOOKUP($E768,'Status Thresholds'!$E:$AS,28,FALSE),""))))))))/IF(OR($Q$3=TRUE,AND($Q$2=TRUE,$Q$7=TRUE),AND($Q$3=TRUE,$Q$7=TRUE))=TRUE,'Shots and Status'!$F$5,IF((OR($Q$2,$Q$7)=TRUE),'Shots and Status'!$D$5,'Shots and Status'!$C$5)))),0),"-")</f>
        <v>-</v>
      </c>
      <c r="J768" s="36" t="str">
        <f>IFERROR(ROUNDUP(IF(AND($Q$1=FALSE,$S$3=FALSE),"-",IF(AND($Q$1=TRUE,$S$3=TRUE),"-",IF(AND($Q$1=TRUE,$S$1=TRUE,$S$4=FALSE),VLOOKUP($E768,'Status Thresholds'!$E:$AS,14,FALSE),IF(AND($Q$1=TRUE,$S$4=FALSE),VLOOKUP($E768,'Status Thresholds'!$E:$AS,4,FALSE), IF(AND($Q$1=TRUE,$S$1=TRUE,$S$4=TRUE),VLOOKUP($E768,'Status Thresholds'!$E:$AS,19,FALSE),IF(AND($Q$1=TRUE,$S$4=TRUE),VLOOKUP($E768,'Status Thresholds'!$E:$AS,9,FALSE),IF(AND($S$3=TRUE,$S$1=TRUE,$S$4=FALSE),VLOOKUP($E768,'Status Thresholds'!$E:$AS,34,FALSE),IF(AND($S$3=TRUE,$S$4=FALSE),VLOOKUP($E768,'Status Thresholds'!$E:$AS,24,FALSE),IF(AND($S$3=TRUE,$S$1=TRUE,$S$4=TRUE),VLOOKUP($E768,'Status Thresholds'!$E:$AS,39,FALSE),IF(AND($S$3=TRUE,$S$4=TRUE),VLOOKUP($E768,'Status Thresholds'!$E:$AS,29,FALSE),""))))))))/IF(OR($Q$3=TRUE,AND($Q$2=TRUE,$Q$7=TRUE),AND($Q$3=TRUE,$Q$7=TRUE))=TRUE,'Shots and Status'!$F$5,IF((OR($Q$2,$Q$7)=TRUE),'Shots and Status'!$D$5,'Shots and Status'!$C$5)))),0),"-")</f>
        <v>-</v>
      </c>
      <c r="K768" s="36" t="str">
        <f>IFERROR(ROUNDUP(IF(AND($Q$1=FALSE,$S$3=FALSE),"-",IF(AND($Q$1=TRUE,$S$3=TRUE),"-",IF(AND($Q$1=TRUE,$S$1=TRUE,$S$4=FALSE),VLOOKUP($E768,'Status Thresholds'!$E:$AS,15,FALSE),IF(AND($Q$1=TRUE,$S$4=FALSE),VLOOKUP($E768,'Status Thresholds'!$E:$AS,5,FALSE), IF(AND($Q$1=TRUE,$S$1=TRUE,$S$4=TRUE),VLOOKUP($E768,'Status Thresholds'!$E:$AS,20,FALSE),IF(AND($Q$1=TRUE,$S$4=TRUE),VLOOKUP($E768,'Status Thresholds'!$E:$AS,10,FALSE),IF(AND($S$3=TRUE,$S$1=TRUE,$S$4=FALSE),VLOOKUP($E768,'Status Thresholds'!$E:$AS,35,FALSE),IF(AND($S$3=TRUE,$S$4=FALSE),VLOOKUP($E768,'Status Thresholds'!$E:$AS,25,FALSE),IF(AND($S$3=TRUE,$S$1=TRUE,$S$4=TRUE),VLOOKUP($E768,'Status Thresholds'!$E:$AS,40,FALSE),IF(AND($S$3=TRUE,$S$4=TRUE),VLOOKUP($E768,'Status Thresholds'!$E:$AS,30,FALSE),""))))))))/IF(OR($Q$3=TRUE,AND($Q$2=TRUE,$Q$7=TRUE),AND($Q$3=TRUE,$Q$7=TRUE))=TRUE,'Shots and Status'!$F$5,IF((OR($Q$2,$Q$7)=TRUE),'Shots and Status'!$D$5,'Shots and Status'!$C$5)))),0),"-")</f>
        <v>-</v>
      </c>
      <c r="L768" s="36" t="str">
        <f>IFERROR(IF(AND($Q$1=FALSE,$S$3=FALSE),"-",VLOOKUP($E768,'Status Thresholds'!$E:$AU,41,FALSE)),"-")</f>
        <v>-</v>
      </c>
      <c r="M768" s="36" t="str">
        <f>IFERROR(IF(AND($Q$1=FALSE,$S$3=FALSE),"-",VLOOKUP($E768,'Status Thresholds'!$E:$AU,42,FALSE)),"-")</f>
        <v>-</v>
      </c>
      <c r="N768" s="36" t="str">
        <f>IFERROR(IF(AND($Q$1=FALSE,$S$3=FALSE),"-",VLOOKUP($E768,'Status Thresholds'!$E:$AU,43,FALSE)),"-")</f>
        <v>-</v>
      </c>
    </row>
    <row r="769" spans="2:14" x14ac:dyDescent="0.25">
      <c r="B769" s="64" t="str">
        <f>VLOOKUP(C769,'Status Thresholds'!B:C,2,FALSE)</f>
        <v>MHGen</v>
      </c>
      <c r="C769" s="46" t="str">
        <f>IF(ISBLANK('KO Calc'!C765)=TRUE,"",'KO Calc'!C765)</f>
        <v>Tigrex</v>
      </c>
      <c r="D769" s="67" t="s">
        <v>14</v>
      </c>
      <c r="E769" s="62" t="str">
        <f t="shared" si="21"/>
        <v>TigrexKO</v>
      </c>
      <c r="F769" s="36" t="s">
        <v>21</v>
      </c>
      <c r="G769" s="36" t="str">
        <f t="shared" si="22"/>
        <v>TigrexTriblast</v>
      </c>
      <c r="H769" s="36" t="str">
        <f>IF(AND($Q$1=FALSE,$S$3=FALSE),"-",IF(AND($Q$1=TRUE,$S$3=TRUE),"-",IF(AND($Q$1=FALSE,$S$3=FALSE),"-",IF(AND($Q$1=TRUE,$S$1=TRUE,$S$4=FALSE)=TRUE,IF(OR($Q$4=TRUE,$Q$5=TRUE,$S$2=TRUE),VLOOKUP($G769,'KO Calc'!$H:$AW,12,FALSE),VLOOKUP($G769,'KO Calc'!$H775:$AW775,12,FALSE)),IF(AND($Q$1=TRUE,$S$4=FALSE),IF(OR($Q$4=TRUE,$Q$5=TRUE,$S$2=TRUE),VLOOKUP($G769,'KO Calc'!$H:$AW,2,FALSE),VLOOKUP($G769,'KO Calc'!$H775:$AW775,2,FALSE)),
IF(AND($Q$1=TRUE,$S$1=TRUE,$S$4=TRUE)=TRUE,IF(OR($Q$4=TRUE,$Q$5=TRUE,$S$2=TRUE),VLOOKUP($G769,'KO Calc'!$H:$AW,17,FALSE),VLOOKUP($G769,'KO Calc'!$H775:$AW775,17,FALSE)),IF(AND($Q$1=TRUE,$S$4=TRUE),IF(OR($Q$4=TRUE,$Q$5=TRUE,$S$2=TRUE),VLOOKUP($G769,'KO Calc'!$H:$AW,7,FALSE),VLOOKUP($G769,'KO Calc'!$H775:$AW775,7,FALSE)),
IF(AND($S$3=TRUE,$S$1=TRUE,$S$4=FALSE)=TRUE,IF(OR($Q$4=TRUE,$Q$5=TRUE,$S$2=TRUE),VLOOKUP($G769,'KO Calc'!$H:$AW,32,FALSE),VLOOKUP($G769,'KO Calc'!$H775:$AW775,32,FALSE)),IF(AND($S$3=TRUE,$S$4=FALSE),IF(OR($Q$4=TRUE,$Q$5=TRUE,$S$2=TRUE),VLOOKUP($G769,'KO Calc'!$H:$AW,22,FALSE),VLOOKUP($G769,'KO Calc'!$H775:$AW775,22,FALSE)),
IF(AND($S$3=TRUE,$S$1=TRUE,$S$4=TRUE)=TRUE,IF(OR($Q$4=TRUE,$Q$5=TRUE,$S$2=TRUE),VLOOKUP($G769,'KO Calc'!$H:$AW,37,FALSE),VLOOKUP($G769,'KO Calc'!$H775:$AW775,37,FALSE)),IF(AND($S$3=TRUE,$S$4=TRUE),IF(OR($Q$4=TRUE,$Q$5=TRUE,$S$2=TRUE),VLOOKUP($G769,'KO Calc'!$H:$AW,27,FALSE),VLOOKUP($G769,'KO Calc'!$H775:$AW775,27,FALSE)))))))))))))</f>
        <v>-</v>
      </c>
      <c r="I769" s="36" t="str">
        <f>IF(AND($Q$1=FALSE,$S$3=FALSE),"-",IF(AND($Q$1=TRUE,$S$3=TRUE),"-",IF(AND($Q$1=FALSE,$S$3=FALSE),"-",IF(AND($Q$1=TRUE,$S$1=TRUE,$S$4=FALSE)=TRUE,IF(OR($Q$4=TRUE,$Q$5=TRUE,$S$2=TRUE),VLOOKUP($G769,'KO Calc'!$H:$AW,13,FALSE),VLOOKUP($G769,'KO Calc'!$H775:$AW775,13,FALSE)),IF(AND($Q$1=TRUE,$S$4=FALSE),IF(OR($Q$4=TRUE,$Q$5=TRUE,$S$2=TRUE),VLOOKUP($G769,'KO Calc'!$H:$AW,3,FALSE),VLOOKUP($G769,'KO Calc'!$H775:$AW775,3,FALSE)),
IF(AND($Q$1=TRUE,$S$1=TRUE,$S$4=TRUE)=TRUE,IF(OR($Q$4=TRUE,$Q$5=TRUE,$S$2=TRUE),VLOOKUP($G769,'KO Calc'!$H:$AW,18,FALSE),VLOOKUP($G769,'KO Calc'!$H775:$AW775,18,FALSE)),IF(AND($Q$1=TRUE,$S$4=TRUE),IF(OR($Q$4=TRUE,$Q$5=TRUE,$S$2=TRUE),VLOOKUP($G769,'KO Calc'!$H:$AW,8,FALSE),VLOOKUP($G769,'KO Calc'!$H775:$AW775,8,FALSE)),
IF(AND($S$3=TRUE,$S$1=TRUE,$S$4=FALSE)=TRUE,IF(OR($Q$4=TRUE,$Q$5=TRUE,$S$2=TRUE),VLOOKUP($G769,'KO Calc'!$H:$AW,33,FALSE),VLOOKUP($G769,'KO Calc'!$H775:$AW775,33,FALSE)),IF(AND($S$3=TRUE,$S$4=FALSE),IF(OR($Q$4=TRUE,$Q$5=TRUE,$S$2=TRUE),VLOOKUP($G769,'KO Calc'!$H:$AW,23,FALSE),VLOOKUP($G769,'KO Calc'!$H775:$AW775,23,FALSE)),
IF(AND($S$3=TRUE,$S$1=TRUE,$S$4=TRUE)=TRUE,IF(OR($Q$4=TRUE,$Q$5=TRUE,$S$2=TRUE),VLOOKUP($G769,'KO Calc'!$H:$AW,38,FALSE),VLOOKUP($G769,'KO Calc'!$H775:$AW775,38,FALSE)),IF(AND($S$3=TRUE,$S$4=TRUE),IF(OR($Q$4=TRUE,$Q$5=TRUE,$S$2=TRUE),VLOOKUP($G769,'KO Calc'!$H:$AW,28,FALSE),VLOOKUP($G769,'KO Calc'!$H775:$AW775,28,FALSE)))))))))))))</f>
        <v>-</v>
      </c>
      <c r="J769" s="36" t="str">
        <f>IF(AND($Q$1=FALSE,$S$3=FALSE),"-",IF(AND($Q$1=TRUE,$S$3=TRUE),"-",IF(AND($Q$1=FALSE,$S$3=FALSE),"-",IF(AND($Q$1=TRUE,$S$1=TRUE,$S$4=FALSE)=TRUE,IF(OR($Q$4=TRUE,$Q$5=TRUE,$S$2=TRUE),VLOOKUP($G769,'KO Calc'!$H:$AW,FALSE),VLOOKUP($G769,'KO Calc'!$H775:$AW775,14,FALSE)),IF(AND($Q$1=TRUE,$S$4=FALSE),IF(OR($Q$4=TRUE,$Q$5=TRUE,$S$2=TRUE),VLOOKUP($G769,'KO Calc'!$H:$AW,4,FALSE),VLOOKUP($G769,'KO Calc'!$H775:$AW775,4,FALSE)),
IF(AND($Q$1=TRUE,$S$1=TRUE,$S$4=TRUE)=TRUE,IF(OR($Q$4=TRUE,$Q$5=TRUE,$S$2=TRUE),VLOOKUP($G769,'KO Calc'!$H:$AW,19,FALSE),VLOOKUP($G769,'KO Calc'!$H775:$AW775,19,FALSE)),IF(AND($Q$1=TRUE,$S$4=TRUE),IF(OR($Q$4=TRUE,$Q$5=TRUE,$S$2=TRUE),VLOOKUP($G769,'KO Calc'!$H:$AW,9,FALSE),VLOOKUP($G769,'KO Calc'!$H775:$AW775,9,FALSE)),
IF(AND($S$3=TRUE,$S$1=TRUE,$S$4=FALSE)=TRUE,IF(OR($Q$4=TRUE,$Q$5=TRUE,$S$2=TRUE),VLOOKUP($G769,'KO Calc'!$H:$AW,34,FALSE),VLOOKUP($G769,'KO Calc'!$H775:$AW775,34,FALSE)),IF(AND($S$3=TRUE,$S$4=FALSE),IF(OR($Q$4=TRUE,$Q$5=TRUE,$S$2=TRUE),VLOOKUP($G769,'KO Calc'!$H:$AW,24,FALSE),VLOOKUP($G769,'KO Calc'!$H775:$AW775,24,FALSE)),
IF(AND($S$3=TRUE,$S$1=TRUE,$S$4=TRUE)=TRUE,IF(OR($Q$4=TRUE,$Q$5=TRUE,$S$2=TRUE),VLOOKUP($G769,'KO Calc'!$H:$AW,39,FALSE),VLOOKUP($G769,'KO Calc'!$H775:$AW775,39,FALSE)),IF(AND($S$3=TRUE,$S$4=TRUE),IF(OR($Q$4=TRUE,$Q$5=TRUE,$S$2=TRUE),VLOOKUP($G769,'KO Calc'!$H:$AW,29,FALSE),VLOOKUP($G769,'KO Calc'!$H775:$AW775,29,FALSE)))))))))))))</f>
        <v>-</v>
      </c>
      <c r="K769" s="36" t="str">
        <f>IF(AND($Q$1=FALSE,$S$3=FALSE),"-",IF(AND($Q$1=TRUE,$S$3=TRUE),"-",IF(AND($Q$1=FALSE,$S$3=FALSE),"-",IF(AND($Q$1=TRUE,$S$1=TRUE,$S$4=FALSE)=TRUE,IF(OR($Q$4=TRUE,$Q$5=TRUE,$S$2=TRUE),VLOOKUP($G769,'KO Calc'!$H:$AW,15,FALSE),VLOOKUP($G769,'KO Calc'!$H775:$AW775,15,FALSE)),IF(AND($Q$1=TRUE,$S$4=FALSE),IF(OR($Q$4=TRUE,$Q$5=TRUE,$S$2=TRUE),VLOOKUP($G769,'KO Calc'!$H:$AW,5,FALSE),VLOOKUP($G769,'KO Calc'!$H775:$AW775,5,FALSE)),
IF(AND($Q$1=TRUE,$S$1=TRUE,$S$4=TRUE)=TRUE,IF(OR($Q$4=TRUE,$Q$5=TRUE,$S$2=TRUE),VLOOKUP($G769,'KO Calc'!$H:$AW,20,FALSE),VLOOKUP($G769,'KO Calc'!$H775:$AW775,20,FALSE)),IF(AND($Q$1=TRUE,$S$4=TRUE),IF(OR($Q$4=TRUE,$Q$5=TRUE,$S$2=TRUE),VLOOKUP($G769,'KO Calc'!$H:$AW,10,FALSE),VLOOKUP($G769,'KO Calc'!$H775:$AW775,10,FALSE)),
IF(AND($S$3=TRUE,$S$1=TRUE,$S$4=FALSE)=TRUE,IF(OR($Q$4=TRUE,$Q$5=TRUE,$S$2=TRUE),VLOOKUP($G769,'KO Calc'!$H:$AW,35,FALSE),VLOOKUP($G769,'KO Calc'!$H775:$AW775,35,FALSE)),IF(AND($S$3=TRUE,$S$4=FALSE),IF(OR($Q$4=TRUE,$Q$5=TRUE,$S$2=TRUE),VLOOKUP($G769,'KO Calc'!$H:$AW,25,FALSE),VLOOKUP($G769,'KO Calc'!$H775:$AW775,25,FALSE)),
IF(AND($S$3=TRUE,$S$1=TRUE,$S$4=TRUE)=TRUE,IF(OR($Q$4=TRUE,$Q$5=TRUE,$S$2=TRUE),VLOOKUP($G769,'KO Calc'!$H:$AW,40,FALSE),VLOOKUP($G769,'KO Calc'!$H775:$AW775,40,FALSE)),IF(AND($S$3=TRUE,$S$4=TRUE),IF(OR($Q$4=TRUE,$Q$5=TRUE,$S$2=TRUE),VLOOKUP($G769,'KO Calc'!$H:$AW,30,FALSE),VLOOKUP($G769,'KO Calc'!$H775:$AW775,30,FALSE)))))))))))))</f>
        <v>-</v>
      </c>
      <c r="L769" s="36" t="str">
        <f>IFERROR(IF(AND($Q$1=FALSE,$S$3=FALSE),"-",VLOOKUP($E769,'Status Thresholds'!$E:$AU,41,FALSE)),"-")</f>
        <v>-</v>
      </c>
      <c r="M769" s="36" t="str">
        <f>IFERROR(IF(AND($Q$1=FALSE,$S$3=FALSE),"-",VLOOKUP($E769,'Status Thresholds'!$E:$AU,42,FALSE)),"-")</f>
        <v>-</v>
      </c>
      <c r="N769" s="36" t="str">
        <f>IFERROR(IF(AND($Q$1=FALSE,$S$3=FALSE),"-",VLOOKUP($E769,'Status Thresholds'!$E:$AU,43,FALSE)),"-")</f>
        <v>-</v>
      </c>
    </row>
    <row r="770" spans="2:14" x14ac:dyDescent="0.25">
      <c r="B770" s="64" t="str">
        <f>VLOOKUP(C770,'Status Thresholds'!B:C,2,FALSE)</f>
        <v>MHGen</v>
      </c>
      <c r="C770" s="46" t="str">
        <f>IF(ISBLANK('KO Calc'!C766)=TRUE,"",'KO Calc'!C766)</f>
        <v>Tigrex</v>
      </c>
      <c r="D770" s="78" t="s">
        <v>207</v>
      </c>
      <c r="E770" s="62" t="str">
        <f t="shared" si="21"/>
        <v>TigrexShock Trap</v>
      </c>
      <c r="F770" t="s">
        <v>13</v>
      </c>
      <c r="G770" s="36" t="str">
        <f t="shared" si="22"/>
        <v>TigrexCrag 3</v>
      </c>
      <c r="H770" s="36" t="str">
        <f>IF(AND($Q$1=FALSE,$S$3=FALSE),"-",IF(AND($Q$1=TRUE,$S$3=TRUE),"-",IF(AND($Q$1=FALSE,$S$3=FALSE),"-",IF(AND($Q$1=TRUE,$S$1=TRUE,$S$4=FALSE)=TRUE,IF(OR($Q$4=TRUE,$Q$5=TRUE,$S$2=TRUE),VLOOKUP($G770,'KO Calc'!$H:$AW,12,FALSE),VLOOKUP($G770,'KO Calc'!$H776:$AW776,12,FALSE)),IF(AND($Q$1=TRUE,$S$4=FALSE),IF(OR($Q$4=TRUE,$Q$5=TRUE,$S$2=TRUE),VLOOKUP($G770,'KO Calc'!$H:$AW,2,FALSE),VLOOKUP($G770,'KO Calc'!$H776:$AW776,2,FALSE)),
IF(AND($Q$1=TRUE,$S$1=TRUE,$S$4=TRUE)=TRUE,IF(OR($Q$4=TRUE,$Q$5=TRUE,$S$2=TRUE),VLOOKUP($G770,'KO Calc'!$H:$AW,17,FALSE),VLOOKUP($G770,'KO Calc'!$H776:$AW776,17,FALSE)),IF(AND($Q$1=TRUE,$S$4=TRUE),IF(OR($Q$4=TRUE,$Q$5=TRUE,$S$2=TRUE),VLOOKUP($G770,'KO Calc'!$H:$AW,7,FALSE),VLOOKUP($G770,'KO Calc'!$H776:$AW776,7,FALSE)),
IF(AND($S$3=TRUE,$S$1=TRUE,$S$4=FALSE)=TRUE,IF(OR($Q$4=TRUE,$Q$5=TRUE,$S$2=TRUE),VLOOKUP($G770,'KO Calc'!$H:$AW,32,FALSE),VLOOKUP($G770,'KO Calc'!$H776:$AW776,32,FALSE)),IF(AND($S$3=TRUE,$S$4=FALSE),IF(OR($Q$4=TRUE,$Q$5=TRUE,$S$2=TRUE),VLOOKUP($G770,'KO Calc'!$H:$AW,22,FALSE),VLOOKUP($G770,'KO Calc'!$H776:$AW776,22,FALSE)),
IF(AND($S$3=TRUE,$S$1=TRUE,$S$4=TRUE)=TRUE,IF(OR($Q$4=TRUE,$Q$5=TRUE,$S$2=TRUE),VLOOKUP($G770,'KO Calc'!$H:$AW,37,FALSE),VLOOKUP($G770,'KO Calc'!$H776:$AW776,37,FALSE)),IF(AND($S$3=TRUE,$S$4=TRUE),IF(OR($Q$4=TRUE,$Q$5=TRUE,$S$2=TRUE),VLOOKUP($G770,'KO Calc'!$H:$AW,27,FALSE),VLOOKUP($G770,'KO Calc'!$H776:$AW776,27,FALSE)))))))))))))</f>
        <v>-</v>
      </c>
      <c r="I770" s="36" t="str">
        <f>IF(AND($Q$1=FALSE,$S$3=FALSE),"-",IF(AND($Q$1=TRUE,$S$3=TRUE),"-",IF(AND($Q$1=FALSE,$S$3=FALSE),"-",IF(AND($Q$1=TRUE,$S$1=TRUE,$S$4=FALSE)=TRUE,IF(OR($Q$4=TRUE,$Q$5=TRUE,$S$2=TRUE),VLOOKUP($G770,'KO Calc'!$H:$AW,13,FALSE),VLOOKUP($G770,'KO Calc'!$H776:$AW776,13,FALSE)),IF(AND($Q$1=TRUE,$S$4=FALSE),IF(OR($Q$4=TRUE,$Q$5=TRUE,$S$2=TRUE),VLOOKUP($G770,'KO Calc'!$H:$AW,3,FALSE),VLOOKUP($G770,'KO Calc'!$H776:$AW776,3,FALSE)),
IF(AND($Q$1=TRUE,$S$1=TRUE,$S$4=TRUE)=TRUE,IF(OR($Q$4=TRUE,$Q$5=TRUE,$S$2=TRUE),VLOOKUP($G770,'KO Calc'!$H:$AW,18,FALSE),VLOOKUP($G770,'KO Calc'!$H776:$AW776,18,FALSE)),IF(AND($Q$1=TRUE,$S$4=TRUE),IF(OR($Q$4=TRUE,$Q$5=TRUE,$S$2=TRUE),VLOOKUP($G770,'KO Calc'!$H:$AW,8,FALSE),VLOOKUP($G770,'KO Calc'!$H776:$AW776,8,FALSE)),
IF(AND($S$3=TRUE,$S$1=TRUE,$S$4=FALSE)=TRUE,IF(OR($Q$4=TRUE,$Q$5=TRUE,$S$2=TRUE),VLOOKUP($G770,'KO Calc'!$H:$AW,33,FALSE),VLOOKUP($G770,'KO Calc'!$H776:$AW776,33,FALSE)),IF(AND($S$3=TRUE,$S$4=FALSE),IF(OR($Q$4=TRUE,$Q$5=TRUE,$S$2=TRUE),VLOOKUP($G770,'KO Calc'!$H:$AW,23,FALSE),VLOOKUP($G770,'KO Calc'!$H776:$AW776,23,FALSE)),
IF(AND($S$3=TRUE,$S$1=TRUE,$S$4=TRUE)=TRUE,IF(OR($Q$4=TRUE,$Q$5=TRUE,$S$2=TRUE),VLOOKUP($G770,'KO Calc'!$H:$AW,38,FALSE),VLOOKUP($G770,'KO Calc'!$H776:$AW776,38,FALSE)),IF(AND($S$3=TRUE,$S$4=TRUE),IF(OR($Q$4=TRUE,$Q$5=TRUE,$S$2=TRUE),VLOOKUP($G770,'KO Calc'!$H:$AW,28,FALSE),VLOOKUP($G770,'KO Calc'!$H776:$AW776,28,FALSE)))))))))))))</f>
        <v>-</v>
      </c>
      <c r="J770" s="36" t="str">
        <f>IF(AND($Q$1=FALSE,$S$3=FALSE),"-",IF(AND($Q$1=TRUE,$S$3=TRUE),"-",IF(AND($Q$1=FALSE,$S$3=FALSE),"-",IF(AND($Q$1=TRUE,$S$1=TRUE,$S$4=FALSE)=TRUE,IF(OR($Q$4=TRUE,$Q$5=TRUE,$S$2=TRUE),VLOOKUP($G770,'KO Calc'!$H:$AW,FALSE),VLOOKUP($G770,'KO Calc'!$H776:$AW776,14,FALSE)),IF(AND($Q$1=TRUE,$S$4=FALSE),IF(OR($Q$4=TRUE,$Q$5=TRUE,$S$2=TRUE),VLOOKUP($G770,'KO Calc'!$H:$AW,4,FALSE),VLOOKUP($G770,'KO Calc'!$H776:$AW776,4,FALSE)),
IF(AND($Q$1=TRUE,$S$1=TRUE,$S$4=TRUE)=TRUE,IF(OR($Q$4=TRUE,$Q$5=TRUE,$S$2=TRUE),VLOOKUP($G770,'KO Calc'!$H:$AW,19,FALSE),VLOOKUP($G770,'KO Calc'!$H776:$AW776,19,FALSE)),IF(AND($Q$1=TRUE,$S$4=TRUE),IF(OR($Q$4=TRUE,$Q$5=TRUE,$S$2=TRUE),VLOOKUP($G770,'KO Calc'!$H:$AW,9,FALSE),VLOOKUP($G770,'KO Calc'!$H776:$AW776,9,FALSE)),
IF(AND($S$3=TRUE,$S$1=TRUE,$S$4=FALSE)=TRUE,IF(OR($Q$4=TRUE,$Q$5=TRUE,$S$2=TRUE),VLOOKUP($G770,'KO Calc'!$H:$AW,34,FALSE),VLOOKUP($G770,'KO Calc'!$H776:$AW776,34,FALSE)),IF(AND($S$3=TRUE,$S$4=FALSE),IF(OR($Q$4=TRUE,$Q$5=TRUE,$S$2=TRUE),VLOOKUP($G770,'KO Calc'!$H:$AW,24,FALSE),VLOOKUP($G770,'KO Calc'!$H776:$AW776,24,FALSE)),
IF(AND($S$3=TRUE,$S$1=TRUE,$S$4=TRUE)=TRUE,IF(OR($Q$4=TRUE,$Q$5=TRUE,$S$2=TRUE),VLOOKUP($G770,'KO Calc'!$H:$AW,39,FALSE),VLOOKUP($G770,'KO Calc'!$H776:$AW776,39,FALSE)),IF(AND($S$3=TRUE,$S$4=TRUE),IF(OR($Q$4=TRUE,$Q$5=TRUE,$S$2=TRUE),VLOOKUP($G770,'KO Calc'!$H:$AW,29,FALSE),VLOOKUP($G770,'KO Calc'!$H776:$AW776,29,FALSE)))))))))))))</f>
        <v>-</v>
      </c>
      <c r="K770" s="36" t="str">
        <f>IF(AND($Q$1=FALSE,$S$3=FALSE),"-",IF(AND($Q$1=TRUE,$S$3=TRUE),"-",IF(AND($Q$1=FALSE,$S$3=FALSE),"-",IF(AND($Q$1=TRUE,$S$1=TRUE,$S$4=FALSE)=TRUE,IF(OR($Q$4=TRUE,$Q$5=TRUE,$S$2=TRUE),VLOOKUP($G770,'KO Calc'!$H:$AW,15,FALSE),VLOOKUP($G770,'KO Calc'!$H776:$AW776,15,FALSE)),IF(AND($Q$1=TRUE,$S$4=FALSE),IF(OR($Q$4=TRUE,$Q$5=TRUE,$S$2=TRUE),VLOOKUP($G770,'KO Calc'!$H:$AW,5,FALSE),VLOOKUP($G770,'KO Calc'!$H776:$AW776,5,FALSE)),
IF(AND($Q$1=TRUE,$S$1=TRUE,$S$4=TRUE)=TRUE,IF(OR($Q$4=TRUE,$Q$5=TRUE,$S$2=TRUE),VLOOKUP($G770,'KO Calc'!$H:$AW,20,FALSE),VLOOKUP($G770,'KO Calc'!$H776:$AW776,20,FALSE)),IF(AND($Q$1=TRUE,$S$4=TRUE),IF(OR($Q$4=TRUE,$Q$5=TRUE,$S$2=TRUE),VLOOKUP($G770,'KO Calc'!$H:$AW,10,FALSE),VLOOKUP($G770,'KO Calc'!$H776:$AW776,10,FALSE)),
IF(AND($S$3=TRUE,$S$1=TRUE,$S$4=FALSE)=TRUE,IF(OR($Q$4=TRUE,$Q$5=TRUE,$S$2=TRUE),VLOOKUP($G770,'KO Calc'!$H:$AW,35,FALSE),VLOOKUP($G770,'KO Calc'!$H776:$AW776,35,FALSE)),IF(AND($S$3=TRUE,$S$4=FALSE),IF(OR($Q$4=TRUE,$Q$5=TRUE,$S$2=TRUE),VLOOKUP($G770,'KO Calc'!$H:$AW,25,FALSE),VLOOKUP($G770,'KO Calc'!$H776:$AW776,25,FALSE)),
IF(AND($S$3=TRUE,$S$1=TRUE,$S$4=TRUE)=TRUE,IF(OR($Q$4=TRUE,$Q$5=TRUE,$S$2=TRUE),VLOOKUP($G770,'KO Calc'!$H:$AW,40,FALSE),VLOOKUP($G770,'KO Calc'!$H776:$AW776,40,FALSE)),IF(AND($S$3=TRUE,$S$4=TRUE),IF(OR($Q$4=TRUE,$Q$5=TRUE,$S$2=TRUE),VLOOKUP($G770,'KO Calc'!$H:$AW,30,FALSE),VLOOKUP($G770,'KO Calc'!$H776:$AW776,30,FALSE)))))))))))))</f>
        <v>-</v>
      </c>
      <c r="L770" s="36" t="str">
        <f>IFERROR(IF(AND($Q$1=FALSE,$S$3=FALSE),"-",VLOOKUP($E770,'Status Thresholds'!$E:$AU,43,FALSE)),"-")</f>
        <v>-</v>
      </c>
      <c r="M770" s="36" t="str">
        <f>IFERROR(IF(AND($Q$1=FALSE,$S$3=FALSE),"-",VLOOKUP($E770,'Status Thresholds'!$E:$AU,41,FALSE)),"-")</f>
        <v>-</v>
      </c>
      <c r="N770" s="36" t="str">
        <f>IFERROR(IF(AND($Q$1=FALSE,$S$3=FALSE),"-",VLOOKUP($E770,'Status Thresholds'!$E:$AU,42,FALSE)),"-")</f>
        <v>-</v>
      </c>
    </row>
    <row r="771" spans="2:14" x14ac:dyDescent="0.25">
      <c r="B771" s="64" t="str">
        <f>VLOOKUP(C771,'Status Thresholds'!B:C,2,FALSE)</f>
        <v>MHGen</v>
      </c>
      <c r="C771" s="46" t="str">
        <f>IF(ISBLANK('KO Calc'!C767)=TRUE,"",'KO Calc'!C767)</f>
        <v>Tigrex</v>
      </c>
      <c r="D771" s="78" t="s">
        <v>213</v>
      </c>
      <c r="E771" s="62" t="str">
        <f t="shared" si="21"/>
        <v>TigrexPitfall Trap</v>
      </c>
      <c r="F771" t="s">
        <v>12</v>
      </c>
      <c r="G771" s="36" t="str">
        <f t="shared" si="22"/>
        <v>TigrexCrag 2</v>
      </c>
      <c r="H771" s="36" t="str">
        <f>IF(AND($Q$1=FALSE,$S$3=FALSE),"-",IF(AND($Q$1=TRUE,$S$3=TRUE),"-",IF(AND($Q$1=FALSE,$S$3=FALSE),"-",IF(AND($Q$1=TRUE,$S$1=TRUE,$S$4=FALSE)=TRUE,IF(OR($Q$4=TRUE,$Q$5=TRUE,$S$2=TRUE),VLOOKUP($G771,'KO Calc'!$H:$AW,12,FALSE),VLOOKUP($G771,'KO Calc'!$H777:$AW777,12,FALSE)),IF(AND($Q$1=TRUE,$S$4=FALSE),IF(OR($Q$4=TRUE,$Q$5=TRUE,$S$2=TRUE),VLOOKUP($G771,'KO Calc'!$H:$AW,2,FALSE),VLOOKUP($G771,'KO Calc'!$H777:$AW777,2,FALSE)),
IF(AND($Q$1=TRUE,$S$1=TRUE,$S$4=TRUE)=TRUE,IF(OR($Q$4=TRUE,$Q$5=TRUE,$S$2=TRUE),VLOOKUP($G771,'KO Calc'!$H:$AW,17,FALSE),VLOOKUP($G771,'KO Calc'!$H777:$AW777,17,FALSE)),IF(AND($Q$1=TRUE,$S$4=TRUE),IF(OR($Q$4=TRUE,$Q$5=TRUE,$S$2=TRUE),VLOOKUP($G771,'KO Calc'!$H:$AW,7,FALSE),VLOOKUP($G771,'KO Calc'!$H777:$AW777,7,FALSE)),
IF(AND($S$3=TRUE,$S$1=TRUE,$S$4=FALSE)=TRUE,IF(OR($Q$4=TRUE,$Q$5=TRUE,$S$2=TRUE),VLOOKUP($G771,'KO Calc'!$H:$AW,32,FALSE),VLOOKUP($G771,'KO Calc'!$H777:$AW777,32,FALSE)),IF(AND($S$3=TRUE,$S$4=FALSE),IF(OR($Q$4=TRUE,$Q$5=TRUE,$S$2=TRUE),VLOOKUP($G771,'KO Calc'!$H:$AW,22,FALSE),VLOOKUP($G771,'KO Calc'!$H777:$AW777,22,FALSE)),
IF(AND($S$3=TRUE,$S$1=TRUE,$S$4=TRUE)=TRUE,IF(OR($Q$4=TRUE,$Q$5=TRUE,$S$2=TRUE),VLOOKUP($G771,'KO Calc'!$H:$AW,37,FALSE),VLOOKUP($G771,'KO Calc'!$H777:$AW777,37,FALSE)),IF(AND($S$3=TRUE,$S$4=TRUE),IF(OR($Q$4=TRUE,$Q$5=TRUE,$S$2=TRUE),VLOOKUP($G771,'KO Calc'!$H:$AW,27,FALSE),VLOOKUP($G771,'KO Calc'!$H777:$AW777,27,FALSE)))))))))))))</f>
        <v>-</v>
      </c>
      <c r="I771" s="36" t="str">
        <f>IF(AND($Q$1=FALSE,$S$3=FALSE),"-",IF(AND($Q$1=TRUE,$S$3=TRUE),"-",IF(AND($Q$1=FALSE,$S$3=FALSE),"-",IF(AND($Q$1=TRUE,$S$1=TRUE,$S$4=FALSE)=TRUE,IF(OR($Q$4=TRUE,$Q$5=TRUE,$S$2=TRUE),VLOOKUP($G771,'KO Calc'!$H:$AW,13,FALSE),VLOOKUP($G771,'KO Calc'!$H777:$AW777,13,FALSE)),IF(AND($Q$1=TRUE,$S$4=FALSE),IF(OR($Q$4=TRUE,$Q$5=TRUE,$S$2=TRUE),VLOOKUP($G771,'KO Calc'!$H:$AW,3,FALSE),VLOOKUP($G771,'KO Calc'!$H777:$AW777,3,FALSE)),
IF(AND($Q$1=TRUE,$S$1=TRUE,$S$4=TRUE)=TRUE,IF(OR($Q$4=TRUE,$Q$5=TRUE,$S$2=TRUE),VLOOKUP($G771,'KO Calc'!$H:$AW,18,FALSE),VLOOKUP($G771,'KO Calc'!$H777:$AW777,18,FALSE)),IF(AND($Q$1=TRUE,$S$4=TRUE),IF(OR($Q$4=TRUE,$Q$5=TRUE,$S$2=TRUE),VLOOKUP($G771,'KO Calc'!$H:$AW,8,FALSE),VLOOKUP($G771,'KO Calc'!$H777:$AW777,8,FALSE)),
IF(AND($S$3=TRUE,$S$1=TRUE,$S$4=FALSE)=TRUE,IF(OR($Q$4=TRUE,$Q$5=TRUE,$S$2=TRUE),VLOOKUP($G771,'KO Calc'!$H:$AW,33,FALSE),VLOOKUP($G771,'KO Calc'!$H777:$AW777,33,FALSE)),IF(AND($S$3=TRUE,$S$4=FALSE),IF(OR($Q$4=TRUE,$Q$5=TRUE,$S$2=TRUE),VLOOKUP($G771,'KO Calc'!$H:$AW,23,FALSE),VLOOKUP($G771,'KO Calc'!$H777:$AW777,23,FALSE)),
IF(AND($S$3=TRUE,$S$1=TRUE,$S$4=TRUE)=TRUE,IF(OR($Q$4=TRUE,$Q$5=TRUE,$S$2=TRUE),VLOOKUP($G771,'KO Calc'!$H:$AW,38,FALSE),VLOOKUP($G771,'KO Calc'!$H777:$AW777,38,FALSE)),IF(AND($S$3=TRUE,$S$4=TRUE),IF(OR($Q$4=TRUE,$Q$5=TRUE,$S$2=TRUE),VLOOKUP($G771,'KO Calc'!$H:$AW,28,FALSE),VLOOKUP($G771,'KO Calc'!$H777:$AW777,28,FALSE)))))))))))))</f>
        <v>-</v>
      </c>
      <c r="J771" s="36" t="str">
        <f>IF(AND($Q$1=FALSE,$S$3=FALSE),"-",IF(AND($Q$1=TRUE,$S$3=TRUE),"-",IF(AND($Q$1=FALSE,$S$3=FALSE),"-",IF(AND($Q$1=TRUE,$S$1=TRUE,$S$4=FALSE)=TRUE,IF(OR($Q$4=TRUE,$Q$5=TRUE,$S$2=TRUE),VLOOKUP($G771,'KO Calc'!$H:$AW,FALSE),VLOOKUP($G771,'KO Calc'!$H777:$AW777,14,FALSE)),IF(AND($Q$1=TRUE,$S$4=FALSE),IF(OR($Q$4=TRUE,$Q$5=TRUE,$S$2=TRUE),VLOOKUP($G771,'KO Calc'!$H:$AW,4,FALSE),VLOOKUP($G771,'KO Calc'!$H777:$AW777,4,FALSE)),
IF(AND($Q$1=TRUE,$S$1=TRUE,$S$4=TRUE)=TRUE,IF(OR($Q$4=TRUE,$Q$5=TRUE,$S$2=TRUE),VLOOKUP($G771,'KO Calc'!$H:$AW,19,FALSE),VLOOKUP($G771,'KO Calc'!$H777:$AW777,19,FALSE)),IF(AND($Q$1=TRUE,$S$4=TRUE),IF(OR($Q$4=TRUE,$Q$5=TRUE,$S$2=TRUE),VLOOKUP($G771,'KO Calc'!$H:$AW,9,FALSE),VLOOKUP($G771,'KO Calc'!$H777:$AW777,9,FALSE)),
IF(AND($S$3=TRUE,$S$1=TRUE,$S$4=FALSE)=TRUE,IF(OR($Q$4=TRUE,$Q$5=TRUE,$S$2=TRUE),VLOOKUP($G771,'KO Calc'!$H:$AW,34,FALSE),VLOOKUP($G771,'KO Calc'!$H777:$AW777,34,FALSE)),IF(AND($S$3=TRUE,$S$4=FALSE),IF(OR($Q$4=TRUE,$Q$5=TRUE,$S$2=TRUE),VLOOKUP($G771,'KO Calc'!$H:$AW,24,FALSE),VLOOKUP($G771,'KO Calc'!$H777:$AW777,24,FALSE)),
IF(AND($S$3=TRUE,$S$1=TRUE,$S$4=TRUE)=TRUE,IF(OR($Q$4=TRUE,$Q$5=TRUE,$S$2=TRUE),VLOOKUP($G771,'KO Calc'!$H:$AW,39,FALSE),VLOOKUP($G771,'KO Calc'!$H777:$AW777,39,FALSE)),IF(AND($S$3=TRUE,$S$4=TRUE),IF(OR($Q$4=TRUE,$Q$5=TRUE,$S$2=TRUE),VLOOKUP($G771,'KO Calc'!$H:$AW,29,FALSE),VLOOKUP($G771,'KO Calc'!$H777:$AW777,29,FALSE)))))))))))))</f>
        <v>-</v>
      </c>
      <c r="K771" s="36" t="str">
        <f>IF(AND($Q$1=FALSE,$S$3=FALSE),"-",IF(AND($Q$1=TRUE,$S$3=TRUE),"-",IF(AND($Q$1=FALSE,$S$3=FALSE),"-",IF(AND($Q$1=TRUE,$S$1=TRUE,$S$4=FALSE)=TRUE,IF(OR($Q$4=TRUE,$Q$5=TRUE,$S$2=TRUE),VLOOKUP($G771,'KO Calc'!$H:$AW,15,FALSE),VLOOKUP($G771,'KO Calc'!$H777:$AW777,15,FALSE)),IF(AND($Q$1=TRUE,$S$4=FALSE),IF(OR($Q$4=TRUE,$Q$5=TRUE,$S$2=TRUE),VLOOKUP($G771,'KO Calc'!$H:$AW,5,FALSE),VLOOKUP($G771,'KO Calc'!$H777:$AW777,5,FALSE)),
IF(AND($Q$1=TRUE,$S$1=TRUE,$S$4=TRUE)=TRUE,IF(OR($Q$4=TRUE,$Q$5=TRUE,$S$2=TRUE),VLOOKUP($G771,'KO Calc'!$H:$AW,20,FALSE),VLOOKUP($G771,'KO Calc'!$H777:$AW777,20,FALSE)),IF(AND($Q$1=TRUE,$S$4=TRUE),IF(OR($Q$4=TRUE,$Q$5=TRUE,$S$2=TRUE),VLOOKUP($G771,'KO Calc'!$H:$AW,10,FALSE),VLOOKUP($G771,'KO Calc'!$H777:$AW777,10,FALSE)),
IF(AND($S$3=TRUE,$S$1=TRUE,$S$4=FALSE)=TRUE,IF(OR($Q$4=TRUE,$Q$5=TRUE,$S$2=TRUE),VLOOKUP($G771,'KO Calc'!$H:$AW,35,FALSE),VLOOKUP($G771,'KO Calc'!$H777:$AW777,35,FALSE)),IF(AND($S$3=TRUE,$S$4=FALSE),IF(OR($Q$4=TRUE,$Q$5=TRUE,$S$2=TRUE),VLOOKUP($G771,'KO Calc'!$H:$AW,25,FALSE),VLOOKUP($G771,'KO Calc'!$H777:$AW777,25,FALSE)),
IF(AND($S$3=TRUE,$S$1=TRUE,$S$4=TRUE)=TRUE,IF(OR($Q$4=TRUE,$Q$5=TRUE,$S$2=TRUE),VLOOKUP($G771,'KO Calc'!$H:$AW,40,FALSE),VLOOKUP($G771,'KO Calc'!$H777:$AW777,40,FALSE)),IF(AND($S$3=TRUE,$S$4=TRUE),IF(OR($Q$4=TRUE,$Q$5=TRUE,$S$2=TRUE),VLOOKUP($G771,'KO Calc'!$H:$AW,30,FALSE),VLOOKUP($G771,'KO Calc'!$H777:$AW777,30,FALSE)))))))))))))</f>
        <v>-</v>
      </c>
      <c r="L771" s="36" t="str">
        <f>IFERROR(IF(AND($Q$1=FALSE,$S$3=FALSE),"-",VLOOKUP($E771,'Status Thresholds'!$E:$AU,43,FALSE)),"-")</f>
        <v>-</v>
      </c>
      <c r="M771" s="36" t="str">
        <f>IFERROR(IF(AND($Q$1=FALSE,$S$3=FALSE),"-",VLOOKUP($E771,'Status Thresholds'!$E:$AU,41,FALSE)),"-")</f>
        <v>-</v>
      </c>
      <c r="N771" s="36" t="str">
        <f>IFERROR(IF(AND($Q$1=FALSE,$S$3=FALSE),"-",VLOOKUP($E771,'Status Thresholds'!$E:$AU,42,FALSE)),"-")</f>
        <v>-</v>
      </c>
    </row>
    <row r="772" spans="2:14" x14ac:dyDescent="0.25">
      <c r="B772" s="64" t="str">
        <f>VLOOKUP(C772,'Status Thresholds'!B:C,2,FALSE)</f>
        <v>MHGen</v>
      </c>
      <c r="C772" s="46" t="str">
        <f>IF(ISBLANK('KO Calc'!C768)=TRUE,"",'KO Calc'!C768)</f>
        <v>Tigrex</v>
      </c>
      <c r="D772" s="78"/>
      <c r="E772" s="62" t="str">
        <f t="shared" si="21"/>
        <v>Tigrex</v>
      </c>
      <c r="F772" t="s">
        <v>11</v>
      </c>
      <c r="G772" s="36" t="str">
        <f t="shared" si="22"/>
        <v>TigrexCrag 1</v>
      </c>
      <c r="H772" s="36" t="str">
        <f>IF(AND($Q$1=FALSE,$S$3=FALSE),"-",IF(AND($Q$1=TRUE,$S$3=TRUE),"-",IF(AND($Q$1=FALSE,$S$3=FALSE),"-",IF(AND($Q$1=TRUE,$S$1=TRUE,$S$4=FALSE)=TRUE,IF(OR($Q$4=TRUE,$Q$5=TRUE,$S$2=TRUE),VLOOKUP($G772,'KO Calc'!$H:$AW,12,FALSE),VLOOKUP($G772,'KO Calc'!$H778:$AW778,12,FALSE)),IF(AND($Q$1=TRUE,$S$4=FALSE),IF(OR($Q$4=TRUE,$Q$5=TRUE,$S$2=TRUE),VLOOKUP($G772,'KO Calc'!$H:$AW,2,FALSE),VLOOKUP($G772,'KO Calc'!$H778:$AW778,2,FALSE)),
IF(AND($Q$1=TRUE,$S$1=TRUE,$S$4=TRUE)=TRUE,IF(OR($Q$4=TRUE,$Q$5=TRUE,$S$2=TRUE),VLOOKUP($G772,'KO Calc'!$H:$AW,17,FALSE),VLOOKUP($G772,'KO Calc'!$H778:$AW778,17,FALSE)),IF(AND($Q$1=TRUE,$S$4=TRUE),IF(OR($Q$4=TRUE,$Q$5=TRUE,$S$2=TRUE),VLOOKUP($G772,'KO Calc'!$H:$AW,7,FALSE),VLOOKUP($G772,'KO Calc'!$H778:$AW778,7,FALSE)),
IF(AND($S$3=TRUE,$S$1=TRUE,$S$4=FALSE)=TRUE,IF(OR($Q$4=TRUE,$Q$5=TRUE,$S$2=TRUE),VLOOKUP($G772,'KO Calc'!$H:$AW,32,FALSE),VLOOKUP($G772,'KO Calc'!$H778:$AW778,32,FALSE)),IF(AND($S$3=TRUE,$S$4=FALSE),IF(OR($Q$4=TRUE,$Q$5=TRUE,$S$2=TRUE),VLOOKUP($G772,'KO Calc'!$H:$AW,22,FALSE),VLOOKUP($G772,'KO Calc'!$H778:$AW778,22,FALSE)),
IF(AND($S$3=TRUE,$S$1=TRUE,$S$4=TRUE)=TRUE,IF(OR($Q$4=TRUE,$Q$5=TRUE,$S$2=TRUE),VLOOKUP($G772,'KO Calc'!$H:$AW,37,FALSE),VLOOKUP($G772,'KO Calc'!$H778:$AW778,37,FALSE)),IF(AND($S$3=TRUE,$S$4=TRUE),IF(OR($Q$4=TRUE,$Q$5=TRUE,$S$2=TRUE),VLOOKUP($G772,'KO Calc'!$H:$AW,27,FALSE),VLOOKUP($G772,'KO Calc'!$H778:$AW778,27,FALSE)))))))))))))</f>
        <v>-</v>
      </c>
      <c r="I772" s="36" t="str">
        <f>IF(AND($Q$1=FALSE,$S$3=FALSE),"-",IF(AND($Q$1=TRUE,$S$3=TRUE),"-",IF(AND($Q$1=FALSE,$S$3=FALSE),"-",IF(AND($Q$1=TRUE,$S$1=TRUE,$S$4=FALSE)=TRUE,IF(OR($Q$4=TRUE,$Q$5=TRUE,$S$2=TRUE),VLOOKUP($G772,'KO Calc'!$H:$AW,13,FALSE),VLOOKUP($G772,'KO Calc'!$H778:$AW778,13,FALSE)),IF(AND($Q$1=TRUE,$S$4=FALSE),IF(OR($Q$4=TRUE,$Q$5=TRUE,$S$2=TRUE),VLOOKUP($G772,'KO Calc'!$H:$AW,3,FALSE),VLOOKUP($G772,'KO Calc'!$H778:$AW778,3,FALSE)),
IF(AND($Q$1=TRUE,$S$1=TRUE,$S$4=TRUE)=TRUE,IF(OR($Q$4=TRUE,$Q$5=TRUE,$S$2=TRUE),VLOOKUP($G772,'KO Calc'!$H:$AW,18,FALSE),VLOOKUP($G772,'KO Calc'!$H778:$AW778,18,FALSE)),IF(AND($Q$1=TRUE,$S$4=TRUE),IF(OR($Q$4=TRUE,$Q$5=TRUE,$S$2=TRUE),VLOOKUP($G772,'KO Calc'!$H:$AW,8,FALSE),VLOOKUP($G772,'KO Calc'!$H778:$AW778,8,FALSE)),
IF(AND($S$3=TRUE,$S$1=TRUE,$S$4=FALSE)=TRUE,IF(OR($Q$4=TRUE,$Q$5=TRUE,$S$2=TRUE),VLOOKUP($G772,'KO Calc'!$H:$AW,33,FALSE),VLOOKUP($G772,'KO Calc'!$H778:$AW778,33,FALSE)),IF(AND($S$3=TRUE,$S$4=FALSE),IF(OR($Q$4=TRUE,$Q$5=TRUE,$S$2=TRUE),VLOOKUP($G772,'KO Calc'!$H:$AW,23,FALSE),VLOOKUP($G772,'KO Calc'!$H778:$AW778,23,FALSE)),
IF(AND($S$3=TRUE,$S$1=TRUE,$S$4=TRUE)=TRUE,IF(OR($Q$4=TRUE,$Q$5=TRUE,$S$2=TRUE),VLOOKUP($G772,'KO Calc'!$H:$AW,38,FALSE),VLOOKUP($G772,'KO Calc'!$H778:$AW778,38,FALSE)),IF(AND($S$3=TRUE,$S$4=TRUE),IF(OR($Q$4=TRUE,$Q$5=TRUE,$S$2=TRUE),VLOOKUP($G772,'KO Calc'!$H:$AW,28,FALSE),VLOOKUP($G772,'KO Calc'!$H778:$AW778,28,FALSE)))))))))))))</f>
        <v>-</v>
      </c>
      <c r="J772" s="36" t="str">
        <f>IF(AND($Q$1=FALSE,$S$3=FALSE),"-",IF(AND($Q$1=TRUE,$S$3=TRUE),"-",IF(AND($Q$1=FALSE,$S$3=FALSE),"-",IF(AND($Q$1=TRUE,$S$1=TRUE,$S$4=FALSE)=TRUE,IF(OR($Q$4=TRUE,$Q$5=TRUE,$S$2=TRUE),VLOOKUP($G772,'KO Calc'!$H:$AW,FALSE),VLOOKUP($G772,'KO Calc'!$H778:$AW778,14,FALSE)),IF(AND($Q$1=TRUE,$S$4=FALSE),IF(OR($Q$4=TRUE,$Q$5=TRUE,$S$2=TRUE),VLOOKUP($G772,'KO Calc'!$H:$AW,4,FALSE),VLOOKUP($G772,'KO Calc'!$H778:$AW778,4,FALSE)),
IF(AND($Q$1=TRUE,$S$1=TRUE,$S$4=TRUE)=TRUE,IF(OR($Q$4=TRUE,$Q$5=TRUE,$S$2=TRUE),VLOOKUP($G772,'KO Calc'!$H:$AW,19,FALSE),VLOOKUP($G772,'KO Calc'!$H778:$AW778,19,FALSE)),IF(AND($Q$1=TRUE,$S$4=TRUE),IF(OR($Q$4=TRUE,$Q$5=TRUE,$S$2=TRUE),VLOOKUP($G772,'KO Calc'!$H:$AW,9,FALSE),VLOOKUP($G772,'KO Calc'!$H778:$AW778,9,FALSE)),
IF(AND($S$3=TRUE,$S$1=TRUE,$S$4=FALSE)=TRUE,IF(OR($Q$4=TRUE,$Q$5=TRUE,$S$2=TRUE),VLOOKUP($G772,'KO Calc'!$H:$AW,34,FALSE),VLOOKUP($G772,'KO Calc'!$H778:$AW778,34,FALSE)),IF(AND($S$3=TRUE,$S$4=FALSE),IF(OR($Q$4=TRUE,$Q$5=TRUE,$S$2=TRUE),VLOOKUP($G772,'KO Calc'!$H:$AW,24,FALSE),VLOOKUP($G772,'KO Calc'!$H778:$AW778,24,FALSE)),
IF(AND($S$3=TRUE,$S$1=TRUE,$S$4=TRUE)=TRUE,IF(OR($Q$4=TRUE,$Q$5=TRUE,$S$2=TRUE),VLOOKUP($G772,'KO Calc'!$H:$AW,39,FALSE),VLOOKUP($G772,'KO Calc'!$H778:$AW778,39,FALSE)),IF(AND($S$3=TRUE,$S$4=TRUE),IF(OR($Q$4=TRUE,$Q$5=TRUE,$S$2=TRUE),VLOOKUP($G772,'KO Calc'!$H:$AW,29,FALSE),VLOOKUP($G772,'KO Calc'!$H778:$AW778,29,FALSE)))))))))))))</f>
        <v>-</v>
      </c>
      <c r="K772" s="36" t="str">
        <f>IF(AND($Q$1=FALSE,$S$3=FALSE),"-",IF(AND($Q$1=TRUE,$S$3=TRUE),"-",IF(AND($Q$1=FALSE,$S$3=FALSE),"-",IF(AND($Q$1=TRUE,$S$1=TRUE,$S$4=FALSE)=TRUE,IF(OR($Q$4=TRUE,$Q$5=TRUE,$S$2=TRUE),VLOOKUP($G772,'KO Calc'!$H:$AW,15,FALSE),VLOOKUP($G772,'KO Calc'!$H778:$AW778,15,FALSE)),IF(AND($Q$1=TRUE,$S$4=FALSE),IF(OR($Q$4=TRUE,$Q$5=TRUE,$S$2=TRUE),VLOOKUP($G772,'KO Calc'!$H:$AW,5,FALSE),VLOOKUP($G772,'KO Calc'!$H778:$AW778,5,FALSE)),
IF(AND($Q$1=TRUE,$S$1=TRUE,$S$4=TRUE)=TRUE,IF(OR($Q$4=TRUE,$Q$5=TRUE,$S$2=TRUE),VLOOKUP($G772,'KO Calc'!$H:$AW,20,FALSE),VLOOKUP($G772,'KO Calc'!$H778:$AW778,20,FALSE)),IF(AND($Q$1=TRUE,$S$4=TRUE),IF(OR($Q$4=TRUE,$Q$5=TRUE,$S$2=TRUE),VLOOKUP($G772,'KO Calc'!$H:$AW,10,FALSE),VLOOKUP($G772,'KO Calc'!$H778:$AW778,10,FALSE)),
IF(AND($S$3=TRUE,$S$1=TRUE,$S$4=FALSE)=TRUE,IF(OR($Q$4=TRUE,$Q$5=TRUE,$S$2=TRUE),VLOOKUP($G772,'KO Calc'!$H:$AW,35,FALSE),VLOOKUP($G772,'KO Calc'!$H778:$AW778,35,FALSE)),IF(AND($S$3=TRUE,$S$4=FALSE),IF(OR($Q$4=TRUE,$Q$5=TRUE,$S$2=TRUE),VLOOKUP($G772,'KO Calc'!$H:$AW,25,FALSE),VLOOKUP($G772,'KO Calc'!$H778:$AW778,25,FALSE)),
IF(AND($S$3=TRUE,$S$1=TRUE,$S$4=TRUE)=TRUE,IF(OR($Q$4=TRUE,$Q$5=TRUE,$S$2=TRUE),VLOOKUP($G772,'KO Calc'!$H:$AW,40,FALSE),VLOOKUP($G772,'KO Calc'!$H778:$AW778,40,FALSE)),IF(AND($S$3=TRUE,$S$4=TRUE),IF(OR($Q$4=TRUE,$Q$5=TRUE,$S$2=TRUE),VLOOKUP($G772,'KO Calc'!$H:$AW,30,FALSE),VLOOKUP($G772,'KO Calc'!$H778:$AW778,30,FALSE)))))))))))))</f>
        <v>-</v>
      </c>
      <c r="L772" s="36" t="str">
        <f>IFERROR(VLOOKUP($E772,'Status Thresholds'!$E:$AS,41,FALSE),"-")</f>
        <v>-</v>
      </c>
    </row>
    <row r="773" spans="2:14" x14ac:dyDescent="0.25">
      <c r="B773" s="64" t="str">
        <f>VLOOKUP(C773,'Status Thresholds'!B:C,2,FALSE)</f>
        <v>MHGen</v>
      </c>
      <c r="C773" s="46" t="str">
        <f>IF(ISBLANK('KO Calc'!C769)=TRUE,"",'KO Calc'!C769)</f>
        <v>Tigrex</v>
      </c>
      <c r="D773" s="78"/>
      <c r="E773" s="62" t="str">
        <f t="shared" si="21"/>
        <v>Tigrex</v>
      </c>
      <c r="G773" s="36" t="str">
        <f t="shared" si="22"/>
        <v>Tigrex</v>
      </c>
      <c r="L773" s="36" t="str">
        <f>IFERROR(VLOOKUP($E773,'Status Thresholds'!$E:$AS,41,FALSE),"-")</f>
        <v>-</v>
      </c>
    </row>
    <row r="774" spans="2:14" x14ac:dyDescent="0.25">
      <c r="B774" s="64" t="str">
        <f>VLOOKUP(C774,'Status Thresholds'!B:C,2,FALSE)</f>
        <v>MHGen</v>
      </c>
      <c r="C774" s="46" t="str">
        <f>IF(ISBLANK('KO Calc'!C770)=TRUE,"",'KO Calc'!C770)</f>
        <v>Ukanlos</v>
      </c>
      <c r="D774" s="65" t="s">
        <v>0</v>
      </c>
      <c r="E774" s="62" t="str">
        <f t="shared" si="21"/>
        <v>UkanlosPara</v>
      </c>
      <c r="F774" s="36" t="s">
        <v>2</v>
      </c>
      <c r="G774" s="36" t="str">
        <f t="shared" si="22"/>
        <v>UkanlosPara lvl 2</v>
      </c>
      <c r="H774" s="36" t="str">
        <f>IFERROR(ROUNDUP(IF(AND($Q$1=FALSE,$S$3=FALSE),"-",IF(AND($Q$1=TRUE,$S$3=TRUE),"-",IF(AND($Q$1=TRUE,$S$1=TRUE,$S$4=FALSE),VLOOKUP($E774,'Status Thresholds'!$E:$AS,12,FALSE),IF(AND($Q$1=TRUE,$S$4=FALSE),VLOOKUP($E774,'Status Thresholds'!$E:$AS,2,FALSE), IF(AND($Q$1=TRUE,$S$1=TRUE,$S$4=TRUE),VLOOKUP($E774,'Status Thresholds'!$E:$AS,17,FALSE),IF(AND($Q$1=TRUE,$S$4=TRUE),VLOOKUP($E774,'Status Thresholds'!$E:$AS,7,FALSE),IF(AND($S$3=TRUE,$S$1=TRUE,$S$4=FALSE),VLOOKUP($E774,'Status Thresholds'!$E:$AS,32,FALSE),IF(AND($S$3=TRUE,$S$4=FALSE),VLOOKUP($E774,'Status Thresholds'!$E:$AS,22,FALSE),IF(AND($S$3=TRUE,$S$1=TRUE,$S$4=TRUE),VLOOKUP($E774,'Status Thresholds'!$E:$AS,37,FALSE),IF(AND($S$3=TRUE,$S$4=TRUE),VLOOKUP($E774,'Status Thresholds'!$E:$AS,27,FALSE),""))))))))/IF(OR($Q$3=TRUE,AND($Q$2=TRUE,$Q$7=TRUE),AND($Q$3=TRUE,$Q$7=TRUE))=TRUE,'Shots and Status'!$F$5,IF((OR($Q$2,$Q$7)=TRUE),'Shots and Status'!$D$5,'Shots and Status'!$C$5)))),0),"-")</f>
        <v>-</v>
      </c>
      <c r="I774" s="36" t="str">
        <f>IFERROR(ROUNDUP(IF(AND($Q$1=FALSE,$S$3=FALSE),"-",IF(AND($Q$1=TRUE,$S$3=TRUE),"-",IF(AND($Q$1=TRUE,$S$1=TRUE,$S$4=FALSE),VLOOKUP($E774,'Status Thresholds'!$E:$AS,13,FALSE),IF(AND($Q$1=TRUE,$S$4=FALSE),VLOOKUP($E774,'Status Thresholds'!$E:$AS,3,FALSE), IF(AND($Q$1=TRUE,$S$1=TRUE,$S$4=TRUE),VLOOKUP($E774,'Status Thresholds'!$E:$AS,18,FALSE),IF(AND($Q$1=TRUE,$S$4=TRUE),VLOOKUP($E774,'Status Thresholds'!$E:$AS,8,FALSE),IF(AND($S$3=TRUE,$S$1=TRUE,$S$4=FALSE),VLOOKUP($E774,'Status Thresholds'!$E:$AS,33,FALSE),IF(AND($S$3=TRUE,$S$4=FALSE),VLOOKUP($E774,'Status Thresholds'!$E:$AS,23,FALSE),IF(AND($S$3=TRUE,$S$1=TRUE,$S$4=TRUE),VLOOKUP($E774,'Status Thresholds'!$E:$AS,38,FALSE),IF(AND($S$3=TRUE,$S$4=TRUE),VLOOKUP($E774,'Status Thresholds'!$E:$AS,28,FALSE),""))))))))/IF(OR($Q$3=TRUE,AND($Q$2=TRUE,$Q$7=TRUE),AND($Q$3=TRUE,$Q$7=TRUE))=TRUE,'Shots and Status'!$F$5,IF((OR($Q$2,$Q$7)=TRUE),'Shots and Status'!$D$5,'Shots and Status'!$C$5)))),0),"-")</f>
        <v>-</v>
      </c>
      <c r="J774" s="36" t="str">
        <f>IFERROR(ROUNDUP(IF(AND($Q$1=FALSE,$S$3=FALSE),"-",IF(AND($Q$1=TRUE,$S$3=TRUE),"-",IF(AND($Q$1=TRUE,$S$1=TRUE,$S$4=FALSE),VLOOKUP($E774,'Status Thresholds'!$E:$AS,14,FALSE),IF(AND($Q$1=TRUE,$S$4=FALSE),VLOOKUP($E774,'Status Thresholds'!$E:$AS,4,FALSE), IF(AND($Q$1=TRUE,$S$1=TRUE,$S$4=TRUE),VLOOKUP($E774,'Status Thresholds'!$E:$AS,19,FALSE),IF(AND($Q$1=TRUE,$S$4=TRUE),VLOOKUP($E774,'Status Thresholds'!$E:$AS,9,FALSE),IF(AND($S$3=TRUE,$S$1=TRUE,$S$4=FALSE),VLOOKUP($E774,'Status Thresholds'!$E:$AS,34,FALSE),IF(AND($S$3=TRUE,$S$4=FALSE),VLOOKUP($E774,'Status Thresholds'!$E:$AS,24,FALSE),IF(AND($S$3=TRUE,$S$1=TRUE,$S$4=TRUE),VLOOKUP($E774,'Status Thresholds'!$E:$AS,39,FALSE),IF(AND($S$3=TRUE,$S$4=TRUE),VLOOKUP($E774,'Status Thresholds'!$E:$AS,29,FALSE),""))))))))/IF(OR($Q$3=TRUE,AND($Q$2=TRUE,$Q$7=TRUE),AND($Q$3=TRUE,$Q$7=TRUE))=TRUE,'Shots and Status'!$F$5,IF((OR($Q$2,$Q$7)=TRUE),'Shots and Status'!$D$5,'Shots and Status'!$C$5)))),0),"-")</f>
        <v>-</v>
      </c>
      <c r="K774" s="36" t="str">
        <f>IFERROR(ROUNDUP(IF(AND($Q$1=FALSE,$S$3=FALSE),"-",IF(AND($Q$1=TRUE,$S$3=TRUE),"-",IF(AND($Q$1=TRUE,$S$1=TRUE,$S$4=FALSE),VLOOKUP($E774,'Status Thresholds'!$E:$AS,15,FALSE),IF(AND($Q$1=TRUE,$S$4=FALSE),VLOOKUP($E774,'Status Thresholds'!$E:$AS,5,FALSE), IF(AND($Q$1=TRUE,$S$1=TRUE,$S$4=TRUE),VLOOKUP($E774,'Status Thresholds'!$E:$AS,20,FALSE),IF(AND($Q$1=TRUE,$S$4=TRUE),VLOOKUP($E774,'Status Thresholds'!$E:$AS,10,FALSE),IF(AND($S$3=TRUE,$S$1=TRUE,$S$4=FALSE),VLOOKUP($E774,'Status Thresholds'!$E:$AS,35,FALSE),IF(AND($S$3=TRUE,$S$4=FALSE),VLOOKUP($E774,'Status Thresholds'!$E:$AS,25,FALSE),IF(AND($S$3=TRUE,$S$1=TRUE,$S$4=TRUE),VLOOKUP($E774,'Status Thresholds'!$E:$AS,40,FALSE),IF(AND($S$3=TRUE,$S$4=TRUE),VLOOKUP($E774,'Status Thresholds'!$E:$AS,30,FALSE),""))))))))/IF(OR($Q$3=TRUE,AND($Q$2=TRUE,$Q$7=TRUE),AND($Q$3=TRUE,$Q$7=TRUE))=TRUE,'Shots and Status'!$F$5,IF((OR($Q$2,$Q$7)=TRUE),'Shots and Status'!$D$5,'Shots and Status'!$C$5)))),0),"-")</f>
        <v>-</v>
      </c>
      <c r="L774" s="36" t="str">
        <f>IFERROR(IF(AND($Q$1=FALSE,$S$3=FALSE),"-",VLOOKUP($E774,'Status Thresholds'!$E:$AU,41,FALSE)),"-")</f>
        <v>-</v>
      </c>
      <c r="M774" s="36" t="str">
        <f>IFERROR(IF(AND($Q$1=FALSE,$S$3=FALSE),"-",VLOOKUP($E774,'Status Thresholds'!$E:$AU,42,FALSE)),"-")</f>
        <v>-</v>
      </c>
      <c r="N774" s="36" t="str">
        <f>IFERROR(IF(AND($Q$1=FALSE,$S$3=FALSE),"-",VLOOKUP($E774,'Status Thresholds'!$E:$AU,43,FALSE)),"-")</f>
        <v>-</v>
      </c>
    </row>
    <row r="775" spans="2:14" x14ac:dyDescent="0.25">
      <c r="B775" s="64" t="str">
        <f>VLOOKUP(C775,'Status Thresholds'!B:C,2,FALSE)</f>
        <v>MHGen</v>
      </c>
      <c r="C775" s="46" t="str">
        <f>IF(ISBLANK('KO Calc'!C771)=TRUE,"",'KO Calc'!C771)</f>
        <v>Ukanlos</v>
      </c>
      <c r="D775" s="60" t="s">
        <v>32</v>
      </c>
      <c r="E775" s="62" t="str">
        <f t="shared" ref="E775:E838" si="23">C775&amp;D775</f>
        <v>UkanlosSleep</v>
      </c>
      <c r="F775" s="59" t="s">
        <v>5</v>
      </c>
      <c r="G775" s="36" t="str">
        <f t="shared" si="22"/>
        <v>UkanlosSleep lvl 2</v>
      </c>
      <c r="H775" s="36" t="str">
        <f>IFERROR(ROUNDUP(IF(AND($Q$1=FALSE,$S$3=FALSE),"-",IF(AND($Q$1=TRUE,$S$3=TRUE),"-",IF(AND($Q$1=TRUE,$S$1=TRUE,$S$4=FALSE),VLOOKUP($E775,'Status Thresholds'!$E:$AS,12,FALSE),IF(AND($Q$1=TRUE,$S$4=FALSE),VLOOKUP($E775,'Status Thresholds'!$E:$AS,2,FALSE), IF(AND($Q$1=TRUE,$S$1=TRUE,$S$4=TRUE),VLOOKUP($E775,'Status Thresholds'!$E:$AS,17,FALSE),IF(AND($Q$1=TRUE,$S$4=TRUE),VLOOKUP($E775,'Status Thresholds'!$E:$AS,7,FALSE),IF(AND($S$3=TRUE,$S$1=TRUE,$S$4=FALSE),VLOOKUP($E775,'Status Thresholds'!$E:$AS,32,FALSE),IF(AND($S$3=TRUE,$S$4=FALSE),VLOOKUP($E775,'Status Thresholds'!$E:$AS,22,FALSE),IF(AND($S$3=TRUE,$S$1=TRUE,$S$4=TRUE),VLOOKUP($E775,'Status Thresholds'!$E:$AS,37,FALSE),IF(AND($S$3=TRUE,$S$4=TRUE),VLOOKUP($E775,'Status Thresholds'!$E:$AS,27,FALSE),""))))))))/IF(OR($Q$3=TRUE,AND($Q$2=TRUE,$Q$7=TRUE),AND($Q$3=TRUE,$Q$7=TRUE))=TRUE,'Shots and Status'!$F$5,IF((OR($Q$2,$Q$7)=TRUE),'Shots and Status'!$D$5,'Shots and Status'!$C$5)))),0),"-")</f>
        <v>-</v>
      </c>
      <c r="I775" s="36" t="str">
        <f>IFERROR(ROUNDUP(IF(AND($Q$1=FALSE,$S$3=FALSE),"-",IF(AND($Q$1=TRUE,$S$3=TRUE),"-",IF(AND($Q$1=TRUE,$S$1=TRUE,$S$4=FALSE),VLOOKUP($E775,'Status Thresholds'!$E:$AS,13,FALSE),IF(AND($Q$1=TRUE,$S$4=FALSE),VLOOKUP($E775,'Status Thresholds'!$E:$AS,3,FALSE), IF(AND($Q$1=TRUE,$S$1=TRUE,$S$4=TRUE),VLOOKUP($E775,'Status Thresholds'!$E:$AS,18,FALSE),IF(AND($Q$1=TRUE,$S$4=TRUE),VLOOKUP($E775,'Status Thresholds'!$E:$AS,8,FALSE),IF(AND($S$3=TRUE,$S$1=TRUE,$S$4=FALSE),VLOOKUP($E775,'Status Thresholds'!$E:$AS,33,FALSE),IF(AND($S$3=TRUE,$S$4=FALSE),VLOOKUP($E775,'Status Thresholds'!$E:$AS,23,FALSE),IF(AND($S$3=TRUE,$S$1=TRUE,$S$4=TRUE),VLOOKUP($E775,'Status Thresholds'!$E:$AS,38,FALSE),IF(AND($S$3=TRUE,$S$4=TRUE),VLOOKUP($E775,'Status Thresholds'!$E:$AS,28,FALSE),""))))))))/IF(OR($Q$3=TRUE,AND($Q$2=TRUE,$Q$7=TRUE),AND($Q$3=TRUE,$Q$7=TRUE))=TRUE,'Shots and Status'!$F$5,IF((OR($Q$2,$Q$7)=TRUE),'Shots and Status'!$D$5,'Shots and Status'!$C$5)))),0),"-")</f>
        <v>-</v>
      </c>
      <c r="J775" s="36" t="str">
        <f>IFERROR(ROUNDUP(IF(AND($Q$1=FALSE,$S$3=FALSE),"-",IF(AND($Q$1=TRUE,$S$3=TRUE),"-",IF(AND($Q$1=TRUE,$S$1=TRUE,$S$4=FALSE),VLOOKUP($E775,'Status Thresholds'!$E:$AS,14,FALSE),IF(AND($Q$1=TRUE,$S$4=FALSE),VLOOKUP($E775,'Status Thresholds'!$E:$AS,4,FALSE), IF(AND($Q$1=TRUE,$S$1=TRUE,$S$4=TRUE),VLOOKUP($E775,'Status Thresholds'!$E:$AS,19,FALSE),IF(AND($Q$1=TRUE,$S$4=TRUE),VLOOKUP($E775,'Status Thresholds'!$E:$AS,9,FALSE),IF(AND($S$3=TRUE,$S$1=TRUE,$S$4=FALSE),VLOOKUP($E775,'Status Thresholds'!$E:$AS,34,FALSE),IF(AND($S$3=TRUE,$S$4=FALSE),VLOOKUP($E775,'Status Thresholds'!$E:$AS,24,FALSE),IF(AND($S$3=TRUE,$S$1=TRUE,$S$4=TRUE),VLOOKUP($E775,'Status Thresholds'!$E:$AS,39,FALSE),IF(AND($S$3=TRUE,$S$4=TRUE),VLOOKUP($E775,'Status Thresholds'!$E:$AS,29,FALSE),""))))))))/IF(OR($Q$3=TRUE,AND($Q$2=TRUE,$Q$7=TRUE),AND($Q$3=TRUE,$Q$7=TRUE))=TRUE,'Shots and Status'!$F$5,IF((OR($Q$2,$Q$7)=TRUE),'Shots and Status'!$D$5,'Shots and Status'!$C$5)))),0),"-")</f>
        <v>-</v>
      </c>
      <c r="K775" s="36" t="str">
        <f>IFERROR(ROUNDUP(IF(AND($Q$1=FALSE,$S$3=FALSE),"-",IF(AND($Q$1=TRUE,$S$3=TRUE),"-",IF(AND($Q$1=TRUE,$S$1=TRUE,$S$4=FALSE),VLOOKUP($E775,'Status Thresholds'!$E:$AS,15,FALSE),IF(AND($Q$1=TRUE,$S$4=FALSE),VLOOKUP($E775,'Status Thresholds'!$E:$AS,5,FALSE), IF(AND($Q$1=TRUE,$S$1=TRUE,$S$4=TRUE),VLOOKUP($E775,'Status Thresholds'!$E:$AS,20,FALSE),IF(AND($Q$1=TRUE,$S$4=TRUE),VLOOKUP($E775,'Status Thresholds'!$E:$AS,10,FALSE),IF(AND($S$3=TRUE,$S$1=TRUE,$S$4=FALSE),VLOOKUP($E775,'Status Thresholds'!$E:$AS,35,FALSE),IF(AND($S$3=TRUE,$S$4=FALSE),VLOOKUP($E775,'Status Thresholds'!$E:$AS,25,FALSE),IF(AND($S$3=TRUE,$S$1=TRUE,$S$4=TRUE),VLOOKUP($E775,'Status Thresholds'!$E:$AS,40,FALSE),IF(AND($S$3=TRUE,$S$4=TRUE),VLOOKUP($E775,'Status Thresholds'!$E:$AS,30,FALSE),""))))))))/IF(OR($Q$3=TRUE,AND($Q$2=TRUE,$Q$7=TRUE),AND($Q$3=TRUE,$Q$7=TRUE))=TRUE,'Shots and Status'!$F$5,IF((OR($Q$2,$Q$7)=TRUE),'Shots and Status'!$D$5,'Shots and Status'!$C$5)))),0),"-")</f>
        <v>-</v>
      </c>
      <c r="L775" s="36" t="str">
        <f>IFERROR(IF(AND($Q$1=FALSE,$S$3=FALSE),"-",VLOOKUP($E775,'Status Thresholds'!$E:$AU,41,FALSE)),"-")</f>
        <v>-</v>
      </c>
      <c r="M775" s="36" t="str">
        <f>IFERROR(IF(AND($Q$1=FALSE,$S$3=FALSE),"-",VLOOKUP($E775,'Status Thresholds'!$E:$AU,42,FALSE)),"-")</f>
        <v>-</v>
      </c>
      <c r="N775" s="36" t="str">
        <f>IFERROR(IF(AND($Q$1=FALSE,$S$3=FALSE),"-",VLOOKUP($E775,'Status Thresholds'!$E:$AU,43,FALSE)),"-")</f>
        <v>-</v>
      </c>
    </row>
    <row r="776" spans="2:14" x14ac:dyDescent="0.25">
      <c r="B776" s="64" t="str">
        <f>VLOOKUP(C776,'Status Thresholds'!B:C,2,FALSE)</f>
        <v>MHGen</v>
      </c>
      <c r="C776" s="46" t="str">
        <f>IF(ISBLANK('KO Calc'!C772)=TRUE,"",'KO Calc'!C772)</f>
        <v>Ukanlos</v>
      </c>
      <c r="D776" s="58" t="s">
        <v>33</v>
      </c>
      <c r="E776" s="62" t="str">
        <f t="shared" si="23"/>
        <v>UkanlosPoison</v>
      </c>
      <c r="F776" s="59" t="s">
        <v>6</v>
      </c>
      <c r="G776" s="36" t="str">
        <f t="shared" si="22"/>
        <v>UkanlosPoison lvl 2</v>
      </c>
      <c r="H776" s="36" t="str">
        <f>IFERROR(ROUNDUP(IF(AND($Q$1=FALSE,$S$3=FALSE),"-",IF(AND($Q$1=TRUE,$S$3=TRUE),"-",IF(AND($Q$1=TRUE,$S$1=TRUE,$S$4=FALSE),VLOOKUP($E776,'Status Thresholds'!$E:$AS,12,FALSE),IF(AND($Q$1=TRUE,$S$4=FALSE),VLOOKUP($E776,'Status Thresholds'!$E:$AS,2,FALSE), IF(AND($Q$1=TRUE,$S$1=TRUE,$S$4=TRUE),VLOOKUP($E776,'Status Thresholds'!$E:$AS,17,FALSE),IF(AND($Q$1=TRUE,$S$4=TRUE),VLOOKUP($E776,'Status Thresholds'!$E:$AS,7,FALSE),IF(AND($S$3=TRUE,$S$1=TRUE,$S$4=FALSE),VLOOKUP($E776,'Status Thresholds'!$E:$AS,32,FALSE),IF(AND($S$3=TRUE,$S$4=FALSE),VLOOKUP($E776,'Status Thresholds'!$E:$AS,22,FALSE),IF(AND($S$3=TRUE,$S$1=TRUE,$S$4=TRUE),VLOOKUP($E776,'Status Thresholds'!$E:$AS,37,FALSE),IF(AND($S$3=TRUE,$S$4=TRUE),VLOOKUP($E776,'Status Thresholds'!$E:$AS,27,FALSE),""))))))))/IF(OR($Q$3=TRUE,AND($Q$2=TRUE,$Q$7=TRUE),AND($Q$3=TRUE,$Q$7=TRUE))=TRUE,'Shots and Status'!$F$5,IF((OR($Q$2,$Q$7)=TRUE),'Shots and Status'!$D$5,'Shots and Status'!$C$5)))),0),"-")</f>
        <v>-</v>
      </c>
      <c r="I776" s="36" t="str">
        <f>IFERROR(ROUNDUP(IF(AND($Q$1=FALSE,$S$3=FALSE),"-",IF(AND($Q$1=TRUE,$S$3=TRUE),"-",IF(AND($Q$1=TRUE,$S$1=TRUE,$S$4=FALSE),VLOOKUP($E776,'Status Thresholds'!$E:$AS,13,FALSE),IF(AND($Q$1=TRUE,$S$4=FALSE),VLOOKUP($E776,'Status Thresholds'!$E:$AS,3,FALSE), IF(AND($Q$1=TRUE,$S$1=TRUE,$S$4=TRUE),VLOOKUP($E776,'Status Thresholds'!$E:$AS,18,FALSE),IF(AND($Q$1=TRUE,$S$4=TRUE),VLOOKUP($E776,'Status Thresholds'!$E:$AS,8,FALSE),IF(AND($S$3=TRUE,$S$1=TRUE,$S$4=FALSE),VLOOKUP($E776,'Status Thresholds'!$E:$AS,33,FALSE),IF(AND($S$3=TRUE,$S$4=FALSE),VLOOKUP($E776,'Status Thresholds'!$E:$AS,23,FALSE),IF(AND($S$3=TRUE,$S$1=TRUE,$S$4=TRUE),VLOOKUP($E776,'Status Thresholds'!$E:$AS,38,FALSE),IF(AND($S$3=TRUE,$S$4=TRUE),VLOOKUP($E776,'Status Thresholds'!$E:$AS,28,FALSE),""))))))))/IF(OR($Q$3=TRUE,AND($Q$2=TRUE,$Q$7=TRUE),AND($Q$3=TRUE,$Q$7=TRUE))=TRUE,'Shots and Status'!$F$5,IF((OR($Q$2,$Q$7)=TRUE),'Shots and Status'!$D$5,'Shots and Status'!$C$5)))),0),"-")</f>
        <v>-</v>
      </c>
      <c r="J776" s="36" t="str">
        <f>IFERROR(ROUNDUP(IF(AND($Q$1=FALSE,$S$3=FALSE),"-",IF(AND($Q$1=TRUE,$S$3=TRUE),"-",IF(AND($Q$1=TRUE,$S$1=TRUE,$S$4=FALSE),VLOOKUP($E776,'Status Thresholds'!$E:$AS,14,FALSE),IF(AND($Q$1=TRUE,$S$4=FALSE),VLOOKUP($E776,'Status Thresholds'!$E:$AS,4,FALSE), IF(AND($Q$1=TRUE,$S$1=TRUE,$S$4=TRUE),VLOOKUP($E776,'Status Thresholds'!$E:$AS,19,FALSE),IF(AND($Q$1=TRUE,$S$4=TRUE),VLOOKUP($E776,'Status Thresholds'!$E:$AS,9,FALSE),IF(AND($S$3=TRUE,$S$1=TRUE,$S$4=FALSE),VLOOKUP($E776,'Status Thresholds'!$E:$AS,34,FALSE),IF(AND($S$3=TRUE,$S$4=FALSE),VLOOKUP($E776,'Status Thresholds'!$E:$AS,24,FALSE),IF(AND($S$3=TRUE,$S$1=TRUE,$S$4=TRUE),VLOOKUP($E776,'Status Thresholds'!$E:$AS,39,FALSE),IF(AND($S$3=TRUE,$S$4=TRUE),VLOOKUP($E776,'Status Thresholds'!$E:$AS,29,FALSE),""))))))))/IF(OR($Q$3=TRUE,AND($Q$2=TRUE,$Q$7=TRUE),AND($Q$3=TRUE,$Q$7=TRUE))=TRUE,'Shots and Status'!$F$5,IF((OR($Q$2,$Q$7)=TRUE),'Shots and Status'!$D$5,'Shots and Status'!$C$5)))),0),"-")</f>
        <v>-</v>
      </c>
      <c r="K776" s="36" t="str">
        <f>IFERROR(ROUNDUP(IF(AND($Q$1=FALSE,$S$3=FALSE),"-",IF(AND($Q$1=TRUE,$S$3=TRUE),"-",IF(AND($Q$1=TRUE,$S$1=TRUE,$S$4=FALSE),VLOOKUP($E776,'Status Thresholds'!$E:$AS,15,FALSE),IF(AND($Q$1=TRUE,$S$4=FALSE),VLOOKUP($E776,'Status Thresholds'!$E:$AS,5,FALSE), IF(AND($Q$1=TRUE,$S$1=TRUE,$S$4=TRUE),VLOOKUP($E776,'Status Thresholds'!$E:$AS,20,FALSE),IF(AND($Q$1=TRUE,$S$4=TRUE),VLOOKUP($E776,'Status Thresholds'!$E:$AS,10,FALSE),IF(AND($S$3=TRUE,$S$1=TRUE,$S$4=FALSE),VLOOKUP($E776,'Status Thresholds'!$E:$AS,35,FALSE),IF(AND($S$3=TRUE,$S$4=FALSE),VLOOKUP($E776,'Status Thresholds'!$E:$AS,25,FALSE),IF(AND($S$3=TRUE,$S$1=TRUE,$S$4=TRUE),VLOOKUP($E776,'Status Thresholds'!$E:$AS,40,FALSE),IF(AND($S$3=TRUE,$S$4=TRUE),VLOOKUP($E776,'Status Thresholds'!$E:$AS,30,FALSE),""))))))))/IF(OR($Q$3=TRUE,AND($Q$2=TRUE,$Q$7=TRUE),AND($Q$3=TRUE,$Q$7=TRUE))=TRUE,'Shots and Status'!$F$5,IF((OR($Q$2,$Q$7)=TRUE),'Shots and Status'!$D$5,'Shots and Status'!$C$5)))),0),"-")</f>
        <v>-</v>
      </c>
      <c r="L776" s="36" t="str">
        <f>IFERROR(IF(AND($Q$1=FALSE,$S$3=FALSE),"-",VLOOKUP($E776,'Status Thresholds'!$E:$AU,41,FALSE)),"-")</f>
        <v>-</v>
      </c>
      <c r="M776" s="36" t="str">
        <f>IFERROR(IF(AND($Q$1=FALSE,$S$3=FALSE),"-",VLOOKUP($E776,'Status Thresholds'!$E:$AU,42,FALSE)),"-")</f>
        <v>-</v>
      </c>
      <c r="N776" s="36" t="str">
        <f>IFERROR(IF(AND($Q$1=FALSE,$S$3=FALSE),"-",VLOOKUP($E776,'Status Thresholds'!$E:$AU,43,FALSE)),"-")</f>
        <v>-</v>
      </c>
    </row>
    <row r="777" spans="2:14" x14ac:dyDescent="0.25">
      <c r="B777" s="64" t="str">
        <f>VLOOKUP(C777,'Status Thresholds'!B:C,2,FALSE)</f>
        <v>MHGen</v>
      </c>
      <c r="C777" s="46" t="str">
        <f>IF(ISBLANK('KO Calc'!C773)=TRUE,"",'KO Calc'!C773)</f>
        <v>Ukanlos</v>
      </c>
      <c r="D777" s="57" t="s">
        <v>22</v>
      </c>
      <c r="E777" s="62" t="str">
        <f t="shared" si="23"/>
        <v>UkanlosExhaust</v>
      </c>
      <c r="F777" s="36" t="s">
        <v>8</v>
      </c>
      <c r="G777" s="36" t="str">
        <f t="shared" si="22"/>
        <v>UkanlosExhaust lvl 2</v>
      </c>
      <c r="H777" s="36" t="str">
        <f>IFERROR(ROUNDUP(IF(AND($Q$1=FALSE,$S$3=FALSE),"-",IF(AND($Q$1=TRUE,$S$3=TRUE),"-",IF(AND($Q$1=TRUE,$S$1=TRUE,$S$4=FALSE),VLOOKUP($E777,'Status Thresholds'!$E:$AS,12,FALSE),IF(AND($Q$1=TRUE,$S$4=FALSE),VLOOKUP($E777,'Status Thresholds'!$E:$AS,2,FALSE), IF(AND($Q$1=TRUE,$S$1=TRUE,$S$4=TRUE),VLOOKUP($E777,'Status Thresholds'!$E:$AS,17,FALSE),IF(AND($Q$1=TRUE,$S$4=TRUE),VLOOKUP($E777,'Status Thresholds'!$E:$AS,7,FALSE),IF(AND($S$3=TRUE,$S$1=TRUE,$S$4=FALSE),VLOOKUP($E777,'Status Thresholds'!$E:$AS,32,FALSE),IF(AND($S$3=TRUE,$S$4=FALSE),VLOOKUP($E777,'Status Thresholds'!$E:$AS,22,FALSE),IF(AND($S$3=TRUE,$S$1=TRUE,$S$4=TRUE),VLOOKUP($E777,'Status Thresholds'!$E:$AS,37,FALSE),IF(AND($S$3=TRUE,$S$4=TRUE),VLOOKUP($E777,'Status Thresholds'!$E:$AS,27,FALSE),""))))))))/IF(OR($Q$3=TRUE,AND($Q$2=TRUE,$Q$7=TRUE),AND($Q$3=TRUE,$Q$7=TRUE))=TRUE,'Shots and Status'!$F$5,IF((OR($Q$2,$Q$7)=TRUE),'Shots and Status'!$D$5,'Shots and Status'!$C$5)))),0),"-")</f>
        <v>-</v>
      </c>
      <c r="I777" s="36" t="str">
        <f>IFERROR(ROUNDUP(IF(AND($Q$1=FALSE,$S$3=FALSE),"-",IF(AND($Q$1=TRUE,$S$3=TRUE),"-",IF(AND($Q$1=TRUE,$S$1=TRUE,$S$4=FALSE),VLOOKUP($E777,'Status Thresholds'!$E:$AS,13,FALSE),IF(AND($Q$1=TRUE,$S$4=FALSE),VLOOKUP($E777,'Status Thresholds'!$E:$AS,3,FALSE), IF(AND($Q$1=TRUE,$S$1=TRUE,$S$4=TRUE),VLOOKUP($E777,'Status Thresholds'!$E:$AS,18,FALSE),IF(AND($Q$1=TRUE,$S$4=TRUE),VLOOKUP($E777,'Status Thresholds'!$E:$AS,8,FALSE),IF(AND($S$3=TRUE,$S$1=TRUE,$S$4=FALSE),VLOOKUP($E777,'Status Thresholds'!$E:$AS,33,FALSE),IF(AND($S$3=TRUE,$S$4=FALSE),VLOOKUP($E777,'Status Thresholds'!$E:$AS,23,FALSE),IF(AND($S$3=TRUE,$S$1=TRUE,$S$4=TRUE),VLOOKUP($E777,'Status Thresholds'!$E:$AS,38,FALSE),IF(AND($S$3=TRUE,$S$4=TRUE),VLOOKUP($E777,'Status Thresholds'!$E:$AS,28,FALSE),""))))))))/IF(OR($Q$3=TRUE,AND($Q$2=TRUE,$Q$7=TRUE),AND($Q$3=TRUE,$Q$7=TRUE))=TRUE,'Shots and Status'!$F$5,IF((OR($Q$2,$Q$7)=TRUE),'Shots and Status'!$D$5,'Shots and Status'!$C$5)))),0),"-")</f>
        <v>-</v>
      </c>
      <c r="J777" s="36" t="str">
        <f>IFERROR(ROUNDUP(IF(AND($Q$1=FALSE,$S$3=FALSE),"-",IF(AND($Q$1=TRUE,$S$3=TRUE),"-",IF(AND($Q$1=TRUE,$S$1=TRUE,$S$4=FALSE),VLOOKUP($E777,'Status Thresholds'!$E:$AS,14,FALSE),IF(AND($Q$1=TRUE,$S$4=FALSE),VLOOKUP($E777,'Status Thresholds'!$E:$AS,4,FALSE), IF(AND($Q$1=TRUE,$S$1=TRUE,$S$4=TRUE),VLOOKUP($E777,'Status Thresholds'!$E:$AS,19,FALSE),IF(AND($Q$1=TRUE,$S$4=TRUE),VLOOKUP($E777,'Status Thresholds'!$E:$AS,9,FALSE),IF(AND($S$3=TRUE,$S$1=TRUE,$S$4=FALSE),VLOOKUP($E777,'Status Thresholds'!$E:$AS,34,FALSE),IF(AND($S$3=TRUE,$S$4=FALSE),VLOOKUP($E777,'Status Thresholds'!$E:$AS,24,FALSE),IF(AND($S$3=TRUE,$S$1=TRUE,$S$4=TRUE),VLOOKUP($E777,'Status Thresholds'!$E:$AS,39,FALSE),IF(AND($S$3=TRUE,$S$4=TRUE),VLOOKUP($E777,'Status Thresholds'!$E:$AS,29,FALSE),""))))))))/IF(OR($Q$3=TRUE,AND($Q$2=TRUE,$Q$7=TRUE),AND($Q$3=TRUE,$Q$7=TRUE))=TRUE,'Shots and Status'!$F$5,IF((OR($Q$2,$Q$7)=TRUE),'Shots and Status'!$D$5,'Shots and Status'!$C$5)))),0),"-")</f>
        <v>-</v>
      </c>
      <c r="K777" s="36" t="str">
        <f>IFERROR(ROUNDUP(IF(AND($Q$1=FALSE,$S$3=FALSE),"-",IF(AND($Q$1=TRUE,$S$3=TRUE),"-",IF(AND($Q$1=TRUE,$S$1=TRUE,$S$4=FALSE),VLOOKUP($E777,'Status Thresholds'!$E:$AS,15,FALSE),IF(AND($Q$1=TRUE,$S$4=FALSE),VLOOKUP($E777,'Status Thresholds'!$E:$AS,5,FALSE), IF(AND($Q$1=TRUE,$S$1=TRUE,$S$4=TRUE),VLOOKUP($E777,'Status Thresholds'!$E:$AS,20,FALSE),IF(AND($Q$1=TRUE,$S$4=TRUE),VLOOKUP($E777,'Status Thresholds'!$E:$AS,10,FALSE),IF(AND($S$3=TRUE,$S$1=TRUE,$S$4=FALSE),VLOOKUP($E777,'Status Thresholds'!$E:$AS,35,FALSE),IF(AND($S$3=TRUE,$S$4=FALSE),VLOOKUP($E777,'Status Thresholds'!$E:$AS,25,FALSE),IF(AND($S$3=TRUE,$S$1=TRUE,$S$4=TRUE),VLOOKUP($E777,'Status Thresholds'!$E:$AS,40,FALSE),IF(AND($S$3=TRUE,$S$4=TRUE),VLOOKUP($E777,'Status Thresholds'!$E:$AS,30,FALSE),""))))))))/IF(OR($Q$3=TRUE,AND($Q$2=TRUE,$Q$7=TRUE),AND($Q$3=TRUE,$Q$7=TRUE))=TRUE,'Shots and Status'!$F$5,IF((OR($Q$2,$Q$7)=TRUE),'Shots and Status'!$D$5,'Shots and Status'!$C$5)))),0),"-")</f>
        <v>-</v>
      </c>
      <c r="L777" s="36" t="str">
        <f>IFERROR(IF(AND($Q$1=FALSE,$S$3=FALSE),"-",VLOOKUP($E777,'Status Thresholds'!$E:$AU,41,FALSE)),"-")</f>
        <v>-</v>
      </c>
      <c r="M777" s="36" t="str">
        <f>IFERROR(IF(AND($Q$1=FALSE,$S$3=FALSE),"-",VLOOKUP($E777,'Status Thresholds'!$E:$AU,42,FALSE)),"-")</f>
        <v>-</v>
      </c>
      <c r="N777" s="36" t="str">
        <f>IFERROR(IF(AND($Q$1=FALSE,$S$3=FALSE),"-",VLOOKUP($E777,'Status Thresholds'!$E:$AU,43,FALSE)),"-")</f>
        <v>-</v>
      </c>
    </row>
    <row r="778" spans="2:14" x14ac:dyDescent="0.25">
      <c r="B778" s="64" t="str">
        <f>VLOOKUP(C778,'Status Thresholds'!B:C,2,FALSE)</f>
        <v>MHGen</v>
      </c>
      <c r="C778" s="46" t="str">
        <f>IF(ISBLANK('KO Calc'!C774)=TRUE,"",'KO Calc'!C774)</f>
        <v>Ukanlos</v>
      </c>
      <c r="D778" s="67" t="s">
        <v>14</v>
      </c>
      <c r="E778" s="62" t="str">
        <f t="shared" si="23"/>
        <v>UkanlosKO</v>
      </c>
      <c r="F778" s="36" t="s">
        <v>21</v>
      </c>
      <c r="G778" s="36" t="str">
        <f t="shared" si="22"/>
        <v>UkanlosTriblast</v>
      </c>
      <c r="H778" s="36" t="str">
        <f>IF(AND($Q$1=FALSE,$S$3=FALSE),"-",IF(AND($Q$1=TRUE,$S$3=TRUE),"-",IF(AND($Q$1=FALSE,$S$3=FALSE),"-",IF(AND($Q$1=TRUE,$S$1=TRUE,$S$4=FALSE)=TRUE,IF(OR($Q$4=TRUE,$Q$5=TRUE,$S$2=TRUE),VLOOKUP($G778,'KO Calc'!$H:$AW,12,FALSE),VLOOKUP($G778,'KO Calc'!$H784:$AW784,12,FALSE)),IF(AND($Q$1=TRUE,$S$4=FALSE),IF(OR($Q$4=TRUE,$Q$5=TRUE,$S$2=TRUE),VLOOKUP($G778,'KO Calc'!$H:$AW,2,FALSE),VLOOKUP($G778,'KO Calc'!$H784:$AW784,2,FALSE)),
IF(AND($Q$1=TRUE,$S$1=TRUE,$S$4=TRUE)=TRUE,IF(OR($Q$4=TRUE,$Q$5=TRUE,$S$2=TRUE),VLOOKUP($G778,'KO Calc'!$H:$AW,17,FALSE),VLOOKUP($G778,'KO Calc'!$H784:$AW784,17,FALSE)),IF(AND($Q$1=TRUE,$S$4=TRUE),IF(OR($Q$4=TRUE,$Q$5=TRUE,$S$2=TRUE),VLOOKUP($G778,'KO Calc'!$H:$AW,7,FALSE),VLOOKUP($G778,'KO Calc'!$H784:$AW784,7,FALSE)),
IF(AND($S$3=TRUE,$S$1=TRUE,$S$4=FALSE)=TRUE,IF(OR($Q$4=TRUE,$Q$5=TRUE,$S$2=TRUE),VLOOKUP($G778,'KO Calc'!$H:$AW,32,FALSE),VLOOKUP($G778,'KO Calc'!$H784:$AW784,32,FALSE)),IF(AND($S$3=TRUE,$S$4=FALSE),IF(OR($Q$4=TRUE,$Q$5=TRUE,$S$2=TRUE),VLOOKUP($G778,'KO Calc'!$H:$AW,22,FALSE),VLOOKUP($G778,'KO Calc'!$H784:$AW784,22,FALSE)),
IF(AND($S$3=TRUE,$S$1=TRUE,$S$4=TRUE)=TRUE,IF(OR($Q$4=TRUE,$Q$5=TRUE,$S$2=TRUE),VLOOKUP($G778,'KO Calc'!$H:$AW,37,FALSE),VLOOKUP($G778,'KO Calc'!$H784:$AW784,37,FALSE)),IF(AND($S$3=TRUE,$S$4=TRUE),IF(OR($Q$4=TRUE,$Q$5=TRUE,$S$2=TRUE),VLOOKUP($G778,'KO Calc'!$H:$AW,27,FALSE),VLOOKUP($G778,'KO Calc'!$H784:$AW784,27,FALSE)))))))))))))</f>
        <v>-</v>
      </c>
      <c r="I778" s="36" t="str">
        <f>IF(AND($Q$1=FALSE,$S$3=FALSE),"-",IF(AND($Q$1=TRUE,$S$3=TRUE),"-",IF(AND($Q$1=FALSE,$S$3=FALSE),"-",IF(AND($Q$1=TRUE,$S$1=TRUE,$S$4=FALSE)=TRUE,IF(OR($Q$4=TRUE,$Q$5=TRUE,$S$2=TRUE),VLOOKUP($G778,'KO Calc'!$H:$AW,13,FALSE),VLOOKUP($G778,'KO Calc'!$H784:$AW784,13,FALSE)),IF(AND($Q$1=TRUE,$S$4=FALSE),IF(OR($Q$4=TRUE,$Q$5=TRUE,$S$2=TRUE),VLOOKUP($G778,'KO Calc'!$H:$AW,3,FALSE),VLOOKUP($G778,'KO Calc'!$H784:$AW784,3,FALSE)),
IF(AND($Q$1=TRUE,$S$1=TRUE,$S$4=TRUE)=TRUE,IF(OR($Q$4=TRUE,$Q$5=TRUE,$S$2=TRUE),VLOOKUP($G778,'KO Calc'!$H:$AW,18,FALSE),VLOOKUP($G778,'KO Calc'!$H784:$AW784,18,FALSE)),IF(AND($Q$1=TRUE,$S$4=TRUE),IF(OR($Q$4=TRUE,$Q$5=TRUE,$S$2=TRUE),VLOOKUP($G778,'KO Calc'!$H:$AW,8,FALSE),VLOOKUP($G778,'KO Calc'!$H784:$AW784,8,FALSE)),
IF(AND($S$3=TRUE,$S$1=TRUE,$S$4=FALSE)=TRUE,IF(OR($Q$4=TRUE,$Q$5=TRUE,$S$2=TRUE),VLOOKUP($G778,'KO Calc'!$H:$AW,33,FALSE),VLOOKUP($G778,'KO Calc'!$H784:$AW784,33,FALSE)),IF(AND($S$3=TRUE,$S$4=FALSE),IF(OR($Q$4=TRUE,$Q$5=TRUE,$S$2=TRUE),VLOOKUP($G778,'KO Calc'!$H:$AW,23,FALSE),VLOOKUP($G778,'KO Calc'!$H784:$AW784,23,FALSE)),
IF(AND($S$3=TRUE,$S$1=TRUE,$S$4=TRUE)=TRUE,IF(OR($Q$4=TRUE,$Q$5=TRUE,$S$2=TRUE),VLOOKUP($G778,'KO Calc'!$H:$AW,38,FALSE),VLOOKUP($G778,'KO Calc'!$H784:$AW784,38,FALSE)),IF(AND($S$3=TRUE,$S$4=TRUE),IF(OR($Q$4=TRUE,$Q$5=TRUE,$S$2=TRUE),VLOOKUP($G778,'KO Calc'!$H:$AW,28,FALSE),VLOOKUP($G778,'KO Calc'!$H784:$AW784,28,FALSE)))))))))))))</f>
        <v>-</v>
      </c>
      <c r="J778" s="36" t="str">
        <f>IF(AND($Q$1=FALSE,$S$3=FALSE),"-",IF(AND($Q$1=TRUE,$S$3=TRUE),"-",IF(AND($Q$1=FALSE,$S$3=FALSE),"-",IF(AND($Q$1=TRUE,$S$1=TRUE,$S$4=FALSE)=TRUE,IF(OR($Q$4=TRUE,$Q$5=TRUE,$S$2=TRUE),VLOOKUP($G778,'KO Calc'!$H:$AW,FALSE),VLOOKUP($G778,'KO Calc'!$H784:$AW784,14,FALSE)),IF(AND($Q$1=TRUE,$S$4=FALSE),IF(OR($Q$4=TRUE,$Q$5=TRUE,$S$2=TRUE),VLOOKUP($G778,'KO Calc'!$H:$AW,4,FALSE),VLOOKUP($G778,'KO Calc'!$H784:$AW784,4,FALSE)),
IF(AND($Q$1=TRUE,$S$1=TRUE,$S$4=TRUE)=TRUE,IF(OR($Q$4=TRUE,$Q$5=TRUE,$S$2=TRUE),VLOOKUP($G778,'KO Calc'!$H:$AW,19,FALSE),VLOOKUP($G778,'KO Calc'!$H784:$AW784,19,FALSE)),IF(AND($Q$1=TRUE,$S$4=TRUE),IF(OR($Q$4=TRUE,$Q$5=TRUE,$S$2=TRUE),VLOOKUP($G778,'KO Calc'!$H:$AW,9,FALSE),VLOOKUP($G778,'KO Calc'!$H784:$AW784,9,FALSE)),
IF(AND($S$3=TRUE,$S$1=TRUE,$S$4=FALSE)=TRUE,IF(OR($Q$4=TRUE,$Q$5=TRUE,$S$2=TRUE),VLOOKUP($G778,'KO Calc'!$H:$AW,34,FALSE),VLOOKUP($G778,'KO Calc'!$H784:$AW784,34,FALSE)),IF(AND($S$3=TRUE,$S$4=FALSE),IF(OR($Q$4=TRUE,$Q$5=TRUE,$S$2=TRUE),VLOOKUP($G778,'KO Calc'!$H:$AW,24,FALSE),VLOOKUP($G778,'KO Calc'!$H784:$AW784,24,FALSE)),
IF(AND($S$3=TRUE,$S$1=TRUE,$S$4=TRUE)=TRUE,IF(OR($Q$4=TRUE,$Q$5=TRUE,$S$2=TRUE),VLOOKUP($G778,'KO Calc'!$H:$AW,39,FALSE),VLOOKUP($G778,'KO Calc'!$H784:$AW784,39,FALSE)),IF(AND($S$3=TRUE,$S$4=TRUE),IF(OR($Q$4=TRUE,$Q$5=TRUE,$S$2=TRUE),VLOOKUP($G778,'KO Calc'!$H:$AW,29,FALSE),VLOOKUP($G778,'KO Calc'!$H784:$AW784,29,FALSE)))))))))))))</f>
        <v>-</v>
      </c>
      <c r="K778" s="36" t="str">
        <f>IF(AND($Q$1=FALSE,$S$3=FALSE),"-",IF(AND($Q$1=TRUE,$S$3=TRUE),"-",IF(AND($Q$1=FALSE,$S$3=FALSE),"-",IF(AND($Q$1=TRUE,$S$1=TRUE,$S$4=FALSE)=TRUE,IF(OR($Q$4=TRUE,$Q$5=TRUE,$S$2=TRUE),VLOOKUP($G778,'KO Calc'!$H:$AW,15,FALSE),VLOOKUP($G778,'KO Calc'!$H784:$AW784,15,FALSE)),IF(AND($Q$1=TRUE,$S$4=FALSE),IF(OR($Q$4=TRUE,$Q$5=TRUE,$S$2=TRUE),VLOOKUP($G778,'KO Calc'!$H:$AW,5,FALSE),VLOOKUP($G778,'KO Calc'!$H784:$AW784,5,FALSE)),
IF(AND($Q$1=TRUE,$S$1=TRUE,$S$4=TRUE)=TRUE,IF(OR($Q$4=TRUE,$Q$5=TRUE,$S$2=TRUE),VLOOKUP($G778,'KO Calc'!$H:$AW,20,FALSE),VLOOKUP($G778,'KO Calc'!$H784:$AW784,20,FALSE)),IF(AND($Q$1=TRUE,$S$4=TRUE),IF(OR($Q$4=TRUE,$Q$5=TRUE,$S$2=TRUE),VLOOKUP($G778,'KO Calc'!$H:$AW,10,FALSE),VLOOKUP($G778,'KO Calc'!$H784:$AW784,10,FALSE)),
IF(AND($S$3=TRUE,$S$1=TRUE,$S$4=FALSE)=TRUE,IF(OR($Q$4=TRUE,$Q$5=TRUE,$S$2=TRUE),VLOOKUP($G778,'KO Calc'!$H:$AW,35,FALSE),VLOOKUP($G778,'KO Calc'!$H784:$AW784,35,FALSE)),IF(AND($S$3=TRUE,$S$4=FALSE),IF(OR($Q$4=TRUE,$Q$5=TRUE,$S$2=TRUE),VLOOKUP($G778,'KO Calc'!$H:$AW,25,FALSE),VLOOKUP($G778,'KO Calc'!$H784:$AW784,25,FALSE)),
IF(AND($S$3=TRUE,$S$1=TRUE,$S$4=TRUE)=TRUE,IF(OR($Q$4=TRUE,$Q$5=TRUE,$S$2=TRUE),VLOOKUP($G778,'KO Calc'!$H:$AW,40,FALSE),VLOOKUP($G778,'KO Calc'!$H784:$AW784,40,FALSE)),IF(AND($S$3=TRUE,$S$4=TRUE),IF(OR($Q$4=TRUE,$Q$5=TRUE,$S$2=TRUE),VLOOKUP($G778,'KO Calc'!$H:$AW,30,FALSE),VLOOKUP($G778,'KO Calc'!$H784:$AW784,30,FALSE)))))))))))))</f>
        <v>-</v>
      </c>
      <c r="L778" s="36" t="str">
        <f>IFERROR(IF(AND($Q$1=FALSE,$S$3=FALSE),"-",VLOOKUP($E778,'Status Thresholds'!$E:$AU,41,FALSE)),"-")</f>
        <v>-</v>
      </c>
      <c r="M778" s="36" t="str">
        <f>IFERROR(IF(AND($Q$1=FALSE,$S$3=FALSE),"-",VLOOKUP($E778,'Status Thresholds'!$E:$AU,42,FALSE)),"-")</f>
        <v>-</v>
      </c>
      <c r="N778" s="36" t="str">
        <f>IFERROR(IF(AND($Q$1=FALSE,$S$3=FALSE),"-",VLOOKUP($E778,'Status Thresholds'!$E:$AU,43,FALSE)),"-")</f>
        <v>-</v>
      </c>
    </row>
    <row r="779" spans="2:14" x14ac:dyDescent="0.25">
      <c r="B779" s="64" t="str">
        <f>VLOOKUP(C779,'Status Thresholds'!B:C,2,FALSE)</f>
        <v>MHGen</v>
      </c>
      <c r="C779" s="46" t="str">
        <f>IF(ISBLANK('KO Calc'!C775)=TRUE,"",'KO Calc'!C775)</f>
        <v>Ukanlos</v>
      </c>
      <c r="D779" s="78" t="s">
        <v>207</v>
      </c>
      <c r="E779" s="62" t="str">
        <f t="shared" si="23"/>
        <v>UkanlosShock Trap</v>
      </c>
      <c r="F779" t="s">
        <v>13</v>
      </c>
      <c r="G779" s="36" t="str">
        <f t="shared" ref="G779:G842" si="24">C779&amp;F779</f>
        <v>UkanlosCrag 3</v>
      </c>
      <c r="H779" s="36" t="str">
        <f>IF(AND($Q$1=FALSE,$S$3=FALSE),"-",IF(AND($Q$1=TRUE,$S$3=TRUE),"-",IF(AND($Q$1=FALSE,$S$3=FALSE),"-",IF(AND($Q$1=TRUE,$S$1=TRUE,$S$4=FALSE)=TRUE,IF(OR($Q$4=TRUE,$Q$5=TRUE,$S$2=TRUE),VLOOKUP($G779,'KO Calc'!$H:$AW,12,FALSE),VLOOKUP($G779,'KO Calc'!$H785:$AW785,12,FALSE)),IF(AND($Q$1=TRUE,$S$4=FALSE),IF(OR($Q$4=TRUE,$Q$5=TRUE,$S$2=TRUE),VLOOKUP($G779,'KO Calc'!$H:$AW,2,FALSE),VLOOKUP($G779,'KO Calc'!$H785:$AW785,2,FALSE)),
IF(AND($Q$1=TRUE,$S$1=TRUE,$S$4=TRUE)=TRUE,IF(OR($Q$4=TRUE,$Q$5=TRUE,$S$2=TRUE),VLOOKUP($G779,'KO Calc'!$H:$AW,17,FALSE),VLOOKUP($G779,'KO Calc'!$H785:$AW785,17,FALSE)),IF(AND($Q$1=TRUE,$S$4=TRUE),IF(OR($Q$4=TRUE,$Q$5=TRUE,$S$2=TRUE),VLOOKUP($G779,'KO Calc'!$H:$AW,7,FALSE),VLOOKUP($G779,'KO Calc'!$H785:$AW785,7,FALSE)),
IF(AND($S$3=TRUE,$S$1=TRUE,$S$4=FALSE)=TRUE,IF(OR($Q$4=TRUE,$Q$5=TRUE,$S$2=TRUE),VLOOKUP($G779,'KO Calc'!$H:$AW,32,FALSE),VLOOKUP($G779,'KO Calc'!$H785:$AW785,32,FALSE)),IF(AND($S$3=TRUE,$S$4=FALSE),IF(OR($Q$4=TRUE,$Q$5=TRUE,$S$2=TRUE),VLOOKUP($G779,'KO Calc'!$H:$AW,22,FALSE),VLOOKUP($G779,'KO Calc'!$H785:$AW785,22,FALSE)),
IF(AND($S$3=TRUE,$S$1=TRUE,$S$4=TRUE)=TRUE,IF(OR($Q$4=TRUE,$Q$5=TRUE,$S$2=TRUE),VLOOKUP($G779,'KO Calc'!$H:$AW,37,FALSE),VLOOKUP($G779,'KO Calc'!$H785:$AW785,37,FALSE)),IF(AND($S$3=TRUE,$S$4=TRUE),IF(OR($Q$4=TRUE,$Q$5=TRUE,$S$2=TRUE),VLOOKUP($G779,'KO Calc'!$H:$AW,27,FALSE),VLOOKUP($G779,'KO Calc'!$H785:$AW785,27,FALSE)))))))))))))</f>
        <v>-</v>
      </c>
      <c r="I779" s="36" t="str">
        <f>IF(AND($Q$1=FALSE,$S$3=FALSE),"-",IF(AND($Q$1=TRUE,$S$3=TRUE),"-",IF(AND($Q$1=FALSE,$S$3=FALSE),"-",IF(AND($Q$1=TRUE,$S$1=TRUE,$S$4=FALSE)=TRUE,IF(OR($Q$4=TRUE,$Q$5=TRUE,$S$2=TRUE),VLOOKUP($G779,'KO Calc'!$H:$AW,13,FALSE),VLOOKUP($G779,'KO Calc'!$H785:$AW785,13,FALSE)),IF(AND($Q$1=TRUE,$S$4=FALSE),IF(OR($Q$4=TRUE,$Q$5=TRUE,$S$2=TRUE),VLOOKUP($G779,'KO Calc'!$H:$AW,3,FALSE),VLOOKUP($G779,'KO Calc'!$H785:$AW785,3,FALSE)),
IF(AND($Q$1=TRUE,$S$1=TRUE,$S$4=TRUE)=TRUE,IF(OR($Q$4=TRUE,$Q$5=TRUE,$S$2=TRUE),VLOOKUP($G779,'KO Calc'!$H:$AW,18,FALSE),VLOOKUP($G779,'KO Calc'!$H785:$AW785,18,FALSE)),IF(AND($Q$1=TRUE,$S$4=TRUE),IF(OR($Q$4=TRUE,$Q$5=TRUE,$S$2=TRUE),VLOOKUP($G779,'KO Calc'!$H:$AW,8,FALSE),VLOOKUP($G779,'KO Calc'!$H785:$AW785,8,FALSE)),
IF(AND($S$3=TRUE,$S$1=TRUE,$S$4=FALSE)=TRUE,IF(OR($Q$4=TRUE,$Q$5=TRUE,$S$2=TRUE),VLOOKUP($G779,'KO Calc'!$H:$AW,33,FALSE),VLOOKUP($G779,'KO Calc'!$H785:$AW785,33,FALSE)),IF(AND($S$3=TRUE,$S$4=FALSE),IF(OR($Q$4=TRUE,$Q$5=TRUE,$S$2=TRUE),VLOOKUP($G779,'KO Calc'!$H:$AW,23,FALSE),VLOOKUP($G779,'KO Calc'!$H785:$AW785,23,FALSE)),
IF(AND($S$3=TRUE,$S$1=TRUE,$S$4=TRUE)=TRUE,IF(OR($Q$4=TRUE,$Q$5=TRUE,$S$2=TRUE),VLOOKUP($G779,'KO Calc'!$H:$AW,38,FALSE),VLOOKUP($G779,'KO Calc'!$H785:$AW785,38,FALSE)),IF(AND($S$3=TRUE,$S$4=TRUE),IF(OR($Q$4=TRUE,$Q$5=TRUE,$S$2=TRUE),VLOOKUP($G779,'KO Calc'!$H:$AW,28,FALSE),VLOOKUP($G779,'KO Calc'!$H785:$AW785,28,FALSE)))))))))))))</f>
        <v>-</v>
      </c>
      <c r="J779" s="36" t="str">
        <f>IF(AND($Q$1=FALSE,$S$3=FALSE),"-",IF(AND($Q$1=TRUE,$S$3=TRUE),"-",IF(AND($Q$1=FALSE,$S$3=FALSE),"-",IF(AND($Q$1=TRUE,$S$1=TRUE,$S$4=FALSE)=TRUE,IF(OR($Q$4=TRUE,$Q$5=TRUE,$S$2=TRUE),VLOOKUP($G779,'KO Calc'!$H:$AW,FALSE),VLOOKUP($G779,'KO Calc'!$H785:$AW785,14,FALSE)),IF(AND($Q$1=TRUE,$S$4=FALSE),IF(OR($Q$4=TRUE,$Q$5=TRUE,$S$2=TRUE),VLOOKUP($G779,'KO Calc'!$H:$AW,4,FALSE),VLOOKUP($G779,'KO Calc'!$H785:$AW785,4,FALSE)),
IF(AND($Q$1=TRUE,$S$1=TRUE,$S$4=TRUE)=TRUE,IF(OR($Q$4=TRUE,$Q$5=TRUE,$S$2=TRUE),VLOOKUP($G779,'KO Calc'!$H:$AW,19,FALSE),VLOOKUP($G779,'KO Calc'!$H785:$AW785,19,FALSE)),IF(AND($Q$1=TRUE,$S$4=TRUE),IF(OR($Q$4=TRUE,$Q$5=TRUE,$S$2=TRUE),VLOOKUP($G779,'KO Calc'!$H:$AW,9,FALSE),VLOOKUP($G779,'KO Calc'!$H785:$AW785,9,FALSE)),
IF(AND($S$3=TRUE,$S$1=TRUE,$S$4=FALSE)=TRUE,IF(OR($Q$4=TRUE,$Q$5=TRUE,$S$2=TRUE),VLOOKUP($G779,'KO Calc'!$H:$AW,34,FALSE),VLOOKUP($G779,'KO Calc'!$H785:$AW785,34,FALSE)),IF(AND($S$3=TRUE,$S$4=FALSE),IF(OR($Q$4=TRUE,$Q$5=TRUE,$S$2=TRUE),VLOOKUP($G779,'KO Calc'!$H:$AW,24,FALSE),VLOOKUP($G779,'KO Calc'!$H785:$AW785,24,FALSE)),
IF(AND($S$3=TRUE,$S$1=TRUE,$S$4=TRUE)=TRUE,IF(OR($Q$4=TRUE,$Q$5=TRUE,$S$2=TRUE),VLOOKUP($G779,'KO Calc'!$H:$AW,39,FALSE),VLOOKUP($G779,'KO Calc'!$H785:$AW785,39,FALSE)),IF(AND($S$3=TRUE,$S$4=TRUE),IF(OR($Q$4=TRUE,$Q$5=TRUE,$S$2=TRUE),VLOOKUP($G779,'KO Calc'!$H:$AW,29,FALSE),VLOOKUP($G779,'KO Calc'!$H785:$AW785,29,FALSE)))))))))))))</f>
        <v>-</v>
      </c>
      <c r="K779" s="36" t="str">
        <f>IF(AND($Q$1=FALSE,$S$3=FALSE),"-",IF(AND($Q$1=TRUE,$S$3=TRUE),"-",IF(AND($Q$1=FALSE,$S$3=FALSE),"-",IF(AND($Q$1=TRUE,$S$1=TRUE,$S$4=FALSE)=TRUE,IF(OR($Q$4=TRUE,$Q$5=TRUE,$S$2=TRUE),VLOOKUP($G779,'KO Calc'!$H:$AW,15,FALSE),VLOOKUP($G779,'KO Calc'!$H785:$AW785,15,FALSE)),IF(AND($Q$1=TRUE,$S$4=FALSE),IF(OR($Q$4=TRUE,$Q$5=TRUE,$S$2=TRUE),VLOOKUP($G779,'KO Calc'!$H:$AW,5,FALSE),VLOOKUP($G779,'KO Calc'!$H785:$AW785,5,FALSE)),
IF(AND($Q$1=TRUE,$S$1=TRUE,$S$4=TRUE)=TRUE,IF(OR($Q$4=TRUE,$Q$5=TRUE,$S$2=TRUE),VLOOKUP($G779,'KO Calc'!$H:$AW,20,FALSE),VLOOKUP($G779,'KO Calc'!$H785:$AW785,20,FALSE)),IF(AND($Q$1=TRUE,$S$4=TRUE),IF(OR($Q$4=TRUE,$Q$5=TRUE,$S$2=TRUE),VLOOKUP($G779,'KO Calc'!$H:$AW,10,FALSE),VLOOKUP($G779,'KO Calc'!$H785:$AW785,10,FALSE)),
IF(AND($S$3=TRUE,$S$1=TRUE,$S$4=FALSE)=TRUE,IF(OR($Q$4=TRUE,$Q$5=TRUE,$S$2=TRUE),VLOOKUP($G779,'KO Calc'!$H:$AW,35,FALSE),VLOOKUP($G779,'KO Calc'!$H785:$AW785,35,FALSE)),IF(AND($S$3=TRUE,$S$4=FALSE),IF(OR($Q$4=TRUE,$Q$5=TRUE,$S$2=TRUE),VLOOKUP($G779,'KO Calc'!$H:$AW,25,FALSE),VLOOKUP($G779,'KO Calc'!$H785:$AW785,25,FALSE)),
IF(AND($S$3=TRUE,$S$1=TRUE,$S$4=TRUE)=TRUE,IF(OR($Q$4=TRUE,$Q$5=TRUE,$S$2=TRUE),VLOOKUP($G779,'KO Calc'!$H:$AW,40,FALSE),VLOOKUP($G779,'KO Calc'!$H785:$AW785,40,FALSE)),IF(AND($S$3=TRUE,$S$4=TRUE),IF(OR($Q$4=TRUE,$Q$5=TRUE,$S$2=TRUE),VLOOKUP($G779,'KO Calc'!$H:$AW,30,FALSE),VLOOKUP($G779,'KO Calc'!$H785:$AW785,30,FALSE)))))))))))))</f>
        <v>-</v>
      </c>
      <c r="L779" s="36" t="str">
        <f>IFERROR(IF(AND($Q$1=FALSE,$S$3=FALSE),"-",VLOOKUP($E779,'Status Thresholds'!$E:$AU,43,FALSE)),"-")</f>
        <v>-</v>
      </c>
      <c r="M779" s="36" t="str">
        <f>IFERROR(IF(AND($Q$1=FALSE,$S$3=FALSE),"-",VLOOKUP($E779,'Status Thresholds'!$E:$AU,41,FALSE)),"-")</f>
        <v>-</v>
      </c>
      <c r="N779" s="36" t="str">
        <f>IFERROR(IF(AND($Q$1=FALSE,$S$3=FALSE),"-",VLOOKUP($E779,'Status Thresholds'!$E:$AU,42,FALSE)),"-")</f>
        <v>-</v>
      </c>
    </row>
    <row r="780" spans="2:14" x14ac:dyDescent="0.25">
      <c r="B780" s="64" t="str">
        <f>VLOOKUP(C780,'Status Thresholds'!B:C,2,FALSE)</f>
        <v>MHGen</v>
      </c>
      <c r="C780" s="46" t="str">
        <f>IF(ISBLANK('KO Calc'!C776)=TRUE,"",'KO Calc'!C776)</f>
        <v>Ukanlos</v>
      </c>
      <c r="D780" s="78" t="s">
        <v>213</v>
      </c>
      <c r="E780" s="62" t="str">
        <f t="shared" si="23"/>
        <v>UkanlosPitfall Trap</v>
      </c>
      <c r="F780" t="s">
        <v>12</v>
      </c>
      <c r="G780" s="36" t="str">
        <f t="shared" si="24"/>
        <v>UkanlosCrag 2</v>
      </c>
      <c r="H780" s="36" t="str">
        <f>IF(AND($Q$1=FALSE,$S$3=FALSE),"-",IF(AND($Q$1=TRUE,$S$3=TRUE),"-",IF(AND($Q$1=FALSE,$S$3=FALSE),"-",IF(AND($Q$1=TRUE,$S$1=TRUE,$S$4=FALSE)=TRUE,IF(OR($Q$4=TRUE,$Q$5=TRUE,$S$2=TRUE),VLOOKUP($G780,'KO Calc'!$H:$AW,12,FALSE),VLOOKUP($G780,'KO Calc'!$H786:$AW786,12,FALSE)),IF(AND($Q$1=TRUE,$S$4=FALSE),IF(OR($Q$4=TRUE,$Q$5=TRUE,$S$2=TRUE),VLOOKUP($G780,'KO Calc'!$H:$AW,2,FALSE),VLOOKUP($G780,'KO Calc'!$H786:$AW786,2,FALSE)),
IF(AND($Q$1=TRUE,$S$1=TRUE,$S$4=TRUE)=TRUE,IF(OR($Q$4=TRUE,$Q$5=TRUE,$S$2=TRUE),VLOOKUP($G780,'KO Calc'!$H:$AW,17,FALSE),VLOOKUP($G780,'KO Calc'!$H786:$AW786,17,FALSE)),IF(AND($Q$1=TRUE,$S$4=TRUE),IF(OR($Q$4=TRUE,$Q$5=TRUE,$S$2=TRUE),VLOOKUP($G780,'KO Calc'!$H:$AW,7,FALSE),VLOOKUP($G780,'KO Calc'!$H786:$AW786,7,FALSE)),
IF(AND($S$3=TRUE,$S$1=TRUE,$S$4=FALSE)=TRUE,IF(OR($Q$4=TRUE,$Q$5=TRUE,$S$2=TRUE),VLOOKUP($G780,'KO Calc'!$H:$AW,32,FALSE),VLOOKUP($G780,'KO Calc'!$H786:$AW786,32,FALSE)),IF(AND($S$3=TRUE,$S$4=FALSE),IF(OR($Q$4=TRUE,$Q$5=TRUE,$S$2=TRUE),VLOOKUP($G780,'KO Calc'!$H:$AW,22,FALSE),VLOOKUP($G780,'KO Calc'!$H786:$AW786,22,FALSE)),
IF(AND($S$3=TRUE,$S$1=TRUE,$S$4=TRUE)=TRUE,IF(OR($Q$4=TRUE,$Q$5=TRUE,$S$2=TRUE),VLOOKUP($G780,'KO Calc'!$H:$AW,37,FALSE),VLOOKUP($G780,'KO Calc'!$H786:$AW786,37,FALSE)),IF(AND($S$3=TRUE,$S$4=TRUE),IF(OR($Q$4=TRUE,$Q$5=TRUE,$S$2=TRUE),VLOOKUP($G780,'KO Calc'!$H:$AW,27,FALSE),VLOOKUP($G780,'KO Calc'!$H786:$AW786,27,FALSE)))))))))))))</f>
        <v>-</v>
      </c>
      <c r="I780" s="36" t="str">
        <f>IF(AND($Q$1=FALSE,$S$3=FALSE),"-",IF(AND($Q$1=TRUE,$S$3=TRUE),"-",IF(AND($Q$1=FALSE,$S$3=FALSE),"-",IF(AND($Q$1=TRUE,$S$1=TRUE,$S$4=FALSE)=TRUE,IF(OR($Q$4=TRUE,$Q$5=TRUE,$S$2=TRUE),VLOOKUP($G780,'KO Calc'!$H:$AW,13,FALSE),VLOOKUP($G780,'KO Calc'!$H786:$AW786,13,FALSE)),IF(AND($Q$1=TRUE,$S$4=FALSE),IF(OR($Q$4=TRUE,$Q$5=TRUE,$S$2=TRUE),VLOOKUP($G780,'KO Calc'!$H:$AW,3,FALSE),VLOOKUP($G780,'KO Calc'!$H786:$AW786,3,FALSE)),
IF(AND($Q$1=TRUE,$S$1=TRUE,$S$4=TRUE)=TRUE,IF(OR($Q$4=TRUE,$Q$5=TRUE,$S$2=TRUE),VLOOKUP($G780,'KO Calc'!$H:$AW,18,FALSE),VLOOKUP($G780,'KO Calc'!$H786:$AW786,18,FALSE)),IF(AND($Q$1=TRUE,$S$4=TRUE),IF(OR($Q$4=TRUE,$Q$5=TRUE,$S$2=TRUE),VLOOKUP($G780,'KO Calc'!$H:$AW,8,FALSE),VLOOKUP($G780,'KO Calc'!$H786:$AW786,8,FALSE)),
IF(AND($S$3=TRUE,$S$1=TRUE,$S$4=FALSE)=TRUE,IF(OR($Q$4=TRUE,$Q$5=TRUE,$S$2=TRUE),VLOOKUP($G780,'KO Calc'!$H:$AW,33,FALSE),VLOOKUP($G780,'KO Calc'!$H786:$AW786,33,FALSE)),IF(AND($S$3=TRUE,$S$4=FALSE),IF(OR($Q$4=TRUE,$Q$5=TRUE,$S$2=TRUE),VLOOKUP($G780,'KO Calc'!$H:$AW,23,FALSE),VLOOKUP($G780,'KO Calc'!$H786:$AW786,23,FALSE)),
IF(AND($S$3=TRUE,$S$1=TRUE,$S$4=TRUE)=TRUE,IF(OR($Q$4=TRUE,$Q$5=TRUE,$S$2=TRUE),VLOOKUP($G780,'KO Calc'!$H:$AW,38,FALSE),VLOOKUP($G780,'KO Calc'!$H786:$AW786,38,FALSE)),IF(AND($S$3=TRUE,$S$4=TRUE),IF(OR($Q$4=TRUE,$Q$5=TRUE,$S$2=TRUE),VLOOKUP($G780,'KO Calc'!$H:$AW,28,FALSE),VLOOKUP($G780,'KO Calc'!$H786:$AW786,28,FALSE)))))))))))))</f>
        <v>-</v>
      </c>
      <c r="J780" s="36" t="str">
        <f>IF(AND($Q$1=FALSE,$S$3=FALSE),"-",IF(AND($Q$1=TRUE,$S$3=TRUE),"-",IF(AND($Q$1=FALSE,$S$3=FALSE),"-",IF(AND($Q$1=TRUE,$S$1=TRUE,$S$4=FALSE)=TRUE,IF(OR($Q$4=TRUE,$Q$5=TRUE,$S$2=TRUE),VLOOKUP($G780,'KO Calc'!$H:$AW,FALSE),VLOOKUP($G780,'KO Calc'!$H786:$AW786,14,FALSE)),IF(AND($Q$1=TRUE,$S$4=FALSE),IF(OR($Q$4=TRUE,$Q$5=TRUE,$S$2=TRUE),VLOOKUP($G780,'KO Calc'!$H:$AW,4,FALSE),VLOOKUP($G780,'KO Calc'!$H786:$AW786,4,FALSE)),
IF(AND($Q$1=TRUE,$S$1=TRUE,$S$4=TRUE)=TRUE,IF(OR($Q$4=TRUE,$Q$5=TRUE,$S$2=TRUE),VLOOKUP($G780,'KO Calc'!$H:$AW,19,FALSE),VLOOKUP($G780,'KO Calc'!$H786:$AW786,19,FALSE)),IF(AND($Q$1=TRUE,$S$4=TRUE),IF(OR($Q$4=TRUE,$Q$5=TRUE,$S$2=TRUE),VLOOKUP($G780,'KO Calc'!$H:$AW,9,FALSE),VLOOKUP($G780,'KO Calc'!$H786:$AW786,9,FALSE)),
IF(AND($S$3=TRUE,$S$1=TRUE,$S$4=FALSE)=TRUE,IF(OR($Q$4=TRUE,$Q$5=TRUE,$S$2=TRUE),VLOOKUP($G780,'KO Calc'!$H:$AW,34,FALSE),VLOOKUP($G780,'KO Calc'!$H786:$AW786,34,FALSE)),IF(AND($S$3=TRUE,$S$4=FALSE),IF(OR($Q$4=TRUE,$Q$5=TRUE,$S$2=TRUE),VLOOKUP($G780,'KO Calc'!$H:$AW,24,FALSE),VLOOKUP($G780,'KO Calc'!$H786:$AW786,24,FALSE)),
IF(AND($S$3=TRUE,$S$1=TRUE,$S$4=TRUE)=TRUE,IF(OR($Q$4=TRUE,$Q$5=TRUE,$S$2=TRUE),VLOOKUP($G780,'KO Calc'!$H:$AW,39,FALSE),VLOOKUP($G780,'KO Calc'!$H786:$AW786,39,FALSE)),IF(AND($S$3=TRUE,$S$4=TRUE),IF(OR($Q$4=TRUE,$Q$5=TRUE,$S$2=TRUE),VLOOKUP($G780,'KO Calc'!$H:$AW,29,FALSE),VLOOKUP($G780,'KO Calc'!$H786:$AW786,29,FALSE)))))))))))))</f>
        <v>-</v>
      </c>
      <c r="K780" s="36" t="str">
        <f>IF(AND($Q$1=FALSE,$S$3=FALSE),"-",IF(AND($Q$1=TRUE,$S$3=TRUE),"-",IF(AND($Q$1=FALSE,$S$3=FALSE),"-",IF(AND($Q$1=TRUE,$S$1=TRUE,$S$4=FALSE)=TRUE,IF(OR($Q$4=TRUE,$Q$5=TRUE,$S$2=TRUE),VLOOKUP($G780,'KO Calc'!$H:$AW,15,FALSE),VLOOKUP($G780,'KO Calc'!$H786:$AW786,15,FALSE)),IF(AND($Q$1=TRUE,$S$4=FALSE),IF(OR($Q$4=TRUE,$Q$5=TRUE,$S$2=TRUE),VLOOKUP($G780,'KO Calc'!$H:$AW,5,FALSE),VLOOKUP($G780,'KO Calc'!$H786:$AW786,5,FALSE)),
IF(AND($Q$1=TRUE,$S$1=TRUE,$S$4=TRUE)=TRUE,IF(OR($Q$4=TRUE,$Q$5=TRUE,$S$2=TRUE),VLOOKUP($G780,'KO Calc'!$H:$AW,20,FALSE),VLOOKUP($G780,'KO Calc'!$H786:$AW786,20,FALSE)),IF(AND($Q$1=TRUE,$S$4=TRUE),IF(OR($Q$4=TRUE,$Q$5=TRUE,$S$2=TRUE),VLOOKUP($G780,'KO Calc'!$H:$AW,10,FALSE),VLOOKUP($G780,'KO Calc'!$H786:$AW786,10,FALSE)),
IF(AND($S$3=TRUE,$S$1=TRUE,$S$4=FALSE)=TRUE,IF(OR($Q$4=TRUE,$Q$5=TRUE,$S$2=TRUE),VLOOKUP($G780,'KO Calc'!$H:$AW,35,FALSE),VLOOKUP($G780,'KO Calc'!$H786:$AW786,35,FALSE)),IF(AND($S$3=TRUE,$S$4=FALSE),IF(OR($Q$4=TRUE,$Q$5=TRUE,$S$2=TRUE),VLOOKUP($G780,'KO Calc'!$H:$AW,25,FALSE),VLOOKUP($G780,'KO Calc'!$H786:$AW786,25,FALSE)),
IF(AND($S$3=TRUE,$S$1=TRUE,$S$4=TRUE)=TRUE,IF(OR($Q$4=TRUE,$Q$5=TRUE,$S$2=TRUE),VLOOKUP($G780,'KO Calc'!$H:$AW,40,FALSE),VLOOKUP($G780,'KO Calc'!$H786:$AW786,40,FALSE)),IF(AND($S$3=TRUE,$S$4=TRUE),IF(OR($Q$4=TRUE,$Q$5=TRUE,$S$2=TRUE),VLOOKUP($G780,'KO Calc'!$H:$AW,30,FALSE),VLOOKUP($G780,'KO Calc'!$H786:$AW786,30,FALSE)))))))))))))</f>
        <v>-</v>
      </c>
      <c r="L780" s="36" t="str">
        <f>IFERROR(IF(AND($Q$1=FALSE,$S$3=FALSE),"-",VLOOKUP($E780,'Status Thresholds'!$E:$AU,43,FALSE)),"-")</f>
        <v>-</v>
      </c>
      <c r="M780" s="36" t="str">
        <f>IFERROR(IF(AND($Q$1=FALSE,$S$3=FALSE),"-",VLOOKUP($E780,'Status Thresholds'!$E:$AU,41,FALSE)),"-")</f>
        <v>-</v>
      </c>
      <c r="N780" s="36" t="str">
        <f>IFERROR(IF(AND($Q$1=FALSE,$S$3=FALSE),"-",VLOOKUP($E780,'Status Thresholds'!$E:$AU,42,FALSE)),"-")</f>
        <v>-</v>
      </c>
    </row>
    <row r="781" spans="2:14" x14ac:dyDescent="0.25">
      <c r="B781" s="64" t="str">
        <f>VLOOKUP(C781,'Status Thresholds'!B:C,2,FALSE)</f>
        <v>MHGen</v>
      </c>
      <c r="C781" s="46" t="str">
        <f>IF(ISBLANK('KO Calc'!C777)=TRUE,"",'KO Calc'!C777)</f>
        <v>Ukanlos</v>
      </c>
      <c r="D781" s="78"/>
      <c r="E781" s="62" t="str">
        <f t="shared" si="23"/>
        <v>Ukanlos</v>
      </c>
      <c r="F781" t="s">
        <v>11</v>
      </c>
      <c r="G781" s="36" t="str">
        <f t="shared" si="24"/>
        <v>UkanlosCrag 1</v>
      </c>
      <c r="H781" s="36" t="str">
        <f>IF(AND($Q$1=FALSE,$S$3=FALSE),"-",IF(AND($Q$1=TRUE,$S$3=TRUE),"-",IF(AND($Q$1=FALSE,$S$3=FALSE),"-",IF(AND($Q$1=TRUE,$S$1=TRUE,$S$4=FALSE)=TRUE,IF(OR($Q$4=TRUE,$Q$5=TRUE,$S$2=TRUE),VLOOKUP($G781,'KO Calc'!$H:$AW,12,FALSE),VLOOKUP($G781,'KO Calc'!$H787:$AW787,12,FALSE)),IF(AND($Q$1=TRUE,$S$4=FALSE),IF(OR($Q$4=TRUE,$Q$5=TRUE,$S$2=TRUE),VLOOKUP($G781,'KO Calc'!$H:$AW,2,FALSE),VLOOKUP($G781,'KO Calc'!$H787:$AW787,2,FALSE)),
IF(AND($Q$1=TRUE,$S$1=TRUE,$S$4=TRUE)=TRUE,IF(OR($Q$4=TRUE,$Q$5=TRUE,$S$2=TRUE),VLOOKUP($G781,'KO Calc'!$H:$AW,17,FALSE),VLOOKUP($G781,'KO Calc'!$H787:$AW787,17,FALSE)),IF(AND($Q$1=TRUE,$S$4=TRUE),IF(OR($Q$4=TRUE,$Q$5=TRUE,$S$2=TRUE),VLOOKUP($G781,'KO Calc'!$H:$AW,7,FALSE),VLOOKUP($G781,'KO Calc'!$H787:$AW787,7,FALSE)),
IF(AND($S$3=TRUE,$S$1=TRUE,$S$4=FALSE)=TRUE,IF(OR($Q$4=TRUE,$Q$5=TRUE,$S$2=TRUE),VLOOKUP($G781,'KO Calc'!$H:$AW,32,FALSE),VLOOKUP($G781,'KO Calc'!$H787:$AW787,32,FALSE)),IF(AND($S$3=TRUE,$S$4=FALSE),IF(OR($Q$4=TRUE,$Q$5=TRUE,$S$2=TRUE),VLOOKUP($G781,'KO Calc'!$H:$AW,22,FALSE),VLOOKUP($G781,'KO Calc'!$H787:$AW787,22,FALSE)),
IF(AND($S$3=TRUE,$S$1=TRUE,$S$4=TRUE)=TRUE,IF(OR($Q$4=TRUE,$Q$5=TRUE,$S$2=TRUE),VLOOKUP($G781,'KO Calc'!$H:$AW,37,FALSE),VLOOKUP($G781,'KO Calc'!$H787:$AW787,37,FALSE)),IF(AND($S$3=TRUE,$S$4=TRUE),IF(OR($Q$4=TRUE,$Q$5=TRUE,$S$2=TRUE),VLOOKUP($G781,'KO Calc'!$H:$AW,27,FALSE),VLOOKUP($G781,'KO Calc'!$H787:$AW787,27,FALSE)))))))))))))</f>
        <v>-</v>
      </c>
      <c r="I781" s="36" t="str">
        <f>IF(AND($Q$1=FALSE,$S$3=FALSE),"-",IF(AND($Q$1=TRUE,$S$3=TRUE),"-",IF(AND($Q$1=FALSE,$S$3=FALSE),"-",IF(AND($Q$1=TRUE,$S$1=TRUE,$S$4=FALSE)=TRUE,IF(OR($Q$4=TRUE,$Q$5=TRUE,$S$2=TRUE),VLOOKUP($G781,'KO Calc'!$H:$AW,13,FALSE),VLOOKUP($G781,'KO Calc'!$H787:$AW787,13,FALSE)),IF(AND($Q$1=TRUE,$S$4=FALSE),IF(OR($Q$4=TRUE,$Q$5=TRUE,$S$2=TRUE),VLOOKUP($G781,'KO Calc'!$H:$AW,3,FALSE),VLOOKUP($G781,'KO Calc'!$H787:$AW787,3,FALSE)),
IF(AND($Q$1=TRUE,$S$1=TRUE,$S$4=TRUE)=TRUE,IF(OR($Q$4=TRUE,$Q$5=TRUE,$S$2=TRUE),VLOOKUP($G781,'KO Calc'!$H:$AW,18,FALSE),VLOOKUP($G781,'KO Calc'!$H787:$AW787,18,FALSE)),IF(AND($Q$1=TRUE,$S$4=TRUE),IF(OR($Q$4=TRUE,$Q$5=TRUE,$S$2=TRUE),VLOOKUP($G781,'KO Calc'!$H:$AW,8,FALSE),VLOOKUP($G781,'KO Calc'!$H787:$AW787,8,FALSE)),
IF(AND($S$3=TRUE,$S$1=TRUE,$S$4=FALSE)=TRUE,IF(OR($Q$4=TRUE,$Q$5=TRUE,$S$2=TRUE),VLOOKUP($G781,'KO Calc'!$H:$AW,33,FALSE),VLOOKUP($G781,'KO Calc'!$H787:$AW787,33,FALSE)),IF(AND($S$3=TRUE,$S$4=FALSE),IF(OR($Q$4=TRUE,$Q$5=TRUE,$S$2=TRUE),VLOOKUP($G781,'KO Calc'!$H:$AW,23,FALSE),VLOOKUP($G781,'KO Calc'!$H787:$AW787,23,FALSE)),
IF(AND($S$3=TRUE,$S$1=TRUE,$S$4=TRUE)=TRUE,IF(OR($Q$4=TRUE,$Q$5=TRUE,$S$2=TRUE),VLOOKUP($G781,'KO Calc'!$H:$AW,38,FALSE),VLOOKUP($G781,'KO Calc'!$H787:$AW787,38,FALSE)),IF(AND($S$3=TRUE,$S$4=TRUE),IF(OR($Q$4=TRUE,$Q$5=TRUE,$S$2=TRUE),VLOOKUP($G781,'KO Calc'!$H:$AW,28,FALSE),VLOOKUP($G781,'KO Calc'!$H787:$AW787,28,FALSE)))))))))))))</f>
        <v>-</v>
      </c>
      <c r="J781" s="36" t="str">
        <f>IF(AND($Q$1=FALSE,$S$3=FALSE),"-",IF(AND($Q$1=TRUE,$S$3=TRUE),"-",IF(AND($Q$1=FALSE,$S$3=FALSE),"-",IF(AND($Q$1=TRUE,$S$1=TRUE,$S$4=FALSE)=TRUE,IF(OR($Q$4=TRUE,$Q$5=TRUE,$S$2=TRUE),VLOOKUP($G781,'KO Calc'!$H:$AW,FALSE),VLOOKUP($G781,'KO Calc'!$H787:$AW787,14,FALSE)),IF(AND($Q$1=TRUE,$S$4=FALSE),IF(OR($Q$4=TRUE,$Q$5=TRUE,$S$2=TRUE),VLOOKUP($G781,'KO Calc'!$H:$AW,4,FALSE),VLOOKUP($G781,'KO Calc'!$H787:$AW787,4,FALSE)),
IF(AND($Q$1=TRUE,$S$1=TRUE,$S$4=TRUE)=TRUE,IF(OR($Q$4=TRUE,$Q$5=TRUE,$S$2=TRUE),VLOOKUP($G781,'KO Calc'!$H:$AW,19,FALSE),VLOOKUP($G781,'KO Calc'!$H787:$AW787,19,FALSE)),IF(AND($Q$1=TRUE,$S$4=TRUE),IF(OR($Q$4=TRUE,$Q$5=TRUE,$S$2=TRUE),VLOOKUP($G781,'KO Calc'!$H:$AW,9,FALSE),VLOOKUP($G781,'KO Calc'!$H787:$AW787,9,FALSE)),
IF(AND($S$3=TRUE,$S$1=TRUE,$S$4=FALSE)=TRUE,IF(OR($Q$4=TRUE,$Q$5=TRUE,$S$2=TRUE),VLOOKUP($G781,'KO Calc'!$H:$AW,34,FALSE),VLOOKUP($G781,'KO Calc'!$H787:$AW787,34,FALSE)),IF(AND($S$3=TRUE,$S$4=FALSE),IF(OR($Q$4=TRUE,$Q$5=TRUE,$S$2=TRUE),VLOOKUP($G781,'KO Calc'!$H:$AW,24,FALSE),VLOOKUP($G781,'KO Calc'!$H787:$AW787,24,FALSE)),
IF(AND($S$3=TRUE,$S$1=TRUE,$S$4=TRUE)=TRUE,IF(OR($Q$4=TRUE,$Q$5=TRUE,$S$2=TRUE),VLOOKUP($G781,'KO Calc'!$H:$AW,39,FALSE),VLOOKUP($G781,'KO Calc'!$H787:$AW787,39,FALSE)),IF(AND($S$3=TRUE,$S$4=TRUE),IF(OR($Q$4=TRUE,$Q$5=TRUE,$S$2=TRUE),VLOOKUP($G781,'KO Calc'!$H:$AW,29,FALSE),VLOOKUP($G781,'KO Calc'!$H787:$AW787,29,FALSE)))))))))))))</f>
        <v>-</v>
      </c>
      <c r="K781" s="36" t="str">
        <f>IF(AND($Q$1=FALSE,$S$3=FALSE),"-",IF(AND($Q$1=TRUE,$S$3=TRUE),"-",IF(AND($Q$1=FALSE,$S$3=FALSE),"-",IF(AND($Q$1=TRUE,$S$1=TRUE,$S$4=FALSE)=TRUE,IF(OR($Q$4=TRUE,$Q$5=TRUE,$S$2=TRUE),VLOOKUP($G781,'KO Calc'!$H:$AW,15,FALSE),VLOOKUP($G781,'KO Calc'!$H787:$AW787,15,FALSE)),IF(AND($Q$1=TRUE,$S$4=FALSE),IF(OR($Q$4=TRUE,$Q$5=TRUE,$S$2=TRUE),VLOOKUP($G781,'KO Calc'!$H:$AW,5,FALSE),VLOOKUP($G781,'KO Calc'!$H787:$AW787,5,FALSE)),
IF(AND($Q$1=TRUE,$S$1=TRUE,$S$4=TRUE)=TRUE,IF(OR($Q$4=TRUE,$Q$5=TRUE,$S$2=TRUE),VLOOKUP($G781,'KO Calc'!$H:$AW,20,FALSE),VLOOKUP($G781,'KO Calc'!$H787:$AW787,20,FALSE)),IF(AND($Q$1=TRUE,$S$4=TRUE),IF(OR($Q$4=TRUE,$Q$5=TRUE,$S$2=TRUE),VLOOKUP($G781,'KO Calc'!$H:$AW,10,FALSE),VLOOKUP($G781,'KO Calc'!$H787:$AW787,10,FALSE)),
IF(AND($S$3=TRUE,$S$1=TRUE,$S$4=FALSE)=TRUE,IF(OR($Q$4=TRUE,$Q$5=TRUE,$S$2=TRUE),VLOOKUP($G781,'KO Calc'!$H:$AW,35,FALSE),VLOOKUP($G781,'KO Calc'!$H787:$AW787,35,FALSE)),IF(AND($S$3=TRUE,$S$4=FALSE),IF(OR($Q$4=TRUE,$Q$5=TRUE,$S$2=TRUE),VLOOKUP($G781,'KO Calc'!$H:$AW,25,FALSE),VLOOKUP($G781,'KO Calc'!$H787:$AW787,25,FALSE)),
IF(AND($S$3=TRUE,$S$1=TRUE,$S$4=TRUE)=TRUE,IF(OR($Q$4=TRUE,$Q$5=TRUE,$S$2=TRUE),VLOOKUP($G781,'KO Calc'!$H:$AW,40,FALSE),VLOOKUP($G781,'KO Calc'!$H787:$AW787,40,FALSE)),IF(AND($S$3=TRUE,$S$4=TRUE),IF(OR($Q$4=TRUE,$Q$5=TRUE,$S$2=TRUE),VLOOKUP($G781,'KO Calc'!$H:$AW,30,FALSE),VLOOKUP($G781,'KO Calc'!$H787:$AW787,30,FALSE)))))))))))))</f>
        <v>-</v>
      </c>
      <c r="L781" s="36" t="str">
        <f>IFERROR(VLOOKUP($E781,'Status Thresholds'!$E:$AS,41,FALSE),"-")</f>
        <v>-</v>
      </c>
    </row>
    <row r="782" spans="2:14" x14ac:dyDescent="0.25">
      <c r="B782" s="64" t="str">
        <f>VLOOKUP(C782,'Status Thresholds'!B:C,2,FALSE)</f>
        <v>MHGen</v>
      </c>
      <c r="C782" s="46" t="str">
        <f>IF(ISBLANK('KO Calc'!C778)=TRUE,"",'KO Calc'!C778)</f>
        <v>Ukanlos</v>
      </c>
      <c r="D782" s="78"/>
      <c r="E782" s="62" t="str">
        <f t="shared" si="23"/>
        <v>Ukanlos</v>
      </c>
      <c r="G782" s="36" t="str">
        <f t="shared" si="24"/>
        <v>Ukanlos</v>
      </c>
      <c r="L782" s="36" t="str">
        <f>IFERROR(VLOOKUP($E782,'Status Thresholds'!$E:$AS,41,FALSE),"-")</f>
        <v>-</v>
      </c>
    </row>
    <row r="783" spans="2:14" x14ac:dyDescent="0.25">
      <c r="B783" s="64" t="str">
        <f>VLOOKUP(C783,'Status Thresholds'!B:C,2,FALSE)</f>
        <v>MHGen</v>
      </c>
      <c r="C783" s="46" t="str">
        <f>IF(ISBLANK('KO Calc'!C779)=TRUE,"",'KO Calc'!C779)</f>
        <v>Uragaan</v>
      </c>
      <c r="D783" s="65" t="s">
        <v>0</v>
      </c>
      <c r="E783" s="62" t="str">
        <f t="shared" si="23"/>
        <v>UragaanPara</v>
      </c>
      <c r="F783" s="36" t="s">
        <v>2</v>
      </c>
      <c r="G783" s="36" t="str">
        <f t="shared" si="24"/>
        <v>UragaanPara lvl 2</v>
      </c>
      <c r="H783" s="36" t="str">
        <f>IFERROR(ROUNDUP(IF(AND($Q$1=FALSE,$S$3=FALSE),"-",IF(AND($Q$1=TRUE,$S$3=TRUE),"-",IF(AND($Q$1=TRUE,$S$1=TRUE,$S$4=FALSE),VLOOKUP($E783,'Status Thresholds'!$E:$AS,12,FALSE),IF(AND($Q$1=TRUE,$S$4=FALSE),VLOOKUP($E783,'Status Thresholds'!$E:$AS,2,FALSE), IF(AND($Q$1=TRUE,$S$1=TRUE,$S$4=TRUE),VLOOKUP($E783,'Status Thresholds'!$E:$AS,17,FALSE),IF(AND($Q$1=TRUE,$S$4=TRUE),VLOOKUP($E783,'Status Thresholds'!$E:$AS,7,FALSE),IF(AND($S$3=TRUE,$S$1=TRUE,$S$4=FALSE),VLOOKUP($E783,'Status Thresholds'!$E:$AS,32,FALSE),IF(AND($S$3=TRUE,$S$4=FALSE),VLOOKUP($E783,'Status Thresholds'!$E:$AS,22,FALSE),IF(AND($S$3=TRUE,$S$1=TRUE,$S$4=TRUE),VLOOKUP($E783,'Status Thresholds'!$E:$AS,37,FALSE),IF(AND($S$3=TRUE,$S$4=TRUE),VLOOKUP($E783,'Status Thresholds'!$E:$AS,27,FALSE),""))))))))/IF(OR($Q$3=TRUE,AND($Q$2=TRUE,$Q$7=TRUE),AND($Q$3=TRUE,$Q$7=TRUE))=TRUE,'Shots and Status'!$F$5,IF((OR($Q$2,$Q$7)=TRUE),'Shots and Status'!$D$5,'Shots and Status'!$C$5)))),0),"-")</f>
        <v>-</v>
      </c>
      <c r="I783" s="36" t="str">
        <f>IFERROR(ROUNDUP(IF(AND($Q$1=FALSE,$S$3=FALSE),"-",IF(AND($Q$1=TRUE,$S$3=TRUE),"-",IF(AND($Q$1=TRUE,$S$1=TRUE,$S$4=FALSE),VLOOKUP($E783,'Status Thresholds'!$E:$AS,13,FALSE),IF(AND($Q$1=TRUE,$S$4=FALSE),VLOOKUP($E783,'Status Thresholds'!$E:$AS,3,FALSE), IF(AND($Q$1=TRUE,$S$1=TRUE,$S$4=TRUE),VLOOKUP($E783,'Status Thresholds'!$E:$AS,18,FALSE),IF(AND($Q$1=TRUE,$S$4=TRUE),VLOOKUP($E783,'Status Thresholds'!$E:$AS,8,FALSE),IF(AND($S$3=TRUE,$S$1=TRUE,$S$4=FALSE),VLOOKUP($E783,'Status Thresholds'!$E:$AS,33,FALSE),IF(AND($S$3=TRUE,$S$4=FALSE),VLOOKUP($E783,'Status Thresholds'!$E:$AS,23,FALSE),IF(AND($S$3=TRUE,$S$1=TRUE,$S$4=TRUE),VLOOKUP($E783,'Status Thresholds'!$E:$AS,38,FALSE),IF(AND($S$3=TRUE,$S$4=TRUE),VLOOKUP($E783,'Status Thresholds'!$E:$AS,28,FALSE),""))))))))/IF(OR($Q$3=TRUE,AND($Q$2=TRUE,$Q$7=TRUE),AND($Q$3=TRUE,$Q$7=TRUE))=TRUE,'Shots and Status'!$F$5,IF((OR($Q$2,$Q$7)=TRUE),'Shots and Status'!$D$5,'Shots and Status'!$C$5)))),0),"-")</f>
        <v>-</v>
      </c>
      <c r="J783" s="36" t="str">
        <f>IFERROR(ROUNDUP(IF(AND($Q$1=FALSE,$S$3=FALSE),"-",IF(AND($Q$1=TRUE,$S$3=TRUE),"-",IF(AND($Q$1=TRUE,$S$1=TRUE,$S$4=FALSE),VLOOKUP($E783,'Status Thresholds'!$E:$AS,14,FALSE),IF(AND($Q$1=TRUE,$S$4=FALSE),VLOOKUP($E783,'Status Thresholds'!$E:$AS,4,FALSE), IF(AND($Q$1=TRUE,$S$1=TRUE,$S$4=TRUE),VLOOKUP($E783,'Status Thresholds'!$E:$AS,19,FALSE),IF(AND($Q$1=TRUE,$S$4=TRUE),VLOOKUP($E783,'Status Thresholds'!$E:$AS,9,FALSE),IF(AND($S$3=TRUE,$S$1=TRUE,$S$4=FALSE),VLOOKUP($E783,'Status Thresholds'!$E:$AS,34,FALSE),IF(AND($S$3=TRUE,$S$4=FALSE),VLOOKUP($E783,'Status Thresholds'!$E:$AS,24,FALSE),IF(AND($S$3=TRUE,$S$1=TRUE,$S$4=TRUE),VLOOKUP($E783,'Status Thresholds'!$E:$AS,39,FALSE),IF(AND($S$3=TRUE,$S$4=TRUE),VLOOKUP($E783,'Status Thresholds'!$E:$AS,29,FALSE),""))))))))/IF(OR($Q$3=TRUE,AND($Q$2=TRUE,$Q$7=TRUE),AND($Q$3=TRUE,$Q$7=TRUE))=TRUE,'Shots and Status'!$F$5,IF((OR($Q$2,$Q$7)=TRUE),'Shots and Status'!$D$5,'Shots and Status'!$C$5)))),0),"-")</f>
        <v>-</v>
      </c>
      <c r="K783" s="36" t="str">
        <f>IFERROR(ROUNDUP(IF(AND($Q$1=FALSE,$S$3=FALSE),"-",IF(AND($Q$1=TRUE,$S$3=TRUE),"-",IF(AND($Q$1=TRUE,$S$1=TRUE,$S$4=FALSE),VLOOKUP($E783,'Status Thresholds'!$E:$AS,15,FALSE),IF(AND($Q$1=TRUE,$S$4=FALSE),VLOOKUP($E783,'Status Thresholds'!$E:$AS,5,FALSE), IF(AND($Q$1=TRUE,$S$1=TRUE,$S$4=TRUE),VLOOKUP($E783,'Status Thresholds'!$E:$AS,20,FALSE),IF(AND($Q$1=TRUE,$S$4=TRUE),VLOOKUP($E783,'Status Thresholds'!$E:$AS,10,FALSE),IF(AND($S$3=TRUE,$S$1=TRUE,$S$4=FALSE),VLOOKUP($E783,'Status Thresholds'!$E:$AS,35,FALSE),IF(AND($S$3=TRUE,$S$4=FALSE),VLOOKUP($E783,'Status Thresholds'!$E:$AS,25,FALSE),IF(AND($S$3=TRUE,$S$1=TRUE,$S$4=TRUE),VLOOKUP($E783,'Status Thresholds'!$E:$AS,40,FALSE),IF(AND($S$3=TRUE,$S$4=TRUE),VLOOKUP($E783,'Status Thresholds'!$E:$AS,30,FALSE),""))))))))/IF(OR($Q$3=TRUE,AND($Q$2=TRUE,$Q$7=TRUE),AND($Q$3=TRUE,$Q$7=TRUE))=TRUE,'Shots and Status'!$F$5,IF((OR($Q$2,$Q$7)=TRUE),'Shots and Status'!$D$5,'Shots and Status'!$C$5)))),0),"-")</f>
        <v>-</v>
      </c>
      <c r="L783" s="36" t="str">
        <f>IFERROR(IF(AND($Q$1=FALSE,$S$3=FALSE),"-",VLOOKUP($E783,'Status Thresholds'!$E:$AU,41,FALSE)),"-")</f>
        <v>-</v>
      </c>
      <c r="M783" s="36" t="str">
        <f>IFERROR(IF(AND($Q$1=FALSE,$S$3=FALSE),"-",VLOOKUP($E783,'Status Thresholds'!$E:$AU,42,FALSE)),"-")</f>
        <v>-</v>
      </c>
      <c r="N783" s="36" t="str">
        <f>IFERROR(IF(AND($Q$1=FALSE,$S$3=FALSE),"-",VLOOKUP($E783,'Status Thresholds'!$E:$AU,43,FALSE)),"-")</f>
        <v>-</v>
      </c>
    </row>
    <row r="784" spans="2:14" x14ac:dyDescent="0.25">
      <c r="B784" s="64" t="str">
        <f>VLOOKUP(C784,'Status Thresholds'!B:C,2,FALSE)</f>
        <v>MHGen</v>
      </c>
      <c r="C784" s="46" t="str">
        <f>IF(ISBLANK('KO Calc'!C780)=TRUE,"",'KO Calc'!C780)</f>
        <v>Uragaan</v>
      </c>
      <c r="D784" s="60" t="s">
        <v>32</v>
      </c>
      <c r="E784" s="62" t="str">
        <f t="shared" si="23"/>
        <v>UragaanSleep</v>
      </c>
      <c r="F784" s="59" t="s">
        <v>5</v>
      </c>
      <c r="G784" s="36" t="str">
        <f t="shared" si="24"/>
        <v>UragaanSleep lvl 2</v>
      </c>
      <c r="H784" s="36" t="str">
        <f>IFERROR(ROUNDUP(IF(AND($Q$1=FALSE,$S$3=FALSE),"-",IF(AND($Q$1=TRUE,$S$3=TRUE),"-",IF(AND($Q$1=TRUE,$S$1=TRUE,$S$4=FALSE),VLOOKUP($E784,'Status Thresholds'!$E:$AS,12,FALSE),IF(AND($Q$1=TRUE,$S$4=FALSE),VLOOKUP($E784,'Status Thresholds'!$E:$AS,2,FALSE), IF(AND($Q$1=TRUE,$S$1=TRUE,$S$4=TRUE),VLOOKUP($E784,'Status Thresholds'!$E:$AS,17,FALSE),IF(AND($Q$1=TRUE,$S$4=TRUE),VLOOKUP($E784,'Status Thresholds'!$E:$AS,7,FALSE),IF(AND($S$3=TRUE,$S$1=TRUE,$S$4=FALSE),VLOOKUP($E784,'Status Thresholds'!$E:$AS,32,FALSE),IF(AND($S$3=TRUE,$S$4=FALSE),VLOOKUP($E784,'Status Thresholds'!$E:$AS,22,FALSE),IF(AND($S$3=TRUE,$S$1=TRUE,$S$4=TRUE),VLOOKUP($E784,'Status Thresholds'!$E:$AS,37,FALSE),IF(AND($S$3=TRUE,$S$4=TRUE),VLOOKUP($E784,'Status Thresholds'!$E:$AS,27,FALSE),""))))))))/IF(OR($Q$3=TRUE,AND($Q$2=TRUE,$Q$7=TRUE),AND($Q$3=TRUE,$Q$7=TRUE))=TRUE,'Shots and Status'!$F$5,IF((OR($Q$2,$Q$7)=TRUE),'Shots and Status'!$D$5,'Shots and Status'!$C$5)))),0),"-")</f>
        <v>-</v>
      </c>
      <c r="I784" s="36" t="str">
        <f>IFERROR(ROUNDUP(IF(AND($Q$1=FALSE,$S$3=FALSE),"-",IF(AND($Q$1=TRUE,$S$3=TRUE),"-",IF(AND($Q$1=TRUE,$S$1=TRUE,$S$4=FALSE),VLOOKUP($E784,'Status Thresholds'!$E:$AS,13,FALSE),IF(AND($Q$1=TRUE,$S$4=FALSE),VLOOKUP($E784,'Status Thresholds'!$E:$AS,3,FALSE), IF(AND($Q$1=TRUE,$S$1=TRUE,$S$4=TRUE),VLOOKUP($E784,'Status Thresholds'!$E:$AS,18,FALSE),IF(AND($Q$1=TRUE,$S$4=TRUE),VLOOKUP($E784,'Status Thresholds'!$E:$AS,8,FALSE),IF(AND($S$3=TRUE,$S$1=TRUE,$S$4=FALSE),VLOOKUP($E784,'Status Thresholds'!$E:$AS,33,FALSE),IF(AND($S$3=TRUE,$S$4=FALSE),VLOOKUP($E784,'Status Thresholds'!$E:$AS,23,FALSE),IF(AND($S$3=TRUE,$S$1=TRUE,$S$4=TRUE),VLOOKUP($E784,'Status Thresholds'!$E:$AS,38,FALSE),IF(AND($S$3=TRUE,$S$4=TRUE),VLOOKUP($E784,'Status Thresholds'!$E:$AS,28,FALSE),""))))))))/IF(OR($Q$3=TRUE,AND($Q$2=TRUE,$Q$7=TRUE),AND($Q$3=TRUE,$Q$7=TRUE))=TRUE,'Shots and Status'!$F$5,IF((OR($Q$2,$Q$7)=TRUE),'Shots and Status'!$D$5,'Shots and Status'!$C$5)))),0),"-")</f>
        <v>-</v>
      </c>
      <c r="J784" s="36" t="str">
        <f>IFERROR(ROUNDUP(IF(AND($Q$1=FALSE,$S$3=FALSE),"-",IF(AND($Q$1=TRUE,$S$3=TRUE),"-",IF(AND($Q$1=TRUE,$S$1=TRUE,$S$4=FALSE),VLOOKUP($E784,'Status Thresholds'!$E:$AS,14,FALSE),IF(AND($Q$1=TRUE,$S$4=FALSE),VLOOKUP($E784,'Status Thresholds'!$E:$AS,4,FALSE), IF(AND($Q$1=TRUE,$S$1=TRUE,$S$4=TRUE),VLOOKUP($E784,'Status Thresholds'!$E:$AS,19,FALSE),IF(AND($Q$1=TRUE,$S$4=TRUE),VLOOKUP($E784,'Status Thresholds'!$E:$AS,9,FALSE),IF(AND($S$3=TRUE,$S$1=TRUE,$S$4=FALSE),VLOOKUP($E784,'Status Thresholds'!$E:$AS,34,FALSE),IF(AND($S$3=TRUE,$S$4=FALSE),VLOOKUP($E784,'Status Thresholds'!$E:$AS,24,FALSE),IF(AND($S$3=TRUE,$S$1=TRUE,$S$4=TRUE),VLOOKUP($E784,'Status Thresholds'!$E:$AS,39,FALSE),IF(AND($S$3=TRUE,$S$4=TRUE),VLOOKUP($E784,'Status Thresholds'!$E:$AS,29,FALSE),""))))))))/IF(OR($Q$3=TRUE,AND($Q$2=TRUE,$Q$7=TRUE),AND($Q$3=TRUE,$Q$7=TRUE))=TRUE,'Shots and Status'!$F$5,IF((OR($Q$2,$Q$7)=TRUE),'Shots and Status'!$D$5,'Shots and Status'!$C$5)))),0),"-")</f>
        <v>-</v>
      </c>
      <c r="K784" s="36" t="str">
        <f>IFERROR(ROUNDUP(IF(AND($Q$1=FALSE,$S$3=FALSE),"-",IF(AND($Q$1=TRUE,$S$3=TRUE),"-",IF(AND($Q$1=TRUE,$S$1=TRUE,$S$4=FALSE),VLOOKUP($E784,'Status Thresholds'!$E:$AS,15,FALSE),IF(AND($Q$1=TRUE,$S$4=FALSE),VLOOKUP($E784,'Status Thresholds'!$E:$AS,5,FALSE), IF(AND($Q$1=TRUE,$S$1=TRUE,$S$4=TRUE),VLOOKUP($E784,'Status Thresholds'!$E:$AS,20,FALSE),IF(AND($Q$1=TRUE,$S$4=TRUE),VLOOKUP($E784,'Status Thresholds'!$E:$AS,10,FALSE),IF(AND($S$3=TRUE,$S$1=TRUE,$S$4=FALSE),VLOOKUP($E784,'Status Thresholds'!$E:$AS,35,FALSE),IF(AND($S$3=TRUE,$S$4=FALSE),VLOOKUP($E784,'Status Thresholds'!$E:$AS,25,FALSE),IF(AND($S$3=TRUE,$S$1=TRUE,$S$4=TRUE),VLOOKUP($E784,'Status Thresholds'!$E:$AS,40,FALSE),IF(AND($S$3=TRUE,$S$4=TRUE),VLOOKUP($E784,'Status Thresholds'!$E:$AS,30,FALSE),""))))))))/IF(OR($Q$3=TRUE,AND($Q$2=TRUE,$Q$7=TRUE),AND($Q$3=TRUE,$Q$7=TRUE))=TRUE,'Shots and Status'!$F$5,IF((OR($Q$2,$Q$7)=TRUE),'Shots and Status'!$D$5,'Shots and Status'!$C$5)))),0),"-")</f>
        <v>-</v>
      </c>
      <c r="L784" s="36" t="str">
        <f>IFERROR(IF(AND($Q$1=FALSE,$S$3=FALSE),"-",VLOOKUP($E784,'Status Thresholds'!$E:$AU,41,FALSE)),"-")</f>
        <v>-</v>
      </c>
      <c r="M784" s="36" t="str">
        <f>IFERROR(IF(AND($Q$1=FALSE,$S$3=FALSE),"-",VLOOKUP($E784,'Status Thresholds'!$E:$AU,42,FALSE)),"-")</f>
        <v>-</v>
      </c>
      <c r="N784" s="36" t="str">
        <f>IFERROR(IF(AND($Q$1=FALSE,$S$3=FALSE),"-",VLOOKUP($E784,'Status Thresholds'!$E:$AU,43,FALSE)),"-")</f>
        <v>-</v>
      </c>
    </row>
    <row r="785" spans="2:14" x14ac:dyDescent="0.25">
      <c r="B785" s="64" t="str">
        <f>VLOOKUP(C785,'Status Thresholds'!B:C,2,FALSE)</f>
        <v>MHGen</v>
      </c>
      <c r="C785" s="46" t="str">
        <f>IF(ISBLANK('KO Calc'!C781)=TRUE,"",'KO Calc'!C781)</f>
        <v>Uragaan</v>
      </c>
      <c r="D785" s="58" t="s">
        <v>33</v>
      </c>
      <c r="E785" s="62" t="str">
        <f t="shared" si="23"/>
        <v>UragaanPoison</v>
      </c>
      <c r="F785" s="59" t="s">
        <v>6</v>
      </c>
      <c r="G785" s="36" t="str">
        <f t="shared" si="24"/>
        <v>UragaanPoison lvl 2</v>
      </c>
      <c r="H785" s="36" t="str">
        <f>IFERROR(ROUNDUP(IF(AND($Q$1=FALSE,$S$3=FALSE),"-",IF(AND($Q$1=TRUE,$S$3=TRUE),"-",IF(AND($Q$1=TRUE,$S$1=TRUE,$S$4=FALSE),VLOOKUP($E785,'Status Thresholds'!$E:$AS,12,FALSE),IF(AND($Q$1=TRUE,$S$4=FALSE),VLOOKUP($E785,'Status Thresholds'!$E:$AS,2,FALSE), IF(AND($Q$1=TRUE,$S$1=TRUE,$S$4=TRUE),VLOOKUP($E785,'Status Thresholds'!$E:$AS,17,FALSE),IF(AND($Q$1=TRUE,$S$4=TRUE),VLOOKUP($E785,'Status Thresholds'!$E:$AS,7,FALSE),IF(AND($S$3=TRUE,$S$1=TRUE,$S$4=FALSE),VLOOKUP($E785,'Status Thresholds'!$E:$AS,32,FALSE),IF(AND($S$3=TRUE,$S$4=FALSE),VLOOKUP($E785,'Status Thresholds'!$E:$AS,22,FALSE),IF(AND($S$3=TRUE,$S$1=TRUE,$S$4=TRUE),VLOOKUP($E785,'Status Thresholds'!$E:$AS,37,FALSE),IF(AND($S$3=TRUE,$S$4=TRUE),VLOOKUP($E785,'Status Thresholds'!$E:$AS,27,FALSE),""))))))))/IF(OR($Q$3=TRUE,AND($Q$2=TRUE,$Q$7=TRUE),AND($Q$3=TRUE,$Q$7=TRUE))=TRUE,'Shots and Status'!$F$5,IF((OR($Q$2,$Q$7)=TRUE),'Shots and Status'!$D$5,'Shots and Status'!$C$5)))),0),"-")</f>
        <v>-</v>
      </c>
      <c r="I785" s="36" t="str">
        <f>IFERROR(ROUNDUP(IF(AND($Q$1=FALSE,$S$3=FALSE),"-",IF(AND($Q$1=TRUE,$S$3=TRUE),"-",IF(AND($Q$1=TRUE,$S$1=TRUE,$S$4=FALSE),VLOOKUP($E785,'Status Thresholds'!$E:$AS,13,FALSE),IF(AND($Q$1=TRUE,$S$4=FALSE),VLOOKUP($E785,'Status Thresholds'!$E:$AS,3,FALSE), IF(AND($Q$1=TRUE,$S$1=TRUE,$S$4=TRUE),VLOOKUP($E785,'Status Thresholds'!$E:$AS,18,FALSE),IF(AND($Q$1=TRUE,$S$4=TRUE),VLOOKUP($E785,'Status Thresholds'!$E:$AS,8,FALSE),IF(AND($S$3=TRUE,$S$1=TRUE,$S$4=FALSE),VLOOKUP($E785,'Status Thresholds'!$E:$AS,33,FALSE),IF(AND($S$3=TRUE,$S$4=FALSE),VLOOKUP($E785,'Status Thresholds'!$E:$AS,23,FALSE),IF(AND($S$3=TRUE,$S$1=TRUE,$S$4=TRUE),VLOOKUP($E785,'Status Thresholds'!$E:$AS,38,FALSE),IF(AND($S$3=TRUE,$S$4=TRUE),VLOOKUP($E785,'Status Thresholds'!$E:$AS,28,FALSE),""))))))))/IF(OR($Q$3=TRUE,AND($Q$2=TRUE,$Q$7=TRUE),AND($Q$3=TRUE,$Q$7=TRUE))=TRUE,'Shots and Status'!$F$5,IF((OR($Q$2,$Q$7)=TRUE),'Shots and Status'!$D$5,'Shots and Status'!$C$5)))),0),"-")</f>
        <v>-</v>
      </c>
      <c r="J785" s="36" t="str">
        <f>IFERROR(ROUNDUP(IF(AND($Q$1=FALSE,$S$3=FALSE),"-",IF(AND($Q$1=TRUE,$S$3=TRUE),"-",IF(AND($Q$1=TRUE,$S$1=TRUE,$S$4=FALSE),VLOOKUP($E785,'Status Thresholds'!$E:$AS,14,FALSE),IF(AND($Q$1=TRUE,$S$4=FALSE),VLOOKUP($E785,'Status Thresholds'!$E:$AS,4,FALSE), IF(AND($Q$1=TRUE,$S$1=TRUE,$S$4=TRUE),VLOOKUP($E785,'Status Thresholds'!$E:$AS,19,FALSE),IF(AND($Q$1=TRUE,$S$4=TRUE),VLOOKUP($E785,'Status Thresholds'!$E:$AS,9,FALSE),IF(AND($S$3=TRUE,$S$1=TRUE,$S$4=FALSE),VLOOKUP($E785,'Status Thresholds'!$E:$AS,34,FALSE),IF(AND($S$3=TRUE,$S$4=FALSE),VLOOKUP($E785,'Status Thresholds'!$E:$AS,24,FALSE),IF(AND($S$3=TRUE,$S$1=TRUE,$S$4=TRUE),VLOOKUP($E785,'Status Thresholds'!$E:$AS,39,FALSE),IF(AND($S$3=TRUE,$S$4=TRUE),VLOOKUP($E785,'Status Thresholds'!$E:$AS,29,FALSE),""))))))))/IF(OR($Q$3=TRUE,AND($Q$2=TRUE,$Q$7=TRUE),AND($Q$3=TRUE,$Q$7=TRUE))=TRUE,'Shots and Status'!$F$5,IF((OR($Q$2,$Q$7)=TRUE),'Shots and Status'!$D$5,'Shots and Status'!$C$5)))),0),"-")</f>
        <v>-</v>
      </c>
      <c r="K785" s="36" t="str">
        <f>IFERROR(ROUNDUP(IF(AND($Q$1=FALSE,$S$3=FALSE),"-",IF(AND($Q$1=TRUE,$S$3=TRUE),"-",IF(AND($Q$1=TRUE,$S$1=TRUE,$S$4=FALSE),VLOOKUP($E785,'Status Thresholds'!$E:$AS,15,FALSE),IF(AND($Q$1=TRUE,$S$4=FALSE),VLOOKUP($E785,'Status Thresholds'!$E:$AS,5,FALSE), IF(AND($Q$1=TRUE,$S$1=TRUE,$S$4=TRUE),VLOOKUP($E785,'Status Thresholds'!$E:$AS,20,FALSE),IF(AND($Q$1=TRUE,$S$4=TRUE),VLOOKUP($E785,'Status Thresholds'!$E:$AS,10,FALSE),IF(AND($S$3=TRUE,$S$1=TRUE,$S$4=FALSE),VLOOKUP($E785,'Status Thresholds'!$E:$AS,35,FALSE),IF(AND($S$3=TRUE,$S$4=FALSE),VLOOKUP($E785,'Status Thresholds'!$E:$AS,25,FALSE),IF(AND($S$3=TRUE,$S$1=TRUE,$S$4=TRUE),VLOOKUP($E785,'Status Thresholds'!$E:$AS,40,FALSE),IF(AND($S$3=TRUE,$S$4=TRUE),VLOOKUP($E785,'Status Thresholds'!$E:$AS,30,FALSE),""))))))))/IF(OR($Q$3=TRUE,AND($Q$2=TRUE,$Q$7=TRUE),AND($Q$3=TRUE,$Q$7=TRUE))=TRUE,'Shots and Status'!$F$5,IF((OR($Q$2,$Q$7)=TRUE),'Shots and Status'!$D$5,'Shots and Status'!$C$5)))),0),"-")</f>
        <v>-</v>
      </c>
      <c r="L785" s="36" t="str">
        <f>IFERROR(IF(AND($Q$1=FALSE,$S$3=FALSE),"-",VLOOKUP($E785,'Status Thresholds'!$E:$AU,41,FALSE)),"-")</f>
        <v>-</v>
      </c>
      <c r="M785" s="36" t="str">
        <f>IFERROR(IF(AND($Q$1=FALSE,$S$3=FALSE),"-",VLOOKUP($E785,'Status Thresholds'!$E:$AU,42,FALSE)),"-")</f>
        <v>-</v>
      </c>
      <c r="N785" s="36" t="str">
        <f>IFERROR(IF(AND($Q$1=FALSE,$S$3=FALSE),"-",VLOOKUP($E785,'Status Thresholds'!$E:$AU,43,FALSE)),"-")</f>
        <v>-</v>
      </c>
    </row>
    <row r="786" spans="2:14" x14ac:dyDescent="0.25">
      <c r="B786" s="64" t="str">
        <f>VLOOKUP(C786,'Status Thresholds'!B:C,2,FALSE)</f>
        <v>MHGen</v>
      </c>
      <c r="C786" s="46" t="str">
        <f>IF(ISBLANK('KO Calc'!C782)=TRUE,"",'KO Calc'!C782)</f>
        <v>Uragaan</v>
      </c>
      <c r="D786" s="57" t="s">
        <v>22</v>
      </c>
      <c r="E786" s="62" t="str">
        <f t="shared" si="23"/>
        <v>UragaanExhaust</v>
      </c>
      <c r="F786" s="36" t="s">
        <v>8</v>
      </c>
      <c r="G786" s="36" t="str">
        <f t="shared" si="24"/>
        <v>UragaanExhaust lvl 2</v>
      </c>
      <c r="H786" s="36" t="str">
        <f>IFERROR(ROUNDUP(IF(AND($Q$1=FALSE,$S$3=FALSE),"-",IF(AND($Q$1=TRUE,$S$3=TRUE),"-",IF(AND($Q$1=TRUE,$S$1=TRUE,$S$4=FALSE),VLOOKUP($E786,'Status Thresholds'!$E:$AS,12,FALSE),IF(AND($Q$1=TRUE,$S$4=FALSE),VLOOKUP($E786,'Status Thresholds'!$E:$AS,2,FALSE), IF(AND($Q$1=TRUE,$S$1=TRUE,$S$4=TRUE),VLOOKUP($E786,'Status Thresholds'!$E:$AS,17,FALSE),IF(AND($Q$1=TRUE,$S$4=TRUE),VLOOKUP($E786,'Status Thresholds'!$E:$AS,7,FALSE),IF(AND($S$3=TRUE,$S$1=TRUE,$S$4=FALSE),VLOOKUP($E786,'Status Thresholds'!$E:$AS,32,FALSE),IF(AND($S$3=TRUE,$S$4=FALSE),VLOOKUP($E786,'Status Thresholds'!$E:$AS,22,FALSE),IF(AND($S$3=TRUE,$S$1=TRUE,$S$4=TRUE),VLOOKUP($E786,'Status Thresholds'!$E:$AS,37,FALSE),IF(AND($S$3=TRUE,$S$4=TRUE),VLOOKUP($E786,'Status Thresholds'!$E:$AS,27,FALSE),""))))))))/IF(OR($Q$3=TRUE,AND($Q$2=TRUE,$Q$7=TRUE),AND($Q$3=TRUE,$Q$7=TRUE))=TRUE,'Shots and Status'!$F$5,IF((OR($Q$2,$Q$7)=TRUE),'Shots and Status'!$D$5,'Shots and Status'!$C$5)))),0),"-")</f>
        <v>-</v>
      </c>
      <c r="I786" s="36" t="str">
        <f>IFERROR(ROUNDUP(IF(AND($Q$1=FALSE,$S$3=FALSE),"-",IF(AND($Q$1=TRUE,$S$3=TRUE),"-",IF(AND($Q$1=TRUE,$S$1=TRUE,$S$4=FALSE),VLOOKUP($E786,'Status Thresholds'!$E:$AS,13,FALSE),IF(AND($Q$1=TRUE,$S$4=FALSE),VLOOKUP($E786,'Status Thresholds'!$E:$AS,3,FALSE), IF(AND($Q$1=TRUE,$S$1=TRUE,$S$4=TRUE),VLOOKUP($E786,'Status Thresholds'!$E:$AS,18,FALSE),IF(AND($Q$1=TRUE,$S$4=TRUE),VLOOKUP($E786,'Status Thresholds'!$E:$AS,8,FALSE),IF(AND($S$3=TRUE,$S$1=TRUE,$S$4=FALSE),VLOOKUP($E786,'Status Thresholds'!$E:$AS,33,FALSE),IF(AND($S$3=TRUE,$S$4=FALSE),VLOOKUP($E786,'Status Thresholds'!$E:$AS,23,FALSE),IF(AND($S$3=TRUE,$S$1=TRUE,$S$4=TRUE),VLOOKUP($E786,'Status Thresholds'!$E:$AS,38,FALSE),IF(AND($S$3=TRUE,$S$4=TRUE),VLOOKUP($E786,'Status Thresholds'!$E:$AS,28,FALSE),""))))))))/IF(OR($Q$3=TRUE,AND($Q$2=TRUE,$Q$7=TRUE),AND($Q$3=TRUE,$Q$7=TRUE))=TRUE,'Shots and Status'!$F$5,IF((OR($Q$2,$Q$7)=TRUE),'Shots and Status'!$D$5,'Shots and Status'!$C$5)))),0),"-")</f>
        <v>-</v>
      </c>
      <c r="J786" s="36" t="str">
        <f>IFERROR(ROUNDUP(IF(AND($Q$1=FALSE,$S$3=FALSE),"-",IF(AND($Q$1=TRUE,$S$3=TRUE),"-",IF(AND($Q$1=TRUE,$S$1=TRUE,$S$4=FALSE),VLOOKUP($E786,'Status Thresholds'!$E:$AS,14,FALSE),IF(AND($Q$1=TRUE,$S$4=FALSE),VLOOKUP($E786,'Status Thresholds'!$E:$AS,4,FALSE), IF(AND($Q$1=TRUE,$S$1=TRUE,$S$4=TRUE),VLOOKUP($E786,'Status Thresholds'!$E:$AS,19,FALSE),IF(AND($Q$1=TRUE,$S$4=TRUE),VLOOKUP($E786,'Status Thresholds'!$E:$AS,9,FALSE),IF(AND($S$3=TRUE,$S$1=TRUE,$S$4=FALSE),VLOOKUP($E786,'Status Thresholds'!$E:$AS,34,FALSE),IF(AND($S$3=TRUE,$S$4=FALSE),VLOOKUP($E786,'Status Thresholds'!$E:$AS,24,FALSE),IF(AND($S$3=TRUE,$S$1=TRUE,$S$4=TRUE),VLOOKUP($E786,'Status Thresholds'!$E:$AS,39,FALSE),IF(AND($S$3=TRUE,$S$4=TRUE),VLOOKUP($E786,'Status Thresholds'!$E:$AS,29,FALSE),""))))))))/IF(OR($Q$3=TRUE,AND($Q$2=TRUE,$Q$7=TRUE),AND($Q$3=TRUE,$Q$7=TRUE))=TRUE,'Shots and Status'!$F$5,IF((OR($Q$2,$Q$7)=TRUE),'Shots and Status'!$D$5,'Shots and Status'!$C$5)))),0),"-")</f>
        <v>-</v>
      </c>
      <c r="K786" s="36" t="str">
        <f>IFERROR(ROUNDUP(IF(AND($Q$1=FALSE,$S$3=FALSE),"-",IF(AND($Q$1=TRUE,$S$3=TRUE),"-",IF(AND($Q$1=TRUE,$S$1=TRUE,$S$4=FALSE),VLOOKUP($E786,'Status Thresholds'!$E:$AS,15,FALSE),IF(AND($Q$1=TRUE,$S$4=FALSE),VLOOKUP($E786,'Status Thresholds'!$E:$AS,5,FALSE), IF(AND($Q$1=TRUE,$S$1=TRUE,$S$4=TRUE),VLOOKUP($E786,'Status Thresholds'!$E:$AS,20,FALSE),IF(AND($Q$1=TRUE,$S$4=TRUE),VLOOKUP($E786,'Status Thresholds'!$E:$AS,10,FALSE),IF(AND($S$3=TRUE,$S$1=TRUE,$S$4=FALSE),VLOOKUP($E786,'Status Thresholds'!$E:$AS,35,FALSE),IF(AND($S$3=TRUE,$S$4=FALSE),VLOOKUP($E786,'Status Thresholds'!$E:$AS,25,FALSE),IF(AND($S$3=TRUE,$S$1=TRUE,$S$4=TRUE),VLOOKUP($E786,'Status Thresholds'!$E:$AS,40,FALSE),IF(AND($S$3=TRUE,$S$4=TRUE),VLOOKUP($E786,'Status Thresholds'!$E:$AS,30,FALSE),""))))))))/IF(OR($Q$3=TRUE,AND($Q$2=TRUE,$Q$7=TRUE),AND($Q$3=TRUE,$Q$7=TRUE))=TRUE,'Shots and Status'!$F$5,IF((OR($Q$2,$Q$7)=TRUE),'Shots and Status'!$D$5,'Shots and Status'!$C$5)))),0),"-")</f>
        <v>-</v>
      </c>
      <c r="L786" s="36" t="str">
        <f>IFERROR(IF(AND($Q$1=FALSE,$S$3=FALSE),"-",VLOOKUP($E786,'Status Thresholds'!$E:$AU,41,FALSE)),"-")</f>
        <v>-</v>
      </c>
      <c r="M786" s="36" t="str">
        <f>IFERROR(IF(AND($Q$1=FALSE,$S$3=FALSE),"-",VLOOKUP($E786,'Status Thresholds'!$E:$AU,42,FALSE)),"-")</f>
        <v>-</v>
      </c>
      <c r="N786" s="36" t="str">
        <f>IFERROR(IF(AND($Q$1=FALSE,$S$3=FALSE),"-",VLOOKUP($E786,'Status Thresholds'!$E:$AU,43,FALSE)),"-")</f>
        <v>-</v>
      </c>
    </row>
    <row r="787" spans="2:14" x14ac:dyDescent="0.25">
      <c r="B787" s="64" t="str">
        <f>VLOOKUP(C787,'Status Thresholds'!B:C,2,FALSE)</f>
        <v>MHGen</v>
      </c>
      <c r="C787" s="46" t="str">
        <f>IF(ISBLANK('KO Calc'!C783)=TRUE,"",'KO Calc'!C783)</f>
        <v>Uragaan</v>
      </c>
      <c r="D787" s="67" t="s">
        <v>14</v>
      </c>
      <c r="E787" s="62" t="str">
        <f t="shared" si="23"/>
        <v>UragaanKO</v>
      </c>
      <c r="F787" s="36" t="s">
        <v>21</v>
      </c>
      <c r="G787" s="36" t="str">
        <f t="shared" si="24"/>
        <v>UragaanTriblast</v>
      </c>
      <c r="H787" s="36" t="str">
        <f>IF(AND($Q$1=FALSE,$S$3=FALSE),"-",IF(AND($Q$1=TRUE,$S$3=TRUE),"-",IF(AND($Q$1=FALSE,$S$3=FALSE),"-",IF(AND($Q$1=TRUE,$S$1=TRUE,$S$4=FALSE)=TRUE,IF(OR($Q$4=TRUE,$Q$5=TRUE,$S$2=TRUE),VLOOKUP($G787,'KO Calc'!$H:$AW,12,FALSE),VLOOKUP($G787,'KO Calc'!$H793:$AW793,12,FALSE)),IF(AND($Q$1=TRUE,$S$4=FALSE),IF(OR($Q$4=TRUE,$Q$5=TRUE,$S$2=TRUE),VLOOKUP($G787,'KO Calc'!$H:$AW,2,FALSE),VLOOKUP($G787,'KO Calc'!$H793:$AW793,2,FALSE)),
IF(AND($Q$1=TRUE,$S$1=TRUE,$S$4=TRUE)=TRUE,IF(OR($Q$4=TRUE,$Q$5=TRUE,$S$2=TRUE),VLOOKUP($G787,'KO Calc'!$H:$AW,17,FALSE),VLOOKUP($G787,'KO Calc'!$H793:$AW793,17,FALSE)),IF(AND($Q$1=TRUE,$S$4=TRUE),IF(OR($Q$4=TRUE,$Q$5=TRUE,$S$2=TRUE),VLOOKUP($G787,'KO Calc'!$H:$AW,7,FALSE),VLOOKUP($G787,'KO Calc'!$H793:$AW793,7,FALSE)),
IF(AND($S$3=TRUE,$S$1=TRUE,$S$4=FALSE)=TRUE,IF(OR($Q$4=TRUE,$Q$5=TRUE,$S$2=TRUE),VLOOKUP($G787,'KO Calc'!$H:$AW,32,FALSE),VLOOKUP($G787,'KO Calc'!$H793:$AW793,32,FALSE)),IF(AND($S$3=TRUE,$S$4=FALSE),IF(OR($Q$4=TRUE,$Q$5=TRUE,$S$2=TRUE),VLOOKUP($G787,'KO Calc'!$H:$AW,22,FALSE),VLOOKUP($G787,'KO Calc'!$H793:$AW793,22,FALSE)),
IF(AND($S$3=TRUE,$S$1=TRUE,$S$4=TRUE)=TRUE,IF(OR($Q$4=TRUE,$Q$5=TRUE,$S$2=TRUE),VLOOKUP($G787,'KO Calc'!$H:$AW,37,FALSE),VLOOKUP($G787,'KO Calc'!$H793:$AW793,37,FALSE)),IF(AND($S$3=TRUE,$S$4=TRUE),IF(OR($Q$4=TRUE,$Q$5=TRUE,$S$2=TRUE),VLOOKUP($G787,'KO Calc'!$H:$AW,27,FALSE),VLOOKUP($G787,'KO Calc'!$H793:$AW793,27,FALSE)))))))))))))</f>
        <v>-</v>
      </c>
      <c r="I787" s="36" t="str">
        <f>IF(AND($Q$1=FALSE,$S$3=FALSE),"-",IF(AND($Q$1=TRUE,$S$3=TRUE),"-",IF(AND($Q$1=FALSE,$S$3=FALSE),"-",IF(AND($Q$1=TRUE,$S$1=TRUE,$S$4=FALSE)=TRUE,IF(OR($Q$4=TRUE,$Q$5=TRUE,$S$2=TRUE),VLOOKUP($G787,'KO Calc'!$H:$AW,13,FALSE),VLOOKUP($G787,'KO Calc'!$H793:$AW793,13,FALSE)),IF(AND($Q$1=TRUE,$S$4=FALSE),IF(OR($Q$4=TRUE,$Q$5=TRUE,$S$2=TRUE),VLOOKUP($G787,'KO Calc'!$H:$AW,3,FALSE),VLOOKUP($G787,'KO Calc'!$H793:$AW793,3,FALSE)),
IF(AND($Q$1=TRUE,$S$1=TRUE,$S$4=TRUE)=TRUE,IF(OR($Q$4=TRUE,$Q$5=TRUE,$S$2=TRUE),VLOOKUP($G787,'KO Calc'!$H:$AW,18,FALSE),VLOOKUP($G787,'KO Calc'!$H793:$AW793,18,FALSE)),IF(AND($Q$1=TRUE,$S$4=TRUE),IF(OR($Q$4=TRUE,$Q$5=TRUE,$S$2=TRUE),VLOOKUP($G787,'KO Calc'!$H:$AW,8,FALSE),VLOOKUP($G787,'KO Calc'!$H793:$AW793,8,FALSE)),
IF(AND($S$3=TRUE,$S$1=TRUE,$S$4=FALSE)=TRUE,IF(OR($Q$4=TRUE,$Q$5=TRUE,$S$2=TRUE),VLOOKUP($G787,'KO Calc'!$H:$AW,33,FALSE),VLOOKUP($G787,'KO Calc'!$H793:$AW793,33,FALSE)),IF(AND($S$3=TRUE,$S$4=FALSE),IF(OR($Q$4=TRUE,$Q$5=TRUE,$S$2=TRUE),VLOOKUP($G787,'KO Calc'!$H:$AW,23,FALSE),VLOOKUP($G787,'KO Calc'!$H793:$AW793,23,FALSE)),
IF(AND($S$3=TRUE,$S$1=TRUE,$S$4=TRUE)=TRUE,IF(OR($Q$4=TRUE,$Q$5=TRUE,$S$2=TRUE),VLOOKUP($G787,'KO Calc'!$H:$AW,38,FALSE),VLOOKUP($G787,'KO Calc'!$H793:$AW793,38,FALSE)),IF(AND($S$3=TRUE,$S$4=TRUE),IF(OR($Q$4=TRUE,$Q$5=TRUE,$S$2=TRUE),VLOOKUP($G787,'KO Calc'!$H:$AW,28,FALSE),VLOOKUP($G787,'KO Calc'!$H793:$AW793,28,FALSE)))))))))))))</f>
        <v>-</v>
      </c>
      <c r="J787" s="36" t="str">
        <f>IF(AND($Q$1=FALSE,$S$3=FALSE),"-",IF(AND($Q$1=TRUE,$S$3=TRUE),"-",IF(AND($Q$1=FALSE,$S$3=FALSE),"-",IF(AND($Q$1=TRUE,$S$1=TRUE,$S$4=FALSE)=TRUE,IF(OR($Q$4=TRUE,$Q$5=TRUE,$S$2=TRUE),VLOOKUP($G787,'KO Calc'!$H:$AW,FALSE),VLOOKUP($G787,'KO Calc'!$H793:$AW793,14,FALSE)),IF(AND($Q$1=TRUE,$S$4=FALSE),IF(OR($Q$4=TRUE,$Q$5=TRUE,$S$2=TRUE),VLOOKUP($G787,'KO Calc'!$H:$AW,4,FALSE),VLOOKUP($G787,'KO Calc'!$H793:$AW793,4,FALSE)),
IF(AND($Q$1=TRUE,$S$1=TRUE,$S$4=TRUE)=TRUE,IF(OR($Q$4=TRUE,$Q$5=TRUE,$S$2=TRUE),VLOOKUP($G787,'KO Calc'!$H:$AW,19,FALSE),VLOOKUP($G787,'KO Calc'!$H793:$AW793,19,FALSE)),IF(AND($Q$1=TRUE,$S$4=TRUE),IF(OR($Q$4=TRUE,$Q$5=TRUE,$S$2=TRUE),VLOOKUP($G787,'KO Calc'!$H:$AW,9,FALSE),VLOOKUP($G787,'KO Calc'!$H793:$AW793,9,FALSE)),
IF(AND($S$3=TRUE,$S$1=TRUE,$S$4=FALSE)=TRUE,IF(OR($Q$4=TRUE,$Q$5=TRUE,$S$2=TRUE),VLOOKUP($G787,'KO Calc'!$H:$AW,34,FALSE),VLOOKUP($G787,'KO Calc'!$H793:$AW793,34,FALSE)),IF(AND($S$3=TRUE,$S$4=FALSE),IF(OR($Q$4=TRUE,$Q$5=TRUE,$S$2=TRUE),VLOOKUP($G787,'KO Calc'!$H:$AW,24,FALSE),VLOOKUP($G787,'KO Calc'!$H793:$AW793,24,FALSE)),
IF(AND($S$3=TRUE,$S$1=TRUE,$S$4=TRUE)=TRUE,IF(OR($Q$4=TRUE,$Q$5=TRUE,$S$2=TRUE),VLOOKUP($G787,'KO Calc'!$H:$AW,39,FALSE),VLOOKUP($G787,'KO Calc'!$H793:$AW793,39,FALSE)),IF(AND($S$3=TRUE,$S$4=TRUE),IF(OR($Q$4=TRUE,$Q$5=TRUE,$S$2=TRUE),VLOOKUP($G787,'KO Calc'!$H:$AW,29,FALSE),VLOOKUP($G787,'KO Calc'!$H793:$AW793,29,FALSE)))))))))))))</f>
        <v>-</v>
      </c>
      <c r="K787" s="36" t="str">
        <f>IF(AND($Q$1=FALSE,$S$3=FALSE),"-",IF(AND($Q$1=TRUE,$S$3=TRUE),"-",IF(AND($Q$1=FALSE,$S$3=FALSE),"-",IF(AND($Q$1=TRUE,$S$1=TRUE,$S$4=FALSE)=TRUE,IF(OR($Q$4=TRUE,$Q$5=TRUE,$S$2=TRUE),VLOOKUP($G787,'KO Calc'!$H:$AW,15,FALSE),VLOOKUP($G787,'KO Calc'!$H793:$AW793,15,FALSE)),IF(AND($Q$1=TRUE,$S$4=FALSE),IF(OR($Q$4=TRUE,$Q$5=TRUE,$S$2=TRUE),VLOOKUP($G787,'KO Calc'!$H:$AW,5,FALSE),VLOOKUP($G787,'KO Calc'!$H793:$AW793,5,FALSE)),
IF(AND($Q$1=TRUE,$S$1=TRUE,$S$4=TRUE)=TRUE,IF(OR($Q$4=TRUE,$Q$5=TRUE,$S$2=TRUE),VLOOKUP($G787,'KO Calc'!$H:$AW,20,FALSE),VLOOKUP($G787,'KO Calc'!$H793:$AW793,20,FALSE)),IF(AND($Q$1=TRUE,$S$4=TRUE),IF(OR($Q$4=TRUE,$Q$5=TRUE,$S$2=TRUE),VLOOKUP($G787,'KO Calc'!$H:$AW,10,FALSE),VLOOKUP($G787,'KO Calc'!$H793:$AW793,10,FALSE)),
IF(AND($S$3=TRUE,$S$1=TRUE,$S$4=FALSE)=TRUE,IF(OR($Q$4=TRUE,$Q$5=TRUE,$S$2=TRUE),VLOOKUP($G787,'KO Calc'!$H:$AW,35,FALSE),VLOOKUP($G787,'KO Calc'!$H793:$AW793,35,FALSE)),IF(AND($S$3=TRUE,$S$4=FALSE),IF(OR($Q$4=TRUE,$Q$5=TRUE,$S$2=TRUE),VLOOKUP($G787,'KO Calc'!$H:$AW,25,FALSE),VLOOKUP($G787,'KO Calc'!$H793:$AW793,25,FALSE)),
IF(AND($S$3=TRUE,$S$1=TRUE,$S$4=TRUE)=TRUE,IF(OR($Q$4=TRUE,$Q$5=TRUE,$S$2=TRUE),VLOOKUP($G787,'KO Calc'!$H:$AW,40,FALSE),VLOOKUP($G787,'KO Calc'!$H793:$AW793,40,FALSE)),IF(AND($S$3=TRUE,$S$4=TRUE),IF(OR($Q$4=TRUE,$Q$5=TRUE,$S$2=TRUE),VLOOKUP($G787,'KO Calc'!$H:$AW,30,FALSE),VLOOKUP($G787,'KO Calc'!$H793:$AW793,30,FALSE)))))))))))))</f>
        <v>-</v>
      </c>
      <c r="L787" s="36" t="str">
        <f>IFERROR(IF(AND($Q$1=FALSE,$S$3=FALSE),"-",VLOOKUP($E787,'Status Thresholds'!$E:$AU,41,FALSE)),"-")</f>
        <v>-</v>
      </c>
      <c r="M787" s="36" t="str">
        <f>IFERROR(IF(AND($Q$1=FALSE,$S$3=FALSE),"-",VLOOKUP($E787,'Status Thresholds'!$E:$AU,42,FALSE)),"-")</f>
        <v>-</v>
      </c>
      <c r="N787" s="36" t="str">
        <f>IFERROR(IF(AND($Q$1=FALSE,$S$3=FALSE),"-",VLOOKUP($E787,'Status Thresholds'!$E:$AU,43,FALSE)),"-")</f>
        <v>-</v>
      </c>
    </row>
    <row r="788" spans="2:14" x14ac:dyDescent="0.25">
      <c r="B788" s="64" t="str">
        <f>VLOOKUP(C788,'Status Thresholds'!B:C,2,FALSE)</f>
        <v>MHGen</v>
      </c>
      <c r="C788" s="46" t="str">
        <f>IF(ISBLANK('KO Calc'!C784)=TRUE,"",'KO Calc'!C784)</f>
        <v>Uragaan</v>
      </c>
      <c r="D788" s="78" t="s">
        <v>207</v>
      </c>
      <c r="E788" s="62" t="str">
        <f t="shared" si="23"/>
        <v>UragaanShock Trap</v>
      </c>
      <c r="F788" t="s">
        <v>13</v>
      </c>
      <c r="G788" s="36" t="str">
        <f t="shared" si="24"/>
        <v>UragaanCrag 3</v>
      </c>
      <c r="H788" s="36" t="str">
        <f>IF(AND($Q$1=FALSE,$S$3=FALSE),"-",IF(AND($Q$1=TRUE,$S$3=TRUE),"-",IF(AND($Q$1=FALSE,$S$3=FALSE),"-",IF(AND($Q$1=TRUE,$S$1=TRUE,$S$4=FALSE)=TRUE,IF(OR($Q$4=TRUE,$Q$5=TRUE,$S$2=TRUE),VLOOKUP($G788,'KO Calc'!$H:$AW,12,FALSE),VLOOKUP($G788,'KO Calc'!$H794:$AW794,12,FALSE)),IF(AND($Q$1=TRUE,$S$4=FALSE),IF(OR($Q$4=TRUE,$Q$5=TRUE,$S$2=TRUE),VLOOKUP($G788,'KO Calc'!$H:$AW,2,FALSE),VLOOKUP($G788,'KO Calc'!$H794:$AW794,2,FALSE)),
IF(AND($Q$1=TRUE,$S$1=TRUE,$S$4=TRUE)=TRUE,IF(OR($Q$4=TRUE,$Q$5=TRUE,$S$2=TRUE),VLOOKUP($G788,'KO Calc'!$H:$AW,17,FALSE),VLOOKUP($G788,'KO Calc'!$H794:$AW794,17,FALSE)),IF(AND($Q$1=TRUE,$S$4=TRUE),IF(OR($Q$4=TRUE,$Q$5=TRUE,$S$2=TRUE),VLOOKUP($G788,'KO Calc'!$H:$AW,7,FALSE),VLOOKUP($G788,'KO Calc'!$H794:$AW794,7,FALSE)),
IF(AND($S$3=TRUE,$S$1=TRUE,$S$4=FALSE)=TRUE,IF(OR($Q$4=TRUE,$Q$5=TRUE,$S$2=TRUE),VLOOKUP($G788,'KO Calc'!$H:$AW,32,FALSE),VLOOKUP($G788,'KO Calc'!$H794:$AW794,32,FALSE)),IF(AND($S$3=TRUE,$S$4=FALSE),IF(OR($Q$4=TRUE,$Q$5=TRUE,$S$2=TRUE),VLOOKUP($G788,'KO Calc'!$H:$AW,22,FALSE),VLOOKUP($G788,'KO Calc'!$H794:$AW794,22,FALSE)),
IF(AND($S$3=TRUE,$S$1=TRUE,$S$4=TRUE)=TRUE,IF(OR($Q$4=TRUE,$Q$5=TRUE,$S$2=TRUE),VLOOKUP($G788,'KO Calc'!$H:$AW,37,FALSE),VLOOKUP($G788,'KO Calc'!$H794:$AW794,37,FALSE)),IF(AND($S$3=TRUE,$S$4=TRUE),IF(OR($Q$4=TRUE,$Q$5=TRUE,$S$2=TRUE),VLOOKUP($G788,'KO Calc'!$H:$AW,27,FALSE),VLOOKUP($G788,'KO Calc'!$H794:$AW794,27,FALSE)))))))))))))</f>
        <v>-</v>
      </c>
      <c r="I788" s="36" t="str">
        <f>IF(AND($Q$1=FALSE,$S$3=FALSE),"-",IF(AND($Q$1=TRUE,$S$3=TRUE),"-",IF(AND($Q$1=FALSE,$S$3=FALSE),"-",IF(AND($Q$1=TRUE,$S$1=TRUE,$S$4=FALSE)=TRUE,IF(OR($Q$4=TRUE,$Q$5=TRUE,$S$2=TRUE),VLOOKUP($G788,'KO Calc'!$H:$AW,13,FALSE),VLOOKUP($G788,'KO Calc'!$H794:$AW794,13,FALSE)),IF(AND($Q$1=TRUE,$S$4=FALSE),IF(OR($Q$4=TRUE,$Q$5=TRUE,$S$2=TRUE),VLOOKUP($G788,'KO Calc'!$H:$AW,3,FALSE),VLOOKUP($G788,'KO Calc'!$H794:$AW794,3,FALSE)),
IF(AND($Q$1=TRUE,$S$1=TRUE,$S$4=TRUE)=TRUE,IF(OR($Q$4=TRUE,$Q$5=TRUE,$S$2=TRUE),VLOOKUP($G788,'KO Calc'!$H:$AW,18,FALSE),VLOOKUP($G788,'KO Calc'!$H794:$AW794,18,FALSE)),IF(AND($Q$1=TRUE,$S$4=TRUE),IF(OR($Q$4=TRUE,$Q$5=TRUE,$S$2=TRUE),VLOOKUP($G788,'KO Calc'!$H:$AW,8,FALSE),VLOOKUP($G788,'KO Calc'!$H794:$AW794,8,FALSE)),
IF(AND($S$3=TRUE,$S$1=TRUE,$S$4=FALSE)=TRUE,IF(OR($Q$4=TRUE,$Q$5=TRUE,$S$2=TRUE),VLOOKUP($G788,'KO Calc'!$H:$AW,33,FALSE),VLOOKUP($G788,'KO Calc'!$H794:$AW794,33,FALSE)),IF(AND($S$3=TRUE,$S$4=FALSE),IF(OR($Q$4=TRUE,$Q$5=TRUE,$S$2=TRUE),VLOOKUP($G788,'KO Calc'!$H:$AW,23,FALSE),VLOOKUP($G788,'KO Calc'!$H794:$AW794,23,FALSE)),
IF(AND($S$3=TRUE,$S$1=TRUE,$S$4=TRUE)=TRUE,IF(OR($Q$4=TRUE,$Q$5=TRUE,$S$2=TRUE),VLOOKUP($G788,'KO Calc'!$H:$AW,38,FALSE),VLOOKUP($G788,'KO Calc'!$H794:$AW794,38,FALSE)),IF(AND($S$3=TRUE,$S$4=TRUE),IF(OR($Q$4=TRUE,$Q$5=TRUE,$S$2=TRUE),VLOOKUP($G788,'KO Calc'!$H:$AW,28,FALSE),VLOOKUP($G788,'KO Calc'!$H794:$AW794,28,FALSE)))))))))))))</f>
        <v>-</v>
      </c>
      <c r="J788" s="36" t="str">
        <f>IF(AND($Q$1=FALSE,$S$3=FALSE),"-",IF(AND($Q$1=TRUE,$S$3=TRUE),"-",IF(AND($Q$1=FALSE,$S$3=FALSE),"-",IF(AND($Q$1=TRUE,$S$1=TRUE,$S$4=FALSE)=TRUE,IF(OR($Q$4=TRUE,$Q$5=TRUE,$S$2=TRUE),VLOOKUP($G788,'KO Calc'!$H:$AW,FALSE),VLOOKUP($G788,'KO Calc'!$H794:$AW794,14,FALSE)),IF(AND($Q$1=TRUE,$S$4=FALSE),IF(OR($Q$4=TRUE,$Q$5=TRUE,$S$2=TRUE),VLOOKUP($G788,'KO Calc'!$H:$AW,4,FALSE),VLOOKUP($G788,'KO Calc'!$H794:$AW794,4,FALSE)),
IF(AND($Q$1=TRUE,$S$1=TRUE,$S$4=TRUE)=TRUE,IF(OR($Q$4=TRUE,$Q$5=TRUE,$S$2=TRUE),VLOOKUP($G788,'KO Calc'!$H:$AW,19,FALSE),VLOOKUP($G788,'KO Calc'!$H794:$AW794,19,FALSE)),IF(AND($Q$1=TRUE,$S$4=TRUE),IF(OR($Q$4=TRUE,$Q$5=TRUE,$S$2=TRUE),VLOOKUP($G788,'KO Calc'!$H:$AW,9,FALSE),VLOOKUP($G788,'KO Calc'!$H794:$AW794,9,FALSE)),
IF(AND($S$3=TRUE,$S$1=TRUE,$S$4=FALSE)=TRUE,IF(OR($Q$4=TRUE,$Q$5=TRUE,$S$2=TRUE),VLOOKUP($G788,'KO Calc'!$H:$AW,34,FALSE),VLOOKUP($G788,'KO Calc'!$H794:$AW794,34,FALSE)),IF(AND($S$3=TRUE,$S$4=FALSE),IF(OR($Q$4=TRUE,$Q$5=TRUE,$S$2=TRUE),VLOOKUP($G788,'KO Calc'!$H:$AW,24,FALSE),VLOOKUP($G788,'KO Calc'!$H794:$AW794,24,FALSE)),
IF(AND($S$3=TRUE,$S$1=TRUE,$S$4=TRUE)=TRUE,IF(OR($Q$4=TRUE,$Q$5=TRUE,$S$2=TRUE),VLOOKUP($G788,'KO Calc'!$H:$AW,39,FALSE),VLOOKUP($G788,'KO Calc'!$H794:$AW794,39,FALSE)),IF(AND($S$3=TRUE,$S$4=TRUE),IF(OR($Q$4=TRUE,$Q$5=TRUE,$S$2=TRUE),VLOOKUP($G788,'KO Calc'!$H:$AW,29,FALSE),VLOOKUP($G788,'KO Calc'!$H794:$AW794,29,FALSE)))))))))))))</f>
        <v>-</v>
      </c>
      <c r="K788" s="36" t="str">
        <f>IF(AND($Q$1=FALSE,$S$3=FALSE),"-",IF(AND($Q$1=TRUE,$S$3=TRUE),"-",IF(AND($Q$1=FALSE,$S$3=FALSE),"-",IF(AND($Q$1=TRUE,$S$1=TRUE,$S$4=FALSE)=TRUE,IF(OR($Q$4=TRUE,$Q$5=TRUE,$S$2=TRUE),VLOOKUP($G788,'KO Calc'!$H:$AW,15,FALSE),VLOOKUP($G788,'KO Calc'!$H794:$AW794,15,FALSE)),IF(AND($Q$1=TRUE,$S$4=FALSE),IF(OR($Q$4=TRUE,$Q$5=TRUE,$S$2=TRUE),VLOOKUP($G788,'KO Calc'!$H:$AW,5,FALSE),VLOOKUP($G788,'KO Calc'!$H794:$AW794,5,FALSE)),
IF(AND($Q$1=TRUE,$S$1=TRUE,$S$4=TRUE)=TRUE,IF(OR($Q$4=TRUE,$Q$5=TRUE,$S$2=TRUE),VLOOKUP($G788,'KO Calc'!$H:$AW,20,FALSE),VLOOKUP($G788,'KO Calc'!$H794:$AW794,20,FALSE)),IF(AND($Q$1=TRUE,$S$4=TRUE),IF(OR($Q$4=TRUE,$Q$5=TRUE,$S$2=TRUE),VLOOKUP($G788,'KO Calc'!$H:$AW,10,FALSE),VLOOKUP($G788,'KO Calc'!$H794:$AW794,10,FALSE)),
IF(AND($S$3=TRUE,$S$1=TRUE,$S$4=FALSE)=TRUE,IF(OR($Q$4=TRUE,$Q$5=TRUE,$S$2=TRUE),VLOOKUP($G788,'KO Calc'!$H:$AW,35,FALSE),VLOOKUP($G788,'KO Calc'!$H794:$AW794,35,FALSE)),IF(AND($S$3=TRUE,$S$4=FALSE),IF(OR($Q$4=TRUE,$Q$5=TRUE,$S$2=TRUE),VLOOKUP($G788,'KO Calc'!$H:$AW,25,FALSE),VLOOKUP($G788,'KO Calc'!$H794:$AW794,25,FALSE)),
IF(AND($S$3=TRUE,$S$1=TRUE,$S$4=TRUE)=TRUE,IF(OR($Q$4=TRUE,$Q$5=TRUE,$S$2=TRUE),VLOOKUP($G788,'KO Calc'!$H:$AW,40,FALSE),VLOOKUP($G788,'KO Calc'!$H794:$AW794,40,FALSE)),IF(AND($S$3=TRUE,$S$4=TRUE),IF(OR($Q$4=TRUE,$Q$5=TRUE,$S$2=TRUE),VLOOKUP($G788,'KO Calc'!$H:$AW,30,FALSE),VLOOKUP($G788,'KO Calc'!$H794:$AW794,30,FALSE)))))))))))))</f>
        <v>-</v>
      </c>
      <c r="L788" s="36" t="str">
        <f>IFERROR(IF(AND($Q$1=FALSE,$S$3=FALSE),"-",VLOOKUP($E788,'Status Thresholds'!$E:$AU,43,FALSE)),"-")</f>
        <v>-</v>
      </c>
      <c r="M788" s="36" t="str">
        <f>IFERROR(IF(AND($Q$1=FALSE,$S$3=FALSE),"-",VLOOKUP($E788,'Status Thresholds'!$E:$AU,41,FALSE)),"-")</f>
        <v>-</v>
      </c>
      <c r="N788" s="36" t="str">
        <f>IFERROR(IF(AND($Q$1=FALSE,$S$3=FALSE),"-",VLOOKUP($E788,'Status Thresholds'!$E:$AU,42,FALSE)),"-")</f>
        <v>-</v>
      </c>
    </row>
    <row r="789" spans="2:14" x14ac:dyDescent="0.25">
      <c r="B789" s="64" t="str">
        <f>VLOOKUP(C789,'Status Thresholds'!B:C,2,FALSE)</f>
        <v>MHGen</v>
      </c>
      <c r="C789" s="46" t="str">
        <f>IF(ISBLANK('KO Calc'!C785)=TRUE,"",'KO Calc'!C785)</f>
        <v>Uragaan</v>
      </c>
      <c r="D789" s="78" t="s">
        <v>213</v>
      </c>
      <c r="E789" s="62" t="str">
        <f t="shared" si="23"/>
        <v>UragaanPitfall Trap</v>
      </c>
      <c r="F789" t="s">
        <v>12</v>
      </c>
      <c r="G789" s="36" t="str">
        <f t="shared" si="24"/>
        <v>UragaanCrag 2</v>
      </c>
      <c r="H789" s="36" t="str">
        <f>IF(AND($Q$1=FALSE,$S$3=FALSE),"-",IF(AND($Q$1=TRUE,$S$3=TRUE),"-",IF(AND($Q$1=FALSE,$S$3=FALSE),"-",IF(AND($Q$1=TRUE,$S$1=TRUE,$S$4=FALSE)=TRUE,IF(OR($Q$4=TRUE,$Q$5=TRUE,$S$2=TRUE),VLOOKUP($G789,'KO Calc'!$H:$AW,12,FALSE),VLOOKUP($G789,'KO Calc'!$H795:$AW795,12,FALSE)),IF(AND($Q$1=TRUE,$S$4=FALSE),IF(OR($Q$4=TRUE,$Q$5=TRUE,$S$2=TRUE),VLOOKUP($G789,'KO Calc'!$H:$AW,2,FALSE),VLOOKUP($G789,'KO Calc'!$H795:$AW795,2,FALSE)),
IF(AND($Q$1=TRUE,$S$1=TRUE,$S$4=TRUE)=TRUE,IF(OR($Q$4=TRUE,$Q$5=TRUE,$S$2=TRUE),VLOOKUP($G789,'KO Calc'!$H:$AW,17,FALSE),VLOOKUP($G789,'KO Calc'!$H795:$AW795,17,FALSE)),IF(AND($Q$1=TRUE,$S$4=TRUE),IF(OR($Q$4=TRUE,$Q$5=TRUE,$S$2=TRUE),VLOOKUP($G789,'KO Calc'!$H:$AW,7,FALSE),VLOOKUP($G789,'KO Calc'!$H795:$AW795,7,FALSE)),
IF(AND($S$3=TRUE,$S$1=TRUE,$S$4=FALSE)=TRUE,IF(OR($Q$4=TRUE,$Q$5=TRUE,$S$2=TRUE),VLOOKUP($G789,'KO Calc'!$H:$AW,32,FALSE),VLOOKUP($G789,'KO Calc'!$H795:$AW795,32,FALSE)),IF(AND($S$3=TRUE,$S$4=FALSE),IF(OR($Q$4=TRUE,$Q$5=TRUE,$S$2=TRUE),VLOOKUP($G789,'KO Calc'!$H:$AW,22,FALSE),VLOOKUP($G789,'KO Calc'!$H795:$AW795,22,FALSE)),
IF(AND($S$3=TRUE,$S$1=TRUE,$S$4=TRUE)=TRUE,IF(OR($Q$4=TRUE,$Q$5=TRUE,$S$2=TRUE),VLOOKUP($G789,'KO Calc'!$H:$AW,37,FALSE),VLOOKUP($G789,'KO Calc'!$H795:$AW795,37,FALSE)),IF(AND($S$3=TRUE,$S$4=TRUE),IF(OR($Q$4=TRUE,$Q$5=TRUE,$S$2=TRUE),VLOOKUP($G789,'KO Calc'!$H:$AW,27,FALSE),VLOOKUP($G789,'KO Calc'!$H795:$AW795,27,FALSE)))))))))))))</f>
        <v>-</v>
      </c>
      <c r="I789" s="36" t="str">
        <f>IF(AND($Q$1=FALSE,$S$3=FALSE),"-",IF(AND($Q$1=TRUE,$S$3=TRUE),"-",IF(AND($Q$1=FALSE,$S$3=FALSE),"-",IF(AND($Q$1=TRUE,$S$1=TRUE,$S$4=FALSE)=TRUE,IF(OR($Q$4=TRUE,$Q$5=TRUE,$S$2=TRUE),VLOOKUP($G789,'KO Calc'!$H:$AW,13,FALSE),VLOOKUP($G789,'KO Calc'!$H795:$AW795,13,FALSE)),IF(AND($Q$1=TRUE,$S$4=FALSE),IF(OR($Q$4=TRUE,$Q$5=TRUE,$S$2=TRUE),VLOOKUP($G789,'KO Calc'!$H:$AW,3,FALSE),VLOOKUP($G789,'KO Calc'!$H795:$AW795,3,FALSE)),
IF(AND($Q$1=TRUE,$S$1=TRUE,$S$4=TRUE)=TRUE,IF(OR($Q$4=TRUE,$Q$5=TRUE,$S$2=TRUE),VLOOKUP($G789,'KO Calc'!$H:$AW,18,FALSE),VLOOKUP($G789,'KO Calc'!$H795:$AW795,18,FALSE)),IF(AND($Q$1=TRUE,$S$4=TRUE),IF(OR($Q$4=TRUE,$Q$5=TRUE,$S$2=TRUE),VLOOKUP($G789,'KO Calc'!$H:$AW,8,FALSE),VLOOKUP($G789,'KO Calc'!$H795:$AW795,8,FALSE)),
IF(AND($S$3=TRUE,$S$1=TRUE,$S$4=FALSE)=TRUE,IF(OR($Q$4=TRUE,$Q$5=TRUE,$S$2=TRUE),VLOOKUP($G789,'KO Calc'!$H:$AW,33,FALSE),VLOOKUP($G789,'KO Calc'!$H795:$AW795,33,FALSE)),IF(AND($S$3=TRUE,$S$4=FALSE),IF(OR($Q$4=TRUE,$Q$5=TRUE,$S$2=TRUE),VLOOKUP($G789,'KO Calc'!$H:$AW,23,FALSE),VLOOKUP($G789,'KO Calc'!$H795:$AW795,23,FALSE)),
IF(AND($S$3=TRUE,$S$1=TRUE,$S$4=TRUE)=TRUE,IF(OR($Q$4=TRUE,$Q$5=TRUE,$S$2=TRUE),VLOOKUP($G789,'KO Calc'!$H:$AW,38,FALSE),VLOOKUP($G789,'KO Calc'!$H795:$AW795,38,FALSE)),IF(AND($S$3=TRUE,$S$4=TRUE),IF(OR($Q$4=TRUE,$Q$5=TRUE,$S$2=TRUE),VLOOKUP($G789,'KO Calc'!$H:$AW,28,FALSE),VLOOKUP($G789,'KO Calc'!$H795:$AW795,28,FALSE)))))))))))))</f>
        <v>-</v>
      </c>
      <c r="J789" s="36" t="str">
        <f>IF(AND($Q$1=FALSE,$S$3=FALSE),"-",IF(AND($Q$1=TRUE,$S$3=TRUE),"-",IF(AND($Q$1=FALSE,$S$3=FALSE),"-",IF(AND($Q$1=TRUE,$S$1=TRUE,$S$4=FALSE)=TRUE,IF(OR($Q$4=TRUE,$Q$5=TRUE,$S$2=TRUE),VLOOKUP($G789,'KO Calc'!$H:$AW,FALSE),VLOOKUP($G789,'KO Calc'!$H795:$AW795,14,FALSE)),IF(AND($Q$1=TRUE,$S$4=FALSE),IF(OR($Q$4=TRUE,$Q$5=TRUE,$S$2=TRUE),VLOOKUP($G789,'KO Calc'!$H:$AW,4,FALSE),VLOOKUP($G789,'KO Calc'!$H795:$AW795,4,FALSE)),
IF(AND($Q$1=TRUE,$S$1=TRUE,$S$4=TRUE)=TRUE,IF(OR($Q$4=TRUE,$Q$5=TRUE,$S$2=TRUE),VLOOKUP($G789,'KO Calc'!$H:$AW,19,FALSE),VLOOKUP($G789,'KO Calc'!$H795:$AW795,19,FALSE)),IF(AND($Q$1=TRUE,$S$4=TRUE),IF(OR($Q$4=TRUE,$Q$5=TRUE,$S$2=TRUE),VLOOKUP($G789,'KO Calc'!$H:$AW,9,FALSE),VLOOKUP($G789,'KO Calc'!$H795:$AW795,9,FALSE)),
IF(AND($S$3=TRUE,$S$1=TRUE,$S$4=FALSE)=TRUE,IF(OR($Q$4=TRUE,$Q$5=TRUE,$S$2=TRUE),VLOOKUP($G789,'KO Calc'!$H:$AW,34,FALSE),VLOOKUP($G789,'KO Calc'!$H795:$AW795,34,FALSE)),IF(AND($S$3=TRUE,$S$4=FALSE),IF(OR($Q$4=TRUE,$Q$5=TRUE,$S$2=TRUE),VLOOKUP($G789,'KO Calc'!$H:$AW,24,FALSE),VLOOKUP($G789,'KO Calc'!$H795:$AW795,24,FALSE)),
IF(AND($S$3=TRUE,$S$1=TRUE,$S$4=TRUE)=TRUE,IF(OR($Q$4=TRUE,$Q$5=TRUE,$S$2=TRUE),VLOOKUP($G789,'KO Calc'!$H:$AW,39,FALSE),VLOOKUP($G789,'KO Calc'!$H795:$AW795,39,FALSE)),IF(AND($S$3=TRUE,$S$4=TRUE),IF(OR($Q$4=TRUE,$Q$5=TRUE,$S$2=TRUE),VLOOKUP($G789,'KO Calc'!$H:$AW,29,FALSE),VLOOKUP($G789,'KO Calc'!$H795:$AW795,29,FALSE)))))))))))))</f>
        <v>-</v>
      </c>
      <c r="K789" s="36" t="str">
        <f>IF(AND($Q$1=FALSE,$S$3=FALSE),"-",IF(AND($Q$1=TRUE,$S$3=TRUE),"-",IF(AND($Q$1=FALSE,$S$3=FALSE),"-",IF(AND($Q$1=TRUE,$S$1=TRUE,$S$4=FALSE)=TRUE,IF(OR($Q$4=TRUE,$Q$5=TRUE,$S$2=TRUE),VLOOKUP($G789,'KO Calc'!$H:$AW,15,FALSE),VLOOKUP($G789,'KO Calc'!$H795:$AW795,15,FALSE)),IF(AND($Q$1=TRUE,$S$4=FALSE),IF(OR($Q$4=TRUE,$Q$5=TRUE,$S$2=TRUE),VLOOKUP($G789,'KO Calc'!$H:$AW,5,FALSE),VLOOKUP($G789,'KO Calc'!$H795:$AW795,5,FALSE)),
IF(AND($Q$1=TRUE,$S$1=TRUE,$S$4=TRUE)=TRUE,IF(OR($Q$4=TRUE,$Q$5=TRUE,$S$2=TRUE),VLOOKUP($G789,'KO Calc'!$H:$AW,20,FALSE),VLOOKUP($G789,'KO Calc'!$H795:$AW795,20,FALSE)),IF(AND($Q$1=TRUE,$S$4=TRUE),IF(OR($Q$4=TRUE,$Q$5=TRUE,$S$2=TRUE),VLOOKUP($G789,'KO Calc'!$H:$AW,10,FALSE),VLOOKUP($G789,'KO Calc'!$H795:$AW795,10,FALSE)),
IF(AND($S$3=TRUE,$S$1=TRUE,$S$4=FALSE)=TRUE,IF(OR($Q$4=TRUE,$Q$5=TRUE,$S$2=TRUE),VLOOKUP($G789,'KO Calc'!$H:$AW,35,FALSE),VLOOKUP($G789,'KO Calc'!$H795:$AW795,35,FALSE)),IF(AND($S$3=TRUE,$S$4=FALSE),IF(OR($Q$4=TRUE,$Q$5=TRUE,$S$2=TRUE),VLOOKUP($G789,'KO Calc'!$H:$AW,25,FALSE),VLOOKUP($G789,'KO Calc'!$H795:$AW795,25,FALSE)),
IF(AND($S$3=TRUE,$S$1=TRUE,$S$4=TRUE)=TRUE,IF(OR($Q$4=TRUE,$Q$5=TRUE,$S$2=TRUE),VLOOKUP($G789,'KO Calc'!$H:$AW,40,FALSE),VLOOKUP($G789,'KO Calc'!$H795:$AW795,40,FALSE)),IF(AND($S$3=TRUE,$S$4=TRUE),IF(OR($Q$4=TRUE,$Q$5=TRUE,$S$2=TRUE),VLOOKUP($G789,'KO Calc'!$H:$AW,30,FALSE),VLOOKUP($G789,'KO Calc'!$H795:$AW795,30,FALSE)))))))))))))</f>
        <v>-</v>
      </c>
      <c r="L789" s="36" t="str">
        <f>IFERROR(IF(AND($Q$1=FALSE,$S$3=FALSE),"-",VLOOKUP($E789,'Status Thresholds'!$E:$AU,43,FALSE)),"-")</f>
        <v>-</v>
      </c>
      <c r="M789" s="36" t="str">
        <f>IFERROR(IF(AND($Q$1=FALSE,$S$3=FALSE),"-",VLOOKUP($E789,'Status Thresholds'!$E:$AU,41,FALSE)),"-")</f>
        <v>-</v>
      </c>
      <c r="N789" s="36" t="str">
        <f>IFERROR(IF(AND($Q$1=FALSE,$S$3=FALSE),"-",VLOOKUP($E789,'Status Thresholds'!$E:$AU,42,FALSE)),"-")</f>
        <v>-</v>
      </c>
    </row>
    <row r="790" spans="2:14" x14ac:dyDescent="0.25">
      <c r="B790" s="64" t="str">
        <f>VLOOKUP(C790,'Status Thresholds'!B:C,2,FALSE)</f>
        <v>MHGen</v>
      </c>
      <c r="C790" s="46" t="str">
        <f>IF(ISBLANK('KO Calc'!C786)=TRUE,"",'KO Calc'!C786)</f>
        <v>Uragaan</v>
      </c>
      <c r="D790" s="78"/>
      <c r="E790" s="62" t="str">
        <f t="shared" si="23"/>
        <v>Uragaan</v>
      </c>
      <c r="F790" t="s">
        <v>11</v>
      </c>
      <c r="G790" s="36" t="str">
        <f t="shared" si="24"/>
        <v>UragaanCrag 1</v>
      </c>
      <c r="H790" s="36" t="str">
        <f>IF(AND($Q$1=FALSE,$S$3=FALSE),"-",IF(AND($Q$1=TRUE,$S$3=TRUE),"-",IF(AND($Q$1=FALSE,$S$3=FALSE),"-",IF(AND($Q$1=TRUE,$S$1=TRUE,$S$4=FALSE)=TRUE,IF(OR($Q$4=TRUE,$Q$5=TRUE,$S$2=TRUE),VLOOKUP($G790,'KO Calc'!$H:$AW,12,FALSE),VLOOKUP($G790,'KO Calc'!$H796:$AW796,12,FALSE)),IF(AND($Q$1=TRUE,$S$4=FALSE),IF(OR($Q$4=TRUE,$Q$5=TRUE,$S$2=TRUE),VLOOKUP($G790,'KO Calc'!$H:$AW,2,FALSE),VLOOKUP($G790,'KO Calc'!$H796:$AW796,2,FALSE)),
IF(AND($Q$1=TRUE,$S$1=TRUE,$S$4=TRUE)=TRUE,IF(OR($Q$4=TRUE,$Q$5=TRUE,$S$2=TRUE),VLOOKUP($G790,'KO Calc'!$H:$AW,17,FALSE),VLOOKUP($G790,'KO Calc'!$H796:$AW796,17,FALSE)),IF(AND($Q$1=TRUE,$S$4=TRUE),IF(OR($Q$4=TRUE,$Q$5=TRUE,$S$2=TRUE),VLOOKUP($G790,'KO Calc'!$H:$AW,7,FALSE),VLOOKUP($G790,'KO Calc'!$H796:$AW796,7,FALSE)),
IF(AND($S$3=TRUE,$S$1=TRUE,$S$4=FALSE)=TRUE,IF(OR($Q$4=TRUE,$Q$5=TRUE,$S$2=TRUE),VLOOKUP($G790,'KO Calc'!$H:$AW,32,FALSE),VLOOKUP($G790,'KO Calc'!$H796:$AW796,32,FALSE)),IF(AND($S$3=TRUE,$S$4=FALSE),IF(OR($Q$4=TRUE,$Q$5=TRUE,$S$2=TRUE),VLOOKUP($G790,'KO Calc'!$H:$AW,22,FALSE),VLOOKUP($G790,'KO Calc'!$H796:$AW796,22,FALSE)),
IF(AND($S$3=TRUE,$S$1=TRUE,$S$4=TRUE)=TRUE,IF(OR($Q$4=TRUE,$Q$5=TRUE,$S$2=TRUE),VLOOKUP($G790,'KO Calc'!$H:$AW,37,FALSE),VLOOKUP($G790,'KO Calc'!$H796:$AW796,37,FALSE)),IF(AND($S$3=TRUE,$S$4=TRUE),IF(OR($Q$4=TRUE,$Q$5=TRUE,$S$2=TRUE),VLOOKUP($G790,'KO Calc'!$H:$AW,27,FALSE),VLOOKUP($G790,'KO Calc'!$H796:$AW796,27,FALSE)))))))))))))</f>
        <v>-</v>
      </c>
      <c r="I790" s="36" t="str">
        <f>IF(AND($Q$1=FALSE,$S$3=FALSE),"-",IF(AND($Q$1=TRUE,$S$3=TRUE),"-",IF(AND($Q$1=FALSE,$S$3=FALSE),"-",IF(AND($Q$1=TRUE,$S$1=TRUE,$S$4=FALSE)=TRUE,IF(OR($Q$4=TRUE,$Q$5=TRUE,$S$2=TRUE),VLOOKUP($G790,'KO Calc'!$H:$AW,13,FALSE),VLOOKUP($G790,'KO Calc'!$H796:$AW796,13,FALSE)),IF(AND($Q$1=TRUE,$S$4=FALSE),IF(OR($Q$4=TRUE,$Q$5=TRUE,$S$2=TRUE),VLOOKUP($G790,'KO Calc'!$H:$AW,3,FALSE),VLOOKUP($G790,'KO Calc'!$H796:$AW796,3,FALSE)),
IF(AND($Q$1=TRUE,$S$1=TRUE,$S$4=TRUE)=TRUE,IF(OR($Q$4=TRUE,$Q$5=TRUE,$S$2=TRUE),VLOOKUP($G790,'KO Calc'!$H:$AW,18,FALSE),VLOOKUP($G790,'KO Calc'!$H796:$AW796,18,FALSE)),IF(AND($Q$1=TRUE,$S$4=TRUE),IF(OR($Q$4=TRUE,$Q$5=TRUE,$S$2=TRUE),VLOOKUP($G790,'KO Calc'!$H:$AW,8,FALSE),VLOOKUP($G790,'KO Calc'!$H796:$AW796,8,FALSE)),
IF(AND($S$3=TRUE,$S$1=TRUE,$S$4=FALSE)=TRUE,IF(OR($Q$4=TRUE,$Q$5=TRUE,$S$2=TRUE),VLOOKUP($G790,'KO Calc'!$H:$AW,33,FALSE),VLOOKUP($G790,'KO Calc'!$H796:$AW796,33,FALSE)),IF(AND($S$3=TRUE,$S$4=FALSE),IF(OR($Q$4=TRUE,$Q$5=TRUE,$S$2=TRUE),VLOOKUP($G790,'KO Calc'!$H:$AW,23,FALSE),VLOOKUP($G790,'KO Calc'!$H796:$AW796,23,FALSE)),
IF(AND($S$3=TRUE,$S$1=TRUE,$S$4=TRUE)=TRUE,IF(OR($Q$4=TRUE,$Q$5=TRUE,$S$2=TRUE),VLOOKUP($G790,'KO Calc'!$H:$AW,38,FALSE),VLOOKUP($G790,'KO Calc'!$H796:$AW796,38,FALSE)),IF(AND($S$3=TRUE,$S$4=TRUE),IF(OR($Q$4=TRUE,$Q$5=TRUE,$S$2=TRUE),VLOOKUP($G790,'KO Calc'!$H:$AW,28,FALSE),VLOOKUP($G790,'KO Calc'!$H796:$AW796,28,FALSE)))))))))))))</f>
        <v>-</v>
      </c>
      <c r="J790" s="36" t="str">
        <f>IF(AND($Q$1=FALSE,$S$3=FALSE),"-",IF(AND($Q$1=TRUE,$S$3=TRUE),"-",IF(AND($Q$1=FALSE,$S$3=FALSE),"-",IF(AND($Q$1=TRUE,$S$1=TRUE,$S$4=FALSE)=TRUE,IF(OR($Q$4=TRUE,$Q$5=TRUE,$S$2=TRUE),VLOOKUP($G790,'KO Calc'!$H:$AW,FALSE),VLOOKUP($G790,'KO Calc'!$H796:$AW796,14,FALSE)),IF(AND($Q$1=TRUE,$S$4=FALSE),IF(OR($Q$4=TRUE,$Q$5=TRUE,$S$2=TRUE),VLOOKUP($G790,'KO Calc'!$H:$AW,4,FALSE),VLOOKUP($G790,'KO Calc'!$H796:$AW796,4,FALSE)),
IF(AND($Q$1=TRUE,$S$1=TRUE,$S$4=TRUE)=TRUE,IF(OR($Q$4=TRUE,$Q$5=TRUE,$S$2=TRUE),VLOOKUP($G790,'KO Calc'!$H:$AW,19,FALSE),VLOOKUP($G790,'KO Calc'!$H796:$AW796,19,FALSE)),IF(AND($Q$1=TRUE,$S$4=TRUE),IF(OR($Q$4=TRUE,$Q$5=TRUE,$S$2=TRUE),VLOOKUP($G790,'KO Calc'!$H:$AW,9,FALSE),VLOOKUP($G790,'KO Calc'!$H796:$AW796,9,FALSE)),
IF(AND($S$3=TRUE,$S$1=TRUE,$S$4=FALSE)=TRUE,IF(OR($Q$4=TRUE,$Q$5=TRUE,$S$2=TRUE),VLOOKUP($G790,'KO Calc'!$H:$AW,34,FALSE),VLOOKUP($G790,'KO Calc'!$H796:$AW796,34,FALSE)),IF(AND($S$3=TRUE,$S$4=FALSE),IF(OR($Q$4=TRUE,$Q$5=TRUE,$S$2=TRUE),VLOOKUP($G790,'KO Calc'!$H:$AW,24,FALSE),VLOOKUP($G790,'KO Calc'!$H796:$AW796,24,FALSE)),
IF(AND($S$3=TRUE,$S$1=TRUE,$S$4=TRUE)=TRUE,IF(OR($Q$4=TRUE,$Q$5=TRUE,$S$2=TRUE),VLOOKUP($G790,'KO Calc'!$H:$AW,39,FALSE),VLOOKUP($G790,'KO Calc'!$H796:$AW796,39,FALSE)),IF(AND($S$3=TRUE,$S$4=TRUE),IF(OR($Q$4=TRUE,$Q$5=TRUE,$S$2=TRUE),VLOOKUP($G790,'KO Calc'!$H:$AW,29,FALSE),VLOOKUP($G790,'KO Calc'!$H796:$AW796,29,FALSE)))))))))))))</f>
        <v>-</v>
      </c>
      <c r="K790" s="36" t="str">
        <f>IF(AND($Q$1=FALSE,$S$3=FALSE),"-",IF(AND($Q$1=TRUE,$S$3=TRUE),"-",IF(AND($Q$1=FALSE,$S$3=FALSE),"-",IF(AND($Q$1=TRUE,$S$1=TRUE,$S$4=FALSE)=TRUE,IF(OR($Q$4=TRUE,$Q$5=TRUE,$S$2=TRUE),VLOOKUP($G790,'KO Calc'!$H:$AW,15,FALSE),VLOOKUP($G790,'KO Calc'!$H796:$AW796,15,FALSE)),IF(AND($Q$1=TRUE,$S$4=FALSE),IF(OR($Q$4=TRUE,$Q$5=TRUE,$S$2=TRUE),VLOOKUP($G790,'KO Calc'!$H:$AW,5,FALSE),VLOOKUP($G790,'KO Calc'!$H796:$AW796,5,FALSE)),
IF(AND($Q$1=TRUE,$S$1=TRUE,$S$4=TRUE)=TRUE,IF(OR($Q$4=TRUE,$Q$5=TRUE,$S$2=TRUE),VLOOKUP($G790,'KO Calc'!$H:$AW,20,FALSE),VLOOKUP($G790,'KO Calc'!$H796:$AW796,20,FALSE)),IF(AND($Q$1=TRUE,$S$4=TRUE),IF(OR($Q$4=TRUE,$Q$5=TRUE,$S$2=TRUE),VLOOKUP($G790,'KO Calc'!$H:$AW,10,FALSE),VLOOKUP($G790,'KO Calc'!$H796:$AW796,10,FALSE)),
IF(AND($S$3=TRUE,$S$1=TRUE,$S$4=FALSE)=TRUE,IF(OR($Q$4=TRUE,$Q$5=TRUE,$S$2=TRUE),VLOOKUP($G790,'KO Calc'!$H:$AW,35,FALSE),VLOOKUP($G790,'KO Calc'!$H796:$AW796,35,FALSE)),IF(AND($S$3=TRUE,$S$4=FALSE),IF(OR($Q$4=TRUE,$Q$5=TRUE,$S$2=TRUE),VLOOKUP($G790,'KO Calc'!$H:$AW,25,FALSE),VLOOKUP($G790,'KO Calc'!$H796:$AW796,25,FALSE)),
IF(AND($S$3=TRUE,$S$1=TRUE,$S$4=TRUE)=TRUE,IF(OR($Q$4=TRUE,$Q$5=TRUE,$S$2=TRUE),VLOOKUP($G790,'KO Calc'!$H:$AW,40,FALSE),VLOOKUP($G790,'KO Calc'!$H796:$AW796,40,FALSE)),IF(AND($S$3=TRUE,$S$4=TRUE),IF(OR($Q$4=TRUE,$Q$5=TRUE,$S$2=TRUE),VLOOKUP($G790,'KO Calc'!$H:$AW,30,FALSE),VLOOKUP($G790,'KO Calc'!$H796:$AW796,30,FALSE)))))))))))))</f>
        <v>-</v>
      </c>
      <c r="L790" s="36" t="str">
        <f>IFERROR(VLOOKUP($E790,'Status Thresholds'!$E:$AS,41,FALSE),"-")</f>
        <v>-</v>
      </c>
    </row>
    <row r="791" spans="2:14" x14ac:dyDescent="0.25">
      <c r="B791" s="64" t="str">
        <f>VLOOKUP(C791,'Status Thresholds'!B:C,2,FALSE)</f>
        <v>MHGen</v>
      </c>
      <c r="C791" s="46" t="str">
        <f>IF(ISBLANK('KO Calc'!C787)=TRUE,"",'KO Calc'!C787)</f>
        <v>Uragaan</v>
      </c>
      <c r="D791" s="78"/>
      <c r="E791" s="62" t="str">
        <f t="shared" si="23"/>
        <v>Uragaan</v>
      </c>
      <c r="G791" s="36" t="str">
        <f t="shared" si="24"/>
        <v>Uragaan</v>
      </c>
      <c r="L791" s="36" t="str">
        <f>IFERROR(VLOOKUP($E791,'Status Thresholds'!$E:$AS,41,FALSE),"-")</f>
        <v>-</v>
      </c>
    </row>
    <row r="792" spans="2:14" x14ac:dyDescent="0.25">
      <c r="B792" s="64" t="str">
        <f>VLOOKUP(C792,'Status Thresholds'!B:C,2,FALSE)</f>
        <v>MHGU</v>
      </c>
      <c r="C792" s="46" t="str">
        <f>IF(ISBLANK('KO Calc'!C788)=TRUE,"",'KO Calc'!C788)</f>
        <v>Valtrax</v>
      </c>
      <c r="D792" s="65" t="s">
        <v>0</v>
      </c>
      <c r="E792" s="62" t="str">
        <f t="shared" si="23"/>
        <v>ValtraxPara</v>
      </c>
      <c r="F792" s="36" t="s">
        <v>2</v>
      </c>
      <c r="G792" s="36" t="str">
        <f t="shared" si="24"/>
        <v>ValtraxPara lvl 2</v>
      </c>
      <c r="H792" s="36" t="str">
        <f>IFERROR(ROUNDUP(IF(AND($Q$1=FALSE,$S$3=FALSE),"-",IF(AND($Q$1=TRUE,$S$3=TRUE),"-",IF(AND($Q$1=TRUE,$S$1=TRUE,$S$4=FALSE),VLOOKUP($E792,'Status Thresholds'!$E:$AS,12,FALSE),IF(AND($Q$1=TRUE,$S$4=FALSE),VLOOKUP($E792,'Status Thresholds'!$E:$AS,2,FALSE), IF(AND($Q$1=TRUE,$S$1=TRUE,$S$4=TRUE),VLOOKUP($E792,'Status Thresholds'!$E:$AS,17,FALSE),IF(AND($Q$1=TRUE,$S$4=TRUE),VLOOKUP($E792,'Status Thresholds'!$E:$AS,7,FALSE),IF(AND($S$3=TRUE,$S$1=TRUE,$S$4=FALSE),VLOOKUP($E792,'Status Thresholds'!$E:$AS,32,FALSE),IF(AND($S$3=TRUE,$S$4=FALSE),VLOOKUP($E792,'Status Thresholds'!$E:$AS,22,FALSE),IF(AND($S$3=TRUE,$S$1=TRUE,$S$4=TRUE),VLOOKUP($E792,'Status Thresholds'!$E:$AS,37,FALSE),IF(AND($S$3=TRUE,$S$4=TRUE),VLOOKUP($E792,'Status Thresholds'!$E:$AS,27,FALSE),""))))))))/IF(OR($Q$3=TRUE,AND($Q$2=TRUE,$Q$7=TRUE),AND($Q$3=TRUE,$Q$7=TRUE))=TRUE,'Shots and Status'!$F$5,IF((OR($Q$2,$Q$7)=TRUE),'Shots and Status'!$D$5,'Shots and Status'!$C$5)))),0),"-")</f>
        <v>-</v>
      </c>
      <c r="I792" s="36" t="str">
        <f>IFERROR(ROUNDUP(IF(AND($Q$1=FALSE,$S$3=FALSE),"-",IF(AND($Q$1=TRUE,$S$3=TRUE),"-",IF(AND($Q$1=TRUE,$S$1=TRUE,$S$4=FALSE),VLOOKUP($E792,'Status Thresholds'!$E:$AS,13,FALSE),IF(AND($Q$1=TRUE,$S$4=FALSE),VLOOKUP($E792,'Status Thresholds'!$E:$AS,3,FALSE), IF(AND($Q$1=TRUE,$S$1=TRUE,$S$4=TRUE),VLOOKUP($E792,'Status Thresholds'!$E:$AS,18,FALSE),IF(AND($Q$1=TRUE,$S$4=TRUE),VLOOKUP($E792,'Status Thresholds'!$E:$AS,8,FALSE),IF(AND($S$3=TRUE,$S$1=TRUE,$S$4=FALSE),VLOOKUP($E792,'Status Thresholds'!$E:$AS,33,FALSE),IF(AND($S$3=TRUE,$S$4=FALSE),VLOOKUP($E792,'Status Thresholds'!$E:$AS,23,FALSE),IF(AND($S$3=TRUE,$S$1=TRUE,$S$4=TRUE),VLOOKUP($E792,'Status Thresholds'!$E:$AS,38,FALSE),IF(AND($S$3=TRUE,$S$4=TRUE),VLOOKUP($E792,'Status Thresholds'!$E:$AS,28,FALSE),""))))))))/IF(OR($Q$3=TRUE,AND($Q$2=TRUE,$Q$7=TRUE),AND($Q$3=TRUE,$Q$7=TRUE))=TRUE,'Shots and Status'!$F$5,IF((OR($Q$2,$Q$7)=TRUE),'Shots and Status'!$D$5,'Shots and Status'!$C$5)))),0),"-")</f>
        <v>-</v>
      </c>
      <c r="J792" s="36" t="str">
        <f>IFERROR(ROUNDUP(IF(AND($Q$1=FALSE,$S$3=FALSE),"-",IF(AND($Q$1=TRUE,$S$3=TRUE),"-",IF(AND($Q$1=TRUE,$S$1=TRUE,$S$4=FALSE),VLOOKUP($E792,'Status Thresholds'!$E:$AS,14,FALSE),IF(AND($Q$1=TRUE,$S$4=FALSE),VLOOKUP($E792,'Status Thresholds'!$E:$AS,4,FALSE), IF(AND($Q$1=TRUE,$S$1=TRUE,$S$4=TRUE),VLOOKUP($E792,'Status Thresholds'!$E:$AS,19,FALSE),IF(AND($Q$1=TRUE,$S$4=TRUE),VLOOKUP($E792,'Status Thresholds'!$E:$AS,9,FALSE),IF(AND($S$3=TRUE,$S$1=TRUE,$S$4=FALSE),VLOOKUP($E792,'Status Thresholds'!$E:$AS,34,FALSE),IF(AND($S$3=TRUE,$S$4=FALSE),VLOOKUP($E792,'Status Thresholds'!$E:$AS,24,FALSE),IF(AND($S$3=TRUE,$S$1=TRUE,$S$4=TRUE),VLOOKUP($E792,'Status Thresholds'!$E:$AS,39,FALSE),IF(AND($S$3=TRUE,$S$4=TRUE),VLOOKUP($E792,'Status Thresholds'!$E:$AS,29,FALSE),""))))))))/IF(OR($Q$3=TRUE,AND($Q$2=TRUE,$Q$7=TRUE),AND($Q$3=TRUE,$Q$7=TRUE))=TRUE,'Shots and Status'!$F$5,IF((OR($Q$2,$Q$7)=TRUE),'Shots and Status'!$D$5,'Shots and Status'!$C$5)))),0),"-")</f>
        <v>-</v>
      </c>
      <c r="K792" s="36" t="str">
        <f>IFERROR(ROUNDUP(IF(AND($Q$1=FALSE,$S$3=FALSE),"-",IF(AND($Q$1=TRUE,$S$3=TRUE),"-",IF(AND($Q$1=TRUE,$S$1=TRUE,$S$4=FALSE),VLOOKUP($E792,'Status Thresholds'!$E:$AS,15,FALSE),IF(AND($Q$1=TRUE,$S$4=FALSE),VLOOKUP($E792,'Status Thresholds'!$E:$AS,5,FALSE), IF(AND($Q$1=TRUE,$S$1=TRUE,$S$4=TRUE),VLOOKUP($E792,'Status Thresholds'!$E:$AS,20,FALSE),IF(AND($Q$1=TRUE,$S$4=TRUE),VLOOKUP($E792,'Status Thresholds'!$E:$AS,10,FALSE),IF(AND($S$3=TRUE,$S$1=TRUE,$S$4=FALSE),VLOOKUP($E792,'Status Thresholds'!$E:$AS,35,FALSE),IF(AND($S$3=TRUE,$S$4=FALSE),VLOOKUP($E792,'Status Thresholds'!$E:$AS,25,FALSE),IF(AND($S$3=TRUE,$S$1=TRUE,$S$4=TRUE),VLOOKUP($E792,'Status Thresholds'!$E:$AS,40,FALSE),IF(AND($S$3=TRUE,$S$4=TRUE),VLOOKUP($E792,'Status Thresholds'!$E:$AS,30,FALSE),""))))))))/IF(OR($Q$3=TRUE,AND($Q$2=TRUE,$Q$7=TRUE),AND($Q$3=TRUE,$Q$7=TRUE))=TRUE,'Shots and Status'!$F$5,IF((OR($Q$2,$Q$7)=TRUE),'Shots and Status'!$D$5,'Shots and Status'!$C$5)))),0),"-")</f>
        <v>-</v>
      </c>
      <c r="L792" s="36" t="str">
        <f>IFERROR(IF(AND($Q$1=FALSE,$S$3=FALSE),"-",VLOOKUP($E792,'Status Thresholds'!$E:$AU,41,FALSE)),"-")</f>
        <v>-</v>
      </c>
      <c r="M792" s="36" t="str">
        <f>IFERROR(IF(AND($Q$1=FALSE,$S$3=FALSE),"-",VLOOKUP($E792,'Status Thresholds'!$E:$AU,42,FALSE)),"-")</f>
        <v>-</v>
      </c>
      <c r="N792" s="36" t="str">
        <f>IFERROR(IF(AND($Q$1=FALSE,$S$3=FALSE),"-",VLOOKUP($E792,'Status Thresholds'!$E:$AU,43,FALSE)),"-")</f>
        <v>-</v>
      </c>
    </row>
    <row r="793" spans="2:14" x14ac:dyDescent="0.25">
      <c r="B793" s="64" t="str">
        <f>VLOOKUP(C793,'Status Thresholds'!B:C,2,FALSE)</f>
        <v>MHGU</v>
      </c>
      <c r="C793" s="46" t="str">
        <f>IF(ISBLANK('KO Calc'!C789)=TRUE,"",'KO Calc'!C789)</f>
        <v>Valtrax</v>
      </c>
      <c r="D793" s="60" t="s">
        <v>32</v>
      </c>
      <c r="E793" s="62" t="str">
        <f t="shared" si="23"/>
        <v>ValtraxSleep</v>
      </c>
      <c r="F793" s="59" t="s">
        <v>5</v>
      </c>
      <c r="G793" s="36" t="str">
        <f t="shared" si="24"/>
        <v>ValtraxSleep lvl 2</v>
      </c>
      <c r="H793" s="36" t="str">
        <f>IFERROR(ROUNDUP(IF(AND($Q$1=FALSE,$S$3=FALSE),"-",IF(AND($Q$1=TRUE,$S$3=TRUE),"-",IF(AND($Q$1=TRUE,$S$1=TRUE,$S$4=FALSE),VLOOKUP($E793,'Status Thresholds'!$E:$AS,12,FALSE),IF(AND($Q$1=TRUE,$S$4=FALSE),VLOOKUP($E793,'Status Thresholds'!$E:$AS,2,FALSE), IF(AND($Q$1=TRUE,$S$1=TRUE,$S$4=TRUE),VLOOKUP($E793,'Status Thresholds'!$E:$AS,17,FALSE),IF(AND($Q$1=TRUE,$S$4=TRUE),VLOOKUP($E793,'Status Thresholds'!$E:$AS,7,FALSE),IF(AND($S$3=TRUE,$S$1=TRUE,$S$4=FALSE),VLOOKUP($E793,'Status Thresholds'!$E:$AS,32,FALSE),IF(AND($S$3=TRUE,$S$4=FALSE),VLOOKUP($E793,'Status Thresholds'!$E:$AS,22,FALSE),IF(AND($S$3=TRUE,$S$1=TRUE,$S$4=TRUE),VLOOKUP($E793,'Status Thresholds'!$E:$AS,37,FALSE),IF(AND($S$3=TRUE,$S$4=TRUE),VLOOKUP($E793,'Status Thresholds'!$E:$AS,27,FALSE),""))))))))/IF(OR($Q$3=TRUE,AND($Q$2=TRUE,$Q$7=TRUE),AND($Q$3=TRUE,$Q$7=TRUE))=TRUE,'Shots and Status'!$F$5,IF((OR($Q$2,$Q$7)=TRUE),'Shots and Status'!$D$5,'Shots and Status'!$C$5)))),0),"-")</f>
        <v>-</v>
      </c>
      <c r="I793" s="36" t="str">
        <f>IFERROR(ROUNDUP(IF(AND($Q$1=FALSE,$S$3=FALSE),"-",IF(AND($Q$1=TRUE,$S$3=TRUE),"-",IF(AND($Q$1=TRUE,$S$1=TRUE,$S$4=FALSE),VLOOKUP($E793,'Status Thresholds'!$E:$AS,13,FALSE),IF(AND($Q$1=TRUE,$S$4=FALSE),VLOOKUP($E793,'Status Thresholds'!$E:$AS,3,FALSE), IF(AND($Q$1=TRUE,$S$1=TRUE,$S$4=TRUE),VLOOKUP($E793,'Status Thresholds'!$E:$AS,18,FALSE),IF(AND($Q$1=TRUE,$S$4=TRUE),VLOOKUP($E793,'Status Thresholds'!$E:$AS,8,FALSE),IF(AND($S$3=TRUE,$S$1=TRUE,$S$4=FALSE),VLOOKUP($E793,'Status Thresholds'!$E:$AS,33,FALSE),IF(AND($S$3=TRUE,$S$4=FALSE),VLOOKUP($E793,'Status Thresholds'!$E:$AS,23,FALSE),IF(AND($S$3=TRUE,$S$1=TRUE,$S$4=TRUE),VLOOKUP($E793,'Status Thresholds'!$E:$AS,38,FALSE),IF(AND($S$3=TRUE,$S$4=TRUE),VLOOKUP($E793,'Status Thresholds'!$E:$AS,28,FALSE),""))))))))/IF(OR($Q$3=TRUE,AND($Q$2=TRUE,$Q$7=TRUE),AND($Q$3=TRUE,$Q$7=TRUE))=TRUE,'Shots and Status'!$F$5,IF((OR($Q$2,$Q$7)=TRUE),'Shots and Status'!$D$5,'Shots and Status'!$C$5)))),0),"-")</f>
        <v>-</v>
      </c>
      <c r="J793" s="36" t="str">
        <f>IFERROR(ROUNDUP(IF(AND($Q$1=FALSE,$S$3=FALSE),"-",IF(AND($Q$1=TRUE,$S$3=TRUE),"-",IF(AND($Q$1=TRUE,$S$1=TRUE,$S$4=FALSE),VLOOKUP($E793,'Status Thresholds'!$E:$AS,14,FALSE),IF(AND($Q$1=TRUE,$S$4=FALSE),VLOOKUP($E793,'Status Thresholds'!$E:$AS,4,FALSE), IF(AND($Q$1=TRUE,$S$1=TRUE,$S$4=TRUE),VLOOKUP($E793,'Status Thresholds'!$E:$AS,19,FALSE),IF(AND($Q$1=TRUE,$S$4=TRUE),VLOOKUP($E793,'Status Thresholds'!$E:$AS,9,FALSE),IF(AND($S$3=TRUE,$S$1=TRUE,$S$4=FALSE),VLOOKUP($E793,'Status Thresholds'!$E:$AS,34,FALSE),IF(AND($S$3=TRUE,$S$4=FALSE),VLOOKUP($E793,'Status Thresholds'!$E:$AS,24,FALSE),IF(AND($S$3=TRUE,$S$1=TRUE,$S$4=TRUE),VLOOKUP($E793,'Status Thresholds'!$E:$AS,39,FALSE),IF(AND($S$3=TRUE,$S$4=TRUE),VLOOKUP($E793,'Status Thresholds'!$E:$AS,29,FALSE),""))))))))/IF(OR($Q$3=TRUE,AND($Q$2=TRUE,$Q$7=TRUE),AND($Q$3=TRUE,$Q$7=TRUE))=TRUE,'Shots and Status'!$F$5,IF((OR($Q$2,$Q$7)=TRUE),'Shots and Status'!$D$5,'Shots and Status'!$C$5)))),0),"-")</f>
        <v>-</v>
      </c>
      <c r="K793" s="36" t="str">
        <f>IFERROR(ROUNDUP(IF(AND($Q$1=FALSE,$S$3=FALSE),"-",IF(AND($Q$1=TRUE,$S$3=TRUE),"-",IF(AND($Q$1=TRUE,$S$1=TRUE,$S$4=FALSE),VLOOKUP($E793,'Status Thresholds'!$E:$AS,15,FALSE),IF(AND($Q$1=TRUE,$S$4=FALSE),VLOOKUP($E793,'Status Thresholds'!$E:$AS,5,FALSE), IF(AND($Q$1=TRUE,$S$1=TRUE,$S$4=TRUE),VLOOKUP($E793,'Status Thresholds'!$E:$AS,20,FALSE),IF(AND($Q$1=TRUE,$S$4=TRUE),VLOOKUP($E793,'Status Thresholds'!$E:$AS,10,FALSE),IF(AND($S$3=TRUE,$S$1=TRUE,$S$4=FALSE),VLOOKUP($E793,'Status Thresholds'!$E:$AS,35,FALSE),IF(AND($S$3=TRUE,$S$4=FALSE),VLOOKUP($E793,'Status Thresholds'!$E:$AS,25,FALSE),IF(AND($S$3=TRUE,$S$1=TRUE,$S$4=TRUE),VLOOKUP($E793,'Status Thresholds'!$E:$AS,40,FALSE),IF(AND($S$3=TRUE,$S$4=TRUE),VLOOKUP($E793,'Status Thresholds'!$E:$AS,30,FALSE),""))))))))/IF(OR($Q$3=TRUE,AND($Q$2=TRUE,$Q$7=TRUE),AND($Q$3=TRUE,$Q$7=TRUE))=TRUE,'Shots and Status'!$F$5,IF((OR($Q$2,$Q$7)=TRUE),'Shots and Status'!$D$5,'Shots and Status'!$C$5)))),0),"-")</f>
        <v>-</v>
      </c>
      <c r="L793" s="36" t="str">
        <f>IFERROR(IF(AND($Q$1=FALSE,$S$3=FALSE),"-",VLOOKUP($E793,'Status Thresholds'!$E:$AU,41,FALSE)),"-")</f>
        <v>-</v>
      </c>
      <c r="M793" s="36" t="str">
        <f>IFERROR(IF(AND($Q$1=FALSE,$S$3=FALSE),"-",VLOOKUP($E793,'Status Thresholds'!$E:$AU,42,FALSE)),"-")</f>
        <v>-</v>
      </c>
      <c r="N793" s="36" t="str">
        <f>IFERROR(IF(AND($Q$1=FALSE,$S$3=FALSE),"-",VLOOKUP($E793,'Status Thresholds'!$E:$AU,43,FALSE)),"-")</f>
        <v>-</v>
      </c>
    </row>
    <row r="794" spans="2:14" x14ac:dyDescent="0.25">
      <c r="B794" s="64" t="str">
        <f>VLOOKUP(C794,'Status Thresholds'!B:C,2,FALSE)</f>
        <v>MHGU</v>
      </c>
      <c r="C794" s="46" t="str">
        <f>IF(ISBLANK('KO Calc'!C790)=TRUE,"",'KO Calc'!C790)</f>
        <v>Valtrax</v>
      </c>
      <c r="D794" s="58" t="s">
        <v>33</v>
      </c>
      <c r="E794" s="62" t="str">
        <f t="shared" si="23"/>
        <v>ValtraxPoison</v>
      </c>
      <c r="F794" s="59" t="s">
        <v>6</v>
      </c>
      <c r="G794" s="36" t="str">
        <f t="shared" si="24"/>
        <v>ValtraxPoison lvl 2</v>
      </c>
      <c r="H794" s="36" t="str">
        <f>IFERROR(ROUNDUP(IF(AND($Q$1=FALSE,$S$3=FALSE),"-",IF(AND($Q$1=TRUE,$S$3=TRUE),"-",IF(AND($Q$1=TRUE,$S$1=TRUE,$S$4=FALSE),VLOOKUP($E794,'Status Thresholds'!$E:$AS,12,FALSE),IF(AND($Q$1=TRUE,$S$4=FALSE),VLOOKUP($E794,'Status Thresholds'!$E:$AS,2,FALSE), IF(AND($Q$1=TRUE,$S$1=TRUE,$S$4=TRUE),VLOOKUP($E794,'Status Thresholds'!$E:$AS,17,FALSE),IF(AND($Q$1=TRUE,$S$4=TRUE),VLOOKUP($E794,'Status Thresholds'!$E:$AS,7,FALSE),IF(AND($S$3=TRUE,$S$1=TRUE,$S$4=FALSE),VLOOKUP($E794,'Status Thresholds'!$E:$AS,32,FALSE),IF(AND($S$3=TRUE,$S$4=FALSE),VLOOKUP($E794,'Status Thresholds'!$E:$AS,22,FALSE),IF(AND($S$3=TRUE,$S$1=TRUE,$S$4=TRUE),VLOOKUP($E794,'Status Thresholds'!$E:$AS,37,FALSE),IF(AND($S$3=TRUE,$S$4=TRUE),VLOOKUP($E794,'Status Thresholds'!$E:$AS,27,FALSE),""))))))))/IF(OR($Q$3=TRUE,AND($Q$2=TRUE,$Q$7=TRUE),AND($Q$3=TRUE,$Q$7=TRUE))=TRUE,'Shots and Status'!$F$5,IF((OR($Q$2,$Q$7)=TRUE),'Shots and Status'!$D$5,'Shots and Status'!$C$5)))),0),"-")</f>
        <v>-</v>
      </c>
      <c r="I794" s="36" t="str">
        <f>IFERROR(ROUNDUP(IF(AND($Q$1=FALSE,$S$3=FALSE),"-",IF(AND($Q$1=TRUE,$S$3=TRUE),"-",IF(AND($Q$1=TRUE,$S$1=TRUE,$S$4=FALSE),VLOOKUP($E794,'Status Thresholds'!$E:$AS,13,FALSE),IF(AND($Q$1=TRUE,$S$4=FALSE),VLOOKUP($E794,'Status Thresholds'!$E:$AS,3,FALSE), IF(AND($Q$1=TRUE,$S$1=TRUE,$S$4=TRUE),VLOOKUP($E794,'Status Thresholds'!$E:$AS,18,FALSE),IF(AND($Q$1=TRUE,$S$4=TRUE),VLOOKUP($E794,'Status Thresholds'!$E:$AS,8,FALSE),IF(AND($S$3=TRUE,$S$1=TRUE,$S$4=FALSE),VLOOKUP($E794,'Status Thresholds'!$E:$AS,33,FALSE),IF(AND($S$3=TRUE,$S$4=FALSE),VLOOKUP($E794,'Status Thresholds'!$E:$AS,23,FALSE),IF(AND($S$3=TRUE,$S$1=TRUE,$S$4=TRUE),VLOOKUP($E794,'Status Thresholds'!$E:$AS,38,FALSE),IF(AND($S$3=TRUE,$S$4=TRUE),VLOOKUP($E794,'Status Thresholds'!$E:$AS,28,FALSE),""))))))))/IF(OR($Q$3=TRUE,AND($Q$2=TRUE,$Q$7=TRUE),AND($Q$3=TRUE,$Q$7=TRUE))=TRUE,'Shots and Status'!$F$5,IF((OR($Q$2,$Q$7)=TRUE),'Shots and Status'!$D$5,'Shots and Status'!$C$5)))),0),"-")</f>
        <v>-</v>
      </c>
      <c r="J794" s="36" t="str">
        <f>IFERROR(ROUNDUP(IF(AND($Q$1=FALSE,$S$3=FALSE),"-",IF(AND($Q$1=TRUE,$S$3=TRUE),"-",IF(AND($Q$1=TRUE,$S$1=TRUE,$S$4=FALSE),VLOOKUP($E794,'Status Thresholds'!$E:$AS,14,FALSE),IF(AND($Q$1=TRUE,$S$4=FALSE),VLOOKUP($E794,'Status Thresholds'!$E:$AS,4,FALSE), IF(AND($Q$1=TRUE,$S$1=TRUE,$S$4=TRUE),VLOOKUP($E794,'Status Thresholds'!$E:$AS,19,FALSE),IF(AND($Q$1=TRUE,$S$4=TRUE),VLOOKUP($E794,'Status Thresholds'!$E:$AS,9,FALSE),IF(AND($S$3=TRUE,$S$1=TRUE,$S$4=FALSE),VLOOKUP($E794,'Status Thresholds'!$E:$AS,34,FALSE),IF(AND($S$3=TRUE,$S$4=FALSE),VLOOKUP($E794,'Status Thresholds'!$E:$AS,24,FALSE),IF(AND($S$3=TRUE,$S$1=TRUE,$S$4=TRUE),VLOOKUP($E794,'Status Thresholds'!$E:$AS,39,FALSE),IF(AND($S$3=TRUE,$S$4=TRUE),VLOOKUP($E794,'Status Thresholds'!$E:$AS,29,FALSE),""))))))))/IF(OR($Q$3=TRUE,AND($Q$2=TRUE,$Q$7=TRUE),AND($Q$3=TRUE,$Q$7=TRUE))=TRUE,'Shots and Status'!$F$5,IF((OR($Q$2,$Q$7)=TRUE),'Shots and Status'!$D$5,'Shots and Status'!$C$5)))),0),"-")</f>
        <v>-</v>
      </c>
      <c r="K794" s="36" t="str">
        <f>IFERROR(ROUNDUP(IF(AND($Q$1=FALSE,$S$3=FALSE),"-",IF(AND($Q$1=TRUE,$S$3=TRUE),"-",IF(AND($Q$1=TRUE,$S$1=TRUE,$S$4=FALSE),VLOOKUP($E794,'Status Thresholds'!$E:$AS,15,FALSE),IF(AND($Q$1=TRUE,$S$4=FALSE),VLOOKUP($E794,'Status Thresholds'!$E:$AS,5,FALSE), IF(AND($Q$1=TRUE,$S$1=TRUE,$S$4=TRUE),VLOOKUP($E794,'Status Thresholds'!$E:$AS,20,FALSE),IF(AND($Q$1=TRUE,$S$4=TRUE),VLOOKUP($E794,'Status Thresholds'!$E:$AS,10,FALSE),IF(AND($S$3=TRUE,$S$1=TRUE,$S$4=FALSE),VLOOKUP($E794,'Status Thresholds'!$E:$AS,35,FALSE),IF(AND($S$3=TRUE,$S$4=FALSE),VLOOKUP($E794,'Status Thresholds'!$E:$AS,25,FALSE),IF(AND($S$3=TRUE,$S$1=TRUE,$S$4=TRUE),VLOOKUP($E794,'Status Thresholds'!$E:$AS,40,FALSE),IF(AND($S$3=TRUE,$S$4=TRUE),VLOOKUP($E794,'Status Thresholds'!$E:$AS,30,FALSE),""))))))))/IF(OR($Q$3=TRUE,AND($Q$2=TRUE,$Q$7=TRUE),AND($Q$3=TRUE,$Q$7=TRUE))=TRUE,'Shots and Status'!$F$5,IF((OR($Q$2,$Q$7)=TRUE),'Shots and Status'!$D$5,'Shots and Status'!$C$5)))),0),"-")</f>
        <v>-</v>
      </c>
      <c r="L794" s="36" t="str">
        <f>IFERROR(IF(AND($Q$1=FALSE,$S$3=FALSE),"-",VLOOKUP($E794,'Status Thresholds'!$E:$AU,41,FALSE)),"-")</f>
        <v>-</v>
      </c>
      <c r="M794" s="36" t="str">
        <f>IFERROR(IF(AND($Q$1=FALSE,$S$3=FALSE),"-",VLOOKUP($E794,'Status Thresholds'!$E:$AU,42,FALSE)),"-")</f>
        <v>-</v>
      </c>
      <c r="N794" s="36" t="str">
        <f>IFERROR(IF(AND($Q$1=FALSE,$S$3=FALSE),"-",VLOOKUP($E794,'Status Thresholds'!$E:$AU,43,FALSE)),"-")</f>
        <v>-</v>
      </c>
    </row>
    <row r="795" spans="2:14" x14ac:dyDescent="0.25">
      <c r="B795" s="64" t="str">
        <f>VLOOKUP(C795,'Status Thresholds'!B:C,2,FALSE)</f>
        <v>MHGU</v>
      </c>
      <c r="C795" s="46" t="str">
        <f>IF(ISBLANK('KO Calc'!C791)=TRUE,"",'KO Calc'!C791)</f>
        <v>Valtrax</v>
      </c>
      <c r="D795" s="57" t="s">
        <v>22</v>
      </c>
      <c r="E795" s="62" t="str">
        <f t="shared" si="23"/>
        <v>ValtraxExhaust</v>
      </c>
      <c r="F795" s="36" t="s">
        <v>8</v>
      </c>
      <c r="G795" s="36" t="str">
        <f t="shared" si="24"/>
        <v>ValtraxExhaust lvl 2</v>
      </c>
      <c r="H795" s="36" t="str">
        <f>IFERROR(ROUNDUP(IF(AND($Q$1=FALSE,$S$3=FALSE),"-",IF(AND($Q$1=TRUE,$S$3=TRUE),"-",IF(AND($Q$1=TRUE,$S$1=TRUE,$S$4=FALSE),VLOOKUP($E795,'Status Thresholds'!$E:$AS,12,FALSE),IF(AND($Q$1=TRUE,$S$4=FALSE),VLOOKUP($E795,'Status Thresholds'!$E:$AS,2,FALSE), IF(AND($Q$1=TRUE,$S$1=TRUE,$S$4=TRUE),VLOOKUP($E795,'Status Thresholds'!$E:$AS,17,FALSE),IF(AND($Q$1=TRUE,$S$4=TRUE),VLOOKUP($E795,'Status Thresholds'!$E:$AS,7,FALSE),IF(AND($S$3=TRUE,$S$1=TRUE,$S$4=FALSE),VLOOKUP($E795,'Status Thresholds'!$E:$AS,32,FALSE),IF(AND($S$3=TRUE,$S$4=FALSE),VLOOKUP($E795,'Status Thresholds'!$E:$AS,22,FALSE),IF(AND($S$3=TRUE,$S$1=TRUE,$S$4=TRUE),VLOOKUP($E795,'Status Thresholds'!$E:$AS,37,FALSE),IF(AND($S$3=TRUE,$S$4=TRUE),VLOOKUP($E795,'Status Thresholds'!$E:$AS,27,FALSE),""))))))))/IF(OR($Q$3=TRUE,AND($Q$2=TRUE,$Q$7=TRUE),AND($Q$3=TRUE,$Q$7=TRUE))=TRUE,'Shots and Status'!$F$5,IF((OR($Q$2,$Q$7)=TRUE),'Shots and Status'!$D$5,'Shots and Status'!$C$5)))),0),"-")</f>
        <v>-</v>
      </c>
      <c r="I795" s="36" t="str">
        <f>IFERROR(ROUNDUP(IF(AND($Q$1=FALSE,$S$3=FALSE),"-",IF(AND($Q$1=TRUE,$S$3=TRUE),"-",IF(AND($Q$1=TRUE,$S$1=TRUE,$S$4=FALSE),VLOOKUP($E795,'Status Thresholds'!$E:$AS,13,FALSE),IF(AND($Q$1=TRUE,$S$4=FALSE),VLOOKUP($E795,'Status Thresholds'!$E:$AS,3,FALSE), IF(AND($Q$1=TRUE,$S$1=TRUE,$S$4=TRUE),VLOOKUP($E795,'Status Thresholds'!$E:$AS,18,FALSE),IF(AND($Q$1=TRUE,$S$4=TRUE),VLOOKUP($E795,'Status Thresholds'!$E:$AS,8,FALSE),IF(AND($S$3=TRUE,$S$1=TRUE,$S$4=FALSE),VLOOKUP($E795,'Status Thresholds'!$E:$AS,33,FALSE),IF(AND($S$3=TRUE,$S$4=FALSE),VLOOKUP($E795,'Status Thresholds'!$E:$AS,23,FALSE),IF(AND($S$3=TRUE,$S$1=TRUE,$S$4=TRUE),VLOOKUP($E795,'Status Thresholds'!$E:$AS,38,FALSE),IF(AND($S$3=TRUE,$S$4=TRUE),VLOOKUP($E795,'Status Thresholds'!$E:$AS,28,FALSE),""))))))))/IF(OR($Q$3=TRUE,AND($Q$2=TRUE,$Q$7=TRUE),AND($Q$3=TRUE,$Q$7=TRUE))=TRUE,'Shots and Status'!$F$5,IF((OR($Q$2,$Q$7)=TRUE),'Shots and Status'!$D$5,'Shots and Status'!$C$5)))),0),"-")</f>
        <v>-</v>
      </c>
      <c r="J795" s="36" t="str">
        <f>IFERROR(ROUNDUP(IF(AND($Q$1=FALSE,$S$3=FALSE),"-",IF(AND($Q$1=TRUE,$S$3=TRUE),"-",IF(AND($Q$1=TRUE,$S$1=TRUE,$S$4=FALSE),VLOOKUP($E795,'Status Thresholds'!$E:$AS,14,FALSE),IF(AND($Q$1=TRUE,$S$4=FALSE),VLOOKUP($E795,'Status Thresholds'!$E:$AS,4,FALSE), IF(AND($Q$1=TRUE,$S$1=TRUE,$S$4=TRUE),VLOOKUP($E795,'Status Thresholds'!$E:$AS,19,FALSE),IF(AND($Q$1=TRUE,$S$4=TRUE),VLOOKUP($E795,'Status Thresholds'!$E:$AS,9,FALSE),IF(AND($S$3=TRUE,$S$1=TRUE,$S$4=FALSE),VLOOKUP($E795,'Status Thresholds'!$E:$AS,34,FALSE),IF(AND($S$3=TRUE,$S$4=FALSE),VLOOKUP($E795,'Status Thresholds'!$E:$AS,24,FALSE),IF(AND($S$3=TRUE,$S$1=TRUE,$S$4=TRUE),VLOOKUP($E795,'Status Thresholds'!$E:$AS,39,FALSE),IF(AND($S$3=TRUE,$S$4=TRUE),VLOOKUP($E795,'Status Thresholds'!$E:$AS,29,FALSE),""))))))))/IF(OR($Q$3=TRUE,AND($Q$2=TRUE,$Q$7=TRUE),AND($Q$3=TRUE,$Q$7=TRUE))=TRUE,'Shots and Status'!$F$5,IF((OR($Q$2,$Q$7)=TRUE),'Shots and Status'!$D$5,'Shots and Status'!$C$5)))),0),"-")</f>
        <v>-</v>
      </c>
      <c r="K795" s="36" t="str">
        <f>IFERROR(ROUNDUP(IF(AND($Q$1=FALSE,$S$3=FALSE),"-",IF(AND($Q$1=TRUE,$S$3=TRUE),"-",IF(AND($Q$1=TRUE,$S$1=TRUE,$S$4=FALSE),VLOOKUP($E795,'Status Thresholds'!$E:$AS,15,FALSE),IF(AND($Q$1=TRUE,$S$4=FALSE),VLOOKUP($E795,'Status Thresholds'!$E:$AS,5,FALSE), IF(AND($Q$1=TRUE,$S$1=TRUE,$S$4=TRUE),VLOOKUP($E795,'Status Thresholds'!$E:$AS,20,FALSE),IF(AND($Q$1=TRUE,$S$4=TRUE),VLOOKUP($E795,'Status Thresholds'!$E:$AS,10,FALSE),IF(AND($S$3=TRUE,$S$1=TRUE,$S$4=FALSE),VLOOKUP($E795,'Status Thresholds'!$E:$AS,35,FALSE),IF(AND($S$3=TRUE,$S$4=FALSE),VLOOKUP($E795,'Status Thresholds'!$E:$AS,25,FALSE),IF(AND($S$3=TRUE,$S$1=TRUE,$S$4=TRUE),VLOOKUP($E795,'Status Thresholds'!$E:$AS,40,FALSE),IF(AND($S$3=TRUE,$S$4=TRUE),VLOOKUP($E795,'Status Thresholds'!$E:$AS,30,FALSE),""))))))))/IF(OR($Q$3=TRUE,AND($Q$2=TRUE,$Q$7=TRUE),AND($Q$3=TRUE,$Q$7=TRUE))=TRUE,'Shots and Status'!$F$5,IF((OR($Q$2,$Q$7)=TRUE),'Shots and Status'!$D$5,'Shots and Status'!$C$5)))),0),"-")</f>
        <v>-</v>
      </c>
      <c r="L795" s="36" t="str">
        <f>IFERROR(IF(AND($Q$1=FALSE,$S$3=FALSE),"-",VLOOKUP($E795,'Status Thresholds'!$E:$AU,41,FALSE)),"-")</f>
        <v>-</v>
      </c>
      <c r="M795" s="36" t="str">
        <f>IFERROR(IF(AND($Q$1=FALSE,$S$3=FALSE),"-",VLOOKUP($E795,'Status Thresholds'!$E:$AU,42,FALSE)),"-")</f>
        <v>-</v>
      </c>
      <c r="N795" s="36" t="str">
        <f>IFERROR(IF(AND($Q$1=FALSE,$S$3=FALSE),"-",VLOOKUP($E795,'Status Thresholds'!$E:$AU,43,FALSE)),"-")</f>
        <v>-</v>
      </c>
    </row>
    <row r="796" spans="2:14" x14ac:dyDescent="0.25">
      <c r="B796" s="64" t="str">
        <f>VLOOKUP(C796,'Status Thresholds'!B:C,2,FALSE)</f>
        <v>MHGU</v>
      </c>
      <c r="C796" s="46" t="str">
        <f>IF(ISBLANK('KO Calc'!C792)=TRUE,"",'KO Calc'!C792)</f>
        <v>Valtrax</v>
      </c>
      <c r="D796" s="67" t="s">
        <v>14</v>
      </c>
      <c r="E796" s="62" t="str">
        <f t="shared" si="23"/>
        <v>ValtraxKO</v>
      </c>
      <c r="F796" s="36" t="s">
        <v>21</v>
      </c>
      <c r="G796" s="36" t="str">
        <f t="shared" si="24"/>
        <v>ValtraxTriblast</v>
      </c>
      <c r="H796" s="36" t="str">
        <f>IF(AND($Q$1=FALSE,$S$3=FALSE),"-",IF(AND($Q$1=TRUE,$S$3=TRUE),"-",IF(AND($Q$1=FALSE,$S$3=FALSE),"-",IF(AND($Q$1=TRUE,$S$1=TRUE,$S$4=FALSE)=TRUE,IF(OR($Q$4=TRUE,$Q$5=TRUE,$S$2=TRUE),VLOOKUP($G796,'KO Calc'!$H:$AW,12,FALSE),VLOOKUP($G796,'KO Calc'!$H802:$AW802,12,FALSE)),IF(AND($Q$1=TRUE,$S$4=FALSE),IF(OR($Q$4=TRUE,$Q$5=TRUE,$S$2=TRUE),VLOOKUP($G796,'KO Calc'!$H:$AW,2,FALSE),VLOOKUP($G796,'KO Calc'!$H802:$AW802,2,FALSE)),
IF(AND($Q$1=TRUE,$S$1=TRUE,$S$4=TRUE)=TRUE,IF(OR($Q$4=TRUE,$Q$5=TRUE,$S$2=TRUE),VLOOKUP($G796,'KO Calc'!$H:$AW,17,FALSE),VLOOKUP($G796,'KO Calc'!$H802:$AW802,17,FALSE)),IF(AND($Q$1=TRUE,$S$4=TRUE),IF(OR($Q$4=TRUE,$Q$5=TRUE,$S$2=TRUE),VLOOKUP($G796,'KO Calc'!$H:$AW,7,FALSE),VLOOKUP($G796,'KO Calc'!$H802:$AW802,7,FALSE)),
IF(AND($S$3=TRUE,$S$1=TRUE,$S$4=FALSE)=TRUE,IF(OR($Q$4=TRUE,$Q$5=TRUE,$S$2=TRUE),VLOOKUP($G796,'KO Calc'!$H:$AW,32,FALSE),VLOOKUP($G796,'KO Calc'!$H802:$AW802,32,FALSE)),IF(AND($S$3=TRUE,$S$4=FALSE),IF(OR($Q$4=TRUE,$Q$5=TRUE,$S$2=TRUE),VLOOKUP($G796,'KO Calc'!$H:$AW,22,FALSE),VLOOKUP($G796,'KO Calc'!$H802:$AW802,22,FALSE)),
IF(AND($S$3=TRUE,$S$1=TRUE,$S$4=TRUE)=TRUE,IF(OR($Q$4=TRUE,$Q$5=TRUE,$S$2=TRUE),VLOOKUP($G796,'KO Calc'!$H:$AW,37,FALSE),VLOOKUP($G796,'KO Calc'!$H802:$AW802,37,FALSE)),IF(AND($S$3=TRUE,$S$4=TRUE),IF(OR($Q$4=TRUE,$Q$5=TRUE,$S$2=TRUE),VLOOKUP($G796,'KO Calc'!$H:$AW,27,FALSE),VLOOKUP($G796,'KO Calc'!$H802:$AW802,27,FALSE)))))))))))))</f>
        <v>-</v>
      </c>
      <c r="I796" s="36" t="str">
        <f>IF(AND($Q$1=FALSE,$S$3=FALSE),"-",IF(AND($Q$1=TRUE,$S$3=TRUE),"-",IF(AND($Q$1=FALSE,$S$3=FALSE),"-",IF(AND($Q$1=TRUE,$S$1=TRUE,$S$4=FALSE)=TRUE,IF(OR($Q$4=TRUE,$Q$5=TRUE,$S$2=TRUE),VLOOKUP($G796,'KO Calc'!$H:$AW,13,FALSE),VLOOKUP($G796,'KO Calc'!$H802:$AW802,13,FALSE)),IF(AND($Q$1=TRUE,$S$4=FALSE),IF(OR($Q$4=TRUE,$Q$5=TRUE,$S$2=TRUE),VLOOKUP($G796,'KO Calc'!$H:$AW,3,FALSE),VLOOKUP($G796,'KO Calc'!$H802:$AW802,3,FALSE)),
IF(AND($Q$1=TRUE,$S$1=TRUE,$S$4=TRUE)=TRUE,IF(OR($Q$4=TRUE,$Q$5=TRUE,$S$2=TRUE),VLOOKUP($G796,'KO Calc'!$H:$AW,18,FALSE),VLOOKUP($G796,'KO Calc'!$H802:$AW802,18,FALSE)),IF(AND($Q$1=TRUE,$S$4=TRUE),IF(OR($Q$4=TRUE,$Q$5=TRUE,$S$2=TRUE),VLOOKUP($G796,'KO Calc'!$H:$AW,8,FALSE),VLOOKUP($G796,'KO Calc'!$H802:$AW802,8,FALSE)),
IF(AND($S$3=TRUE,$S$1=TRUE,$S$4=FALSE)=TRUE,IF(OR($Q$4=TRUE,$Q$5=TRUE,$S$2=TRUE),VLOOKUP($G796,'KO Calc'!$H:$AW,33,FALSE),VLOOKUP($G796,'KO Calc'!$H802:$AW802,33,FALSE)),IF(AND($S$3=TRUE,$S$4=FALSE),IF(OR($Q$4=TRUE,$Q$5=TRUE,$S$2=TRUE),VLOOKUP($G796,'KO Calc'!$H:$AW,23,FALSE),VLOOKUP($G796,'KO Calc'!$H802:$AW802,23,FALSE)),
IF(AND($S$3=TRUE,$S$1=TRUE,$S$4=TRUE)=TRUE,IF(OR($Q$4=TRUE,$Q$5=TRUE,$S$2=TRUE),VLOOKUP($G796,'KO Calc'!$H:$AW,38,FALSE),VLOOKUP($G796,'KO Calc'!$H802:$AW802,38,FALSE)),IF(AND($S$3=TRUE,$S$4=TRUE),IF(OR($Q$4=TRUE,$Q$5=TRUE,$S$2=TRUE),VLOOKUP($G796,'KO Calc'!$H:$AW,28,FALSE),VLOOKUP($G796,'KO Calc'!$H802:$AW802,28,FALSE)))))))))))))</f>
        <v>-</v>
      </c>
      <c r="J796" s="36" t="str">
        <f>IF(AND($Q$1=FALSE,$S$3=FALSE),"-",IF(AND($Q$1=TRUE,$S$3=TRUE),"-",IF(AND($Q$1=FALSE,$S$3=FALSE),"-",IF(AND($Q$1=TRUE,$S$1=TRUE,$S$4=FALSE)=TRUE,IF(OR($Q$4=TRUE,$Q$5=TRUE,$S$2=TRUE),VLOOKUP($G796,'KO Calc'!$H:$AW,FALSE),VLOOKUP($G796,'KO Calc'!$H802:$AW802,14,FALSE)),IF(AND($Q$1=TRUE,$S$4=FALSE),IF(OR($Q$4=TRUE,$Q$5=TRUE,$S$2=TRUE),VLOOKUP($G796,'KO Calc'!$H:$AW,4,FALSE),VLOOKUP($G796,'KO Calc'!$H802:$AW802,4,FALSE)),
IF(AND($Q$1=TRUE,$S$1=TRUE,$S$4=TRUE)=TRUE,IF(OR($Q$4=TRUE,$Q$5=TRUE,$S$2=TRUE),VLOOKUP($G796,'KO Calc'!$H:$AW,19,FALSE),VLOOKUP($G796,'KO Calc'!$H802:$AW802,19,FALSE)),IF(AND($Q$1=TRUE,$S$4=TRUE),IF(OR($Q$4=TRUE,$Q$5=TRUE,$S$2=TRUE),VLOOKUP($G796,'KO Calc'!$H:$AW,9,FALSE),VLOOKUP($G796,'KO Calc'!$H802:$AW802,9,FALSE)),
IF(AND($S$3=TRUE,$S$1=TRUE,$S$4=FALSE)=TRUE,IF(OR($Q$4=TRUE,$Q$5=TRUE,$S$2=TRUE),VLOOKUP($G796,'KO Calc'!$H:$AW,34,FALSE),VLOOKUP($G796,'KO Calc'!$H802:$AW802,34,FALSE)),IF(AND($S$3=TRUE,$S$4=FALSE),IF(OR($Q$4=TRUE,$Q$5=TRUE,$S$2=TRUE),VLOOKUP($G796,'KO Calc'!$H:$AW,24,FALSE),VLOOKUP($G796,'KO Calc'!$H802:$AW802,24,FALSE)),
IF(AND($S$3=TRUE,$S$1=TRUE,$S$4=TRUE)=TRUE,IF(OR($Q$4=TRUE,$Q$5=TRUE,$S$2=TRUE),VLOOKUP($G796,'KO Calc'!$H:$AW,39,FALSE),VLOOKUP($G796,'KO Calc'!$H802:$AW802,39,FALSE)),IF(AND($S$3=TRUE,$S$4=TRUE),IF(OR($Q$4=TRUE,$Q$5=TRUE,$S$2=TRUE),VLOOKUP($G796,'KO Calc'!$H:$AW,29,FALSE),VLOOKUP($G796,'KO Calc'!$H802:$AW802,29,FALSE)))))))))))))</f>
        <v>-</v>
      </c>
      <c r="K796" s="36" t="str">
        <f>IF(AND($Q$1=FALSE,$S$3=FALSE),"-",IF(AND($Q$1=TRUE,$S$3=TRUE),"-",IF(AND($Q$1=FALSE,$S$3=FALSE),"-",IF(AND($Q$1=TRUE,$S$1=TRUE,$S$4=FALSE)=TRUE,IF(OR($Q$4=TRUE,$Q$5=TRUE,$S$2=TRUE),VLOOKUP($G796,'KO Calc'!$H:$AW,15,FALSE),VLOOKUP($G796,'KO Calc'!$H802:$AW802,15,FALSE)),IF(AND($Q$1=TRUE,$S$4=FALSE),IF(OR($Q$4=TRUE,$Q$5=TRUE,$S$2=TRUE),VLOOKUP($G796,'KO Calc'!$H:$AW,5,FALSE),VLOOKUP($G796,'KO Calc'!$H802:$AW802,5,FALSE)),
IF(AND($Q$1=TRUE,$S$1=TRUE,$S$4=TRUE)=TRUE,IF(OR($Q$4=TRUE,$Q$5=TRUE,$S$2=TRUE),VLOOKUP($G796,'KO Calc'!$H:$AW,20,FALSE),VLOOKUP($G796,'KO Calc'!$H802:$AW802,20,FALSE)),IF(AND($Q$1=TRUE,$S$4=TRUE),IF(OR($Q$4=TRUE,$Q$5=TRUE,$S$2=TRUE),VLOOKUP($G796,'KO Calc'!$H:$AW,10,FALSE),VLOOKUP($G796,'KO Calc'!$H802:$AW802,10,FALSE)),
IF(AND($S$3=TRUE,$S$1=TRUE,$S$4=FALSE)=TRUE,IF(OR($Q$4=TRUE,$Q$5=TRUE,$S$2=TRUE),VLOOKUP($G796,'KO Calc'!$H:$AW,35,FALSE),VLOOKUP($G796,'KO Calc'!$H802:$AW802,35,FALSE)),IF(AND($S$3=TRUE,$S$4=FALSE),IF(OR($Q$4=TRUE,$Q$5=TRUE,$S$2=TRUE),VLOOKUP($G796,'KO Calc'!$H:$AW,25,FALSE),VLOOKUP($G796,'KO Calc'!$H802:$AW802,25,FALSE)),
IF(AND($S$3=TRUE,$S$1=TRUE,$S$4=TRUE)=TRUE,IF(OR($Q$4=TRUE,$Q$5=TRUE,$S$2=TRUE),VLOOKUP($G796,'KO Calc'!$H:$AW,40,FALSE),VLOOKUP($G796,'KO Calc'!$H802:$AW802,40,FALSE)),IF(AND($S$3=TRUE,$S$4=TRUE),IF(OR($Q$4=TRUE,$Q$5=TRUE,$S$2=TRUE),VLOOKUP($G796,'KO Calc'!$H:$AW,30,FALSE),VLOOKUP($G796,'KO Calc'!$H802:$AW802,30,FALSE)))))))))))))</f>
        <v>-</v>
      </c>
      <c r="L796" s="36" t="str">
        <f>IFERROR(IF(AND($Q$1=FALSE,$S$3=FALSE),"-",VLOOKUP($E796,'Status Thresholds'!$E:$AU,41,FALSE)),"-")</f>
        <v>-</v>
      </c>
      <c r="M796" s="36" t="str">
        <f>IFERROR(IF(AND($Q$1=FALSE,$S$3=FALSE),"-",VLOOKUP($E796,'Status Thresholds'!$E:$AU,42,FALSE)),"-")</f>
        <v>-</v>
      </c>
      <c r="N796" s="36" t="str">
        <f>IFERROR(IF(AND($Q$1=FALSE,$S$3=FALSE),"-",VLOOKUP($E796,'Status Thresholds'!$E:$AU,43,FALSE)),"-")</f>
        <v>-</v>
      </c>
    </row>
    <row r="797" spans="2:14" x14ac:dyDescent="0.25">
      <c r="B797" s="64" t="str">
        <f>VLOOKUP(C797,'Status Thresholds'!B:C,2,FALSE)</f>
        <v>MHGU</v>
      </c>
      <c r="C797" s="46" t="str">
        <f>IF(ISBLANK('KO Calc'!C793)=TRUE,"",'KO Calc'!C793)</f>
        <v>Valtrax</v>
      </c>
      <c r="D797" s="78" t="s">
        <v>207</v>
      </c>
      <c r="E797" s="62" t="str">
        <f t="shared" si="23"/>
        <v>ValtraxShock Trap</v>
      </c>
      <c r="F797" t="s">
        <v>13</v>
      </c>
      <c r="G797" s="36" t="str">
        <f t="shared" si="24"/>
        <v>ValtraxCrag 3</v>
      </c>
      <c r="H797" s="36" t="str">
        <f>IF(AND($Q$1=FALSE,$S$3=FALSE),"-",IF(AND($Q$1=TRUE,$S$3=TRUE),"-",IF(AND($Q$1=FALSE,$S$3=FALSE),"-",IF(AND($Q$1=TRUE,$S$1=TRUE,$S$4=FALSE)=TRUE,IF(OR($Q$4=TRUE,$Q$5=TRUE,$S$2=TRUE),VLOOKUP($G797,'KO Calc'!$H:$AW,12,FALSE),VLOOKUP($G797,'KO Calc'!$H803:$AW803,12,FALSE)),IF(AND($Q$1=TRUE,$S$4=FALSE),IF(OR($Q$4=TRUE,$Q$5=TRUE,$S$2=TRUE),VLOOKUP($G797,'KO Calc'!$H:$AW,2,FALSE),VLOOKUP($G797,'KO Calc'!$H803:$AW803,2,FALSE)),
IF(AND($Q$1=TRUE,$S$1=TRUE,$S$4=TRUE)=TRUE,IF(OR($Q$4=TRUE,$Q$5=TRUE,$S$2=TRUE),VLOOKUP($G797,'KO Calc'!$H:$AW,17,FALSE),VLOOKUP($G797,'KO Calc'!$H803:$AW803,17,FALSE)),IF(AND($Q$1=TRUE,$S$4=TRUE),IF(OR($Q$4=TRUE,$Q$5=TRUE,$S$2=TRUE),VLOOKUP($G797,'KO Calc'!$H:$AW,7,FALSE),VLOOKUP($G797,'KO Calc'!$H803:$AW803,7,FALSE)),
IF(AND($S$3=TRUE,$S$1=TRUE,$S$4=FALSE)=TRUE,IF(OR($Q$4=TRUE,$Q$5=TRUE,$S$2=TRUE),VLOOKUP($G797,'KO Calc'!$H:$AW,32,FALSE),VLOOKUP($G797,'KO Calc'!$H803:$AW803,32,FALSE)),IF(AND($S$3=TRUE,$S$4=FALSE),IF(OR($Q$4=TRUE,$Q$5=TRUE,$S$2=TRUE),VLOOKUP($G797,'KO Calc'!$H:$AW,22,FALSE),VLOOKUP($G797,'KO Calc'!$H803:$AW803,22,FALSE)),
IF(AND($S$3=TRUE,$S$1=TRUE,$S$4=TRUE)=TRUE,IF(OR($Q$4=TRUE,$Q$5=TRUE,$S$2=TRUE),VLOOKUP($G797,'KO Calc'!$H:$AW,37,FALSE),VLOOKUP($G797,'KO Calc'!$H803:$AW803,37,FALSE)),IF(AND($S$3=TRUE,$S$4=TRUE),IF(OR($Q$4=TRUE,$Q$5=TRUE,$S$2=TRUE),VLOOKUP($G797,'KO Calc'!$H:$AW,27,FALSE),VLOOKUP($G797,'KO Calc'!$H803:$AW803,27,FALSE)))))))))))))</f>
        <v>-</v>
      </c>
      <c r="I797" s="36" t="str">
        <f>IF(AND($Q$1=FALSE,$S$3=FALSE),"-",IF(AND($Q$1=TRUE,$S$3=TRUE),"-",IF(AND($Q$1=FALSE,$S$3=FALSE),"-",IF(AND($Q$1=TRUE,$S$1=TRUE,$S$4=FALSE)=TRUE,IF(OR($Q$4=TRUE,$Q$5=TRUE,$S$2=TRUE),VLOOKUP($G797,'KO Calc'!$H:$AW,13,FALSE),VLOOKUP($G797,'KO Calc'!$H803:$AW803,13,FALSE)),IF(AND($Q$1=TRUE,$S$4=FALSE),IF(OR($Q$4=TRUE,$Q$5=TRUE,$S$2=TRUE),VLOOKUP($G797,'KO Calc'!$H:$AW,3,FALSE),VLOOKUP($G797,'KO Calc'!$H803:$AW803,3,FALSE)),
IF(AND($Q$1=TRUE,$S$1=TRUE,$S$4=TRUE)=TRUE,IF(OR($Q$4=TRUE,$Q$5=TRUE,$S$2=TRUE),VLOOKUP($G797,'KO Calc'!$H:$AW,18,FALSE),VLOOKUP($G797,'KO Calc'!$H803:$AW803,18,FALSE)),IF(AND($Q$1=TRUE,$S$4=TRUE),IF(OR($Q$4=TRUE,$Q$5=TRUE,$S$2=TRUE),VLOOKUP($G797,'KO Calc'!$H:$AW,8,FALSE),VLOOKUP($G797,'KO Calc'!$H803:$AW803,8,FALSE)),
IF(AND($S$3=TRUE,$S$1=TRUE,$S$4=FALSE)=TRUE,IF(OR($Q$4=TRUE,$Q$5=TRUE,$S$2=TRUE),VLOOKUP($G797,'KO Calc'!$H:$AW,33,FALSE),VLOOKUP($G797,'KO Calc'!$H803:$AW803,33,FALSE)),IF(AND($S$3=TRUE,$S$4=FALSE),IF(OR($Q$4=TRUE,$Q$5=TRUE,$S$2=TRUE),VLOOKUP($G797,'KO Calc'!$H:$AW,23,FALSE),VLOOKUP($G797,'KO Calc'!$H803:$AW803,23,FALSE)),
IF(AND($S$3=TRUE,$S$1=TRUE,$S$4=TRUE)=TRUE,IF(OR($Q$4=TRUE,$Q$5=TRUE,$S$2=TRUE),VLOOKUP($G797,'KO Calc'!$H:$AW,38,FALSE),VLOOKUP($G797,'KO Calc'!$H803:$AW803,38,FALSE)),IF(AND($S$3=TRUE,$S$4=TRUE),IF(OR($Q$4=TRUE,$Q$5=TRUE,$S$2=TRUE),VLOOKUP($G797,'KO Calc'!$H:$AW,28,FALSE),VLOOKUP($G797,'KO Calc'!$H803:$AW803,28,FALSE)))))))))))))</f>
        <v>-</v>
      </c>
      <c r="J797" s="36" t="str">
        <f>IF(AND($Q$1=FALSE,$S$3=FALSE),"-",IF(AND($Q$1=TRUE,$S$3=TRUE),"-",IF(AND($Q$1=FALSE,$S$3=FALSE),"-",IF(AND($Q$1=TRUE,$S$1=TRUE,$S$4=FALSE)=TRUE,IF(OR($Q$4=TRUE,$Q$5=TRUE,$S$2=TRUE),VLOOKUP($G797,'KO Calc'!$H:$AW,FALSE),VLOOKUP($G797,'KO Calc'!$H803:$AW803,14,FALSE)),IF(AND($Q$1=TRUE,$S$4=FALSE),IF(OR($Q$4=TRUE,$Q$5=TRUE,$S$2=TRUE),VLOOKUP($G797,'KO Calc'!$H:$AW,4,FALSE),VLOOKUP($G797,'KO Calc'!$H803:$AW803,4,FALSE)),
IF(AND($Q$1=TRUE,$S$1=TRUE,$S$4=TRUE)=TRUE,IF(OR($Q$4=TRUE,$Q$5=TRUE,$S$2=TRUE),VLOOKUP($G797,'KO Calc'!$H:$AW,19,FALSE),VLOOKUP($G797,'KO Calc'!$H803:$AW803,19,FALSE)),IF(AND($Q$1=TRUE,$S$4=TRUE),IF(OR($Q$4=TRUE,$Q$5=TRUE,$S$2=TRUE),VLOOKUP($G797,'KO Calc'!$H:$AW,9,FALSE),VLOOKUP($G797,'KO Calc'!$H803:$AW803,9,FALSE)),
IF(AND($S$3=TRUE,$S$1=TRUE,$S$4=FALSE)=TRUE,IF(OR($Q$4=TRUE,$Q$5=TRUE,$S$2=TRUE),VLOOKUP($G797,'KO Calc'!$H:$AW,34,FALSE),VLOOKUP($G797,'KO Calc'!$H803:$AW803,34,FALSE)),IF(AND($S$3=TRUE,$S$4=FALSE),IF(OR($Q$4=TRUE,$Q$5=TRUE,$S$2=TRUE),VLOOKUP($G797,'KO Calc'!$H:$AW,24,FALSE),VLOOKUP($G797,'KO Calc'!$H803:$AW803,24,FALSE)),
IF(AND($S$3=TRUE,$S$1=TRUE,$S$4=TRUE)=TRUE,IF(OR($Q$4=TRUE,$Q$5=TRUE,$S$2=TRUE),VLOOKUP($G797,'KO Calc'!$H:$AW,39,FALSE),VLOOKUP($G797,'KO Calc'!$H803:$AW803,39,FALSE)),IF(AND($S$3=TRUE,$S$4=TRUE),IF(OR($Q$4=TRUE,$Q$5=TRUE,$S$2=TRUE),VLOOKUP($G797,'KO Calc'!$H:$AW,29,FALSE),VLOOKUP($G797,'KO Calc'!$H803:$AW803,29,FALSE)))))))))))))</f>
        <v>-</v>
      </c>
      <c r="K797" s="36" t="str">
        <f>IF(AND($Q$1=FALSE,$S$3=FALSE),"-",IF(AND($Q$1=TRUE,$S$3=TRUE),"-",IF(AND($Q$1=FALSE,$S$3=FALSE),"-",IF(AND($Q$1=TRUE,$S$1=TRUE,$S$4=FALSE)=TRUE,IF(OR($Q$4=TRUE,$Q$5=TRUE,$S$2=TRUE),VLOOKUP($G797,'KO Calc'!$H:$AW,15,FALSE),VLOOKUP($G797,'KO Calc'!$H803:$AW803,15,FALSE)),IF(AND($Q$1=TRUE,$S$4=FALSE),IF(OR($Q$4=TRUE,$Q$5=TRUE,$S$2=TRUE),VLOOKUP($G797,'KO Calc'!$H:$AW,5,FALSE),VLOOKUP($G797,'KO Calc'!$H803:$AW803,5,FALSE)),
IF(AND($Q$1=TRUE,$S$1=TRUE,$S$4=TRUE)=TRUE,IF(OR($Q$4=TRUE,$Q$5=TRUE,$S$2=TRUE),VLOOKUP($G797,'KO Calc'!$H:$AW,20,FALSE),VLOOKUP($G797,'KO Calc'!$H803:$AW803,20,FALSE)),IF(AND($Q$1=TRUE,$S$4=TRUE),IF(OR($Q$4=TRUE,$Q$5=TRUE,$S$2=TRUE),VLOOKUP($G797,'KO Calc'!$H:$AW,10,FALSE),VLOOKUP($G797,'KO Calc'!$H803:$AW803,10,FALSE)),
IF(AND($S$3=TRUE,$S$1=TRUE,$S$4=FALSE)=TRUE,IF(OR($Q$4=TRUE,$Q$5=TRUE,$S$2=TRUE),VLOOKUP($G797,'KO Calc'!$H:$AW,35,FALSE),VLOOKUP($G797,'KO Calc'!$H803:$AW803,35,FALSE)),IF(AND($S$3=TRUE,$S$4=FALSE),IF(OR($Q$4=TRUE,$Q$5=TRUE,$S$2=TRUE),VLOOKUP($G797,'KO Calc'!$H:$AW,25,FALSE),VLOOKUP($G797,'KO Calc'!$H803:$AW803,25,FALSE)),
IF(AND($S$3=TRUE,$S$1=TRUE,$S$4=TRUE)=TRUE,IF(OR($Q$4=TRUE,$Q$5=TRUE,$S$2=TRUE),VLOOKUP($G797,'KO Calc'!$H:$AW,40,FALSE),VLOOKUP($G797,'KO Calc'!$H803:$AW803,40,FALSE)),IF(AND($S$3=TRUE,$S$4=TRUE),IF(OR($Q$4=TRUE,$Q$5=TRUE,$S$2=TRUE),VLOOKUP($G797,'KO Calc'!$H:$AW,30,FALSE),VLOOKUP($G797,'KO Calc'!$H803:$AW803,30,FALSE)))))))))))))</f>
        <v>-</v>
      </c>
      <c r="L797" s="36" t="str">
        <f>IFERROR(IF(AND($Q$1=FALSE,$S$3=FALSE),"-",VLOOKUP($E797,'Status Thresholds'!$E:$AU,43,FALSE)),"-")</f>
        <v>-</v>
      </c>
      <c r="M797" s="36" t="str">
        <f>IFERROR(IF(AND($Q$1=FALSE,$S$3=FALSE),"-",VLOOKUP($E797,'Status Thresholds'!$E:$AU,41,FALSE)),"-")</f>
        <v>-</v>
      </c>
      <c r="N797" s="36" t="str">
        <f>IFERROR(IF(AND($Q$1=FALSE,$S$3=FALSE),"-",VLOOKUP($E797,'Status Thresholds'!$E:$AU,42,FALSE)),"-")</f>
        <v>-</v>
      </c>
    </row>
    <row r="798" spans="2:14" x14ac:dyDescent="0.25">
      <c r="B798" s="64" t="str">
        <f>VLOOKUP(C798,'Status Thresholds'!B:C,2,FALSE)</f>
        <v>MHGU</v>
      </c>
      <c r="C798" s="46" t="str">
        <f>IF(ISBLANK('KO Calc'!C794)=TRUE,"",'KO Calc'!C794)</f>
        <v>Valtrax</v>
      </c>
      <c r="D798" s="78" t="s">
        <v>213</v>
      </c>
      <c r="E798" s="62" t="str">
        <f t="shared" si="23"/>
        <v>ValtraxPitfall Trap</v>
      </c>
      <c r="F798" t="s">
        <v>12</v>
      </c>
      <c r="G798" s="36" t="str">
        <f t="shared" si="24"/>
        <v>ValtraxCrag 2</v>
      </c>
      <c r="H798" s="36" t="str">
        <f>IF(AND($Q$1=FALSE,$S$3=FALSE),"-",IF(AND($Q$1=TRUE,$S$3=TRUE),"-",IF(AND($Q$1=FALSE,$S$3=FALSE),"-",IF(AND($Q$1=TRUE,$S$1=TRUE,$S$4=FALSE)=TRUE,IF(OR($Q$4=TRUE,$Q$5=TRUE,$S$2=TRUE),VLOOKUP($G798,'KO Calc'!$H:$AW,12,FALSE),VLOOKUP($G798,'KO Calc'!$H804:$AW804,12,FALSE)),IF(AND($Q$1=TRUE,$S$4=FALSE),IF(OR($Q$4=TRUE,$Q$5=TRUE,$S$2=TRUE),VLOOKUP($G798,'KO Calc'!$H:$AW,2,FALSE),VLOOKUP($G798,'KO Calc'!$H804:$AW804,2,FALSE)),
IF(AND($Q$1=TRUE,$S$1=TRUE,$S$4=TRUE)=TRUE,IF(OR($Q$4=TRUE,$Q$5=TRUE,$S$2=TRUE),VLOOKUP($G798,'KO Calc'!$H:$AW,17,FALSE),VLOOKUP($G798,'KO Calc'!$H804:$AW804,17,FALSE)),IF(AND($Q$1=TRUE,$S$4=TRUE),IF(OR($Q$4=TRUE,$Q$5=TRUE,$S$2=TRUE),VLOOKUP($G798,'KO Calc'!$H:$AW,7,FALSE),VLOOKUP($G798,'KO Calc'!$H804:$AW804,7,FALSE)),
IF(AND($S$3=TRUE,$S$1=TRUE,$S$4=FALSE)=TRUE,IF(OR($Q$4=TRUE,$Q$5=TRUE,$S$2=TRUE),VLOOKUP($G798,'KO Calc'!$H:$AW,32,FALSE),VLOOKUP($G798,'KO Calc'!$H804:$AW804,32,FALSE)),IF(AND($S$3=TRUE,$S$4=FALSE),IF(OR($Q$4=TRUE,$Q$5=TRUE,$S$2=TRUE),VLOOKUP($G798,'KO Calc'!$H:$AW,22,FALSE),VLOOKUP($G798,'KO Calc'!$H804:$AW804,22,FALSE)),
IF(AND($S$3=TRUE,$S$1=TRUE,$S$4=TRUE)=TRUE,IF(OR($Q$4=TRUE,$Q$5=TRUE,$S$2=TRUE),VLOOKUP($G798,'KO Calc'!$H:$AW,37,FALSE),VLOOKUP($G798,'KO Calc'!$H804:$AW804,37,FALSE)),IF(AND($S$3=TRUE,$S$4=TRUE),IF(OR($Q$4=TRUE,$Q$5=TRUE,$S$2=TRUE),VLOOKUP($G798,'KO Calc'!$H:$AW,27,FALSE),VLOOKUP($G798,'KO Calc'!$H804:$AW804,27,FALSE)))))))))))))</f>
        <v>-</v>
      </c>
      <c r="I798" s="36" t="str">
        <f>IF(AND($Q$1=FALSE,$S$3=FALSE),"-",IF(AND($Q$1=TRUE,$S$3=TRUE),"-",IF(AND($Q$1=FALSE,$S$3=FALSE),"-",IF(AND($Q$1=TRUE,$S$1=TRUE,$S$4=FALSE)=TRUE,IF(OR($Q$4=TRUE,$Q$5=TRUE,$S$2=TRUE),VLOOKUP($G798,'KO Calc'!$H:$AW,13,FALSE),VLOOKUP($G798,'KO Calc'!$H804:$AW804,13,FALSE)),IF(AND($Q$1=TRUE,$S$4=FALSE),IF(OR($Q$4=TRUE,$Q$5=TRUE,$S$2=TRUE),VLOOKUP($G798,'KO Calc'!$H:$AW,3,FALSE),VLOOKUP($G798,'KO Calc'!$H804:$AW804,3,FALSE)),
IF(AND($Q$1=TRUE,$S$1=TRUE,$S$4=TRUE)=TRUE,IF(OR($Q$4=TRUE,$Q$5=TRUE,$S$2=TRUE),VLOOKUP($G798,'KO Calc'!$H:$AW,18,FALSE),VLOOKUP($G798,'KO Calc'!$H804:$AW804,18,FALSE)),IF(AND($Q$1=TRUE,$S$4=TRUE),IF(OR($Q$4=TRUE,$Q$5=TRUE,$S$2=TRUE),VLOOKUP($G798,'KO Calc'!$H:$AW,8,FALSE),VLOOKUP($G798,'KO Calc'!$H804:$AW804,8,FALSE)),
IF(AND($S$3=TRUE,$S$1=TRUE,$S$4=FALSE)=TRUE,IF(OR($Q$4=TRUE,$Q$5=TRUE,$S$2=TRUE),VLOOKUP($G798,'KO Calc'!$H:$AW,33,FALSE),VLOOKUP($G798,'KO Calc'!$H804:$AW804,33,FALSE)),IF(AND($S$3=TRUE,$S$4=FALSE),IF(OR($Q$4=TRUE,$Q$5=TRUE,$S$2=TRUE),VLOOKUP($G798,'KO Calc'!$H:$AW,23,FALSE),VLOOKUP($G798,'KO Calc'!$H804:$AW804,23,FALSE)),
IF(AND($S$3=TRUE,$S$1=TRUE,$S$4=TRUE)=TRUE,IF(OR($Q$4=TRUE,$Q$5=TRUE,$S$2=TRUE),VLOOKUP($G798,'KO Calc'!$H:$AW,38,FALSE),VLOOKUP($G798,'KO Calc'!$H804:$AW804,38,FALSE)),IF(AND($S$3=TRUE,$S$4=TRUE),IF(OR($Q$4=TRUE,$Q$5=TRUE,$S$2=TRUE),VLOOKUP($G798,'KO Calc'!$H:$AW,28,FALSE),VLOOKUP($G798,'KO Calc'!$H804:$AW804,28,FALSE)))))))))))))</f>
        <v>-</v>
      </c>
      <c r="J798" s="36" t="str">
        <f>IF(AND($Q$1=FALSE,$S$3=FALSE),"-",IF(AND($Q$1=TRUE,$S$3=TRUE),"-",IF(AND($Q$1=FALSE,$S$3=FALSE),"-",IF(AND($Q$1=TRUE,$S$1=TRUE,$S$4=FALSE)=TRUE,IF(OR($Q$4=TRUE,$Q$5=TRUE,$S$2=TRUE),VLOOKUP($G798,'KO Calc'!$H:$AW,FALSE),VLOOKUP($G798,'KO Calc'!$H804:$AW804,14,FALSE)),IF(AND($Q$1=TRUE,$S$4=FALSE),IF(OR($Q$4=TRUE,$Q$5=TRUE,$S$2=TRUE),VLOOKUP($G798,'KO Calc'!$H:$AW,4,FALSE),VLOOKUP($G798,'KO Calc'!$H804:$AW804,4,FALSE)),
IF(AND($Q$1=TRUE,$S$1=TRUE,$S$4=TRUE)=TRUE,IF(OR($Q$4=TRUE,$Q$5=TRUE,$S$2=TRUE),VLOOKUP($G798,'KO Calc'!$H:$AW,19,FALSE),VLOOKUP($G798,'KO Calc'!$H804:$AW804,19,FALSE)),IF(AND($Q$1=TRUE,$S$4=TRUE),IF(OR($Q$4=TRUE,$Q$5=TRUE,$S$2=TRUE),VLOOKUP($G798,'KO Calc'!$H:$AW,9,FALSE),VLOOKUP($G798,'KO Calc'!$H804:$AW804,9,FALSE)),
IF(AND($S$3=TRUE,$S$1=TRUE,$S$4=FALSE)=TRUE,IF(OR($Q$4=TRUE,$Q$5=TRUE,$S$2=TRUE),VLOOKUP($G798,'KO Calc'!$H:$AW,34,FALSE),VLOOKUP($G798,'KO Calc'!$H804:$AW804,34,FALSE)),IF(AND($S$3=TRUE,$S$4=FALSE),IF(OR($Q$4=TRUE,$Q$5=TRUE,$S$2=TRUE),VLOOKUP($G798,'KO Calc'!$H:$AW,24,FALSE),VLOOKUP($G798,'KO Calc'!$H804:$AW804,24,FALSE)),
IF(AND($S$3=TRUE,$S$1=TRUE,$S$4=TRUE)=TRUE,IF(OR($Q$4=TRUE,$Q$5=TRUE,$S$2=TRUE),VLOOKUP($G798,'KO Calc'!$H:$AW,39,FALSE),VLOOKUP($G798,'KO Calc'!$H804:$AW804,39,FALSE)),IF(AND($S$3=TRUE,$S$4=TRUE),IF(OR($Q$4=TRUE,$Q$5=TRUE,$S$2=TRUE),VLOOKUP($G798,'KO Calc'!$H:$AW,29,FALSE),VLOOKUP($G798,'KO Calc'!$H804:$AW804,29,FALSE)))))))))))))</f>
        <v>-</v>
      </c>
      <c r="K798" s="36" t="str">
        <f>IF(AND($Q$1=FALSE,$S$3=FALSE),"-",IF(AND($Q$1=TRUE,$S$3=TRUE),"-",IF(AND($Q$1=FALSE,$S$3=FALSE),"-",IF(AND($Q$1=TRUE,$S$1=TRUE,$S$4=FALSE)=TRUE,IF(OR($Q$4=TRUE,$Q$5=TRUE,$S$2=TRUE),VLOOKUP($G798,'KO Calc'!$H:$AW,15,FALSE),VLOOKUP($G798,'KO Calc'!$H804:$AW804,15,FALSE)),IF(AND($Q$1=TRUE,$S$4=FALSE),IF(OR($Q$4=TRUE,$Q$5=TRUE,$S$2=TRUE),VLOOKUP($G798,'KO Calc'!$H:$AW,5,FALSE),VLOOKUP($G798,'KO Calc'!$H804:$AW804,5,FALSE)),
IF(AND($Q$1=TRUE,$S$1=TRUE,$S$4=TRUE)=TRUE,IF(OR($Q$4=TRUE,$Q$5=TRUE,$S$2=TRUE),VLOOKUP($G798,'KO Calc'!$H:$AW,20,FALSE),VLOOKUP($G798,'KO Calc'!$H804:$AW804,20,FALSE)),IF(AND($Q$1=TRUE,$S$4=TRUE),IF(OR($Q$4=TRUE,$Q$5=TRUE,$S$2=TRUE),VLOOKUP($G798,'KO Calc'!$H:$AW,10,FALSE),VLOOKUP($G798,'KO Calc'!$H804:$AW804,10,FALSE)),
IF(AND($S$3=TRUE,$S$1=TRUE,$S$4=FALSE)=TRUE,IF(OR($Q$4=TRUE,$Q$5=TRUE,$S$2=TRUE),VLOOKUP($G798,'KO Calc'!$H:$AW,35,FALSE),VLOOKUP($G798,'KO Calc'!$H804:$AW804,35,FALSE)),IF(AND($S$3=TRUE,$S$4=FALSE),IF(OR($Q$4=TRUE,$Q$5=TRUE,$S$2=TRUE),VLOOKUP($G798,'KO Calc'!$H:$AW,25,FALSE),VLOOKUP($G798,'KO Calc'!$H804:$AW804,25,FALSE)),
IF(AND($S$3=TRUE,$S$1=TRUE,$S$4=TRUE)=TRUE,IF(OR($Q$4=TRUE,$Q$5=TRUE,$S$2=TRUE),VLOOKUP($G798,'KO Calc'!$H:$AW,40,FALSE),VLOOKUP($G798,'KO Calc'!$H804:$AW804,40,FALSE)),IF(AND($S$3=TRUE,$S$4=TRUE),IF(OR($Q$4=TRUE,$Q$5=TRUE,$S$2=TRUE),VLOOKUP($G798,'KO Calc'!$H:$AW,30,FALSE),VLOOKUP($G798,'KO Calc'!$H804:$AW804,30,FALSE)))))))))))))</f>
        <v>-</v>
      </c>
      <c r="L798" s="36" t="str">
        <f>IFERROR(IF(AND($Q$1=FALSE,$S$3=FALSE),"-",VLOOKUP($E798,'Status Thresholds'!$E:$AU,43,FALSE)),"-")</f>
        <v>-</v>
      </c>
      <c r="M798" s="36" t="str">
        <f>IFERROR(IF(AND($Q$1=FALSE,$S$3=FALSE),"-",VLOOKUP($E798,'Status Thresholds'!$E:$AU,41,FALSE)),"-")</f>
        <v>-</v>
      </c>
      <c r="N798" s="36" t="str">
        <f>IFERROR(IF(AND($Q$1=FALSE,$S$3=FALSE),"-",VLOOKUP($E798,'Status Thresholds'!$E:$AU,42,FALSE)),"-")</f>
        <v>-</v>
      </c>
    </row>
    <row r="799" spans="2:14" x14ac:dyDescent="0.25">
      <c r="B799" s="64" t="str">
        <f>VLOOKUP(C799,'Status Thresholds'!B:C,2,FALSE)</f>
        <v>MHGU</v>
      </c>
      <c r="C799" s="46" t="str">
        <f>IF(ISBLANK('KO Calc'!C795)=TRUE,"",'KO Calc'!C795)</f>
        <v>Valtrax</v>
      </c>
      <c r="D799" s="78"/>
      <c r="E799" s="62" t="str">
        <f t="shared" si="23"/>
        <v>Valtrax</v>
      </c>
      <c r="F799" t="s">
        <v>11</v>
      </c>
      <c r="G799" s="36" t="str">
        <f t="shared" si="24"/>
        <v>ValtraxCrag 1</v>
      </c>
      <c r="H799" s="36" t="str">
        <f>IF(AND($Q$1=FALSE,$S$3=FALSE),"-",IF(AND($Q$1=TRUE,$S$3=TRUE),"-",IF(AND($Q$1=FALSE,$S$3=FALSE),"-",IF(AND($Q$1=TRUE,$S$1=TRUE,$S$4=FALSE)=TRUE,IF(OR($Q$4=TRUE,$Q$5=TRUE,$S$2=TRUE),VLOOKUP($G799,'KO Calc'!$H:$AW,12,FALSE),VLOOKUP($G799,'KO Calc'!$H805:$AW805,12,FALSE)),IF(AND($Q$1=TRUE,$S$4=FALSE),IF(OR($Q$4=TRUE,$Q$5=TRUE,$S$2=TRUE),VLOOKUP($G799,'KO Calc'!$H:$AW,2,FALSE),VLOOKUP($G799,'KO Calc'!$H805:$AW805,2,FALSE)),
IF(AND($Q$1=TRUE,$S$1=TRUE,$S$4=TRUE)=TRUE,IF(OR($Q$4=TRUE,$Q$5=TRUE,$S$2=TRUE),VLOOKUP($G799,'KO Calc'!$H:$AW,17,FALSE),VLOOKUP($G799,'KO Calc'!$H805:$AW805,17,FALSE)),IF(AND($Q$1=TRUE,$S$4=TRUE),IF(OR($Q$4=TRUE,$Q$5=TRUE,$S$2=TRUE),VLOOKUP($G799,'KO Calc'!$H:$AW,7,FALSE),VLOOKUP($G799,'KO Calc'!$H805:$AW805,7,FALSE)),
IF(AND($S$3=TRUE,$S$1=TRUE,$S$4=FALSE)=TRUE,IF(OR($Q$4=TRUE,$Q$5=TRUE,$S$2=TRUE),VLOOKUP($G799,'KO Calc'!$H:$AW,32,FALSE),VLOOKUP($G799,'KO Calc'!$H805:$AW805,32,FALSE)),IF(AND($S$3=TRUE,$S$4=FALSE),IF(OR($Q$4=TRUE,$Q$5=TRUE,$S$2=TRUE),VLOOKUP($G799,'KO Calc'!$H:$AW,22,FALSE),VLOOKUP($G799,'KO Calc'!$H805:$AW805,22,FALSE)),
IF(AND($S$3=TRUE,$S$1=TRUE,$S$4=TRUE)=TRUE,IF(OR($Q$4=TRUE,$Q$5=TRUE,$S$2=TRUE),VLOOKUP($G799,'KO Calc'!$H:$AW,37,FALSE),VLOOKUP($G799,'KO Calc'!$H805:$AW805,37,FALSE)),IF(AND($S$3=TRUE,$S$4=TRUE),IF(OR($Q$4=TRUE,$Q$5=TRUE,$S$2=TRUE),VLOOKUP($G799,'KO Calc'!$H:$AW,27,FALSE),VLOOKUP($G799,'KO Calc'!$H805:$AW805,27,FALSE)))))))))))))</f>
        <v>-</v>
      </c>
      <c r="I799" s="36" t="str">
        <f>IF(AND($Q$1=FALSE,$S$3=FALSE),"-",IF(AND($Q$1=TRUE,$S$3=TRUE),"-",IF(AND($Q$1=FALSE,$S$3=FALSE),"-",IF(AND($Q$1=TRUE,$S$1=TRUE,$S$4=FALSE)=TRUE,IF(OR($Q$4=TRUE,$Q$5=TRUE,$S$2=TRUE),VLOOKUP($G799,'KO Calc'!$H:$AW,13,FALSE),VLOOKUP($G799,'KO Calc'!$H805:$AW805,13,FALSE)),IF(AND($Q$1=TRUE,$S$4=FALSE),IF(OR($Q$4=TRUE,$Q$5=TRUE,$S$2=TRUE),VLOOKUP($G799,'KO Calc'!$H:$AW,3,FALSE),VLOOKUP($G799,'KO Calc'!$H805:$AW805,3,FALSE)),
IF(AND($Q$1=TRUE,$S$1=TRUE,$S$4=TRUE)=TRUE,IF(OR($Q$4=TRUE,$Q$5=TRUE,$S$2=TRUE),VLOOKUP($G799,'KO Calc'!$H:$AW,18,FALSE),VLOOKUP($G799,'KO Calc'!$H805:$AW805,18,FALSE)),IF(AND($Q$1=TRUE,$S$4=TRUE),IF(OR($Q$4=TRUE,$Q$5=TRUE,$S$2=TRUE),VLOOKUP($G799,'KO Calc'!$H:$AW,8,FALSE),VLOOKUP($G799,'KO Calc'!$H805:$AW805,8,FALSE)),
IF(AND($S$3=TRUE,$S$1=TRUE,$S$4=FALSE)=TRUE,IF(OR($Q$4=TRUE,$Q$5=TRUE,$S$2=TRUE),VLOOKUP($G799,'KO Calc'!$H:$AW,33,FALSE),VLOOKUP($G799,'KO Calc'!$H805:$AW805,33,FALSE)),IF(AND($S$3=TRUE,$S$4=FALSE),IF(OR($Q$4=TRUE,$Q$5=TRUE,$S$2=TRUE),VLOOKUP($G799,'KO Calc'!$H:$AW,23,FALSE),VLOOKUP($G799,'KO Calc'!$H805:$AW805,23,FALSE)),
IF(AND($S$3=TRUE,$S$1=TRUE,$S$4=TRUE)=TRUE,IF(OR($Q$4=TRUE,$Q$5=TRUE,$S$2=TRUE),VLOOKUP($G799,'KO Calc'!$H:$AW,38,FALSE),VLOOKUP($G799,'KO Calc'!$H805:$AW805,38,FALSE)),IF(AND($S$3=TRUE,$S$4=TRUE),IF(OR($Q$4=TRUE,$Q$5=TRUE,$S$2=TRUE),VLOOKUP($G799,'KO Calc'!$H:$AW,28,FALSE),VLOOKUP($G799,'KO Calc'!$H805:$AW805,28,FALSE)))))))))))))</f>
        <v>-</v>
      </c>
      <c r="J799" s="36" t="str">
        <f>IF(AND($Q$1=FALSE,$S$3=FALSE),"-",IF(AND($Q$1=TRUE,$S$3=TRUE),"-",IF(AND($Q$1=FALSE,$S$3=FALSE),"-",IF(AND($Q$1=TRUE,$S$1=TRUE,$S$4=FALSE)=TRUE,IF(OR($Q$4=TRUE,$Q$5=TRUE,$S$2=TRUE),VLOOKUP($G799,'KO Calc'!$H:$AW,FALSE),VLOOKUP($G799,'KO Calc'!$H805:$AW805,14,FALSE)),IF(AND($Q$1=TRUE,$S$4=FALSE),IF(OR($Q$4=TRUE,$Q$5=TRUE,$S$2=TRUE),VLOOKUP($G799,'KO Calc'!$H:$AW,4,FALSE),VLOOKUP($G799,'KO Calc'!$H805:$AW805,4,FALSE)),
IF(AND($Q$1=TRUE,$S$1=TRUE,$S$4=TRUE)=TRUE,IF(OR($Q$4=TRUE,$Q$5=TRUE,$S$2=TRUE),VLOOKUP($G799,'KO Calc'!$H:$AW,19,FALSE),VLOOKUP($G799,'KO Calc'!$H805:$AW805,19,FALSE)),IF(AND($Q$1=TRUE,$S$4=TRUE),IF(OR($Q$4=TRUE,$Q$5=TRUE,$S$2=TRUE),VLOOKUP($G799,'KO Calc'!$H:$AW,9,FALSE),VLOOKUP($G799,'KO Calc'!$H805:$AW805,9,FALSE)),
IF(AND($S$3=TRUE,$S$1=TRUE,$S$4=FALSE)=TRUE,IF(OR($Q$4=TRUE,$Q$5=TRUE,$S$2=TRUE),VLOOKUP($G799,'KO Calc'!$H:$AW,34,FALSE),VLOOKUP($G799,'KO Calc'!$H805:$AW805,34,FALSE)),IF(AND($S$3=TRUE,$S$4=FALSE),IF(OR($Q$4=TRUE,$Q$5=TRUE,$S$2=TRUE),VLOOKUP($G799,'KO Calc'!$H:$AW,24,FALSE),VLOOKUP($G799,'KO Calc'!$H805:$AW805,24,FALSE)),
IF(AND($S$3=TRUE,$S$1=TRUE,$S$4=TRUE)=TRUE,IF(OR($Q$4=TRUE,$Q$5=TRUE,$S$2=TRUE),VLOOKUP($G799,'KO Calc'!$H:$AW,39,FALSE),VLOOKUP($G799,'KO Calc'!$H805:$AW805,39,FALSE)),IF(AND($S$3=TRUE,$S$4=TRUE),IF(OR($Q$4=TRUE,$Q$5=TRUE,$S$2=TRUE),VLOOKUP($G799,'KO Calc'!$H:$AW,29,FALSE),VLOOKUP($G799,'KO Calc'!$H805:$AW805,29,FALSE)))))))))))))</f>
        <v>-</v>
      </c>
      <c r="K799" s="36" t="str">
        <f>IF(AND($Q$1=FALSE,$S$3=FALSE),"-",IF(AND($Q$1=TRUE,$S$3=TRUE),"-",IF(AND($Q$1=FALSE,$S$3=FALSE),"-",IF(AND($Q$1=TRUE,$S$1=TRUE,$S$4=FALSE)=TRUE,IF(OR($Q$4=TRUE,$Q$5=TRUE,$S$2=TRUE),VLOOKUP($G799,'KO Calc'!$H:$AW,15,FALSE),VLOOKUP($G799,'KO Calc'!$H805:$AW805,15,FALSE)),IF(AND($Q$1=TRUE,$S$4=FALSE),IF(OR($Q$4=TRUE,$Q$5=TRUE,$S$2=TRUE),VLOOKUP($G799,'KO Calc'!$H:$AW,5,FALSE),VLOOKUP($G799,'KO Calc'!$H805:$AW805,5,FALSE)),
IF(AND($Q$1=TRUE,$S$1=TRUE,$S$4=TRUE)=TRUE,IF(OR($Q$4=TRUE,$Q$5=TRUE,$S$2=TRUE),VLOOKUP($G799,'KO Calc'!$H:$AW,20,FALSE),VLOOKUP($G799,'KO Calc'!$H805:$AW805,20,FALSE)),IF(AND($Q$1=TRUE,$S$4=TRUE),IF(OR($Q$4=TRUE,$Q$5=TRUE,$S$2=TRUE),VLOOKUP($G799,'KO Calc'!$H:$AW,10,FALSE),VLOOKUP($G799,'KO Calc'!$H805:$AW805,10,FALSE)),
IF(AND($S$3=TRUE,$S$1=TRUE,$S$4=FALSE)=TRUE,IF(OR($Q$4=TRUE,$Q$5=TRUE,$S$2=TRUE),VLOOKUP($G799,'KO Calc'!$H:$AW,35,FALSE),VLOOKUP($G799,'KO Calc'!$H805:$AW805,35,FALSE)),IF(AND($S$3=TRUE,$S$4=FALSE),IF(OR($Q$4=TRUE,$Q$5=TRUE,$S$2=TRUE),VLOOKUP($G799,'KO Calc'!$H:$AW,25,FALSE),VLOOKUP($G799,'KO Calc'!$H805:$AW805,25,FALSE)),
IF(AND($S$3=TRUE,$S$1=TRUE,$S$4=TRUE)=TRUE,IF(OR($Q$4=TRUE,$Q$5=TRUE,$S$2=TRUE),VLOOKUP($G799,'KO Calc'!$H:$AW,40,FALSE),VLOOKUP($G799,'KO Calc'!$H805:$AW805,40,FALSE)),IF(AND($S$3=TRUE,$S$4=TRUE),IF(OR($Q$4=TRUE,$Q$5=TRUE,$S$2=TRUE),VLOOKUP($G799,'KO Calc'!$H:$AW,30,FALSE),VLOOKUP($G799,'KO Calc'!$H805:$AW805,30,FALSE)))))))))))))</f>
        <v>-</v>
      </c>
      <c r="L799" s="36" t="str">
        <f>IFERROR(VLOOKUP($E799,'Status Thresholds'!$E:$AS,41,FALSE),"-")</f>
        <v>-</v>
      </c>
    </row>
    <row r="800" spans="2:14" x14ac:dyDescent="0.25">
      <c r="B800" s="64" t="str">
        <f>VLOOKUP(C800,'Status Thresholds'!B:C,2,FALSE)</f>
        <v>MHGU</v>
      </c>
      <c r="C800" s="46" t="str">
        <f>IF(ISBLANK('KO Calc'!C796)=TRUE,"",'KO Calc'!C796)</f>
        <v>Valtrax</v>
      </c>
      <c r="D800" s="78"/>
      <c r="E800" s="62" t="str">
        <f t="shared" si="23"/>
        <v>Valtrax</v>
      </c>
      <c r="G800" s="36" t="str">
        <f t="shared" si="24"/>
        <v>Valtrax</v>
      </c>
      <c r="L800" s="36" t="str">
        <f>IFERROR(VLOOKUP($E800,'Status Thresholds'!$E:$AS,41,FALSE),"-")</f>
        <v>-</v>
      </c>
    </row>
    <row r="801" spans="2:14" x14ac:dyDescent="0.25">
      <c r="B801" s="64" t="str">
        <f>VLOOKUP(C801,'Status Thresholds'!B:C,2,FALSE)</f>
        <v>Deviant</v>
      </c>
      <c r="C801" s="46" t="str">
        <f>IF(ISBLANK('KO Calc'!C797)=TRUE,"",'KO Calc'!C797)</f>
        <v>Velocidrome</v>
      </c>
      <c r="D801" s="65" t="s">
        <v>0</v>
      </c>
      <c r="E801" s="62" t="str">
        <f t="shared" si="23"/>
        <v>VelocidromePara</v>
      </c>
      <c r="F801" s="36" t="s">
        <v>2</v>
      </c>
      <c r="G801" s="36" t="str">
        <f t="shared" si="24"/>
        <v>VelocidromePara lvl 2</v>
      </c>
      <c r="H801" s="36" t="str">
        <f>IFERROR(ROUNDUP(IF(AND($Q$1=FALSE,$S$3=FALSE),"-",IF(AND($Q$1=TRUE,$S$3=TRUE),"-",IF(AND($Q$1=TRUE,$S$1=TRUE,$S$4=FALSE),VLOOKUP($E801,'Status Thresholds'!$E:$AS,12,FALSE),IF(AND($Q$1=TRUE,$S$4=FALSE),VLOOKUP($E801,'Status Thresholds'!$E:$AS,2,FALSE), IF(AND($Q$1=TRUE,$S$1=TRUE,$S$4=TRUE),VLOOKUP($E801,'Status Thresholds'!$E:$AS,17,FALSE),IF(AND($Q$1=TRUE,$S$4=TRUE),VLOOKUP($E801,'Status Thresholds'!$E:$AS,7,FALSE),IF(AND($S$3=TRUE,$S$1=TRUE,$S$4=FALSE),VLOOKUP($E801,'Status Thresholds'!$E:$AS,32,FALSE),IF(AND($S$3=TRUE,$S$4=FALSE),VLOOKUP($E801,'Status Thresholds'!$E:$AS,22,FALSE),IF(AND($S$3=TRUE,$S$1=TRUE,$S$4=TRUE),VLOOKUP($E801,'Status Thresholds'!$E:$AS,37,FALSE),IF(AND($S$3=TRUE,$S$4=TRUE),VLOOKUP($E801,'Status Thresholds'!$E:$AS,27,FALSE),""))))))))/IF(OR($Q$3=TRUE,AND($Q$2=TRUE,$Q$7=TRUE),AND($Q$3=TRUE,$Q$7=TRUE))=TRUE,'Shots and Status'!$F$5,IF((OR($Q$2,$Q$7)=TRUE),'Shots and Status'!$D$5,'Shots and Status'!$C$5)))),0),"-")</f>
        <v>-</v>
      </c>
      <c r="I801" s="36" t="str">
        <f>IFERROR(ROUNDUP(IF(AND($Q$1=FALSE,$S$3=FALSE),"-",IF(AND($Q$1=TRUE,$S$3=TRUE),"-",IF(AND($Q$1=TRUE,$S$1=TRUE,$S$4=FALSE),VLOOKUP($E801,'Status Thresholds'!$E:$AS,13,FALSE),IF(AND($Q$1=TRUE,$S$4=FALSE),VLOOKUP($E801,'Status Thresholds'!$E:$AS,3,FALSE), IF(AND($Q$1=TRUE,$S$1=TRUE,$S$4=TRUE),VLOOKUP($E801,'Status Thresholds'!$E:$AS,18,FALSE),IF(AND($Q$1=TRUE,$S$4=TRUE),VLOOKUP($E801,'Status Thresholds'!$E:$AS,8,FALSE),IF(AND($S$3=TRUE,$S$1=TRUE,$S$4=FALSE),VLOOKUP($E801,'Status Thresholds'!$E:$AS,33,FALSE),IF(AND($S$3=TRUE,$S$4=FALSE),VLOOKUP($E801,'Status Thresholds'!$E:$AS,23,FALSE),IF(AND($S$3=TRUE,$S$1=TRUE,$S$4=TRUE),VLOOKUP($E801,'Status Thresholds'!$E:$AS,38,FALSE),IF(AND($S$3=TRUE,$S$4=TRUE),VLOOKUP($E801,'Status Thresholds'!$E:$AS,28,FALSE),""))))))))/IF(OR($Q$3=TRUE,AND($Q$2=TRUE,$Q$7=TRUE),AND($Q$3=TRUE,$Q$7=TRUE))=TRUE,'Shots and Status'!$F$5,IF((OR($Q$2,$Q$7)=TRUE),'Shots and Status'!$D$5,'Shots and Status'!$C$5)))),0),"-")</f>
        <v>-</v>
      </c>
      <c r="J801" s="36" t="str">
        <f>IFERROR(ROUNDUP(IF(AND($Q$1=FALSE,$S$3=FALSE),"-",IF(AND($Q$1=TRUE,$S$3=TRUE),"-",IF(AND($Q$1=TRUE,$S$1=TRUE,$S$4=FALSE),VLOOKUP($E801,'Status Thresholds'!$E:$AS,14,FALSE),IF(AND($Q$1=TRUE,$S$4=FALSE),VLOOKUP($E801,'Status Thresholds'!$E:$AS,4,FALSE), IF(AND($Q$1=TRUE,$S$1=TRUE,$S$4=TRUE),VLOOKUP($E801,'Status Thresholds'!$E:$AS,19,FALSE),IF(AND($Q$1=TRUE,$S$4=TRUE),VLOOKUP($E801,'Status Thresholds'!$E:$AS,9,FALSE),IF(AND($S$3=TRUE,$S$1=TRUE,$S$4=FALSE),VLOOKUP($E801,'Status Thresholds'!$E:$AS,34,FALSE),IF(AND($S$3=TRUE,$S$4=FALSE),VLOOKUP($E801,'Status Thresholds'!$E:$AS,24,FALSE),IF(AND($S$3=TRUE,$S$1=TRUE,$S$4=TRUE),VLOOKUP($E801,'Status Thresholds'!$E:$AS,39,FALSE),IF(AND($S$3=TRUE,$S$4=TRUE),VLOOKUP($E801,'Status Thresholds'!$E:$AS,29,FALSE),""))))))))/IF(OR($Q$3=TRUE,AND($Q$2=TRUE,$Q$7=TRUE),AND($Q$3=TRUE,$Q$7=TRUE))=TRUE,'Shots and Status'!$F$5,IF((OR($Q$2,$Q$7)=TRUE),'Shots and Status'!$D$5,'Shots and Status'!$C$5)))),0),"-")</f>
        <v>-</v>
      </c>
      <c r="K801" s="36" t="str">
        <f>IFERROR(ROUNDUP(IF(AND($Q$1=FALSE,$S$3=FALSE),"-",IF(AND($Q$1=TRUE,$S$3=TRUE),"-",IF(AND($Q$1=TRUE,$S$1=TRUE,$S$4=FALSE),VLOOKUP($E801,'Status Thresholds'!$E:$AS,15,FALSE),IF(AND($Q$1=TRUE,$S$4=FALSE),VLOOKUP($E801,'Status Thresholds'!$E:$AS,5,FALSE), IF(AND($Q$1=TRUE,$S$1=TRUE,$S$4=TRUE),VLOOKUP($E801,'Status Thresholds'!$E:$AS,20,FALSE),IF(AND($Q$1=TRUE,$S$4=TRUE),VLOOKUP($E801,'Status Thresholds'!$E:$AS,10,FALSE),IF(AND($S$3=TRUE,$S$1=TRUE,$S$4=FALSE),VLOOKUP($E801,'Status Thresholds'!$E:$AS,35,FALSE),IF(AND($S$3=TRUE,$S$4=FALSE),VLOOKUP($E801,'Status Thresholds'!$E:$AS,25,FALSE),IF(AND($S$3=TRUE,$S$1=TRUE,$S$4=TRUE),VLOOKUP($E801,'Status Thresholds'!$E:$AS,40,FALSE),IF(AND($S$3=TRUE,$S$4=TRUE),VLOOKUP($E801,'Status Thresholds'!$E:$AS,30,FALSE),""))))))))/IF(OR($Q$3=TRUE,AND($Q$2=TRUE,$Q$7=TRUE),AND($Q$3=TRUE,$Q$7=TRUE))=TRUE,'Shots and Status'!$F$5,IF((OR($Q$2,$Q$7)=TRUE),'Shots and Status'!$D$5,'Shots and Status'!$C$5)))),0),"-")</f>
        <v>-</v>
      </c>
      <c r="L801" s="36" t="str">
        <f>IFERROR(IF(AND($Q$1=FALSE,$S$3=FALSE),"-",VLOOKUP($E801,'Status Thresholds'!$E:$AU,41,FALSE)),"-")</f>
        <v>-</v>
      </c>
      <c r="M801" s="36" t="str">
        <f>IFERROR(IF(AND($Q$1=FALSE,$S$3=FALSE),"-",VLOOKUP($E801,'Status Thresholds'!$E:$AU,42,FALSE)),"-")</f>
        <v>-</v>
      </c>
      <c r="N801" s="36" t="str">
        <f>IFERROR(IF(AND($Q$1=FALSE,$S$3=FALSE),"-",VLOOKUP($E801,'Status Thresholds'!$E:$AU,43,FALSE)),"-")</f>
        <v>-</v>
      </c>
    </row>
    <row r="802" spans="2:14" x14ac:dyDescent="0.25">
      <c r="B802" s="64" t="str">
        <f>VLOOKUP(C802,'Status Thresholds'!B:C,2,FALSE)</f>
        <v>Deviant</v>
      </c>
      <c r="C802" s="46" t="str">
        <f>IF(ISBLANK('KO Calc'!C798)=TRUE,"",'KO Calc'!C798)</f>
        <v>Velocidrome</v>
      </c>
      <c r="D802" s="60" t="s">
        <v>32</v>
      </c>
      <c r="E802" s="62" t="str">
        <f t="shared" si="23"/>
        <v>VelocidromeSleep</v>
      </c>
      <c r="F802" s="59" t="s">
        <v>5</v>
      </c>
      <c r="G802" s="36" t="str">
        <f t="shared" si="24"/>
        <v>VelocidromeSleep lvl 2</v>
      </c>
      <c r="H802" s="36" t="str">
        <f>IFERROR(ROUNDUP(IF(AND($Q$1=FALSE,$S$3=FALSE),"-",IF(AND($Q$1=TRUE,$S$3=TRUE),"-",IF(AND($Q$1=TRUE,$S$1=TRUE,$S$4=FALSE),VLOOKUP($E802,'Status Thresholds'!$E:$AS,12,FALSE),IF(AND($Q$1=TRUE,$S$4=FALSE),VLOOKUP($E802,'Status Thresholds'!$E:$AS,2,FALSE), IF(AND($Q$1=TRUE,$S$1=TRUE,$S$4=TRUE),VLOOKUP($E802,'Status Thresholds'!$E:$AS,17,FALSE),IF(AND($Q$1=TRUE,$S$4=TRUE),VLOOKUP($E802,'Status Thresholds'!$E:$AS,7,FALSE),IF(AND($S$3=TRUE,$S$1=TRUE,$S$4=FALSE),VLOOKUP($E802,'Status Thresholds'!$E:$AS,32,FALSE),IF(AND($S$3=TRUE,$S$4=FALSE),VLOOKUP($E802,'Status Thresholds'!$E:$AS,22,FALSE),IF(AND($S$3=TRUE,$S$1=TRUE,$S$4=TRUE),VLOOKUP($E802,'Status Thresholds'!$E:$AS,37,FALSE),IF(AND($S$3=TRUE,$S$4=TRUE),VLOOKUP($E802,'Status Thresholds'!$E:$AS,27,FALSE),""))))))))/IF(OR($Q$3=TRUE,AND($Q$2=TRUE,$Q$7=TRUE),AND($Q$3=TRUE,$Q$7=TRUE))=TRUE,'Shots and Status'!$F$5,IF((OR($Q$2,$Q$7)=TRUE),'Shots and Status'!$D$5,'Shots and Status'!$C$5)))),0),"-")</f>
        <v>-</v>
      </c>
      <c r="I802" s="36" t="str">
        <f>IFERROR(ROUNDUP(IF(AND($Q$1=FALSE,$S$3=FALSE),"-",IF(AND($Q$1=TRUE,$S$3=TRUE),"-",IF(AND($Q$1=TRUE,$S$1=TRUE,$S$4=FALSE),VLOOKUP($E802,'Status Thresholds'!$E:$AS,13,FALSE),IF(AND($Q$1=TRUE,$S$4=FALSE),VLOOKUP($E802,'Status Thresholds'!$E:$AS,3,FALSE), IF(AND($Q$1=TRUE,$S$1=TRUE,$S$4=TRUE),VLOOKUP($E802,'Status Thresholds'!$E:$AS,18,FALSE),IF(AND($Q$1=TRUE,$S$4=TRUE),VLOOKUP($E802,'Status Thresholds'!$E:$AS,8,FALSE),IF(AND($S$3=TRUE,$S$1=TRUE,$S$4=FALSE),VLOOKUP($E802,'Status Thresholds'!$E:$AS,33,FALSE),IF(AND($S$3=TRUE,$S$4=FALSE),VLOOKUP($E802,'Status Thresholds'!$E:$AS,23,FALSE),IF(AND($S$3=TRUE,$S$1=TRUE,$S$4=TRUE),VLOOKUP($E802,'Status Thresholds'!$E:$AS,38,FALSE),IF(AND($S$3=TRUE,$S$4=TRUE),VLOOKUP($E802,'Status Thresholds'!$E:$AS,28,FALSE),""))))))))/IF(OR($Q$3=TRUE,AND($Q$2=TRUE,$Q$7=TRUE),AND($Q$3=TRUE,$Q$7=TRUE))=TRUE,'Shots and Status'!$F$5,IF((OR($Q$2,$Q$7)=TRUE),'Shots and Status'!$D$5,'Shots and Status'!$C$5)))),0),"-")</f>
        <v>-</v>
      </c>
      <c r="J802" s="36" t="str">
        <f>IFERROR(ROUNDUP(IF(AND($Q$1=FALSE,$S$3=FALSE),"-",IF(AND($Q$1=TRUE,$S$3=TRUE),"-",IF(AND($Q$1=TRUE,$S$1=TRUE,$S$4=FALSE),VLOOKUP($E802,'Status Thresholds'!$E:$AS,14,FALSE),IF(AND($Q$1=TRUE,$S$4=FALSE),VLOOKUP($E802,'Status Thresholds'!$E:$AS,4,FALSE), IF(AND($Q$1=TRUE,$S$1=TRUE,$S$4=TRUE),VLOOKUP($E802,'Status Thresholds'!$E:$AS,19,FALSE),IF(AND($Q$1=TRUE,$S$4=TRUE),VLOOKUP($E802,'Status Thresholds'!$E:$AS,9,FALSE),IF(AND($S$3=TRUE,$S$1=TRUE,$S$4=FALSE),VLOOKUP($E802,'Status Thresholds'!$E:$AS,34,FALSE),IF(AND($S$3=TRUE,$S$4=FALSE),VLOOKUP($E802,'Status Thresholds'!$E:$AS,24,FALSE),IF(AND($S$3=TRUE,$S$1=TRUE,$S$4=TRUE),VLOOKUP($E802,'Status Thresholds'!$E:$AS,39,FALSE),IF(AND($S$3=TRUE,$S$4=TRUE),VLOOKUP($E802,'Status Thresholds'!$E:$AS,29,FALSE),""))))))))/IF(OR($Q$3=TRUE,AND($Q$2=TRUE,$Q$7=TRUE),AND($Q$3=TRUE,$Q$7=TRUE))=TRUE,'Shots and Status'!$F$5,IF((OR($Q$2,$Q$7)=TRUE),'Shots and Status'!$D$5,'Shots and Status'!$C$5)))),0),"-")</f>
        <v>-</v>
      </c>
      <c r="K802" s="36" t="str">
        <f>IFERROR(ROUNDUP(IF(AND($Q$1=FALSE,$S$3=FALSE),"-",IF(AND($Q$1=TRUE,$S$3=TRUE),"-",IF(AND($Q$1=TRUE,$S$1=TRUE,$S$4=FALSE),VLOOKUP($E802,'Status Thresholds'!$E:$AS,15,FALSE),IF(AND($Q$1=TRUE,$S$4=FALSE),VLOOKUP($E802,'Status Thresholds'!$E:$AS,5,FALSE), IF(AND($Q$1=TRUE,$S$1=TRUE,$S$4=TRUE),VLOOKUP($E802,'Status Thresholds'!$E:$AS,20,FALSE),IF(AND($Q$1=TRUE,$S$4=TRUE),VLOOKUP($E802,'Status Thresholds'!$E:$AS,10,FALSE),IF(AND($S$3=TRUE,$S$1=TRUE,$S$4=FALSE),VLOOKUP($E802,'Status Thresholds'!$E:$AS,35,FALSE),IF(AND($S$3=TRUE,$S$4=FALSE),VLOOKUP($E802,'Status Thresholds'!$E:$AS,25,FALSE),IF(AND($S$3=TRUE,$S$1=TRUE,$S$4=TRUE),VLOOKUP($E802,'Status Thresholds'!$E:$AS,40,FALSE),IF(AND($S$3=TRUE,$S$4=TRUE),VLOOKUP($E802,'Status Thresholds'!$E:$AS,30,FALSE),""))))))))/IF(OR($Q$3=TRUE,AND($Q$2=TRUE,$Q$7=TRUE),AND($Q$3=TRUE,$Q$7=TRUE))=TRUE,'Shots and Status'!$F$5,IF((OR($Q$2,$Q$7)=TRUE),'Shots and Status'!$D$5,'Shots and Status'!$C$5)))),0),"-")</f>
        <v>-</v>
      </c>
      <c r="L802" s="36" t="str">
        <f>IFERROR(IF(AND($Q$1=FALSE,$S$3=FALSE),"-",VLOOKUP($E802,'Status Thresholds'!$E:$AU,41,FALSE)),"-")</f>
        <v>-</v>
      </c>
      <c r="M802" s="36" t="str">
        <f>IFERROR(IF(AND($Q$1=FALSE,$S$3=FALSE),"-",VLOOKUP($E802,'Status Thresholds'!$E:$AU,42,FALSE)),"-")</f>
        <v>-</v>
      </c>
      <c r="N802" s="36" t="str">
        <f>IFERROR(IF(AND($Q$1=FALSE,$S$3=FALSE),"-",VLOOKUP($E802,'Status Thresholds'!$E:$AU,43,FALSE)),"-")</f>
        <v>-</v>
      </c>
    </row>
    <row r="803" spans="2:14" x14ac:dyDescent="0.25">
      <c r="B803" s="64" t="str">
        <f>VLOOKUP(C803,'Status Thresholds'!B:C,2,FALSE)</f>
        <v>Deviant</v>
      </c>
      <c r="C803" s="46" t="str">
        <f>IF(ISBLANK('KO Calc'!C799)=TRUE,"",'KO Calc'!C799)</f>
        <v>Velocidrome</v>
      </c>
      <c r="D803" s="58" t="s">
        <v>33</v>
      </c>
      <c r="E803" s="62" t="str">
        <f t="shared" si="23"/>
        <v>VelocidromePoison</v>
      </c>
      <c r="F803" s="59" t="s">
        <v>6</v>
      </c>
      <c r="G803" s="36" t="str">
        <f t="shared" si="24"/>
        <v>VelocidromePoison lvl 2</v>
      </c>
      <c r="H803" s="36" t="str">
        <f>IFERROR(ROUNDUP(IF(AND($Q$1=FALSE,$S$3=FALSE),"-",IF(AND($Q$1=TRUE,$S$3=TRUE),"-",IF(AND($Q$1=TRUE,$S$1=TRUE,$S$4=FALSE),VLOOKUP($E803,'Status Thresholds'!$E:$AS,12,FALSE),IF(AND($Q$1=TRUE,$S$4=FALSE),VLOOKUP($E803,'Status Thresholds'!$E:$AS,2,FALSE), IF(AND($Q$1=TRUE,$S$1=TRUE,$S$4=TRUE),VLOOKUP($E803,'Status Thresholds'!$E:$AS,17,FALSE),IF(AND($Q$1=TRUE,$S$4=TRUE),VLOOKUP($E803,'Status Thresholds'!$E:$AS,7,FALSE),IF(AND($S$3=TRUE,$S$1=TRUE,$S$4=FALSE),VLOOKUP($E803,'Status Thresholds'!$E:$AS,32,FALSE),IF(AND($S$3=TRUE,$S$4=FALSE),VLOOKUP($E803,'Status Thresholds'!$E:$AS,22,FALSE),IF(AND($S$3=TRUE,$S$1=TRUE,$S$4=TRUE),VLOOKUP($E803,'Status Thresholds'!$E:$AS,37,FALSE),IF(AND($S$3=TRUE,$S$4=TRUE),VLOOKUP($E803,'Status Thresholds'!$E:$AS,27,FALSE),""))))))))/IF(OR($Q$3=TRUE,AND($Q$2=TRUE,$Q$7=TRUE),AND($Q$3=TRUE,$Q$7=TRUE))=TRUE,'Shots and Status'!$F$5,IF((OR($Q$2,$Q$7)=TRUE),'Shots and Status'!$D$5,'Shots and Status'!$C$5)))),0),"-")</f>
        <v>-</v>
      </c>
      <c r="I803" s="36" t="str">
        <f>IFERROR(ROUNDUP(IF(AND($Q$1=FALSE,$S$3=FALSE),"-",IF(AND($Q$1=TRUE,$S$3=TRUE),"-",IF(AND($Q$1=TRUE,$S$1=TRUE,$S$4=FALSE),VLOOKUP($E803,'Status Thresholds'!$E:$AS,13,FALSE),IF(AND($Q$1=TRUE,$S$4=FALSE),VLOOKUP($E803,'Status Thresholds'!$E:$AS,3,FALSE), IF(AND($Q$1=TRUE,$S$1=TRUE,$S$4=TRUE),VLOOKUP($E803,'Status Thresholds'!$E:$AS,18,FALSE),IF(AND($Q$1=TRUE,$S$4=TRUE),VLOOKUP($E803,'Status Thresholds'!$E:$AS,8,FALSE),IF(AND($S$3=TRUE,$S$1=TRUE,$S$4=FALSE),VLOOKUP($E803,'Status Thresholds'!$E:$AS,33,FALSE),IF(AND($S$3=TRUE,$S$4=FALSE),VLOOKUP($E803,'Status Thresholds'!$E:$AS,23,FALSE),IF(AND($S$3=TRUE,$S$1=TRUE,$S$4=TRUE),VLOOKUP($E803,'Status Thresholds'!$E:$AS,38,FALSE),IF(AND($S$3=TRUE,$S$4=TRUE),VLOOKUP($E803,'Status Thresholds'!$E:$AS,28,FALSE),""))))))))/IF(OR($Q$3=TRUE,AND($Q$2=TRUE,$Q$7=TRUE),AND($Q$3=TRUE,$Q$7=TRUE))=TRUE,'Shots and Status'!$F$5,IF((OR($Q$2,$Q$7)=TRUE),'Shots and Status'!$D$5,'Shots and Status'!$C$5)))),0),"-")</f>
        <v>-</v>
      </c>
      <c r="J803" s="36" t="str">
        <f>IFERROR(ROUNDUP(IF(AND($Q$1=FALSE,$S$3=FALSE),"-",IF(AND($Q$1=TRUE,$S$3=TRUE),"-",IF(AND($Q$1=TRUE,$S$1=TRUE,$S$4=FALSE),VLOOKUP($E803,'Status Thresholds'!$E:$AS,14,FALSE),IF(AND($Q$1=TRUE,$S$4=FALSE),VLOOKUP($E803,'Status Thresholds'!$E:$AS,4,FALSE), IF(AND($Q$1=TRUE,$S$1=TRUE,$S$4=TRUE),VLOOKUP($E803,'Status Thresholds'!$E:$AS,19,FALSE),IF(AND($Q$1=TRUE,$S$4=TRUE),VLOOKUP($E803,'Status Thresholds'!$E:$AS,9,FALSE),IF(AND($S$3=TRUE,$S$1=TRUE,$S$4=FALSE),VLOOKUP($E803,'Status Thresholds'!$E:$AS,34,FALSE),IF(AND($S$3=TRUE,$S$4=FALSE),VLOOKUP($E803,'Status Thresholds'!$E:$AS,24,FALSE),IF(AND($S$3=TRUE,$S$1=TRUE,$S$4=TRUE),VLOOKUP($E803,'Status Thresholds'!$E:$AS,39,FALSE),IF(AND($S$3=TRUE,$S$4=TRUE),VLOOKUP($E803,'Status Thresholds'!$E:$AS,29,FALSE),""))))))))/IF(OR($Q$3=TRUE,AND($Q$2=TRUE,$Q$7=TRUE),AND($Q$3=TRUE,$Q$7=TRUE))=TRUE,'Shots and Status'!$F$5,IF((OR($Q$2,$Q$7)=TRUE),'Shots and Status'!$D$5,'Shots and Status'!$C$5)))),0),"-")</f>
        <v>-</v>
      </c>
      <c r="K803" s="36" t="str">
        <f>IFERROR(ROUNDUP(IF(AND($Q$1=FALSE,$S$3=FALSE),"-",IF(AND($Q$1=TRUE,$S$3=TRUE),"-",IF(AND($Q$1=TRUE,$S$1=TRUE,$S$4=FALSE),VLOOKUP($E803,'Status Thresholds'!$E:$AS,15,FALSE),IF(AND($Q$1=TRUE,$S$4=FALSE),VLOOKUP($E803,'Status Thresholds'!$E:$AS,5,FALSE), IF(AND($Q$1=TRUE,$S$1=TRUE,$S$4=TRUE),VLOOKUP($E803,'Status Thresholds'!$E:$AS,20,FALSE),IF(AND($Q$1=TRUE,$S$4=TRUE),VLOOKUP($E803,'Status Thresholds'!$E:$AS,10,FALSE),IF(AND($S$3=TRUE,$S$1=TRUE,$S$4=FALSE),VLOOKUP($E803,'Status Thresholds'!$E:$AS,35,FALSE),IF(AND($S$3=TRUE,$S$4=FALSE),VLOOKUP($E803,'Status Thresholds'!$E:$AS,25,FALSE),IF(AND($S$3=TRUE,$S$1=TRUE,$S$4=TRUE),VLOOKUP($E803,'Status Thresholds'!$E:$AS,40,FALSE),IF(AND($S$3=TRUE,$S$4=TRUE),VLOOKUP($E803,'Status Thresholds'!$E:$AS,30,FALSE),""))))))))/IF(OR($Q$3=TRUE,AND($Q$2=TRUE,$Q$7=TRUE),AND($Q$3=TRUE,$Q$7=TRUE))=TRUE,'Shots and Status'!$F$5,IF((OR($Q$2,$Q$7)=TRUE),'Shots and Status'!$D$5,'Shots and Status'!$C$5)))),0),"-")</f>
        <v>-</v>
      </c>
      <c r="L803" s="36" t="str">
        <f>IFERROR(IF(AND($Q$1=FALSE,$S$3=FALSE),"-",VLOOKUP($E803,'Status Thresholds'!$E:$AU,41,FALSE)),"-")</f>
        <v>-</v>
      </c>
      <c r="M803" s="36" t="str">
        <f>IFERROR(IF(AND($Q$1=FALSE,$S$3=FALSE),"-",VLOOKUP($E803,'Status Thresholds'!$E:$AU,42,FALSE)),"-")</f>
        <v>-</v>
      </c>
      <c r="N803" s="36" t="str">
        <f>IFERROR(IF(AND($Q$1=FALSE,$S$3=FALSE),"-",VLOOKUP($E803,'Status Thresholds'!$E:$AU,43,FALSE)),"-")</f>
        <v>-</v>
      </c>
    </row>
    <row r="804" spans="2:14" x14ac:dyDescent="0.25">
      <c r="B804" s="64" t="str">
        <f>VLOOKUP(C804,'Status Thresholds'!B:C,2,FALSE)</f>
        <v>Deviant</v>
      </c>
      <c r="C804" s="46" t="str">
        <f>IF(ISBLANK('KO Calc'!C800)=TRUE,"",'KO Calc'!C800)</f>
        <v>Velocidrome</v>
      </c>
      <c r="D804" s="57" t="s">
        <v>22</v>
      </c>
      <c r="E804" s="62" t="str">
        <f t="shared" si="23"/>
        <v>VelocidromeExhaust</v>
      </c>
      <c r="F804" s="36" t="s">
        <v>8</v>
      </c>
      <c r="G804" s="36" t="str">
        <f t="shared" si="24"/>
        <v>VelocidromeExhaust lvl 2</v>
      </c>
      <c r="H804" s="36" t="str">
        <f>IFERROR(ROUNDUP(IF(AND($Q$1=FALSE,$S$3=FALSE),"-",IF(AND($Q$1=TRUE,$S$3=TRUE),"-",IF(AND($Q$1=TRUE,$S$1=TRUE,$S$4=FALSE),VLOOKUP($E804,'Status Thresholds'!$E:$AS,12,FALSE),IF(AND($Q$1=TRUE,$S$4=FALSE),VLOOKUP($E804,'Status Thresholds'!$E:$AS,2,FALSE), IF(AND($Q$1=TRUE,$S$1=TRUE,$S$4=TRUE),VLOOKUP($E804,'Status Thresholds'!$E:$AS,17,FALSE),IF(AND($Q$1=TRUE,$S$4=TRUE),VLOOKUP($E804,'Status Thresholds'!$E:$AS,7,FALSE),IF(AND($S$3=TRUE,$S$1=TRUE,$S$4=FALSE),VLOOKUP($E804,'Status Thresholds'!$E:$AS,32,FALSE),IF(AND($S$3=TRUE,$S$4=FALSE),VLOOKUP($E804,'Status Thresholds'!$E:$AS,22,FALSE),IF(AND($S$3=TRUE,$S$1=TRUE,$S$4=TRUE),VLOOKUP($E804,'Status Thresholds'!$E:$AS,37,FALSE),IF(AND($S$3=TRUE,$S$4=TRUE),VLOOKUP($E804,'Status Thresholds'!$E:$AS,27,FALSE),""))))))))/IF(OR($Q$3=TRUE,AND($Q$2=TRUE,$Q$7=TRUE),AND($Q$3=TRUE,$Q$7=TRUE))=TRUE,'Shots and Status'!$F$5,IF((OR($Q$2,$Q$7)=TRUE),'Shots and Status'!$D$5,'Shots and Status'!$C$5)))),0),"-")</f>
        <v>-</v>
      </c>
      <c r="I804" s="36" t="str">
        <f>IFERROR(ROUNDUP(IF(AND($Q$1=FALSE,$S$3=FALSE),"-",IF(AND($Q$1=TRUE,$S$3=TRUE),"-",IF(AND($Q$1=TRUE,$S$1=TRUE,$S$4=FALSE),VLOOKUP($E804,'Status Thresholds'!$E:$AS,13,FALSE),IF(AND($Q$1=TRUE,$S$4=FALSE),VLOOKUP($E804,'Status Thresholds'!$E:$AS,3,FALSE), IF(AND($Q$1=TRUE,$S$1=TRUE,$S$4=TRUE),VLOOKUP($E804,'Status Thresholds'!$E:$AS,18,FALSE),IF(AND($Q$1=TRUE,$S$4=TRUE),VLOOKUP($E804,'Status Thresholds'!$E:$AS,8,FALSE),IF(AND($S$3=TRUE,$S$1=TRUE,$S$4=FALSE),VLOOKUP($E804,'Status Thresholds'!$E:$AS,33,FALSE),IF(AND($S$3=TRUE,$S$4=FALSE),VLOOKUP($E804,'Status Thresholds'!$E:$AS,23,FALSE),IF(AND($S$3=TRUE,$S$1=TRUE,$S$4=TRUE),VLOOKUP($E804,'Status Thresholds'!$E:$AS,38,FALSE),IF(AND($S$3=TRUE,$S$4=TRUE),VLOOKUP($E804,'Status Thresholds'!$E:$AS,28,FALSE),""))))))))/IF(OR($Q$3=TRUE,AND($Q$2=TRUE,$Q$7=TRUE),AND($Q$3=TRUE,$Q$7=TRUE))=TRUE,'Shots and Status'!$F$5,IF((OR($Q$2,$Q$7)=TRUE),'Shots and Status'!$D$5,'Shots and Status'!$C$5)))),0),"-")</f>
        <v>-</v>
      </c>
      <c r="J804" s="36" t="str">
        <f>IFERROR(ROUNDUP(IF(AND($Q$1=FALSE,$S$3=FALSE),"-",IF(AND($Q$1=TRUE,$S$3=TRUE),"-",IF(AND($Q$1=TRUE,$S$1=TRUE,$S$4=FALSE),VLOOKUP($E804,'Status Thresholds'!$E:$AS,14,FALSE),IF(AND($Q$1=TRUE,$S$4=FALSE),VLOOKUP($E804,'Status Thresholds'!$E:$AS,4,FALSE), IF(AND($Q$1=TRUE,$S$1=TRUE,$S$4=TRUE),VLOOKUP($E804,'Status Thresholds'!$E:$AS,19,FALSE),IF(AND($Q$1=TRUE,$S$4=TRUE),VLOOKUP($E804,'Status Thresholds'!$E:$AS,9,FALSE),IF(AND($S$3=TRUE,$S$1=TRUE,$S$4=FALSE),VLOOKUP($E804,'Status Thresholds'!$E:$AS,34,FALSE),IF(AND($S$3=TRUE,$S$4=FALSE),VLOOKUP($E804,'Status Thresholds'!$E:$AS,24,FALSE),IF(AND($S$3=TRUE,$S$1=TRUE,$S$4=TRUE),VLOOKUP($E804,'Status Thresholds'!$E:$AS,39,FALSE),IF(AND($S$3=TRUE,$S$4=TRUE),VLOOKUP($E804,'Status Thresholds'!$E:$AS,29,FALSE),""))))))))/IF(OR($Q$3=TRUE,AND($Q$2=TRUE,$Q$7=TRUE),AND($Q$3=TRUE,$Q$7=TRUE))=TRUE,'Shots and Status'!$F$5,IF((OR($Q$2,$Q$7)=TRUE),'Shots and Status'!$D$5,'Shots and Status'!$C$5)))),0),"-")</f>
        <v>-</v>
      </c>
      <c r="K804" s="36" t="str">
        <f>IFERROR(ROUNDUP(IF(AND($Q$1=FALSE,$S$3=FALSE),"-",IF(AND($Q$1=TRUE,$S$3=TRUE),"-",IF(AND($Q$1=TRUE,$S$1=TRUE,$S$4=FALSE),VLOOKUP($E804,'Status Thresholds'!$E:$AS,15,FALSE),IF(AND($Q$1=TRUE,$S$4=FALSE),VLOOKUP($E804,'Status Thresholds'!$E:$AS,5,FALSE), IF(AND($Q$1=TRUE,$S$1=TRUE,$S$4=TRUE),VLOOKUP($E804,'Status Thresholds'!$E:$AS,20,FALSE),IF(AND($Q$1=TRUE,$S$4=TRUE),VLOOKUP($E804,'Status Thresholds'!$E:$AS,10,FALSE),IF(AND($S$3=TRUE,$S$1=TRUE,$S$4=FALSE),VLOOKUP($E804,'Status Thresholds'!$E:$AS,35,FALSE),IF(AND($S$3=TRUE,$S$4=FALSE),VLOOKUP($E804,'Status Thresholds'!$E:$AS,25,FALSE),IF(AND($S$3=TRUE,$S$1=TRUE,$S$4=TRUE),VLOOKUP($E804,'Status Thresholds'!$E:$AS,40,FALSE),IF(AND($S$3=TRUE,$S$4=TRUE),VLOOKUP($E804,'Status Thresholds'!$E:$AS,30,FALSE),""))))))))/IF(OR($Q$3=TRUE,AND($Q$2=TRUE,$Q$7=TRUE),AND($Q$3=TRUE,$Q$7=TRUE))=TRUE,'Shots and Status'!$F$5,IF((OR($Q$2,$Q$7)=TRUE),'Shots and Status'!$D$5,'Shots and Status'!$C$5)))),0),"-")</f>
        <v>-</v>
      </c>
      <c r="L804" s="36" t="str">
        <f>IFERROR(IF(AND($Q$1=FALSE,$S$3=FALSE),"-",VLOOKUP($E804,'Status Thresholds'!$E:$AU,41,FALSE)),"-")</f>
        <v>-</v>
      </c>
      <c r="M804" s="36" t="str">
        <f>IFERROR(IF(AND($Q$1=FALSE,$S$3=FALSE),"-",VLOOKUP($E804,'Status Thresholds'!$E:$AU,42,FALSE)),"-")</f>
        <v>-</v>
      </c>
      <c r="N804" s="36" t="str">
        <f>IFERROR(IF(AND($Q$1=FALSE,$S$3=FALSE),"-",VLOOKUP($E804,'Status Thresholds'!$E:$AU,43,FALSE)),"-")</f>
        <v>-</v>
      </c>
    </row>
    <row r="805" spans="2:14" x14ac:dyDescent="0.25">
      <c r="B805" s="64" t="str">
        <f>VLOOKUP(C805,'Status Thresholds'!B:C,2,FALSE)</f>
        <v>Deviant</v>
      </c>
      <c r="C805" s="46" t="str">
        <f>IF(ISBLANK('KO Calc'!C801)=TRUE,"",'KO Calc'!C801)</f>
        <v>Velocidrome</v>
      </c>
      <c r="D805" s="67" t="s">
        <v>14</v>
      </c>
      <c r="E805" s="62" t="str">
        <f t="shared" si="23"/>
        <v>VelocidromeKO</v>
      </c>
      <c r="F805" s="36" t="s">
        <v>21</v>
      </c>
      <c r="G805" s="36" t="str">
        <f t="shared" si="24"/>
        <v>VelocidromeTriblast</v>
      </c>
      <c r="H805" s="36" t="str">
        <f>IF(AND($Q$1=FALSE,$S$3=FALSE),"-",IF(AND($Q$1=TRUE,$S$3=TRUE),"-",IF(AND($Q$1=FALSE,$S$3=FALSE),"-",IF(AND($Q$1=TRUE,$S$1=TRUE,$S$4=FALSE)=TRUE,IF(OR($Q$4=TRUE,$Q$5=TRUE,$S$2=TRUE),VLOOKUP($G805,'KO Calc'!$H:$AW,12,FALSE),VLOOKUP($G805,'KO Calc'!$H811:$AW811,12,FALSE)),IF(AND($Q$1=TRUE,$S$4=FALSE),IF(OR($Q$4=TRUE,$Q$5=TRUE,$S$2=TRUE),VLOOKUP($G805,'KO Calc'!$H:$AW,2,FALSE),VLOOKUP($G805,'KO Calc'!$H811:$AW811,2,FALSE)),
IF(AND($Q$1=TRUE,$S$1=TRUE,$S$4=TRUE)=TRUE,IF(OR($Q$4=TRUE,$Q$5=TRUE,$S$2=TRUE),VLOOKUP($G805,'KO Calc'!$H:$AW,17,FALSE),VLOOKUP($G805,'KO Calc'!$H811:$AW811,17,FALSE)),IF(AND($Q$1=TRUE,$S$4=TRUE),IF(OR($Q$4=TRUE,$Q$5=TRUE,$S$2=TRUE),VLOOKUP($G805,'KO Calc'!$H:$AW,7,FALSE),VLOOKUP($G805,'KO Calc'!$H811:$AW811,7,FALSE)),
IF(AND($S$3=TRUE,$S$1=TRUE,$S$4=FALSE)=TRUE,IF(OR($Q$4=TRUE,$Q$5=TRUE,$S$2=TRUE),VLOOKUP($G805,'KO Calc'!$H:$AW,32,FALSE),VLOOKUP($G805,'KO Calc'!$H811:$AW811,32,FALSE)),IF(AND($S$3=TRUE,$S$4=FALSE),IF(OR($Q$4=TRUE,$Q$5=TRUE,$S$2=TRUE),VLOOKUP($G805,'KO Calc'!$H:$AW,22,FALSE),VLOOKUP($G805,'KO Calc'!$H811:$AW811,22,FALSE)),
IF(AND($S$3=TRUE,$S$1=TRUE,$S$4=TRUE)=TRUE,IF(OR($Q$4=TRUE,$Q$5=TRUE,$S$2=TRUE),VLOOKUP($G805,'KO Calc'!$H:$AW,37,FALSE),VLOOKUP($G805,'KO Calc'!$H811:$AW811,37,FALSE)),IF(AND($S$3=TRUE,$S$4=TRUE),IF(OR($Q$4=TRUE,$Q$5=TRUE,$S$2=TRUE),VLOOKUP($G805,'KO Calc'!$H:$AW,27,FALSE),VLOOKUP($G805,'KO Calc'!$H811:$AW811,27,FALSE)))))))))))))</f>
        <v>-</v>
      </c>
      <c r="I805" s="36" t="str">
        <f>IF(AND($Q$1=FALSE,$S$3=FALSE),"-",IF(AND($Q$1=TRUE,$S$3=TRUE),"-",IF(AND($Q$1=FALSE,$S$3=FALSE),"-",IF(AND($Q$1=TRUE,$S$1=TRUE,$S$4=FALSE)=TRUE,IF(OR($Q$4=TRUE,$Q$5=TRUE,$S$2=TRUE),VLOOKUP($G805,'KO Calc'!$H:$AW,13,FALSE),VLOOKUP($G805,'KO Calc'!$H811:$AW811,13,FALSE)),IF(AND($Q$1=TRUE,$S$4=FALSE),IF(OR($Q$4=TRUE,$Q$5=TRUE,$S$2=TRUE),VLOOKUP($G805,'KO Calc'!$H:$AW,3,FALSE),VLOOKUP($G805,'KO Calc'!$H811:$AW811,3,FALSE)),
IF(AND($Q$1=TRUE,$S$1=TRUE,$S$4=TRUE)=TRUE,IF(OR($Q$4=TRUE,$Q$5=TRUE,$S$2=TRUE),VLOOKUP($G805,'KO Calc'!$H:$AW,18,FALSE),VLOOKUP($G805,'KO Calc'!$H811:$AW811,18,FALSE)),IF(AND($Q$1=TRUE,$S$4=TRUE),IF(OR($Q$4=TRUE,$Q$5=TRUE,$S$2=TRUE),VLOOKUP($G805,'KO Calc'!$H:$AW,8,FALSE),VLOOKUP($G805,'KO Calc'!$H811:$AW811,8,FALSE)),
IF(AND($S$3=TRUE,$S$1=TRUE,$S$4=FALSE)=TRUE,IF(OR($Q$4=TRUE,$Q$5=TRUE,$S$2=TRUE),VLOOKUP($G805,'KO Calc'!$H:$AW,33,FALSE),VLOOKUP($G805,'KO Calc'!$H811:$AW811,33,FALSE)),IF(AND($S$3=TRUE,$S$4=FALSE),IF(OR($Q$4=TRUE,$Q$5=TRUE,$S$2=TRUE),VLOOKUP($G805,'KO Calc'!$H:$AW,23,FALSE),VLOOKUP($G805,'KO Calc'!$H811:$AW811,23,FALSE)),
IF(AND($S$3=TRUE,$S$1=TRUE,$S$4=TRUE)=TRUE,IF(OR($Q$4=TRUE,$Q$5=TRUE,$S$2=TRUE),VLOOKUP($G805,'KO Calc'!$H:$AW,38,FALSE),VLOOKUP($G805,'KO Calc'!$H811:$AW811,38,FALSE)),IF(AND($S$3=TRUE,$S$4=TRUE),IF(OR($Q$4=TRUE,$Q$5=TRUE,$S$2=TRUE),VLOOKUP($G805,'KO Calc'!$H:$AW,28,FALSE),VLOOKUP($G805,'KO Calc'!$H811:$AW811,28,FALSE)))))))))))))</f>
        <v>-</v>
      </c>
      <c r="J805" s="36" t="str">
        <f>IF(AND($Q$1=FALSE,$S$3=FALSE),"-",IF(AND($Q$1=TRUE,$S$3=TRUE),"-",IF(AND($Q$1=FALSE,$S$3=FALSE),"-",IF(AND($Q$1=TRUE,$S$1=TRUE,$S$4=FALSE)=TRUE,IF(OR($Q$4=TRUE,$Q$5=TRUE,$S$2=TRUE),VLOOKUP($G805,'KO Calc'!$H:$AW,FALSE),VLOOKUP($G805,'KO Calc'!$H811:$AW811,14,FALSE)),IF(AND($Q$1=TRUE,$S$4=FALSE),IF(OR($Q$4=TRUE,$Q$5=TRUE,$S$2=TRUE),VLOOKUP($G805,'KO Calc'!$H:$AW,4,FALSE),VLOOKUP($G805,'KO Calc'!$H811:$AW811,4,FALSE)),
IF(AND($Q$1=TRUE,$S$1=TRUE,$S$4=TRUE)=TRUE,IF(OR($Q$4=TRUE,$Q$5=TRUE,$S$2=TRUE),VLOOKUP($G805,'KO Calc'!$H:$AW,19,FALSE),VLOOKUP($G805,'KO Calc'!$H811:$AW811,19,FALSE)),IF(AND($Q$1=TRUE,$S$4=TRUE),IF(OR($Q$4=TRUE,$Q$5=TRUE,$S$2=TRUE),VLOOKUP($G805,'KO Calc'!$H:$AW,9,FALSE),VLOOKUP($G805,'KO Calc'!$H811:$AW811,9,FALSE)),
IF(AND($S$3=TRUE,$S$1=TRUE,$S$4=FALSE)=TRUE,IF(OR($Q$4=TRUE,$Q$5=TRUE,$S$2=TRUE),VLOOKUP($G805,'KO Calc'!$H:$AW,34,FALSE),VLOOKUP($G805,'KO Calc'!$H811:$AW811,34,FALSE)),IF(AND($S$3=TRUE,$S$4=FALSE),IF(OR($Q$4=TRUE,$Q$5=TRUE,$S$2=TRUE),VLOOKUP($G805,'KO Calc'!$H:$AW,24,FALSE),VLOOKUP($G805,'KO Calc'!$H811:$AW811,24,FALSE)),
IF(AND($S$3=TRUE,$S$1=TRUE,$S$4=TRUE)=TRUE,IF(OR($Q$4=TRUE,$Q$5=TRUE,$S$2=TRUE),VLOOKUP($G805,'KO Calc'!$H:$AW,39,FALSE),VLOOKUP($G805,'KO Calc'!$H811:$AW811,39,FALSE)),IF(AND($S$3=TRUE,$S$4=TRUE),IF(OR($Q$4=TRUE,$Q$5=TRUE,$S$2=TRUE),VLOOKUP($G805,'KO Calc'!$H:$AW,29,FALSE),VLOOKUP($G805,'KO Calc'!$H811:$AW811,29,FALSE)))))))))))))</f>
        <v>-</v>
      </c>
      <c r="K805" s="36" t="str">
        <f>IF(AND($Q$1=FALSE,$S$3=FALSE),"-",IF(AND($Q$1=TRUE,$S$3=TRUE),"-",IF(AND($Q$1=FALSE,$S$3=FALSE),"-",IF(AND($Q$1=TRUE,$S$1=TRUE,$S$4=FALSE)=TRUE,IF(OR($Q$4=TRUE,$Q$5=TRUE,$S$2=TRUE),VLOOKUP($G805,'KO Calc'!$H:$AW,15,FALSE),VLOOKUP($G805,'KO Calc'!$H811:$AW811,15,FALSE)),IF(AND($Q$1=TRUE,$S$4=FALSE),IF(OR($Q$4=TRUE,$Q$5=TRUE,$S$2=TRUE),VLOOKUP($G805,'KO Calc'!$H:$AW,5,FALSE),VLOOKUP($G805,'KO Calc'!$H811:$AW811,5,FALSE)),
IF(AND($Q$1=TRUE,$S$1=TRUE,$S$4=TRUE)=TRUE,IF(OR($Q$4=TRUE,$Q$5=TRUE,$S$2=TRUE),VLOOKUP($G805,'KO Calc'!$H:$AW,20,FALSE),VLOOKUP($G805,'KO Calc'!$H811:$AW811,20,FALSE)),IF(AND($Q$1=TRUE,$S$4=TRUE),IF(OR($Q$4=TRUE,$Q$5=TRUE,$S$2=TRUE),VLOOKUP($G805,'KO Calc'!$H:$AW,10,FALSE),VLOOKUP($G805,'KO Calc'!$H811:$AW811,10,FALSE)),
IF(AND($S$3=TRUE,$S$1=TRUE,$S$4=FALSE)=TRUE,IF(OR($Q$4=TRUE,$Q$5=TRUE,$S$2=TRUE),VLOOKUP($G805,'KO Calc'!$H:$AW,35,FALSE),VLOOKUP($G805,'KO Calc'!$H811:$AW811,35,FALSE)),IF(AND($S$3=TRUE,$S$4=FALSE),IF(OR($Q$4=TRUE,$Q$5=TRUE,$S$2=TRUE),VLOOKUP($G805,'KO Calc'!$H:$AW,25,FALSE),VLOOKUP($G805,'KO Calc'!$H811:$AW811,25,FALSE)),
IF(AND($S$3=TRUE,$S$1=TRUE,$S$4=TRUE)=TRUE,IF(OR($Q$4=TRUE,$Q$5=TRUE,$S$2=TRUE),VLOOKUP($G805,'KO Calc'!$H:$AW,40,FALSE),VLOOKUP($G805,'KO Calc'!$H811:$AW811,40,FALSE)),IF(AND($S$3=TRUE,$S$4=TRUE),IF(OR($Q$4=TRUE,$Q$5=TRUE,$S$2=TRUE),VLOOKUP($G805,'KO Calc'!$H:$AW,30,FALSE),VLOOKUP($G805,'KO Calc'!$H811:$AW811,30,FALSE)))))))))))))</f>
        <v>-</v>
      </c>
      <c r="L805" s="36" t="str">
        <f>IFERROR(IF(AND($Q$1=FALSE,$S$3=FALSE),"-",VLOOKUP($E805,'Status Thresholds'!$E:$AU,41,FALSE)),"-")</f>
        <v>-</v>
      </c>
      <c r="M805" s="36" t="str">
        <f>IFERROR(IF(AND($Q$1=FALSE,$S$3=FALSE),"-",VLOOKUP($E805,'Status Thresholds'!$E:$AU,42,FALSE)),"-")</f>
        <v>-</v>
      </c>
      <c r="N805" s="36" t="str">
        <f>IFERROR(IF(AND($Q$1=FALSE,$S$3=FALSE),"-",VLOOKUP($E805,'Status Thresholds'!$E:$AU,43,FALSE)),"-")</f>
        <v>-</v>
      </c>
    </row>
    <row r="806" spans="2:14" x14ac:dyDescent="0.25">
      <c r="B806" s="64" t="str">
        <f>VLOOKUP(C806,'Status Thresholds'!B:C,2,FALSE)</f>
        <v>Deviant</v>
      </c>
      <c r="C806" s="46" t="str">
        <f>IF(ISBLANK('KO Calc'!C802)=TRUE,"",'KO Calc'!C802)</f>
        <v>Velocidrome</v>
      </c>
      <c r="D806" s="78" t="s">
        <v>207</v>
      </c>
      <c r="E806" s="62" t="str">
        <f t="shared" si="23"/>
        <v>VelocidromeShock Trap</v>
      </c>
      <c r="F806" t="s">
        <v>13</v>
      </c>
      <c r="G806" s="36" t="str">
        <f t="shared" si="24"/>
        <v>VelocidromeCrag 3</v>
      </c>
      <c r="H806" s="36" t="str">
        <f>IF(AND($Q$1=FALSE,$S$3=FALSE),"-",IF(AND($Q$1=TRUE,$S$3=TRUE),"-",IF(AND($Q$1=FALSE,$S$3=FALSE),"-",IF(AND($Q$1=TRUE,$S$1=TRUE,$S$4=FALSE)=TRUE,IF(OR($Q$4=TRUE,$Q$5=TRUE,$S$2=TRUE),VLOOKUP($G806,'KO Calc'!$H:$AW,12,FALSE),VLOOKUP($G806,'KO Calc'!$H812:$AW812,12,FALSE)),IF(AND($Q$1=TRUE,$S$4=FALSE),IF(OR($Q$4=TRUE,$Q$5=TRUE,$S$2=TRUE),VLOOKUP($G806,'KO Calc'!$H:$AW,2,FALSE),VLOOKUP($G806,'KO Calc'!$H812:$AW812,2,FALSE)),
IF(AND($Q$1=TRUE,$S$1=TRUE,$S$4=TRUE)=TRUE,IF(OR($Q$4=TRUE,$Q$5=TRUE,$S$2=TRUE),VLOOKUP($G806,'KO Calc'!$H:$AW,17,FALSE),VLOOKUP($G806,'KO Calc'!$H812:$AW812,17,FALSE)),IF(AND($Q$1=TRUE,$S$4=TRUE),IF(OR($Q$4=TRUE,$Q$5=TRUE,$S$2=TRUE),VLOOKUP($G806,'KO Calc'!$H:$AW,7,FALSE),VLOOKUP($G806,'KO Calc'!$H812:$AW812,7,FALSE)),
IF(AND($S$3=TRUE,$S$1=TRUE,$S$4=FALSE)=TRUE,IF(OR($Q$4=TRUE,$Q$5=TRUE,$S$2=TRUE),VLOOKUP($G806,'KO Calc'!$H:$AW,32,FALSE),VLOOKUP($G806,'KO Calc'!$H812:$AW812,32,FALSE)),IF(AND($S$3=TRUE,$S$4=FALSE),IF(OR($Q$4=TRUE,$Q$5=TRUE,$S$2=TRUE),VLOOKUP($G806,'KO Calc'!$H:$AW,22,FALSE),VLOOKUP($G806,'KO Calc'!$H812:$AW812,22,FALSE)),
IF(AND($S$3=TRUE,$S$1=TRUE,$S$4=TRUE)=TRUE,IF(OR($Q$4=TRUE,$Q$5=TRUE,$S$2=TRUE),VLOOKUP($G806,'KO Calc'!$H:$AW,37,FALSE),VLOOKUP($G806,'KO Calc'!$H812:$AW812,37,FALSE)),IF(AND($S$3=TRUE,$S$4=TRUE),IF(OR($Q$4=TRUE,$Q$5=TRUE,$S$2=TRUE),VLOOKUP($G806,'KO Calc'!$H:$AW,27,FALSE),VLOOKUP($G806,'KO Calc'!$H812:$AW812,27,FALSE)))))))))))))</f>
        <v>-</v>
      </c>
      <c r="I806" s="36" t="str">
        <f>IF(AND($Q$1=FALSE,$S$3=FALSE),"-",IF(AND($Q$1=TRUE,$S$3=TRUE),"-",IF(AND($Q$1=FALSE,$S$3=FALSE),"-",IF(AND($Q$1=TRUE,$S$1=TRUE,$S$4=FALSE)=TRUE,IF(OR($Q$4=TRUE,$Q$5=TRUE,$S$2=TRUE),VLOOKUP($G806,'KO Calc'!$H:$AW,13,FALSE),VLOOKUP($G806,'KO Calc'!$H812:$AW812,13,FALSE)),IF(AND($Q$1=TRUE,$S$4=FALSE),IF(OR($Q$4=TRUE,$Q$5=TRUE,$S$2=TRUE),VLOOKUP($G806,'KO Calc'!$H:$AW,3,FALSE),VLOOKUP($G806,'KO Calc'!$H812:$AW812,3,FALSE)),
IF(AND($Q$1=TRUE,$S$1=TRUE,$S$4=TRUE)=TRUE,IF(OR($Q$4=TRUE,$Q$5=TRUE,$S$2=TRUE),VLOOKUP($G806,'KO Calc'!$H:$AW,18,FALSE),VLOOKUP($G806,'KO Calc'!$H812:$AW812,18,FALSE)),IF(AND($Q$1=TRUE,$S$4=TRUE),IF(OR($Q$4=TRUE,$Q$5=TRUE,$S$2=TRUE),VLOOKUP($G806,'KO Calc'!$H:$AW,8,FALSE),VLOOKUP($G806,'KO Calc'!$H812:$AW812,8,FALSE)),
IF(AND($S$3=TRUE,$S$1=TRUE,$S$4=FALSE)=TRUE,IF(OR($Q$4=TRUE,$Q$5=TRUE,$S$2=TRUE),VLOOKUP($G806,'KO Calc'!$H:$AW,33,FALSE),VLOOKUP($G806,'KO Calc'!$H812:$AW812,33,FALSE)),IF(AND($S$3=TRUE,$S$4=FALSE),IF(OR($Q$4=TRUE,$Q$5=TRUE,$S$2=TRUE),VLOOKUP($G806,'KO Calc'!$H:$AW,23,FALSE),VLOOKUP($G806,'KO Calc'!$H812:$AW812,23,FALSE)),
IF(AND($S$3=TRUE,$S$1=TRUE,$S$4=TRUE)=TRUE,IF(OR($Q$4=TRUE,$Q$5=TRUE,$S$2=TRUE),VLOOKUP($G806,'KO Calc'!$H:$AW,38,FALSE),VLOOKUP($G806,'KO Calc'!$H812:$AW812,38,FALSE)),IF(AND($S$3=TRUE,$S$4=TRUE),IF(OR($Q$4=TRUE,$Q$5=TRUE,$S$2=TRUE),VLOOKUP($G806,'KO Calc'!$H:$AW,28,FALSE),VLOOKUP($G806,'KO Calc'!$H812:$AW812,28,FALSE)))))))))))))</f>
        <v>-</v>
      </c>
      <c r="J806" s="36" t="str">
        <f>IF(AND($Q$1=FALSE,$S$3=FALSE),"-",IF(AND($Q$1=TRUE,$S$3=TRUE),"-",IF(AND($Q$1=FALSE,$S$3=FALSE),"-",IF(AND($Q$1=TRUE,$S$1=TRUE,$S$4=FALSE)=TRUE,IF(OR($Q$4=TRUE,$Q$5=TRUE,$S$2=TRUE),VLOOKUP($G806,'KO Calc'!$H:$AW,FALSE),VLOOKUP($G806,'KO Calc'!$H812:$AW812,14,FALSE)),IF(AND($Q$1=TRUE,$S$4=FALSE),IF(OR($Q$4=TRUE,$Q$5=TRUE,$S$2=TRUE),VLOOKUP($G806,'KO Calc'!$H:$AW,4,FALSE),VLOOKUP($G806,'KO Calc'!$H812:$AW812,4,FALSE)),
IF(AND($Q$1=TRUE,$S$1=TRUE,$S$4=TRUE)=TRUE,IF(OR($Q$4=TRUE,$Q$5=TRUE,$S$2=TRUE),VLOOKUP($G806,'KO Calc'!$H:$AW,19,FALSE),VLOOKUP($G806,'KO Calc'!$H812:$AW812,19,FALSE)),IF(AND($Q$1=TRUE,$S$4=TRUE),IF(OR($Q$4=TRUE,$Q$5=TRUE,$S$2=TRUE),VLOOKUP($G806,'KO Calc'!$H:$AW,9,FALSE),VLOOKUP($G806,'KO Calc'!$H812:$AW812,9,FALSE)),
IF(AND($S$3=TRUE,$S$1=TRUE,$S$4=FALSE)=TRUE,IF(OR($Q$4=TRUE,$Q$5=TRUE,$S$2=TRUE),VLOOKUP($G806,'KO Calc'!$H:$AW,34,FALSE),VLOOKUP($G806,'KO Calc'!$H812:$AW812,34,FALSE)),IF(AND($S$3=TRUE,$S$4=FALSE),IF(OR($Q$4=TRUE,$Q$5=TRUE,$S$2=TRUE),VLOOKUP($G806,'KO Calc'!$H:$AW,24,FALSE),VLOOKUP($G806,'KO Calc'!$H812:$AW812,24,FALSE)),
IF(AND($S$3=TRUE,$S$1=TRUE,$S$4=TRUE)=TRUE,IF(OR($Q$4=TRUE,$Q$5=TRUE,$S$2=TRUE),VLOOKUP($G806,'KO Calc'!$H:$AW,39,FALSE),VLOOKUP($G806,'KO Calc'!$H812:$AW812,39,FALSE)),IF(AND($S$3=TRUE,$S$4=TRUE),IF(OR($Q$4=TRUE,$Q$5=TRUE,$S$2=TRUE),VLOOKUP($G806,'KO Calc'!$H:$AW,29,FALSE),VLOOKUP($G806,'KO Calc'!$H812:$AW812,29,FALSE)))))))))))))</f>
        <v>-</v>
      </c>
      <c r="K806" s="36" t="str">
        <f>IF(AND($Q$1=FALSE,$S$3=FALSE),"-",IF(AND($Q$1=TRUE,$S$3=TRUE),"-",IF(AND($Q$1=FALSE,$S$3=FALSE),"-",IF(AND($Q$1=TRUE,$S$1=TRUE,$S$4=FALSE)=TRUE,IF(OR($Q$4=TRUE,$Q$5=TRUE,$S$2=TRUE),VLOOKUP($G806,'KO Calc'!$H:$AW,15,FALSE),VLOOKUP($G806,'KO Calc'!$H812:$AW812,15,FALSE)),IF(AND($Q$1=TRUE,$S$4=FALSE),IF(OR($Q$4=TRUE,$Q$5=TRUE,$S$2=TRUE),VLOOKUP($G806,'KO Calc'!$H:$AW,5,FALSE),VLOOKUP($G806,'KO Calc'!$H812:$AW812,5,FALSE)),
IF(AND($Q$1=TRUE,$S$1=TRUE,$S$4=TRUE)=TRUE,IF(OR($Q$4=TRUE,$Q$5=TRUE,$S$2=TRUE),VLOOKUP($G806,'KO Calc'!$H:$AW,20,FALSE),VLOOKUP($G806,'KO Calc'!$H812:$AW812,20,FALSE)),IF(AND($Q$1=TRUE,$S$4=TRUE),IF(OR($Q$4=TRUE,$Q$5=TRUE,$S$2=TRUE),VLOOKUP($G806,'KO Calc'!$H:$AW,10,FALSE),VLOOKUP($G806,'KO Calc'!$H812:$AW812,10,FALSE)),
IF(AND($S$3=TRUE,$S$1=TRUE,$S$4=FALSE)=TRUE,IF(OR($Q$4=TRUE,$Q$5=TRUE,$S$2=TRUE),VLOOKUP($G806,'KO Calc'!$H:$AW,35,FALSE),VLOOKUP($G806,'KO Calc'!$H812:$AW812,35,FALSE)),IF(AND($S$3=TRUE,$S$4=FALSE),IF(OR($Q$4=TRUE,$Q$5=TRUE,$S$2=TRUE),VLOOKUP($G806,'KO Calc'!$H:$AW,25,FALSE),VLOOKUP($G806,'KO Calc'!$H812:$AW812,25,FALSE)),
IF(AND($S$3=TRUE,$S$1=TRUE,$S$4=TRUE)=TRUE,IF(OR($Q$4=TRUE,$Q$5=TRUE,$S$2=TRUE),VLOOKUP($G806,'KO Calc'!$H:$AW,40,FALSE),VLOOKUP($G806,'KO Calc'!$H812:$AW812,40,FALSE)),IF(AND($S$3=TRUE,$S$4=TRUE),IF(OR($Q$4=TRUE,$Q$5=TRUE,$S$2=TRUE),VLOOKUP($G806,'KO Calc'!$H:$AW,30,FALSE),VLOOKUP($G806,'KO Calc'!$H812:$AW812,30,FALSE)))))))))))))</f>
        <v>-</v>
      </c>
      <c r="L806" s="36" t="str">
        <f>IFERROR(IF(AND($Q$1=FALSE,$S$3=FALSE),"-",VLOOKUP($E806,'Status Thresholds'!$E:$AU,43,FALSE)),"-")</f>
        <v>-</v>
      </c>
      <c r="M806" s="36" t="str">
        <f>IFERROR(IF(AND($Q$1=FALSE,$S$3=FALSE),"-",VLOOKUP($E806,'Status Thresholds'!$E:$AU,41,FALSE)),"-")</f>
        <v>-</v>
      </c>
      <c r="N806" s="36" t="str">
        <f>IFERROR(IF(AND($Q$1=FALSE,$S$3=FALSE),"-",VLOOKUP($E806,'Status Thresholds'!$E:$AU,42,FALSE)),"-")</f>
        <v>-</v>
      </c>
    </row>
    <row r="807" spans="2:14" x14ac:dyDescent="0.25">
      <c r="B807" s="64" t="str">
        <f>VLOOKUP(C807,'Status Thresholds'!B:C,2,FALSE)</f>
        <v>Deviant</v>
      </c>
      <c r="C807" s="46" t="str">
        <f>IF(ISBLANK('KO Calc'!C803)=TRUE,"",'KO Calc'!C803)</f>
        <v>Velocidrome</v>
      </c>
      <c r="D807" s="78" t="s">
        <v>213</v>
      </c>
      <c r="E807" s="62" t="str">
        <f t="shared" si="23"/>
        <v>VelocidromePitfall Trap</v>
      </c>
      <c r="F807" t="s">
        <v>12</v>
      </c>
      <c r="G807" s="36" t="str">
        <f t="shared" si="24"/>
        <v>VelocidromeCrag 2</v>
      </c>
      <c r="H807" s="36" t="str">
        <f>IF(AND($Q$1=FALSE,$S$3=FALSE),"-",IF(AND($Q$1=TRUE,$S$3=TRUE),"-",IF(AND($Q$1=FALSE,$S$3=FALSE),"-",IF(AND($Q$1=TRUE,$S$1=TRUE,$S$4=FALSE)=TRUE,IF(OR($Q$4=TRUE,$Q$5=TRUE,$S$2=TRUE),VLOOKUP($G807,'KO Calc'!$H:$AW,12,FALSE),VLOOKUP($G807,'KO Calc'!$H813:$AW813,12,FALSE)),IF(AND($Q$1=TRUE,$S$4=FALSE),IF(OR($Q$4=TRUE,$Q$5=TRUE,$S$2=TRUE),VLOOKUP($G807,'KO Calc'!$H:$AW,2,FALSE),VLOOKUP($G807,'KO Calc'!$H813:$AW813,2,FALSE)),
IF(AND($Q$1=TRUE,$S$1=TRUE,$S$4=TRUE)=TRUE,IF(OR($Q$4=TRUE,$Q$5=TRUE,$S$2=TRUE),VLOOKUP($G807,'KO Calc'!$H:$AW,17,FALSE),VLOOKUP($G807,'KO Calc'!$H813:$AW813,17,FALSE)),IF(AND($Q$1=TRUE,$S$4=TRUE),IF(OR($Q$4=TRUE,$Q$5=TRUE,$S$2=TRUE),VLOOKUP($G807,'KO Calc'!$H:$AW,7,FALSE),VLOOKUP($G807,'KO Calc'!$H813:$AW813,7,FALSE)),
IF(AND($S$3=TRUE,$S$1=TRUE,$S$4=FALSE)=TRUE,IF(OR($Q$4=TRUE,$Q$5=TRUE,$S$2=TRUE),VLOOKUP($G807,'KO Calc'!$H:$AW,32,FALSE),VLOOKUP($G807,'KO Calc'!$H813:$AW813,32,FALSE)),IF(AND($S$3=TRUE,$S$4=FALSE),IF(OR($Q$4=TRUE,$Q$5=TRUE,$S$2=TRUE),VLOOKUP($G807,'KO Calc'!$H:$AW,22,FALSE),VLOOKUP($G807,'KO Calc'!$H813:$AW813,22,FALSE)),
IF(AND($S$3=TRUE,$S$1=TRUE,$S$4=TRUE)=TRUE,IF(OR($Q$4=TRUE,$Q$5=TRUE,$S$2=TRUE),VLOOKUP($G807,'KO Calc'!$H:$AW,37,FALSE),VLOOKUP($G807,'KO Calc'!$H813:$AW813,37,FALSE)),IF(AND($S$3=TRUE,$S$4=TRUE),IF(OR($Q$4=TRUE,$Q$5=TRUE,$S$2=TRUE),VLOOKUP($G807,'KO Calc'!$H:$AW,27,FALSE),VLOOKUP($G807,'KO Calc'!$H813:$AW813,27,FALSE)))))))))))))</f>
        <v>-</v>
      </c>
      <c r="I807" s="36" t="str">
        <f>IF(AND($Q$1=FALSE,$S$3=FALSE),"-",IF(AND($Q$1=TRUE,$S$3=TRUE),"-",IF(AND($Q$1=FALSE,$S$3=FALSE),"-",IF(AND($Q$1=TRUE,$S$1=TRUE,$S$4=FALSE)=TRUE,IF(OR($Q$4=TRUE,$Q$5=TRUE,$S$2=TRUE),VLOOKUP($G807,'KO Calc'!$H:$AW,13,FALSE),VLOOKUP($G807,'KO Calc'!$H813:$AW813,13,FALSE)),IF(AND($Q$1=TRUE,$S$4=FALSE),IF(OR($Q$4=TRUE,$Q$5=TRUE,$S$2=TRUE),VLOOKUP($G807,'KO Calc'!$H:$AW,3,FALSE),VLOOKUP($G807,'KO Calc'!$H813:$AW813,3,FALSE)),
IF(AND($Q$1=TRUE,$S$1=TRUE,$S$4=TRUE)=TRUE,IF(OR($Q$4=TRUE,$Q$5=TRUE,$S$2=TRUE),VLOOKUP($G807,'KO Calc'!$H:$AW,18,FALSE),VLOOKUP($G807,'KO Calc'!$H813:$AW813,18,FALSE)),IF(AND($Q$1=TRUE,$S$4=TRUE),IF(OR($Q$4=TRUE,$Q$5=TRUE,$S$2=TRUE),VLOOKUP($G807,'KO Calc'!$H:$AW,8,FALSE),VLOOKUP($G807,'KO Calc'!$H813:$AW813,8,FALSE)),
IF(AND($S$3=TRUE,$S$1=TRUE,$S$4=FALSE)=TRUE,IF(OR($Q$4=TRUE,$Q$5=TRUE,$S$2=TRUE),VLOOKUP($G807,'KO Calc'!$H:$AW,33,FALSE),VLOOKUP($G807,'KO Calc'!$H813:$AW813,33,FALSE)),IF(AND($S$3=TRUE,$S$4=FALSE),IF(OR($Q$4=TRUE,$Q$5=TRUE,$S$2=TRUE),VLOOKUP($G807,'KO Calc'!$H:$AW,23,FALSE),VLOOKUP($G807,'KO Calc'!$H813:$AW813,23,FALSE)),
IF(AND($S$3=TRUE,$S$1=TRUE,$S$4=TRUE)=TRUE,IF(OR($Q$4=TRUE,$Q$5=TRUE,$S$2=TRUE),VLOOKUP($G807,'KO Calc'!$H:$AW,38,FALSE),VLOOKUP($G807,'KO Calc'!$H813:$AW813,38,FALSE)),IF(AND($S$3=TRUE,$S$4=TRUE),IF(OR($Q$4=TRUE,$Q$5=TRUE,$S$2=TRUE),VLOOKUP($G807,'KO Calc'!$H:$AW,28,FALSE),VLOOKUP($G807,'KO Calc'!$H813:$AW813,28,FALSE)))))))))))))</f>
        <v>-</v>
      </c>
      <c r="J807" s="36" t="str">
        <f>IF(AND($Q$1=FALSE,$S$3=FALSE),"-",IF(AND($Q$1=TRUE,$S$3=TRUE),"-",IF(AND($Q$1=FALSE,$S$3=FALSE),"-",IF(AND($Q$1=TRUE,$S$1=TRUE,$S$4=FALSE)=TRUE,IF(OR($Q$4=TRUE,$Q$5=TRUE,$S$2=TRUE),VLOOKUP($G807,'KO Calc'!$H:$AW,FALSE),VLOOKUP($G807,'KO Calc'!$H813:$AW813,14,FALSE)),IF(AND($Q$1=TRUE,$S$4=FALSE),IF(OR($Q$4=TRUE,$Q$5=TRUE,$S$2=TRUE),VLOOKUP($G807,'KO Calc'!$H:$AW,4,FALSE),VLOOKUP($G807,'KO Calc'!$H813:$AW813,4,FALSE)),
IF(AND($Q$1=TRUE,$S$1=TRUE,$S$4=TRUE)=TRUE,IF(OR($Q$4=TRUE,$Q$5=TRUE,$S$2=TRUE),VLOOKUP($G807,'KO Calc'!$H:$AW,19,FALSE),VLOOKUP($G807,'KO Calc'!$H813:$AW813,19,FALSE)),IF(AND($Q$1=TRUE,$S$4=TRUE),IF(OR($Q$4=TRUE,$Q$5=TRUE,$S$2=TRUE),VLOOKUP($G807,'KO Calc'!$H:$AW,9,FALSE),VLOOKUP($G807,'KO Calc'!$H813:$AW813,9,FALSE)),
IF(AND($S$3=TRUE,$S$1=TRUE,$S$4=FALSE)=TRUE,IF(OR($Q$4=TRUE,$Q$5=TRUE,$S$2=TRUE),VLOOKUP($G807,'KO Calc'!$H:$AW,34,FALSE),VLOOKUP($G807,'KO Calc'!$H813:$AW813,34,FALSE)),IF(AND($S$3=TRUE,$S$4=FALSE),IF(OR($Q$4=TRUE,$Q$5=TRUE,$S$2=TRUE),VLOOKUP($G807,'KO Calc'!$H:$AW,24,FALSE),VLOOKUP($G807,'KO Calc'!$H813:$AW813,24,FALSE)),
IF(AND($S$3=TRUE,$S$1=TRUE,$S$4=TRUE)=TRUE,IF(OR($Q$4=TRUE,$Q$5=TRUE,$S$2=TRUE),VLOOKUP($G807,'KO Calc'!$H:$AW,39,FALSE),VLOOKUP($G807,'KO Calc'!$H813:$AW813,39,FALSE)),IF(AND($S$3=TRUE,$S$4=TRUE),IF(OR($Q$4=TRUE,$Q$5=TRUE,$S$2=TRUE),VLOOKUP($G807,'KO Calc'!$H:$AW,29,FALSE),VLOOKUP($G807,'KO Calc'!$H813:$AW813,29,FALSE)))))))))))))</f>
        <v>-</v>
      </c>
      <c r="K807" s="36" t="str">
        <f>IF(AND($Q$1=FALSE,$S$3=FALSE),"-",IF(AND($Q$1=TRUE,$S$3=TRUE),"-",IF(AND($Q$1=FALSE,$S$3=FALSE),"-",IF(AND($Q$1=TRUE,$S$1=TRUE,$S$4=FALSE)=TRUE,IF(OR($Q$4=TRUE,$Q$5=TRUE,$S$2=TRUE),VLOOKUP($G807,'KO Calc'!$H:$AW,15,FALSE),VLOOKUP($G807,'KO Calc'!$H813:$AW813,15,FALSE)),IF(AND($Q$1=TRUE,$S$4=FALSE),IF(OR($Q$4=TRUE,$Q$5=TRUE,$S$2=TRUE),VLOOKUP($G807,'KO Calc'!$H:$AW,5,FALSE),VLOOKUP($G807,'KO Calc'!$H813:$AW813,5,FALSE)),
IF(AND($Q$1=TRUE,$S$1=TRUE,$S$4=TRUE)=TRUE,IF(OR($Q$4=TRUE,$Q$5=TRUE,$S$2=TRUE),VLOOKUP($G807,'KO Calc'!$H:$AW,20,FALSE),VLOOKUP($G807,'KO Calc'!$H813:$AW813,20,FALSE)),IF(AND($Q$1=TRUE,$S$4=TRUE),IF(OR($Q$4=TRUE,$Q$5=TRUE,$S$2=TRUE),VLOOKUP($G807,'KO Calc'!$H:$AW,10,FALSE),VLOOKUP($G807,'KO Calc'!$H813:$AW813,10,FALSE)),
IF(AND($S$3=TRUE,$S$1=TRUE,$S$4=FALSE)=TRUE,IF(OR($Q$4=TRUE,$Q$5=TRUE,$S$2=TRUE),VLOOKUP($G807,'KO Calc'!$H:$AW,35,FALSE),VLOOKUP($G807,'KO Calc'!$H813:$AW813,35,FALSE)),IF(AND($S$3=TRUE,$S$4=FALSE),IF(OR($Q$4=TRUE,$Q$5=TRUE,$S$2=TRUE),VLOOKUP($G807,'KO Calc'!$H:$AW,25,FALSE),VLOOKUP($G807,'KO Calc'!$H813:$AW813,25,FALSE)),
IF(AND($S$3=TRUE,$S$1=TRUE,$S$4=TRUE)=TRUE,IF(OR($Q$4=TRUE,$Q$5=TRUE,$S$2=TRUE),VLOOKUP($G807,'KO Calc'!$H:$AW,40,FALSE),VLOOKUP($G807,'KO Calc'!$H813:$AW813,40,FALSE)),IF(AND($S$3=TRUE,$S$4=TRUE),IF(OR($Q$4=TRUE,$Q$5=TRUE,$S$2=TRUE),VLOOKUP($G807,'KO Calc'!$H:$AW,30,FALSE),VLOOKUP($G807,'KO Calc'!$H813:$AW813,30,FALSE)))))))))))))</f>
        <v>-</v>
      </c>
      <c r="L807" s="36" t="str">
        <f>IFERROR(IF(AND($Q$1=FALSE,$S$3=FALSE),"-",VLOOKUP($E807,'Status Thresholds'!$E:$AU,43,FALSE)),"-")</f>
        <v>-</v>
      </c>
      <c r="M807" s="36" t="str">
        <f>IFERROR(IF(AND($Q$1=FALSE,$S$3=FALSE),"-",VLOOKUP($E807,'Status Thresholds'!$E:$AU,41,FALSE)),"-")</f>
        <v>-</v>
      </c>
      <c r="N807" s="36" t="str">
        <f>IFERROR(IF(AND($Q$1=FALSE,$S$3=FALSE),"-",VLOOKUP($E807,'Status Thresholds'!$E:$AU,42,FALSE)),"-")</f>
        <v>-</v>
      </c>
    </row>
    <row r="808" spans="2:14" x14ac:dyDescent="0.25">
      <c r="B808" s="64" t="str">
        <f>VLOOKUP(C808,'Status Thresholds'!B:C,2,FALSE)</f>
        <v>Deviant</v>
      </c>
      <c r="C808" s="46" t="str">
        <f>IF(ISBLANK('KO Calc'!C804)=TRUE,"",'KO Calc'!C804)</f>
        <v>Velocidrome</v>
      </c>
      <c r="D808" s="78"/>
      <c r="E808" s="62" t="str">
        <f t="shared" si="23"/>
        <v>Velocidrome</v>
      </c>
      <c r="F808" t="s">
        <v>11</v>
      </c>
      <c r="G808" s="36" t="str">
        <f t="shared" si="24"/>
        <v>VelocidromeCrag 1</v>
      </c>
      <c r="H808" s="36" t="str">
        <f>IF(AND($Q$1=FALSE,$S$3=FALSE),"-",IF(AND($Q$1=TRUE,$S$3=TRUE),"-",IF(AND($Q$1=FALSE,$S$3=FALSE),"-",IF(AND($Q$1=TRUE,$S$1=TRUE,$S$4=FALSE)=TRUE,IF(OR($Q$4=TRUE,$Q$5=TRUE,$S$2=TRUE),VLOOKUP($G808,'KO Calc'!$H:$AW,12,FALSE),VLOOKUP($G808,'KO Calc'!$H814:$AW814,12,FALSE)),IF(AND($Q$1=TRUE,$S$4=FALSE),IF(OR($Q$4=TRUE,$Q$5=TRUE,$S$2=TRUE),VLOOKUP($G808,'KO Calc'!$H:$AW,2,FALSE),VLOOKUP($G808,'KO Calc'!$H814:$AW814,2,FALSE)),
IF(AND($Q$1=TRUE,$S$1=TRUE,$S$4=TRUE)=TRUE,IF(OR($Q$4=TRUE,$Q$5=TRUE,$S$2=TRUE),VLOOKUP($G808,'KO Calc'!$H:$AW,17,FALSE),VLOOKUP($G808,'KO Calc'!$H814:$AW814,17,FALSE)),IF(AND($Q$1=TRUE,$S$4=TRUE),IF(OR($Q$4=TRUE,$Q$5=TRUE,$S$2=TRUE),VLOOKUP($G808,'KO Calc'!$H:$AW,7,FALSE),VLOOKUP($G808,'KO Calc'!$H814:$AW814,7,FALSE)),
IF(AND($S$3=TRUE,$S$1=TRUE,$S$4=FALSE)=TRUE,IF(OR($Q$4=TRUE,$Q$5=TRUE,$S$2=TRUE),VLOOKUP($G808,'KO Calc'!$H:$AW,32,FALSE),VLOOKUP($G808,'KO Calc'!$H814:$AW814,32,FALSE)),IF(AND($S$3=TRUE,$S$4=FALSE),IF(OR($Q$4=TRUE,$Q$5=TRUE,$S$2=TRUE),VLOOKUP($G808,'KO Calc'!$H:$AW,22,FALSE),VLOOKUP($G808,'KO Calc'!$H814:$AW814,22,FALSE)),
IF(AND($S$3=TRUE,$S$1=TRUE,$S$4=TRUE)=TRUE,IF(OR($Q$4=TRUE,$Q$5=TRUE,$S$2=TRUE),VLOOKUP($G808,'KO Calc'!$H:$AW,37,FALSE),VLOOKUP($G808,'KO Calc'!$H814:$AW814,37,FALSE)),IF(AND($S$3=TRUE,$S$4=TRUE),IF(OR($Q$4=TRUE,$Q$5=TRUE,$S$2=TRUE),VLOOKUP($G808,'KO Calc'!$H:$AW,27,FALSE),VLOOKUP($G808,'KO Calc'!$H814:$AW814,27,FALSE)))))))))))))</f>
        <v>-</v>
      </c>
      <c r="I808" s="36" t="str">
        <f>IF(AND($Q$1=FALSE,$S$3=FALSE),"-",IF(AND($Q$1=TRUE,$S$3=TRUE),"-",IF(AND($Q$1=FALSE,$S$3=FALSE),"-",IF(AND($Q$1=TRUE,$S$1=TRUE,$S$4=FALSE)=TRUE,IF(OR($Q$4=TRUE,$Q$5=TRUE,$S$2=TRUE),VLOOKUP($G808,'KO Calc'!$H:$AW,13,FALSE),VLOOKUP($G808,'KO Calc'!$H814:$AW814,13,FALSE)),IF(AND($Q$1=TRUE,$S$4=FALSE),IF(OR($Q$4=TRUE,$Q$5=TRUE,$S$2=TRUE),VLOOKUP($G808,'KO Calc'!$H:$AW,3,FALSE),VLOOKUP($G808,'KO Calc'!$H814:$AW814,3,FALSE)),
IF(AND($Q$1=TRUE,$S$1=TRUE,$S$4=TRUE)=TRUE,IF(OR($Q$4=TRUE,$Q$5=TRUE,$S$2=TRUE),VLOOKUP($G808,'KO Calc'!$H:$AW,18,FALSE),VLOOKUP($G808,'KO Calc'!$H814:$AW814,18,FALSE)),IF(AND($Q$1=TRUE,$S$4=TRUE),IF(OR($Q$4=TRUE,$Q$5=TRUE,$S$2=TRUE),VLOOKUP($G808,'KO Calc'!$H:$AW,8,FALSE),VLOOKUP($G808,'KO Calc'!$H814:$AW814,8,FALSE)),
IF(AND($S$3=TRUE,$S$1=TRUE,$S$4=FALSE)=TRUE,IF(OR($Q$4=TRUE,$Q$5=TRUE,$S$2=TRUE),VLOOKUP($G808,'KO Calc'!$H:$AW,33,FALSE),VLOOKUP($G808,'KO Calc'!$H814:$AW814,33,FALSE)),IF(AND($S$3=TRUE,$S$4=FALSE),IF(OR($Q$4=TRUE,$Q$5=TRUE,$S$2=TRUE),VLOOKUP($G808,'KO Calc'!$H:$AW,23,FALSE),VLOOKUP($G808,'KO Calc'!$H814:$AW814,23,FALSE)),
IF(AND($S$3=TRUE,$S$1=TRUE,$S$4=TRUE)=TRUE,IF(OR($Q$4=TRUE,$Q$5=TRUE,$S$2=TRUE),VLOOKUP($G808,'KO Calc'!$H:$AW,38,FALSE),VLOOKUP($G808,'KO Calc'!$H814:$AW814,38,FALSE)),IF(AND($S$3=TRUE,$S$4=TRUE),IF(OR($Q$4=TRUE,$Q$5=TRUE,$S$2=TRUE),VLOOKUP($G808,'KO Calc'!$H:$AW,28,FALSE),VLOOKUP($G808,'KO Calc'!$H814:$AW814,28,FALSE)))))))))))))</f>
        <v>-</v>
      </c>
      <c r="J808" s="36" t="str">
        <f>IF(AND($Q$1=FALSE,$S$3=FALSE),"-",IF(AND($Q$1=TRUE,$S$3=TRUE),"-",IF(AND($Q$1=FALSE,$S$3=FALSE),"-",IF(AND($Q$1=TRUE,$S$1=TRUE,$S$4=FALSE)=TRUE,IF(OR($Q$4=TRUE,$Q$5=TRUE,$S$2=TRUE),VLOOKUP($G808,'KO Calc'!$H:$AW,FALSE),VLOOKUP($G808,'KO Calc'!$H814:$AW814,14,FALSE)),IF(AND($Q$1=TRUE,$S$4=FALSE),IF(OR($Q$4=TRUE,$Q$5=TRUE,$S$2=TRUE),VLOOKUP($G808,'KO Calc'!$H:$AW,4,FALSE),VLOOKUP($G808,'KO Calc'!$H814:$AW814,4,FALSE)),
IF(AND($Q$1=TRUE,$S$1=TRUE,$S$4=TRUE)=TRUE,IF(OR($Q$4=TRUE,$Q$5=TRUE,$S$2=TRUE),VLOOKUP($G808,'KO Calc'!$H:$AW,19,FALSE),VLOOKUP($G808,'KO Calc'!$H814:$AW814,19,FALSE)),IF(AND($Q$1=TRUE,$S$4=TRUE),IF(OR($Q$4=TRUE,$Q$5=TRUE,$S$2=TRUE),VLOOKUP($G808,'KO Calc'!$H:$AW,9,FALSE),VLOOKUP($G808,'KO Calc'!$H814:$AW814,9,FALSE)),
IF(AND($S$3=TRUE,$S$1=TRUE,$S$4=FALSE)=TRUE,IF(OR($Q$4=TRUE,$Q$5=TRUE,$S$2=TRUE),VLOOKUP($G808,'KO Calc'!$H:$AW,34,FALSE),VLOOKUP($G808,'KO Calc'!$H814:$AW814,34,FALSE)),IF(AND($S$3=TRUE,$S$4=FALSE),IF(OR($Q$4=TRUE,$Q$5=TRUE,$S$2=TRUE),VLOOKUP($G808,'KO Calc'!$H:$AW,24,FALSE),VLOOKUP($G808,'KO Calc'!$H814:$AW814,24,FALSE)),
IF(AND($S$3=TRUE,$S$1=TRUE,$S$4=TRUE)=TRUE,IF(OR($Q$4=TRUE,$Q$5=TRUE,$S$2=TRUE),VLOOKUP($G808,'KO Calc'!$H:$AW,39,FALSE),VLOOKUP($G808,'KO Calc'!$H814:$AW814,39,FALSE)),IF(AND($S$3=TRUE,$S$4=TRUE),IF(OR($Q$4=TRUE,$Q$5=TRUE,$S$2=TRUE),VLOOKUP($G808,'KO Calc'!$H:$AW,29,FALSE),VLOOKUP($G808,'KO Calc'!$H814:$AW814,29,FALSE)))))))))))))</f>
        <v>-</v>
      </c>
      <c r="K808" s="36" t="str">
        <f>IF(AND($Q$1=FALSE,$S$3=FALSE),"-",IF(AND($Q$1=TRUE,$S$3=TRUE),"-",IF(AND($Q$1=FALSE,$S$3=FALSE),"-",IF(AND($Q$1=TRUE,$S$1=TRUE,$S$4=FALSE)=TRUE,IF(OR($Q$4=TRUE,$Q$5=TRUE,$S$2=TRUE),VLOOKUP($G808,'KO Calc'!$H:$AW,15,FALSE),VLOOKUP($G808,'KO Calc'!$H814:$AW814,15,FALSE)),IF(AND($Q$1=TRUE,$S$4=FALSE),IF(OR($Q$4=TRUE,$Q$5=TRUE,$S$2=TRUE),VLOOKUP($G808,'KO Calc'!$H:$AW,5,FALSE),VLOOKUP($G808,'KO Calc'!$H814:$AW814,5,FALSE)),
IF(AND($Q$1=TRUE,$S$1=TRUE,$S$4=TRUE)=TRUE,IF(OR($Q$4=TRUE,$Q$5=TRUE,$S$2=TRUE),VLOOKUP($G808,'KO Calc'!$H:$AW,20,FALSE),VLOOKUP($G808,'KO Calc'!$H814:$AW814,20,FALSE)),IF(AND($Q$1=TRUE,$S$4=TRUE),IF(OR($Q$4=TRUE,$Q$5=TRUE,$S$2=TRUE),VLOOKUP($G808,'KO Calc'!$H:$AW,10,FALSE),VLOOKUP($G808,'KO Calc'!$H814:$AW814,10,FALSE)),
IF(AND($S$3=TRUE,$S$1=TRUE,$S$4=FALSE)=TRUE,IF(OR($Q$4=TRUE,$Q$5=TRUE,$S$2=TRUE),VLOOKUP($G808,'KO Calc'!$H:$AW,35,FALSE),VLOOKUP($G808,'KO Calc'!$H814:$AW814,35,FALSE)),IF(AND($S$3=TRUE,$S$4=FALSE),IF(OR($Q$4=TRUE,$Q$5=TRUE,$S$2=TRUE),VLOOKUP($G808,'KO Calc'!$H:$AW,25,FALSE),VLOOKUP($G808,'KO Calc'!$H814:$AW814,25,FALSE)),
IF(AND($S$3=TRUE,$S$1=TRUE,$S$4=TRUE)=TRUE,IF(OR($Q$4=TRUE,$Q$5=TRUE,$S$2=TRUE),VLOOKUP($G808,'KO Calc'!$H:$AW,40,FALSE),VLOOKUP($G808,'KO Calc'!$H814:$AW814,40,FALSE)),IF(AND($S$3=TRUE,$S$4=TRUE),IF(OR($Q$4=TRUE,$Q$5=TRUE,$S$2=TRUE),VLOOKUP($G808,'KO Calc'!$H:$AW,30,FALSE),VLOOKUP($G808,'KO Calc'!$H814:$AW814,30,FALSE)))))))))))))</f>
        <v>-</v>
      </c>
      <c r="L808" s="36" t="str">
        <f>IFERROR(VLOOKUP($E808,'Status Thresholds'!$E:$AS,41,FALSE),"-")</f>
        <v>-</v>
      </c>
    </row>
    <row r="809" spans="2:14" x14ac:dyDescent="0.25">
      <c r="B809" s="64" t="str">
        <f>VLOOKUP(C809,'Status Thresholds'!B:C,2,FALSE)</f>
        <v>Deviant</v>
      </c>
      <c r="C809" s="46" t="str">
        <f>IF(ISBLANK('KO Calc'!C805)=TRUE,"",'KO Calc'!C805)</f>
        <v>Velocidrome</v>
      </c>
      <c r="D809" s="78"/>
      <c r="E809" s="62" t="str">
        <f t="shared" si="23"/>
        <v>Velocidrome</v>
      </c>
      <c r="G809" s="36" t="str">
        <f t="shared" si="24"/>
        <v>Velocidrome</v>
      </c>
      <c r="L809" s="36" t="str">
        <f>IFERROR(VLOOKUP($E809,'Status Thresholds'!$E:$AS,41,FALSE),"-")</f>
        <v>-</v>
      </c>
    </row>
    <row r="810" spans="2:14" x14ac:dyDescent="0.25">
      <c r="B810" s="64" t="str">
        <f>VLOOKUP(C810,'Status Thresholds'!B:C,2,FALSE)</f>
        <v>MHGen</v>
      </c>
      <c r="C810" s="46" t="str">
        <f>IF(ISBLANK('KO Calc'!C806)=TRUE,"",'KO Calc'!C806)</f>
        <v>Volvidon</v>
      </c>
      <c r="D810" s="65" t="s">
        <v>0</v>
      </c>
      <c r="E810" s="62" t="str">
        <f t="shared" si="23"/>
        <v>VolvidonPara</v>
      </c>
      <c r="F810" s="36" t="s">
        <v>2</v>
      </c>
      <c r="G810" s="36" t="str">
        <f t="shared" si="24"/>
        <v>VolvidonPara lvl 2</v>
      </c>
      <c r="H810" s="36" t="str">
        <f>IFERROR(ROUNDUP(IF(AND($Q$1=FALSE,$S$3=FALSE),"-",IF(AND($Q$1=TRUE,$S$3=TRUE),"-",IF(AND($Q$1=TRUE,$S$1=TRUE,$S$4=FALSE),VLOOKUP($E810,'Status Thresholds'!$E:$AS,12,FALSE),IF(AND($Q$1=TRUE,$S$4=FALSE),VLOOKUP($E810,'Status Thresholds'!$E:$AS,2,FALSE), IF(AND($Q$1=TRUE,$S$1=TRUE,$S$4=TRUE),VLOOKUP($E810,'Status Thresholds'!$E:$AS,17,FALSE),IF(AND($Q$1=TRUE,$S$4=TRUE),VLOOKUP($E810,'Status Thresholds'!$E:$AS,7,FALSE),IF(AND($S$3=TRUE,$S$1=TRUE,$S$4=FALSE),VLOOKUP($E810,'Status Thresholds'!$E:$AS,32,FALSE),IF(AND($S$3=TRUE,$S$4=FALSE),VLOOKUP($E810,'Status Thresholds'!$E:$AS,22,FALSE),IF(AND($S$3=TRUE,$S$1=TRUE,$S$4=TRUE),VLOOKUP($E810,'Status Thresholds'!$E:$AS,37,FALSE),IF(AND($S$3=TRUE,$S$4=TRUE),VLOOKUP($E810,'Status Thresholds'!$E:$AS,27,FALSE),""))))))))/IF(OR($Q$3=TRUE,AND($Q$2=TRUE,$Q$7=TRUE),AND($Q$3=TRUE,$Q$7=TRUE))=TRUE,'Shots and Status'!$F$5,IF((OR($Q$2,$Q$7)=TRUE),'Shots and Status'!$D$5,'Shots and Status'!$C$5)))),0),"-")</f>
        <v>-</v>
      </c>
      <c r="I810" s="36" t="str">
        <f>IFERROR(ROUNDUP(IF(AND($Q$1=FALSE,$S$3=FALSE),"-",IF(AND($Q$1=TRUE,$S$3=TRUE),"-",IF(AND($Q$1=TRUE,$S$1=TRUE,$S$4=FALSE),VLOOKUP($E810,'Status Thresholds'!$E:$AS,13,FALSE),IF(AND($Q$1=TRUE,$S$4=FALSE),VLOOKUP($E810,'Status Thresholds'!$E:$AS,3,FALSE), IF(AND($Q$1=TRUE,$S$1=TRUE,$S$4=TRUE),VLOOKUP($E810,'Status Thresholds'!$E:$AS,18,FALSE),IF(AND($Q$1=TRUE,$S$4=TRUE),VLOOKUP($E810,'Status Thresholds'!$E:$AS,8,FALSE),IF(AND($S$3=TRUE,$S$1=TRUE,$S$4=FALSE),VLOOKUP($E810,'Status Thresholds'!$E:$AS,33,FALSE),IF(AND($S$3=TRUE,$S$4=FALSE),VLOOKUP($E810,'Status Thresholds'!$E:$AS,23,FALSE),IF(AND($S$3=TRUE,$S$1=TRUE,$S$4=TRUE),VLOOKUP($E810,'Status Thresholds'!$E:$AS,38,FALSE),IF(AND($S$3=TRUE,$S$4=TRUE),VLOOKUP($E810,'Status Thresholds'!$E:$AS,28,FALSE),""))))))))/IF(OR($Q$3=TRUE,AND($Q$2=TRUE,$Q$7=TRUE),AND($Q$3=TRUE,$Q$7=TRUE))=TRUE,'Shots and Status'!$F$5,IF((OR($Q$2,$Q$7)=TRUE),'Shots and Status'!$D$5,'Shots and Status'!$C$5)))),0),"-")</f>
        <v>-</v>
      </c>
      <c r="J810" s="36" t="str">
        <f>IFERROR(ROUNDUP(IF(AND($Q$1=FALSE,$S$3=FALSE),"-",IF(AND($Q$1=TRUE,$S$3=TRUE),"-",IF(AND($Q$1=TRUE,$S$1=TRUE,$S$4=FALSE),VLOOKUP($E810,'Status Thresholds'!$E:$AS,14,FALSE),IF(AND($Q$1=TRUE,$S$4=FALSE),VLOOKUP($E810,'Status Thresholds'!$E:$AS,4,FALSE), IF(AND($Q$1=TRUE,$S$1=TRUE,$S$4=TRUE),VLOOKUP($E810,'Status Thresholds'!$E:$AS,19,FALSE),IF(AND($Q$1=TRUE,$S$4=TRUE),VLOOKUP($E810,'Status Thresholds'!$E:$AS,9,FALSE),IF(AND($S$3=TRUE,$S$1=TRUE,$S$4=FALSE),VLOOKUP($E810,'Status Thresholds'!$E:$AS,34,FALSE),IF(AND($S$3=TRUE,$S$4=FALSE),VLOOKUP($E810,'Status Thresholds'!$E:$AS,24,FALSE),IF(AND($S$3=TRUE,$S$1=TRUE,$S$4=TRUE),VLOOKUP($E810,'Status Thresholds'!$E:$AS,39,FALSE),IF(AND($S$3=TRUE,$S$4=TRUE),VLOOKUP($E810,'Status Thresholds'!$E:$AS,29,FALSE),""))))))))/IF(OR($Q$3=TRUE,AND($Q$2=TRUE,$Q$7=TRUE),AND($Q$3=TRUE,$Q$7=TRUE))=TRUE,'Shots and Status'!$F$5,IF((OR($Q$2,$Q$7)=TRUE),'Shots and Status'!$D$5,'Shots and Status'!$C$5)))),0),"-")</f>
        <v>-</v>
      </c>
      <c r="K810" s="36" t="str">
        <f>IFERROR(ROUNDUP(IF(AND($Q$1=FALSE,$S$3=FALSE),"-",IF(AND($Q$1=TRUE,$S$3=TRUE),"-",IF(AND($Q$1=TRUE,$S$1=TRUE,$S$4=FALSE),VLOOKUP($E810,'Status Thresholds'!$E:$AS,15,FALSE),IF(AND($Q$1=TRUE,$S$4=FALSE),VLOOKUP($E810,'Status Thresholds'!$E:$AS,5,FALSE), IF(AND($Q$1=TRUE,$S$1=TRUE,$S$4=TRUE),VLOOKUP($E810,'Status Thresholds'!$E:$AS,20,FALSE),IF(AND($Q$1=TRUE,$S$4=TRUE),VLOOKUP($E810,'Status Thresholds'!$E:$AS,10,FALSE),IF(AND($S$3=TRUE,$S$1=TRUE,$S$4=FALSE),VLOOKUP($E810,'Status Thresholds'!$E:$AS,35,FALSE),IF(AND($S$3=TRUE,$S$4=FALSE),VLOOKUP($E810,'Status Thresholds'!$E:$AS,25,FALSE),IF(AND($S$3=TRUE,$S$1=TRUE,$S$4=TRUE),VLOOKUP($E810,'Status Thresholds'!$E:$AS,40,FALSE),IF(AND($S$3=TRUE,$S$4=TRUE),VLOOKUP($E810,'Status Thresholds'!$E:$AS,30,FALSE),""))))))))/IF(OR($Q$3=TRUE,AND($Q$2=TRUE,$Q$7=TRUE),AND($Q$3=TRUE,$Q$7=TRUE))=TRUE,'Shots and Status'!$F$5,IF((OR($Q$2,$Q$7)=TRUE),'Shots and Status'!$D$5,'Shots and Status'!$C$5)))),0),"-")</f>
        <v>-</v>
      </c>
      <c r="L810" s="36" t="str">
        <f>IFERROR(IF(AND($Q$1=FALSE,$S$3=FALSE),"-",VLOOKUP($E810,'Status Thresholds'!$E:$AU,41,FALSE)),"-")</f>
        <v>-</v>
      </c>
      <c r="M810" s="36" t="str">
        <f>IFERROR(IF(AND($Q$1=FALSE,$S$3=FALSE),"-",VLOOKUP($E810,'Status Thresholds'!$E:$AU,42,FALSE)),"-")</f>
        <v>-</v>
      </c>
      <c r="N810" s="36" t="str">
        <f>IFERROR(IF(AND($Q$1=FALSE,$S$3=FALSE),"-",VLOOKUP($E810,'Status Thresholds'!$E:$AU,43,FALSE)),"-")</f>
        <v>-</v>
      </c>
    </row>
    <row r="811" spans="2:14" x14ac:dyDescent="0.25">
      <c r="B811" s="64" t="str">
        <f>VLOOKUP(C811,'Status Thresholds'!B:C,2,FALSE)</f>
        <v>MHGen</v>
      </c>
      <c r="C811" s="46" t="str">
        <f>IF(ISBLANK('KO Calc'!C807)=TRUE,"",'KO Calc'!C807)</f>
        <v>Volvidon</v>
      </c>
      <c r="D811" s="60" t="s">
        <v>32</v>
      </c>
      <c r="E811" s="62" t="str">
        <f t="shared" si="23"/>
        <v>VolvidonSleep</v>
      </c>
      <c r="F811" s="59" t="s">
        <v>5</v>
      </c>
      <c r="G811" s="36" t="str">
        <f t="shared" si="24"/>
        <v>VolvidonSleep lvl 2</v>
      </c>
      <c r="H811" s="36" t="str">
        <f>IFERROR(ROUNDUP(IF(AND($Q$1=FALSE,$S$3=FALSE),"-",IF(AND($Q$1=TRUE,$S$3=TRUE),"-",IF(AND($Q$1=TRUE,$S$1=TRUE,$S$4=FALSE),VLOOKUP($E811,'Status Thresholds'!$E:$AS,12,FALSE),IF(AND($Q$1=TRUE,$S$4=FALSE),VLOOKUP($E811,'Status Thresholds'!$E:$AS,2,FALSE), IF(AND($Q$1=TRUE,$S$1=TRUE,$S$4=TRUE),VLOOKUP($E811,'Status Thresholds'!$E:$AS,17,FALSE),IF(AND($Q$1=TRUE,$S$4=TRUE),VLOOKUP($E811,'Status Thresholds'!$E:$AS,7,FALSE),IF(AND($S$3=TRUE,$S$1=TRUE,$S$4=FALSE),VLOOKUP($E811,'Status Thresholds'!$E:$AS,32,FALSE),IF(AND($S$3=TRUE,$S$4=FALSE),VLOOKUP($E811,'Status Thresholds'!$E:$AS,22,FALSE),IF(AND($S$3=TRUE,$S$1=TRUE,$S$4=TRUE),VLOOKUP($E811,'Status Thresholds'!$E:$AS,37,FALSE),IF(AND($S$3=TRUE,$S$4=TRUE),VLOOKUP($E811,'Status Thresholds'!$E:$AS,27,FALSE),""))))))))/IF(OR($Q$3=TRUE,AND($Q$2=TRUE,$Q$7=TRUE),AND($Q$3=TRUE,$Q$7=TRUE))=TRUE,'Shots and Status'!$F$5,IF((OR($Q$2,$Q$7)=TRUE),'Shots and Status'!$D$5,'Shots and Status'!$C$5)))),0),"-")</f>
        <v>-</v>
      </c>
      <c r="I811" s="36" t="str">
        <f>IFERROR(ROUNDUP(IF(AND($Q$1=FALSE,$S$3=FALSE),"-",IF(AND($Q$1=TRUE,$S$3=TRUE),"-",IF(AND($Q$1=TRUE,$S$1=TRUE,$S$4=FALSE),VLOOKUP($E811,'Status Thresholds'!$E:$AS,13,FALSE),IF(AND($Q$1=TRUE,$S$4=FALSE),VLOOKUP($E811,'Status Thresholds'!$E:$AS,3,FALSE), IF(AND($Q$1=TRUE,$S$1=TRUE,$S$4=TRUE),VLOOKUP($E811,'Status Thresholds'!$E:$AS,18,FALSE),IF(AND($Q$1=TRUE,$S$4=TRUE),VLOOKUP($E811,'Status Thresholds'!$E:$AS,8,FALSE),IF(AND($S$3=TRUE,$S$1=TRUE,$S$4=FALSE),VLOOKUP($E811,'Status Thresholds'!$E:$AS,33,FALSE),IF(AND($S$3=TRUE,$S$4=FALSE),VLOOKUP($E811,'Status Thresholds'!$E:$AS,23,FALSE),IF(AND($S$3=TRUE,$S$1=TRUE,$S$4=TRUE),VLOOKUP($E811,'Status Thresholds'!$E:$AS,38,FALSE),IF(AND($S$3=TRUE,$S$4=TRUE),VLOOKUP($E811,'Status Thresholds'!$E:$AS,28,FALSE),""))))))))/IF(OR($Q$3=TRUE,AND($Q$2=TRUE,$Q$7=TRUE),AND($Q$3=TRUE,$Q$7=TRUE))=TRUE,'Shots and Status'!$F$5,IF((OR($Q$2,$Q$7)=TRUE),'Shots and Status'!$D$5,'Shots and Status'!$C$5)))),0),"-")</f>
        <v>-</v>
      </c>
      <c r="J811" s="36" t="str">
        <f>IFERROR(ROUNDUP(IF(AND($Q$1=FALSE,$S$3=FALSE),"-",IF(AND($Q$1=TRUE,$S$3=TRUE),"-",IF(AND($Q$1=TRUE,$S$1=TRUE,$S$4=FALSE),VLOOKUP($E811,'Status Thresholds'!$E:$AS,14,FALSE),IF(AND($Q$1=TRUE,$S$4=FALSE),VLOOKUP($E811,'Status Thresholds'!$E:$AS,4,FALSE), IF(AND($Q$1=TRUE,$S$1=TRUE,$S$4=TRUE),VLOOKUP($E811,'Status Thresholds'!$E:$AS,19,FALSE),IF(AND($Q$1=TRUE,$S$4=TRUE),VLOOKUP($E811,'Status Thresholds'!$E:$AS,9,FALSE),IF(AND($S$3=TRUE,$S$1=TRUE,$S$4=FALSE),VLOOKUP($E811,'Status Thresholds'!$E:$AS,34,FALSE),IF(AND($S$3=TRUE,$S$4=FALSE),VLOOKUP($E811,'Status Thresholds'!$E:$AS,24,FALSE),IF(AND($S$3=TRUE,$S$1=TRUE,$S$4=TRUE),VLOOKUP($E811,'Status Thresholds'!$E:$AS,39,FALSE),IF(AND($S$3=TRUE,$S$4=TRUE),VLOOKUP($E811,'Status Thresholds'!$E:$AS,29,FALSE),""))))))))/IF(OR($Q$3=TRUE,AND($Q$2=TRUE,$Q$7=TRUE),AND($Q$3=TRUE,$Q$7=TRUE))=TRUE,'Shots and Status'!$F$5,IF((OR($Q$2,$Q$7)=TRUE),'Shots and Status'!$D$5,'Shots and Status'!$C$5)))),0),"-")</f>
        <v>-</v>
      </c>
      <c r="K811" s="36" t="str">
        <f>IFERROR(ROUNDUP(IF(AND($Q$1=FALSE,$S$3=FALSE),"-",IF(AND($Q$1=TRUE,$S$3=TRUE),"-",IF(AND($Q$1=TRUE,$S$1=TRUE,$S$4=FALSE),VLOOKUP($E811,'Status Thresholds'!$E:$AS,15,FALSE),IF(AND($Q$1=TRUE,$S$4=FALSE),VLOOKUP($E811,'Status Thresholds'!$E:$AS,5,FALSE), IF(AND($Q$1=TRUE,$S$1=TRUE,$S$4=TRUE),VLOOKUP($E811,'Status Thresholds'!$E:$AS,20,FALSE),IF(AND($Q$1=TRUE,$S$4=TRUE),VLOOKUP($E811,'Status Thresholds'!$E:$AS,10,FALSE),IF(AND($S$3=TRUE,$S$1=TRUE,$S$4=FALSE),VLOOKUP($E811,'Status Thresholds'!$E:$AS,35,FALSE),IF(AND($S$3=TRUE,$S$4=FALSE),VLOOKUP($E811,'Status Thresholds'!$E:$AS,25,FALSE),IF(AND($S$3=TRUE,$S$1=TRUE,$S$4=TRUE),VLOOKUP($E811,'Status Thresholds'!$E:$AS,40,FALSE),IF(AND($S$3=TRUE,$S$4=TRUE),VLOOKUP($E811,'Status Thresholds'!$E:$AS,30,FALSE),""))))))))/IF(OR($Q$3=TRUE,AND($Q$2=TRUE,$Q$7=TRUE),AND($Q$3=TRUE,$Q$7=TRUE))=TRUE,'Shots and Status'!$F$5,IF((OR($Q$2,$Q$7)=TRUE),'Shots and Status'!$D$5,'Shots and Status'!$C$5)))),0),"-")</f>
        <v>-</v>
      </c>
      <c r="L811" s="36" t="str">
        <f>IFERROR(IF(AND($Q$1=FALSE,$S$3=FALSE),"-",VLOOKUP($E811,'Status Thresholds'!$E:$AU,41,FALSE)),"-")</f>
        <v>-</v>
      </c>
      <c r="M811" s="36" t="str">
        <f>IFERROR(IF(AND($Q$1=FALSE,$S$3=FALSE),"-",VLOOKUP($E811,'Status Thresholds'!$E:$AU,42,FALSE)),"-")</f>
        <v>-</v>
      </c>
      <c r="N811" s="36" t="str">
        <f>IFERROR(IF(AND($Q$1=FALSE,$S$3=FALSE),"-",VLOOKUP($E811,'Status Thresholds'!$E:$AU,43,FALSE)),"-")</f>
        <v>-</v>
      </c>
    </row>
    <row r="812" spans="2:14" x14ac:dyDescent="0.25">
      <c r="B812" s="64" t="str">
        <f>VLOOKUP(C812,'Status Thresholds'!B:C,2,FALSE)</f>
        <v>MHGen</v>
      </c>
      <c r="C812" s="46" t="str">
        <f>IF(ISBLANK('KO Calc'!C808)=TRUE,"",'KO Calc'!C808)</f>
        <v>Volvidon</v>
      </c>
      <c r="D812" s="58" t="s">
        <v>33</v>
      </c>
      <c r="E812" s="62" t="str">
        <f t="shared" si="23"/>
        <v>VolvidonPoison</v>
      </c>
      <c r="F812" s="59" t="s">
        <v>6</v>
      </c>
      <c r="G812" s="36" t="str">
        <f t="shared" si="24"/>
        <v>VolvidonPoison lvl 2</v>
      </c>
      <c r="H812" s="36" t="str">
        <f>IFERROR(ROUNDUP(IF(AND($Q$1=FALSE,$S$3=FALSE),"-",IF(AND($Q$1=TRUE,$S$3=TRUE),"-",IF(AND($Q$1=TRUE,$S$1=TRUE,$S$4=FALSE),VLOOKUP($E812,'Status Thresholds'!$E:$AS,12,FALSE),IF(AND($Q$1=TRUE,$S$4=FALSE),VLOOKUP($E812,'Status Thresholds'!$E:$AS,2,FALSE), IF(AND($Q$1=TRUE,$S$1=TRUE,$S$4=TRUE),VLOOKUP($E812,'Status Thresholds'!$E:$AS,17,FALSE),IF(AND($Q$1=TRUE,$S$4=TRUE),VLOOKUP($E812,'Status Thresholds'!$E:$AS,7,FALSE),IF(AND($S$3=TRUE,$S$1=TRUE,$S$4=FALSE),VLOOKUP($E812,'Status Thresholds'!$E:$AS,32,FALSE),IF(AND($S$3=TRUE,$S$4=FALSE),VLOOKUP($E812,'Status Thresholds'!$E:$AS,22,FALSE),IF(AND($S$3=TRUE,$S$1=TRUE,$S$4=TRUE),VLOOKUP($E812,'Status Thresholds'!$E:$AS,37,FALSE),IF(AND($S$3=TRUE,$S$4=TRUE),VLOOKUP($E812,'Status Thresholds'!$E:$AS,27,FALSE),""))))))))/IF(OR($Q$3=TRUE,AND($Q$2=TRUE,$Q$7=TRUE),AND($Q$3=TRUE,$Q$7=TRUE))=TRUE,'Shots and Status'!$F$5,IF((OR($Q$2,$Q$7)=TRUE),'Shots and Status'!$D$5,'Shots and Status'!$C$5)))),0),"-")</f>
        <v>-</v>
      </c>
      <c r="I812" s="36" t="str">
        <f>IFERROR(ROUNDUP(IF(AND($Q$1=FALSE,$S$3=FALSE),"-",IF(AND($Q$1=TRUE,$S$3=TRUE),"-",IF(AND($Q$1=TRUE,$S$1=TRUE,$S$4=FALSE),VLOOKUP($E812,'Status Thresholds'!$E:$AS,13,FALSE),IF(AND($Q$1=TRUE,$S$4=FALSE),VLOOKUP($E812,'Status Thresholds'!$E:$AS,3,FALSE), IF(AND($Q$1=TRUE,$S$1=TRUE,$S$4=TRUE),VLOOKUP($E812,'Status Thresholds'!$E:$AS,18,FALSE),IF(AND($Q$1=TRUE,$S$4=TRUE),VLOOKUP($E812,'Status Thresholds'!$E:$AS,8,FALSE),IF(AND($S$3=TRUE,$S$1=TRUE,$S$4=FALSE),VLOOKUP($E812,'Status Thresholds'!$E:$AS,33,FALSE),IF(AND($S$3=TRUE,$S$4=FALSE),VLOOKUP($E812,'Status Thresholds'!$E:$AS,23,FALSE),IF(AND($S$3=TRUE,$S$1=TRUE,$S$4=TRUE),VLOOKUP($E812,'Status Thresholds'!$E:$AS,38,FALSE),IF(AND($S$3=TRUE,$S$4=TRUE),VLOOKUP($E812,'Status Thresholds'!$E:$AS,28,FALSE),""))))))))/IF(OR($Q$3=TRUE,AND($Q$2=TRUE,$Q$7=TRUE),AND($Q$3=TRUE,$Q$7=TRUE))=TRUE,'Shots and Status'!$F$5,IF((OR($Q$2,$Q$7)=TRUE),'Shots and Status'!$D$5,'Shots and Status'!$C$5)))),0),"-")</f>
        <v>-</v>
      </c>
      <c r="J812" s="36" t="str">
        <f>IFERROR(ROUNDUP(IF(AND($Q$1=FALSE,$S$3=FALSE),"-",IF(AND($Q$1=TRUE,$S$3=TRUE),"-",IF(AND($Q$1=TRUE,$S$1=TRUE,$S$4=FALSE),VLOOKUP($E812,'Status Thresholds'!$E:$AS,14,FALSE),IF(AND($Q$1=TRUE,$S$4=FALSE),VLOOKUP($E812,'Status Thresholds'!$E:$AS,4,FALSE), IF(AND($Q$1=TRUE,$S$1=TRUE,$S$4=TRUE),VLOOKUP($E812,'Status Thresholds'!$E:$AS,19,FALSE),IF(AND($Q$1=TRUE,$S$4=TRUE),VLOOKUP($E812,'Status Thresholds'!$E:$AS,9,FALSE),IF(AND($S$3=TRUE,$S$1=TRUE,$S$4=FALSE),VLOOKUP($E812,'Status Thresholds'!$E:$AS,34,FALSE),IF(AND($S$3=TRUE,$S$4=FALSE),VLOOKUP($E812,'Status Thresholds'!$E:$AS,24,FALSE),IF(AND($S$3=TRUE,$S$1=TRUE,$S$4=TRUE),VLOOKUP($E812,'Status Thresholds'!$E:$AS,39,FALSE),IF(AND($S$3=TRUE,$S$4=TRUE),VLOOKUP($E812,'Status Thresholds'!$E:$AS,29,FALSE),""))))))))/IF(OR($Q$3=TRUE,AND($Q$2=TRUE,$Q$7=TRUE),AND($Q$3=TRUE,$Q$7=TRUE))=TRUE,'Shots and Status'!$F$5,IF((OR($Q$2,$Q$7)=TRUE),'Shots and Status'!$D$5,'Shots and Status'!$C$5)))),0),"-")</f>
        <v>-</v>
      </c>
      <c r="K812" s="36" t="str">
        <f>IFERROR(ROUNDUP(IF(AND($Q$1=FALSE,$S$3=FALSE),"-",IF(AND($Q$1=TRUE,$S$3=TRUE),"-",IF(AND($Q$1=TRUE,$S$1=TRUE,$S$4=FALSE),VLOOKUP($E812,'Status Thresholds'!$E:$AS,15,FALSE),IF(AND($Q$1=TRUE,$S$4=FALSE),VLOOKUP($E812,'Status Thresholds'!$E:$AS,5,FALSE), IF(AND($Q$1=TRUE,$S$1=TRUE,$S$4=TRUE),VLOOKUP($E812,'Status Thresholds'!$E:$AS,20,FALSE),IF(AND($Q$1=TRUE,$S$4=TRUE),VLOOKUP($E812,'Status Thresholds'!$E:$AS,10,FALSE),IF(AND($S$3=TRUE,$S$1=TRUE,$S$4=FALSE),VLOOKUP($E812,'Status Thresholds'!$E:$AS,35,FALSE),IF(AND($S$3=TRUE,$S$4=FALSE),VLOOKUP($E812,'Status Thresholds'!$E:$AS,25,FALSE),IF(AND($S$3=TRUE,$S$1=TRUE,$S$4=TRUE),VLOOKUP($E812,'Status Thresholds'!$E:$AS,40,FALSE),IF(AND($S$3=TRUE,$S$4=TRUE),VLOOKUP($E812,'Status Thresholds'!$E:$AS,30,FALSE),""))))))))/IF(OR($Q$3=TRUE,AND($Q$2=TRUE,$Q$7=TRUE),AND($Q$3=TRUE,$Q$7=TRUE))=TRUE,'Shots and Status'!$F$5,IF((OR($Q$2,$Q$7)=TRUE),'Shots and Status'!$D$5,'Shots and Status'!$C$5)))),0),"-")</f>
        <v>-</v>
      </c>
      <c r="L812" s="36" t="str">
        <f>IFERROR(IF(AND($Q$1=FALSE,$S$3=FALSE),"-",VLOOKUP($E812,'Status Thresholds'!$E:$AU,41,FALSE)),"-")</f>
        <v>-</v>
      </c>
      <c r="M812" s="36" t="str">
        <f>IFERROR(IF(AND($Q$1=FALSE,$S$3=FALSE),"-",VLOOKUP($E812,'Status Thresholds'!$E:$AU,42,FALSE)),"-")</f>
        <v>-</v>
      </c>
      <c r="N812" s="36" t="str">
        <f>IFERROR(IF(AND($Q$1=FALSE,$S$3=FALSE),"-",VLOOKUP($E812,'Status Thresholds'!$E:$AU,43,FALSE)),"-")</f>
        <v>-</v>
      </c>
    </row>
    <row r="813" spans="2:14" x14ac:dyDescent="0.25">
      <c r="B813" s="64" t="str">
        <f>VLOOKUP(C813,'Status Thresholds'!B:C,2,FALSE)</f>
        <v>MHGen</v>
      </c>
      <c r="C813" s="46" t="str">
        <f>IF(ISBLANK('KO Calc'!C809)=TRUE,"",'KO Calc'!C809)</f>
        <v>Volvidon</v>
      </c>
      <c r="D813" s="57" t="s">
        <v>22</v>
      </c>
      <c r="E813" s="62" t="str">
        <f t="shared" si="23"/>
        <v>VolvidonExhaust</v>
      </c>
      <c r="F813" s="36" t="s">
        <v>8</v>
      </c>
      <c r="G813" s="36" t="str">
        <f t="shared" si="24"/>
        <v>VolvidonExhaust lvl 2</v>
      </c>
      <c r="H813" s="36" t="str">
        <f>IFERROR(ROUNDUP(IF(AND($Q$1=FALSE,$S$3=FALSE),"-",IF(AND($Q$1=TRUE,$S$3=TRUE),"-",IF(AND($Q$1=TRUE,$S$1=TRUE,$S$4=FALSE),VLOOKUP($E813,'Status Thresholds'!$E:$AS,12,FALSE),IF(AND($Q$1=TRUE,$S$4=FALSE),VLOOKUP($E813,'Status Thresholds'!$E:$AS,2,FALSE), IF(AND($Q$1=TRUE,$S$1=TRUE,$S$4=TRUE),VLOOKUP($E813,'Status Thresholds'!$E:$AS,17,FALSE),IF(AND($Q$1=TRUE,$S$4=TRUE),VLOOKUP($E813,'Status Thresholds'!$E:$AS,7,FALSE),IF(AND($S$3=TRUE,$S$1=TRUE,$S$4=FALSE),VLOOKUP($E813,'Status Thresholds'!$E:$AS,32,FALSE),IF(AND($S$3=TRUE,$S$4=FALSE),VLOOKUP($E813,'Status Thresholds'!$E:$AS,22,FALSE),IF(AND($S$3=TRUE,$S$1=TRUE,$S$4=TRUE),VLOOKUP($E813,'Status Thresholds'!$E:$AS,37,FALSE),IF(AND($S$3=TRUE,$S$4=TRUE),VLOOKUP($E813,'Status Thresholds'!$E:$AS,27,FALSE),""))))))))/IF(OR($Q$3=TRUE,AND($Q$2=TRUE,$Q$7=TRUE),AND($Q$3=TRUE,$Q$7=TRUE))=TRUE,'Shots and Status'!$F$5,IF((OR($Q$2,$Q$7)=TRUE),'Shots and Status'!$D$5,'Shots and Status'!$C$5)))),0),"-")</f>
        <v>-</v>
      </c>
      <c r="I813" s="36" t="str">
        <f>IFERROR(ROUNDUP(IF(AND($Q$1=FALSE,$S$3=FALSE),"-",IF(AND($Q$1=TRUE,$S$3=TRUE),"-",IF(AND($Q$1=TRUE,$S$1=TRUE,$S$4=FALSE),VLOOKUP($E813,'Status Thresholds'!$E:$AS,13,FALSE),IF(AND($Q$1=TRUE,$S$4=FALSE),VLOOKUP($E813,'Status Thresholds'!$E:$AS,3,FALSE), IF(AND($Q$1=TRUE,$S$1=TRUE,$S$4=TRUE),VLOOKUP($E813,'Status Thresholds'!$E:$AS,18,FALSE),IF(AND($Q$1=TRUE,$S$4=TRUE),VLOOKUP($E813,'Status Thresholds'!$E:$AS,8,FALSE),IF(AND($S$3=TRUE,$S$1=TRUE,$S$4=FALSE),VLOOKUP($E813,'Status Thresholds'!$E:$AS,33,FALSE),IF(AND($S$3=TRUE,$S$4=FALSE),VLOOKUP($E813,'Status Thresholds'!$E:$AS,23,FALSE),IF(AND($S$3=TRUE,$S$1=TRUE,$S$4=TRUE),VLOOKUP($E813,'Status Thresholds'!$E:$AS,38,FALSE),IF(AND($S$3=TRUE,$S$4=TRUE),VLOOKUP($E813,'Status Thresholds'!$E:$AS,28,FALSE),""))))))))/IF(OR($Q$3=TRUE,AND($Q$2=TRUE,$Q$7=TRUE),AND($Q$3=TRUE,$Q$7=TRUE))=TRUE,'Shots and Status'!$F$5,IF((OR($Q$2,$Q$7)=TRUE),'Shots and Status'!$D$5,'Shots and Status'!$C$5)))),0),"-")</f>
        <v>-</v>
      </c>
      <c r="J813" s="36" t="str">
        <f>IFERROR(ROUNDUP(IF(AND($Q$1=FALSE,$S$3=FALSE),"-",IF(AND($Q$1=TRUE,$S$3=TRUE),"-",IF(AND($Q$1=TRUE,$S$1=TRUE,$S$4=FALSE),VLOOKUP($E813,'Status Thresholds'!$E:$AS,14,FALSE),IF(AND($Q$1=TRUE,$S$4=FALSE),VLOOKUP($E813,'Status Thresholds'!$E:$AS,4,FALSE), IF(AND($Q$1=TRUE,$S$1=TRUE,$S$4=TRUE),VLOOKUP($E813,'Status Thresholds'!$E:$AS,19,FALSE),IF(AND($Q$1=TRUE,$S$4=TRUE),VLOOKUP($E813,'Status Thresholds'!$E:$AS,9,FALSE),IF(AND($S$3=TRUE,$S$1=TRUE,$S$4=FALSE),VLOOKUP($E813,'Status Thresholds'!$E:$AS,34,FALSE),IF(AND($S$3=TRUE,$S$4=FALSE),VLOOKUP($E813,'Status Thresholds'!$E:$AS,24,FALSE),IF(AND($S$3=TRUE,$S$1=TRUE,$S$4=TRUE),VLOOKUP($E813,'Status Thresholds'!$E:$AS,39,FALSE),IF(AND($S$3=TRUE,$S$4=TRUE),VLOOKUP($E813,'Status Thresholds'!$E:$AS,29,FALSE),""))))))))/IF(OR($Q$3=TRUE,AND($Q$2=TRUE,$Q$7=TRUE),AND($Q$3=TRUE,$Q$7=TRUE))=TRUE,'Shots and Status'!$F$5,IF((OR($Q$2,$Q$7)=TRUE),'Shots and Status'!$D$5,'Shots and Status'!$C$5)))),0),"-")</f>
        <v>-</v>
      </c>
      <c r="K813" s="36" t="str">
        <f>IFERROR(ROUNDUP(IF(AND($Q$1=FALSE,$S$3=FALSE),"-",IF(AND($Q$1=TRUE,$S$3=TRUE),"-",IF(AND($Q$1=TRUE,$S$1=TRUE,$S$4=FALSE),VLOOKUP($E813,'Status Thresholds'!$E:$AS,15,FALSE),IF(AND($Q$1=TRUE,$S$4=FALSE),VLOOKUP($E813,'Status Thresholds'!$E:$AS,5,FALSE), IF(AND($Q$1=TRUE,$S$1=TRUE,$S$4=TRUE),VLOOKUP($E813,'Status Thresholds'!$E:$AS,20,FALSE),IF(AND($Q$1=TRUE,$S$4=TRUE),VLOOKUP($E813,'Status Thresholds'!$E:$AS,10,FALSE),IF(AND($S$3=TRUE,$S$1=TRUE,$S$4=FALSE),VLOOKUP($E813,'Status Thresholds'!$E:$AS,35,FALSE),IF(AND($S$3=TRUE,$S$4=FALSE),VLOOKUP($E813,'Status Thresholds'!$E:$AS,25,FALSE),IF(AND($S$3=TRUE,$S$1=TRUE,$S$4=TRUE),VLOOKUP($E813,'Status Thresholds'!$E:$AS,40,FALSE),IF(AND($S$3=TRUE,$S$4=TRUE),VLOOKUP($E813,'Status Thresholds'!$E:$AS,30,FALSE),""))))))))/IF(OR($Q$3=TRUE,AND($Q$2=TRUE,$Q$7=TRUE),AND($Q$3=TRUE,$Q$7=TRUE))=TRUE,'Shots and Status'!$F$5,IF((OR($Q$2,$Q$7)=TRUE),'Shots and Status'!$D$5,'Shots and Status'!$C$5)))),0),"-")</f>
        <v>-</v>
      </c>
      <c r="L813" s="36" t="str">
        <f>IFERROR(IF(AND($Q$1=FALSE,$S$3=FALSE),"-",VLOOKUP($E813,'Status Thresholds'!$E:$AU,41,FALSE)),"-")</f>
        <v>-</v>
      </c>
      <c r="M813" s="36" t="str">
        <f>IFERROR(IF(AND($Q$1=FALSE,$S$3=FALSE),"-",VLOOKUP($E813,'Status Thresholds'!$E:$AU,42,FALSE)),"-")</f>
        <v>-</v>
      </c>
      <c r="N813" s="36" t="str">
        <f>IFERROR(IF(AND($Q$1=FALSE,$S$3=FALSE),"-",VLOOKUP($E813,'Status Thresholds'!$E:$AU,43,FALSE)),"-")</f>
        <v>-</v>
      </c>
    </row>
    <row r="814" spans="2:14" x14ac:dyDescent="0.25">
      <c r="B814" s="64" t="str">
        <f>VLOOKUP(C814,'Status Thresholds'!B:C,2,FALSE)</f>
        <v>MHGen</v>
      </c>
      <c r="C814" s="46" t="str">
        <f>IF(ISBLANK('KO Calc'!C810)=TRUE,"",'KO Calc'!C810)</f>
        <v>Volvidon</v>
      </c>
      <c r="D814" s="67" t="s">
        <v>14</v>
      </c>
      <c r="E814" s="62" t="str">
        <f t="shared" si="23"/>
        <v>VolvidonKO</v>
      </c>
      <c r="F814" s="36" t="s">
        <v>21</v>
      </c>
      <c r="G814" s="36" t="str">
        <f t="shared" si="24"/>
        <v>VolvidonTriblast</v>
      </c>
      <c r="H814" s="36" t="str">
        <f>IF(AND($Q$1=FALSE,$S$3=FALSE),"-",IF(AND($Q$1=TRUE,$S$3=TRUE),"-",IF(AND($Q$1=FALSE,$S$3=FALSE),"-",IF(AND($Q$1=TRUE,$S$1=TRUE,$S$4=FALSE)=TRUE,IF(OR($Q$4=TRUE,$Q$5=TRUE,$S$2=TRUE),VLOOKUP($G814,'KO Calc'!$H:$AW,12,FALSE),VLOOKUP($G814,'KO Calc'!$H820:$AW820,12,FALSE)),IF(AND($Q$1=TRUE,$S$4=FALSE),IF(OR($Q$4=TRUE,$Q$5=TRUE,$S$2=TRUE),VLOOKUP($G814,'KO Calc'!$H:$AW,2,FALSE),VLOOKUP($G814,'KO Calc'!$H820:$AW820,2,FALSE)),
IF(AND($Q$1=TRUE,$S$1=TRUE,$S$4=TRUE)=TRUE,IF(OR($Q$4=TRUE,$Q$5=TRUE,$S$2=TRUE),VLOOKUP($G814,'KO Calc'!$H:$AW,17,FALSE),VLOOKUP($G814,'KO Calc'!$H820:$AW820,17,FALSE)),IF(AND($Q$1=TRUE,$S$4=TRUE),IF(OR($Q$4=TRUE,$Q$5=TRUE,$S$2=TRUE),VLOOKUP($G814,'KO Calc'!$H:$AW,7,FALSE),VLOOKUP($G814,'KO Calc'!$H820:$AW820,7,FALSE)),
IF(AND($S$3=TRUE,$S$1=TRUE,$S$4=FALSE)=TRUE,IF(OR($Q$4=TRUE,$Q$5=TRUE,$S$2=TRUE),VLOOKUP($G814,'KO Calc'!$H:$AW,32,FALSE),VLOOKUP($G814,'KO Calc'!$H820:$AW820,32,FALSE)),IF(AND($S$3=TRUE,$S$4=FALSE),IF(OR($Q$4=TRUE,$Q$5=TRUE,$S$2=TRUE),VLOOKUP($G814,'KO Calc'!$H:$AW,22,FALSE),VLOOKUP($G814,'KO Calc'!$H820:$AW820,22,FALSE)),
IF(AND($S$3=TRUE,$S$1=TRUE,$S$4=TRUE)=TRUE,IF(OR($Q$4=TRUE,$Q$5=TRUE,$S$2=TRUE),VLOOKUP($G814,'KO Calc'!$H:$AW,37,FALSE),VLOOKUP($G814,'KO Calc'!$H820:$AW820,37,FALSE)),IF(AND($S$3=TRUE,$S$4=TRUE),IF(OR($Q$4=TRUE,$Q$5=TRUE,$S$2=TRUE),VLOOKUP($G814,'KO Calc'!$H:$AW,27,FALSE),VLOOKUP($G814,'KO Calc'!$H820:$AW820,27,FALSE)))))))))))))</f>
        <v>-</v>
      </c>
      <c r="I814" s="36" t="str">
        <f>IF(AND($Q$1=FALSE,$S$3=FALSE),"-",IF(AND($Q$1=TRUE,$S$3=TRUE),"-",IF(AND($Q$1=FALSE,$S$3=FALSE),"-",IF(AND($Q$1=TRUE,$S$1=TRUE,$S$4=FALSE)=TRUE,IF(OR($Q$4=TRUE,$Q$5=TRUE,$S$2=TRUE),VLOOKUP($G814,'KO Calc'!$H:$AW,13,FALSE),VLOOKUP($G814,'KO Calc'!$H820:$AW820,13,FALSE)),IF(AND($Q$1=TRUE,$S$4=FALSE),IF(OR($Q$4=TRUE,$Q$5=TRUE,$S$2=TRUE),VLOOKUP($G814,'KO Calc'!$H:$AW,3,FALSE),VLOOKUP($G814,'KO Calc'!$H820:$AW820,3,FALSE)),
IF(AND($Q$1=TRUE,$S$1=TRUE,$S$4=TRUE)=TRUE,IF(OR($Q$4=TRUE,$Q$5=TRUE,$S$2=TRUE),VLOOKUP($G814,'KO Calc'!$H:$AW,18,FALSE),VLOOKUP($G814,'KO Calc'!$H820:$AW820,18,FALSE)),IF(AND($Q$1=TRUE,$S$4=TRUE),IF(OR($Q$4=TRUE,$Q$5=TRUE,$S$2=TRUE),VLOOKUP($G814,'KO Calc'!$H:$AW,8,FALSE),VLOOKUP($G814,'KO Calc'!$H820:$AW820,8,FALSE)),
IF(AND($S$3=TRUE,$S$1=TRUE,$S$4=FALSE)=TRUE,IF(OR($Q$4=TRUE,$Q$5=TRUE,$S$2=TRUE),VLOOKUP($G814,'KO Calc'!$H:$AW,33,FALSE),VLOOKUP($G814,'KO Calc'!$H820:$AW820,33,FALSE)),IF(AND($S$3=TRUE,$S$4=FALSE),IF(OR($Q$4=TRUE,$Q$5=TRUE,$S$2=TRUE),VLOOKUP($G814,'KO Calc'!$H:$AW,23,FALSE),VLOOKUP($G814,'KO Calc'!$H820:$AW820,23,FALSE)),
IF(AND($S$3=TRUE,$S$1=TRUE,$S$4=TRUE)=TRUE,IF(OR($Q$4=TRUE,$Q$5=TRUE,$S$2=TRUE),VLOOKUP($G814,'KO Calc'!$H:$AW,38,FALSE),VLOOKUP($G814,'KO Calc'!$H820:$AW820,38,FALSE)),IF(AND($S$3=TRUE,$S$4=TRUE),IF(OR($Q$4=TRUE,$Q$5=TRUE,$S$2=TRUE),VLOOKUP($G814,'KO Calc'!$H:$AW,28,FALSE),VLOOKUP($G814,'KO Calc'!$H820:$AW820,28,FALSE)))))))))))))</f>
        <v>-</v>
      </c>
      <c r="J814" s="36" t="str">
        <f>IF(AND($Q$1=FALSE,$S$3=FALSE),"-",IF(AND($Q$1=TRUE,$S$3=TRUE),"-",IF(AND($Q$1=FALSE,$S$3=FALSE),"-",IF(AND($Q$1=TRUE,$S$1=TRUE,$S$4=FALSE)=TRUE,IF(OR($Q$4=TRUE,$Q$5=TRUE,$S$2=TRUE),VLOOKUP($G814,'KO Calc'!$H:$AW,FALSE),VLOOKUP($G814,'KO Calc'!$H820:$AW820,14,FALSE)),IF(AND($Q$1=TRUE,$S$4=FALSE),IF(OR($Q$4=TRUE,$Q$5=TRUE,$S$2=TRUE),VLOOKUP($G814,'KO Calc'!$H:$AW,4,FALSE),VLOOKUP($G814,'KO Calc'!$H820:$AW820,4,FALSE)),
IF(AND($Q$1=TRUE,$S$1=TRUE,$S$4=TRUE)=TRUE,IF(OR($Q$4=TRUE,$Q$5=TRUE,$S$2=TRUE),VLOOKUP($G814,'KO Calc'!$H:$AW,19,FALSE),VLOOKUP($G814,'KO Calc'!$H820:$AW820,19,FALSE)),IF(AND($Q$1=TRUE,$S$4=TRUE),IF(OR($Q$4=TRUE,$Q$5=TRUE,$S$2=TRUE),VLOOKUP($G814,'KO Calc'!$H:$AW,9,FALSE),VLOOKUP($G814,'KO Calc'!$H820:$AW820,9,FALSE)),
IF(AND($S$3=TRUE,$S$1=TRUE,$S$4=FALSE)=TRUE,IF(OR($Q$4=TRUE,$Q$5=TRUE,$S$2=TRUE),VLOOKUP($G814,'KO Calc'!$H:$AW,34,FALSE),VLOOKUP($G814,'KO Calc'!$H820:$AW820,34,FALSE)),IF(AND($S$3=TRUE,$S$4=FALSE),IF(OR($Q$4=TRUE,$Q$5=TRUE,$S$2=TRUE),VLOOKUP($G814,'KO Calc'!$H:$AW,24,FALSE),VLOOKUP($G814,'KO Calc'!$H820:$AW820,24,FALSE)),
IF(AND($S$3=TRUE,$S$1=TRUE,$S$4=TRUE)=TRUE,IF(OR($Q$4=TRUE,$Q$5=TRUE,$S$2=TRUE),VLOOKUP($G814,'KO Calc'!$H:$AW,39,FALSE),VLOOKUP($G814,'KO Calc'!$H820:$AW820,39,FALSE)),IF(AND($S$3=TRUE,$S$4=TRUE),IF(OR($Q$4=TRUE,$Q$5=TRUE,$S$2=TRUE),VLOOKUP($G814,'KO Calc'!$H:$AW,29,FALSE),VLOOKUP($G814,'KO Calc'!$H820:$AW820,29,FALSE)))))))))))))</f>
        <v>-</v>
      </c>
      <c r="K814" s="36" t="str">
        <f>IF(AND($Q$1=FALSE,$S$3=FALSE),"-",IF(AND($Q$1=TRUE,$S$3=TRUE),"-",IF(AND($Q$1=FALSE,$S$3=FALSE),"-",IF(AND($Q$1=TRUE,$S$1=TRUE,$S$4=FALSE)=TRUE,IF(OR($Q$4=TRUE,$Q$5=TRUE,$S$2=TRUE),VLOOKUP($G814,'KO Calc'!$H:$AW,15,FALSE),VLOOKUP($G814,'KO Calc'!$H820:$AW820,15,FALSE)),IF(AND($Q$1=TRUE,$S$4=FALSE),IF(OR($Q$4=TRUE,$Q$5=TRUE,$S$2=TRUE),VLOOKUP($G814,'KO Calc'!$H:$AW,5,FALSE),VLOOKUP($G814,'KO Calc'!$H820:$AW820,5,FALSE)),
IF(AND($Q$1=TRUE,$S$1=TRUE,$S$4=TRUE)=TRUE,IF(OR($Q$4=TRUE,$Q$5=TRUE,$S$2=TRUE),VLOOKUP($G814,'KO Calc'!$H:$AW,20,FALSE),VLOOKUP($G814,'KO Calc'!$H820:$AW820,20,FALSE)),IF(AND($Q$1=TRUE,$S$4=TRUE),IF(OR($Q$4=TRUE,$Q$5=TRUE,$S$2=TRUE),VLOOKUP($G814,'KO Calc'!$H:$AW,10,FALSE),VLOOKUP($G814,'KO Calc'!$H820:$AW820,10,FALSE)),
IF(AND($S$3=TRUE,$S$1=TRUE,$S$4=FALSE)=TRUE,IF(OR($Q$4=TRUE,$Q$5=TRUE,$S$2=TRUE),VLOOKUP($G814,'KO Calc'!$H:$AW,35,FALSE),VLOOKUP($G814,'KO Calc'!$H820:$AW820,35,FALSE)),IF(AND($S$3=TRUE,$S$4=FALSE),IF(OR($Q$4=TRUE,$Q$5=TRUE,$S$2=TRUE),VLOOKUP($G814,'KO Calc'!$H:$AW,25,FALSE),VLOOKUP($G814,'KO Calc'!$H820:$AW820,25,FALSE)),
IF(AND($S$3=TRUE,$S$1=TRUE,$S$4=TRUE)=TRUE,IF(OR($Q$4=TRUE,$Q$5=TRUE,$S$2=TRUE),VLOOKUP($G814,'KO Calc'!$H:$AW,40,FALSE),VLOOKUP($G814,'KO Calc'!$H820:$AW820,40,FALSE)),IF(AND($S$3=TRUE,$S$4=TRUE),IF(OR($Q$4=TRUE,$Q$5=TRUE,$S$2=TRUE),VLOOKUP($G814,'KO Calc'!$H:$AW,30,FALSE),VLOOKUP($G814,'KO Calc'!$H820:$AW820,30,FALSE)))))))))))))</f>
        <v>-</v>
      </c>
      <c r="L814" s="36" t="str">
        <f>IFERROR(IF(AND($Q$1=FALSE,$S$3=FALSE),"-",VLOOKUP($E814,'Status Thresholds'!$E:$AU,41,FALSE)),"-")</f>
        <v>-</v>
      </c>
      <c r="M814" s="36" t="str">
        <f>IFERROR(IF(AND($Q$1=FALSE,$S$3=FALSE),"-",VLOOKUP($E814,'Status Thresholds'!$E:$AU,42,FALSE)),"-")</f>
        <v>-</v>
      </c>
      <c r="N814" s="36" t="str">
        <f>IFERROR(IF(AND($Q$1=FALSE,$S$3=FALSE),"-",VLOOKUP($E814,'Status Thresholds'!$E:$AU,43,FALSE)),"-")</f>
        <v>-</v>
      </c>
    </row>
    <row r="815" spans="2:14" x14ac:dyDescent="0.25">
      <c r="B815" s="64" t="str">
        <f>VLOOKUP(C815,'Status Thresholds'!B:C,2,FALSE)</f>
        <v>MHGen</v>
      </c>
      <c r="C815" s="46" t="str">
        <f>IF(ISBLANK('KO Calc'!C811)=TRUE,"",'KO Calc'!C811)</f>
        <v>Volvidon</v>
      </c>
      <c r="D815" s="78" t="s">
        <v>207</v>
      </c>
      <c r="E815" s="62" t="str">
        <f t="shared" si="23"/>
        <v>VolvidonShock Trap</v>
      </c>
      <c r="F815" t="s">
        <v>13</v>
      </c>
      <c r="G815" s="36" t="str">
        <f t="shared" si="24"/>
        <v>VolvidonCrag 3</v>
      </c>
      <c r="H815" s="36" t="str">
        <f>IF(AND($Q$1=FALSE,$S$3=FALSE),"-",IF(AND($Q$1=TRUE,$S$3=TRUE),"-",IF(AND($Q$1=FALSE,$S$3=FALSE),"-",IF(AND($Q$1=TRUE,$S$1=TRUE,$S$4=FALSE)=TRUE,IF(OR($Q$4=TRUE,$Q$5=TRUE,$S$2=TRUE),VLOOKUP($G815,'KO Calc'!$H:$AW,12,FALSE),VLOOKUP($G815,'KO Calc'!$H821:$AW821,12,FALSE)),IF(AND($Q$1=TRUE,$S$4=FALSE),IF(OR($Q$4=TRUE,$Q$5=TRUE,$S$2=TRUE),VLOOKUP($G815,'KO Calc'!$H:$AW,2,FALSE),VLOOKUP($G815,'KO Calc'!$H821:$AW821,2,FALSE)),
IF(AND($Q$1=TRUE,$S$1=TRUE,$S$4=TRUE)=TRUE,IF(OR($Q$4=TRUE,$Q$5=TRUE,$S$2=TRUE),VLOOKUP($G815,'KO Calc'!$H:$AW,17,FALSE),VLOOKUP($G815,'KO Calc'!$H821:$AW821,17,FALSE)),IF(AND($Q$1=TRUE,$S$4=TRUE),IF(OR($Q$4=TRUE,$Q$5=TRUE,$S$2=TRUE),VLOOKUP($G815,'KO Calc'!$H:$AW,7,FALSE),VLOOKUP($G815,'KO Calc'!$H821:$AW821,7,FALSE)),
IF(AND($S$3=TRUE,$S$1=TRUE,$S$4=FALSE)=TRUE,IF(OR($Q$4=TRUE,$Q$5=TRUE,$S$2=TRUE),VLOOKUP($G815,'KO Calc'!$H:$AW,32,FALSE),VLOOKUP($G815,'KO Calc'!$H821:$AW821,32,FALSE)),IF(AND($S$3=TRUE,$S$4=FALSE),IF(OR($Q$4=TRUE,$Q$5=TRUE,$S$2=TRUE),VLOOKUP($G815,'KO Calc'!$H:$AW,22,FALSE),VLOOKUP($G815,'KO Calc'!$H821:$AW821,22,FALSE)),
IF(AND($S$3=TRUE,$S$1=TRUE,$S$4=TRUE)=TRUE,IF(OR($Q$4=TRUE,$Q$5=TRUE,$S$2=TRUE),VLOOKUP($G815,'KO Calc'!$H:$AW,37,FALSE),VLOOKUP($G815,'KO Calc'!$H821:$AW821,37,FALSE)),IF(AND($S$3=TRUE,$S$4=TRUE),IF(OR($Q$4=TRUE,$Q$5=TRUE,$S$2=TRUE),VLOOKUP($G815,'KO Calc'!$H:$AW,27,FALSE),VLOOKUP($G815,'KO Calc'!$H821:$AW821,27,FALSE)))))))))))))</f>
        <v>-</v>
      </c>
      <c r="I815" s="36" t="str">
        <f>IF(AND($Q$1=FALSE,$S$3=FALSE),"-",IF(AND($Q$1=TRUE,$S$3=TRUE),"-",IF(AND($Q$1=FALSE,$S$3=FALSE),"-",IF(AND($Q$1=TRUE,$S$1=TRUE,$S$4=FALSE)=TRUE,IF(OR($Q$4=TRUE,$Q$5=TRUE,$S$2=TRUE),VLOOKUP($G815,'KO Calc'!$H:$AW,13,FALSE),VLOOKUP($G815,'KO Calc'!$H821:$AW821,13,FALSE)),IF(AND($Q$1=TRUE,$S$4=FALSE),IF(OR($Q$4=TRUE,$Q$5=TRUE,$S$2=TRUE),VLOOKUP($G815,'KO Calc'!$H:$AW,3,FALSE),VLOOKUP($G815,'KO Calc'!$H821:$AW821,3,FALSE)),
IF(AND($Q$1=TRUE,$S$1=TRUE,$S$4=TRUE)=TRUE,IF(OR($Q$4=TRUE,$Q$5=TRUE,$S$2=TRUE),VLOOKUP($G815,'KO Calc'!$H:$AW,18,FALSE),VLOOKUP($G815,'KO Calc'!$H821:$AW821,18,FALSE)),IF(AND($Q$1=TRUE,$S$4=TRUE),IF(OR($Q$4=TRUE,$Q$5=TRUE,$S$2=TRUE),VLOOKUP($G815,'KO Calc'!$H:$AW,8,FALSE),VLOOKUP($G815,'KO Calc'!$H821:$AW821,8,FALSE)),
IF(AND($S$3=TRUE,$S$1=TRUE,$S$4=FALSE)=TRUE,IF(OR($Q$4=TRUE,$Q$5=TRUE,$S$2=TRUE),VLOOKUP($G815,'KO Calc'!$H:$AW,33,FALSE),VLOOKUP($G815,'KO Calc'!$H821:$AW821,33,FALSE)),IF(AND($S$3=TRUE,$S$4=FALSE),IF(OR($Q$4=TRUE,$Q$5=TRUE,$S$2=TRUE),VLOOKUP($G815,'KO Calc'!$H:$AW,23,FALSE),VLOOKUP($G815,'KO Calc'!$H821:$AW821,23,FALSE)),
IF(AND($S$3=TRUE,$S$1=TRUE,$S$4=TRUE)=TRUE,IF(OR($Q$4=TRUE,$Q$5=TRUE,$S$2=TRUE),VLOOKUP($G815,'KO Calc'!$H:$AW,38,FALSE),VLOOKUP($G815,'KO Calc'!$H821:$AW821,38,FALSE)),IF(AND($S$3=TRUE,$S$4=TRUE),IF(OR($Q$4=TRUE,$Q$5=TRUE,$S$2=TRUE),VLOOKUP($G815,'KO Calc'!$H:$AW,28,FALSE),VLOOKUP($G815,'KO Calc'!$H821:$AW821,28,FALSE)))))))))))))</f>
        <v>-</v>
      </c>
      <c r="J815" s="36" t="str">
        <f>IF(AND($Q$1=FALSE,$S$3=FALSE),"-",IF(AND($Q$1=TRUE,$S$3=TRUE),"-",IF(AND($Q$1=FALSE,$S$3=FALSE),"-",IF(AND($Q$1=TRUE,$S$1=TRUE,$S$4=FALSE)=TRUE,IF(OR($Q$4=TRUE,$Q$5=TRUE,$S$2=TRUE),VLOOKUP($G815,'KO Calc'!$H:$AW,FALSE),VLOOKUP($G815,'KO Calc'!$H821:$AW821,14,FALSE)),IF(AND($Q$1=TRUE,$S$4=FALSE),IF(OR($Q$4=TRUE,$Q$5=TRUE,$S$2=TRUE),VLOOKUP($G815,'KO Calc'!$H:$AW,4,FALSE),VLOOKUP($G815,'KO Calc'!$H821:$AW821,4,FALSE)),
IF(AND($Q$1=TRUE,$S$1=TRUE,$S$4=TRUE)=TRUE,IF(OR($Q$4=TRUE,$Q$5=TRUE,$S$2=TRUE),VLOOKUP($G815,'KO Calc'!$H:$AW,19,FALSE),VLOOKUP($G815,'KO Calc'!$H821:$AW821,19,FALSE)),IF(AND($Q$1=TRUE,$S$4=TRUE),IF(OR($Q$4=TRUE,$Q$5=TRUE,$S$2=TRUE),VLOOKUP($G815,'KO Calc'!$H:$AW,9,FALSE),VLOOKUP($G815,'KO Calc'!$H821:$AW821,9,FALSE)),
IF(AND($S$3=TRUE,$S$1=TRUE,$S$4=FALSE)=TRUE,IF(OR($Q$4=TRUE,$Q$5=TRUE,$S$2=TRUE),VLOOKUP($G815,'KO Calc'!$H:$AW,34,FALSE),VLOOKUP($G815,'KO Calc'!$H821:$AW821,34,FALSE)),IF(AND($S$3=TRUE,$S$4=FALSE),IF(OR($Q$4=TRUE,$Q$5=TRUE,$S$2=TRUE),VLOOKUP($G815,'KO Calc'!$H:$AW,24,FALSE),VLOOKUP($G815,'KO Calc'!$H821:$AW821,24,FALSE)),
IF(AND($S$3=TRUE,$S$1=TRUE,$S$4=TRUE)=TRUE,IF(OR($Q$4=TRUE,$Q$5=TRUE,$S$2=TRUE),VLOOKUP($G815,'KO Calc'!$H:$AW,39,FALSE),VLOOKUP($G815,'KO Calc'!$H821:$AW821,39,FALSE)),IF(AND($S$3=TRUE,$S$4=TRUE),IF(OR($Q$4=TRUE,$Q$5=TRUE,$S$2=TRUE),VLOOKUP($G815,'KO Calc'!$H:$AW,29,FALSE),VLOOKUP($G815,'KO Calc'!$H821:$AW821,29,FALSE)))))))))))))</f>
        <v>-</v>
      </c>
      <c r="K815" s="36" t="str">
        <f>IF(AND($Q$1=FALSE,$S$3=FALSE),"-",IF(AND($Q$1=TRUE,$S$3=TRUE),"-",IF(AND($Q$1=FALSE,$S$3=FALSE),"-",IF(AND($Q$1=TRUE,$S$1=TRUE,$S$4=FALSE)=TRUE,IF(OR($Q$4=TRUE,$Q$5=TRUE,$S$2=TRUE),VLOOKUP($G815,'KO Calc'!$H:$AW,15,FALSE),VLOOKUP($G815,'KO Calc'!$H821:$AW821,15,FALSE)),IF(AND($Q$1=TRUE,$S$4=FALSE),IF(OR($Q$4=TRUE,$Q$5=TRUE,$S$2=TRUE),VLOOKUP($G815,'KO Calc'!$H:$AW,5,FALSE),VLOOKUP($G815,'KO Calc'!$H821:$AW821,5,FALSE)),
IF(AND($Q$1=TRUE,$S$1=TRUE,$S$4=TRUE)=TRUE,IF(OR($Q$4=TRUE,$Q$5=TRUE,$S$2=TRUE),VLOOKUP($G815,'KO Calc'!$H:$AW,20,FALSE),VLOOKUP($G815,'KO Calc'!$H821:$AW821,20,FALSE)),IF(AND($Q$1=TRUE,$S$4=TRUE),IF(OR($Q$4=TRUE,$Q$5=TRUE,$S$2=TRUE),VLOOKUP($G815,'KO Calc'!$H:$AW,10,FALSE),VLOOKUP($G815,'KO Calc'!$H821:$AW821,10,FALSE)),
IF(AND($S$3=TRUE,$S$1=TRUE,$S$4=FALSE)=TRUE,IF(OR($Q$4=TRUE,$Q$5=TRUE,$S$2=TRUE),VLOOKUP($G815,'KO Calc'!$H:$AW,35,FALSE),VLOOKUP($G815,'KO Calc'!$H821:$AW821,35,FALSE)),IF(AND($S$3=TRUE,$S$4=FALSE),IF(OR($Q$4=TRUE,$Q$5=TRUE,$S$2=TRUE),VLOOKUP($G815,'KO Calc'!$H:$AW,25,FALSE),VLOOKUP($G815,'KO Calc'!$H821:$AW821,25,FALSE)),
IF(AND($S$3=TRUE,$S$1=TRUE,$S$4=TRUE)=TRUE,IF(OR($Q$4=TRUE,$Q$5=TRUE,$S$2=TRUE),VLOOKUP($G815,'KO Calc'!$H:$AW,40,FALSE),VLOOKUP($G815,'KO Calc'!$H821:$AW821,40,FALSE)),IF(AND($S$3=TRUE,$S$4=TRUE),IF(OR($Q$4=TRUE,$Q$5=TRUE,$S$2=TRUE),VLOOKUP($G815,'KO Calc'!$H:$AW,30,FALSE),VLOOKUP($G815,'KO Calc'!$H821:$AW821,30,FALSE)))))))))))))</f>
        <v>-</v>
      </c>
      <c r="L815" s="36" t="str">
        <f>IFERROR(IF(AND($Q$1=FALSE,$S$3=FALSE),"-",VLOOKUP($E815,'Status Thresholds'!$E:$AU,43,FALSE)),"-")</f>
        <v>-</v>
      </c>
      <c r="M815" s="36" t="str">
        <f>IFERROR(IF(AND($Q$1=FALSE,$S$3=FALSE),"-",VLOOKUP($E815,'Status Thresholds'!$E:$AU,41,FALSE)),"-")</f>
        <v>-</v>
      </c>
      <c r="N815" s="36" t="str">
        <f>IFERROR(IF(AND($Q$1=FALSE,$S$3=FALSE),"-",VLOOKUP($E815,'Status Thresholds'!$E:$AU,42,FALSE)),"-")</f>
        <v>-</v>
      </c>
    </row>
    <row r="816" spans="2:14" x14ac:dyDescent="0.25">
      <c r="B816" s="64" t="str">
        <f>VLOOKUP(C816,'Status Thresholds'!B:C,2,FALSE)</f>
        <v>MHGen</v>
      </c>
      <c r="C816" s="46" t="str">
        <f>IF(ISBLANK('KO Calc'!C812)=TRUE,"",'KO Calc'!C812)</f>
        <v>Volvidon</v>
      </c>
      <c r="D816" s="78" t="s">
        <v>213</v>
      </c>
      <c r="E816" s="62" t="str">
        <f t="shared" si="23"/>
        <v>VolvidonPitfall Trap</v>
      </c>
      <c r="F816" t="s">
        <v>12</v>
      </c>
      <c r="G816" s="36" t="str">
        <f t="shared" si="24"/>
        <v>VolvidonCrag 2</v>
      </c>
      <c r="H816" s="36" t="str">
        <f>IF(AND($Q$1=FALSE,$S$3=FALSE),"-",IF(AND($Q$1=TRUE,$S$3=TRUE),"-",IF(AND($Q$1=FALSE,$S$3=FALSE),"-",IF(AND($Q$1=TRUE,$S$1=TRUE,$S$4=FALSE)=TRUE,IF(OR($Q$4=TRUE,$Q$5=TRUE,$S$2=TRUE),VLOOKUP($G816,'KO Calc'!$H:$AW,12,FALSE),VLOOKUP($G816,'KO Calc'!$H822:$AW822,12,FALSE)),IF(AND($Q$1=TRUE,$S$4=FALSE),IF(OR($Q$4=TRUE,$Q$5=TRUE,$S$2=TRUE),VLOOKUP($G816,'KO Calc'!$H:$AW,2,FALSE),VLOOKUP($G816,'KO Calc'!$H822:$AW822,2,FALSE)),
IF(AND($Q$1=TRUE,$S$1=TRUE,$S$4=TRUE)=TRUE,IF(OR($Q$4=TRUE,$Q$5=TRUE,$S$2=TRUE),VLOOKUP($G816,'KO Calc'!$H:$AW,17,FALSE),VLOOKUP($G816,'KO Calc'!$H822:$AW822,17,FALSE)),IF(AND($Q$1=TRUE,$S$4=TRUE),IF(OR($Q$4=TRUE,$Q$5=TRUE,$S$2=TRUE),VLOOKUP($G816,'KO Calc'!$H:$AW,7,FALSE),VLOOKUP($G816,'KO Calc'!$H822:$AW822,7,FALSE)),
IF(AND($S$3=TRUE,$S$1=TRUE,$S$4=FALSE)=TRUE,IF(OR($Q$4=TRUE,$Q$5=TRUE,$S$2=TRUE),VLOOKUP($G816,'KO Calc'!$H:$AW,32,FALSE),VLOOKUP($G816,'KO Calc'!$H822:$AW822,32,FALSE)),IF(AND($S$3=TRUE,$S$4=FALSE),IF(OR($Q$4=TRUE,$Q$5=TRUE,$S$2=TRUE),VLOOKUP($G816,'KO Calc'!$H:$AW,22,FALSE),VLOOKUP($G816,'KO Calc'!$H822:$AW822,22,FALSE)),
IF(AND($S$3=TRUE,$S$1=TRUE,$S$4=TRUE)=TRUE,IF(OR($Q$4=TRUE,$Q$5=TRUE,$S$2=TRUE),VLOOKUP($G816,'KO Calc'!$H:$AW,37,FALSE),VLOOKUP($G816,'KO Calc'!$H822:$AW822,37,FALSE)),IF(AND($S$3=TRUE,$S$4=TRUE),IF(OR($Q$4=TRUE,$Q$5=TRUE,$S$2=TRUE),VLOOKUP($G816,'KO Calc'!$H:$AW,27,FALSE),VLOOKUP($G816,'KO Calc'!$H822:$AW822,27,FALSE)))))))))))))</f>
        <v>-</v>
      </c>
      <c r="I816" s="36" t="str">
        <f>IF(AND($Q$1=FALSE,$S$3=FALSE),"-",IF(AND($Q$1=TRUE,$S$3=TRUE),"-",IF(AND($Q$1=FALSE,$S$3=FALSE),"-",IF(AND($Q$1=TRUE,$S$1=TRUE,$S$4=FALSE)=TRUE,IF(OR($Q$4=TRUE,$Q$5=TRUE,$S$2=TRUE),VLOOKUP($G816,'KO Calc'!$H:$AW,13,FALSE),VLOOKUP($G816,'KO Calc'!$H822:$AW822,13,FALSE)),IF(AND($Q$1=TRUE,$S$4=FALSE),IF(OR($Q$4=TRUE,$Q$5=TRUE,$S$2=TRUE),VLOOKUP($G816,'KO Calc'!$H:$AW,3,FALSE),VLOOKUP($G816,'KO Calc'!$H822:$AW822,3,FALSE)),
IF(AND($Q$1=TRUE,$S$1=TRUE,$S$4=TRUE)=TRUE,IF(OR($Q$4=TRUE,$Q$5=TRUE,$S$2=TRUE),VLOOKUP($G816,'KO Calc'!$H:$AW,18,FALSE),VLOOKUP($G816,'KO Calc'!$H822:$AW822,18,FALSE)),IF(AND($Q$1=TRUE,$S$4=TRUE),IF(OR($Q$4=TRUE,$Q$5=TRUE,$S$2=TRUE),VLOOKUP($G816,'KO Calc'!$H:$AW,8,FALSE),VLOOKUP($G816,'KO Calc'!$H822:$AW822,8,FALSE)),
IF(AND($S$3=TRUE,$S$1=TRUE,$S$4=FALSE)=TRUE,IF(OR($Q$4=TRUE,$Q$5=TRUE,$S$2=TRUE),VLOOKUP($G816,'KO Calc'!$H:$AW,33,FALSE),VLOOKUP($G816,'KO Calc'!$H822:$AW822,33,FALSE)),IF(AND($S$3=TRUE,$S$4=FALSE),IF(OR($Q$4=TRUE,$Q$5=TRUE,$S$2=TRUE),VLOOKUP($G816,'KO Calc'!$H:$AW,23,FALSE),VLOOKUP($G816,'KO Calc'!$H822:$AW822,23,FALSE)),
IF(AND($S$3=TRUE,$S$1=TRUE,$S$4=TRUE)=TRUE,IF(OR($Q$4=TRUE,$Q$5=TRUE,$S$2=TRUE),VLOOKUP($G816,'KO Calc'!$H:$AW,38,FALSE),VLOOKUP($G816,'KO Calc'!$H822:$AW822,38,FALSE)),IF(AND($S$3=TRUE,$S$4=TRUE),IF(OR($Q$4=TRUE,$Q$5=TRUE,$S$2=TRUE),VLOOKUP($G816,'KO Calc'!$H:$AW,28,FALSE),VLOOKUP($G816,'KO Calc'!$H822:$AW822,28,FALSE)))))))))))))</f>
        <v>-</v>
      </c>
      <c r="J816" s="36" t="str">
        <f>IF(AND($Q$1=FALSE,$S$3=FALSE),"-",IF(AND($Q$1=TRUE,$S$3=TRUE),"-",IF(AND($Q$1=FALSE,$S$3=FALSE),"-",IF(AND($Q$1=TRUE,$S$1=TRUE,$S$4=FALSE)=TRUE,IF(OR($Q$4=TRUE,$Q$5=TRUE,$S$2=TRUE),VLOOKUP($G816,'KO Calc'!$H:$AW,FALSE),VLOOKUP($G816,'KO Calc'!$H822:$AW822,14,FALSE)),IF(AND($Q$1=TRUE,$S$4=FALSE),IF(OR($Q$4=TRUE,$Q$5=TRUE,$S$2=TRUE),VLOOKUP($G816,'KO Calc'!$H:$AW,4,FALSE),VLOOKUP($G816,'KO Calc'!$H822:$AW822,4,FALSE)),
IF(AND($Q$1=TRUE,$S$1=TRUE,$S$4=TRUE)=TRUE,IF(OR($Q$4=TRUE,$Q$5=TRUE,$S$2=TRUE),VLOOKUP($G816,'KO Calc'!$H:$AW,19,FALSE),VLOOKUP($G816,'KO Calc'!$H822:$AW822,19,FALSE)),IF(AND($Q$1=TRUE,$S$4=TRUE),IF(OR($Q$4=TRUE,$Q$5=TRUE,$S$2=TRUE),VLOOKUP($G816,'KO Calc'!$H:$AW,9,FALSE),VLOOKUP($G816,'KO Calc'!$H822:$AW822,9,FALSE)),
IF(AND($S$3=TRUE,$S$1=TRUE,$S$4=FALSE)=TRUE,IF(OR($Q$4=TRUE,$Q$5=TRUE,$S$2=TRUE),VLOOKUP($G816,'KO Calc'!$H:$AW,34,FALSE),VLOOKUP($G816,'KO Calc'!$H822:$AW822,34,FALSE)),IF(AND($S$3=TRUE,$S$4=FALSE),IF(OR($Q$4=TRUE,$Q$5=TRUE,$S$2=TRUE),VLOOKUP($G816,'KO Calc'!$H:$AW,24,FALSE),VLOOKUP($G816,'KO Calc'!$H822:$AW822,24,FALSE)),
IF(AND($S$3=TRUE,$S$1=TRUE,$S$4=TRUE)=TRUE,IF(OR($Q$4=TRUE,$Q$5=TRUE,$S$2=TRUE),VLOOKUP($G816,'KO Calc'!$H:$AW,39,FALSE),VLOOKUP($G816,'KO Calc'!$H822:$AW822,39,FALSE)),IF(AND($S$3=TRUE,$S$4=TRUE),IF(OR($Q$4=TRUE,$Q$5=TRUE,$S$2=TRUE),VLOOKUP($G816,'KO Calc'!$H:$AW,29,FALSE),VLOOKUP($G816,'KO Calc'!$H822:$AW822,29,FALSE)))))))))))))</f>
        <v>-</v>
      </c>
      <c r="K816" s="36" t="str">
        <f>IF(AND($Q$1=FALSE,$S$3=FALSE),"-",IF(AND($Q$1=TRUE,$S$3=TRUE),"-",IF(AND($Q$1=FALSE,$S$3=FALSE),"-",IF(AND($Q$1=TRUE,$S$1=TRUE,$S$4=FALSE)=TRUE,IF(OR($Q$4=TRUE,$Q$5=TRUE,$S$2=TRUE),VLOOKUP($G816,'KO Calc'!$H:$AW,15,FALSE),VLOOKUP($G816,'KO Calc'!$H822:$AW822,15,FALSE)),IF(AND($Q$1=TRUE,$S$4=FALSE),IF(OR($Q$4=TRUE,$Q$5=TRUE,$S$2=TRUE),VLOOKUP($G816,'KO Calc'!$H:$AW,5,FALSE),VLOOKUP($G816,'KO Calc'!$H822:$AW822,5,FALSE)),
IF(AND($Q$1=TRUE,$S$1=TRUE,$S$4=TRUE)=TRUE,IF(OR($Q$4=TRUE,$Q$5=TRUE,$S$2=TRUE),VLOOKUP($G816,'KO Calc'!$H:$AW,20,FALSE),VLOOKUP($G816,'KO Calc'!$H822:$AW822,20,FALSE)),IF(AND($Q$1=TRUE,$S$4=TRUE),IF(OR($Q$4=TRUE,$Q$5=TRUE,$S$2=TRUE),VLOOKUP($G816,'KO Calc'!$H:$AW,10,FALSE),VLOOKUP($G816,'KO Calc'!$H822:$AW822,10,FALSE)),
IF(AND($S$3=TRUE,$S$1=TRUE,$S$4=FALSE)=TRUE,IF(OR($Q$4=TRUE,$Q$5=TRUE,$S$2=TRUE),VLOOKUP($G816,'KO Calc'!$H:$AW,35,FALSE),VLOOKUP($G816,'KO Calc'!$H822:$AW822,35,FALSE)),IF(AND($S$3=TRUE,$S$4=FALSE),IF(OR($Q$4=TRUE,$Q$5=TRUE,$S$2=TRUE),VLOOKUP($G816,'KO Calc'!$H:$AW,25,FALSE),VLOOKUP($G816,'KO Calc'!$H822:$AW822,25,FALSE)),
IF(AND($S$3=TRUE,$S$1=TRUE,$S$4=TRUE)=TRUE,IF(OR($Q$4=TRUE,$Q$5=TRUE,$S$2=TRUE),VLOOKUP($G816,'KO Calc'!$H:$AW,40,FALSE),VLOOKUP($G816,'KO Calc'!$H822:$AW822,40,FALSE)),IF(AND($S$3=TRUE,$S$4=TRUE),IF(OR($Q$4=TRUE,$Q$5=TRUE,$S$2=TRUE),VLOOKUP($G816,'KO Calc'!$H:$AW,30,FALSE),VLOOKUP($G816,'KO Calc'!$H822:$AW822,30,FALSE)))))))))))))</f>
        <v>-</v>
      </c>
      <c r="L816" s="36" t="str">
        <f>IFERROR(IF(AND($Q$1=FALSE,$S$3=FALSE),"-",VLOOKUP($E816,'Status Thresholds'!$E:$AU,43,FALSE)),"-")</f>
        <v>-</v>
      </c>
      <c r="M816" s="36" t="str">
        <f>IFERROR(IF(AND($Q$1=FALSE,$S$3=FALSE),"-",VLOOKUP($E816,'Status Thresholds'!$E:$AU,41,FALSE)),"-")</f>
        <v>-</v>
      </c>
      <c r="N816" s="36" t="str">
        <f>IFERROR(IF(AND($Q$1=FALSE,$S$3=FALSE),"-",VLOOKUP($E816,'Status Thresholds'!$E:$AU,42,FALSE)),"-")</f>
        <v>-</v>
      </c>
    </row>
    <row r="817" spans="2:14" x14ac:dyDescent="0.25">
      <c r="B817" s="64" t="str">
        <f>VLOOKUP(C817,'Status Thresholds'!B:C,2,FALSE)</f>
        <v>MHGen</v>
      </c>
      <c r="C817" s="46" t="str">
        <f>IF(ISBLANK('KO Calc'!C813)=TRUE,"",'KO Calc'!C813)</f>
        <v>Volvidon</v>
      </c>
      <c r="D817" s="78"/>
      <c r="E817" s="62" t="str">
        <f t="shared" si="23"/>
        <v>Volvidon</v>
      </c>
      <c r="F817" t="s">
        <v>11</v>
      </c>
      <c r="G817" s="36" t="str">
        <f t="shared" si="24"/>
        <v>VolvidonCrag 1</v>
      </c>
      <c r="H817" s="36" t="str">
        <f>IF(AND($Q$1=FALSE,$S$3=FALSE),"-",IF(AND($Q$1=TRUE,$S$3=TRUE),"-",IF(AND($Q$1=FALSE,$S$3=FALSE),"-",IF(AND($Q$1=TRUE,$S$1=TRUE,$S$4=FALSE)=TRUE,IF(OR($Q$4=TRUE,$Q$5=TRUE,$S$2=TRUE),VLOOKUP($G817,'KO Calc'!$H:$AW,12,FALSE),VLOOKUP($G817,'KO Calc'!$H823:$AW823,12,FALSE)),IF(AND($Q$1=TRUE,$S$4=FALSE),IF(OR($Q$4=TRUE,$Q$5=TRUE,$S$2=TRUE),VLOOKUP($G817,'KO Calc'!$H:$AW,2,FALSE),VLOOKUP($G817,'KO Calc'!$H823:$AW823,2,FALSE)),
IF(AND($Q$1=TRUE,$S$1=TRUE,$S$4=TRUE)=TRUE,IF(OR($Q$4=TRUE,$Q$5=TRUE,$S$2=TRUE),VLOOKUP($G817,'KO Calc'!$H:$AW,17,FALSE),VLOOKUP($G817,'KO Calc'!$H823:$AW823,17,FALSE)),IF(AND($Q$1=TRUE,$S$4=TRUE),IF(OR($Q$4=TRUE,$Q$5=TRUE,$S$2=TRUE),VLOOKUP($G817,'KO Calc'!$H:$AW,7,FALSE),VLOOKUP($G817,'KO Calc'!$H823:$AW823,7,FALSE)),
IF(AND($S$3=TRUE,$S$1=TRUE,$S$4=FALSE)=TRUE,IF(OR($Q$4=TRUE,$Q$5=TRUE,$S$2=TRUE),VLOOKUP($G817,'KO Calc'!$H:$AW,32,FALSE),VLOOKUP($G817,'KO Calc'!$H823:$AW823,32,FALSE)),IF(AND($S$3=TRUE,$S$4=FALSE),IF(OR($Q$4=TRUE,$Q$5=TRUE,$S$2=TRUE),VLOOKUP($G817,'KO Calc'!$H:$AW,22,FALSE),VLOOKUP($G817,'KO Calc'!$H823:$AW823,22,FALSE)),
IF(AND($S$3=TRUE,$S$1=TRUE,$S$4=TRUE)=TRUE,IF(OR($Q$4=TRUE,$Q$5=TRUE,$S$2=TRUE),VLOOKUP($G817,'KO Calc'!$H:$AW,37,FALSE),VLOOKUP($G817,'KO Calc'!$H823:$AW823,37,FALSE)),IF(AND($S$3=TRUE,$S$4=TRUE),IF(OR($Q$4=TRUE,$Q$5=TRUE,$S$2=TRUE),VLOOKUP($G817,'KO Calc'!$H:$AW,27,FALSE),VLOOKUP($G817,'KO Calc'!$H823:$AW823,27,FALSE)))))))))))))</f>
        <v>-</v>
      </c>
      <c r="I817" s="36" t="str">
        <f>IF(AND($Q$1=FALSE,$S$3=FALSE),"-",IF(AND($Q$1=TRUE,$S$3=TRUE),"-",IF(AND($Q$1=FALSE,$S$3=FALSE),"-",IF(AND($Q$1=TRUE,$S$1=TRUE,$S$4=FALSE)=TRUE,IF(OR($Q$4=TRUE,$Q$5=TRUE,$S$2=TRUE),VLOOKUP($G817,'KO Calc'!$H:$AW,13,FALSE),VLOOKUP($G817,'KO Calc'!$H823:$AW823,13,FALSE)),IF(AND($Q$1=TRUE,$S$4=FALSE),IF(OR($Q$4=TRUE,$Q$5=TRUE,$S$2=TRUE),VLOOKUP($G817,'KO Calc'!$H:$AW,3,FALSE),VLOOKUP($G817,'KO Calc'!$H823:$AW823,3,FALSE)),
IF(AND($Q$1=TRUE,$S$1=TRUE,$S$4=TRUE)=TRUE,IF(OR($Q$4=TRUE,$Q$5=TRUE,$S$2=TRUE),VLOOKUP($G817,'KO Calc'!$H:$AW,18,FALSE),VLOOKUP($G817,'KO Calc'!$H823:$AW823,18,FALSE)),IF(AND($Q$1=TRUE,$S$4=TRUE),IF(OR($Q$4=TRUE,$Q$5=TRUE,$S$2=TRUE),VLOOKUP($G817,'KO Calc'!$H:$AW,8,FALSE),VLOOKUP($G817,'KO Calc'!$H823:$AW823,8,FALSE)),
IF(AND($S$3=TRUE,$S$1=TRUE,$S$4=FALSE)=TRUE,IF(OR($Q$4=TRUE,$Q$5=TRUE,$S$2=TRUE),VLOOKUP($G817,'KO Calc'!$H:$AW,33,FALSE),VLOOKUP($G817,'KO Calc'!$H823:$AW823,33,FALSE)),IF(AND($S$3=TRUE,$S$4=FALSE),IF(OR($Q$4=TRUE,$Q$5=TRUE,$S$2=TRUE),VLOOKUP($G817,'KO Calc'!$H:$AW,23,FALSE),VLOOKUP($G817,'KO Calc'!$H823:$AW823,23,FALSE)),
IF(AND($S$3=TRUE,$S$1=TRUE,$S$4=TRUE)=TRUE,IF(OR($Q$4=TRUE,$Q$5=TRUE,$S$2=TRUE),VLOOKUP($G817,'KO Calc'!$H:$AW,38,FALSE),VLOOKUP($G817,'KO Calc'!$H823:$AW823,38,FALSE)),IF(AND($S$3=TRUE,$S$4=TRUE),IF(OR($Q$4=TRUE,$Q$5=TRUE,$S$2=TRUE),VLOOKUP($G817,'KO Calc'!$H:$AW,28,FALSE),VLOOKUP($G817,'KO Calc'!$H823:$AW823,28,FALSE)))))))))))))</f>
        <v>-</v>
      </c>
      <c r="J817" s="36" t="str">
        <f>IF(AND($Q$1=FALSE,$S$3=FALSE),"-",IF(AND($Q$1=TRUE,$S$3=TRUE),"-",IF(AND($Q$1=FALSE,$S$3=FALSE),"-",IF(AND($Q$1=TRUE,$S$1=TRUE,$S$4=FALSE)=TRUE,IF(OR($Q$4=TRUE,$Q$5=TRUE,$S$2=TRUE),VLOOKUP($G817,'KO Calc'!$H:$AW,FALSE),VLOOKUP($G817,'KO Calc'!$H823:$AW823,14,FALSE)),IF(AND($Q$1=TRUE,$S$4=FALSE),IF(OR($Q$4=TRUE,$Q$5=TRUE,$S$2=TRUE),VLOOKUP($G817,'KO Calc'!$H:$AW,4,FALSE),VLOOKUP($G817,'KO Calc'!$H823:$AW823,4,FALSE)),
IF(AND($Q$1=TRUE,$S$1=TRUE,$S$4=TRUE)=TRUE,IF(OR($Q$4=TRUE,$Q$5=TRUE,$S$2=TRUE),VLOOKUP($G817,'KO Calc'!$H:$AW,19,FALSE),VLOOKUP($G817,'KO Calc'!$H823:$AW823,19,FALSE)),IF(AND($Q$1=TRUE,$S$4=TRUE),IF(OR($Q$4=TRUE,$Q$5=TRUE,$S$2=TRUE),VLOOKUP($G817,'KO Calc'!$H:$AW,9,FALSE),VLOOKUP($G817,'KO Calc'!$H823:$AW823,9,FALSE)),
IF(AND($S$3=TRUE,$S$1=TRUE,$S$4=FALSE)=TRUE,IF(OR($Q$4=TRUE,$Q$5=TRUE,$S$2=TRUE),VLOOKUP($G817,'KO Calc'!$H:$AW,34,FALSE),VLOOKUP($G817,'KO Calc'!$H823:$AW823,34,FALSE)),IF(AND($S$3=TRUE,$S$4=FALSE),IF(OR($Q$4=TRUE,$Q$5=TRUE,$S$2=TRUE),VLOOKUP($G817,'KO Calc'!$H:$AW,24,FALSE),VLOOKUP($G817,'KO Calc'!$H823:$AW823,24,FALSE)),
IF(AND($S$3=TRUE,$S$1=TRUE,$S$4=TRUE)=TRUE,IF(OR($Q$4=TRUE,$Q$5=TRUE,$S$2=TRUE),VLOOKUP($G817,'KO Calc'!$H:$AW,39,FALSE),VLOOKUP($G817,'KO Calc'!$H823:$AW823,39,FALSE)),IF(AND($S$3=TRUE,$S$4=TRUE),IF(OR($Q$4=TRUE,$Q$5=TRUE,$S$2=TRUE),VLOOKUP($G817,'KO Calc'!$H:$AW,29,FALSE),VLOOKUP($G817,'KO Calc'!$H823:$AW823,29,FALSE)))))))))))))</f>
        <v>-</v>
      </c>
      <c r="K817" s="36" t="str">
        <f>IF(AND($Q$1=FALSE,$S$3=FALSE),"-",IF(AND($Q$1=TRUE,$S$3=TRUE),"-",IF(AND($Q$1=FALSE,$S$3=FALSE),"-",IF(AND($Q$1=TRUE,$S$1=TRUE,$S$4=FALSE)=TRUE,IF(OR($Q$4=TRUE,$Q$5=TRUE,$S$2=TRUE),VLOOKUP($G817,'KO Calc'!$H:$AW,15,FALSE),VLOOKUP($G817,'KO Calc'!$H823:$AW823,15,FALSE)),IF(AND($Q$1=TRUE,$S$4=FALSE),IF(OR($Q$4=TRUE,$Q$5=TRUE,$S$2=TRUE),VLOOKUP($G817,'KO Calc'!$H:$AW,5,FALSE),VLOOKUP($G817,'KO Calc'!$H823:$AW823,5,FALSE)),
IF(AND($Q$1=TRUE,$S$1=TRUE,$S$4=TRUE)=TRUE,IF(OR($Q$4=TRUE,$Q$5=TRUE,$S$2=TRUE),VLOOKUP($G817,'KO Calc'!$H:$AW,20,FALSE),VLOOKUP($G817,'KO Calc'!$H823:$AW823,20,FALSE)),IF(AND($Q$1=TRUE,$S$4=TRUE),IF(OR($Q$4=TRUE,$Q$5=TRUE,$S$2=TRUE),VLOOKUP($G817,'KO Calc'!$H:$AW,10,FALSE),VLOOKUP($G817,'KO Calc'!$H823:$AW823,10,FALSE)),
IF(AND($S$3=TRUE,$S$1=TRUE,$S$4=FALSE)=TRUE,IF(OR($Q$4=TRUE,$Q$5=TRUE,$S$2=TRUE),VLOOKUP($G817,'KO Calc'!$H:$AW,35,FALSE),VLOOKUP($G817,'KO Calc'!$H823:$AW823,35,FALSE)),IF(AND($S$3=TRUE,$S$4=FALSE),IF(OR($Q$4=TRUE,$Q$5=TRUE,$S$2=TRUE),VLOOKUP($G817,'KO Calc'!$H:$AW,25,FALSE),VLOOKUP($G817,'KO Calc'!$H823:$AW823,25,FALSE)),
IF(AND($S$3=TRUE,$S$1=TRUE,$S$4=TRUE)=TRUE,IF(OR($Q$4=TRUE,$Q$5=TRUE,$S$2=TRUE),VLOOKUP($G817,'KO Calc'!$H:$AW,40,FALSE),VLOOKUP($G817,'KO Calc'!$H823:$AW823,40,FALSE)),IF(AND($S$3=TRUE,$S$4=TRUE),IF(OR($Q$4=TRUE,$Q$5=TRUE,$S$2=TRUE),VLOOKUP($G817,'KO Calc'!$H:$AW,30,FALSE),VLOOKUP($G817,'KO Calc'!$H823:$AW823,30,FALSE)))))))))))))</f>
        <v>-</v>
      </c>
      <c r="L817" s="36" t="str">
        <f>IFERROR(VLOOKUP($E817,'Status Thresholds'!$E:$AS,41,FALSE),"-")</f>
        <v>-</v>
      </c>
    </row>
    <row r="818" spans="2:14" x14ac:dyDescent="0.25">
      <c r="B818" s="64" t="str">
        <f>VLOOKUP(C818,'Status Thresholds'!B:C,2,FALSE)</f>
        <v>MHGen</v>
      </c>
      <c r="C818" s="46" t="str">
        <f>IF(ISBLANK('KO Calc'!C814)=TRUE,"",'KO Calc'!C814)</f>
        <v>Volvidon</v>
      </c>
      <c r="D818" s="78"/>
      <c r="E818" s="62" t="str">
        <f t="shared" si="23"/>
        <v>Volvidon</v>
      </c>
      <c r="G818" s="36" t="str">
        <f t="shared" si="24"/>
        <v>Volvidon</v>
      </c>
      <c r="L818" s="36" t="str">
        <f>IFERROR(VLOOKUP($E818,'Status Thresholds'!$E:$AS,41,FALSE),"-")</f>
        <v>-</v>
      </c>
    </row>
    <row r="819" spans="2:14" x14ac:dyDescent="0.25">
      <c r="B819" s="64" t="str">
        <f>VLOOKUP(C819,'Status Thresholds'!B:C,2,FALSE)</f>
        <v>MHGen</v>
      </c>
      <c r="C819" s="46" t="str">
        <f>IF(ISBLANK('KO Calc'!C815)=TRUE,"",'KO Calc'!C815)</f>
        <v>Yian  Garuga</v>
      </c>
      <c r="D819" s="65" t="s">
        <v>0</v>
      </c>
      <c r="E819" s="62" t="str">
        <f t="shared" si="23"/>
        <v>Yian  GarugaPara</v>
      </c>
      <c r="F819" s="36" t="s">
        <v>2</v>
      </c>
      <c r="G819" s="36" t="str">
        <f t="shared" si="24"/>
        <v>Yian  GarugaPara lvl 2</v>
      </c>
      <c r="H819" s="36" t="str">
        <f>IFERROR(ROUNDUP(IF(AND($Q$1=FALSE,$S$3=FALSE),"-",IF(AND($Q$1=TRUE,$S$3=TRUE),"-",IF(AND($Q$1=TRUE,$S$1=TRUE,$S$4=FALSE),VLOOKUP($E819,'Status Thresholds'!$E:$AS,12,FALSE),IF(AND($Q$1=TRUE,$S$4=FALSE),VLOOKUP($E819,'Status Thresholds'!$E:$AS,2,FALSE), IF(AND($Q$1=TRUE,$S$1=TRUE,$S$4=TRUE),VLOOKUP($E819,'Status Thresholds'!$E:$AS,17,FALSE),IF(AND($Q$1=TRUE,$S$4=TRUE),VLOOKUP($E819,'Status Thresholds'!$E:$AS,7,FALSE),IF(AND($S$3=TRUE,$S$1=TRUE,$S$4=FALSE),VLOOKUP($E819,'Status Thresholds'!$E:$AS,32,FALSE),IF(AND($S$3=TRUE,$S$4=FALSE),VLOOKUP($E819,'Status Thresholds'!$E:$AS,22,FALSE),IF(AND($S$3=TRUE,$S$1=TRUE,$S$4=TRUE),VLOOKUP($E819,'Status Thresholds'!$E:$AS,37,FALSE),IF(AND($S$3=TRUE,$S$4=TRUE),VLOOKUP($E819,'Status Thresholds'!$E:$AS,27,FALSE),""))))))))/IF(OR($Q$3=TRUE,AND($Q$2=TRUE,$Q$7=TRUE),AND($Q$3=TRUE,$Q$7=TRUE))=TRUE,'Shots and Status'!$F$5,IF((OR($Q$2,$Q$7)=TRUE),'Shots and Status'!$D$5,'Shots and Status'!$C$5)))),0),"-")</f>
        <v>-</v>
      </c>
      <c r="I819" s="36" t="str">
        <f>IFERROR(ROUNDUP(IF(AND($Q$1=FALSE,$S$3=FALSE),"-",IF(AND($Q$1=TRUE,$S$3=TRUE),"-",IF(AND($Q$1=TRUE,$S$1=TRUE,$S$4=FALSE),VLOOKUP($E819,'Status Thresholds'!$E:$AS,13,FALSE),IF(AND($Q$1=TRUE,$S$4=FALSE),VLOOKUP($E819,'Status Thresholds'!$E:$AS,3,FALSE), IF(AND($Q$1=TRUE,$S$1=TRUE,$S$4=TRUE),VLOOKUP($E819,'Status Thresholds'!$E:$AS,18,FALSE),IF(AND($Q$1=TRUE,$S$4=TRUE),VLOOKUP($E819,'Status Thresholds'!$E:$AS,8,FALSE),IF(AND($S$3=TRUE,$S$1=TRUE,$S$4=FALSE),VLOOKUP($E819,'Status Thresholds'!$E:$AS,33,FALSE),IF(AND($S$3=TRUE,$S$4=FALSE),VLOOKUP($E819,'Status Thresholds'!$E:$AS,23,FALSE),IF(AND($S$3=TRUE,$S$1=TRUE,$S$4=TRUE),VLOOKUP($E819,'Status Thresholds'!$E:$AS,38,FALSE),IF(AND($S$3=TRUE,$S$4=TRUE),VLOOKUP($E819,'Status Thresholds'!$E:$AS,28,FALSE),""))))))))/IF(OR($Q$3=TRUE,AND($Q$2=TRUE,$Q$7=TRUE),AND($Q$3=TRUE,$Q$7=TRUE))=TRUE,'Shots and Status'!$F$5,IF((OR($Q$2,$Q$7)=TRUE),'Shots and Status'!$D$5,'Shots and Status'!$C$5)))),0),"-")</f>
        <v>-</v>
      </c>
      <c r="J819" s="36" t="str">
        <f>IFERROR(ROUNDUP(IF(AND($Q$1=FALSE,$S$3=FALSE),"-",IF(AND($Q$1=TRUE,$S$3=TRUE),"-",IF(AND($Q$1=TRUE,$S$1=TRUE,$S$4=FALSE),VLOOKUP($E819,'Status Thresholds'!$E:$AS,14,FALSE),IF(AND($Q$1=TRUE,$S$4=FALSE),VLOOKUP($E819,'Status Thresholds'!$E:$AS,4,FALSE), IF(AND($Q$1=TRUE,$S$1=TRUE,$S$4=TRUE),VLOOKUP($E819,'Status Thresholds'!$E:$AS,19,FALSE),IF(AND($Q$1=TRUE,$S$4=TRUE),VLOOKUP($E819,'Status Thresholds'!$E:$AS,9,FALSE),IF(AND($S$3=TRUE,$S$1=TRUE,$S$4=FALSE),VLOOKUP($E819,'Status Thresholds'!$E:$AS,34,FALSE),IF(AND($S$3=TRUE,$S$4=FALSE),VLOOKUP($E819,'Status Thresholds'!$E:$AS,24,FALSE),IF(AND($S$3=TRUE,$S$1=TRUE,$S$4=TRUE),VLOOKUP($E819,'Status Thresholds'!$E:$AS,39,FALSE),IF(AND($S$3=TRUE,$S$4=TRUE),VLOOKUP($E819,'Status Thresholds'!$E:$AS,29,FALSE),""))))))))/IF(OR($Q$3=TRUE,AND($Q$2=TRUE,$Q$7=TRUE),AND($Q$3=TRUE,$Q$7=TRUE))=TRUE,'Shots and Status'!$F$5,IF((OR($Q$2,$Q$7)=TRUE),'Shots and Status'!$D$5,'Shots and Status'!$C$5)))),0),"-")</f>
        <v>-</v>
      </c>
      <c r="K819" s="36" t="str">
        <f>IFERROR(ROUNDUP(IF(AND($Q$1=FALSE,$S$3=FALSE),"-",IF(AND($Q$1=TRUE,$S$3=TRUE),"-",IF(AND($Q$1=TRUE,$S$1=TRUE,$S$4=FALSE),VLOOKUP($E819,'Status Thresholds'!$E:$AS,15,FALSE),IF(AND($Q$1=TRUE,$S$4=FALSE),VLOOKUP($E819,'Status Thresholds'!$E:$AS,5,FALSE), IF(AND($Q$1=TRUE,$S$1=TRUE,$S$4=TRUE),VLOOKUP($E819,'Status Thresholds'!$E:$AS,20,FALSE),IF(AND($Q$1=TRUE,$S$4=TRUE),VLOOKUP($E819,'Status Thresholds'!$E:$AS,10,FALSE),IF(AND($S$3=TRUE,$S$1=TRUE,$S$4=FALSE),VLOOKUP($E819,'Status Thresholds'!$E:$AS,35,FALSE),IF(AND($S$3=TRUE,$S$4=FALSE),VLOOKUP($E819,'Status Thresholds'!$E:$AS,25,FALSE),IF(AND($S$3=TRUE,$S$1=TRUE,$S$4=TRUE),VLOOKUP($E819,'Status Thresholds'!$E:$AS,40,FALSE),IF(AND($S$3=TRUE,$S$4=TRUE),VLOOKUP($E819,'Status Thresholds'!$E:$AS,30,FALSE),""))))))))/IF(OR($Q$3=TRUE,AND($Q$2=TRUE,$Q$7=TRUE),AND($Q$3=TRUE,$Q$7=TRUE))=TRUE,'Shots and Status'!$F$5,IF((OR($Q$2,$Q$7)=TRUE),'Shots and Status'!$D$5,'Shots and Status'!$C$5)))),0),"-")</f>
        <v>-</v>
      </c>
      <c r="L819" s="36" t="str">
        <f>IFERROR(IF(AND($Q$1=FALSE,$S$3=FALSE),"-",VLOOKUP($E819,'Status Thresholds'!$E:$AU,41,FALSE)),"-")</f>
        <v>-</v>
      </c>
      <c r="M819" s="36" t="str">
        <f>IFERROR(IF(AND($Q$1=FALSE,$S$3=FALSE),"-",VLOOKUP($E819,'Status Thresholds'!$E:$AU,42,FALSE)),"-")</f>
        <v>-</v>
      </c>
      <c r="N819" s="36" t="str">
        <f>IFERROR(IF(AND($Q$1=FALSE,$S$3=FALSE),"-",VLOOKUP($E819,'Status Thresholds'!$E:$AU,43,FALSE)),"-")</f>
        <v>-</v>
      </c>
    </row>
    <row r="820" spans="2:14" x14ac:dyDescent="0.25">
      <c r="B820" s="64" t="str">
        <f>VLOOKUP(C820,'Status Thresholds'!B:C,2,FALSE)</f>
        <v>MHGen</v>
      </c>
      <c r="C820" s="46" t="str">
        <f>IF(ISBLANK('KO Calc'!C816)=TRUE,"",'KO Calc'!C816)</f>
        <v>Yian  Garuga</v>
      </c>
      <c r="D820" s="60" t="s">
        <v>32</v>
      </c>
      <c r="E820" s="62" t="str">
        <f t="shared" si="23"/>
        <v>Yian  GarugaSleep</v>
      </c>
      <c r="F820" s="59" t="s">
        <v>5</v>
      </c>
      <c r="G820" s="36" t="str">
        <f t="shared" si="24"/>
        <v>Yian  GarugaSleep lvl 2</v>
      </c>
      <c r="H820" s="36" t="str">
        <f>IFERROR(ROUNDUP(IF(AND($Q$1=FALSE,$S$3=FALSE),"-",IF(AND($Q$1=TRUE,$S$3=TRUE),"-",IF(AND($Q$1=TRUE,$S$1=TRUE,$S$4=FALSE),VLOOKUP($E820,'Status Thresholds'!$E:$AS,12,FALSE),IF(AND($Q$1=TRUE,$S$4=FALSE),VLOOKUP($E820,'Status Thresholds'!$E:$AS,2,FALSE), IF(AND($Q$1=TRUE,$S$1=TRUE,$S$4=TRUE),VLOOKUP($E820,'Status Thresholds'!$E:$AS,17,FALSE),IF(AND($Q$1=TRUE,$S$4=TRUE),VLOOKUP($E820,'Status Thresholds'!$E:$AS,7,FALSE),IF(AND($S$3=TRUE,$S$1=TRUE,$S$4=FALSE),VLOOKUP($E820,'Status Thresholds'!$E:$AS,32,FALSE),IF(AND($S$3=TRUE,$S$4=FALSE),VLOOKUP($E820,'Status Thresholds'!$E:$AS,22,FALSE),IF(AND($S$3=TRUE,$S$1=TRUE,$S$4=TRUE),VLOOKUP($E820,'Status Thresholds'!$E:$AS,37,FALSE),IF(AND($S$3=TRUE,$S$4=TRUE),VLOOKUP($E820,'Status Thresholds'!$E:$AS,27,FALSE),""))))))))/IF(OR($Q$3=TRUE,AND($Q$2=TRUE,$Q$7=TRUE),AND($Q$3=TRUE,$Q$7=TRUE))=TRUE,'Shots and Status'!$F$5,IF((OR($Q$2,$Q$7)=TRUE),'Shots and Status'!$D$5,'Shots and Status'!$C$5)))),0),"-")</f>
        <v>-</v>
      </c>
      <c r="I820" s="36" t="str">
        <f>IFERROR(ROUNDUP(IF(AND($Q$1=FALSE,$S$3=FALSE),"-",IF(AND($Q$1=TRUE,$S$3=TRUE),"-",IF(AND($Q$1=TRUE,$S$1=TRUE,$S$4=FALSE),VLOOKUP($E820,'Status Thresholds'!$E:$AS,13,FALSE),IF(AND($Q$1=TRUE,$S$4=FALSE),VLOOKUP($E820,'Status Thresholds'!$E:$AS,3,FALSE), IF(AND($Q$1=TRUE,$S$1=TRUE,$S$4=TRUE),VLOOKUP($E820,'Status Thresholds'!$E:$AS,18,FALSE),IF(AND($Q$1=TRUE,$S$4=TRUE),VLOOKUP($E820,'Status Thresholds'!$E:$AS,8,FALSE),IF(AND($S$3=TRUE,$S$1=TRUE,$S$4=FALSE),VLOOKUP($E820,'Status Thresholds'!$E:$AS,33,FALSE),IF(AND($S$3=TRUE,$S$4=FALSE),VLOOKUP($E820,'Status Thresholds'!$E:$AS,23,FALSE),IF(AND($S$3=TRUE,$S$1=TRUE,$S$4=TRUE),VLOOKUP($E820,'Status Thresholds'!$E:$AS,38,FALSE),IF(AND($S$3=TRUE,$S$4=TRUE),VLOOKUP($E820,'Status Thresholds'!$E:$AS,28,FALSE),""))))))))/IF(OR($Q$3=TRUE,AND($Q$2=TRUE,$Q$7=TRUE),AND($Q$3=TRUE,$Q$7=TRUE))=TRUE,'Shots and Status'!$F$5,IF((OR($Q$2,$Q$7)=TRUE),'Shots and Status'!$D$5,'Shots and Status'!$C$5)))),0),"-")</f>
        <v>-</v>
      </c>
      <c r="J820" s="36" t="str">
        <f>IFERROR(ROUNDUP(IF(AND($Q$1=FALSE,$S$3=FALSE),"-",IF(AND($Q$1=TRUE,$S$3=TRUE),"-",IF(AND($Q$1=TRUE,$S$1=TRUE,$S$4=FALSE),VLOOKUP($E820,'Status Thresholds'!$E:$AS,14,FALSE),IF(AND($Q$1=TRUE,$S$4=FALSE),VLOOKUP($E820,'Status Thresholds'!$E:$AS,4,FALSE), IF(AND($Q$1=TRUE,$S$1=TRUE,$S$4=TRUE),VLOOKUP($E820,'Status Thresholds'!$E:$AS,19,FALSE),IF(AND($Q$1=TRUE,$S$4=TRUE),VLOOKUP($E820,'Status Thresholds'!$E:$AS,9,FALSE),IF(AND($S$3=TRUE,$S$1=TRUE,$S$4=FALSE),VLOOKUP($E820,'Status Thresholds'!$E:$AS,34,FALSE),IF(AND($S$3=TRUE,$S$4=FALSE),VLOOKUP($E820,'Status Thresholds'!$E:$AS,24,FALSE),IF(AND($S$3=TRUE,$S$1=TRUE,$S$4=TRUE),VLOOKUP($E820,'Status Thresholds'!$E:$AS,39,FALSE),IF(AND($S$3=TRUE,$S$4=TRUE),VLOOKUP($E820,'Status Thresholds'!$E:$AS,29,FALSE),""))))))))/IF(OR($Q$3=TRUE,AND($Q$2=TRUE,$Q$7=TRUE),AND($Q$3=TRUE,$Q$7=TRUE))=TRUE,'Shots and Status'!$F$5,IF((OR($Q$2,$Q$7)=TRUE),'Shots and Status'!$D$5,'Shots and Status'!$C$5)))),0),"-")</f>
        <v>-</v>
      </c>
      <c r="K820" s="36" t="str">
        <f>IFERROR(ROUNDUP(IF(AND($Q$1=FALSE,$S$3=FALSE),"-",IF(AND($Q$1=TRUE,$S$3=TRUE),"-",IF(AND($Q$1=TRUE,$S$1=TRUE,$S$4=FALSE),VLOOKUP($E820,'Status Thresholds'!$E:$AS,15,FALSE),IF(AND($Q$1=TRUE,$S$4=FALSE),VLOOKUP($E820,'Status Thresholds'!$E:$AS,5,FALSE), IF(AND($Q$1=TRUE,$S$1=TRUE,$S$4=TRUE),VLOOKUP($E820,'Status Thresholds'!$E:$AS,20,FALSE),IF(AND($Q$1=TRUE,$S$4=TRUE),VLOOKUP($E820,'Status Thresholds'!$E:$AS,10,FALSE),IF(AND($S$3=TRUE,$S$1=TRUE,$S$4=FALSE),VLOOKUP($E820,'Status Thresholds'!$E:$AS,35,FALSE),IF(AND($S$3=TRUE,$S$4=FALSE),VLOOKUP($E820,'Status Thresholds'!$E:$AS,25,FALSE),IF(AND($S$3=TRUE,$S$1=TRUE,$S$4=TRUE),VLOOKUP($E820,'Status Thresholds'!$E:$AS,40,FALSE),IF(AND($S$3=TRUE,$S$4=TRUE),VLOOKUP($E820,'Status Thresholds'!$E:$AS,30,FALSE),""))))))))/IF(OR($Q$3=TRUE,AND($Q$2=TRUE,$Q$7=TRUE),AND($Q$3=TRUE,$Q$7=TRUE))=TRUE,'Shots and Status'!$F$5,IF((OR($Q$2,$Q$7)=TRUE),'Shots and Status'!$D$5,'Shots and Status'!$C$5)))),0),"-")</f>
        <v>-</v>
      </c>
      <c r="L820" s="36" t="str">
        <f>IFERROR(IF(AND($Q$1=FALSE,$S$3=FALSE),"-",VLOOKUP($E820,'Status Thresholds'!$E:$AU,41,FALSE)),"-")</f>
        <v>-</v>
      </c>
      <c r="M820" s="36" t="str">
        <f>IFERROR(IF(AND($Q$1=FALSE,$S$3=FALSE),"-",VLOOKUP($E820,'Status Thresholds'!$E:$AU,42,FALSE)),"-")</f>
        <v>-</v>
      </c>
      <c r="N820" s="36" t="str">
        <f>IFERROR(IF(AND($Q$1=FALSE,$S$3=FALSE),"-",VLOOKUP($E820,'Status Thresholds'!$E:$AU,43,FALSE)),"-")</f>
        <v>-</v>
      </c>
    </row>
    <row r="821" spans="2:14" x14ac:dyDescent="0.25">
      <c r="B821" s="64" t="str">
        <f>VLOOKUP(C821,'Status Thresholds'!B:C,2,FALSE)</f>
        <v>MHGen</v>
      </c>
      <c r="C821" s="46" t="str">
        <f>IF(ISBLANK('KO Calc'!C817)=TRUE,"",'KO Calc'!C817)</f>
        <v>Yian  Garuga</v>
      </c>
      <c r="D821" s="58" t="s">
        <v>33</v>
      </c>
      <c r="E821" s="62" t="str">
        <f t="shared" si="23"/>
        <v>Yian  GarugaPoison</v>
      </c>
      <c r="F821" s="59" t="s">
        <v>6</v>
      </c>
      <c r="G821" s="36" t="str">
        <f t="shared" si="24"/>
        <v>Yian  GarugaPoison lvl 2</v>
      </c>
      <c r="H821" s="36" t="str">
        <f>IFERROR(ROUNDUP(IF(AND($Q$1=FALSE,$S$3=FALSE),"-",IF(AND($Q$1=TRUE,$S$3=TRUE),"-",IF(AND($Q$1=TRUE,$S$1=TRUE,$S$4=FALSE),VLOOKUP($E821,'Status Thresholds'!$E:$AS,12,FALSE),IF(AND($Q$1=TRUE,$S$4=FALSE),VLOOKUP($E821,'Status Thresholds'!$E:$AS,2,FALSE), IF(AND($Q$1=TRUE,$S$1=TRUE,$S$4=TRUE),VLOOKUP($E821,'Status Thresholds'!$E:$AS,17,FALSE),IF(AND($Q$1=TRUE,$S$4=TRUE),VLOOKUP($E821,'Status Thresholds'!$E:$AS,7,FALSE),IF(AND($S$3=TRUE,$S$1=TRUE,$S$4=FALSE),VLOOKUP($E821,'Status Thresholds'!$E:$AS,32,FALSE),IF(AND($S$3=TRUE,$S$4=FALSE),VLOOKUP($E821,'Status Thresholds'!$E:$AS,22,FALSE),IF(AND($S$3=TRUE,$S$1=TRUE,$S$4=TRUE),VLOOKUP($E821,'Status Thresholds'!$E:$AS,37,FALSE),IF(AND($S$3=TRUE,$S$4=TRUE),VLOOKUP($E821,'Status Thresholds'!$E:$AS,27,FALSE),""))))))))/IF(OR($Q$3=TRUE,AND($Q$2=TRUE,$Q$7=TRUE),AND($Q$3=TRUE,$Q$7=TRUE))=TRUE,'Shots and Status'!$F$5,IF((OR($Q$2,$Q$7)=TRUE),'Shots and Status'!$D$5,'Shots and Status'!$C$5)))),0),"-")</f>
        <v>-</v>
      </c>
      <c r="I821" s="36" t="str">
        <f>IFERROR(ROUNDUP(IF(AND($Q$1=FALSE,$S$3=FALSE),"-",IF(AND($Q$1=TRUE,$S$3=TRUE),"-",IF(AND($Q$1=TRUE,$S$1=TRUE,$S$4=FALSE),VLOOKUP($E821,'Status Thresholds'!$E:$AS,13,FALSE),IF(AND($Q$1=TRUE,$S$4=FALSE),VLOOKUP($E821,'Status Thresholds'!$E:$AS,3,FALSE), IF(AND($Q$1=TRUE,$S$1=TRUE,$S$4=TRUE),VLOOKUP($E821,'Status Thresholds'!$E:$AS,18,FALSE),IF(AND($Q$1=TRUE,$S$4=TRUE),VLOOKUP($E821,'Status Thresholds'!$E:$AS,8,FALSE),IF(AND($S$3=TRUE,$S$1=TRUE,$S$4=FALSE),VLOOKUP($E821,'Status Thresholds'!$E:$AS,33,FALSE),IF(AND($S$3=TRUE,$S$4=FALSE),VLOOKUP($E821,'Status Thresholds'!$E:$AS,23,FALSE),IF(AND($S$3=TRUE,$S$1=TRUE,$S$4=TRUE),VLOOKUP($E821,'Status Thresholds'!$E:$AS,38,FALSE),IF(AND($S$3=TRUE,$S$4=TRUE),VLOOKUP($E821,'Status Thresholds'!$E:$AS,28,FALSE),""))))))))/IF(OR($Q$3=TRUE,AND($Q$2=TRUE,$Q$7=TRUE),AND($Q$3=TRUE,$Q$7=TRUE))=TRUE,'Shots and Status'!$F$5,IF((OR($Q$2,$Q$7)=TRUE),'Shots and Status'!$D$5,'Shots and Status'!$C$5)))),0),"-")</f>
        <v>-</v>
      </c>
      <c r="J821" s="36" t="str">
        <f>IFERROR(ROUNDUP(IF(AND($Q$1=FALSE,$S$3=FALSE),"-",IF(AND($Q$1=TRUE,$S$3=TRUE),"-",IF(AND($Q$1=TRUE,$S$1=TRUE,$S$4=FALSE),VLOOKUP($E821,'Status Thresholds'!$E:$AS,14,FALSE),IF(AND($Q$1=TRUE,$S$4=FALSE),VLOOKUP($E821,'Status Thresholds'!$E:$AS,4,FALSE), IF(AND($Q$1=TRUE,$S$1=TRUE,$S$4=TRUE),VLOOKUP($E821,'Status Thresholds'!$E:$AS,19,FALSE),IF(AND($Q$1=TRUE,$S$4=TRUE),VLOOKUP($E821,'Status Thresholds'!$E:$AS,9,FALSE),IF(AND($S$3=TRUE,$S$1=TRUE,$S$4=FALSE),VLOOKUP($E821,'Status Thresholds'!$E:$AS,34,FALSE),IF(AND($S$3=TRUE,$S$4=FALSE),VLOOKUP($E821,'Status Thresholds'!$E:$AS,24,FALSE),IF(AND($S$3=TRUE,$S$1=TRUE,$S$4=TRUE),VLOOKUP($E821,'Status Thresholds'!$E:$AS,39,FALSE),IF(AND($S$3=TRUE,$S$4=TRUE),VLOOKUP($E821,'Status Thresholds'!$E:$AS,29,FALSE),""))))))))/IF(OR($Q$3=TRUE,AND($Q$2=TRUE,$Q$7=TRUE),AND($Q$3=TRUE,$Q$7=TRUE))=TRUE,'Shots and Status'!$F$5,IF((OR($Q$2,$Q$7)=TRUE),'Shots and Status'!$D$5,'Shots and Status'!$C$5)))),0),"-")</f>
        <v>-</v>
      </c>
      <c r="K821" s="36" t="str">
        <f>IFERROR(ROUNDUP(IF(AND($Q$1=FALSE,$S$3=FALSE),"-",IF(AND($Q$1=TRUE,$S$3=TRUE),"-",IF(AND($Q$1=TRUE,$S$1=TRUE,$S$4=FALSE),VLOOKUP($E821,'Status Thresholds'!$E:$AS,15,FALSE),IF(AND($Q$1=TRUE,$S$4=FALSE),VLOOKUP($E821,'Status Thresholds'!$E:$AS,5,FALSE), IF(AND($Q$1=TRUE,$S$1=TRUE,$S$4=TRUE),VLOOKUP($E821,'Status Thresholds'!$E:$AS,20,FALSE),IF(AND($Q$1=TRUE,$S$4=TRUE),VLOOKUP($E821,'Status Thresholds'!$E:$AS,10,FALSE),IF(AND($S$3=TRUE,$S$1=TRUE,$S$4=FALSE),VLOOKUP($E821,'Status Thresholds'!$E:$AS,35,FALSE),IF(AND($S$3=TRUE,$S$4=FALSE),VLOOKUP($E821,'Status Thresholds'!$E:$AS,25,FALSE),IF(AND($S$3=TRUE,$S$1=TRUE,$S$4=TRUE),VLOOKUP($E821,'Status Thresholds'!$E:$AS,40,FALSE),IF(AND($S$3=TRUE,$S$4=TRUE),VLOOKUP($E821,'Status Thresholds'!$E:$AS,30,FALSE),""))))))))/IF(OR($Q$3=TRUE,AND($Q$2=TRUE,$Q$7=TRUE),AND($Q$3=TRUE,$Q$7=TRUE))=TRUE,'Shots and Status'!$F$5,IF((OR($Q$2,$Q$7)=TRUE),'Shots and Status'!$D$5,'Shots and Status'!$C$5)))),0),"-")</f>
        <v>-</v>
      </c>
      <c r="L821" s="36" t="str">
        <f>IFERROR(IF(AND($Q$1=FALSE,$S$3=FALSE),"-",VLOOKUP($E821,'Status Thresholds'!$E:$AU,41,FALSE)),"-")</f>
        <v>-</v>
      </c>
      <c r="M821" s="36" t="str">
        <f>IFERROR(IF(AND($Q$1=FALSE,$S$3=FALSE),"-",VLOOKUP($E821,'Status Thresholds'!$E:$AU,42,FALSE)),"-")</f>
        <v>-</v>
      </c>
      <c r="N821" s="36" t="str">
        <f>IFERROR(IF(AND($Q$1=FALSE,$S$3=FALSE),"-",VLOOKUP($E821,'Status Thresholds'!$E:$AU,43,FALSE)),"-")</f>
        <v>-</v>
      </c>
    </row>
    <row r="822" spans="2:14" x14ac:dyDescent="0.25">
      <c r="B822" s="64" t="str">
        <f>VLOOKUP(C822,'Status Thresholds'!B:C,2,FALSE)</f>
        <v>MHGen</v>
      </c>
      <c r="C822" s="46" t="str">
        <f>IF(ISBLANK('KO Calc'!C818)=TRUE,"",'KO Calc'!C818)</f>
        <v>Yian  Garuga</v>
      </c>
      <c r="D822" s="57" t="s">
        <v>22</v>
      </c>
      <c r="E822" s="62" t="str">
        <f t="shared" si="23"/>
        <v>Yian  GarugaExhaust</v>
      </c>
      <c r="F822" s="36" t="s">
        <v>8</v>
      </c>
      <c r="G822" s="36" t="str">
        <f t="shared" si="24"/>
        <v>Yian  GarugaExhaust lvl 2</v>
      </c>
      <c r="H822" s="36" t="str">
        <f>IFERROR(ROUNDUP(IF(AND($Q$1=FALSE,$S$3=FALSE),"-",IF(AND($Q$1=TRUE,$S$3=TRUE),"-",IF(AND($Q$1=TRUE,$S$1=TRUE,$S$4=FALSE),VLOOKUP($E822,'Status Thresholds'!$E:$AS,12,FALSE),IF(AND($Q$1=TRUE,$S$4=FALSE),VLOOKUP($E822,'Status Thresholds'!$E:$AS,2,FALSE), IF(AND($Q$1=TRUE,$S$1=TRUE,$S$4=TRUE),VLOOKUP($E822,'Status Thresholds'!$E:$AS,17,FALSE),IF(AND($Q$1=TRUE,$S$4=TRUE),VLOOKUP($E822,'Status Thresholds'!$E:$AS,7,FALSE),IF(AND($S$3=TRUE,$S$1=TRUE,$S$4=FALSE),VLOOKUP($E822,'Status Thresholds'!$E:$AS,32,FALSE),IF(AND($S$3=TRUE,$S$4=FALSE),VLOOKUP($E822,'Status Thresholds'!$E:$AS,22,FALSE),IF(AND($S$3=TRUE,$S$1=TRUE,$S$4=TRUE),VLOOKUP($E822,'Status Thresholds'!$E:$AS,37,FALSE),IF(AND($S$3=TRUE,$S$4=TRUE),VLOOKUP($E822,'Status Thresholds'!$E:$AS,27,FALSE),""))))))))/IF(OR($Q$3=TRUE,AND($Q$2=TRUE,$Q$7=TRUE),AND($Q$3=TRUE,$Q$7=TRUE))=TRUE,'Shots and Status'!$F$5,IF((OR($Q$2,$Q$7)=TRUE),'Shots and Status'!$D$5,'Shots and Status'!$C$5)))),0),"-")</f>
        <v>-</v>
      </c>
      <c r="I822" s="36" t="str">
        <f>IFERROR(ROUNDUP(IF(AND($Q$1=FALSE,$S$3=FALSE),"-",IF(AND($Q$1=TRUE,$S$3=TRUE),"-",IF(AND($Q$1=TRUE,$S$1=TRUE,$S$4=FALSE),VLOOKUP($E822,'Status Thresholds'!$E:$AS,13,FALSE),IF(AND($Q$1=TRUE,$S$4=FALSE),VLOOKUP($E822,'Status Thresholds'!$E:$AS,3,FALSE), IF(AND($Q$1=TRUE,$S$1=TRUE,$S$4=TRUE),VLOOKUP($E822,'Status Thresholds'!$E:$AS,18,FALSE),IF(AND($Q$1=TRUE,$S$4=TRUE),VLOOKUP($E822,'Status Thresholds'!$E:$AS,8,FALSE),IF(AND($S$3=TRUE,$S$1=TRUE,$S$4=FALSE),VLOOKUP($E822,'Status Thresholds'!$E:$AS,33,FALSE),IF(AND($S$3=TRUE,$S$4=FALSE),VLOOKUP($E822,'Status Thresholds'!$E:$AS,23,FALSE),IF(AND($S$3=TRUE,$S$1=TRUE,$S$4=TRUE),VLOOKUP($E822,'Status Thresholds'!$E:$AS,38,FALSE),IF(AND($S$3=TRUE,$S$4=TRUE),VLOOKUP($E822,'Status Thresholds'!$E:$AS,28,FALSE),""))))))))/IF(OR($Q$3=TRUE,AND($Q$2=TRUE,$Q$7=TRUE),AND($Q$3=TRUE,$Q$7=TRUE))=TRUE,'Shots and Status'!$F$5,IF((OR($Q$2,$Q$7)=TRUE),'Shots and Status'!$D$5,'Shots and Status'!$C$5)))),0),"-")</f>
        <v>-</v>
      </c>
      <c r="J822" s="36" t="str">
        <f>IFERROR(ROUNDUP(IF(AND($Q$1=FALSE,$S$3=FALSE),"-",IF(AND($Q$1=TRUE,$S$3=TRUE),"-",IF(AND($Q$1=TRUE,$S$1=TRUE,$S$4=FALSE),VLOOKUP($E822,'Status Thresholds'!$E:$AS,14,FALSE),IF(AND($Q$1=TRUE,$S$4=FALSE),VLOOKUP($E822,'Status Thresholds'!$E:$AS,4,FALSE), IF(AND($Q$1=TRUE,$S$1=TRUE,$S$4=TRUE),VLOOKUP($E822,'Status Thresholds'!$E:$AS,19,FALSE),IF(AND($Q$1=TRUE,$S$4=TRUE),VLOOKUP($E822,'Status Thresholds'!$E:$AS,9,FALSE),IF(AND($S$3=TRUE,$S$1=TRUE,$S$4=FALSE),VLOOKUP($E822,'Status Thresholds'!$E:$AS,34,FALSE),IF(AND($S$3=TRUE,$S$4=FALSE),VLOOKUP($E822,'Status Thresholds'!$E:$AS,24,FALSE),IF(AND($S$3=TRUE,$S$1=TRUE,$S$4=TRUE),VLOOKUP($E822,'Status Thresholds'!$E:$AS,39,FALSE),IF(AND($S$3=TRUE,$S$4=TRUE),VLOOKUP($E822,'Status Thresholds'!$E:$AS,29,FALSE),""))))))))/IF(OR($Q$3=TRUE,AND($Q$2=TRUE,$Q$7=TRUE),AND($Q$3=TRUE,$Q$7=TRUE))=TRUE,'Shots and Status'!$F$5,IF((OR($Q$2,$Q$7)=TRUE),'Shots and Status'!$D$5,'Shots and Status'!$C$5)))),0),"-")</f>
        <v>-</v>
      </c>
      <c r="K822" s="36" t="str">
        <f>IFERROR(ROUNDUP(IF(AND($Q$1=FALSE,$S$3=FALSE),"-",IF(AND($Q$1=TRUE,$S$3=TRUE),"-",IF(AND($Q$1=TRUE,$S$1=TRUE,$S$4=FALSE),VLOOKUP($E822,'Status Thresholds'!$E:$AS,15,FALSE),IF(AND($Q$1=TRUE,$S$4=FALSE),VLOOKUP($E822,'Status Thresholds'!$E:$AS,5,FALSE), IF(AND($Q$1=TRUE,$S$1=TRUE,$S$4=TRUE),VLOOKUP($E822,'Status Thresholds'!$E:$AS,20,FALSE),IF(AND($Q$1=TRUE,$S$4=TRUE),VLOOKUP($E822,'Status Thresholds'!$E:$AS,10,FALSE),IF(AND($S$3=TRUE,$S$1=TRUE,$S$4=FALSE),VLOOKUP($E822,'Status Thresholds'!$E:$AS,35,FALSE),IF(AND($S$3=TRUE,$S$4=FALSE),VLOOKUP($E822,'Status Thresholds'!$E:$AS,25,FALSE),IF(AND($S$3=TRUE,$S$1=TRUE,$S$4=TRUE),VLOOKUP($E822,'Status Thresholds'!$E:$AS,40,FALSE),IF(AND($S$3=TRUE,$S$4=TRUE),VLOOKUP($E822,'Status Thresholds'!$E:$AS,30,FALSE),""))))))))/IF(OR($Q$3=TRUE,AND($Q$2=TRUE,$Q$7=TRUE),AND($Q$3=TRUE,$Q$7=TRUE))=TRUE,'Shots and Status'!$F$5,IF((OR($Q$2,$Q$7)=TRUE),'Shots and Status'!$D$5,'Shots and Status'!$C$5)))),0),"-")</f>
        <v>-</v>
      </c>
      <c r="L822" s="36" t="str">
        <f>IFERROR(IF(AND($Q$1=FALSE,$S$3=FALSE),"-",VLOOKUP($E822,'Status Thresholds'!$E:$AU,41,FALSE)),"-")</f>
        <v>-</v>
      </c>
      <c r="M822" s="36" t="str">
        <f>IFERROR(IF(AND($Q$1=FALSE,$S$3=FALSE),"-",VLOOKUP($E822,'Status Thresholds'!$E:$AU,42,FALSE)),"-")</f>
        <v>-</v>
      </c>
      <c r="N822" s="36" t="str">
        <f>IFERROR(IF(AND($Q$1=FALSE,$S$3=FALSE),"-",VLOOKUP($E822,'Status Thresholds'!$E:$AU,43,FALSE)),"-")</f>
        <v>-</v>
      </c>
    </row>
    <row r="823" spans="2:14" x14ac:dyDescent="0.25">
      <c r="B823" s="64" t="str">
        <f>VLOOKUP(C823,'Status Thresholds'!B:C,2,FALSE)</f>
        <v>MHGen</v>
      </c>
      <c r="C823" s="46" t="str">
        <f>IF(ISBLANK('KO Calc'!C819)=TRUE,"",'KO Calc'!C819)</f>
        <v>Yian  Garuga</v>
      </c>
      <c r="D823" s="67" t="s">
        <v>14</v>
      </c>
      <c r="E823" s="62" t="str">
        <f t="shared" si="23"/>
        <v>Yian  GarugaKO</v>
      </c>
      <c r="F823" s="36" t="s">
        <v>21</v>
      </c>
      <c r="G823" s="36" t="str">
        <f t="shared" si="24"/>
        <v>Yian  GarugaTriblast</v>
      </c>
      <c r="H823" s="36" t="str">
        <f>IF(AND($Q$1=FALSE,$S$3=FALSE),"-",IF(AND($Q$1=TRUE,$S$3=TRUE),"-",IF(AND($Q$1=FALSE,$S$3=FALSE),"-",IF(AND($Q$1=TRUE,$S$1=TRUE,$S$4=FALSE)=TRUE,IF(OR($Q$4=TRUE,$Q$5=TRUE,$S$2=TRUE),VLOOKUP($G823,'KO Calc'!$H:$AW,12,FALSE),VLOOKUP($G823,'KO Calc'!$H829:$AW829,12,FALSE)),IF(AND($Q$1=TRUE,$S$4=FALSE),IF(OR($Q$4=TRUE,$Q$5=TRUE,$S$2=TRUE),VLOOKUP($G823,'KO Calc'!$H:$AW,2,FALSE),VLOOKUP($G823,'KO Calc'!$H829:$AW829,2,FALSE)),
IF(AND($Q$1=TRUE,$S$1=TRUE,$S$4=TRUE)=TRUE,IF(OR($Q$4=TRUE,$Q$5=TRUE,$S$2=TRUE),VLOOKUP($G823,'KO Calc'!$H:$AW,17,FALSE),VLOOKUP($G823,'KO Calc'!$H829:$AW829,17,FALSE)),IF(AND($Q$1=TRUE,$S$4=TRUE),IF(OR($Q$4=TRUE,$Q$5=TRUE,$S$2=TRUE),VLOOKUP($G823,'KO Calc'!$H:$AW,7,FALSE),VLOOKUP($G823,'KO Calc'!$H829:$AW829,7,FALSE)),
IF(AND($S$3=TRUE,$S$1=TRUE,$S$4=FALSE)=TRUE,IF(OR($Q$4=TRUE,$Q$5=TRUE,$S$2=TRUE),VLOOKUP($G823,'KO Calc'!$H:$AW,32,FALSE),VLOOKUP($G823,'KO Calc'!$H829:$AW829,32,FALSE)),IF(AND($S$3=TRUE,$S$4=FALSE),IF(OR($Q$4=TRUE,$Q$5=TRUE,$S$2=TRUE),VLOOKUP($G823,'KO Calc'!$H:$AW,22,FALSE),VLOOKUP($G823,'KO Calc'!$H829:$AW829,22,FALSE)),
IF(AND($S$3=TRUE,$S$1=TRUE,$S$4=TRUE)=TRUE,IF(OR($Q$4=TRUE,$Q$5=TRUE,$S$2=TRUE),VLOOKUP($G823,'KO Calc'!$H:$AW,37,FALSE),VLOOKUP($G823,'KO Calc'!$H829:$AW829,37,FALSE)),IF(AND($S$3=TRUE,$S$4=TRUE),IF(OR($Q$4=TRUE,$Q$5=TRUE,$S$2=TRUE),VLOOKUP($G823,'KO Calc'!$H:$AW,27,FALSE),VLOOKUP($G823,'KO Calc'!$H829:$AW829,27,FALSE)))))))))))))</f>
        <v>-</v>
      </c>
      <c r="I823" s="36" t="str">
        <f>IF(AND($Q$1=FALSE,$S$3=FALSE),"-",IF(AND($Q$1=TRUE,$S$3=TRUE),"-",IF(AND($Q$1=FALSE,$S$3=FALSE),"-",IF(AND($Q$1=TRUE,$S$1=TRUE,$S$4=FALSE)=TRUE,IF(OR($Q$4=TRUE,$Q$5=TRUE,$S$2=TRUE),VLOOKUP($G823,'KO Calc'!$H:$AW,13,FALSE),VLOOKUP($G823,'KO Calc'!$H829:$AW829,13,FALSE)),IF(AND($Q$1=TRUE,$S$4=FALSE),IF(OR($Q$4=TRUE,$Q$5=TRUE,$S$2=TRUE),VLOOKUP($G823,'KO Calc'!$H:$AW,3,FALSE),VLOOKUP($G823,'KO Calc'!$H829:$AW829,3,FALSE)),
IF(AND($Q$1=TRUE,$S$1=TRUE,$S$4=TRUE)=TRUE,IF(OR($Q$4=TRUE,$Q$5=TRUE,$S$2=TRUE),VLOOKUP($G823,'KO Calc'!$H:$AW,18,FALSE),VLOOKUP($G823,'KO Calc'!$H829:$AW829,18,FALSE)),IF(AND($Q$1=TRUE,$S$4=TRUE),IF(OR($Q$4=TRUE,$Q$5=TRUE,$S$2=TRUE),VLOOKUP($G823,'KO Calc'!$H:$AW,8,FALSE),VLOOKUP($G823,'KO Calc'!$H829:$AW829,8,FALSE)),
IF(AND($S$3=TRUE,$S$1=TRUE,$S$4=FALSE)=TRUE,IF(OR($Q$4=TRUE,$Q$5=TRUE,$S$2=TRUE),VLOOKUP($G823,'KO Calc'!$H:$AW,33,FALSE),VLOOKUP($G823,'KO Calc'!$H829:$AW829,33,FALSE)),IF(AND($S$3=TRUE,$S$4=FALSE),IF(OR($Q$4=TRUE,$Q$5=TRUE,$S$2=TRUE),VLOOKUP($G823,'KO Calc'!$H:$AW,23,FALSE),VLOOKUP($G823,'KO Calc'!$H829:$AW829,23,FALSE)),
IF(AND($S$3=TRUE,$S$1=TRUE,$S$4=TRUE)=TRUE,IF(OR($Q$4=TRUE,$Q$5=TRUE,$S$2=TRUE),VLOOKUP($G823,'KO Calc'!$H:$AW,38,FALSE),VLOOKUP($G823,'KO Calc'!$H829:$AW829,38,FALSE)),IF(AND($S$3=TRUE,$S$4=TRUE),IF(OR($Q$4=TRUE,$Q$5=TRUE,$S$2=TRUE),VLOOKUP($G823,'KO Calc'!$H:$AW,28,FALSE),VLOOKUP($G823,'KO Calc'!$H829:$AW829,28,FALSE)))))))))))))</f>
        <v>-</v>
      </c>
      <c r="J823" s="36" t="str">
        <f>IF(AND($Q$1=FALSE,$S$3=FALSE),"-",IF(AND($Q$1=TRUE,$S$3=TRUE),"-",IF(AND($Q$1=FALSE,$S$3=FALSE),"-",IF(AND($Q$1=TRUE,$S$1=TRUE,$S$4=FALSE)=TRUE,IF(OR($Q$4=TRUE,$Q$5=TRUE,$S$2=TRUE),VLOOKUP($G823,'KO Calc'!$H:$AW,FALSE),VLOOKUP($G823,'KO Calc'!$H829:$AW829,14,FALSE)),IF(AND($Q$1=TRUE,$S$4=FALSE),IF(OR($Q$4=TRUE,$Q$5=TRUE,$S$2=TRUE),VLOOKUP($G823,'KO Calc'!$H:$AW,4,FALSE),VLOOKUP($G823,'KO Calc'!$H829:$AW829,4,FALSE)),
IF(AND($Q$1=TRUE,$S$1=TRUE,$S$4=TRUE)=TRUE,IF(OR($Q$4=TRUE,$Q$5=TRUE,$S$2=TRUE),VLOOKUP($G823,'KO Calc'!$H:$AW,19,FALSE),VLOOKUP($G823,'KO Calc'!$H829:$AW829,19,FALSE)),IF(AND($Q$1=TRUE,$S$4=TRUE),IF(OR($Q$4=TRUE,$Q$5=TRUE,$S$2=TRUE),VLOOKUP($G823,'KO Calc'!$H:$AW,9,FALSE),VLOOKUP($G823,'KO Calc'!$H829:$AW829,9,FALSE)),
IF(AND($S$3=TRUE,$S$1=TRUE,$S$4=FALSE)=TRUE,IF(OR($Q$4=TRUE,$Q$5=TRUE,$S$2=TRUE),VLOOKUP($G823,'KO Calc'!$H:$AW,34,FALSE),VLOOKUP($G823,'KO Calc'!$H829:$AW829,34,FALSE)),IF(AND($S$3=TRUE,$S$4=FALSE),IF(OR($Q$4=TRUE,$Q$5=TRUE,$S$2=TRUE),VLOOKUP($G823,'KO Calc'!$H:$AW,24,FALSE),VLOOKUP($G823,'KO Calc'!$H829:$AW829,24,FALSE)),
IF(AND($S$3=TRUE,$S$1=TRUE,$S$4=TRUE)=TRUE,IF(OR($Q$4=TRUE,$Q$5=TRUE,$S$2=TRUE),VLOOKUP($G823,'KO Calc'!$H:$AW,39,FALSE),VLOOKUP($G823,'KO Calc'!$H829:$AW829,39,FALSE)),IF(AND($S$3=TRUE,$S$4=TRUE),IF(OR($Q$4=TRUE,$Q$5=TRUE,$S$2=TRUE),VLOOKUP($G823,'KO Calc'!$H:$AW,29,FALSE),VLOOKUP($G823,'KO Calc'!$H829:$AW829,29,FALSE)))))))))))))</f>
        <v>-</v>
      </c>
      <c r="K823" s="36" t="str">
        <f>IF(AND($Q$1=FALSE,$S$3=FALSE),"-",IF(AND($Q$1=TRUE,$S$3=TRUE),"-",IF(AND($Q$1=FALSE,$S$3=FALSE),"-",IF(AND($Q$1=TRUE,$S$1=TRUE,$S$4=FALSE)=TRUE,IF(OR($Q$4=TRUE,$Q$5=TRUE,$S$2=TRUE),VLOOKUP($G823,'KO Calc'!$H:$AW,15,FALSE),VLOOKUP($G823,'KO Calc'!$H829:$AW829,15,FALSE)),IF(AND($Q$1=TRUE,$S$4=FALSE),IF(OR($Q$4=TRUE,$Q$5=TRUE,$S$2=TRUE),VLOOKUP($G823,'KO Calc'!$H:$AW,5,FALSE),VLOOKUP($G823,'KO Calc'!$H829:$AW829,5,FALSE)),
IF(AND($Q$1=TRUE,$S$1=TRUE,$S$4=TRUE)=TRUE,IF(OR($Q$4=TRUE,$Q$5=TRUE,$S$2=TRUE),VLOOKUP($G823,'KO Calc'!$H:$AW,20,FALSE),VLOOKUP($G823,'KO Calc'!$H829:$AW829,20,FALSE)),IF(AND($Q$1=TRUE,$S$4=TRUE),IF(OR($Q$4=TRUE,$Q$5=TRUE,$S$2=TRUE),VLOOKUP($G823,'KO Calc'!$H:$AW,10,FALSE),VLOOKUP($G823,'KO Calc'!$H829:$AW829,10,FALSE)),
IF(AND($S$3=TRUE,$S$1=TRUE,$S$4=FALSE)=TRUE,IF(OR($Q$4=TRUE,$Q$5=TRUE,$S$2=TRUE),VLOOKUP($G823,'KO Calc'!$H:$AW,35,FALSE),VLOOKUP($G823,'KO Calc'!$H829:$AW829,35,FALSE)),IF(AND($S$3=TRUE,$S$4=FALSE),IF(OR($Q$4=TRUE,$Q$5=TRUE,$S$2=TRUE),VLOOKUP($G823,'KO Calc'!$H:$AW,25,FALSE),VLOOKUP($G823,'KO Calc'!$H829:$AW829,25,FALSE)),
IF(AND($S$3=TRUE,$S$1=TRUE,$S$4=TRUE)=TRUE,IF(OR($Q$4=TRUE,$Q$5=TRUE,$S$2=TRUE),VLOOKUP($G823,'KO Calc'!$H:$AW,40,FALSE),VLOOKUP($G823,'KO Calc'!$H829:$AW829,40,FALSE)),IF(AND($S$3=TRUE,$S$4=TRUE),IF(OR($Q$4=TRUE,$Q$5=TRUE,$S$2=TRUE),VLOOKUP($G823,'KO Calc'!$H:$AW,30,FALSE),VLOOKUP($G823,'KO Calc'!$H829:$AW829,30,FALSE)))))))))))))</f>
        <v>-</v>
      </c>
      <c r="L823" s="36" t="str">
        <f>IFERROR(IF(AND($Q$1=FALSE,$S$3=FALSE),"-",VLOOKUP($E823,'Status Thresholds'!$E:$AU,41,FALSE)),"-")</f>
        <v>-</v>
      </c>
      <c r="M823" s="36" t="str">
        <f>IFERROR(IF(AND($Q$1=FALSE,$S$3=FALSE),"-",VLOOKUP($E823,'Status Thresholds'!$E:$AU,42,FALSE)),"-")</f>
        <v>-</v>
      </c>
      <c r="N823" s="36" t="str">
        <f>IFERROR(IF(AND($Q$1=FALSE,$S$3=FALSE),"-",VLOOKUP($E823,'Status Thresholds'!$E:$AU,43,FALSE)),"-")</f>
        <v>-</v>
      </c>
    </row>
    <row r="824" spans="2:14" x14ac:dyDescent="0.25">
      <c r="B824" s="64" t="str">
        <f>VLOOKUP(C824,'Status Thresholds'!B:C,2,FALSE)</f>
        <v>MHGen</v>
      </c>
      <c r="C824" s="46" t="str">
        <f>IF(ISBLANK('KO Calc'!C820)=TRUE,"",'KO Calc'!C820)</f>
        <v>Yian  Garuga</v>
      </c>
      <c r="D824" s="78" t="s">
        <v>207</v>
      </c>
      <c r="E824" s="62" t="str">
        <f t="shared" si="23"/>
        <v>Yian  GarugaShock Trap</v>
      </c>
      <c r="F824" t="s">
        <v>13</v>
      </c>
      <c r="G824" s="36" t="str">
        <f t="shared" si="24"/>
        <v>Yian  GarugaCrag 3</v>
      </c>
      <c r="H824" s="36" t="str">
        <f>IF(AND($Q$1=FALSE,$S$3=FALSE),"-",IF(AND($Q$1=TRUE,$S$3=TRUE),"-",IF(AND($Q$1=FALSE,$S$3=FALSE),"-",IF(AND($Q$1=TRUE,$S$1=TRUE,$S$4=FALSE)=TRUE,IF(OR($Q$4=TRUE,$Q$5=TRUE,$S$2=TRUE),VLOOKUP($G824,'KO Calc'!$H:$AW,12,FALSE),VLOOKUP($G824,'KO Calc'!$H830:$AW830,12,FALSE)),IF(AND($Q$1=TRUE,$S$4=FALSE),IF(OR($Q$4=TRUE,$Q$5=TRUE,$S$2=TRUE),VLOOKUP($G824,'KO Calc'!$H:$AW,2,FALSE),VLOOKUP($G824,'KO Calc'!$H830:$AW830,2,FALSE)),
IF(AND($Q$1=TRUE,$S$1=TRUE,$S$4=TRUE)=TRUE,IF(OR($Q$4=TRUE,$Q$5=TRUE,$S$2=TRUE),VLOOKUP($G824,'KO Calc'!$H:$AW,17,FALSE),VLOOKUP($G824,'KO Calc'!$H830:$AW830,17,FALSE)),IF(AND($Q$1=TRUE,$S$4=TRUE),IF(OR($Q$4=TRUE,$Q$5=TRUE,$S$2=TRUE),VLOOKUP($G824,'KO Calc'!$H:$AW,7,FALSE),VLOOKUP($G824,'KO Calc'!$H830:$AW830,7,FALSE)),
IF(AND($S$3=TRUE,$S$1=TRUE,$S$4=FALSE)=TRUE,IF(OR($Q$4=TRUE,$Q$5=TRUE,$S$2=TRUE),VLOOKUP($G824,'KO Calc'!$H:$AW,32,FALSE),VLOOKUP($G824,'KO Calc'!$H830:$AW830,32,FALSE)),IF(AND($S$3=TRUE,$S$4=FALSE),IF(OR($Q$4=TRUE,$Q$5=TRUE,$S$2=TRUE),VLOOKUP($G824,'KO Calc'!$H:$AW,22,FALSE),VLOOKUP($G824,'KO Calc'!$H830:$AW830,22,FALSE)),
IF(AND($S$3=TRUE,$S$1=TRUE,$S$4=TRUE)=TRUE,IF(OR($Q$4=TRUE,$Q$5=TRUE,$S$2=TRUE),VLOOKUP($G824,'KO Calc'!$H:$AW,37,FALSE),VLOOKUP($G824,'KO Calc'!$H830:$AW830,37,FALSE)),IF(AND($S$3=TRUE,$S$4=TRUE),IF(OR($Q$4=TRUE,$Q$5=TRUE,$S$2=TRUE),VLOOKUP($G824,'KO Calc'!$H:$AW,27,FALSE),VLOOKUP($G824,'KO Calc'!$H830:$AW830,27,FALSE)))))))))))))</f>
        <v>-</v>
      </c>
      <c r="I824" s="36" t="str">
        <f>IF(AND($Q$1=FALSE,$S$3=FALSE),"-",IF(AND($Q$1=TRUE,$S$3=TRUE),"-",IF(AND($Q$1=FALSE,$S$3=FALSE),"-",IF(AND($Q$1=TRUE,$S$1=TRUE,$S$4=FALSE)=TRUE,IF(OR($Q$4=TRUE,$Q$5=TRUE,$S$2=TRUE),VLOOKUP($G824,'KO Calc'!$H:$AW,13,FALSE),VLOOKUP($G824,'KO Calc'!$H830:$AW830,13,FALSE)),IF(AND($Q$1=TRUE,$S$4=FALSE),IF(OR($Q$4=TRUE,$Q$5=TRUE,$S$2=TRUE),VLOOKUP($G824,'KO Calc'!$H:$AW,3,FALSE),VLOOKUP($G824,'KO Calc'!$H830:$AW830,3,FALSE)),
IF(AND($Q$1=TRUE,$S$1=TRUE,$S$4=TRUE)=TRUE,IF(OR($Q$4=TRUE,$Q$5=TRUE,$S$2=TRUE),VLOOKUP($G824,'KO Calc'!$H:$AW,18,FALSE),VLOOKUP($G824,'KO Calc'!$H830:$AW830,18,FALSE)),IF(AND($Q$1=TRUE,$S$4=TRUE),IF(OR($Q$4=TRUE,$Q$5=TRUE,$S$2=TRUE),VLOOKUP($G824,'KO Calc'!$H:$AW,8,FALSE),VLOOKUP($G824,'KO Calc'!$H830:$AW830,8,FALSE)),
IF(AND($S$3=TRUE,$S$1=TRUE,$S$4=FALSE)=TRUE,IF(OR($Q$4=TRUE,$Q$5=TRUE,$S$2=TRUE),VLOOKUP($G824,'KO Calc'!$H:$AW,33,FALSE),VLOOKUP($G824,'KO Calc'!$H830:$AW830,33,FALSE)),IF(AND($S$3=TRUE,$S$4=FALSE),IF(OR($Q$4=TRUE,$Q$5=TRUE,$S$2=TRUE),VLOOKUP($G824,'KO Calc'!$H:$AW,23,FALSE),VLOOKUP($G824,'KO Calc'!$H830:$AW830,23,FALSE)),
IF(AND($S$3=TRUE,$S$1=TRUE,$S$4=TRUE)=TRUE,IF(OR($Q$4=TRUE,$Q$5=TRUE,$S$2=TRUE),VLOOKUP($G824,'KO Calc'!$H:$AW,38,FALSE),VLOOKUP($G824,'KO Calc'!$H830:$AW830,38,FALSE)),IF(AND($S$3=TRUE,$S$4=TRUE),IF(OR($Q$4=TRUE,$Q$5=TRUE,$S$2=TRUE),VLOOKUP($G824,'KO Calc'!$H:$AW,28,FALSE),VLOOKUP($G824,'KO Calc'!$H830:$AW830,28,FALSE)))))))))))))</f>
        <v>-</v>
      </c>
      <c r="J824" s="36" t="str">
        <f>IF(AND($Q$1=FALSE,$S$3=FALSE),"-",IF(AND($Q$1=TRUE,$S$3=TRUE),"-",IF(AND($Q$1=FALSE,$S$3=FALSE),"-",IF(AND($Q$1=TRUE,$S$1=TRUE,$S$4=FALSE)=TRUE,IF(OR($Q$4=TRUE,$Q$5=TRUE,$S$2=TRUE),VLOOKUP($G824,'KO Calc'!$H:$AW,FALSE),VLOOKUP($G824,'KO Calc'!$H830:$AW830,14,FALSE)),IF(AND($Q$1=TRUE,$S$4=FALSE),IF(OR($Q$4=TRUE,$Q$5=TRUE,$S$2=TRUE),VLOOKUP($G824,'KO Calc'!$H:$AW,4,FALSE),VLOOKUP($G824,'KO Calc'!$H830:$AW830,4,FALSE)),
IF(AND($Q$1=TRUE,$S$1=TRUE,$S$4=TRUE)=TRUE,IF(OR($Q$4=TRUE,$Q$5=TRUE,$S$2=TRUE),VLOOKUP($G824,'KO Calc'!$H:$AW,19,FALSE),VLOOKUP($G824,'KO Calc'!$H830:$AW830,19,FALSE)),IF(AND($Q$1=TRUE,$S$4=TRUE),IF(OR($Q$4=TRUE,$Q$5=TRUE,$S$2=TRUE),VLOOKUP($G824,'KO Calc'!$H:$AW,9,FALSE),VLOOKUP($G824,'KO Calc'!$H830:$AW830,9,FALSE)),
IF(AND($S$3=TRUE,$S$1=TRUE,$S$4=FALSE)=TRUE,IF(OR($Q$4=TRUE,$Q$5=TRUE,$S$2=TRUE),VLOOKUP($G824,'KO Calc'!$H:$AW,34,FALSE),VLOOKUP($G824,'KO Calc'!$H830:$AW830,34,FALSE)),IF(AND($S$3=TRUE,$S$4=FALSE),IF(OR($Q$4=TRUE,$Q$5=TRUE,$S$2=TRUE),VLOOKUP($G824,'KO Calc'!$H:$AW,24,FALSE),VLOOKUP($G824,'KO Calc'!$H830:$AW830,24,FALSE)),
IF(AND($S$3=TRUE,$S$1=TRUE,$S$4=TRUE)=TRUE,IF(OR($Q$4=TRUE,$Q$5=TRUE,$S$2=TRUE),VLOOKUP($G824,'KO Calc'!$H:$AW,39,FALSE),VLOOKUP($G824,'KO Calc'!$H830:$AW830,39,FALSE)),IF(AND($S$3=TRUE,$S$4=TRUE),IF(OR($Q$4=TRUE,$Q$5=TRUE,$S$2=TRUE),VLOOKUP($G824,'KO Calc'!$H:$AW,29,FALSE),VLOOKUP($G824,'KO Calc'!$H830:$AW830,29,FALSE)))))))))))))</f>
        <v>-</v>
      </c>
      <c r="K824" s="36" t="str">
        <f>IF(AND($Q$1=FALSE,$S$3=FALSE),"-",IF(AND($Q$1=TRUE,$S$3=TRUE),"-",IF(AND($Q$1=FALSE,$S$3=FALSE),"-",IF(AND($Q$1=TRUE,$S$1=TRUE,$S$4=FALSE)=TRUE,IF(OR($Q$4=TRUE,$Q$5=TRUE,$S$2=TRUE),VLOOKUP($G824,'KO Calc'!$H:$AW,15,FALSE),VLOOKUP($G824,'KO Calc'!$H830:$AW830,15,FALSE)),IF(AND($Q$1=TRUE,$S$4=FALSE),IF(OR($Q$4=TRUE,$Q$5=TRUE,$S$2=TRUE),VLOOKUP($G824,'KO Calc'!$H:$AW,5,FALSE),VLOOKUP($G824,'KO Calc'!$H830:$AW830,5,FALSE)),
IF(AND($Q$1=TRUE,$S$1=TRUE,$S$4=TRUE)=TRUE,IF(OR($Q$4=TRUE,$Q$5=TRUE,$S$2=TRUE),VLOOKUP($G824,'KO Calc'!$H:$AW,20,FALSE),VLOOKUP($G824,'KO Calc'!$H830:$AW830,20,FALSE)),IF(AND($Q$1=TRUE,$S$4=TRUE),IF(OR($Q$4=TRUE,$Q$5=TRUE,$S$2=TRUE),VLOOKUP($G824,'KO Calc'!$H:$AW,10,FALSE),VLOOKUP($G824,'KO Calc'!$H830:$AW830,10,FALSE)),
IF(AND($S$3=TRUE,$S$1=TRUE,$S$4=FALSE)=TRUE,IF(OR($Q$4=TRUE,$Q$5=TRUE,$S$2=TRUE),VLOOKUP($G824,'KO Calc'!$H:$AW,35,FALSE),VLOOKUP($G824,'KO Calc'!$H830:$AW830,35,FALSE)),IF(AND($S$3=TRUE,$S$4=FALSE),IF(OR($Q$4=TRUE,$Q$5=TRUE,$S$2=TRUE),VLOOKUP($G824,'KO Calc'!$H:$AW,25,FALSE),VLOOKUP($G824,'KO Calc'!$H830:$AW830,25,FALSE)),
IF(AND($S$3=TRUE,$S$1=TRUE,$S$4=TRUE)=TRUE,IF(OR($Q$4=TRUE,$Q$5=TRUE,$S$2=TRUE),VLOOKUP($G824,'KO Calc'!$H:$AW,40,FALSE),VLOOKUP($G824,'KO Calc'!$H830:$AW830,40,FALSE)),IF(AND($S$3=TRUE,$S$4=TRUE),IF(OR($Q$4=TRUE,$Q$5=TRUE,$S$2=TRUE),VLOOKUP($G824,'KO Calc'!$H:$AW,30,FALSE),VLOOKUP($G824,'KO Calc'!$H830:$AW830,30,FALSE)))))))))))))</f>
        <v>-</v>
      </c>
      <c r="L824" s="36" t="str">
        <f>IFERROR(IF(AND($Q$1=FALSE,$S$3=FALSE),"-",VLOOKUP($E824,'Status Thresholds'!$E:$AU,43,FALSE)),"-")</f>
        <v>-</v>
      </c>
      <c r="M824" s="36" t="str">
        <f>IFERROR(IF(AND($Q$1=FALSE,$S$3=FALSE),"-",VLOOKUP($E824,'Status Thresholds'!$E:$AU,41,FALSE)),"-")</f>
        <v>-</v>
      </c>
      <c r="N824" s="36" t="str">
        <f>IFERROR(IF(AND($Q$1=FALSE,$S$3=FALSE),"-",VLOOKUP($E824,'Status Thresholds'!$E:$AU,42,FALSE)),"-")</f>
        <v>-</v>
      </c>
    </row>
    <row r="825" spans="2:14" x14ac:dyDescent="0.25">
      <c r="B825" s="64" t="str">
        <f>VLOOKUP(C825,'Status Thresholds'!B:C,2,FALSE)</f>
        <v>MHGen</v>
      </c>
      <c r="C825" s="46" t="str">
        <f>IF(ISBLANK('KO Calc'!C821)=TRUE,"",'KO Calc'!C821)</f>
        <v>Yian  Garuga</v>
      </c>
      <c r="D825" s="78" t="s">
        <v>213</v>
      </c>
      <c r="E825" s="62" t="str">
        <f t="shared" si="23"/>
        <v>Yian  GarugaPitfall Trap</v>
      </c>
      <c r="F825" t="s">
        <v>12</v>
      </c>
      <c r="G825" s="36" t="str">
        <f t="shared" si="24"/>
        <v>Yian  GarugaCrag 2</v>
      </c>
      <c r="H825" s="36" t="str">
        <f>IF(AND($Q$1=FALSE,$S$3=FALSE),"-",IF(AND($Q$1=TRUE,$S$3=TRUE),"-",IF(AND($Q$1=FALSE,$S$3=FALSE),"-",IF(AND($Q$1=TRUE,$S$1=TRUE,$S$4=FALSE)=TRUE,IF(OR($Q$4=TRUE,$Q$5=TRUE,$S$2=TRUE),VLOOKUP($G825,'KO Calc'!$H:$AW,12,FALSE),VLOOKUP($G825,'KO Calc'!$H831:$AW831,12,FALSE)),IF(AND($Q$1=TRUE,$S$4=FALSE),IF(OR($Q$4=TRUE,$Q$5=TRUE,$S$2=TRUE),VLOOKUP($G825,'KO Calc'!$H:$AW,2,FALSE),VLOOKUP($G825,'KO Calc'!$H831:$AW831,2,FALSE)),
IF(AND($Q$1=TRUE,$S$1=TRUE,$S$4=TRUE)=TRUE,IF(OR($Q$4=TRUE,$Q$5=TRUE,$S$2=TRUE),VLOOKUP($G825,'KO Calc'!$H:$AW,17,FALSE),VLOOKUP($G825,'KO Calc'!$H831:$AW831,17,FALSE)),IF(AND($Q$1=TRUE,$S$4=TRUE),IF(OR($Q$4=TRUE,$Q$5=TRUE,$S$2=TRUE),VLOOKUP($G825,'KO Calc'!$H:$AW,7,FALSE),VLOOKUP($G825,'KO Calc'!$H831:$AW831,7,FALSE)),
IF(AND($S$3=TRUE,$S$1=TRUE,$S$4=FALSE)=TRUE,IF(OR($Q$4=TRUE,$Q$5=TRUE,$S$2=TRUE),VLOOKUP($G825,'KO Calc'!$H:$AW,32,FALSE),VLOOKUP($G825,'KO Calc'!$H831:$AW831,32,FALSE)),IF(AND($S$3=TRUE,$S$4=FALSE),IF(OR($Q$4=TRUE,$Q$5=TRUE,$S$2=TRUE),VLOOKUP($G825,'KO Calc'!$H:$AW,22,FALSE),VLOOKUP($G825,'KO Calc'!$H831:$AW831,22,FALSE)),
IF(AND($S$3=TRUE,$S$1=TRUE,$S$4=TRUE)=TRUE,IF(OR($Q$4=TRUE,$Q$5=TRUE,$S$2=TRUE),VLOOKUP($G825,'KO Calc'!$H:$AW,37,FALSE),VLOOKUP($G825,'KO Calc'!$H831:$AW831,37,FALSE)),IF(AND($S$3=TRUE,$S$4=TRUE),IF(OR($Q$4=TRUE,$Q$5=TRUE,$S$2=TRUE),VLOOKUP($G825,'KO Calc'!$H:$AW,27,FALSE),VLOOKUP($G825,'KO Calc'!$H831:$AW831,27,FALSE)))))))))))))</f>
        <v>-</v>
      </c>
      <c r="I825" s="36" t="str">
        <f>IF(AND($Q$1=FALSE,$S$3=FALSE),"-",IF(AND($Q$1=TRUE,$S$3=TRUE),"-",IF(AND($Q$1=FALSE,$S$3=FALSE),"-",IF(AND($Q$1=TRUE,$S$1=TRUE,$S$4=FALSE)=TRUE,IF(OR($Q$4=TRUE,$Q$5=TRUE,$S$2=TRUE),VLOOKUP($G825,'KO Calc'!$H:$AW,13,FALSE),VLOOKUP($G825,'KO Calc'!$H831:$AW831,13,FALSE)),IF(AND($Q$1=TRUE,$S$4=FALSE),IF(OR($Q$4=TRUE,$Q$5=TRUE,$S$2=TRUE),VLOOKUP($G825,'KO Calc'!$H:$AW,3,FALSE),VLOOKUP($G825,'KO Calc'!$H831:$AW831,3,FALSE)),
IF(AND($Q$1=TRUE,$S$1=TRUE,$S$4=TRUE)=TRUE,IF(OR($Q$4=TRUE,$Q$5=TRUE,$S$2=TRUE),VLOOKUP($G825,'KO Calc'!$H:$AW,18,FALSE),VLOOKUP($G825,'KO Calc'!$H831:$AW831,18,FALSE)),IF(AND($Q$1=TRUE,$S$4=TRUE),IF(OR($Q$4=TRUE,$Q$5=TRUE,$S$2=TRUE),VLOOKUP($G825,'KO Calc'!$H:$AW,8,FALSE),VLOOKUP($G825,'KO Calc'!$H831:$AW831,8,FALSE)),
IF(AND($S$3=TRUE,$S$1=TRUE,$S$4=FALSE)=TRUE,IF(OR($Q$4=TRUE,$Q$5=TRUE,$S$2=TRUE),VLOOKUP($G825,'KO Calc'!$H:$AW,33,FALSE),VLOOKUP($G825,'KO Calc'!$H831:$AW831,33,FALSE)),IF(AND($S$3=TRUE,$S$4=FALSE),IF(OR($Q$4=TRUE,$Q$5=TRUE,$S$2=TRUE),VLOOKUP($G825,'KO Calc'!$H:$AW,23,FALSE),VLOOKUP($G825,'KO Calc'!$H831:$AW831,23,FALSE)),
IF(AND($S$3=TRUE,$S$1=TRUE,$S$4=TRUE)=TRUE,IF(OR($Q$4=TRUE,$Q$5=TRUE,$S$2=TRUE),VLOOKUP($G825,'KO Calc'!$H:$AW,38,FALSE),VLOOKUP($G825,'KO Calc'!$H831:$AW831,38,FALSE)),IF(AND($S$3=TRUE,$S$4=TRUE),IF(OR($Q$4=TRUE,$Q$5=TRUE,$S$2=TRUE),VLOOKUP($G825,'KO Calc'!$H:$AW,28,FALSE),VLOOKUP($G825,'KO Calc'!$H831:$AW831,28,FALSE)))))))))))))</f>
        <v>-</v>
      </c>
      <c r="J825" s="36" t="str">
        <f>IF(AND($Q$1=FALSE,$S$3=FALSE),"-",IF(AND($Q$1=TRUE,$S$3=TRUE),"-",IF(AND($Q$1=FALSE,$S$3=FALSE),"-",IF(AND($Q$1=TRUE,$S$1=TRUE,$S$4=FALSE)=TRUE,IF(OR($Q$4=TRUE,$Q$5=TRUE,$S$2=TRUE),VLOOKUP($G825,'KO Calc'!$H:$AW,FALSE),VLOOKUP($G825,'KO Calc'!$H831:$AW831,14,FALSE)),IF(AND($Q$1=TRUE,$S$4=FALSE),IF(OR($Q$4=TRUE,$Q$5=TRUE,$S$2=TRUE),VLOOKUP($G825,'KO Calc'!$H:$AW,4,FALSE),VLOOKUP($G825,'KO Calc'!$H831:$AW831,4,FALSE)),
IF(AND($Q$1=TRUE,$S$1=TRUE,$S$4=TRUE)=TRUE,IF(OR($Q$4=TRUE,$Q$5=TRUE,$S$2=TRUE),VLOOKUP($G825,'KO Calc'!$H:$AW,19,FALSE),VLOOKUP($G825,'KO Calc'!$H831:$AW831,19,FALSE)),IF(AND($Q$1=TRUE,$S$4=TRUE),IF(OR($Q$4=TRUE,$Q$5=TRUE,$S$2=TRUE),VLOOKUP($G825,'KO Calc'!$H:$AW,9,FALSE),VLOOKUP($G825,'KO Calc'!$H831:$AW831,9,FALSE)),
IF(AND($S$3=TRUE,$S$1=TRUE,$S$4=FALSE)=TRUE,IF(OR($Q$4=TRUE,$Q$5=TRUE,$S$2=TRUE),VLOOKUP($G825,'KO Calc'!$H:$AW,34,FALSE),VLOOKUP($G825,'KO Calc'!$H831:$AW831,34,FALSE)),IF(AND($S$3=TRUE,$S$4=FALSE),IF(OR($Q$4=TRUE,$Q$5=TRUE,$S$2=TRUE),VLOOKUP($G825,'KO Calc'!$H:$AW,24,FALSE),VLOOKUP($G825,'KO Calc'!$H831:$AW831,24,FALSE)),
IF(AND($S$3=TRUE,$S$1=TRUE,$S$4=TRUE)=TRUE,IF(OR($Q$4=TRUE,$Q$5=TRUE,$S$2=TRUE),VLOOKUP($G825,'KO Calc'!$H:$AW,39,FALSE),VLOOKUP($G825,'KO Calc'!$H831:$AW831,39,FALSE)),IF(AND($S$3=TRUE,$S$4=TRUE),IF(OR($Q$4=TRUE,$Q$5=TRUE,$S$2=TRUE),VLOOKUP($G825,'KO Calc'!$H:$AW,29,FALSE),VLOOKUP($G825,'KO Calc'!$H831:$AW831,29,FALSE)))))))))))))</f>
        <v>-</v>
      </c>
      <c r="K825" s="36" t="str">
        <f>IF(AND($Q$1=FALSE,$S$3=FALSE),"-",IF(AND($Q$1=TRUE,$S$3=TRUE),"-",IF(AND($Q$1=FALSE,$S$3=FALSE),"-",IF(AND($Q$1=TRUE,$S$1=TRUE,$S$4=FALSE)=TRUE,IF(OR($Q$4=TRUE,$Q$5=TRUE,$S$2=TRUE),VLOOKUP($G825,'KO Calc'!$H:$AW,15,FALSE),VLOOKUP($G825,'KO Calc'!$H831:$AW831,15,FALSE)),IF(AND($Q$1=TRUE,$S$4=FALSE),IF(OR($Q$4=TRUE,$Q$5=TRUE,$S$2=TRUE),VLOOKUP($G825,'KO Calc'!$H:$AW,5,FALSE),VLOOKUP($G825,'KO Calc'!$H831:$AW831,5,FALSE)),
IF(AND($Q$1=TRUE,$S$1=TRUE,$S$4=TRUE)=TRUE,IF(OR($Q$4=TRUE,$Q$5=TRUE,$S$2=TRUE),VLOOKUP($G825,'KO Calc'!$H:$AW,20,FALSE),VLOOKUP($G825,'KO Calc'!$H831:$AW831,20,FALSE)),IF(AND($Q$1=TRUE,$S$4=TRUE),IF(OR($Q$4=TRUE,$Q$5=TRUE,$S$2=TRUE),VLOOKUP($G825,'KO Calc'!$H:$AW,10,FALSE),VLOOKUP($G825,'KO Calc'!$H831:$AW831,10,FALSE)),
IF(AND($S$3=TRUE,$S$1=TRUE,$S$4=FALSE)=TRUE,IF(OR($Q$4=TRUE,$Q$5=TRUE,$S$2=TRUE),VLOOKUP($G825,'KO Calc'!$H:$AW,35,FALSE),VLOOKUP($G825,'KO Calc'!$H831:$AW831,35,FALSE)),IF(AND($S$3=TRUE,$S$4=FALSE),IF(OR($Q$4=TRUE,$Q$5=TRUE,$S$2=TRUE),VLOOKUP($G825,'KO Calc'!$H:$AW,25,FALSE),VLOOKUP($G825,'KO Calc'!$H831:$AW831,25,FALSE)),
IF(AND($S$3=TRUE,$S$1=TRUE,$S$4=TRUE)=TRUE,IF(OR($Q$4=TRUE,$Q$5=TRUE,$S$2=TRUE),VLOOKUP($G825,'KO Calc'!$H:$AW,40,FALSE),VLOOKUP($G825,'KO Calc'!$H831:$AW831,40,FALSE)),IF(AND($S$3=TRUE,$S$4=TRUE),IF(OR($Q$4=TRUE,$Q$5=TRUE,$S$2=TRUE),VLOOKUP($G825,'KO Calc'!$H:$AW,30,FALSE),VLOOKUP($G825,'KO Calc'!$H831:$AW831,30,FALSE)))))))))))))</f>
        <v>-</v>
      </c>
      <c r="L825" s="36" t="str">
        <f>IFERROR(IF(AND($Q$1=FALSE,$S$3=FALSE),"-",VLOOKUP($E825,'Status Thresholds'!$E:$AU,43,FALSE)),"-")</f>
        <v>-</v>
      </c>
      <c r="M825" s="36" t="str">
        <f>IFERROR(IF(AND($Q$1=FALSE,$S$3=FALSE),"-",VLOOKUP($E825,'Status Thresholds'!$E:$AU,41,FALSE)),"-")</f>
        <v>-</v>
      </c>
      <c r="N825" s="36" t="str">
        <f>IFERROR(IF(AND($Q$1=FALSE,$S$3=FALSE),"-",VLOOKUP($E825,'Status Thresholds'!$E:$AU,42,FALSE)),"-")</f>
        <v>-</v>
      </c>
    </row>
    <row r="826" spans="2:14" x14ac:dyDescent="0.25">
      <c r="B826" s="64" t="str">
        <f>VLOOKUP(C826,'Status Thresholds'!B:C,2,FALSE)</f>
        <v>MHGen</v>
      </c>
      <c r="C826" s="46" t="str">
        <f>IF(ISBLANK('KO Calc'!C822)=TRUE,"",'KO Calc'!C822)</f>
        <v>Yian  Garuga</v>
      </c>
      <c r="D826" s="78"/>
      <c r="E826" s="62" t="str">
        <f t="shared" si="23"/>
        <v>Yian  Garuga</v>
      </c>
      <c r="F826" t="s">
        <v>11</v>
      </c>
      <c r="G826" s="36" t="str">
        <f t="shared" si="24"/>
        <v>Yian  GarugaCrag 1</v>
      </c>
      <c r="H826" s="36" t="str">
        <f>IF(AND($Q$1=FALSE,$S$3=FALSE),"-",IF(AND($Q$1=TRUE,$S$3=TRUE),"-",IF(AND($Q$1=FALSE,$S$3=FALSE),"-",IF(AND($Q$1=TRUE,$S$1=TRUE,$S$4=FALSE)=TRUE,IF(OR($Q$4=TRUE,$Q$5=TRUE,$S$2=TRUE),VLOOKUP($G826,'KO Calc'!$H:$AW,12,FALSE),VLOOKUP($G826,'KO Calc'!$H832:$AW832,12,FALSE)),IF(AND($Q$1=TRUE,$S$4=FALSE),IF(OR($Q$4=TRUE,$Q$5=TRUE,$S$2=TRUE),VLOOKUP($G826,'KO Calc'!$H:$AW,2,FALSE),VLOOKUP($G826,'KO Calc'!$H832:$AW832,2,FALSE)),
IF(AND($Q$1=TRUE,$S$1=TRUE,$S$4=TRUE)=TRUE,IF(OR($Q$4=TRUE,$Q$5=TRUE,$S$2=TRUE),VLOOKUP($G826,'KO Calc'!$H:$AW,17,FALSE),VLOOKUP($G826,'KO Calc'!$H832:$AW832,17,FALSE)),IF(AND($Q$1=TRUE,$S$4=TRUE),IF(OR($Q$4=TRUE,$Q$5=TRUE,$S$2=TRUE),VLOOKUP($G826,'KO Calc'!$H:$AW,7,FALSE),VLOOKUP($G826,'KO Calc'!$H832:$AW832,7,FALSE)),
IF(AND($S$3=TRUE,$S$1=TRUE,$S$4=FALSE)=TRUE,IF(OR($Q$4=TRUE,$Q$5=TRUE,$S$2=TRUE),VLOOKUP($G826,'KO Calc'!$H:$AW,32,FALSE),VLOOKUP($G826,'KO Calc'!$H832:$AW832,32,FALSE)),IF(AND($S$3=TRUE,$S$4=FALSE),IF(OR($Q$4=TRUE,$Q$5=TRUE,$S$2=TRUE),VLOOKUP($G826,'KO Calc'!$H:$AW,22,FALSE),VLOOKUP($G826,'KO Calc'!$H832:$AW832,22,FALSE)),
IF(AND($S$3=TRUE,$S$1=TRUE,$S$4=TRUE)=TRUE,IF(OR($Q$4=TRUE,$Q$5=TRUE,$S$2=TRUE),VLOOKUP($G826,'KO Calc'!$H:$AW,37,FALSE),VLOOKUP($G826,'KO Calc'!$H832:$AW832,37,FALSE)),IF(AND($S$3=TRUE,$S$4=TRUE),IF(OR($Q$4=TRUE,$Q$5=TRUE,$S$2=TRUE),VLOOKUP($G826,'KO Calc'!$H:$AW,27,FALSE),VLOOKUP($G826,'KO Calc'!$H832:$AW832,27,FALSE)))))))))))))</f>
        <v>-</v>
      </c>
      <c r="I826" s="36" t="str">
        <f>IF(AND($Q$1=FALSE,$S$3=FALSE),"-",IF(AND($Q$1=TRUE,$S$3=TRUE),"-",IF(AND($Q$1=FALSE,$S$3=FALSE),"-",IF(AND($Q$1=TRUE,$S$1=TRUE,$S$4=FALSE)=TRUE,IF(OR($Q$4=TRUE,$Q$5=TRUE,$S$2=TRUE),VLOOKUP($G826,'KO Calc'!$H:$AW,13,FALSE),VLOOKUP($G826,'KO Calc'!$H832:$AW832,13,FALSE)),IF(AND($Q$1=TRUE,$S$4=FALSE),IF(OR($Q$4=TRUE,$Q$5=TRUE,$S$2=TRUE),VLOOKUP($G826,'KO Calc'!$H:$AW,3,FALSE),VLOOKUP($G826,'KO Calc'!$H832:$AW832,3,FALSE)),
IF(AND($Q$1=TRUE,$S$1=TRUE,$S$4=TRUE)=TRUE,IF(OR($Q$4=TRUE,$Q$5=TRUE,$S$2=TRUE),VLOOKUP($G826,'KO Calc'!$H:$AW,18,FALSE),VLOOKUP($G826,'KO Calc'!$H832:$AW832,18,FALSE)),IF(AND($Q$1=TRUE,$S$4=TRUE),IF(OR($Q$4=TRUE,$Q$5=TRUE,$S$2=TRUE),VLOOKUP($G826,'KO Calc'!$H:$AW,8,FALSE),VLOOKUP($G826,'KO Calc'!$H832:$AW832,8,FALSE)),
IF(AND($S$3=TRUE,$S$1=TRUE,$S$4=FALSE)=TRUE,IF(OR($Q$4=TRUE,$Q$5=TRUE,$S$2=TRUE),VLOOKUP($G826,'KO Calc'!$H:$AW,33,FALSE),VLOOKUP($G826,'KO Calc'!$H832:$AW832,33,FALSE)),IF(AND($S$3=TRUE,$S$4=FALSE),IF(OR($Q$4=TRUE,$Q$5=TRUE,$S$2=TRUE),VLOOKUP($G826,'KO Calc'!$H:$AW,23,FALSE),VLOOKUP($G826,'KO Calc'!$H832:$AW832,23,FALSE)),
IF(AND($S$3=TRUE,$S$1=TRUE,$S$4=TRUE)=TRUE,IF(OR($Q$4=TRUE,$Q$5=TRUE,$S$2=TRUE),VLOOKUP($G826,'KO Calc'!$H:$AW,38,FALSE),VLOOKUP($G826,'KO Calc'!$H832:$AW832,38,FALSE)),IF(AND($S$3=TRUE,$S$4=TRUE),IF(OR($Q$4=TRUE,$Q$5=TRUE,$S$2=TRUE),VLOOKUP($G826,'KO Calc'!$H:$AW,28,FALSE),VLOOKUP($G826,'KO Calc'!$H832:$AW832,28,FALSE)))))))))))))</f>
        <v>-</v>
      </c>
      <c r="J826" s="36" t="str">
        <f>IF(AND($Q$1=FALSE,$S$3=FALSE),"-",IF(AND($Q$1=TRUE,$S$3=TRUE),"-",IF(AND($Q$1=FALSE,$S$3=FALSE),"-",IF(AND($Q$1=TRUE,$S$1=TRUE,$S$4=FALSE)=TRUE,IF(OR($Q$4=TRUE,$Q$5=TRUE,$S$2=TRUE),VLOOKUP($G826,'KO Calc'!$H:$AW,FALSE),VLOOKUP($G826,'KO Calc'!$H832:$AW832,14,FALSE)),IF(AND($Q$1=TRUE,$S$4=FALSE),IF(OR($Q$4=TRUE,$Q$5=TRUE,$S$2=TRUE),VLOOKUP($G826,'KO Calc'!$H:$AW,4,FALSE),VLOOKUP($G826,'KO Calc'!$H832:$AW832,4,FALSE)),
IF(AND($Q$1=TRUE,$S$1=TRUE,$S$4=TRUE)=TRUE,IF(OR($Q$4=TRUE,$Q$5=TRUE,$S$2=TRUE),VLOOKUP($G826,'KO Calc'!$H:$AW,19,FALSE),VLOOKUP($G826,'KO Calc'!$H832:$AW832,19,FALSE)),IF(AND($Q$1=TRUE,$S$4=TRUE),IF(OR($Q$4=TRUE,$Q$5=TRUE,$S$2=TRUE),VLOOKUP($G826,'KO Calc'!$H:$AW,9,FALSE),VLOOKUP($G826,'KO Calc'!$H832:$AW832,9,FALSE)),
IF(AND($S$3=TRUE,$S$1=TRUE,$S$4=FALSE)=TRUE,IF(OR($Q$4=TRUE,$Q$5=TRUE,$S$2=TRUE),VLOOKUP($G826,'KO Calc'!$H:$AW,34,FALSE),VLOOKUP($G826,'KO Calc'!$H832:$AW832,34,FALSE)),IF(AND($S$3=TRUE,$S$4=FALSE),IF(OR($Q$4=TRUE,$Q$5=TRUE,$S$2=TRUE),VLOOKUP($G826,'KO Calc'!$H:$AW,24,FALSE),VLOOKUP($G826,'KO Calc'!$H832:$AW832,24,FALSE)),
IF(AND($S$3=TRUE,$S$1=TRUE,$S$4=TRUE)=TRUE,IF(OR($Q$4=TRUE,$Q$5=TRUE,$S$2=TRUE),VLOOKUP($G826,'KO Calc'!$H:$AW,39,FALSE),VLOOKUP($G826,'KO Calc'!$H832:$AW832,39,FALSE)),IF(AND($S$3=TRUE,$S$4=TRUE),IF(OR($Q$4=TRUE,$Q$5=TRUE,$S$2=TRUE),VLOOKUP($G826,'KO Calc'!$H:$AW,29,FALSE),VLOOKUP($G826,'KO Calc'!$H832:$AW832,29,FALSE)))))))))))))</f>
        <v>-</v>
      </c>
      <c r="K826" s="36" t="str">
        <f>IF(AND($Q$1=FALSE,$S$3=FALSE),"-",IF(AND($Q$1=TRUE,$S$3=TRUE),"-",IF(AND($Q$1=FALSE,$S$3=FALSE),"-",IF(AND($Q$1=TRUE,$S$1=TRUE,$S$4=FALSE)=TRUE,IF(OR($Q$4=TRUE,$Q$5=TRUE,$S$2=TRUE),VLOOKUP($G826,'KO Calc'!$H:$AW,15,FALSE),VLOOKUP($G826,'KO Calc'!$H832:$AW832,15,FALSE)),IF(AND($Q$1=TRUE,$S$4=FALSE),IF(OR($Q$4=TRUE,$Q$5=TRUE,$S$2=TRUE),VLOOKUP($G826,'KO Calc'!$H:$AW,5,FALSE),VLOOKUP($G826,'KO Calc'!$H832:$AW832,5,FALSE)),
IF(AND($Q$1=TRUE,$S$1=TRUE,$S$4=TRUE)=TRUE,IF(OR($Q$4=TRUE,$Q$5=TRUE,$S$2=TRUE),VLOOKUP($G826,'KO Calc'!$H:$AW,20,FALSE),VLOOKUP($G826,'KO Calc'!$H832:$AW832,20,FALSE)),IF(AND($Q$1=TRUE,$S$4=TRUE),IF(OR($Q$4=TRUE,$Q$5=TRUE,$S$2=TRUE),VLOOKUP($G826,'KO Calc'!$H:$AW,10,FALSE),VLOOKUP($G826,'KO Calc'!$H832:$AW832,10,FALSE)),
IF(AND($S$3=TRUE,$S$1=TRUE,$S$4=FALSE)=TRUE,IF(OR($Q$4=TRUE,$Q$5=TRUE,$S$2=TRUE),VLOOKUP($G826,'KO Calc'!$H:$AW,35,FALSE),VLOOKUP($G826,'KO Calc'!$H832:$AW832,35,FALSE)),IF(AND($S$3=TRUE,$S$4=FALSE),IF(OR($Q$4=TRUE,$Q$5=TRUE,$S$2=TRUE),VLOOKUP($G826,'KO Calc'!$H:$AW,25,FALSE),VLOOKUP($G826,'KO Calc'!$H832:$AW832,25,FALSE)),
IF(AND($S$3=TRUE,$S$1=TRUE,$S$4=TRUE)=TRUE,IF(OR($Q$4=TRUE,$Q$5=TRUE,$S$2=TRUE),VLOOKUP($G826,'KO Calc'!$H:$AW,40,FALSE),VLOOKUP($G826,'KO Calc'!$H832:$AW832,40,FALSE)),IF(AND($S$3=TRUE,$S$4=TRUE),IF(OR($Q$4=TRUE,$Q$5=TRUE,$S$2=TRUE),VLOOKUP($G826,'KO Calc'!$H:$AW,30,FALSE),VLOOKUP($G826,'KO Calc'!$H832:$AW832,30,FALSE)))))))))))))</f>
        <v>-</v>
      </c>
      <c r="L826" s="36" t="str">
        <f>IFERROR(VLOOKUP($E826,'Status Thresholds'!$E:$AS,41,FALSE),"-")</f>
        <v>-</v>
      </c>
    </row>
    <row r="827" spans="2:14" x14ac:dyDescent="0.25">
      <c r="B827" s="64" t="str">
        <f>VLOOKUP(C827,'Status Thresholds'!B:C,2,FALSE)</f>
        <v>MHGen</v>
      </c>
      <c r="C827" s="46" t="str">
        <f>IF(ISBLANK('KO Calc'!C823)=TRUE,"",'KO Calc'!C823)</f>
        <v>Yian  Garuga</v>
      </c>
      <c r="D827" s="78"/>
      <c r="E827" s="62" t="str">
        <f t="shared" si="23"/>
        <v>Yian  Garuga</v>
      </c>
      <c r="G827" s="36" t="str">
        <f t="shared" si="24"/>
        <v>Yian  Garuga</v>
      </c>
      <c r="L827" s="36" t="str">
        <f>IFERROR(VLOOKUP($E827,'Status Thresholds'!$E:$AS,41,FALSE),"-")</f>
        <v>-</v>
      </c>
    </row>
    <row r="828" spans="2:14" x14ac:dyDescent="0.25">
      <c r="B828" s="64" t="str">
        <f>VLOOKUP(C828,'Status Thresholds'!B:C,2,FALSE)</f>
        <v>MHGen</v>
      </c>
      <c r="C828" s="46" t="str">
        <f>IF(ISBLANK('KO Calc'!C824)=TRUE,"",'KO Calc'!C824)</f>
        <v>Yian Kut-ku</v>
      </c>
      <c r="D828" s="65" t="s">
        <v>0</v>
      </c>
      <c r="E828" s="62" t="str">
        <f t="shared" si="23"/>
        <v>Yian Kut-kuPara</v>
      </c>
      <c r="F828" s="36" t="s">
        <v>2</v>
      </c>
      <c r="G828" s="36" t="str">
        <f t="shared" si="24"/>
        <v>Yian Kut-kuPara lvl 2</v>
      </c>
      <c r="H828" s="36" t="str">
        <f>IFERROR(ROUNDUP(IF(AND($Q$1=FALSE,$S$3=FALSE),"-",IF(AND($Q$1=TRUE,$S$3=TRUE),"-",IF(AND($Q$1=TRUE,$S$1=TRUE,$S$4=FALSE),VLOOKUP($E828,'Status Thresholds'!$E:$AS,12,FALSE),IF(AND($Q$1=TRUE,$S$4=FALSE),VLOOKUP($E828,'Status Thresholds'!$E:$AS,2,FALSE), IF(AND($Q$1=TRUE,$S$1=TRUE,$S$4=TRUE),VLOOKUP($E828,'Status Thresholds'!$E:$AS,17,FALSE),IF(AND($Q$1=TRUE,$S$4=TRUE),VLOOKUP($E828,'Status Thresholds'!$E:$AS,7,FALSE),IF(AND($S$3=TRUE,$S$1=TRUE,$S$4=FALSE),VLOOKUP($E828,'Status Thresholds'!$E:$AS,32,FALSE),IF(AND($S$3=TRUE,$S$4=FALSE),VLOOKUP($E828,'Status Thresholds'!$E:$AS,22,FALSE),IF(AND($S$3=TRUE,$S$1=TRUE,$S$4=TRUE),VLOOKUP($E828,'Status Thresholds'!$E:$AS,37,FALSE),IF(AND($S$3=TRUE,$S$4=TRUE),VLOOKUP($E828,'Status Thresholds'!$E:$AS,27,FALSE),""))))))))/IF(OR($Q$3=TRUE,AND($Q$2=TRUE,$Q$7=TRUE),AND($Q$3=TRUE,$Q$7=TRUE))=TRUE,'Shots and Status'!$F$5,IF((OR($Q$2,$Q$7)=TRUE),'Shots and Status'!$D$5,'Shots and Status'!$C$5)))),0),"-")</f>
        <v>-</v>
      </c>
      <c r="I828" s="36" t="str">
        <f>IFERROR(ROUNDUP(IF(AND($Q$1=FALSE,$S$3=FALSE),"-",IF(AND($Q$1=TRUE,$S$3=TRUE),"-",IF(AND($Q$1=TRUE,$S$1=TRUE,$S$4=FALSE),VLOOKUP($E828,'Status Thresholds'!$E:$AS,13,FALSE),IF(AND($Q$1=TRUE,$S$4=FALSE),VLOOKUP($E828,'Status Thresholds'!$E:$AS,3,FALSE), IF(AND($Q$1=TRUE,$S$1=TRUE,$S$4=TRUE),VLOOKUP($E828,'Status Thresholds'!$E:$AS,18,FALSE),IF(AND($Q$1=TRUE,$S$4=TRUE),VLOOKUP($E828,'Status Thresholds'!$E:$AS,8,FALSE),IF(AND($S$3=TRUE,$S$1=TRUE,$S$4=FALSE),VLOOKUP($E828,'Status Thresholds'!$E:$AS,33,FALSE),IF(AND($S$3=TRUE,$S$4=FALSE),VLOOKUP($E828,'Status Thresholds'!$E:$AS,23,FALSE),IF(AND($S$3=TRUE,$S$1=TRUE,$S$4=TRUE),VLOOKUP($E828,'Status Thresholds'!$E:$AS,38,FALSE),IF(AND($S$3=TRUE,$S$4=TRUE),VLOOKUP($E828,'Status Thresholds'!$E:$AS,28,FALSE),""))))))))/IF(OR($Q$3=TRUE,AND($Q$2=TRUE,$Q$7=TRUE),AND($Q$3=TRUE,$Q$7=TRUE))=TRUE,'Shots and Status'!$F$5,IF((OR($Q$2,$Q$7)=TRUE),'Shots and Status'!$D$5,'Shots and Status'!$C$5)))),0),"-")</f>
        <v>-</v>
      </c>
      <c r="J828" s="36" t="str">
        <f>IFERROR(ROUNDUP(IF(AND($Q$1=FALSE,$S$3=FALSE),"-",IF(AND($Q$1=TRUE,$S$3=TRUE),"-",IF(AND($Q$1=TRUE,$S$1=TRUE,$S$4=FALSE),VLOOKUP($E828,'Status Thresholds'!$E:$AS,14,FALSE),IF(AND($Q$1=TRUE,$S$4=FALSE),VLOOKUP($E828,'Status Thresholds'!$E:$AS,4,FALSE), IF(AND($Q$1=TRUE,$S$1=TRUE,$S$4=TRUE),VLOOKUP($E828,'Status Thresholds'!$E:$AS,19,FALSE),IF(AND($Q$1=TRUE,$S$4=TRUE),VLOOKUP($E828,'Status Thresholds'!$E:$AS,9,FALSE),IF(AND($S$3=TRUE,$S$1=TRUE,$S$4=FALSE),VLOOKUP($E828,'Status Thresholds'!$E:$AS,34,FALSE),IF(AND($S$3=TRUE,$S$4=FALSE),VLOOKUP($E828,'Status Thresholds'!$E:$AS,24,FALSE),IF(AND($S$3=TRUE,$S$1=TRUE,$S$4=TRUE),VLOOKUP($E828,'Status Thresholds'!$E:$AS,39,FALSE),IF(AND($S$3=TRUE,$S$4=TRUE),VLOOKUP($E828,'Status Thresholds'!$E:$AS,29,FALSE),""))))))))/IF(OR($Q$3=TRUE,AND($Q$2=TRUE,$Q$7=TRUE),AND($Q$3=TRUE,$Q$7=TRUE))=TRUE,'Shots and Status'!$F$5,IF((OR($Q$2,$Q$7)=TRUE),'Shots and Status'!$D$5,'Shots and Status'!$C$5)))),0),"-")</f>
        <v>-</v>
      </c>
      <c r="K828" s="36" t="str">
        <f>IFERROR(ROUNDUP(IF(AND($Q$1=FALSE,$S$3=FALSE),"-",IF(AND($Q$1=TRUE,$S$3=TRUE),"-",IF(AND($Q$1=TRUE,$S$1=TRUE,$S$4=FALSE),VLOOKUP($E828,'Status Thresholds'!$E:$AS,15,FALSE),IF(AND($Q$1=TRUE,$S$4=FALSE),VLOOKUP($E828,'Status Thresholds'!$E:$AS,5,FALSE), IF(AND($Q$1=TRUE,$S$1=TRUE,$S$4=TRUE),VLOOKUP($E828,'Status Thresholds'!$E:$AS,20,FALSE),IF(AND($Q$1=TRUE,$S$4=TRUE),VLOOKUP($E828,'Status Thresholds'!$E:$AS,10,FALSE),IF(AND($S$3=TRUE,$S$1=TRUE,$S$4=FALSE),VLOOKUP($E828,'Status Thresholds'!$E:$AS,35,FALSE),IF(AND($S$3=TRUE,$S$4=FALSE),VLOOKUP($E828,'Status Thresholds'!$E:$AS,25,FALSE),IF(AND($S$3=TRUE,$S$1=TRUE,$S$4=TRUE),VLOOKUP($E828,'Status Thresholds'!$E:$AS,40,FALSE),IF(AND($S$3=TRUE,$S$4=TRUE),VLOOKUP($E828,'Status Thresholds'!$E:$AS,30,FALSE),""))))))))/IF(OR($Q$3=TRUE,AND($Q$2=TRUE,$Q$7=TRUE),AND($Q$3=TRUE,$Q$7=TRUE))=TRUE,'Shots and Status'!$F$5,IF((OR($Q$2,$Q$7)=TRUE),'Shots and Status'!$D$5,'Shots and Status'!$C$5)))),0),"-")</f>
        <v>-</v>
      </c>
      <c r="L828" s="36" t="str">
        <f>IFERROR(IF(AND($Q$1=FALSE,$S$3=FALSE),"-",VLOOKUP($E828,'Status Thresholds'!$E:$AU,41,FALSE)),"-")</f>
        <v>-</v>
      </c>
      <c r="M828" s="36" t="str">
        <f>IFERROR(IF(AND($Q$1=FALSE,$S$3=FALSE),"-",VLOOKUP($E828,'Status Thresholds'!$E:$AU,42,FALSE)),"-")</f>
        <v>-</v>
      </c>
      <c r="N828" s="36" t="str">
        <f>IFERROR(IF(AND($Q$1=FALSE,$S$3=FALSE),"-",VLOOKUP($E828,'Status Thresholds'!$E:$AU,43,FALSE)),"-")</f>
        <v>-</v>
      </c>
    </row>
    <row r="829" spans="2:14" x14ac:dyDescent="0.25">
      <c r="B829" s="64" t="str">
        <f>VLOOKUP(C829,'Status Thresholds'!B:C,2,FALSE)</f>
        <v>MHGen</v>
      </c>
      <c r="C829" s="46" t="str">
        <f>IF(ISBLANK('KO Calc'!C825)=TRUE,"",'KO Calc'!C825)</f>
        <v>Yian Kut-ku</v>
      </c>
      <c r="D829" s="60" t="s">
        <v>32</v>
      </c>
      <c r="E829" s="62" t="str">
        <f t="shared" si="23"/>
        <v>Yian Kut-kuSleep</v>
      </c>
      <c r="F829" s="59" t="s">
        <v>5</v>
      </c>
      <c r="G829" s="36" t="str">
        <f t="shared" si="24"/>
        <v>Yian Kut-kuSleep lvl 2</v>
      </c>
      <c r="H829" s="36" t="str">
        <f>IFERROR(ROUNDUP(IF(AND($Q$1=FALSE,$S$3=FALSE),"-",IF(AND($Q$1=TRUE,$S$3=TRUE),"-",IF(AND($Q$1=TRUE,$S$1=TRUE,$S$4=FALSE),VLOOKUP($E829,'Status Thresholds'!$E:$AS,12,FALSE),IF(AND($Q$1=TRUE,$S$4=FALSE),VLOOKUP($E829,'Status Thresholds'!$E:$AS,2,FALSE), IF(AND($Q$1=TRUE,$S$1=TRUE,$S$4=TRUE),VLOOKUP($E829,'Status Thresholds'!$E:$AS,17,FALSE),IF(AND($Q$1=TRUE,$S$4=TRUE),VLOOKUP($E829,'Status Thresholds'!$E:$AS,7,FALSE),IF(AND($S$3=TRUE,$S$1=TRUE,$S$4=FALSE),VLOOKUP($E829,'Status Thresholds'!$E:$AS,32,FALSE),IF(AND($S$3=TRUE,$S$4=FALSE),VLOOKUP($E829,'Status Thresholds'!$E:$AS,22,FALSE),IF(AND($S$3=TRUE,$S$1=TRUE,$S$4=TRUE),VLOOKUP($E829,'Status Thresholds'!$E:$AS,37,FALSE),IF(AND($S$3=TRUE,$S$4=TRUE),VLOOKUP($E829,'Status Thresholds'!$E:$AS,27,FALSE),""))))))))/IF(OR($Q$3=TRUE,AND($Q$2=TRUE,$Q$7=TRUE),AND($Q$3=TRUE,$Q$7=TRUE))=TRUE,'Shots and Status'!$F$5,IF((OR($Q$2,$Q$7)=TRUE),'Shots and Status'!$D$5,'Shots and Status'!$C$5)))),0),"-")</f>
        <v>-</v>
      </c>
      <c r="I829" s="36" t="str">
        <f>IFERROR(ROUNDUP(IF(AND($Q$1=FALSE,$S$3=FALSE),"-",IF(AND($Q$1=TRUE,$S$3=TRUE),"-",IF(AND($Q$1=TRUE,$S$1=TRUE,$S$4=FALSE),VLOOKUP($E829,'Status Thresholds'!$E:$AS,13,FALSE),IF(AND($Q$1=TRUE,$S$4=FALSE),VLOOKUP($E829,'Status Thresholds'!$E:$AS,3,FALSE), IF(AND($Q$1=TRUE,$S$1=TRUE,$S$4=TRUE),VLOOKUP($E829,'Status Thresholds'!$E:$AS,18,FALSE),IF(AND($Q$1=TRUE,$S$4=TRUE),VLOOKUP($E829,'Status Thresholds'!$E:$AS,8,FALSE),IF(AND($S$3=TRUE,$S$1=TRUE,$S$4=FALSE),VLOOKUP($E829,'Status Thresholds'!$E:$AS,33,FALSE),IF(AND($S$3=TRUE,$S$4=FALSE),VLOOKUP($E829,'Status Thresholds'!$E:$AS,23,FALSE),IF(AND($S$3=TRUE,$S$1=TRUE,$S$4=TRUE),VLOOKUP($E829,'Status Thresholds'!$E:$AS,38,FALSE),IF(AND($S$3=TRUE,$S$4=TRUE),VLOOKUP($E829,'Status Thresholds'!$E:$AS,28,FALSE),""))))))))/IF(OR($Q$3=TRUE,AND($Q$2=TRUE,$Q$7=TRUE),AND($Q$3=TRUE,$Q$7=TRUE))=TRUE,'Shots and Status'!$F$5,IF((OR($Q$2,$Q$7)=TRUE),'Shots and Status'!$D$5,'Shots and Status'!$C$5)))),0),"-")</f>
        <v>-</v>
      </c>
      <c r="J829" s="36" t="str">
        <f>IFERROR(ROUNDUP(IF(AND($Q$1=FALSE,$S$3=FALSE),"-",IF(AND($Q$1=TRUE,$S$3=TRUE),"-",IF(AND($Q$1=TRUE,$S$1=TRUE,$S$4=FALSE),VLOOKUP($E829,'Status Thresholds'!$E:$AS,14,FALSE),IF(AND($Q$1=TRUE,$S$4=FALSE),VLOOKUP($E829,'Status Thresholds'!$E:$AS,4,FALSE), IF(AND($Q$1=TRUE,$S$1=TRUE,$S$4=TRUE),VLOOKUP($E829,'Status Thresholds'!$E:$AS,19,FALSE),IF(AND($Q$1=TRUE,$S$4=TRUE),VLOOKUP($E829,'Status Thresholds'!$E:$AS,9,FALSE),IF(AND($S$3=TRUE,$S$1=TRUE,$S$4=FALSE),VLOOKUP($E829,'Status Thresholds'!$E:$AS,34,FALSE),IF(AND($S$3=TRUE,$S$4=FALSE),VLOOKUP($E829,'Status Thresholds'!$E:$AS,24,FALSE),IF(AND($S$3=TRUE,$S$1=TRUE,$S$4=TRUE),VLOOKUP($E829,'Status Thresholds'!$E:$AS,39,FALSE),IF(AND($S$3=TRUE,$S$4=TRUE),VLOOKUP($E829,'Status Thresholds'!$E:$AS,29,FALSE),""))))))))/IF(OR($Q$3=TRUE,AND($Q$2=TRUE,$Q$7=TRUE),AND($Q$3=TRUE,$Q$7=TRUE))=TRUE,'Shots and Status'!$F$5,IF((OR($Q$2,$Q$7)=TRUE),'Shots and Status'!$D$5,'Shots and Status'!$C$5)))),0),"-")</f>
        <v>-</v>
      </c>
      <c r="K829" s="36" t="str">
        <f>IFERROR(ROUNDUP(IF(AND($Q$1=FALSE,$S$3=FALSE),"-",IF(AND($Q$1=TRUE,$S$3=TRUE),"-",IF(AND($Q$1=TRUE,$S$1=TRUE,$S$4=FALSE),VLOOKUP($E829,'Status Thresholds'!$E:$AS,15,FALSE),IF(AND($Q$1=TRUE,$S$4=FALSE),VLOOKUP($E829,'Status Thresholds'!$E:$AS,5,FALSE), IF(AND($Q$1=TRUE,$S$1=TRUE,$S$4=TRUE),VLOOKUP($E829,'Status Thresholds'!$E:$AS,20,FALSE),IF(AND($Q$1=TRUE,$S$4=TRUE),VLOOKUP($E829,'Status Thresholds'!$E:$AS,10,FALSE),IF(AND($S$3=TRUE,$S$1=TRUE,$S$4=FALSE),VLOOKUP($E829,'Status Thresholds'!$E:$AS,35,FALSE),IF(AND($S$3=TRUE,$S$4=FALSE),VLOOKUP($E829,'Status Thresholds'!$E:$AS,25,FALSE),IF(AND($S$3=TRUE,$S$1=TRUE,$S$4=TRUE),VLOOKUP($E829,'Status Thresholds'!$E:$AS,40,FALSE),IF(AND($S$3=TRUE,$S$4=TRUE),VLOOKUP($E829,'Status Thresholds'!$E:$AS,30,FALSE),""))))))))/IF(OR($Q$3=TRUE,AND($Q$2=TRUE,$Q$7=TRUE),AND($Q$3=TRUE,$Q$7=TRUE))=TRUE,'Shots and Status'!$F$5,IF((OR($Q$2,$Q$7)=TRUE),'Shots and Status'!$D$5,'Shots and Status'!$C$5)))),0),"-")</f>
        <v>-</v>
      </c>
      <c r="L829" s="36" t="str">
        <f>IFERROR(IF(AND($Q$1=FALSE,$S$3=FALSE),"-",VLOOKUP($E829,'Status Thresholds'!$E:$AU,41,FALSE)),"-")</f>
        <v>-</v>
      </c>
      <c r="M829" s="36" t="str">
        <f>IFERROR(IF(AND($Q$1=FALSE,$S$3=FALSE),"-",VLOOKUP($E829,'Status Thresholds'!$E:$AU,42,FALSE)),"-")</f>
        <v>-</v>
      </c>
      <c r="N829" s="36" t="str">
        <f>IFERROR(IF(AND($Q$1=FALSE,$S$3=FALSE),"-",VLOOKUP($E829,'Status Thresholds'!$E:$AU,43,FALSE)),"-")</f>
        <v>-</v>
      </c>
    </row>
    <row r="830" spans="2:14" x14ac:dyDescent="0.25">
      <c r="B830" s="64" t="str">
        <f>VLOOKUP(C830,'Status Thresholds'!B:C,2,FALSE)</f>
        <v>MHGen</v>
      </c>
      <c r="C830" s="46" t="str">
        <f>IF(ISBLANK('KO Calc'!C826)=TRUE,"",'KO Calc'!C826)</f>
        <v>Yian Kut-ku</v>
      </c>
      <c r="D830" s="58" t="s">
        <v>33</v>
      </c>
      <c r="E830" s="62" t="str">
        <f t="shared" si="23"/>
        <v>Yian Kut-kuPoison</v>
      </c>
      <c r="F830" s="59" t="s">
        <v>6</v>
      </c>
      <c r="G830" s="36" t="str">
        <f t="shared" si="24"/>
        <v>Yian Kut-kuPoison lvl 2</v>
      </c>
      <c r="H830" s="36" t="str">
        <f>IFERROR(ROUNDUP(IF(AND($Q$1=FALSE,$S$3=FALSE),"-",IF(AND($Q$1=TRUE,$S$3=TRUE),"-",IF(AND($Q$1=TRUE,$S$1=TRUE,$S$4=FALSE),VLOOKUP($E830,'Status Thresholds'!$E:$AS,12,FALSE),IF(AND($Q$1=TRUE,$S$4=FALSE),VLOOKUP($E830,'Status Thresholds'!$E:$AS,2,FALSE), IF(AND($Q$1=TRUE,$S$1=TRUE,$S$4=TRUE),VLOOKUP($E830,'Status Thresholds'!$E:$AS,17,FALSE),IF(AND($Q$1=TRUE,$S$4=TRUE),VLOOKUP($E830,'Status Thresholds'!$E:$AS,7,FALSE),IF(AND($S$3=TRUE,$S$1=TRUE,$S$4=FALSE),VLOOKUP($E830,'Status Thresholds'!$E:$AS,32,FALSE),IF(AND($S$3=TRUE,$S$4=FALSE),VLOOKUP($E830,'Status Thresholds'!$E:$AS,22,FALSE),IF(AND($S$3=TRUE,$S$1=TRUE,$S$4=TRUE),VLOOKUP($E830,'Status Thresholds'!$E:$AS,37,FALSE),IF(AND($S$3=TRUE,$S$4=TRUE),VLOOKUP($E830,'Status Thresholds'!$E:$AS,27,FALSE),""))))))))/IF(OR($Q$3=TRUE,AND($Q$2=TRUE,$Q$7=TRUE),AND($Q$3=TRUE,$Q$7=TRUE))=TRUE,'Shots and Status'!$F$5,IF((OR($Q$2,$Q$7)=TRUE),'Shots and Status'!$D$5,'Shots and Status'!$C$5)))),0),"-")</f>
        <v>-</v>
      </c>
      <c r="I830" s="36" t="str">
        <f>IFERROR(ROUNDUP(IF(AND($Q$1=FALSE,$S$3=FALSE),"-",IF(AND($Q$1=TRUE,$S$3=TRUE),"-",IF(AND($Q$1=TRUE,$S$1=TRUE,$S$4=FALSE),VLOOKUP($E830,'Status Thresholds'!$E:$AS,13,FALSE),IF(AND($Q$1=TRUE,$S$4=FALSE),VLOOKUP($E830,'Status Thresholds'!$E:$AS,3,FALSE), IF(AND($Q$1=TRUE,$S$1=TRUE,$S$4=TRUE),VLOOKUP($E830,'Status Thresholds'!$E:$AS,18,FALSE),IF(AND($Q$1=TRUE,$S$4=TRUE),VLOOKUP($E830,'Status Thresholds'!$E:$AS,8,FALSE),IF(AND($S$3=TRUE,$S$1=TRUE,$S$4=FALSE),VLOOKUP($E830,'Status Thresholds'!$E:$AS,33,FALSE),IF(AND($S$3=TRUE,$S$4=FALSE),VLOOKUP($E830,'Status Thresholds'!$E:$AS,23,FALSE),IF(AND($S$3=TRUE,$S$1=TRUE,$S$4=TRUE),VLOOKUP($E830,'Status Thresholds'!$E:$AS,38,FALSE),IF(AND($S$3=TRUE,$S$4=TRUE),VLOOKUP($E830,'Status Thresholds'!$E:$AS,28,FALSE),""))))))))/IF(OR($Q$3=TRUE,AND($Q$2=TRUE,$Q$7=TRUE),AND($Q$3=TRUE,$Q$7=TRUE))=TRUE,'Shots and Status'!$F$5,IF((OR($Q$2,$Q$7)=TRUE),'Shots and Status'!$D$5,'Shots and Status'!$C$5)))),0),"-")</f>
        <v>-</v>
      </c>
      <c r="J830" s="36" t="str">
        <f>IFERROR(ROUNDUP(IF(AND($Q$1=FALSE,$S$3=FALSE),"-",IF(AND($Q$1=TRUE,$S$3=TRUE),"-",IF(AND($Q$1=TRUE,$S$1=TRUE,$S$4=FALSE),VLOOKUP($E830,'Status Thresholds'!$E:$AS,14,FALSE),IF(AND($Q$1=TRUE,$S$4=FALSE),VLOOKUP($E830,'Status Thresholds'!$E:$AS,4,FALSE), IF(AND($Q$1=TRUE,$S$1=TRUE,$S$4=TRUE),VLOOKUP($E830,'Status Thresholds'!$E:$AS,19,FALSE),IF(AND($Q$1=TRUE,$S$4=TRUE),VLOOKUP($E830,'Status Thresholds'!$E:$AS,9,FALSE),IF(AND($S$3=TRUE,$S$1=TRUE,$S$4=FALSE),VLOOKUP($E830,'Status Thresholds'!$E:$AS,34,FALSE),IF(AND($S$3=TRUE,$S$4=FALSE),VLOOKUP($E830,'Status Thresholds'!$E:$AS,24,FALSE),IF(AND($S$3=TRUE,$S$1=TRUE,$S$4=TRUE),VLOOKUP($E830,'Status Thresholds'!$E:$AS,39,FALSE),IF(AND($S$3=TRUE,$S$4=TRUE),VLOOKUP($E830,'Status Thresholds'!$E:$AS,29,FALSE),""))))))))/IF(OR($Q$3=TRUE,AND($Q$2=TRUE,$Q$7=TRUE),AND($Q$3=TRUE,$Q$7=TRUE))=TRUE,'Shots and Status'!$F$5,IF((OR($Q$2,$Q$7)=TRUE),'Shots and Status'!$D$5,'Shots and Status'!$C$5)))),0),"-")</f>
        <v>-</v>
      </c>
      <c r="K830" s="36" t="str">
        <f>IFERROR(ROUNDUP(IF(AND($Q$1=FALSE,$S$3=FALSE),"-",IF(AND($Q$1=TRUE,$S$3=TRUE),"-",IF(AND($Q$1=TRUE,$S$1=TRUE,$S$4=FALSE),VLOOKUP($E830,'Status Thresholds'!$E:$AS,15,FALSE),IF(AND($Q$1=TRUE,$S$4=FALSE),VLOOKUP($E830,'Status Thresholds'!$E:$AS,5,FALSE), IF(AND($Q$1=TRUE,$S$1=TRUE,$S$4=TRUE),VLOOKUP($E830,'Status Thresholds'!$E:$AS,20,FALSE),IF(AND($Q$1=TRUE,$S$4=TRUE),VLOOKUP($E830,'Status Thresholds'!$E:$AS,10,FALSE),IF(AND($S$3=TRUE,$S$1=TRUE,$S$4=FALSE),VLOOKUP($E830,'Status Thresholds'!$E:$AS,35,FALSE),IF(AND($S$3=TRUE,$S$4=FALSE),VLOOKUP($E830,'Status Thresholds'!$E:$AS,25,FALSE),IF(AND($S$3=TRUE,$S$1=TRUE,$S$4=TRUE),VLOOKUP($E830,'Status Thresholds'!$E:$AS,40,FALSE),IF(AND($S$3=TRUE,$S$4=TRUE),VLOOKUP($E830,'Status Thresholds'!$E:$AS,30,FALSE),""))))))))/IF(OR($Q$3=TRUE,AND($Q$2=TRUE,$Q$7=TRUE),AND($Q$3=TRUE,$Q$7=TRUE))=TRUE,'Shots and Status'!$F$5,IF((OR($Q$2,$Q$7)=TRUE),'Shots and Status'!$D$5,'Shots and Status'!$C$5)))),0),"-")</f>
        <v>-</v>
      </c>
      <c r="L830" s="36" t="str">
        <f>IFERROR(IF(AND($Q$1=FALSE,$S$3=FALSE),"-",VLOOKUP($E830,'Status Thresholds'!$E:$AU,41,FALSE)),"-")</f>
        <v>-</v>
      </c>
      <c r="M830" s="36" t="str">
        <f>IFERROR(IF(AND($Q$1=FALSE,$S$3=FALSE),"-",VLOOKUP($E830,'Status Thresholds'!$E:$AU,42,FALSE)),"-")</f>
        <v>-</v>
      </c>
      <c r="N830" s="36" t="str">
        <f>IFERROR(IF(AND($Q$1=FALSE,$S$3=FALSE),"-",VLOOKUP($E830,'Status Thresholds'!$E:$AU,43,FALSE)),"-")</f>
        <v>-</v>
      </c>
    </row>
    <row r="831" spans="2:14" x14ac:dyDescent="0.25">
      <c r="B831" s="64" t="str">
        <f>VLOOKUP(C831,'Status Thresholds'!B:C,2,FALSE)</f>
        <v>MHGen</v>
      </c>
      <c r="C831" s="46" t="str">
        <f>IF(ISBLANK('KO Calc'!C827)=TRUE,"",'KO Calc'!C827)</f>
        <v>Yian Kut-ku</v>
      </c>
      <c r="D831" s="57" t="s">
        <v>22</v>
      </c>
      <c r="E831" s="62" t="str">
        <f t="shared" si="23"/>
        <v>Yian Kut-kuExhaust</v>
      </c>
      <c r="F831" s="36" t="s">
        <v>8</v>
      </c>
      <c r="G831" s="36" t="str">
        <f t="shared" si="24"/>
        <v>Yian Kut-kuExhaust lvl 2</v>
      </c>
      <c r="H831" s="36" t="str">
        <f>IFERROR(ROUNDUP(IF(AND($Q$1=FALSE,$S$3=FALSE),"-",IF(AND($Q$1=TRUE,$S$3=TRUE),"-",IF(AND($Q$1=TRUE,$S$1=TRUE,$S$4=FALSE),VLOOKUP($E831,'Status Thresholds'!$E:$AS,12,FALSE),IF(AND($Q$1=TRUE,$S$4=FALSE),VLOOKUP($E831,'Status Thresholds'!$E:$AS,2,FALSE), IF(AND($Q$1=TRUE,$S$1=TRUE,$S$4=TRUE),VLOOKUP($E831,'Status Thresholds'!$E:$AS,17,FALSE),IF(AND($Q$1=TRUE,$S$4=TRUE),VLOOKUP($E831,'Status Thresholds'!$E:$AS,7,FALSE),IF(AND($S$3=TRUE,$S$1=TRUE,$S$4=FALSE),VLOOKUP($E831,'Status Thresholds'!$E:$AS,32,FALSE),IF(AND($S$3=TRUE,$S$4=FALSE),VLOOKUP($E831,'Status Thresholds'!$E:$AS,22,FALSE),IF(AND($S$3=TRUE,$S$1=TRUE,$S$4=TRUE),VLOOKUP($E831,'Status Thresholds'!$E:$AS,37,FALSE),IF(AND($S$3=TRUE,$S$4=TRUE),VLOOKUP($E831,'Status Thresholds'!$E:$AS,27,FALSE),""))))))))/IF(OR($Q$3=TRUE,AND($Q$2=TRUE,$Q$7=TRUE),AND($Q$3=TRUE,$Q$7=TRUE))=TRUE,'Shots and Status'!$F$5,IF((OR($Q$2,$Q$7)=TRUE),'Shots and Status'!$D$5,'Shots and Status'!$C$5)))),0),"-")</f>
        <v>-</v>
      </c>
      <c r="I831" s="36" t="str">
        <f>IFERROR(ROUNDUP(IF(AND($Q$1=FALSE,$S$3=FALSE),"-",IF(AND($Q$1=TRUE,$S$3=TRUE),"-",IF(AND($Q$1=TRUE,$S$1=TRUE,$S$4=FALSE),VLOOKUP($E831,'Status Thresholds'!$E:$AS,13,FALSE),IF(AND($Q$1=TRUE,$S$4=FALSE),VLOOKUP($E831,'Status Thresholds'!$E:$AS,3,FALSE), IF(AND($Q$1=TRUE,$S$1=TRUE,$S$4=TRUE),VLOOKUP($E831,'Status Thresholds'!$E:$AS,18,FALSE),IF(AND($Q$1=TRUE,$S$4=TRUE),VLOOKUP($E831,'Status Thresholds'!$E:$AS,8,FALSE),IF(AND($S$3=TRUE,$S$1=TRUE,$S$4=FALSE),VLOOKUP($E831,'Status Thresholds'!$E:$AS,33,FALSE),IF(AND($S$3=TRUE,$S$4=FALSE),VLOOKUP($E831,'Status Thresholds'!$E:$AS,23,FALSE),IF(AND($S$3=TRUE,$S$1=TRUE,$S$4=TRUE),VLOOKUP($E831,'Status Thresholds'!$E:$AS,38,FALSE),IF(AND($S$3=TRUE,$S$4=TRUE),VLOOKUP($E831,'Status Thresholds'!$E:$AS,28,FALSE),""))))))))/IF(OR($Q$3=TRUE,AND($Q$2=TRUE,$Q$7=TRUE),AND($Q$3=TRUE,$Q$7=TRUE))=TRUE,'Shots and Status'!$F$5,IF((OR($Q$2,$Q$7)=TRUE),'Shots and Status'!$D$5,'Shots and Status'!$C$5)))),0),"-")</f>
        <v>-</v>
      </c>
      <c r="J831" s="36" t="str">
        <f>IFERROR(ROUNDUP(IF(AND($Q$1=FALSE,$S$3=FALSE),"-",IF(AND($Q$1=TRUE,$S$3=TRUE),"-",IF(AND($Q$1=TRUE,$S$1=TRUE,$S$4=FALSE),VLOOKUP($E831,'Status Thresholds'!$E:$AS,14,FALSE),IF(AND($Q$1=TRUE,$S$4=FALSE),VLOOKUP($E831,'Status Thresholds'!$E:$AS,4,FALSE), IF(AND($Q$1=TRUE,$S$1=TRUE,$S$4=TRUE),VLOOKUP($E831,'Status Thresholds'!$E:$AS,19,FALSE),IF(AND($Q$1=TRUE,$S$4=TRUE),VLOOKUP($E831,'Status Thresholds'!$E:$AS,9,FALSE),IF(AND($S$3=TRUE,$S$1=TRUE,$S$4=FALSE),VLOOKUP($E831,'Status Thresholds'!$E:$AS,34,FALSE),IF(AND($S$3=TRUE,$S$4=FALSE),VLOOKUP($E831,'Status Thresholds'!$E:$AS,24,FALSE),IF(AND($S$3=TRUE,$S$1=TRUE,$S$4=TRUE),VLOOKUP($E831,'Status Thresholds'!$E:$AS,39,FALSE),IF(AND($S$3=TRUE,$S$4=TRUE),VLOOKUP($E831,'Status Thresholds'!$E:$AS,29,FALSE),""))))))))/IF(OR($Q$3=TRUE,AND($Q$2=TRUE,$Q$7=TRUE),AND($Q$3=TRUE,$Q$7=TRUE))=TRUE,'Shots and Status'!$F$5,IF((OR($Q$2,$Q$7)=TRUE),'Shots and Status'!$D$5,'Shots and Status'!$C$5)))),0),"-")</f>
        <v>-</v>
      </c>
      <c r="K831" s="36" t="str">
        <f>IFERROR(ROUNDUP(IF(AND($Q$1=FALSE,$S$3=FALSE),"-",IF(AND($Q$1=TRUE,$S$3=TRUE),"-",IF(AND($Q$1=TRUE,$S$1=TRUE,$S$4=FALSE),VLOOKUP($E831,'Status Thresholds'!$E:$AS,15,FALSE),IF(AND($Q$1=TRUE,$S$4=FALSE),VLOOKUP($E831,'Status Thresholds'!$E:$AS,5,FALSE), IF(AND($Q$1=TRUE,$S$1=TRUE,$S$4=TRUE),VLOOKUP($E831,'Status Thresholds'!$E:$AS,20,FALSE),IF(AND($Q$1=TRUE,$S$4=TRUE),VLOOKUP($E831,'Status Thresholds'!$E:$AS,10,FALSE),IF(AND($S$3=TRUE,$S$1=TRUE,$S$4=FALSE),VLOOKUP($E831,'Status Thresholds'!$E:$AS,35,FALSE),IF(AND($S$3=TRUE,$S$4=FALSE),VLOOKUP($E831,'Status Thresholds'!$E:$AS,25,FALSE),IF(AND($S$3=TRUE,$S$1=TRUE,$S$4=TRUE),VLOOKUP($E831,'Status Thresholds'!$E:$AS,40,FALSE),IF(AND($S$3=TRUE,$S$4=TRUE),VLOOKUP($E831,'Status Thresholds'!$E:$AS,30,FALSE),""))))))))/IF(OR($Q$3=TRUE,AND($Q$2=TRUE,$Q$7=TRUE),AND($Q$3=TRUE,$Q$7=TRUE))=TRUE,'Shots and Status'!$F$5,IF((OR($Q$2,$Q$7)=TRUE),'Shots and Status'!$D$5,'Shots and Status'!$C$5)))),0),"-")</f>
        <v>-</v>
      </c>
      <c r="L831" s="36" t="str">
        <f>IFERROR(IF(AND($Q$1=FALSE,$S$3=FALSE),"-",VLOOKUP($E831,'Status Thresholds'!$E:$AU,41,FALSE)),"-")</f>
        <v>-</v>
      </c>
      <c r="M831" s="36" t="str">
        <f>IFERROR(IF(AND($Q$1=FALSE,$S$3=FALSE),"-",VLOOKUP($E831,'Status Thresholds'!$E:$AU,42,FALSE)),"-")</f>
        <v>-</v>
      </c>
      <c r="N831" s="36" t="str">
        <f>IFERROR(IF(AND($Q$1=FALSE,$S$3=FALSE),"-",VLOOKUP($E831,'Status Thresholds'!$E:$AU,43,FALSE)),"-")</f>
        <v>-</v>
      </c>
    </row>
    <row r="832" spans="2:14" x14ac:dyDescent="0.25">
      <c r="B832" s="64" t="str">
        <f>VLOOKUP(C832,'Status Thresholds'!B:C,2,FALSE)</f>
        <v>MHGen</v>
      </c>
      <c r="C832" s="46" t="str">
        <f>IF(ISBLANK('KO Calc'!C828)=TRUE,"",'KO Calc'!C828)</f>
        <v>Yian Kut-ku</v>
      </c>
      <c r="D832" s="67" t="s">
        <v>14</v>
      </c>
      <c r="E832" s="62" t="str">
        <f t="shared" si="23"/>
        <v>Yian Kut-kuKO</v>
      </c>
      <c r="F832" s="36" t="s">
        <v>21</v>
      </c>
      <c r="G832" s="36" t="str">
        <f t="shared" si="24"/>
        <v>Yian Kut-kuTriblast</v>
      </c>
      <c r="H832" s="36" t="str">
        <f>IF(AND($Q$1=FALSE,$S$3=FALSE),"-",IF(AND($Q$1=TRUE,$S$3=TRUE),"-",IF(AND($Q$1=FALSE,$S$3=FALSE),"-",IF(AND($Q$1=TRUE,$S$1=TRUE,$S$4=FALSE)=TRUE,IF(OR($Q$4=TRUE,$Q$5=TRUE,$S$2=TRUE),VLOOKUP($G832,'KO Calc'!$H:$AW,12,FALSE),VLOOKUP($G832,'KO Calc'!$H838:$AW838,12,FALSE)),IF(AND($Q$1=TRUE,$S$4=FALSE),IF(OR($Q$4=TRUE,$Q$5=TRUE,$S$2=TRUE),VLOOKUP($G832,'KO Calc'!$H:$AW,2,FALSE),VLOOKUP($G832,'KO Calc'!$H838:$AW838,2,FALSE)),
IF(AND($Q$1=TRUE,$S$1=TRUE,$S$4=TRUE)=TRUE,IF(OR($Q$4=TRUE,$Q$5=TRUE,$S$2=TRUE),VLOOKUP($G832,'KO Calc'!$H:$AW,17,FALSE),VLOOKUP($G832,'KO Calc'!$H838:$AW838,17,FALSE)),IF(AND($Q$1=TRUE,$S$4=TRUE),IF(OR($Q$4=TRUE,$Q$5=TRUE,$S$2=TRUE),VLOOKUP($G832,'KO Calc'!$H:$AW,7,FALSE),VLOOKUP($G832,'KO Calc'!$H838:$AW838,7,FALSE)),
IF(AND($S$3=TRUE,$S$1=TRUE,$S$4=FALSE)=TRUE,IF(OR($Q$4=TRUE,$Q$5=TRUE,$S$2=TRUE),VLOOKUP($G832,'KO Calc'!$H:$AW,32,FALSE),VLOOKUP($G832,'KO Calc'!$H838:$AW838,32,FALSE)),IF(AND($S$3=TRUE,$S$4=FALSE),IF(OR($Q$4=TRUE,$Q$5=TRUE,$S$2=TRUE),VLOOKUP($G832,'KO Calc'!$H:$AW,22,FALSE),VLOOKUP($G832,'KO Calc'!$H838:$AW838,22,FALSE)),
IF(AND($S$3=TRUE,$S$1=TRUE,$S$4=TRUE)=TRUE,IF(OR($Q$4=TRUE,$Q$5=TRUE,$S$2=TRUE),VLOOKUP($G832,'KO Calc'!$H:$AW,37,FALSE),VLOOKUP($G832,'KO Calc'!$H838:$AW838,37,FALSE)),IF(AND($S$3=TRUE,$S$4=TRUE),IF(OR($Q$4=TRUE,$Q$5=TRUE,$S$2=TRUE),VLOOKUP($G832,'KO Calc'!$H:$AW,27,FALSE),VLOOKUP($G832,'KO Calc'!$H838:$AW838,27,FALSE)))))))))))))</f>
        <v>-</v>
      </c>
      <c r="I832" s="36" t="str">
        <f>IF(AND($Q$1=FALSE,$S$3=FALSE),"-",IF(AND($Q$1=TRUE,$S$3=TRUE),"-",IF(AND($Q$1=FALSE,$S$3=FALSE),"-",IF(AND($Q$1=TRUE,$S$1=TRUE,$S$4=FALSE)=TRUE,IF(OR($Q$4=TRUE,$Q$5=TRUE,$S$2=TRUE),VLOOKUP($G832,'KO Calc'!$H:$AW,13,FALSE),VLOOKUP($G832,'KO Calc'!$H838:$AW838,13,FALSE)),IF(AND($Q$1=TRUE,$S$4=FALSE),IF(OR($Q$4=TRUE,$Q$5=TRUE,$S$2=TRUE),VLOOKUP($G832,'KO Calc'!$H:$AW,3,FALSE),VLOOKUP($G832,'KO Calc'!$H838:$AW838,3,FALSE)),
IF(AND($Q$1=TRUE,$S$1=TRUE,$S$4=TRUE)=TRUE,IF(OR($Q$4=TRUE,$Q$5=TRUE,$S$2=TRUE),VLOOKUP($G832,'KO Calc'!$H:$AW,18,FALSE),VLOOKUP($G832,'KO Calc'!$H838:$AW838,18,FALSE)),IF(AND($Q$1=TRUE,$S$4=TRUE),IF(OR($Q$4=TRUE,$Q$5=TRUE,$S$2=TRUE),VLOOKUP($G832,'KO Calc'!$H:$AW,8,FALSE),VLOOKUP($G832,'KO Calc'!$H838:$AW838,8,FALSE)),
IF(AND($S$3=TRUE,$S$1=TRUE,$S$4=FALSE)=TRUE,IF(OR($Q$4=TRUE,$Q$5=TRUE,$S$2=TRUE),VLOOKUP($G832,'KO Calc'!$H:$AW,33,FALSE),VLOOKUP($G832,'KO Calc'!$H838:$AW838,33,FALSE)),IF(AND($S$3=TRUE,$S$4=FALSE),IF(OR($Q$4=TRUE,$Q$5=TRUE,$S$2=TRUE),VLOOKUP($G832,'KO Calc'!$H:$AW,23,FALSE),VLOOKUP($G832,'KO Calc'!$H838:$AW838,23,FALSE)),
IF(AND($S$3=TRUE,$S$1=TRUE,$S$4=TRUE)=TRUE,IF(OR($Q$4=TRUE,$Q$5=TRUE,$S$2=TRUE),VLOOKUP($G832,'KO Calc'!$H:$AW,38,FALSE),VLOOKUP($G832,'KO Calc'!$H838:$AW838,38,FALSE)),IF(AND($S$3=TRUE,$S$4=TRUE),IF(OR($Q$4=TRUE,$Q$5=TRUE,$S$2=TRUE),VLOOKUP($G832,'KO Calc'!$H:$AW,28,FALSE),VLOOKUP($G832,'KO Calc'!$H838:$AW838,28,FALSE)))))))))))))</f>
        <v>-</v>
      </c>
      <c r="J832" s="36" t="str">
        <f>IF(AND($Q$1=FALSE,$S$3=FALSE),"-",IF(AND($Q$1=TRUE,$S$3=TRUE),"-",IF(AND($Q$1=FALSE,$S$3=FALSE),"-",IF(AND($Q$1=TRUE,$S$1=TRUE,$S$4=FALSE)=TRUE,IF(OR($Q$4=TRUE,$Q$5=TRUE,$S$2=TRUE),VLOOKUP($G832,'KO Calc'!$H:$AW,FALSE),VLOOKUP($G832,'KO Calc'!$H838:$AW838,14,FALSE)),IF(AND($Q$1=TRUE,$S$4=FALSE),IF(OR($Q$4=TRUE,$Q$5=TRUE,$S$2=TRUE),VLOOKUP($G832,'KO Calc'!$H:$AW,4,FALSE),VLOOKUP($G832,'KO Calc'!$H838:$AW838,4,FALSE)),
IF(AND($Q$1=TRUE,$S$1=TRUE,$S$4=TRUE)=TRUE,IF(OR($Q$4=TRUE,$Q$5=TRUE,$S$2=TRUE),VLOOKUP($G832,'KO Calc'!$H:$AW,19,FALSE),VLOOKUP($G832,'KO Calc'!$H838:$AW838,19,FALSE)),IF(AND($Q$1=TRUE,$S$4=TRUE),IF(OR($Q$4=TRUE,$Q$5=TRUE,$S$2=TRUE),VLOOKUP($G832,'KO Calc'!$H:$AW,9,FALSE),VLOOKUP($G832,'KO Calc'!$H838:$AW838,9,FALSE)),
IF(AND($S$3=TRUE,$S$1=TRUE,$S$4=FALSE)=TRUE,IF(OR($Q$4=TRUE,$Q$5=TRUE,$S$2=TRUE),VLOOKUP($G832,'KO Calc'!$H:$AW,34,FALSE),VLOOKUP($G832,'KO Calc'!$H838:$AW838,34,FALSE)),IF(AND($S$3=TRUE,$S$4=FALSE),IF(OR($Q$4=TRUE,$Q$5=TRUE,$S$2=TRUE),VLOOKUP($G832,'KO Calc'!$H:$AW,24,FALSE),VLOOKUP($G832,'KO Calc'!$H838:$AW838,24,FALSE)),
IF(AND($S$3=TRUE,$S$1=TRUE,$S$4=TRUE)=TRUE,IF(OR($Q$4=TRUE,$Q$5=TRUE,$S$2=TRUE),VLOOKUP($G832,'KO Calc'!$H:$AW,39,FALSE),VLOOKUP($G832,'KO Calc'!$H838:$AW838,39,FALSE)),IF(AND($S$3=TRUE,$S$4=TRUE),IF(OR($Q$4=TRUE,$Q$5=TRUE,$S$2=TRUE),VLOOKUP($G832,'KO Calc'!$H:$AW,29,FALSE),VLOOKUP($G832,'KO Calc'!$H838:$AW838,29,FALSE)))))))))))))</f>
        <v>-</v>
      </c>
      <c r="K832" s="36" t="str">
        <f>IF(AND($Q$1=FALSE,$S$3=FALSE),"-",IF(AND($Q$1=TRUE,$S$3=TRUE),"-",IF(AND($Q$1=FALSE,$S$3=FALSE),"-",IF(AND($Q$1=TRUE,$S$1=TRUE,$S$4=FALSE)=TRUE,IF(OR($Q$4=TRUE,$Q$5=TRUE,$S$2=TRUE),VLOOKUP($G832,'KO Calc'!$H:$AW,15,FALSE),VLOOKUP($G832,'KO Calc'!$H838:$AW838,15,FALSE)),IF(AND($Q$1=TRUE,$S$4=FALSE),IF(OR($Q$4=TRUE,$Q$5=TRUE,$S$2=TRUE),VLOOKUP($G832,'KO Calc'!$H:$AW,5,FALSE),VLOOKUP($G832,'KO Calc'!$H838:$AW838,5,FALSE)),
IF(AND($Q$1=TRUE,$S$1=TRUE,$S$4=TRUE)=TRUE,IF(OR($Q$4=TRUE,$Q$5=TRUE,$S$2=TRUE),VLOOKUP($G832,'KO Calc'!$H:$AW,20,FALSE),VLOOKUP($G832,'KO Calc'!$H838:$AW838,20,FALSE)),IF(AND($Q$1=TRUE,$S$4=TRUE),IF(OR($Q$4=TRUE,$Q$5=TRUE,$S$2=TRUE),VLOOKUP($G832,'KO Calc'!$H:$AW,10,FALSE),VLOOKUP($G832,'KO Calc'!$H838:$AW838,10,FALSE)),
IF(AND($S$3=TRUE,$S$1=TRUE,$S$4=FALSE)=TRUE,IF(OR($Q$4=TRUE,$Q$5=TRUE,$S$2=TRUE),VLOOKUP($G832,'KO Calc'!$H:$AW,35,FALSE),VLOOKUP($G832,'KO Calc'!$H838:$AW838,35,FALSE)),IF(AND($S$3=TRUE,$S$4=FALSE),IF(OR($Q$4=TRUE,$Q$5=TRUE,$S$2=TRUE),VLOOKUP($G832,'KO Calc'!$H:$AW,25,FALSE),VLOOKUP($G832,'KO Calc'!$H838:$AW838,25,FALSE)),
IF(AND($S$3=TRUE,$S$1=TRUE,$S$4=TRUE)=TRUE,IF(OR($Q$4=TRUE,$Q$5=TRUE,$S$2=TRUE),VLOOKUP($G832,'KO Calc'!$H:$AW,40,FALSE),VLOOKUP($G832,'KO Calc'!$H838:$AW838,40,FALSE)),IF(AND($S$3=TRUE,$S$4=TRUE),IF(OR($Q$4=TRUE,$Q$5=TRUE,$S$2=TRUE),VLOOKUP($G832,'KO Calc'!$H:$AW,30,FALSE),VLOOKUP($G832,'KO Calc'!$H838:$AW838,30,FALSE)))))))))))))</f>
        <v>-</v>
      </c>
      <c r="L832" s="36" t="str">
        <f>IFERROR(IF(AND($Q$1=FALSE,$S$3=FALSE),"-",VLOOKUP($E832,'Status Thresholds'!$E:$AU,41,FALSE)),"-")</f>
        <v>-</v>
      </c>
      <c r="M832" s="36" t="str">
        <f>IFERROR(IF(AND($Q$1=FALSE,$S$3=FALSE),"-",VLOOKUP($E832,'Status Thresholds'!$E:$AU,42,FALSE)),"-")</f>
        <v>-</v>
      </c>
      <c r="N832" s="36" t="str">
        <f>IFERROR(IF(AND($Q$1=FALSE,$S$3=FALSE),"-",VLOOKUP($E832,'Status Thresholds'!$E:$AU,43,FALSE)),"-")</f>
        <v>-</v>
      </c>
    </row>
    <row r="833" spans="2:14" x14ac:dyDescent="0.25">
      <c r="B833" s="64" t="str">
        <f>VLOOKUP(C833,'Status Thresholds'!B:C,2,FALSE)</f>
        <v>MHGen</v>
      </c>
      <c r="C833" s="46" t="str">
        <f>IF(ISBLANK('KO Calc'!C829)=TRUE,"",'KO Calc'!C829)</f>
        <v>Yian Kut-ku</v>
      </c>
      <c r="D833" s="78" t="s">
        <v>207</v>
      </c>
      <c r="E833" s="62" t="str">
        <f t="shared" si="23"/>
        <v>Yian Kut-kuShock Trap</v>
      </c>
      <c r="F833" t="s">
        <v>13</v>
      </c>
      <c r="G833" s="36" t="str">
        <f t="shared" si="24"/>
        <v>Yian Kut-kuCrag 3</v>
      </c>
      <c r="H833" s="36" t="str">
        <f>IF(AND($Q$1=FALSE,$S$3=FALSE),"-",IF(AND($Q$1=TRUE,$S$3=TRUE),"-",IF(AND($Q$1=FALSE,$S$3=FALSE),"-",IF(AND($Q$1=TRUE,$S$1=TRUE,$S$4=FALSE)=TRUE,IF(OR($Q$4=TRUE,$Q$5=TRUE,$S$2=TRUE),VLOOKUP($G833,'KO Calc'!$H:$AW,12,FALSE),VLOOKUP($G833,'KO Calc'!$H839:$AW839,12,FALSE)),IF(AND($Q$1=TRUE,$S$4=FALSE),IF(OR($Q$4=TRUE,$Q$5=TRUE,$S$2=TRUE),VLOOKUP($G833,'KO Calc'!$H:$AW,2,FALSE),VLOOKUP($G833,'KO Calc'!$H839:$AW839,2,FALSE)),
IF(AND($Q$1=TRUE,$S$1=TRUE,$S$4=TRUE)=TRUE,IF(OR($Q$4=TRUE,$Q$5=TRUE,$S$2=TRUE),VLOOKUP($G833,'KO Calc'!$H:$AW,17,FALSE),VLOOKUP($G833,'KO Calc'!$H839:$AW839,17,FALSE)),IF(AND($Q$1=TRUE,$S$4=TRUE),IF(OR($Q$4=TRUE,$Q$5=TRUE,$S$2=TRUE),VLOOKUP($G833,'KO Calc'!$H:$AW,7,FALSE),VLOOKUP($G833,'KO Calc'!$H839:$AW839,7,FALSE)),
IF(AND($S$3=TRUE,$S$1=TRUE,$S$4=FALSE)=TRUE,IF(OR($Q$4=TRUE,$Q$5=TRUE,$S$2=TRUE),VLOOKUP($G833,'KO Calc'!$H:$AW,32,FALSE),VLOOKUP($G833,'KO Calc'!$H839:$AW839,32,FALSE)),IF(AND($S$3=TRUE,$S$4=FALSE),IF(OR($Q$4=TRUE,$Q$5=TRUE,$S$2=TRUE),VLOOKUP($G833,'KO Calc'!$H:$AW,22,FALSE),VLOOKUP($G833,'KO Calc'!$H839:$AW839,22,FALSE)),
IF(AND($S$3=TRUE,$S$1=TRUE,$S$4=TRUE)=TRUE,IF(OR($Q$4=TRUE,$Q$5=TRUE,$S$2=TRUE),VLOOKUP($G833,'KO Calc'!$H:$AW,37,FALSE),VLOOKUP($G833,'KO Calc'!$H839:$AW839,37,FALSE)),IF(AND($S$3=TRUE,$S$4=TRUE),IF(OR($Q$4=TRUE,$Q$5=TRUE,$S$2=TRUE),VLOOKUP($G833,'KO Calc'!$H:$AW,27,FALSE),VLOOKUP($G833,'KO Calc'!$H839:$AW839,27,FALSE)))))))))))))</f>
        <v>-</v>
      </c>
      <c r="I833" s="36" t="str">
        <f>IF(AND($Q$1=FALSE,$S$3=FALSE),"-",IF(AND($Q$1=TRUE,$S$3=TRUE),"-",IF(AND($Q$1=FALSE,$S$3=FALSE),"-",IF(AND($Q$1=TRUE,$S$1=TRUE,$S$4=FALSE)=TRUE,IF(OR($Q$4=TRUE,$Q$5=TRUE,$S$2=TRUE),VLOOKUP($G833,'KO Calc'!$H:$AW,13,FALSE),VLOOKUP($G833,'KO Calc'!$H839:$AW839,13,FALSE)),IF(AND($Q$1=TRUE,$S$4=FALSE),IF(OR($Q$4=TRUE,$Q$5=TRUE,$S$2=TRUE),VLOOKUP($G833,'KO Calc'!$H:$AW,3,FALSE),VLOOKUP($G833,'KO Calc'!$H839:$AW839,3,FALSE)),
IF(AND($Q$1=TRUE,$S$1=TRUE,$S$4=TRUE)=TRUE,IF(OR($Q$4=TRUE,$Q$5=TRUE,$S$2=TRUE),VLOOKUP($G833,'KO Calc'!$H:$AW,18,FALSE),VLOOKUP($G833,'KO Calc'!$H839:$AW839,18,FALSE)),IF(AND($Q$1=TRUE,$S$4=TRUE),IF(OR($Q$4=TRUE,$Q$5=TRUE,$S$2=TRUE),VLOOKUP($G833,'KO Calc'!$H:$AW,8,FALSE),VLOOKUP($G833,'KO Calc'!$H839:$AW839,8,FALSE)),
IF(AND($S$3=TRUE,$S$1=TRUE,$S$4=FALSE)=TRUE,IF(OR($Q$4=TRUE,$Q$5=TRUE,$S$2=TRUE),VLOOKUP($G833,'KO Calc'!$H:$AW,33,FALSE),VLOOKUP($G833,'KO Calc'!$H839:$AW839,33,FALSE)),IF(AND($S$3=TRUE,$S$4=FALSE),IF(OR($Q$4=TRUE,$Q$5=TRUE,$S$2=TRUE),VLOOKUP($G833,'KO Calc'!$H:$AW,23,FALSE),VLOOKUP($G833,'KO Calc'!$H839:$AW839,23,FALSE)),
IF(AND($S$3=TRUE,$S$1=TRUE,$S$4=TRUE)=TRUE,IF(OR($Q$4=TRUE,$Q$5=TRUE,$S$2=TRUE),VLOOKUP($G833,'KO Calc'!$H:$AW,38,FALSE),VLOOKUP($G833,'KO Calc'!$H839:$AW839,38,FALSE)),IF(AND($S$3=TRUE,$S$4=TRUE),IF(OR($Q$4=TRUE,$Q$5=TRUE,$S$2=TRUE),VLOOKUP($G833,'KO Calc'!$H:$AW,28,FALSE),VLOOKUP($G833,'KO Calc'!$H839:$AW839,28,FALSE)))))))))))))</f>
        <v>-</v>
      </c>
      <c r="J833" s="36" t="str">
        <f>IF(AND($Q$1=FALSE,$S$3=FALSE),"-",IF(AND($Q$1=TRUE,$S$3=TRUE),"-",IF(AND($Q$1=FALSE,$S$3=FALSE),"-",IF(AND($Q$1=TRUE,$S$1=TRUE,$S$4=FALSE)=TRUE,IF(OR($Q$4=TRUE,$Q$5=TRUE,$S$2=TRUE),VLOOKUP($G833,'KO Calc'!$H:$AW,FALSE),VLOOKUP($G833,'KO Calc'!$H839:$AW839,14,FALSE)),IF(AND($Q$1=TRUE,$S$4=FALSE),IF(OR($Q$4=TRUE,$Q$5=TRUE,$S$2=TRUE),VLOOKUP($G833,'KO Calc'!$H:$AW,4,FALSE),VLOOKUP($G833,'KO Calc'!$H839:$AW839,4,FALSE)),
IF(AND($Q$1=TRUE,$S$1=TRUE,$S$4=TRUE)=TRUE,IF(OR($Q$4=TRUE,$Q$5=TRUE,$S$2=TRUE),VLOOKUP($G833,'KO Calc'!$H:$AW,19,FALSE),VLOOKUP($G833,'KO Calc'!$H839:$AW839,19,FALSE)),IF(AND($Q$1=TRUE,$S$4=TRUE),IF(OR($Q$4=TRUE,$Q$5=TRUE,$S$2=TRUE),VLOOKUP($G833,'KO Calc'!$H:$AW,9,FALSE),VLOOKUP($G833,'KO Calc'!$H839:$AW839,9,FALSE)),
IF(AND($S$3=TRUE,$S$1=TRUE,$S$4=FALSE)=TRUE,IF(OR($Q$4=TRUE,$Q$5=TRUE,$S$2=TRUE),VLOOKUP($G833,'KO Calc'!$H:$AW,34,FALSE),VLOOKUP($G833,'KO Calc'!$H839:$AW839,34,FALSE)),IF(AND($S$3=TRUE,$S$4=FALSE),IF(OR($Q$4=TRUE,$Q$5=TRUE,$S$2=TRUE),VLOOKUP($G833,'KO Calc'!$H:$AW,24,FALSE),VLOOKUP($G833,'KO Calc'!$H839:$AW839,24,FALSE)),
IF(AND($S$3=TRUE,$S$1=TRUE,$S$4=TRUE)=TRUE,IF(OR($Q$4=TRUE,$Q$5=TRUE,$S$2=TRUE),VLOOKUP($G833,'KO Calc'!$H:$AW,39,FALSE),VLOOKUP($G833,'KO Calc'!$H839:$AW839,39,FALSE)),IF(AND($S$3=TRUE,$S$4=TRUE),IF(OR($Q$4=TRUE,$Q$5=TRUE,$S$2=TRUE),VLOOKUP($G833,'KO Calc'!$H:$AW,29,FALSE),VLOOKUP($G833,'KO Calc'!$H839:$AW839,29,FALSE)))))))))))))</f>
        <v>-</v>
      </c>
      <c r="K833" s="36" t="str">
        <f>IF(AND($Q$1=FALSE,$S$3=FALSE),"-",IF(AND($Q$1=TRUE,$S$3=TRUE),"-",IF(AND($Q$1=FALSE,$S$3=FALSE),"-",IF(AND($Q$1=TRUE,$S$1=TRUE,$S$4=FALSE)=TRUE,IF(OR($Q$4=TRUE,$Q$5=TRUE,$S$2=TRUE),VLOOKUP($G833,'KO Calc'!$H:$AW,15,FALSE),VLOOKUP($G833,'KO Calc'!$H839:$AW839,15,FALSE)),IF(AND($Q$1=TRUE,$S$4=FALSE),IF(OR($Q$4=TRUE,$Q$5=TRUE,$S$2=TRUE),VLOOKUP($G833,'KO Calc'!$H:$AW,5,FALSE),VLOOKUP($G833,'KO Calc'!$H839:$AW839,5,FALSE)),
IF(AND($Q$1=TRUE,$S$1=TRUE,$S$4=TRUE)=TRUE,IF(OR($Q$4=TRUE,$Q$5=TRUE,$S$2=TRUE),VLOOKUP($G833,'KO Calc'!$H:$AW,20,FALSE),VLOOKUP($G833,'KO Calc'!$H839:$AW839,20,FALSE)),IF(AND($Q$1=TRUE,$S$4=TRUE),IF(OR($Q$4=TRUE,$Q$5=TRUE,$S$2=TRUE),VLOOKUP($G833,'KO Calc'!$H:$AW,10,FALSE),VLOOKUP($G833,'KO Calc'!$H839:$AW839,10,FALSE)),
IF(AND($S$3=TRUE,$S$1=TRUE,$S$4=FALSE)=TRUE,IF(OR($Q$4=TRUE,$Q$5=TRUE,$S$2=TRUE),VLOOKUP($G833,'KO Calc'!$H:$AW,35,FALSE),VLOOKUP($G833,'KO Calc'!$H839:$AW839,35,FALSE)),IF(AND($S$3=TRUE,$S$4=FALSE),IF(OR($Q$4=TRUE,$Q$5=TRUE,$S$2=TRUE),VLOOKUP($G833,'KO Calc'!$H:$AW,25,FALSE),VLOOKUP($G833,'KO Calc'!$H839:$AW839,25,FALSE)),
IF(AND($S$3=TRUE,$S$1=TRUE,$S$4=TRUE)=TRUE,IF(OR($Q$4=TRUE,$Q$5=TRUE,$S$2=TRUE),VLOOKUP($G833,'KO Calc'!$H:$AW,40,FALSE),VLOOKUP($G833,'KO Calc'!$H839:$AW839,40,FALSE)),IF(AND($S$3=TRUE,$S$4=TRUE),IF(OR($Q$4=TRUE,$Q$5=TRUE,$S$2=TRUE),VLOOKUP($G833,'KO Calc'!$H:$AW,30,FALSE),VLOOKUP($G833,'KO Calc'!$H839:$AW839,30,FALSE)))))))))))))</f>
        <v>-</v>
      </c>
      <c r="L833" s="36" t="str">
        <f>IFERROR(IF(AND($Q$1=FALSE,$S$3=FALSE),"-",VLOOKUP($E833,'Status Thresholds'!$E:$AU,43,FALSE)),"-")</f>
        <v>-</v>
      </c>
      <c r="M833" s="36" t="str">
        <f>IFERROR(IF(AND($Q$1=FALSE,$S$3=FALSE),"-",VLOOKUP($E833,'Status Thresholds'!$E:$AU,41,FALSE)),"-")</f>
        <v>-</v>
      </c>
      <c r="N833" s="36" t="str">
        <f>IFERROR(IF(AND($Q$1=FALSE,$S$3=FALSE),"-",VLOOKUP($E833,'Status Thresholds'!$E:$AU,42,FALSE)),"-")</f>
        <v>-</v>
      </c>
    </row>
    <row r="834" spans="2:14" x14ac:dyDescent="0.25">
      <c r="B834" s="64" t="str">
        <f>VLOOKUP(C834,'Status Thresholds'!B:C,2,FALSE)</f>
        <v>MHGen</v>
      </c>
      <c r="C834" s="46" t="str">
        <f>IF(ISBLANK('KO Calc'!C830)=TRUE,"",'KO Calc'!C830)</f>
        <v>Yian Kut-ku</v>
      </c>
      <c r="D834" s="78" t="s">
        <v>213</v>
      </c>
      <c r="E834" s="62" t="str">
        <f t="shared" si="23"/>
        <v>Yian Kut-kuPitfall Trap</v>
      </c>
      <c r="F834" t="s">
        <v>12</v>
      </c>
      <c r="G834" s="36" t="str">
        <f t="shared" si="24"/>
        <v>Yian Kut-kuCrag 2</v>
      </c>
      <c r="H834" s="36" t="str">
        <f>IF(AND($Q$1=FALSE,$S$3=FALSE),"-",IF(AND($Q$1=TRUE,$S$3=TRUE),"-",IF(AND($Q$1=FALSE,$S$3=FALSE),"-",IF(AND($Q$1=TRUE,$S$1=TRUE,$S$4=FALSE)=TRUE,IF(OR($Q$4=TRUE,$Q$5=TRUE,$S$2=TRUE),VLOOKUP($G834,'KO Calc'!$H:$AW,12,FALSE),VLOOKUP($G834,'KO Calc'!$H840:$AW840,12,FALSE)),IF(AND($Q$1=TRUE,$S$4=FALSE),IF(OR($Q$4=TRUE,$Q$5=TRUE,$S$2=TRUE),VLOOKUP($G834,'KO Calc'!$H:$AW,2,FALSE),VLOOKUP($G834,'KO Calc'!$H840:$AW840,2,FALSE)),
IF(AND($Q$1=TRUE,$S$1=TRUE,$S$4=TRUE)=TRUE,IF(OR($Q$4=TRUE,$Q$5=TRUE,$S$2=TRUE),VLOOKUP($G834,'KO Calc'!$H:$AW,17,FALSE),VLOOKUP($G834,'KO Calc'!$H840:$AW840,17,FALSE)),IF(AND($Q$1=TRUE,$S$4=TRUE),IF(OR($Q$4=TRUE,$Q$5=TRUE,$S$2=TRUE),VLOOKUP($G834,'KO Calc'!$H:$AW,7,FALSE),VLOOKUP($G834,'KO Calc'!$H840:$AW840,7,FALSE)),
IF(AND($S$3=TRUE,$S$1=TRUE,$S$4=FALSE)=TRUE,IF(OR($Q$4=TRUE,$Q$5=TRUE,$S$2=TRUE),VLOOKUP($G834,'KO Calc'!$H:$AW,32,FALSE),VLOOKUP($G834,'KO Calc'!$H840:$AW840,32,FALSE)),IF(AND($S$3=TRUE,$S$4=FALSE),IF(OR($Q$4=TRUE,$Q$5=TRUE,$S$2=TRUE),VLOOKUP($G834,'KO Calc'!$H:$AW,22,FALSE),VLOOKUP($G834,'KO Calc'!$H840:$AW840,22,FALSE)),
IF(AND($S$3=TRUE,$S$1=TRUE,$S$4=TRUE)=TRUE,IF(OR($Q$4=TRUE,$Q$5=TRUE,$S$2=TRUE),VLOOKUP($G834,'KO Calc'!$H:$AW,37,FALSE),VLOOKUP($G834,'KO Calc'!$H840:$AW840,37,FALSE)),IF(AND($S$3=TRUE,$S$4=TRUE),IF(OR($Q$4=TRUE,$Q$5=TRUE,$S$2=TRUE),VLOOKUP($G834,'KO Calc'!$H:$AW,27,FALSE),VLOOKUP($G834,'KO Calc'!$H840:$AW840,27,FALSE)))))))))))))</f>
        <v>-</v>
      </c>
      <c r="I834" s="36" t="str">
        <f>IF(AND($Q$1=FALSE,$S$3=FALSE),"-",IF(AND($Q$1=TRUE,$S$3=TRUE),"-",IF(AND($Q$1=FALSE,$S$3=FALSE),"-",IF(AND($Q$1=TRUE,$S$1=TRUE,$S$4=FALSE)=TRUE,IF(OR($Q$4=TRUE,$Q$5=TRUE,$S$2=TRUE),VLOOKUP($G834,'KO Calc'!$H:$AW,13,FALSE),VLOOKUP($G834,'KO Calc'!$H840:$AW840,13,FALSE)),IF(AND($Q$1=TRUE,$S$4=FALSE),IF(OR($Q$4=TRUE,$Q$5=TRUE,$S$2=TRUE),VLOOKUP($G834,'KO Calc'!$H:$AW,3,FALSE),VLOOKUP($G834,'KO Calc'!$H840:$AW840,3,FALSE)),
IF(AND($Q$1=TRUE,$S$1=TRUE,$S$4=TRUE)=TRUE,IF(OR($Q$4=TRUE,$Q$5=TRUE,$S$2=TRUE),VLOOKUP($G834,'KO Calc'!$H:$AW,18,FALSE),VLOOKUP($G834,'KO Calc'!$H840:$AW840,18,FALSE)),IF(AND($Q$1=TRUE,$S$4=TRUE),IF(OR($Q$4=TRUE,$Q$5=TRUE,$S$2=TRUE),VLOOKUP($G834,'KO Calc'!$H:$AW,8,FALSE),VLOOKUP($G834,'KO Calc'!$H840:$AW840,8,FALSE)),
IF(AND($S$3=TRUE,$S$1=TRUE,$S$4=FALSE)=TRUE,IF(OR($Q$4=TRUE,$Q$5=TRUE,$S$2=TRUE),VLOOKUP($G834,'KO Calc'!$H:$AW,33,FALSE),VLOOKUP($G834,'KO Calc'!$H840:$AW840,33,FALSE)),IF(AND($S$3=TRUE,$S$4=FALSE),IF(OR($Q$4=TRUE,$Q$5=TRUE,$S$2=TRUE),VLOOKUP($G834,'KO Calc'!$H:$AW,23,FALSE),VLOOKUP($G834,'KO Calc'!$H840:$AW840,23,FALSE)),
IF(AND($S$3=TRUE,$S$1=TRUE,$S$4=TRUE)=TRUE,IF(OR($Q$4=TRUE,$Q$5=TRUE,$S$2=TRUE),VLOOKUP($G834,'KO Calc'!$H:$AW,38,FALSE),VLOOKUP($G834,'KO Calc'!$H840:$AW840,38,FALSE)),IF(AND($S$3=TRUE,$S$4=TRUE),IF(OR($Q$4=TRUE,$Q$5=TRUE,$S$2=TRUE),VLOOKUP($G834,'KO Calc'!$H:$AW,28,FALSE),VLOOKUP($G834,'KO Calc'!$H840:$AW840,28,FALSE)))))))))))))</f>
        <v>-</v>
      </c>
      <c r="J834" s="36" t="str">
        <f>IF(AND($Q$1=FALSE,$S$3=FALSE),"-",IF(AND($Q$1=TRUE,$S$3=TRUE),"-",IF(AND($Q$1=FALSE,$S$3=FALSE),"-",IF(AND($Q$1=TRUE,$S$1=TRUE,$S$4=FALSE)=TRUE,IF(OR($Q$4=TRUE,$Q$5=TRUE,$S$2=TRUE),VLOOKUP($G834,'KO Calc'!$H:$AW,FALSE),VLOOKUP($G834,'KO Calc'!$H840:$AW840,14,FALSE)),IF(AND($Q$1=TRUE,$S$4=FALSE),IF(OR($Q$4=TRUE,$Q$5=TRUE,$S$2=TRUE),VLOOKUP($G834,'KO Calc'!$H:$AW,4,FALSE),VLOOKUP($G834,'KO Calc'!$H840:$AW840,4,FALSE)),
IF(AND($Q$1=TRUE,$S$1=TRUE,$S$4=TRUE)=TRUE,IF(OR($Q$4=TRUE,$Q$5=TRUE,$S$2=TRUE),VLOOKUP($G834,'KO Calc'!$H:$AW,19,FALSE),VLOOKUP($G834,'KO Calc'!$H840:$AW840,19,FALSE)),IF(AND($Q$1=TRUE,$S$4=TRUE),IF(OR($Q$4=TRUE,$Q$5=TRUE,$S$2=TRUE),VLOOKUP($G834,'KO Calc'!$H:$AW,9,FALSE),VLOOKUP($G834,'KO Calc'!$H840:$AW840,9,FALSE)),
IF(AND($S$3=TRUE,$S$1=TRUE,$S$4=FALSE)=TRUE,IF(OR($Q$4=TRUE,$Q$5=TRUE,$S$2=TRUE),VLOOKUP($G834,'KO Calc'!$H:$AW,34,FALSE),VLOOKUP($G834,'KO Calc'!$H840:$AW840,34,FALSE)),IF(AND($S$3=TRUE,$S$4=FALSE),IF(OR($Q$4=TRUE,$Q$5=TRUE,$S$2=TRUE),VLOOKUP($G834,'KO Calc'!$H:$AW,24,FALSE),VLOOKUP($G834,'KO Calc'!$H840:$AW840,24,FALSE)),
IF(AND($S$3=TRUE,$S$1=TRUE,$S$4=TRUE)=TRUE,IF(OR($Q$4=TRUE,$Q$5=TRUE,$S$2=TRUE),VLOOKUP($G834,'KO Calc'!$H:$AW,39,FALSE),VLOOKUP($G834,'KO Calc'!$H840:$AW840,39,FALSE)),IF(AND($S$3=TRUE,$S$4=TRUE),IF(OR($Q$4=TRUE,$Q$5=TRUE,$S$2=TRUE),VLOOKUP($G834,'KO Calc'!$H:$AW,29,FALSE),VLOOKUP($G834,'KO Calc'!$H840:$AW840,29,FALSE)))))))))))))</f>
        <v>-</v>
      </c>
      <c r="K834" s="36" t="str">
        <f>IF(AND($Q$1=FALSE,$S$3=FALSE),"-",IF(AND($Q$1=TRUE,$S$3=TRUE),"-",IF(AND($Q$1=FALSE,$S$3=FALSE),"-",IF(AND($Q$1=TRUE,$S$1=TRUE,$S$4=FALSE)=TRUE,IF(OR($Q$4=TRUE,$Q$5=TRUE,$S$2=TRUE),VLOOKUP($G834,'KO Calc'!$H:$AW,15,FALSE),VLOOKUP($G834,'KO Calc'!$H840:$AW840,15,FALSE)),IF(AND($Q$1=TRUE,$S$4=FALSE),IF(OR($Q$4=TRUE,$Q$5=TRUE,$S$2=TRUE),VLOOKUP($G834,'KO Calc'!$H:$AW,5,FALSE),VLOOKUP($G834,'KO Calc'!$H840:$AW840,5,FALSE)),
IF(AND($Q$1=TRUE,$S$1=TRUE,$S$4=TRUE)=TRUE,IF(OR($Q$4=TRUE,$Q$5=TRUE,$S$2=TRUE),VLOOKUP($G834,'KO Calc'!$H:$AW,20,FALSE),VLOOKUP($G834,'KO Calc'!$H840:$AW840,20,FALSE)),IF(AND($Q$1=TRUE,$S$4=TRUE),IF(OR($Q$4=TRUE,$Q$5=TRUE,$S$2=TRUE),VLOOKUP($G834,'KO Calc'!$H:$AW,10,FALSE),VLOOKUP($G834,'KO Calc'!$H840:$AW840,10,FALSE)),
IF(AND($S$3=TRUE,$S$1=TRUE,$S$4=FALSE)=TRUE,IF(OR($Q$4=TRUE,$Q$5=TRUE,$S$2=TRUE),VLOOKUP($G834,'KO Calc'!$H:$AW,35,FALSE),VLOOKUP($G834,'KO Calc'!$H840:$AW840,35,FALSE)),IF(AND($S$3=TRUE,$S$4=FALSE),IF(OR($Q$4=TRUE,$Q$5=TRUE,$S$2=TRUE),VLOOKUP($G834,'KO Calc'!$H:$AW,25,FALSE),VLOOKUP($G834,'KO Calc'!$H840:$AW840,25,FALSE)),
IF(AND($S$3=TRUE,$S$1=TRUE,$S$4=TRUE)=TRUE,IF(OR($Q$4=TRUE,$Q$5=TRUE,$S$2=TRUE),VLOOKUP($G834,'KO Calc'!$H:$AW,40,FALSE),VLOOKUP($G834,'KO Calc'!$H840:$AW840,40,FALSE)),IF(AND($S$3=TRUE,$S$4=TRUE),IF(OR($Q$4=TRUE,$Q$5=TRUE,$S$2=TRUE),VLOOKUP($G834,'KO Calc'!$H:$AW,30,FALSE),VLOOKUP($G834,'KO Calc'!$H840:$AW840,30,FALSE)))))))))))))</f>
        <v>-</v>
      </c>
      <c r="L834" s="36" t="str">
        <f>IFERROR(IF(AND($Q$1=FALSE,$S$3=FALSE),"-",VLOOKUP($E834,'Status Thresholds'!$E:$AU,43,FALSE)),"-")</f>
        <v>-</v>
      </c>
      <c r="M834" s="36" t="str">
        <f>IFERROR(IF(AND($Q$1=FALSE,$S$3=FALSE),"-",VLOOKUP($E834,'Status Thresholds'!$E:$AU,41,FALSE)),"-")</f>
        <v>-</v>
      </c>
      <c r="N834" s="36" t="str">
        <f>IFERROR(IF(AND($Q$1=FALSE,$S$3=FALSE),"-",VLOOKUP($E834,'Status Thresholds'!$E:$AU,42,FALSE)),"-")</f>
        <v>-</v>
      </c>
    </row>
    <row r="835" spans="2:14" x14ac:dyDescent="0.25">
      <c r="B835" s="64" t="str">
        <f>VLOOKUP(C835,'Status Thresholds'!B:C,2,FALSE)</f>
        <v>MHGen</v>
      </c>
      <c r="C835" s="46" t="str">
        <f>IF(ISBLANK('KO Calc'!C831)=TRUE,"",'KO Calc'!C831)</f>
        <v>Yian Kut-ku</v>
      </c>
      <c r="D835" s="78"/>
      <c r="E835" s="62" t="str">
        <f t="shared" si="23"/>
        <v>Yian Kut-ku</v>
      </c>
      <c r="F835" t="s">
        <v>11</v>
      </c>
      <c r="G835" s="36" t="str">
        <f t="shared" si="24"/>
        <v>Yian Kut-kuCrag 1</v>
      </c>
      <c r="H835" s="36" t="str">
        <f>IF(AND($Q$1=FALSE,$S$3=FALSE),"-",IF(AND($Q$1=TRUE,$S$3=TRUE),"-",IF(AND($Q$1=FALSE,$S$3=FALSE),"-",IF(AND($Q$1=TRUE,$S$1=TRUE,$S$4=FALSE)=TRUE,IF(OR($Q$4=TRUE,$Q$5=TRUE,$S$2=TRUE),VLOOKUP($G835,'KO Calc'!$H:$AW,12,FALSE),VLOOKUP($G835,'KO Calc'!$H841:$AW841,12,FALSE)),IF(AND($Q$1=TRUE,$S$4=FALSE),IF(OR($Q$4=TRUE,$Q$5=TRUE,$S$2=TRUE),VLOOKUP($G835,'KO Calc'!$H:$AW,2,FALSE),VLOOKUP($G835,'KO Calc'!$H841:$AW841,2,FALSE)),
IF(AND($Q$1=TRUE,$S$1=TRUE,$S$4=TRUE)=TRUE,IF(OR($Q$4=TRUE,$Q$5=TRUE,$S$2=TRUE),VLOOKUP($G835,'KO Calc'!$H:$AW,17,FALSE),VLOOKUP($G835,'KO Calc'!$H841:$AW841,17,FALSE)),IF(AND($Q$1=TRUE,$S$4=TRUE),IF(OR($Q$4=TRUE,$Q$5=TRUE,$S$2=TRUE),VLOOKUP($G835,'KO Calc'!$H:$AW,7,FALSE),VLOOKUP($G835,'KO Calc'!$H841:$AW841,7,FALSE)),
IF(AND($S$3=TRUE,$S$1=TRUE,$S$4=FALSE)=TRUE,IF(OR($Q$4=TRUE,$Q$5=TRUE,$S$2=TRUE),VLOOKUP($G835,'KO Calc'!$H:$AW,32,FALSE),VLOOKUP($G835,'KO Calc'!$H841:$AW841,32,FALSE)),IF(AND($S$3=TRUE,$S$4=FALSE),IF(OR($Q$4=TRUE,$Q$5=TRUE,$S$2=TRUE),VLOOKUP($G835,'KO Calc'!$H:$AW,22,FALSE),VLOOKUP($G835,'KO Calc'!$H841:$AW841,22,FALSE)),
IF(AND($S$3=TRUE,$S$1=TRUE,$S$4=TRUE)=TRUE,IF(OR($Q$4=TRUE,$Q$5=TRUE,$S$2=TRUE),VLOOKUP($G835,'KO Calc'!$H:$AW,37,FALSE),VLOOKUP($G835,'KO Calc'!$H841:$AW841,37,FALSE)),IF(AND($S$3=TRUE,$S$4=TRUE),IF(OR($Q$4=TRUE,$Q$5=TRUE,$S$2=TRUE),VLOOKUP($G835,'KO Calc'!$H:$AW,27,FALSE),VLOOKUP($G835,'KO Calc'!$H841:$AW841,27,FALSE)))))))))))))</f>
        <v>-</v>
      </c>
      <c r="I835" s="36" t="str">
        <f>IF(AND($Q$1=FALSE,$S$3=FALSE),"-",IF(AND($Q$1=TRUE,$S$3=TRUE),"-",IF(AND($Q$1=FALSE,$S$3=FALSE),"-",IF(AND($Q$1=TRUE,$S$1=TRUE,$S$4=FALSE)=TRUE,IF(OR($Q$4=TRUE,$Q$5=TRUE,$S$2=TRUE),VLOOKUP($G835,'KO Calc'!$H:$AW,13,FALSE),VLOOKUP($G835,'KO Calc'!$H841:$AW841,13,FALSE)),IF(AND($Q$1=TRUE,$S$4=FALSE),IF(OR($Q$4=TRUE,$Q$5=TRUE,$S$2=TRUE),VLOOKUP($G835,'KO Calc'!$H:$AW,3,FALSE),VLOOKUP($G835,'KO Calc'!$H841:$AW841,3,FALSE)),
IF(AND($Q$1=TRUE,$S$1=TRUE,$S$4=TRUE)=TRUE,IF(OR($Q$4=TRUE,$Q$5=TRUE,$S$2=TRUE),VLOOKUP($G835,'KO Calc'!$H:$AW,18,FALSE),VLOOKUP($G835,'KO Calc'!$H841:$AW841,18,FALSE)),IF(AND($Q$1=TRUE,$S$4=TRUE),IF(OR($Q$4=TRUE,$Q$5=TRUE,$S$2=TRUE),VLOOKUP($G835,'KO Calc'!$H:$AW,8,FALSE),VLOOKUP($G835,'KO Calc'!$H841:$AW841,8,FALSE)),
IF(AND($S$3=TRUE,$S$1=TRUE,$S$4=FALSE)=TRUE,IF(OR($Q$4=TRUE,$Q$5=TRUE,$S$2=TRUE),VLOOKUP($G835,'KO Calc'!$H:$AW,33,FALSE),VLOOKUP($G835,'KO Calc'!$H841:$AW841,33,FALSE)),IF(AND($S$3=TRUE,$S$4=FALSE),IF(OR($Q$4=TRUE,$Q$5=TRUE,$S$2=TRUE),VLOOKUP($G835,'KO Calc'!$H:$AW,23,FALSE),VLOOKUP($G835,'KO Calc'!$H841:$AW841,23,FALSE)),
IF(AND($S$3=TRUE,$S$1=TRUE,$S$4=TRUE)=TRUE,IF(OR($Q$4=TRUE,$Q$5=TRUE,$S$2=TRUE),VLOOKUP($G835,'KO Calc'!$H:$AW,38,FALSE),VLOOKUP($G835,'KO Calc'!$H841:$AW841,38,FALSE)),IF(AND($S$3=TRUE,$S$4=TRUE),IF(OR($Q$4=TRUE,$Q$5=TRUE,$S$2=TRUE),VLOOKUP($G835,'KO Calc'!$H:$AW,28,FALSE),VLOOKUP($G835,'KO Calc'!$H841:$AW841,28,FALSE)))))))))))))</f>
        <v>-</v>
      </c>
      <c r="J835" s="36" t="str">
        <f>IF(AND($Q$1=FALSE,$S$3=FALSE),"-",IF(AND($Q$1=TRUE,$S$3=TRUE),"-",IF(AND($Q$1=FALSE,$S$3=FALSE),"-",IF(AND($Q$1=TRUE,$S$1=TRUE,$S$4=FALSE)=TRUE,IF(OR($Q$4=TRUE,$Q$5=TRUE,$S$2=TRUE),VLOOKUP($G835,'KO Calc'!$H:$AW,FALSE),VLOOKUP($G835,'KO Calc'!$H841:$AW841,14,FALSE)),IF(AND($Q$1=TRUE,$S$4=FALSE),IF(OR($Q$4=TRUE,$Q$5=TRUE,$S$2=TRUE),VLOOKUP($G835,'KO Calc'!$H:$AW,4,FALSE),VLOOKUP($G835,'KO Calc'!$H841:$AW841,4,FALSE)),
IF(AND($Q$1=TRUE,$S$1=TRUE,$S$4=TRUE)=TRUE,IF(OR($Q$4=TRUE,$Q$5=TRUE,$S$2=TRUE),VLOOKUP($G835,'KO Calc'!$H:$AW,19,FALSE),VLOOKUP($G835,'KO Calc'!$H841:$AW841,19,FALSE)),IF(AND($Q$1=TRUE,$S$4=TRUE),IF(OR($Q$4=TRUE,$Q$5=TRUE,$S$2=TRUE),VLOOKUP($G835,'KO Calc'!$H:$AW,9,FALSE),VLOOKUP($G835,'KO Calc'!$H841:$AW841,9,FALSE)),
IF(AND($S$3=TRUE,$S$1=TRUE,$S$4=FALSE)=TRUE,IF(OR($Q$4=TRUE,$Q$5=TRUE,$S$2=TRUE),VLOOKUP($G835,'KO Calc'!$H:$AW,34,FALSE),VLOOKUP($G835,'KO Calc'!$H841:$AW841,34,FALSE)),IF(AND($S$3=TRUE,$S$4=FALSE),IF(OR($Q$4=TRUE,$Q$5=TRUE,$S$2=TRUE),VLOOKUP($G835,'KO Calc'!$H:$AW,24,FALSE),VLOOKUP($G835,'KO Calc'!$H841:$AW841,24,FALSE)),
IF(AND($S$3=TRUE,$S$1=TRUE,$S$4=TRUE)=TRUE,IF(OR($Q$4=TRUE,$Q$5=TRUE,$S$2=TRUE),VLOOKUP($G835,'KO Calc'!$H:$AW,39,FALSE),VLOOKUP($G835,'KO Calc'!$H841:$AW841,39,FALSE)),IF(AND($S$3=TRUE,$S$4=TRUE),IF(OR($Q$4=TRUE,$Q$5=TRUE,$S$2=TRUE),VLOOKUP($G835,'KO Calc'!$H:$AW,29,FALSE),VLOOKUP($G835,'KO Calc'!$H841:$AW841,29,FALSE)))))))))))))</f>
        <v>-</v>
      </c>
      <c r="K835" s="36" t="str">
        <f>IF(AND($Q$1=FALSE,$S$3=FALSE),"-",IF(AND($Q$1=TRUE,$S$3=TRUE),"-",IF(AND($Q$1=FALSE,$S$3=FALSE),"-",IF(AND($Q$1=TRUE,$S$1=TRUE,$S$4=FALSE)=TRUE,IF(OR($Q$4=TRUE,$Q$5=TRUE,$S$2=TRUE),VLOOKUP($G835,'KO Calc'!$H:$AW,15,FALSE),VLOOKUP($G835,'KO Calc'!$H841:$AW841,15,FALSE)),IF(AND($Q$1=TRUE,$S$4=FALSE),IF(OR($Q$4=TRUE,$Q$5=TRUE,$S$2=TRUE),VLOOKUP($G835,'KO Calc'!$H:$AW,5,FALSE),VLOOKUP($G835,'KO Calc'!$H841:$AW841,5,FALSE)),
IF(AND($Q$1=TRUE,$S$1=TRUE,$S$4=TRUE)=TRUE,IF(OR($Q$4=TRUE,$Q$5=TRUE,$S$2=TRUE),VLOOKUP($G835,'KO Calc'!$H:$AW,20,FALSE),VLOOKUP($G835,'KO Calc'!$H841:$AW841,20,FALSE)),IF(AND($Q$1=TRUE,$S$4=TRUE),IF(OR($Q$4=TRUE,$Q$5=TRUE,$S$2=TRUE),VLOOKUP($G835,'KO Calc'!$H:$AW,10,FALSE),VLOOKUP($G835,'KO Calc'!$H841:$AW841,10,FALSE)),
IF(AND($S$3=TRUE,$S$1=TRUE,$S$4=FALSE)=TRUE,IF(OR($Q$4=TRUE,$Q$5=TRUE,$S$2=TRUE),VLOOKUP($G835,'KO Calc'!$H:$AW,35,FALSE),VLOOKUP($G835,'KO Calc'!$H841:$AW841,35,FALSE)),IF(AND($S$3=TRUE,$S$4=FALSE),IF(OR($Q$4=TRUE,$Q$5=TRUE,$S$2=TRUE),VLOOKUP($G835,'KO Calc'!$H:$AW,25,FALSE),VLOOKUP($G835,'KO Calc'!$H841:$AW841,25,FALSE)),
IF(AND($S$3=TRUE,$S$1=TRUE,$S$4=TRUE)=TRUE,IF(OR($Q$4=TRUE,$Q$5=TRUE,$S$2=TRUE),VLOOKUP($G835,'KO Calc'!$H:$AW,40,FALSE),VLOOKUP($G835,'KO Calc'!$H841:$AW841,40,FALSE)),IF(AND($S$3=TRUE,$S$4=TRUE),IF(OR($Q$4=TRUE,$Q$5=TRUE,$S$2=TRUE),VLOOKUP($G835,'KO Calc'!$H:$AW,30,FALSE),VLOOKUP($G835,'KO Calc'!$H841:$AW841,30,FALSE)))))))))))))</f>
        <v>-</v>
      </c>
      <c r="L835" s="36" t="str">
        <f>IFERROR(VLOOKUP($E835,'Status Thresholds'!$E:$AS,41,FALSE),"-")</f>
        <v>-</v>
      </c>
    </row>
    <row r="836" spans="2:14" x14ac:dyDescent="0.25">
      <c r="B836" s="64" t="str">
        <f>VLOOKUP(C836,'Status Thresholds'!B:C,2,FALSE)</f>
        <v>MHGen</v>
      </c>
      <c r="C836" s="46" t="str">
        <f>IF(ISBLANK('KO Calc'!C832)=TRUE,"",'KO Calc'!C832)</f>
        <v>Yian Kut-ku</v>
      </c>
      <c r="D836" s="78"/>
      <c r="E836" s="62" t="str">
        <f t="shared" si="23"/>
        <v>Yian Kut-ku</v>
      </c>
      <c r="G836" s="36" t="str">
        <f t="shared" si="24"/>
        <v>Yian Kut-ku</v>
      </c>
    </row>
    <row r="837" spans="2:14" x14ac:dyDescent="0.25">
      <c r="B837" s="64" t="str">
        <f>VLOOKUP(C837,'Status Thresholds'!B:C,2,FALSE)</f>
        <v>MHGen</v>
      </c>
      <c r="C837" s="46" t="str">
        <f>IF(ISBLANK('KO Calc'!C833)=TRUE,"",'KO Calc'!C833)</f>
        <v>Zamtrios</v>
      </c>
      <c r="D837" s="65" t="s">
        <v>0</v>
      </c>
      <c r="E837" s="62" t="str">
        <f t="shared" si="23"/>
        <v>ZamtriosPara</v>
      </c>
      <c r="F837" s="36" t="s">
        <v>2</v>
      </c>
      <c r="G837" s="36" t="str">
        <f t="shared" si="24"/>
        <v>ZamtriosPara lvl 2</v>
      </c>
      <c r="H837" s="36" t="str">
        <f>IFERROR(ROUNDUP(IF(AND($Q$1=FALSE,$S$3=FALSE),"-",IF(AND($Q$1=TRUE,$S$3=TRUE),"-",IF(AND($Q$1=TRUE,$S$1=TRUE,$S$4=FALSE),VLOOKUP($E837,'Status Thresholds'!$E:$AS,12,FALSE),IF(AND($Q$1=TRUE,$S$4=FALSE),VLOOKUP($E837,'Status Thresholds'!$E:$AS,2,FALSE), IF(AND($Q$1=TRUE,$S$1=TRUE,$S$4=TRUE),VLOOKUP($E837,'Status Thresholds'!$E:$AS,17,FALSE),IF(AND($Q$1=TRUE,$S$4=TRUE),VLOOKUP($E837,'Status Thresholds'!$E:$AS,7,FALSE),IF(AND($S$3=TRUE,$S$1=TRUE,$S$4=FALSE),VLOOKUP($E837,'Status Thresholds'!$E:$AS,32,FALSE),IF(AND($S$3=TRUE,$S$4=FALSE),VLOOKUP($E837,'Status Thresholds'!$E:$AS,22,FALSE),IF(AND($S$3=TRUE,$S$1=TRUE,$S$4=TRUE),VLOOKUP($E837,'Status Thresholds'!$E:$AS,37,FALSE),IF(AND($S$3=TRUE,$S$4=TRUE),VLOOKUP($E837,'Status Thresholds'!$E:$AS,27,FALSE),""))))))))/IF(OR($Q$3=TRUE,AND($Q$2=TRUE,$Q$7=TRUE),AND($Q$3=TRUE,$Q$7=TRUE))=TRUE,'Shots and Status'!$F$5,IF((OR($Q$2,$Q$7)=TRUE),'Shots and Status'!$D$5,'Shots and Status'!$C$5)))),0),"-")</f>
        <v>-</v>
      </c>
      <c r="I837" s="36" t="str">
        <f>IFERROR(ROUNDUP(IF(AND($Q$1=FALSE,$S$3=FALSE),"-",IF(AND($Q$1=TRUE,$S$3=TRUE),"-",IF(AND($Q$1=TRUE,$S$1=TRUE,$S$4=FALSE),VLOOKUP($E837,'Status Thresholds'!$E:$AS,13,FALSE),IF(AND($Q$1=TRUE,$S$4=FALSE),VLOOKUP($E837,'Status Thresholds'!$E:$AS,3,FALSE), IF(AND($Q$1=TRUE,$S$1=TRUE,$S$4=TRUE),VLOOKUP($E837,'Status Thresholds'!$E:$AS,18,FALSE),IF(AND($Q$1=TRUE,$S$4=TRUE),VLOOKUP($E837,'Status Thresholds'!$E:$AS,8,FALSE),IF(AND($S$3=TRUE,$S$1=TRUE,$S$4=FALSE),VLOOKUP($E837,'Status Thresholds'!$E:$AS,33,FALSE),IF(AND($S$3=TRUE,$S$4=FALSE),VLOOKUP($E837,'Status Thresholds'!$E:$AS,23,FALSE),IF(AND($S$3=TRUE,$S$1=TRUE,$S$4=TRUE),VLOOKUP($E837,'Status Thresholds'!$E:$AS,38,FALSE),IF(AND($S$3=TRUE,$S$4=TRUE),VLOOKUP($E837,'Status Thresholds'!$E:$AS,28,FALSE),""))))))))/IF(OR($Q$3=TRUE,AND($Q$2=TRUE,$Q$7=TRUE),AND($Q$3=TRUE,$Q$7=TRUE))=TRUE,'Shots and Status'!$F$5,IF((OR($Q$2,$Q$7)=TRUE),'Shots and Status'!$D$5,'Shots and Status'!$C$5)))),0),"-")</f>
        <v>-</v>
      </c>
      <c r="J837" s="36" t="str">
        <f>IFERROR(ROUNDUP(IF(AND($Q$1=FALSE,$S$3=FALSE),"-",IF(AND($Q$1=TRUE,$S$3=TRUE),"-",IF(AND($Q$1=TRUE,$S$1=TRUE,$S$4=FALSE),VLOOKUP($E837,'Status Thresholds'!$E:$AS,14,FALSE),IF(AND($Q$1=TRUE,$S$4=FALSE),VLOOKUP($E837,'Status Thresholds'!$E:$AS,4,FALSE), IF(AND($Q$1=TRUE,$S$1=TRUE,$S$4=TRUE),VLOOKUP($E837,'Status Thresholds'!$E:$AS,19,FALSE),IF(AND($Q$1=TRUE,$S$4=TRUE),VLOOKUP($E837,'Status Thresholds'!$E:$AS,9,FALSE),IF(AND($S$3=TRUE,$S$1=TRUE,$S$4=FALSE),VLOOKUP($E837,'Status Thresholds'!$E:$AS,34,FALSE),IF(AND($S$3=TRUE,$S$4=FALSE),VLOOKUP($E837,'Status Thresholds'!$E:$AS,24,FALSE),IF(AND($S$3=TRUE,$S$1=TRUE,$S$4=TRUE),VLOOKUP($E837,'Status Thresholds'!$E:$AS,39,FALSE),IF(AND($S$3=TRUE,$S$4=TRUE),VLOOKUP($E837,'Status Thresholds'!$E:$AS,29,FALSE),""))))))))/IF(OR($Q$3=TRUE,AND($Q$2=TRUE,$Q$7=TRUE),AND($Q$3=TRUE,$Q$7=TRUE))=TRUE,'Shots and Status'!$F$5,IF((OR($Q$2,$Q$7)=TRUE),'Shots and Status'!$D$5,'Shots and Status'!$C$5)))),0),"-")</f>
        <v>-</v>
      </c>
      <c r="K837" s="36" t="str">
        <f>IFERROR(ROUNDUP(IF(AND($Q$1=FALSE,$S$3=FALSE),"-",IF(AND($Q$1=TRUE,$S$3=TRUE),"-",IF(AND($Q$1=TRUE,$S$1=TRUE,$S$4=FALSE),VLOOKUP($E837,'Status Thresholds'!$E:$AS,15,FALSE),IF(AND($Q$1=TRUE,$S$4=FALSE),VLOOKUP($E837,'Status Thresholds'!$E:$AS,5,FALSE), IF(AND($Q$1=TRUE,$S$1=TRUE,$S$4=TRUE),VLOOKUP($E837,'Status Thresholds'!$E:$AS,20,FALSE),IF(AND($Q$1=TRUE,$S$4=TRUE),VLOOKUP($E837,'Status Thresholds'!$E:$AS,10,FALSE),IF(AND($S$3=TRUE,$S$1=TRUE,$S$4=FALSE),VLOOKUP($E837,'Status Thresholds'!$E:$AS,35,FALSE),IF(AND($S$3=TRUE,$S$4=FALSE),VLOOKUP($E837,'Status Thresholds'!$E:$AS,25,FALSE),IF(AND($S$3=TRUE,$S$1=TRUE,$S$4=TRUE),VLOOKUP($E837,'Status Thresholds'!$E:$AS,40,FALSE),IF(AND($S$3=TRUE,$S$4=TRUE),VLOOKUP($E837,'Status Thresholds'!$E:$AS,30,FALSE),""))))))))/IF(OR($Q$3=TRUE,AND($Q$2=TRUE,$Q$7=TRUE),AND($Q$3=TRUE,$Q$7=TRUE))=TRUE,'Shots and Status'!$F$5,IF((OR($Q$2,$Q$7)=TRUE),'Shots and Status'!$D$5,'Shots and Status'!$C$5)))),0),"-")</f>
        <v>-</v>
      </c>
      <c r="L837" s="36" t="str">
        <f>IFERROR(IF(AND($Q$1=FALSE,$S$3=FALSE),"-",VLOOKUP($E837,'Status Thresholds'!$E:$AU,41,FALSE)),"-")</f>
        <v>-</v>
      </c>
      <c r="M837" s="36" t="str">
        <f>IFERROR(IF(AND($Q$1=FALSE,$S$3=FALSE),"-",VLOOKUP($E837,'Status Thresholds'!$E:$AU,42,FALSE)),"-")</f>
        <v>-</v>
      </c>
      <c r="N837" s="36" t="str">
        <f>IFERROR(IF(AND($Q$1=FALSE,$S$3=FALSE),"-",VLOOKUP($E837,'Status Thresholds'!$E:$AU,43,FALSE)),"-")</f>
        <v>-</v>
      </c>
    </row>
    <row r="838" spans="2:14" x14ac:dyDescent="0.25">
      <c r="B838" s="64" t="str">
        <f>VLOOKUP(C838,'Status Thresholds'!B:C,2,FALSE)</f>
        <v>MHGen</v>
      </c>
      <c r="C838" s="46" t="str">
        <f>IF(ISBLANK('KO Calc'!C834)=TRUE,"",'KO Calc'!C834)</f>
        <v>Zamtrios</v>
      </c>
      <c r="D838" s="60" t="s">
        <v>32</v>
      </c>
      <c r="E838" s="62" t="str">
        <f t="shared" si="23"/>
        <v>ZamtriosSleep</v>
      </c>
      <c r="F838" s="59" t="s">
        <v>5</v>
      </c>
      <c r="G838" s="36" t="str">
        <f t="shared" si="24"/>
        <v>ZamtriosSleep lvl 2</v>
      </c>
      <c r="H838" s="36" t="str">
        <f>IFERROR(ROUNDUP(IF(AND($Q$1=FALSE,$S$3=FALSE),"-",IF(AND($Q$1=TRUE,$S$3=TRUE),"-",IF(AND($Q$1=TRUE,$S$1=TRUE,$S$4=FALSE),VLOOKUP($E838,'Status Thresholds'!$E:$AS,12,FALSE),IF(AND($Q$1=TRUE,$S$4=FALSE),VLOOKUP($E838,'Status Thresholds'!$E:$AS,2,FALSE), IF(AND($Q$1=TRUE,$S$1=TRUE,$S$4=TRUE),VLOOKUP($E838,'Status Thresholds'!$E:$AS,17,FALSE),IF(AND($Q$1=TRUE,$S$4=TRUE),VLOOKUP($E838,'Status Thresholds'!$E:$AS,7,FALSE),IF(AND($S$3=TRUE,$S$1=TRUE,$S$4=FALSE),VLOOKUP($E838,'Status Thresholds'!$E:$AS,32,FALSE),IF(AND($S$3=TRUE,$S$4=FALSE),VLOOKUP($E838,'Status Thresholds'!$E:$AS,22,FALSE),IF(AND($S$3=TRUE,$S$1=TRUE,$S$4=TRUE),VLOOKUP($E838,'Status Thresholds'!$E:$AS,37,FALSE),IF(AND($S$3=TRUE,$S$4=TRUE),VLOOKUP($E838,'Status Thresholds'!$E:$AS,27,FALSE),""))))))))/IF(OR($Q$3=TRUE,AND($Q$2=TRUE,$Q$7=TRUE),AND($Q$3=TRUE,$Q$7=TRUE))=TRUE,'Shots and Status'!$F$5,IF((OR($Q$2,$Q$7)=TRUE),'Shots and Status'!$D$5,'Shots and Status'!$C$5)))),0),"-")</f>
        <v>-</v>
      </c>
      <c r="I838" s="36" t="str">
        <f>IFERROR(ROUNDUP(IF(AND($Q$1=FALSE,$S$3=FALSE),"-",IF(AND($Q$1=TRUE,$S$3=TRUE),"-",IF(AND($Q$1=TRUE,$S$1=TRUE,$S$4=FALSE),VLOOKUP($E838,'Status Thresholds'!$E:$AS,13,FALSE),IF(AND($Q$1=TRUE,$S$4=FALSE),VLOOKUP($E838,'Status Thresholds'!$E:$AS,3,FALSE), IF(AND($Q$1=TRUE,$S$1=TRUE,$S$4=TRUE),VLOOKUP($E838,'Status Thresholds'!$E:$AS,18,FALSE),IF(AND($Q$1=TRUE,$S$4=TRUE),VLOOKUP($E838,'Status Thresholds'!$E:$AS,8,FALSE),IF(AND($S$3=TRUE,$S$1=TRUE,$S$4=FALSE),VLOOKUP($E838,'Status Thresholds'!$E:$AS,33,FALSE),IF(AND($S$3=TRUE,$S$4=FALSE),VLOOKUP($E838,'Status Thresholds'!$E:$AS,23,FALSE),IF(AND($S$3=TRUE,$S$1=TRUE,$S$4=TRUE),VLOOKUP($E838,'Status Thresholds'!$E:$AS,38,FALSE),IF(AND($S$3=TRUE,$S$4=TRUE),VLOOKUP($E838,'Status Thresholds'!$E:$AS,28,FALSE),""))))))))/IF(OR($Q$3=TRUE,AND($Q$2=TRUE,$Q$7=TRUE),AND($Q$3=TRUE,$Q$7=TRUE))=TRUE,'Shots and Status'!$F$5,IF((OR($Q$2,$Q$7)=TRUE),'Shots and Status'!$D$5,'Shots and Status'!$C$5)))),0),"-")</f>
        <v>-</v>
      </c>
      <c r="J838" s="36" t="str">
        <f>IFERROR(ROUNDUP(IF(AND($Q$1=FALSE,$S$3=FALSE),"-",IF(AND($Q$1=TRUE,$S$3=TRUE),"-",IF(AND($Q$1=TRUE,$S$1=TRUE,$S$4=FALSE),VLOOKUP($E838,'Status Thresholds'!$E:$AS,14,FALSE),IF(AND($Q$1=TRUE,$S$4=FALSE),VLOOKUP($E838,'Status Thresholds'!$E:$AS,4,FALSE), IF(AND($Q$1=TRUE,$S$1=TRUE,$S$4=TRUE),VLOOKUP($E838,'Status Thresholds'!$E:$AS,19,FALSE),IF(AND($Q$1=TRUE,$S$4=TRUE),VLOOKUP($E838,'Status Thresholds'!$E:$AS,9,FALSE),IF(AND($S$3=TRUE,$S$1=TRUE,$S$4=FALSE),VLOOKUP($E838,'Status Thresholds'!$E:$AS,34,FALSE),IF(AND($S$3=TRUE,$S$4=FALSE),VLOOKUP($E838,'Status Thresholds'!$E:$AS,24,FALSE),IF(AND($S$3=TRUE,$S$1=TRUE,$S$4=TRUE),VLOOKUP($E838,'Status Thresholds'!$E:$AS,39,FALSE),IF(AND($S$3=TRUE,$S$4=TRUE),VLOOKUP($E838,'Status Thresholds'!$E:$AS,29,FALSE),""))))))))/IF(OR($Q$3=TRUE,AND($Q$2=TRUE,$Q$7=TRUE),AND($Q$3=TRUE,$Q$7=TRUE))=TRUE,'Shots and Status'!$F$5,IF((OR($Q$2,$Q$7)=TRUE),'Shots and Status'!$D$5,'Shots and Status'!$C$5)))),0),"-")</f>
        <v>-</v>
      </c>
      <c r="K838" s="36" t="str">
        <f>IFERROR(ROUNDUP(IF(AND($Q$1=FALSE,$S$3=FALSE),"-",IF(AND($Q$1=TRUE,$S$3=TRUE),"-",IF(AND($Q$1=TRUE,$S$1=TRUE,$S$4=FALSE),VLOOKUP($E838,'Status Thresholds'!$E:$AS,15,FALSE),IF(AND($Q$1=TRUE,$S$4=FALSE),VLOOKUP($E838,'Status Thresholds'!$E:$AS,5,FALSE), IF(AND($Q$1=TRUE,$S$1=TRUE,$S$4=TRUE),VLOOKUP($E838,'Status Thresholds'!$E:$AS,20,FALSE),IF(AND($Q$1=TRUE,$S$4=TRUE),VLOOKUP($E838,'Status Thresholds'!$E:$AS,10,FALSE),IF(AND($S$3=TRUE,$S$1=TRUE,$S$4=FALSE),VLOOKUP($E838,'Status Thresholds'!$E:$AS,35,FALSE),IF(AND($S$3=TRUE,$S$4=FALSE),VLOOKUP($E838,'Status Thresholds'!$E:$AS,25,FALSE),IF(AND($S$3=TRUE,$S$1=TRUE,$S$4=TRUE),VLOOKUP($E838,'Status Thresholds'!$E:$AS,40,FALSE),IF(AND($S$3=TRUE,$S$4=TRUE),VLOOKUP($E838,'Status Thresholds'!$E:$AS,30,FALSE),""))))))))/IF(OR($Q$3=TRUE,AND($Q$2=TRUE,$Q$7=TRUE),AND($Q$3=TRUE,$Q$7=TRUE))=TRUE,'Shots and Status'!$F$5,IF((OR($Q$2,$Q$7)=TRUE),'Shots and Status'!$D$5,'Shots and Status'!$C$5)))),0),"-")</f>
        <v>-</v>
      </c>
      <c r="L838" s="36" t="str">
        <f>IFERROR(IF(AND($Q$1=FALSE,$S$3=FALSE),"-",VLOOKUP($E838,'Status Thresholds'!$E:$AU,41,FALSE)),"-")</f>
        <v>-</v>
      </c>
      <c r="M838" s="36" t="str">
        <f>IFERROR(IF(AND($Q$1=FALSE,$S$3=FALSE),"-",VLOOKUP($E838,'Status Thresholds'!$E:$AU,42,FALSE)),"-")</f>
        <v>-</v>
      </c>
      <c r="N838" s="36" t="str">
        <f>IFERROR(IF(AND($Q$1=FALSE,$S$3=FALSE),"-",VLOOKUP($E838,'Status Thresholds'!$E:$AU,43,FALSE)),"-")</f>
        <v>-</v>
      </c>
    </row>
    <row r="839" spans="2:14" x14ac:dyDescent="0.25">
      <c r="B839" s="64" t="str">
        <f>VLOOKUP(C839,'Status Thresholds'!B:C,2,FALSE)</f>
        <v>MHGen</v>
      </c>
      <c r="C839" s="46" t="str">
        <f>IF(ISBLANK('KO Calc'!C835)=TRUE,"",'KO Calc'!C835)</f>
        <v>Zamtrios</v>
      </c>
      <c r="D839" s="58" t="s">
        <v>33</v>
      </c>
      <c r="E839" s="62" t="str">
        <f t="shared" ref="E839:E854" si="25">C839&amp;D839</f>
        <v>ZamtriosPoison</v>
      </c>
      <c r="F839" s="59" t="s">
        <v>6</v>
      </c>
      <c r="G839" s="36" t="str">
        <f t="shared" si="24"/>
        <v>ZamtriosPoison lvl 2</v>
      </c>
      <c r="H839" s="36" t="str">
        <f>IFERROR(ROUNDUP(IF(AND($Q$1=FALSE,$S$3=FALSE),"-",IF(AND($Q$1=TRUE,$S$3=TRUE),"-",IF(AND($Q$1=TRUE,$S$1=TRUE,$S$4=FALSE),VLOOKUP($E839,'Status Thresholds'!$E:$AS,12,FALSE),IF(AND($Q$1=TRUE,$S$4=FALSE),VLOOKUP($E839,'Status Thresholds'!$E:$AS,2,FALSE), IF(AND($Q$1=TRUE,$S$1=TRUE,$S$4=TRUE),VLOOKUP($E839,'Status Thresholds'!$E:$AS,17,FALSE),IF(AND($Q$1=TRUE,$S$4=TRUE),VLOOKUP($E839,'Status Thresholds'!$E:$AS,7,FALSE),IF(AND($S$3=TRUE,$S$1=TRUE,$S$4=FALSE),VLOOKUP($E839,'Status Thresholds'!$E:$AS,32,FALSE),IF(AND($S$3=TRUE,$S$4=FALSE),VLOOKUP($E839,'Status Thresholds'!$E:$AS,22,FALSE),IF(AND($S$3=TRUE,$S$1=TRUE,$S$4=TRUE),VLOOKUP($E839,'Status Thresholds'!$E:$AS,37,FALSE),IF(AND($S$3=TRUE,$S$4=TRUE),VLOOKUP($E839,'Status Thresholds'!$E:$AS,27,FALSE),""))))))))/IF(OR($Q$3=TRUE,AND($Q$2=TRUE,$Q$7=TRUE),AND($Q$3=TRUE,$Q$7=TRUE))=TRUE,'Shots and Status'!$F$5,IF((OR($Q$2,$Q$7)=TRUE),'Shots and Status'!$D$5,'Shots and Status'!$C$5)))),0),"-")</f>
        <v>-</v>
      </c>
      <c r="I839" s="36" t="str">
        <f>IFERROR(ROUNDUP(IF(AND($Q$1=FALSE,$S$3=FALSE),"-",IF(AND($Q$1=TRUE,$S$3=TRUE),"-",IF(AND($Q$1=TRUE,$S$1=TRUE,$S$4=FALSE),VLOOKUP($E839,'Status Thresholds'!$E:$AS,13,FALSE),IF(AND($Q$1=TRUE,$S$4=FALSE),VLOOKUP($E839,'Status Thresholds'!$E:$AS,3,FALSE), IF(AND($Q$1=TRUE,$S$1=TRUE,$S$4=TRUE),VLOOKUP($E839,'Status Thresholds'!$E:$AS,18,FALSE),IF(AND($Q$1=TRUE,$S$4=TRUE),VLOOKUP($E839,'Status Thresholds'!$E:$AS,8,FALSE),IF(AND($S$3=TRUE,$S$1=TRUE,$S$4=FALSE),VLOOKUP($E839,'Status Thresholds'!$E:$AS,33,FALSE),IF(AND($S$3=TRUE,$S$4=FALSE),VLOOKUP($E839,'Status Thresholds'!$E:$AS,23,FALSE),IF(AND($S$3=TRUE,$S$1=TRUE,$S$4=TRUE),VLOOKUP($E839,'Status Thresholds'!$E:$AS,38,FALSE),IF(AND($S$3=TRUE,$S$4=TRUE),VLOOKUP($E839,'Status Thresholds'!$E:$AS,28,FALSE),""))))))))/IF(OR($Q$3=TRUE,AND($Q$2=TRUE,$Q$7=TRUE),AND($Q$3=TRUE,$Q$7=TRUE))=TRUE,'Shots and Status'!$F$5,IF((OR($Q$2,$Q$7)=TRUE),'Shots and Status'!$D$5,'Shots and Status'!$C$5)))),0),"-")</f>
        <v>-</v>
      </c>
      <c r="J839" s="36" t="str">
        <f>IFERROR(ROUNDUP(IF(AND($Q$1=FALSE,$S$3=FALSE),"-",IF(AND($Q$1=TRUE,$S$3=TRUE),"-",IF(AND($Q$1=TRUE,$S$1=TRUE,$S$4=FALSE),VLOOKUP($E839,'Status Thresholds'!$E:$AS,14,FALSE),IF(AND($Q$1=TRUE,$S$4=FALSE),VLOOKUP($E839,'Status Thresholds'!$E:$AS,4,FALSE), IF(AND($Q$1=TRUE,$S$1=TRUE,$S$4=TRUE),VLOOKUP($E839,'Status Thresholds'!$E:$AS,19,FALSE),IF(AND($Q$1=TRUE,$S$4=TRUE),VLOOKUP($E839,'Status Thresholds'!$E:$AS,9,FALSE),IF(AND($S$3=TRUE,$S$1=TRUE,$S$4=FALSE),VLOOKUP($E839,'Status Thresholds'!$E:$AS,34,FALSE),IF(AND($S$3=TRUE,$S$4=FALSE),VLOOKUP($E839,'Status Thresholds'!$E:$AS,24,FALSE),IF(AND($S$3=TRUE,$S$1=TRUE,$S$4=TRUE),VLOOKUP($E839,'Status Thresholds'!$E:$AS,39,FALSE),IF(AND($S$3=TRUE,$S$4=TRUE),VLOOKUP($E839,'Status Thresholds'!$E:$AS,29,FALSE),""))))))))/IF(OR($Q$3=TRUE,AND($Q$2=TRUE,$Q$7=TRUE),AND($Q$3=TRUE,$Q$7=TRUE))=TRUE,'Shots and Status'!$F$5,IF((OR($Q$2,$Q$7)=TRUE),'Shots and Status'!$D$5,'Shots and Status'!$C$5)))),0),"-")</f>
        <v>-</v>
      </c>
      <c r="K839" s="36" t="str">
        <f>IFERROR(ROUNDUP(IF(AND($Q$1=FALSE,$S$3=FALSE),"-",IF(AND($Q$1=TRUE,$S$3=TRUE),"-",IF(AND($Q$1=TRUE,$S$1=TRUE,$S$4=FALSE),VLOOKUP($E839,'Status Thresholds'!$E:$AS,15,FALSE),IF(AND($Q$1=TRUE,$S$4=FALSE),VLOOKUP($E839,'Status Thresholds'!$E:$AS,5,FALSE), IF(AND($Q$1=TRUE,$S$1=TRUE,$S$4=TRUE),VLOOKUP($E839,'Status Thresholds'!$E:$AS,20,FALSE),IF(AND($Q$1=TRUE,$S$4=TRUE),VLOOKUP($E839,'Status Thresholds'!$E:$AS,10,FALSE),IF(AND($S$3=TRUE,$S$1=TRUE,$S$4=FALSE),VLOOKUP($E839,'Status Thresholds'!$E:$AS,35,FALSE),IF(AND($S$3=TRUE,$S$4=FALSE),VLOOKUP($E839,'Status Thresholds'!$E:$AS,25,FALSE),IF(AND($S$3=TRUE,$S$1=TRUE,$S$4=TRUE),VLOOKUP($E839,'Status Thresholds'!$E:$AS,40,FALSE),IF(AND($S$3=TRUE,$S$4=TRUE),VLOOKUP($E839,'Status Thresholds'!$E:$AS,30,FALSE),""))))))))/IF(OR($Q$3=TRUE,AND($Q$2=TRUE,$Q$7=TRUE),AND($Q$3=TRUE,$Q$7=TRUE))=TRUE,'Shots and Status'!$F$5,IF((OR($Q$2,$Q$7)=TRUE),'Shots and Status'!$D$5,'Shots and Status'!$C$5)))),0),"-")</f>
        <v>-</v>
      </c>
      <c r="L839" s="36" t="str">
        <f>IFERROR(IF(AND($Q$1=FALSE,$S$3=FALSE),"-",VLOOKUP($E839,'Status Thresholds'!$E:$AU,41,FALSE)),"-")</f>
        <v>-</v>
      </c>
      <c r="M839" s="36" t="str">
        <f>IFERROR(IF(AND($Q$1=FALSE,$S$3=FALSE),"-",VLOOKUP($E839,'Status Thresholds'!$E:$AU,42,FALSE)),"-")</f>
        <v>-</v>
      </c>
      <c r="N839" s="36" t="str">
        <f>IFERROR(IF(AND($Q$1=FALSE,$S$3=FALSE),"-",VLOOKUP($E839,'Status Thresholds'!$E:$AU,43,FALSE)),"-")</f>
        <v>-</v>
      </c>
    </row>
    <row r="840" spans="2:14" x14ac:dyDescent="0.25">
      <c r="B840" s="64" t="str">
        <f>VLOOKUP(C840,'Status Thresholds'!B:C,2,FALSE)</f>
        <v>MHGen</v>
      </c>
      <c r="C840" s="46" t="str">
        <f>IF(ISBLANK('KO Calc'!C836)=TRUE,"",'KO Calc'!C836)</f>
        <v>Zamtrios</v>
      </c>
      <c r="D840" s="57" t="s">
        <v>22</v>
      </c>
      <c r="E840" s="62" t="str">
        <f t="shared" si="25"/>
        <v>ZamtriosExhaust</v>
      </c>
      <c r="F840" s="36" t="s">
        <v>8</v>
      </c>
      <c r="G840" s="36" t="str">
        <f t="shared" si="24"/>
        <v>ZamtriosExhaust lvl 2</v>
      </c>
      <c r="H840" s="36" t="str">
        <f>IFERROR(ROUNDUP(IF(AND($Q$1=FALSE,$S$3=FALSE),"-",IF(AND($Q$1=TRUE,$S$3=TRUE),"-",IF(AND($Q$1=TRUE,$S$1=TRUE,$S$4=FALSE),VLOOKUP($E840,'Status Thresholds'!$E:$AS,12,FALSE),IF(AND($Q$1=TRUE,$S$4=FALSE),VLOOKUP($E840,'Status Thresholds'!$E:$AS,2,FALSE), IF(AND($Q$1=TRUE,$S$1=TRUE,$S$4=TRUE),VLOOKUP($E840,'Status Thresholds'!$E:$AS,17,FALSE),IF(AND($Q$1=TRUE,$S$4=TRUE),VLOOKUP($E840,'Status Thresholds'!$E:$AS,7,FALSE),IF(AND($S$3=TRUE,$S$1=TRUE,$S$4=FALSE),VLOOKUP($E840,'Status Thresholds'!$E:$AS,32,FALSE),IF(AND($S$3=TRUE,$S$4=FALSE),VLOOKUP($E840,'Status Thresholds'!$E:$AS,22,FALSE),IF(AND($S$3=TRUE,$S$1=TRUE,$S$4=TRUE),VLOOKUP($E840,'Status Thresholds'!$E:$AS,37,FALSE),IF(AND($S$3=TRUE,$S$4=TRUE),VLOOKUP($E840,'Status Thresholds'!$E:$AS,27,FALSE),""))))))))/IF(OR($Q$3=TRUE,AND($Q$2=TRUE,$Q$7=TRUE),AND($Q$3=TRUE,$Q$7=TRUE))=TRUE,'Shots and Status'!$F$5,IF((OR($Q$2,$Q$7)=TRUE),'Shots and Status'!$D$5,'Shots and Status'!$C$5)))),0),"-")</f>
        <v>-</v>
      </c>
      <c r="I840" s="36" t="str">
        <f>IFERROR(ROUNDUP(IF(AND($Q$1=FALSE,$S$3=FALSE),"-",IF(AND($Q$1=TRUE,$S$3=TRUE),"-",IF(AND($Q$1=TRUE,$S$1=TRUE,$S$4=FALSE),VLOOKUP($E840,'Status Thresholds'!$E:$AS,13,FALSE),IF(AND($Q$1=TRUE,$S$4=FALSE),VLOOKUP($E840,'Status Thresholds'!$E:$AS,3,FALSE), IF(AND($Q$1=TRUE,$S$1=TRUE,$S$4=TRUE),VLOOKUP($E840,'Status Thresholds'!$E:$AS,18,FALSE),IF(AND($Q$1=TRUE,$S$4=TRUE),VLOOKUP($E840,'Status Thresholds'!$E:$AS,8,FALSE),IF(AND($S$3=TRUE,$S$1=TRUE,$S$4=FALSE),VLOOKUP($E840,'Status Thresholds'!$E:$AS,33,FALSE),IF(AND($S$3=TRUE,$S$4=FALSE),VLOOKUP($E840,'Status Thresholds'!$E:$AS,23,FALSE),IF(AND($S$3=TRUE,$S$1=TRUE,$S$4=TRUE),VLOOKUP($E840,'Status Thresholds'!$E:$AS,38,FALSE),IF(AND($S$3=TRUE,$S$4=TRUE),VLOOKUP($E840,'Status Thresholds'!$E:$AS,28,FALSE),""))))))))/IF(OR($Q$3=TRUE,AND($Q$2=TRUE,$Q$7=TRUE),AND($Q$3=TRUE,$Q$7=TRUE))=TRUE,'Shots and Status'!$F$5,IF((OR($Q$2,$Q$7)=TRUE),'Shots and Status'!$D$5,'Shots and Status'!$C$5)))),0),"-")</f>
        <v>-</v>
      </c>
      <c r="J840" s="36" t="str">
        <f>IFERROR(ROUNDUP(IF(AND($Q$1=FALSE,$S$3=FALSE),"-",IF(AND($Q$1=TRUE,$S$3=TRUE),"-",IF(AND($Q$1=TRUE,$S$1=TRUE,$S$4=FALSE),VLOOKUP($E840,'Status Thresholds'!$E:$AS,14,FALSE),IF(AND($Q$1=TRUE,$S$4=FALSE),VLOOKUP($E840,'Status Thresholds'!$E:$AS,4,FALSE), IF(AND($Q$1=TRUE,$S$1=TRUE,$S$4=TRUE),VLOOKUP($E840,'Status Thresholds'!$E:$AS,19,FALSE),IF(AND($Q$1=TRUE,$S$4=TRUE),VLOOKUP($E840,'Status Thresholds'!$E:$AS,9,FALSE),IF(AND($S$3=TRUE,$S$1=TRUE,$S$4=FALSE),VLOOKUP($E840,'Status Thresholds'!$E:$AS,34,FALSE),IF(AND($S$3=TRUE,$S$4=FALSE),VLOOKUP($E840,'Status Thresholds'!$E:$AS,24,FALSE),IF(AND($S$3=TRUE,$S$1=TRUE,$S$4=TRUE),VLOOKUP($E840,'Status Thresholds'!$E:$AS,39,FALSE),IF(AND($S$3=TRUE,$S$4=TRUE),VLOOKUP($E840,'Status Thresholds'!$E:$AS,29,FALSE),""))))))))/IF(OR($Q$3=TRUE,AND($Q$2=TRUE,$Q$7=TRUE),AND($Q$3=TRUE,$Q$7=TRUE))=TRUE,'Shots and Status'!$F$5,IF((OR($Q$2,$Q$7)=TRUE),'Shots and Status'!$D$5,'Shots and Status'!$C$5)))),0),"-")</f>
        <v>-</v>
      </c>
      <c r="K840" s="36" t="str">
        <f>IFERROR(ROUNDUP(IF(AND($Q$1=FALSE,$S$3=FALSE),"-",IF(AND($Q$1=TRUE,$S$3=TRUE),"-",IF(AND($Q$1=TRUE,$S$1=TRUE,$S$4=FALSE),VLOOKUP($E840,'Status Thresholds'!$E:$AS,15,FALSE),IF(AND($Q$1=TRUE,$S$4=FALSE),VLOOKUP($E840,'Status Thresholds'!$E:$AS,5,FALSE), IF(AND($Q$1=TRUE,$S$1=TRUE,$S$4=TRUE),VLOOKUP($E840,'Status Thresholds'!$E:$AS,20,FALSE),IF(AND($Q$1=TRUE,$S$4=TRUE),VLOOKUP($E840,'Status Thresholds'!$E:$AS,10,FALSE),IF(AND($S$3=TRUE,$S$1=TRUE,$S$4=FALSE),VLOOKUP($E840,'Status Thresholds'!$E:$AS,35,FALSE),IF(AND($S$3=TRUE,$S$4=FALSE),VLOOKUP($E840,'Status Thresholds'!$E:$AS,25,FALSE),IF(AND($S$3=TRUE,$S$1=TRUE,$S$4=TRUE),VLOOKUP($E840,'Status Thresholds'!$E:$AS,40,FALSE),IF(AND($S$3=TRUE,$S$4=TRUE),VLOOKUP($E840,'Status Thresholds'!$E:$AS,30,FALSE),""))))))))/IF(OR($Q$3=TRUE,AND($Q$2=TRUE,$Q$7=TRUE),AND($Q$3=TRUE,$Q$7=TRUE))=TRUE,'Shots and Status'!$F$5,IF((OR($Q$2,$Q$7)=TRUE),'Shots and Status'!$D$5,'Shots and Status'!$C$5)))),0),"-")</f>
        <v>-</v>
      </c>
      <c r="L840" s="36" t="str">
        <f>IFERROR(IF(AND($Q$1=FALSE,$S$3=FALSE),"-",VLOOKUP($E840,'Status Thresholds'!$E:$AU,41,FALSE)),"-")</f>
        <v>-</v>
      </c>
      <c r="M840" s="36" t="str">
        <f>IFERROR(IF(AND($Q$1=FALSE,$S$3=FALSE),"-",VLOOKUP($E840,'Status Thresholds'!$E:$AU,42,FALSE)),"-")</f>
        <v>-</v>
      </c>
      <c r="N840" s="36" t="str">
        <f>IFERROR(IF(AND($Q$1=FALSE,$S$3=FALSE),"-",VLOOKUP($E840,'Status Thresholds'!$E:$AU,43,FALSE)),"-")</f>
        <v>-</v>
      </c>
    </row>
    <row r="841" spans="2:14" x14ac:dyDescent="0.25">
      <c r="B841" s="64" t="str">
        <f>VLOOKUP(C841,'Status Thresholds'!B:C,2,FALSE)</f>
        <v>MHGen</v>
      </c>
      <c r="C841" s="46" t="str">
        <f>IF(ISBLANK('KO Calc'!C837)=TRUE,"",'KO Calc'!C837)</f>
        <v>Zamtrios</v>
      </c>
      <c r="D841" s="67" t="s">
        <v>14</v>
      </c>
      <c r="E841" s="62" t="str">
        <f t="shared" si="25"/>
        <v>ZamtriosKO</v>
      </c>
      <c r="F841" s="36" t="s">
        <v>21</v>
      </c>
      <c r="G841" s="36" t="str">
        <f t="shared" si="24"/>
        <v>ZamtriosTriblast</v>
      </c>
      <c r="H841" s="36" t="str">
        <f>IF(AND($Q$1=FALSE,$S$3=FALSE),"-",IF(AND($Q$1=TRUE,$S$3=TRUE),"-",IF(AND($Q$1=FALSE,$S$3=FALSE),"-",IF(AND($Q$1=TRUE,$S$1=TRUE,$S$4=FALSE)=TRUE,IF(OR($Q$4=TRUE,$Q$5=TRUE,$S$2=TRUE),VLOOKUP($G841,'KO Calc'!$H:$AW,12,FALSE),VLOOKUP($G841,'KO Calc'!$H847:$AW847,12,FALSE)),IF(AND($Q$1=TRUE,$S$4=FALSE),IF(OR($Q$4=TRUE,$Q$5=TRUE,$S$2=TRUE),VLOOKUP($G841,'KO Calc'!$H:$AW,2,FALSE),VLOOKUP($G841,'KO Calc'!$H847:$AW847,2,FALSE)),
IF(AND($Q$1=TRUE,$S$1=TRUE,$S$4=TRUE)=TRUE,IF(OR($Q$4=TRUE,$Q$5=TRUE,$S$2=TRUE),VLOOKUP($G841,'KO Calc'!$H:$AW,17,FALSE),VLOOKUP($G841,'KO Calc'!$H847:$AW847,17,FALSE)),IF(AND($Q$1=TRUE,$S$4=TRUE),IF(OR($Q$4=TRUE,$Q$5=TRUE,$S$2=TRUE),VLOOKUP($G841,'KO Calc'!$H:$AW,7,FALSE),VLOOKUP($G841,'KO Calc'!$H847:$AW847,7,FALSE)),
IF(AND($S$3=TRUE,$S$1=TRUE,$S$4=FALSE)=TRUE,IF(OR($Q$4=TRUE,$Q$5=TRUE,$S$2=TRUE),VLOOKUP($G841,'KO Calc'!$H:$AW,32,FALSE),VLOOKUP($G841,'KO Calc'!$H847:$AW847,32,FALSE)),IF(AND($S$3=TRUE,$S$4=FALSE),IF(OR($Q$4=TRUE,$Q$5=TRUE,$S$2=TRUE),VLOOKUP($G841,'KO Calc'!$H:$AW,22,FALSE),VLOOKUP($G841,'KO Calc'!$H847:$AW847,22,FALSE)),
IF(AND($S$3=TRUE,$S$1=TRUE,$S$4=TRUE)=TRUE,IF(OR($Q$4=TRUE,$Q$5=TRUE,$S$2=TRUE),VLOOKUP($G841,'KO Calc'!$H:$AW,37,FALSE),VLOOKUP($G841,'KO Calc'!$H847:$AW847,37,FALSE)),IF(AND($S$3=TRUE,$S$4=TRUE),IF(OR($Q$4=TRUE,$Q$5=TRUE,$S$2=TRUE),VLOOKUP($G841,'KO Calc'!$H:$AW,27,FALSE),VLOOKUP($G841,'KO Calc'!$H847:$AW847,27,FALSE)))))))))))))</f>
        <v>-</v>
      </c>
      <c r="I841" s="36" t="str">
        <f>IF(AND($Q$1=FALSE,$S$3=FALSE),"-",IF(AND($Q$1=TRUE,$S$3=TRUE),"-",IF(AND($Q$1=FALSE,$S$3=FALSE),"-",IF(AND($Q$1=TRUE,$S$1=TRUE,$S$4=FALSE)=TRUE,IF(OR($Q$4=TRUE,$Q$5=TRUE,$S$2=TRUE),VLOOKUP($G841,'KO Calc'!$H:$AW,13,FALSE),VLOOKUP($G841,'KO Calc'!$H847:$AW847,13,FALSE)),IF(AND($Q$1=TRUE,$S$4=FALSE),IF(OR($Q$4=TRUE,$Q$5=TRUE,$S$2=TRUE),VLOOKUP($G841,'KO Calc'!$H:$AW,3,FALSE),VLOOKUP($G841,'KO Calc'!$H847:$AW847,3,FALSE)),
IF(AND($Q$1=TRUE,$S$1=TRUE,$S$4=TRUE)=TRUE,IF(OR($Q$4=TRUE,$Q$5=TRUE,$S$2=TRUE),VLOOKUP($G841,'KO Calc'!$H:$AW,18,FALSE),VLOOKUP($G841,'KO Calc'!$H847:$AW847,18,FALSE)),IF(AND($Q$1=TRUE,$S$4=TRUE),IF(OR($Q$4=TRUE,$Q$5=TRUE,$S$2=TRUE),VLOOKUP($G841,'KO Calc'!$H:$AW,8,FALSE),VLOOKUP($G841,'KO Calc'!$H847:$AW847,8,FALSE)),
IF(AND($S$3=TRUE,$S$1=TRUE,$S$4=FALSE)=TRUE,IF(OR($Q$4=TRUE,$Q$5=TRUE,$S$2=TRUE),VLOOKUP($G841,'KO Calc'!$H:$AW,33,FALSE),VLOOKUP($G841,'KO Calc'!$H847:$AW847,33,FALSE)),IF(AND($S$3=TRUE,$S$4=FALSE),IF(OR($Q$4=TRUE,$Q$5=TRUE,$S$2=TRUE),VLOOKUP($G841,'KO Calc'!$H:$AW,23,FALSE),VLOOKUP($G841,'KO Calc'!$H847:$AW847,23,FALSE)),
IF(AND($S$3=TRUE,$S$1=TRUE,$S$4=TRUE)=TRUE,IF(OR($Q$4=TRUE,$Q$5=TRUE,$S$2=TRUE),VLOOKUP($G841,'KO Calc'!$H:$AW,38,FALSE),VLOOKUP($G841,'KO Calc'!$H847:$AW847,38,FALSE)),IF(AND($S$3=TRUE,$S$4=TRUE),IF(OR($Q$4=TRUE,$Q$5=TRUE,$S$2=TRUE),VLOOKUP($G841,'KO Calc'!$H:$AW,28,FALSE),VLOOKUP($G841,'KO Calc'!$H847:$AW847,28,FALSE)))))))))))))</f>
        <v>-</v>
      </c>
      <c r="J841" s="36" t="str">
        <f>IF(AND($Q$1=FALSE,$S$3=FALSE),"-",IF(AND($Q$1=TRUE,$S$3=TRUE),"-",IF(AND($Q$1=FALSE,$S$3=FALSE),"-",IF(AND($Q$1=TRUE,$S$1=TRUE,$S$4=FALSE)=TRUE,IF(OR($Q$4=TRUE,$Q$5=TRUE,$S$2=TRUE),VLOOKUP($G841,'KO Calc'!$H:$AW,FALSE),VLOOKUP($G841,'KO Calc'!$H847:$AW847,14,FALSE)),IF(AND($Q$1=TRUE,$S$4=FALSE),IF(OR($Q$4=TRUE,$Q$5=TRUE,$S$2=TRUE),VLOOKUP($G841,'KO Calc'!$H:$AW,4,FALSE),VLOOKUP($G841,'KO Calc'!$H847:$AW847,4,FALSE)),
IF(AND($Q$1=TRUE,$S$1=TRUE,$S$4=TRUE)=TRUE,IF(OR($Q$4=TRUE,$Q$5=TRUE,$S$2=TRUE),VLOOKUP($G841,'KO Calc'!$H:$AW,19,FALSE),VLOOKUP($G841,'KO Calc'!$H847:$AW847,19,FALSE)),IF(AND($Q$1=TRUE,$S$4=TRUE),IF(OR($Q$4=TRUE,$Q$5=TRUE,$S$2=TRUE),VLOOKUP($G841,'KO Calc'!$H:$AW,9,FALSE),VLOOKUP($G841,'KO Calc'!$H847:$AW847,9,FALSE)),
IF(AND($S$3=TRUE,$S$1=TRUE,$S$4=FALSE)=TRUE,IF(OR($Q$4=TRUE,$Q$5=TRUE,$S$2=TRUE),VLOOKUP($G841,'KO Calc'!$H:$AW,34,FALSE),VLOOKUP($G841,'KO Calc'!$H847:$AW847,34,FALSE)),IF(AND($S$3=TRUE,$S$4=FALSE),IF(OR($Q$4=TRUE,$Q$5=TRUE,$S$2=TRUE),VLOOKUP($G841,'KO Calc'!$H:$AW,24,FALSE),VLOOKUP($G841,'KO Calc'!$H847:$AW847,24,FALSE)),
IF(AND($S$3=TRUE,$S$1=TRUE,$S$4=TRUE)=TRUE,IF(OR($Q$4=TRUE,$Q$5=TRUE,$S$2=TRUE),VLOOKUP($G841,'KO Calc'!$H:$AW,39,FALSE),VLOOKUP($G841,'KO Calc'!$H847:$AW847,39,FALSE)),IF(AND($S$3=TRUE,$S$4=TRUE),IF(OR($Q$4=TRUE,$Q$5=TRUE,$S$2=TRUE),VLOOKUP($G841,'KO Calc'!$H:$AW,29,FALSE),VLOOKUP($G841,'KO Calc'!$H847:$AW847,29,FALSE)))))))))))))</f>
        <v>-</v>
      </c>
      <c r="K841" s="36" t="str">
        <f>IF(AND($Q$1=FALSE,$S$3=FALSE),"-",IF(AND($Q$1=TRUE,$S$3=TRUE),"-",IF(AND($Q$1=FALSE,$S$3=FALSE),"-",IF(AND($Q$1=TRUE,$S$1=TRUE,$S$4=FALSE)=TRUE,IF(OR($Q$4=TRUE,$Q$5=TRUE,$S$2=TRUE),VLOOKUP($G841,'KO Calc'!$H:$AW,15,FALSE),VLOOKUP($G841,'KO Calc'!$H847:$AW847,15,FALSE)),IF(AND($Q$1=TRUE,$S$4=FALSE),IF(OR($Q$4=TRUE,$Q$5=TRUE,$S$2=TRUE),VLOOKUP($G841,'KO Calc'!$H:$AW,5,FALSE),VLOOKUP($G841,'KO Calc'!$H847:$AW847,5,FALSE)),
IF(AND($Q$1=TRUE,$S$1=TRUE,$S$4=TRUE)=TRUE,IF(OR($Q$4=TRUE,$Q$5=TRUE,$S$2=TRUE),VLOOKUP($G841,'KO Calc'!$H:$AW,20,FALSE),VLOOKUP($G841,'KO Calc'!$H847:$AW847,20,FALSE)),IF(AND($Q$1=TRUE,$S$4=TRUE),IF(OR($Q$4=TRUE,$Q$5=TRUE,$S$2=TRUE),VLOOKUP($G841,'KO Calc'!$H:$AW,10,FALSE),VLOOKUP($G841,'KO Calc'!$H847:$AW847,10,FALSE)),
IF(AND($S$3=TRUE,$S$1=TRUE,$S$4=FALSE)=TRUE,IF(OR($Q$4=TRUE,$Q$5=TRUE,$S$2=TRUE),VLOOKUP($G841,'KO Calc'!$H:$AW,35,FALSE),VLOOKUP($G841,'KO Calc'!$H847:$AW847,35,FALSE)),IF(AND($S$3=TRUE,$S$4=FALSE),IF(OR($Q$4=TRUE,$Q$5=TRUE,$S$2=TRUE),VLOOKUP($G841,'KO Calc'!$H:$AW,25,FALSE),VLOOKUP($G841,'KO Calc'!$H847:$AW847,25,FALSE)),
IF(AND($S$3=TRUE,$S$1=TRUE,$S$4=TRUE)=TRUE,IF(OR($Q$4=TRUE,$Q$5=TRUE,$S$2=TRUE),VLOOKUP($G841,'KO Calc'!$H:$AW,40,FALSE),VLOOKUP($G841,'KO Calc'!$H847:$AW847,40,FALSE)),IF(AND($S$3=TRUE,$S$4=TRUE),IF(OR($Q$4=TRUE,$Q$5=TRUE,$S$2=TRUE),VLOOKUP($G841,'KO Calc'!$H:$AW,30,FALSE),VLOOKUP($G841,'KO Calc'!$H847:$AW847,30,FALSE)))))))))))))</f>
        <v>-</v>
      </c>
      <c r="L841" s="36" t="str">
        <f>IFERROR(IF(AND($Q$1=FALSE,$S$3=FALSE),"-",VLOOKUP($E841,'Status Thresholds'!$E:$AU,41,FALSE)),"-")</f>
        <v>-</v>
      </c>
      <c r="M841" s="36" t="str">
        <f>IFERROR(IF(AND($Q$1=FALSE,$S$3=FALSE),"-",VLOOKUP($E841,'Status Thresholds'!$E:$AU,42,FALSE)),"-")</f>
        <v>-</v>
      </c>
      <c r="N841" s="36" t="str">
        <f>IFERROR(IF(AND($Q$1=FALSE,$S$3=FALSE),"-",VLOOKUP($E841,'Status Thresholds'!$E:$AU,43,FALSE)),"-")</f>
        <v>-</v>
      </c>
    </row>
    <row r="842" spans="2:14" x14ac:dyDescent="0.25">
      <c r="B842" s="64" t="str">
        <f>VLOOKUP(C842,'Status Thresholds'!B:C,2,FALSE)</f>
        <v>MHGen</v>
      </c>
      <c r="C842" s="46" t="str">
        <f>IF(ISBLANK('KO Calc'!C838)=TRUE,"",'KO Calc'!C838)</f>
        <v>Zamtrios</v>
      </c>
      <c r="D842" s="78" t="s">
        <v>207</v>
      </c>
      <c r="E842" s="62" t="str">
        <f t="shared" si="25"/>
        <v>ZamtriosShock Trap</v>
      </c>
      <c r="F842" t="s">
        <v>13</v>
      </c>
      <c r="G842" s="36" t="str">
        <f t="shared" si="24"/>
        <v>ZamtriosCrag 3</v>
      </c>
      <c r="H842" s="36" t="str">
        <f>IF(AND($Q$1=FALSE,$S$3=FALSE),"-",IF(AND($Q$1=TRUE,$S$3=TRUE),"-",IF(AND($Q$1=FALSE,$S$3=FALSE),"-",IF(AND($Q$1=TRUE,$S$1=TRUE,$S$4=FALSE)=TRUE,IF(OR($Q$4=TRUE,$Q$5=TRUE,$S$2=TRUE),VLOOKUP($G842,'KO Calc'!$H:$AW,12,FALSE),VLOOKUP($G842,'KO Calc'!$H848:$AW848,12,FALSE)),IF(AND($Q$1=TRUE,$S$4=FALSE),IF(OR($Q$4=TRUE,$Q$5=TRUE,$S$2=TRUE),VLOOKUP($G842,'KO Calc'!$H:$AW,2,FALSE),VLOOKUP($G842,'KO Calc'!$H848:$AW848,2,FALSE)),
IF(AND($Q$1=TRUE,$S$1=TRUE,$S$4=TRUE)=TRUE,IF(OR($Q$4=TRUE,$Q$5=TRUE,$S$2=TRUE),VLOOKUP($G842,'KO Calc'!$H:$AW,17,FALSE),VLOOKUP($G842,'KO Calc'!$H848:$AW848,17,FALSE)),IF(AND($Q$1=TRUE,$S$4=TRUE),IF(OR($Q$4=TRUE,$Q$5=TRUE,$S$2=TRUE),VLOOKUP($G842,'KO Calc'!$H:$AW,7,FALSE),VLOOKUP($G842,'KO Calc'!$H848:$AW848,7,FALSE)),
IF(AND($S$3=TRUE,$S$1=TRUE,$S$4=FALSE)=TRUE,IF(OR($Q$4=TRUE,$Q$5=TRUE,$S$2=TRUE),VLOOKUP($G842,'KO Calc'!$H:$AW,32,FALSE),VLOOKUP($G842,'KO Calc'!$H848:$AW848,32,FALSE)),IF(AND($S$3=TRUE,$S$4=FALSE),IF(OR($Q$4=TRUE,$Q$5=TRUE,$S$2=TRUE),VLOOKUP($G842,'KO Calc'!$H:$AW,22,FALSE),VLOOKUP($G842,'KO Calc'!$H848:$AW848,22,FALSE)),
IF(AND($S$3=TRUE,$S$1=TRUE,$S$4=TRUE)=TRUE,IF(OR($Q$4=TRUE,$Q$5=TRUE,$S$2=TRUE),VLOOKUP($G842,'KO Calc'!$H:$AW,37,FALSE),VLOOKUP($G842,'KO Calc'!$H848:$AW848,37,FALSE)),IF(AND($S$3=TRUE,$S$4=TRUE),IF(OR($Q$4=TRUE,$Q$5=TRUE,$S$2=TRUE),VLOOKUP($G842,'KO Calc'!$H:$AW,27,FALSE),VLOOKUP($G842,'KO Calc'!$H848:$AW848,27,FALSE)))))))))))))</f>
        <v>-</v>
      </c>
      <c r="I842" s="36" t="str">
        <f>IF(AND($Q$1=FALSE,$S$3=FALSE),"-",IF(AND($Q$1=TRUE,$S$3=TRUE),"-",IF(AND($Q$1=FALSE,$S$3=FALSE),"-",IF(AND($Q$1=TRUE,$S$1=TRUE,$S$4=FALSE)=TRUE,IF(OR($Q$4=TRUE,$Q$5=TRUE,$S$2=TRUE),VLOOKUP($G842,'KO Calc'!$H:$AW,13,FALSE),VLOOKUP($G842,'KO Calc'!$H848:$AW848,13,FALSE)),IF(AND($Q$1=TRUE,$S$4=FALSE),IF(OR($Q$4=TRUE,$Q$5=TRUE,$S$2=TRUE),VLOOKUP($G842,'KO Calc'!$H:$AW,3,FALSE),VLOOKUP($G842,'KO Calc'!$H848:$AW848,3,FALSE)),
IF(AND($Q$1=TRUE,$S$1=TRUE,$S$4=TRUE)=TRUE,IF(OR($Q$4=TRUE,$Q$5=TRUE,$S$2=TRUE),VLOOKUP($G842,'KO Calc'!$H:$AW,18,FALSE),VLOOKUP($G842,'KO Calc'!$H848:$AW848,18,FALSE)),IF(AND($Q$1=TRUE,$S$4=TRUE),IF(OR($Q$4=TRUE,$Q$5=TRUE,$S$2=TRUE),VLOOKUP($G842,'KO Calc'!$H:$AW,8,FALSE),VLOOKUP($G842,'KO Calc'!$H848:$AW848,8,FALSE)),
IF(AND($S$3=TRUE,$S$1=TRUE,$S$4=FALSE)=TRUE,IF(OR($Q$4=TRUE,$Q$5=TRUE,$S$2=TRUE),VLOOKUP($G842,'KO Calc'!$H:$AW,33,FALSE),VLOOKUP($G842,'KO Calc'!$H848:$AW848,33,FALSE)),IF(AND($S$3=TRUE,$S$4=FALSE),IF(OR($Q$4=TRUE,$Q$5=TRUE,$S$2=TRUE),VLOOKUP($G842,'KO Calc'!$H:$AW,23,FALSE),VLOOKUP($G842,'KO Calc'!$H848:$AW848,23,FALSE)),
IF(AND($S$3=TRUE,$S$1=TRUE,$S$4=TRUE)=TRUE,IF(OR($Q$4=TRUE,$Q$5=TRUE,$S$2=TRUE),VLOOKUP($G842,'KO Calc'!$H:$AW,38,FALSE),VLOOKUP($G842,'KO Calc'!$H848:$AW848,38,FALSE)),IF(AND($S$3=TRUE,$S$4=TRUE),IF(OR($Q$4=TRUE,$Q$5=TRUE,$S$2=TRUE),VLOOKUP($G842,'KO Calc'!$H:$AW,28,FALSE),VLOOKUP($G842,'KO Calc'!$H848:$AW848,28,FALSE)))))))))))))</f>
        <v>-</v>
      </c>
      <c r="J842" s="36" t="str">
        <f>IF(AND($Q$1=FALSE,$S$3=FALSE),"-",IF(AND($Q$1=TRUE,$S$3=TRUE),"-",IF(AND($Q$1=FALSE,$S$3=FALSE),"-",IF(AND($Q$1=TRUE,$S$1=TRUE,$S$4=FALSE)=TRUE,IF(OR($Q$4=TRUE,$Q$5=TRUE,$S$2=TRUE),VLOOKUP($G842,'KO Calc'!$H:$AW,FALSE),VLOOKUP($G842,'KO Calc'!$H848:$AW848,14,FALSE)),IF(AND($Q$1=TRUE,$S$4=FALSE),IF(OR($Q$4=TRUE,$Q$5=TRUE,$S$2=TRUE),VLOOKUP($G842,'KO Calc'!$H:$AW,4,FALSE),VLOOKUP($G842,'KO Calc'!$H848:$AW848,4,FALSE)),
IF(AND($Q$1=TRUE,$S$1=TRUE,$S$4=TRUE)=TRUE,IF(OR($Q$4=TRUE,$Q$5=TRUE,$S$2=TRUE),VLOOKUP($G842,'KO Calc'!$H:$AW,19,FALSE),VLOOKUP($G842,'KO Calc'!$H848:$AW848,19,FALSE)),IF(AND($Q$1=TRUE,$S$4=TRUE),IF(OR($Q$4=TRUE,$Q$5=TRUE,$S$2=TRUE),VLOOKUP($G842,'KO Calc'!$H:$AW,9,FALSE),VLOOKUP($G842,'KO Calc'!$H848:$AW848,9,FALSE)),
IF(AND($S$3=TRUE,$S$1=TRUE,$S$4=FALSE)=TRUE,IF(OR($Q$4=TRUE,$Q$5=TRUE,$S$2=TRUE),VLOOKUP($G842,'KO Calc'!$H:$AW,34,FALSE),VLOOKUP($G842,'KO Calc'!$H848:$AW848,34,FALSE)),IF(AND($S$3=TRUE,$S$4=FALSE),IF(OR($Q$4=TRUE,$Q$5=TRUE,$S$2=TRUE),VLOOKUP($G842,'KO Calc'!$H:$AW,24,FALSE),VLOOKUP($G842,'KO Calc'!$H848:$AW848,24,FALSE)),
IF(AND($S$3=TRUE,$S$1=TRUE,$S$4=TRUE)=TRUE,IF(OR($Q$4=TRUE,$Q$5=TRUE,$S$2=TRUE),VLOOKUP($G842,'KO Calc'!$H:$AW,39,FALSE),VLOOKUP($G842,'KO Calc'!$H848:$AW848,39,FALSE)),IF(AND($S$3=TRUE,$S$4=TRUE),IF(OR($Q$4=TRUE,$Q$5=TRUE,$S$2=TRUE),VLOOKUP($G842,'KO Calc'!$H:$AW,29,FALSE),VLOOKUP($G842,'KO Calc'!$H848:$AW848,29,FALSE)))))))))))))</f>
        <v>-</v>
      </c>
      <c r="K842" s="36" t="str">
        <f>IF(AND($Q$1=FALSE,$S$3=FALSE),"-",IF(AND($Q$1=TRUE,$S$3=TRUE),"-",IF(AND($Q$1=FALSE,$S$3=FALSE),"-",IF(AND($Q$1=TRUE,$S$1=TRUE,$S$4=FALSE)=TRUE,IF(OR($Q$4=TRUE,$Q$5=TRUE,$S$2=TRUE),VLOOKUP($G842,'KO Calc'!$H:$AW,15,FALSE),VLOOKUP($G842,'KO Calc'!$H848:$AW848,15,FALSE)),IF(AND($Q$1=TRUE,$S$4=FALSE),IF(OR($Q$4=TRUE,$Q$5=TRUE,$S$2=TRUE),VLOOKUP($G842,'KO Calc'!$H:$AW,5,FALSE),VLOOKUP($G842,'KO Calc'!$H848:$AW848,5,FALSE)),
IF(AND($Q$1=TRUE,$S$1=TRUE,$S$4=TRUE)=TRUE,IF(OR($Q$4=TRUE,$Q$5=TRUE,$S$2=TRUE),VLOOKUP($G842,'KO Calc'!$H:$AW,20,FALSE),VLOOKUP($G842,'KO Calc'!$H848:$AW848,20,FALSE)),IF(AND($Q$1=TRUE,$S$4=TRUE),IF(OR($Q$4=TRUE,$Q$5=TRUE,$S$2=TRUE),VLOOKUP($G842,'KO Calc'!$H:$AW,10,FALSE),VLOOKUP($G842,'KO Calc'!$H848:$AW848,10,FALSE)),
IF(AND($S$3=TRUE,$S$1=TRUE,$S$4=FALSE)=TRUE,IF(OR($Q$4=TRUE,$Q$5=TRUE,$S$2=TRUE),VLOOKUP($G842,'KO Calc'!$H:$AW,35,FALSE),VLOOKUP($G842,'KO Calc'!$H848:$AW848,35,FALSE)),IF(AND($S$3=TRUE,$S$4=FALSE),IF(OR($Q$4=TRUE,$Q$5=TRUE,$S$2=TRUE),VLOOKUP($G842,'KO Calc'!$H:$AW,25,FALSE),VLOOKUP($G842,'KO Calc'!$H848:$AW848,25,FALSE)),
IF(AND($S$3=TRUE,$S$1=TRUE,$S$4=TRUE)=TRUE,IF(OR($Q$4=TRUE,$Q$5=TRUE,$S$2=TRUE),VLOOKUP($G842,'KO Calc'!$H:$AW,40,FALSE),VLOOKUP($G842,'KO Calc'!$H848:$AW848,40,FALSE)),IF(AND($S$3=TRUE,$S$4=TRUE),IF(OR($Q$4=TRUE,$Q$5=TRUE,$S$2=TRUE),VLOOKUP($G842,'KO Calc'!$H:$AW,30,FALSE),VLOOKUP($G842,'KO Calc'!$H848:$AW848,30,FALSE)))))))))))))</f>
        <v>-</v>
      </c>
      <c r="L842" s="36" t="str">
        <f>IFERROR(IF(AND($Q$1=FALSE,$S$3=FALSE),"-",VLOOKUP($E842,'Status Thresholds'!$E:$AU,43,FALSE)),"-")</f>
        <v>-</v>
      </c>
      <c r="M842" s="36" t="str">
        <f>IFERROR(IF(AND($Q$1=FALSE,$S$3=FALSE),"-",VLOOKUP($E842,'Status Thresholds'!$E:$AU,41,FALSE)),"-")</f>
        <v>-</v>
      </c>
      <c r="N842" s="36" t="str">
        <f>IFERROR(IF(AND($Q$1=FALSE,$S$3=FALSE),"-",VLOOKUP($E842,'Status Thresholds'!$E:$AU,42,FALSE)),"-")</f>
        <v>-</v>
      </c>
    </row>
    <row r="843" spans="2:14" x14ac:dyDescent="0.25">
      <c r="B843" s="64" t="str">
        <f>VLOOKUP(C843,'Status Thresholds'!B:C,2,FALSE)</f>
        <v>MHGen</v>
      </c>
      <c r="C843" s="46" t="str">
        <f>IF(ISBLANK('KO Calc'!C839)=TRUE,"",'KO Calc'!C839)</f>
        <v>Zamtrios</v>
      </c>
      <c r="D843" s="78" t="s">
        <v>213</v>
      </c>
      <c r="E843" s="62" t="str">
        <f t="shared" si="25"/>
        <v>ZamtriosPitfall Trap</v>
      </c>
      <c r="F843" t="s">
        <v>12</v>
      </c>
      <c r="G843" s="36" t="str">
        <f t="shared" ref="G843:G853" si="26">C843&amp;F843</f>
        <v>ZamtriosCrag 2</v>
      </c>
      <c r="H843" s="36" t="str">
        <f>IF(AND($Q$1=FALSE,$S$3=FALSE),"-",IF(AND($Q$1=TRUE,$S$3=TRUE),"-",IF(AND($Q$1=FALSE,$S$3=FALSE),"-",IF(AND($Q$1=TRUE,$S$1=TRUE,$S$4=FALSE)=TRUE,IF(OR($Q$4=TRUE,$Q$5=TRUE,$S$2=TRUE),VLOOKUP($G843,'KO Calc'!$H:$AW,12,FALSE),VLOOKUP($G843,'KO Calc'!$H849:$AW849,12,FALSE)),IF(AND($Q$1=TRUE,$S$4=FALSE),IF(OR($Q$4=TRUE,$Q$5=TRUE,$S$2=TRUE),VLOOKUP($G843,'KO Calc'!$H:$AW,2,FALSE),VLOOKUP($G843,'KO Calc'!$H849:$AW849,2,FALSE)),
IF(AND($Q$1=TRUE,$S$1=TRUE,$S$4=TRUE)=TRUE,IF(OR($Q$4=TRUE,$Q$5=TRUE,$S$2=TRUE),VLOOKUP($G843,'KO Calc'!$H:$AW,17,FALSE),VLOOKUP($G843,'KO Calc'!$H849:$AW849,17,FALSE)),IF(AND($Q$1=TRUE,$S$4=TRUE),IF(OR($Q$4=TRUE,$Q$5=TRUE,$S$2=TRUE),VLOOKUP($G843,'KO Calc'!$H:$AW,7,FALSE),VLOOKUP($G843,'KO Calc'!$H849:$AW849,7,FALSE)),
IF(AND($S$3=TRUE,$S$1=TRUE,$S$4=FALSE)=TRUE,IF(OR($Q$4=TRUE,$Q$5=TRUE,$S$2=TRUE),VLOOKUP($G843,'KO Calc'!$H:$AW,32,FALSE),VLOOKUP($G843,'KO Calc'!$H849:$AW849,32,FALSE)),IF(AND($S$3=TRUE,$S$4=FALSE),IF(OR($Q$4=TRUE,$Q$5=TRUE,$S$2=TRUE),VLOOKUP($G843,'KO Calc'!$H:$AW,22,FALSE),VLOOKUP($G843,'KO Calc'!$H849:$AW849,22,FALSE)),
IF(AND($S$3=TRUE,$S$1=TRUE,$S$4=TRUE)=TRUE,IF(OR($Q$4=TRUE,$Q$5=TRUE,$S$2=TRUE),VLOOKUP($G843,'KO Calc'!$H:$AW,37,FALSE),VLOOKUP($G843,'KO Calc'!$H849:$AW849,37,FALSE)),IF(AND($S$3=TRUE,$S$4=TRUE),IF(OR($Q$4=TRUE,$Q$5=TRUE,$S$2=TRUE),VLOOKUP($G843,'KO Calc'!$H:$AW,27,FALSE),VLOOKUP($G843,'KO Calc'!$H849:$AW849,27,FALSE)))))))))))))</f>
        <v>-</v>
      </c>
      <c r="I843" s="36" t="str">
        <f>IF(AND($Q$1=FALSE,$S$3=FALSE),"-",IF(AND($Q$1=TRUE,$S$3=TRUE),"-",IF(AND($Q$1=FALSE,$S$3=FALSE),"-",IF(AND($Q$1=TRUE,$S$1=TRUE,$S$4=FALSE)=TRUE,IF(OR($Q$4=TRUE,$Q$5=TRUE,$S$2=TRUE),VLOOKUP($G843,'KO Calc'!$H:$AW,13,FALSE),VLOOKUP($G843,'KO Calc'!$H849:$AW849,13,FALSE)),IF(AND($Q$1=TRUE,$S$4=FALSE),IF(OR($Q$4=TRUE,$Q$5=TRUE,$S$2=TRUE),VLOOKUP($G843,'KO Calc'!$H:$AW,3,FALSE),VLOOKUP($G843,'KO Calc'!$H849:$AW849,3,FALSE)),
IF(AND($Q$1=TRUE,$S$1=TRUE,$S$4=TRUE)=TRUE,IF(OR($Q$4=TRUE,$Q$5=TRUE,$S$2=TRUE),VLOOKUP($G843,'KO Calc'!$H:$AW,18,FALSE),VLOOKUP($G843,'KO Calc'!$H849:$AW849,18,FALSE)),IF(AND($Q$1=TRUE,$S$4=TRUE),IF(OR($Q$4=TRUE,$Q$5=TRUE,$S$2=TRUE),VLOOKUP($G843,'KO Calc'!$H:$AW,8,FALSE),VLOOKUP($G843,'KO Calc'!$H849:$AW849,8,FALSE)),
IF(AND($S$3=TRUE,$S$1=TRUE,$S$4=FALSE)=TRUE,IF(OR($Q$4=TRUE,$Q$5=TRUE,$S$2=TRUE),VLOOKUP($G843,'KO Calc'!$H:$AW,33,FALSE),VLOOKUP($G843,'KO Calc'!$H849:$AW849,33,FALSE)),IF(AND($S$3=TRUE,$S$4=FALSE),IF(OR($Q$4=TRUE,$Q$5=TRUE,$S$2=TRUE),VLOOKUP($G843,'KO Calc'!$H:$AW,23,FALSE),VLOOKUP($G843,'KO Calc'!$H849:$AW849,23,FALSE)),
IF(AND($S$3=TRUE,$S$1=TRUE,$S$4=TRUE)=TRUE,IF(OR($Q$4=TRUE,$Q$5=TRUE,$S$2=TRUE),VLOOKUP($G843,'KO Calc'!$H:$AW,38,FALSE),VLOOKUP($G843,'KO Calc'!$H849:$AW849,38,FALSE)),IF(AND($S$3=TRUE,$S$4=TRUE),IF(OR($Q$4=TRUE,$Q$5=TRUE,$S$2=TRUE),VLOOKUP($G843,'KO Calc'!$H:$AW,28,FALSE),VLOOKUP($G843,'KO Calc'!$H849:$AW849,28,FALSE)))))))))))))</f>
        <v>-</v>
      </c>
      <c r="J843" s="36" t="str">
        <f>IF(AND($Q$1=FALSE,$S$3=FALSE),"-",IF(AND($Q$1=TRUE,$S$3=TRUE),"-",IF(AND($Q$1=FALSE,$S$3=FALSE),"-",IF(AND($Q$1=TRUE,$S$1=TRUE,$S$4=FALSE)=TRUE,IF(OR($Q$4=TRUE,$Q$5=TRUE,$S$2=TRUE),VLOOKUP($G843,'KO Calc'!$H:$AW,FALSE),VLOOKUP($G843,'KO Calc'!$H849:$AW849,14,FALSE)),IF(AND($Q$1=TRUE,$S$4=FALSE),IF(OR($Q$4=TRUE,$Q$5=TRUE,$S$2=TRUE),VLOOKUP($G843,'KO Calc'!$H:$AW,4,FALSE),VLOOKUP($G843,'KO Calc'!$H849:$AW849,4,FALSE)),
IF(AND($Q$1=TRUE,$S$1=TRUE,$S$4=TRUE)=TRUE,IF(OR($Q$4=TRUE,$Q$5=TRUE,$S$2=TRUE),VLOOKUP($G843,'KO Calc'!$H:$AW,19,FALSE),VLOOKUP($G843,'KO Calc'!$H849:$AW849,19,FALSE)),IF(AND($Q$1=TRUE,$S$4=TRUE),IF(OR($Q$4=TRUE,$Q$5=TRUE,$S$2=TRUE),VLOOKUP($G843,'KO Calc'!$H:$AW,9,FALSE),VLOOKUP($G843,'KO Calc'!$H849:$AW849,9,FALSE)),
IF(AND($S$3=TRUE,$S$1=TRUE,$S$4=FALSE)=TRUE,IF(OR($Q$4=TRUE,$Q$5=TRUE,$S$2=TRUE),VLOOKUP($G843,'KO Calc'!$H:$AW,34,FALSE),VLOOKUP($G843,'KO Calc'!$H849:$AW849,34,FALSE)),IF(AND($S$3=TRUE,$S$4=FALSE),IF(OR($Q$4=TRUE,$Q$5=TRUE,$S$2=TRUE),VLOOKUP($G843,'KO Calc'!$H:$AW,24,FALSE),VLOOKUP($G843,'KO Calc'!$H849:$AW849,24,FALSE)),
IF(AND($S$3=TRUE,$S$1=TRUE,$S$4=TRUE)=TRUE,IF(OR($Q$4=TRUE,$Q$5=TRUE,$S$2=TRUE),VLOOKUP($G843,'KO Calc'!$H:$AW,39,FALSE),VLOOKUP($G843,'KO Calc'!$H849:$AW849,39,FALSE)),IF(AND($S$3=TRUE,$S$4=TRUE),IF(OR($Q$4=TRUE,$Q$5=TRUE,$S$2=TRUE),VLOOKUP($G843,'KO Calc'!$H:$AW,29,FALSE),VLOOKUP($G843,'KO Calc'!$H849:$AW849,29,FALSE)))))))))))))</f>
        <v>-</v>
      </c>
      <c r="K843" s="36" t="str">
        <f>IF(AND($Q$1=FALSE,$S$3=FALSE),"-",IF(AND($Q$1=TRUE,$S$3=TRUE),"-",IF(AND($Q$1=FALSE,$S$3=FALSE),"-",IF(AND($Q$1=TRUE,$S$1=TRUE,$S$4=FALSE)=TRUE,IF(OR($Q$4=TRUE,$Q$5=TRUE,$S$2=TRUE),VLOOKUP($G843,'KO Calc'!$H:$AW,15,FALSE),VLOOKUP($G843,'KO Calc'!$H849:$AW849,15,FALSE)),IF(AND($Q$1=TRUE,$S$4=FALSE),IF(OR($Q$4=TRUE,$Q$5=TRUE,$S$2=TRUE),VLOOKUP($G843,'KO Calc'!$H:$AW,5,FALSE),VLOOKUP($G843,'KO Calc'!$H849:$AW849,5,FALSE)),
IF(AND($Q$1=TRUE,$S$1=TRUE,$S$4=TRUE)=TRUE,IF(OR($Q$4=TRUE,$Q$5=TRUE,$S$2=TRUE),VLOOKUP($G843,'KO Calc'!$H:$AW,20,FALSE),VLOOKUP($G843,'KO Calc'!$H849:$AW849,20,FALSE)),IF(AND($Q$1=TRUE,$S$4=TRUE),IF(OR($Q$4=TRUE,$Q$5=TRUE,$S$2=TRUE),VLOOKUP($G843,'KO Calc'!$H:$AW,10,FALSE),VLOOKUP($G843,'KO Calc'!$H849:$AW849,10,FALSE)),
IF(AND($S$3=TRUE,$S$1=TRUE,$S$4=FALSE)=TRUE,IF(OR($Q$4=TRUE,$Q$5=TRUE,$S$2=TRUE),VLOOKUP($G843,'KO Calc'!$H:$AW,35,FALSE),VLOOKUP($G843,'KO Calc'!$H849:$AW849,35,FALSE)),IF(AND($S$3=TRUE,$S$4=FALSE),IF(OR($Q$4=TRUE,$Q$5=TRUE,$S$2=TRUE),VLOOKUP($G843,'KO Calc'!$H:$AW,25,FALSE),VLOOKUP($G843,'KO Calc'!$H849:$AW849,25,FALSE)),
IF(AND($S$3=TRUE,$S$1=TRUE,$S$4=TRUE)=TRUE,IF(OR($Q$4=TRUE,$Q$5=TRUE,$S$2=TRUE),VLOOKUP($G843,'KO Calc'!$H:$AW,40,FALSE),VLOOKUP($G843,'KO Calc'!$H849:$AW849,40,FALSE)),IF(AND($S$3=TRUE,$S$4=TRUE),IF(OR($Q$4=TRUE,$Q$5=TRUE,$S$2=TRUE),VLOOKUP($G843,'KO Calc'!$H:$AW,30,FALSE),VLOOKUP($G843,'KO Calc'!$H849:$AW849,30,FALSE)))))))))))))</f>
        <v>-</v>
      </c>
      <c r="L843" s="36" t="str">
        <f>IFERROR(IF(AND($Q$1=FALSE,$S$3=FALSE),"-",VLOOKUP($E843,'Status Thresholds'!$E:$AU,43,FALSE)),"-")</f>
        <v>-</v>
      </c>
      <c r="M843" s="36" t="str">
        <f>IFERROR(IF(AND($Q$1=FALSE,$S$3=FALSE),"-",VLOOKUP($E843,'Status Thresholds'!$E:$AU,41,FALSE)),"-")</f>
        <v>-</v>
      </c>
      <c r="N843" s="36" t="str">
        <f>IFERROR(IF(AND($Q$1=FALSE,$S$3=FALSE),"-",VLOOKUP($E843,'Status Thresholds'!$E:$AU,42,FALSE)),"-")</f>
        <v>-</v>
      </c>
    </row>
    <row r="844" spans="2:14" x14ac:dyDescent="0.25">
      <c r="B844" s="64" t="str">
        <f>VLOOKUP(C844,'Status Thresholds'!B:C,2,FALSE)</f>
        <v>MHGen</v>
      </c>
      <c r="C844" s="46" t="str">
        <f>IF(ISBLANK('KO Calc'!C840)=TRUE,"",'KO Calc'!C840)</f>
        <v>Zamtrios</v>
      </c>
      <c r="D844" s="78"/>
      <c r="E844" s="62" t="str">
        <f t="shared" si="25"/>
        <v>Zamtrios</v>
      </c>
      <c r="F844" t="s">
        <v>11</v>
      </c>
      <c r="G844" s="36" t="str">
        <f t="shared" si="26"/>
        <v>ZamtriosCrag 1</v>
      </c>
      <c r="H844" s="36" t="str">
        <f>IF(AND($Q$1=FALSE,$S$3=FALSE),"-",IF(AND($Q$1=TRUE,$S$3=TRUE),"-",IF(AND($Q$1=FALSE,$S$3=FALSE),"-",IF(AND($Q$1=TRUE,$S$1=TRUE,$S$4=FALSE)=TRUE,IF(OR($Q$4=TRUE,$Q$5=TRUE,$S$2=TRUE),VLOOKUP($G844,'KO Calc'!$H:$AW,12,FALSE),VLOOKUP($G844,'KO Calc'!$H850:$AW850,12,FALSE)),IF(AND($Q$1=TRUE,$S$4=FALSE),IF(OR($Q$4=TRUE,$Q$5=TRUE,$S$2=TRUE),VLOOKUP($G844,'KO Calc'!$H:$AW,2,FALSE),VLOOKUP($G844,'KO Calc'!$H850:$AW850,2,FALSE)),
IF(AND($Q$1=TRUE,$S$1=TRUE,$S$4=TRUE)=TRUE,IF(OR($Q$4=TRUE,$Q$5=TRUE,$S$2=TRUE),VLOOKUP($G844,'KO Calc'!$H:$AW,17,FALSE),VLOOKUP($G844,'KO Calc'!$H850:$AW850,17,FALSE)),IF(AND($Q$1=TRUE,$S$4=TRUE),IF(OR($Q$4=TRUE,$Q$5=TRUE,$S$2=TRUE),VLOOKUP($G844,'KO Calc'!$H:$AW,7,FALSE),VLOOKUP($G844,'KO Calc'!$H850:$AW850,7,FALSE)),
IF(AND($S$3=TRUE,$S$1=TRUE,$S$4=FALSE)=TRUE,IF(OR($Q$4=TRUE,$Q$5=TRUE,$S$2=TRUE),VLOOKUP($G844,'KO Calc'!$H:$AW,32,FALSE),VLOOKUP($G844,'KO Calc'!$H850:$AW850,32,FALSE)),IF(AND($S$3=TRUE,$S$4=FALSE),IF(OR($Q$4=TRUE,$Q$5=TRUE,$S$2=TRUE),VLOOKUP($G844,'KO Calc'!$H:$AW,22,FALSE),VLOOKUP($G844,'KO Calc'!$H850:$AW850,22,FALSE)),
IF(AND($S$3=TRUE,$S$1=TRUE,$S$4=TRUE)=TRUE,IF(OR($Q$4=TRUE,$Q$5=TRUE,$S$2=TRUE),VLOOKUP($G844,'KO Calc'!$H:$AW,37,FALSE),VLOOKUP($G844,'KO Calc'!$H850:$AW850,37,FALSE)),IF(AND($S$3=TRUE,$S$4=TRUE),IF(OR($Q$4=TRUE,$Q$5=TRUE,$S$2=TRUE),VLOOKUP($G844,'KO Calc'!$H:$AW,27,FALSE),VLOOKUP($G844,'KO Calc'!$H850:$AW850,27,FALSE)))))))))))))</f>
        <v>-</v>
      </c>
      <c r="I844" s="36" t="str">
        <f>IF(AND($Q$1=FALSE,$S$3=FALSE),"-",IF(AND($Q$1=TRUE,$S$3=TRUE),"-",IF(AND($Q$1=FALSE,$S$3=FALSE),"-",IF(AND($Q$1=TRUE,$S$1=TRUE,$S$4=FALSE)=TRUE,IF(OR($Q$4=TRUE,$Q$5=TRUE,$S$2=TRUE),VLOOKUP($G844,'KO Calc'!$H:$AW,13,FALSE),VLOOKUP($G844,'KO Calc'!$H850:$AW850,13,FALSE)),IF(AND($Q$1=TRUE,$S$4=FALSE),IF(OR($Q$4=TRUE,$Q$5=TRUE,$S$2=TRUE),VLOOKUP($G844,'KO Calc'!$H:$AW,3,FALSE),VLOOKUP($G844,'KO Calc'!$H850:$AW850,3,FALSE)),
IF(AND($Q$1=TRUE,$S$1=TRUE,$S$4=TRUE)=TRUE,IF(OR($Q$4=TRUE,$Q$5=TRUE,$S$2=TRUE),VLOOKUP($G844,'KO Calc'!$H:$AW,18,FALSE),VLOOKUP($G844,'KO Calc'!$H850:$AW850,18,FALSE)),IF(AND($Q$1=TRUE,$S$4=TRUE),IF(OR($Q$4=TRUE,$Q$5=TRUE,$S$2=TRUE),VLOOKUP($G844,'KO Calc'!$H:$AW,8,FALSE),VLOOKUP($G844,'KO Calc'!$H850:$AW850,8,FALSE)),
IF(AND($S$3=TRUE,$S$1=TRUE,$S$4=FALSE)=TRUE,IF(OR($Q$4=TRUE,$Q$5=TRUE,$S$2=TRUE),VLOOKUP($G844,'KO Calc'!$H:$AW,33,FALSE),VLOOKUP($G844,'KO Calc'!$H850:$AW850,33,FALSE)),IF(AND($S$3=TRUE,$S$4=FALSE),IF(OR($Q$4=TRUE,$Q$5=TRUE,$S$2=TRUE),VLOOKUP($G844,'KO Calc'!$H:$AW,23,FALSE),VLOOKUP($G844,'KO Calc'!$H850:$AW850,23,FALSE)),
IF(AND($S$3=TRUE,$S$1=TRUE,$S$4=TRUE)=TRUE,IF(OR($Q$4=TRUE,$Q$5=TRUE,$S$2=TRUE),VLOOKUP($G844,'KO Calc'!$H:$AW,38,FALSE),VLOOKUP($G844,'KO Calc'!$H850:$AW850,38,FALSE)),IF(AND($S$3=TRUE,$S$4=TRUE),IF(OR($Q$4=TRUE,$Q$5=TRUE,$S$2=TRUE),VLOOKUP($G844,'KO Calc'!$H:$AW,28,FALSE),VLOOKUP($G844,'KO Calc'!$H850:$AW850,28,FALSE)))))))))))))</f>
        <v>-</v>
      </c>
      <c r="J844" s="36" t="str">
        <f>IF(AND($Q$1=FALSE,$S$3=FALSE),"-",IF(AND($Q$1=TRUE,$S$3=TRUE),"-",IF(AND($Q$1=FALSE,$S$3=FALSE),"-",IF(AND($Q$1=TRUE,$S$1=TRUE,$S$4=FALSE)=TRUE,IF(OR($Q$4=TRUE,$Q$5=TRUE,$S$2=TRUE),VLOOKUP($G844,'KO Calc'!$H:$AW,FALSE),VLOOKUP($G844,'KO Calc'!$H850:$AW850,14,FALSE)),IF(AND($Q$1=TRUE,$S$4=FALSE),IF(OR($Q$4=TRUE,$Q$5=TRUE,$S$2=TRUE),VLOOKUP($G844,'KO Calc'!$H:$AW,4,FALSE),VLOOKUP($G844,'KO Calc'!$H850:$AW850,4,FALSE)),
IF(AND($Q$1=TRUE,$S$1=TRUE,$S$4=TRUE)=TRUE,IF(OR($Q$4=TRUE,$Q$5=TRUE,$S$2=TRUE),VLOOKUP($G844,'KO Calc'!$H:$AW,19,FALSE),VLOOKUP($G844,'KO Calc'!$H850:$AW850,19,FALSE)),IF(AND($Q$1=TRUE,$S$4=TRUE),IF(OR($Q$4=TRUE,$Q$5=TRUE,$S$2=TRUE),VLOOKUP($G844,'KO Calc'!$H:$AW,9,FALSE),VLOOKUP($G844,'KO Calc'!$H850:$AW850,9,FALSE)),
IF(AND($S$3=TRUE,$S$1=TRUE,$S$4=FALSE)=TRUE,IF(OR($Q$4=TRUE,$Q$5=TRUE,$S$2=TRUE),VLOOKUP($G844,'KO Calc'!$H:$AW,34,FALSE),VLOOKUP($G844,'KO Calc'!$H850:$AW850,34,FALSE)),IF(AND($S$3=TRUE,$S$4=FALSE),IF(OR($Q$4=TRUE,$Q$5=TRUE,$S$2=TRUE),VLOOKUP($G844,'KO Calc'!$H:$AW,24,FALSE),VLOOKUP($G844,'KO Calc'!$H850:$AW850,24,FALSE)),
IF(AND($S$3=TRUE,$S$1=TRUE,$S$4=TRUE)=TRUE,IF(OR($Q$4=TRUE,$Q$5=TRUE,$S$2=TRUE),VLOOKUP($G844,'KO Calc'!$H:$AW,39,FALSE),VLOOKUP($G844,'KO Calc'!$H850:$AW850,39,FALSE)),IF(AND($S$3=TRUE,$S$4=TRUE),IF(OR($Q$4=TRUE,$Q$5=TRUE,$S$2=TRUE),VLOOKUP($G844,'KO Calc'!$H:$AW,29,FALSE),VLOOKUP($G844,'KO Calc'!$H850:$AW850,29,FALSE)))))))))))))</f>
        <v>-</v>
      </c>
      <c r="K844" s="36" t="str">
        <f>IF(AND($Q$1=FALSE,$S$3=FALSE),"-",IF(AND($Q$1=TRUE,$S$3=TRUE),"-",IF(AND($Q$1=FALSE,$S$3=FALSE),"-",IF(AND($Q$1=TRUE,$S$1=TRUE,$S$4=FALSE)=TRUE,IF(OR($Q$4=TRUE,$Q$5=TRUE,$S$2=TRUE),VLOOKUP($G844,'KO Calc'!$H:$AW,15,FALSE),VLOOKUP($G844,'KO Calc'!$H850:$AW850,15,FALSE)),IF(AND($Q$1=TRUE,$S$4=FALSE),IF(OR($Q$4=TRUE,$Q$5=TRUE,$S$2=TRUE),VLOOKUP($G844,'KO Calc'!$H:$AW,5,FALSE),VLOOKUP($G844,'KO Calc'!$H850:$AW850,5,FALSE)),
IF(AND($Q$1=TRUE,$S$1=TRUE,$S$4=TRUE)=TRUE,IF(OR($Q$4=TRUE,$Q$5=TRUE,$S$2=TRUE),VLOOKUP($G844,'KO Calc'!$H:$AW,20,FALSE),VLOOKUP($G844,'KO Calc'!$H850:$AW850,20,FALSE)),IF(AND($Q$1=TRUE,$S$4=TRUE),IF(OR($Q$4=TRUE,$Q$5=TRUE,$S$2=TRUE),VLOOKUP($G844,'KO Calc'!$H:$AW,10,FALSE),VLOOKUP($G844,'KO Calc'!$H850:$AW850,10,FALSE)),
IF(AND($S$3=TRUE,$S$1=TRUE,$S$4=FALSE)=TRUE,IF(OR($Q$4=TRUE,$Q$5=TRUE,$S$2=TRUE),VLOOKUP($G844,'KO Calc'!$H:$AW,35,FALSE),VLOOKUP($G844,'KO Calc'!$H850:$AW850,35,FALSE)),IF(AND($S$3=TRUE,$S$4=FALSE),IF(OR($Q$4=TRUE,$Q$5=TRUE,$S$2=TRUE),VLOOKUP($G844,'KO Calc'!$H:$AW,25,FALSE),VLOOKUP($G844,'KO Calc'!$H850:$AW850,25,FALSE)),
IF(AND($S$3=TRUE,$S$1=TRUE,$S$4=TRUE)=TRUE,IF(OR($Q$4=TRUE,$Q$5=TRUE,$S$2=TRUE),VLOOKUP($G844,'KO Calc'!$H:$AW,40,FALSE),VLOOKUP($G844,'KO Calc'!$H850:$AW850,40,FALSE)),IF(AND($S$3=TRUE,$S$4=TRUE),IF(OR($Q$4=TRUE,$Q$5=TRUE,$S$2=TRUE),VLOOKUP($G844,'KO Calc'!$H:$AW,30,FALSE),VLOOKUP($G844,'KO Calc'!$H850:$AW850,30,FALSE)))))))))))))</f>
        <v>-</v>
      </c>
      <c r="L844" s="36" t="str">
        <f>IFERROR(VLOOKUP($E844,'Status Thresholds'!$E:$AS,41,FALSE),"-")</f>
        <v>-</v>
      </c>
    </row>
    <row r="845" spans="2:14" x14ac:dyDescent="0.25">
      <c r="B845" s="64" t="str">
        <f>VLOOKUP(C845,'Status Thresholds'!B:C,2,FALSE)</f>
        <v>MHGen</v>
      </c>
      <c r="C845" s="46" t="str">
        <f>IF(ISBLANK('KO Calc'!C841)=TRUE,"",'KO Calc'!C841)</f>
        <v>Zamtrios</v>
      </c>
      <c r="D845" s="78"/>
      <c r="E845" s="62" t="str">
        <f t="shared" si="25"/>
        <v>Zamtrios</v>
      </c>
      <c r="G845" s="36" t="str">
        <f t="shared" si="26"/>
        <v>Zamtrios</v>
      </c>
    </row>
    <row r="846" spans="2:14" x14ac:dyDescent="0.25">
      <c r="B846" s="64" t="str">
        <f>VLOOKUP(C846,'Status Thresholds'!B:C,2,FALSE)</f>
        <v>MHGen</v>
      </c>
      <c r="C846" s="46" t="str">
        <f>IF(ISBLANK('KO Calc'!C842)=TRUE,"",'KO Calc'!C842)</f>
        <v>Zinogre</v>
      </c>
      <c r="D846" s="65" t="s">
        <v>0</v>
      </c>
      <c r="E846" s="62" t="str">
        <f t="shared" si="25"/>
        <v>ZinogrePara</v>
      </c>
      <c r="F846" s="36" t="s">
        <v>2</v>
      </c>
      <c r="G846" s="36" t="str">
        <f t="shared" si="26"/>
        <v>ZinogrePara lvl 2</v>
      </c>
      <c r="H846" s="36" t="str">
        <f>IFERROR(ROUNDUP(IF(AND($Q$1=FALSE,$S$3=FALSE),"-",IF(AND($Q$1=TRUE,$S$3=TRUE),"-",IF(AND($Q$1=TRUE,$S$1=TRUE,$S$4=FALSE),VLOOKUP($E846,'Status Thresholds'!$E:$AS,12,FALSE),IF(AND($Q$1=TRUE,$S$4=FALSE),VLOOKUP($E846,'Status Thresholds'!$E:$AS,2,FALSE), IF(AND($Q$1=TRUE,$S$1=TRUE,$S$4=TRUE),VLOOKUP($E846,'Status Thresholds'!$E:$AS,17,FALSE),IF(AND($Q$1=TRUE,$S$4=TRUE),VLOOKUP($E846,'Status Thresholds'!$E:$AS,7,FALSE),IF(AND($S$3=TRUE,$S$1=TRUE,$S$4=FALSE),VLOOKUP($E846,'Status Thresholds'!$E:$AS,32,FALSE),IF(AND($S$3=TRUE,$S$4=FALSE),VLOOKUP($E846,'Status Thresholds'!$E:$AS,22,FALSE),IF(AND($S$3=TRUE,$S$1=TRUE,$S$4=TRUE),VLOOKUP($E846,'Status Thresholds'!$E:$AS,37,FALSE),IF(AND($S$3=TRUE,$S$4=TRUE),VLOOKUP($E846,'Status Thresholds'!$E:$AS,27,FALSE),""))))))))/IF(OR($Q$3=TRUE,AND($Q$2=TRUE,$Q$7=TRUE),AND($Q$3=TRUE,$Q$7=TRUE))=TRUE,'Shots and Status'!$F$5,IF((OR($Q$2,$Q$7)=TRUE),'Shots and Status'!$D$5,'Shots and Status'!$C$5)))),0),"-")</f>
        <v>-</v>
      </c>
      <c r="I846" s="36" t="str">
        <f>IFERROR(ROUNDUP(IF(AND($Q$1=FALSE,$S$3=FALSE),"-",IF(AND($Q$1=TRUE,$S$3=TRUE),"-",IF(AND($Q$1=TRUE,$S$1=TRUE,$S$4=FALSE),VLOOKUP($E846,'Status Thresholds'!$E:$AS,13,FALSE),IF(AND($Q$1=TRUE,$S$4=FALSE),VLOOKUP($E846,'Status Thresholds'!$E:$AS,3,FALSE), IF(AND($Q$1=TRUE,$S$1=TRUE,$S$4=TRUE),VLOOKUP($E846,'Status Thresholds'!$E:$AS,18,FALSE),IF(AND($Q$1=TRUE,$S$4=TRUE),VLOOKUP($E846,'Status Thresholds'!$E:$AS,8,FALSE),IF(AND($S$3=TRUE,$S$1=TRUE,$S$4=FALSE),VLOOKUP($E846,'Status Thresholds'!$E:$AS,33,FALSE),IF(AND($S$3=TRUE,$S$4=FALSE),VLOOKUP($E846,'Status Thresholds'!$E:$AS,23,FALSE),IF(AND($S$3=TRUE,$S$1=TRUE,$S$4=TRUE),VLOOKUP($E846,'Status Thresholds'!$E:$AS,38,FALSE),IF(AND($S$3=TRUE,$S$4=TRUE),VLOOKUP($E846,'Status Thresholds'!$E:$AS,28,FALSE),""))))))))/IF(OR($Q$3=TRUE,AND($Q$2=TRUE,$Q$7=TRUE),AND($Q$3=TRUE,$Q$7=TRUE))=TRUE,'Shots and Status'!$F$5,IF((OR($Q$2,$Q$7)=TRUE),'Shots and Status'!$D$5,'Shots and Status'!$C$5)))),0),"-")</f>
        <v>-</v>
      </c>
      <c r="J846" s="36" t="str">
        <f>IFERROR(ROUNDUP(IF(AND($Q$1=FALSE,$S$3=FALSE),"-",IF(AND($Q$1=TRUE,$S$3=TRUE),"-",IF(AND($Q$1=TRUE,$S$1=TRUE,$S$4=FALSE),VLOOKUP($E846,'Status Thresholds'!$E:$AS,14,FALSE),IF(AND($Q$1=TRUE,$S$4=FALSE),VLOOKUP($E846,'Status Thresholds'!$E:$AS,4,FALSE), IF(AND($Q$1=TRUE,$S$1=TRUE,$S$4=TRUE),VLOOKUP($E846,'Status Thresholds'!$E:$AS,19,FALSE),IF(AND($Q$1=TRUE,$S$4=TRUE),VLOOKUP($E846,'Status Thresholds'!$E:$AS,9,FALSE),IF(AND($S$3=TRUE,$S$1=TRUE,$S$4=FALSE),VLOOKUP($E846,'Status Thresholds'!$E:$AS,34,FALSE),IF(AND($S$3=TRUE,$S$4=FALSE),VLOOKUP($E846,'Status Thresholds'!$E:$AS,24,FALSE),IF(AND($S$3=TRUE,$S$1=TRUE,$S$4=TRUE),VLOOKUP($E846,'Status Thresholds'!$E:$AS,39,FALSE),IF(AND($S$3=TRUE,$S$4=TRUE),VLOOKUP($E846,'Status Thresholds'!$E:$AS,29,FALSE),""))))))))/IF(OR($Q$3=TRUE,AND($Q$2=TRUE,$Q$7=TRUE),AND($Q$3=TRUE,$Q$7=TRUE))=TRUE,'Shots and Status'!$F$5,IF((OR($Q$2,$Q$7)=TRUE),'Shots and Status'!$D$5,'Shots and Status'!$C$5)))),0),"-")</f>
        <v>-</v>
      </c>
      <c r="K846" s="36" t="str">
        <f>IFERROR(ROUNDUP(IF(AND($Q$1=FALSE,$S$3=FALSE),"-",IF(AND($Q$1=TRUE,$S$3=TRUE),"-",IF(AND($Q$1=TRUE,$S$1=TRUE,$S$4=FALSE),VLOOKUP($E846,'Status Thresholds'!$E:$AS,15,FALSE),IF(AND($Q$1=TRUE,$S$4=FALSE),VLOOKUP($E846,'Status Thresholds'!$E:$AS,5,FALSE), IF(AND($Q$1=TRUE,$S$1=TRUE,$S$4=TRUE),VLOOKUP($E846,'Status Thresholds'!$E:$AS,20,FALSE),IF(AND($Q$1=TRUE,$S$4=TRUE),VLOOKUP($E846,'Status Thresholds'!$E:$AS,10,FALSE),IF(AND($S$3=TRUE,$S$1=TRUE,$S$4=FALSE),VLOOKUP($E846,'Status Thresholds'!$E:$AS,35,FALSE),IF(AND($S$3=TRUE,$S$4=FALSE),VLOOKUP($E846,'Status Thresholds'!$E:$AS,25,FALSE),IF(AND($S$3=TRUE,$S$1=TRUE,$S$4=TRUE),VLOOKUP($E846,'Status Thresholds'!$E:$AS,40,FALSE),IF(AND($S$3=TRUE,$S$4=TRUE),VLOOKUP($E846,'Status Thresholds'!$E:$AS,30,FALSE),""))))))))/IF(OR($Q$3=TRUE,AND($Q$2=TRUE,$Q$7=TRUE),AND($Q$3=TRUE,$Q$7=TRUE))=TRUE,'Shots and Status'!$F$5,IF((OR($Q$2,$Q$7)=TRUE),'Shots and Status'!$D$5,'Shots and Status'!$C$5)))),0),"-")</f>
        <v>-</v>
      </c>
      <c r="L846" s="36" t="str">
        <f>IFERROR(IF(AND($Q$1=FALSE,$S$3=FALSE),"-",VLOOKUP($E846,'Status Thresholds'!$E:$AU,41,FALSE)),"-")</f>
        <v>-</v>
      </c>
      <c r="M846" s="36" t="str">
        <f>IFERROR(IF(AND($Q$1=FALSE,$S$3=FALSE),"-",VLOOKUP($E846,'Status Thresholds'!$E:$AU,42,FALSE)),"-")</f>
        <v>-</v>
      </c>
      <c r="N846" s="36" t="str">
        <f>IFERROR(IF(AND($Q$1=FALSE,$S$3=FALSE),"-",VLOOKUP($E846,'Status Thresholds'!$E:$AU,43,FALSE)),"-")</f>
        <v>-</v>
      </c>
    </row>
    <row r="847" spans="2:14" x14ac:dyDescent="0.25">
      <c r="B847" s="64" t="str">
        <f>VLOOKUP(C847,'Status Thresholds'!B:C,2,FALSE)</f>
        <v>MHGen</v>
      </c>
      <c r="C847" s="46" t="str">
        <f>IF(ISBLANK('KO Calc'!C843)=TRUE,"",'KO Calc'!C843)</f>
        <v>Zinogre</v>
      </c>
      <c r="D847" s="60" t="s">
        <v>32</v>
      </c>
      <c r="E847" s="62" t="str">
        <f t="shared" si="25"/>
        <v>ZinogreSleep</v>
      </c>
      <c r="F847" s="59" t="s">
        <v>5</v>
      </c>
      <c r="G847" s="36" t="str">
        <f t="shared" si="26"/>
        <v>ZinogreSleep lvl 2</v>
      </c>
      <c r="H847" s="36" t="str">
        <f>IFERROR(ROUNDUP(IF(AND($Q$1=FALSE,$S$3=FALSE),"-",IF(AND($Q$1=TRUE,$S$3=TRUE),"-",IF(AND($Q$1=TRUE,$S$1=TRUE,$S$4=FALSE),VLOOKUP($E847,'Status Thresholds'!$E:$AS,12,FALSE),IF(AND($Q$1=TRUE,$S$4=FALSE),VLOOKUP($E847,'Status Thresholds'!$E:$AS,2,FALSE), IF(AND($Q$1=TRUE,$S$1=TRUE,$S$4=TRUE),VLOOKUP($E847,'Status Thresholds'!$E:$AS,17,FALSE),IF(AND($Q$1=TRUE,$S$4=TRUE),VLOOKUP($E847,'Status Thresholds'!$E:$AS,7,FALSE),IF(AND($S$3=TRUE,$S$1=TRUE,$S$4=FALSE),VLOOKUP($E847,'Status Thresholds'!$E:$AS,32,FALSE),IF(AND($S$3=TRUE,$S$4=FALSE),VLOOKUP($E847,'Status Thresholds'!$E:$AS,22,FALSE),IF(AND($S$3=TRUE,$S$1=TRUE,$S$4=TRUE),VLOOKUP($E847,'Status Thresholds'!$E:$AS,37,FALSE),IF(AND($S$3=TRUE,$S$4=TRUE),VLOOKUP($E847,'Status Thresholds'!$E:$AS,27,FALSE),""))))))))/IF(OR($Q$3=TRUE,AND($Q$2=TRUE,$Q$7=TRUE),AND($Q$3=TRUE,$Q$7=TRUE))=TRUE,'Shots and Status'!$F$5,IF((OR($Q$2,$Q$7)=TRUE),'Shots and Status'!$D$5,'Shots and Status'!$C$5)))),0),"-")</f>
        <v>-</v>
      </c>
      <c r="I847" s="36" t="str">
        <f>IFERROR(ROUNDUP(IF(AND($Q$1=FALSE,$S$3=FALSE),"-",IF(AND($Q$1=TRUE,$S$3=TRUE),"-",IF(AND($Q$1=TRUE,$S$1=TRUE,$S$4=FALSE),VLOOKUP($E847,'Status Thresholds'!$E:$AS,13,FALSE),IF(AND($Q$1=TRUE,$S$4=FALSE),VLOOKUP($E847,'Status Thresholds'!$E:$AS,3,FALSE), IF(AND($Q$1=TRUE,$S$1=TRUE,$S$4=TRUE),VLOOKUP($E847,'Status Thresholds'!$E:$AS,18,FALSE),IF(AND($Q$1=TRUE,$S$4=TRUE),VLOOKUP($E847,'Status Thresholds'!$E:$AS,8,FALSE),IF(AND($S$3=TRUE,$S$1=TRUE,$S$4=FALSE),VLOOKUP($E847,'Status Thresholds'!$E:$AS,33,FALSE),IF(AND($S$3=TRUE,$S$4=FALSE),VLOOKUP($E847,'Status Thresholds'!$E:$AS,23,FALSE),IF(AND($S$3=TRUE,$S$1=TRUE,$S$4=TRUE),VLOOKUP($E847,'Status Thresholds'!$E:$AS,38,FALSE),IF(AND($S$3=TRUE,$S$4=TRUE),VLOOKUP($E847,'Status Thresholds'!$E:$AS,28,FALSE),""))))))))/IF(OR($Q$3=TRUE,AND($Q$2=TRUE,$Q$7=TRUE),AND($Q$3=TRUE,$Q$7=TRUE))=TRUE,'Shots and Status'!$F$5,IF((OR($Q$2,$Q$7)=TRUE),'Shots and Status'!$D$5,'Shots and Status'!$C$5)))),0),"-")</f>
        <v>-</v>
      </c>
      <c r="J847" s="36" t="str">
        <f>IFERROR(ROUNDUP(IF(AND($Q$1=FALSE,$S$3=FALSE),"-",IF(AND($Q$1=TRUE,$S$3=TRUE),"-",IF(AND($Q$1=TRUE,$S$1=TRUE,$S$4=FALSE),VLOOKUP($E847,'Status Thresholds'!$E:$AS,14,FALSE),IF(AND($Q$1=TRUE,$S$4=FALSE),VLOOKUP($E847,'Status Thresholds'!$E:$AS,4,FALSE), IF(AND($Q$1=TRUE,$S$1=TRUE,$S$4=TRUE),VLOOKUP($E847,'Status Thresholds'!$E:$AS,19,FALSE),IF(AND($Q$1=TRUE,$S$4=TRUE),VLOOKUP($E847,'Status Thresholds'!$E:$AS,9,FALSE),IF(AND($S$3=TRUE,$S$1=TRUE,$S$4=FALSE),VLOOKUP($E847,'Status Thresholds'!$E:$AS,34,FALSE),IF(AND($S$3=TRUE,$S$4=FALSE),VLOOKUP($E847,'Status Thresholds'!$E:$AS,24,FALSE),IF(AND($S$3=TRUE,$S$1=TRUE,$S$4=TRUE),VLOOKUP($E847,'Status Thresholds'!$E:$AS,39,FALSE),IF(AND($S$3=TRUE,$S$4=TRUE),VLOOKUP($E847,'Status Thresholds'!$E:$AS,29,FALSE),""))))))))/IF(OR($Q$3=TRUE,AND($Q$2=TRUE,$Q$7=TRUE),AND($Q$3=TRUE,$Q$7=TRUE))=TRUE,'Shots and Status'!$F$5,IF((OR($Q$2,$Q$7)=TRUE),'Shots and Status'!$D$5,'Shots and Status'!$C$5)))),0),"-")</f>
        <v>-</v>
      </c>
      <c r="K847" s="36" t="str">
        <f>IFERROR(ROUNDUP(IF(AND($Q$1=FALSE,$S$3=FALSE),"-",IF(AND($Q$1=TRUE,$S$3=TRUE),"-",IF(AND($Q$1=TRUE,$S$1=TRUE,$S$4=FALSE),VLOOKUP($E847,'Status Thresholds'!$E:$AS,15,FALSE),IF(AND($Q$1=TRUE,$S$4=FALSE),VLOOKUP($E847,'Status Thresholds'!$E:$AS,5,FALSE), IF(AND($Q$1=TRUE,$S$1=TRUE,$S$4=TRUE),VLOOKUP($E847,'Status Thresholds'!$E:$AS,20,FALSE),IF(AND($Q$1=TRUE,$S$4=TRUE),VLOOKUP($E847,'Status Thresholds'!$E:$AS,10,FALSE),IF(AND($S$3=TRUE,$S$1=TRUE,$S$4=FALSE),VLOOKUP($E847,'Status Thresholds'!$E:$AS,35,FALSE),IF(AND($S$3=TRUE,$S$4=FALSE),VLOOKUP($E847,'Status Thresholds'!$E:$AS,25,FALSE),IF(AND($S$3=TRUE,$S$1=TRUE,$S$4=TRUE),VLOOKUP($E847,'Status Thresholds'!$E:$AS,40,FALSE),IF(AND($S$3=TRUE,$S$4=TRUE),VLOOKUP($E847,'Status Thresholds'!$E:$AS,30,FALSE),""))))))))/IF(OR($Q$3=TRUE,AND($Q$2=TRUE,$Q$7=TRUE),AND($Q$3=TRUE,$Q$7=TRUE))=TRUE,'Shots and Status'!$F$5,IF((OR($Q$2,$Q$7)=TRUE),'Shots and Status'!$D$5,'Shots and Status'!$C$5)))),0),"-")</f>
        <v>-</v>
      </c>
      <c r="L847" s="36" t="str">
        <f>IFERROR(IF(AND($Q$1=FALSE,$S$3=FALSE),"-",VLOOKUP($E847,'Status Thresholds'!$E:$AU,41,FALSE)),"-")</f>
        <v>-</v>
      </c>
      <c r="M847" s="36" t="str">
        <f>IFERROR(IF(AND($Q$1=FALSE,$S$3=FALSE),"-",VLOOKUP($E847,'Status Thresholds'!$E:$AU,42,FALSE)),"-")</f>
        <v>-</v>
      </c>
      <c r="N847" s="36" t="str">
        <f>IFERROR(IF(AND($Q$1=FALSE,$S$3=FALSE),"-",VLOOKUP($E847,'Status Thresholds'!$E:$AU,43,FALSE)),"-")</f>
        <v>-</v>
      </c>
    </row>
    <row r="848" spans="2:14" x14ac:dyDescent="0.25">
      <c r="B848" s="64" t="str">
        <f>VLOOKUP(C848,'Status Thresholds'!B:C,2,FALSE)</f>
        <v>MHGen</v>
      </c>
      <c r="C848" s="46" t="str">
        <f>IF(ISBLANK('KO Calc'!C844)=TRUE,"",'KO Calc'!C844)</f>
        <v>Zinogre</v>
      </c>
      <c r="D848" s="58" t="s">
        <v>33</v>
      </c>
      <c r="E848" s="62" t="str">
        <f t="shared" si="25"/>
        <v>ZinogrePoison</v>
      </c>
      <c r="F848" s="59" t="s">
        <v>6</v>
      </c>
      <c r="G848" s="36" t="str">
        <f t="shared" si="26"/>
        <v>ZinogrePoison lvl 2</v>
      </c>
      <c r="H848" s="36" t="str">
        <f>IFERROR(ROUNDUP(IF(AND($Q$1=FALSE,$S$3=FALSE),"-",IF(AND($Q$1=TRUE,$S$3=TRUE),"-",IF(AND($Q$1=TRUE,$S$1=TRUE,$S$4=FALSE),VLOOKUP($E848,'Status Thresholds'!$E:$AS,12,FALSE),IF(AND($Q$1=TRUE,$S$4=FALSE),VLOOKUP($E848,'Status Thresholds'!$E:$AS,2,FALSE), IF(AND($Q$1=TRUE,$S$1=TRUE,$S$4=TRUE),VLOOKUP($E848,'Status Thresholds'!$E:$AS,17,FALSE),IF(AND($Q$1=TRUE,$S$4=TRUE),VLOOKUP($E848,'Status Thresholds'!$E:$AS,7,FALSE),IF(AND($S$3=TRUE,$S$1=TRUE,$S$4=FALSE),VLOOKUP($E848,'Status Thresholds'!$E:$AS,32,FALSE),IF(AND($S$3=TRUE,$S$4=FALSE),VLOOKUP($E848,'Status Thresholds'!$E:$AS,22,FALSE),IF(AND($S$3=TRUE,$S$1=TRUE,$S$4=TRUE),VLOOKUP($E848,'Status Thresholds'!$E:$AS,37,FALSE),IF(AND($S$3=TRUE,$S$4=TRUE),VLOOKUP($E848,'Status Thresholds'!$E:$AS,27,FALSE),""))))))))/IF(OR($Q$3=TRUE,AND($Q$2=TRUE,$Q$7=TRUE),AND($Q$3=TRUE,$Q$7=TRUE))=TRUE,'Shots and Status'!$F$5,IF((OR($Q$2,$Q$7)=TRUE),'Shots and Status'!$D$5,'Shots and Status'!$C$5)))),0),"-")</f>
        <v>-</v>
      </c>
      <c r="I848" s="36" t="str">
        <f>IFERROR(ROUNDUP(IF(AND($Q$1=FALSE,$S$3=FALSE),"-",IF(AND($Q$1=TRUE,$S$3=TRUE),"-",IF(AND($Q$1=TRUE,$S$1=TRUE,$S$4=FALSE),VLOOKUP($E848,'Status Thresholds'!$E:$AS,13,FALSE),IF(AND($Q$1=TRUE,$S$4=FALSE),VLOOKUP($E848,'Status Thresholds'!$E:$AS,3,FALSE), IF(AND($Q$1=TRUE,$S$1=TRUE,$S$4=TRUE),VLOOKUP($E848,'Status Thresholds'!$E:$AS,18,FALSE),IF(AND($Q$1=TRUE,$S$4=TRUE),VLOOKUP($E848,'Status Thresholds'!$E:$AS,8,FALSE),IF(AND($S$3=TRUE,$S$1=TRUE,$S$4=FALSE),VLOOKUP($E848,'Status Thresholds'!$E:$AS,33,FALSE),IF(AND($S$3=TRUE,$S$4=FALSE),VLOOKUP($E848,'Status Thresholds'!$E:$AS,23,FALSE),IF(AND($S$3=TRUE,$S$1=TRUE,$S$4=TRUE),VLOOKUP($E848,'Status Thresholds'!$E:$AS,38,FALSE),IF(AND($S$3=TRUE,$S$4=TRUE),VLOOKUP($E848,'Status Thresholds'!$E:$AS,28,FALSE),""))))))))/IF(OR($Q$3=TRUE,AND($Q$2=TRUE,$Q$7=TRUE),AND($Q$3=TRUE,$Q$7=TRUE))=TRUE,'Shots and Status'!$F$5,IF((OR($Q$2,$Q$7)=TRUE),'Shots and Status'!$D$5,'Shots and Status'!$C$5)))),0),"-")</f>
        <v>-</v>
      </c>
      <c r="J848" s="36" t="str">
        <f>IFERROR(ROUNDUP(IF(AND($Q$1=FALSE,$S$3=FALSE),"-",IF(AND($Q$1=TRUE,$S$3=TRUE),"-",IF(AND($Q$1=TRUE,$S$1=TRUE,$S$4=FALSE),VLOOKUP($E848,'Status Thresholds'!$E:$AS,14,FALSE),IF(AND($Q$1=TRUE,$S$4=FALSE),VLOOKUP($E848,'Status Thresholds'!$E:$AS,4,FALSE), IF(AND($Q$1=TRUE,$S$1=TRUE,$S$4=TRUE),VLOOKUP($E848,'Status Thresholds'!$E:$AS,19,FALSE),IF(AND($Q$1=TRUE,$S$4=TRUE),VLOOKUP($E848,'Status Thresholds'!$E:$AS,9,FALSE),IF(AND($S$3=TRUE,$S$1=TRUE,$S$4=FALSE),VLOOKUP($E848,'Status Thresholds'!$E:$AS,34,FALSE),IF(AND($S$3=TRUE,$S$4=FALSE),VLOOKUP($E848,'Status Thresholds'!$E:$AS,24,FALSE),IF(AND($S$3=TRUE,$S$1=TRUE,$S$4=TRUE),VLOOKUP($E848,'Status Thresholds'!$E:$AS,39,FALSE),IF(AND($S$3=TRUE,$S$4=TRUE),VLOOKUP($E848,'Status Thresholds'!$E:$AS,29,FALSE),""))))))))/IF(OR($Q$3=TRUE,AND($Q$2=TRUE,$Q$7=TRUE),AND($Q$3=TRUE,$Q$7=TRUE))=TRUE,'Shots and Status'!$F$5,IF((OR($Q$2,$Q$7)=TRUE),'Shots and Status'!$D$5,'Shots and Status'!$C$5)))),0),"-")</f>
        <v>-</v>
      </c>
      <c r="K848" s="36" t="str">
        <f>IFERROR(ROUNDUP(IF(AND($Q$1=FALSE,$S$3=FALSE),"-",IF(AND($Q$1=TRUE,$S$3=TRUE),"-",IF(AND($Q$1=TRUE,$S$1=TRUE,$S$4=FALSE),VLOOKUP($E848,'Status Thresholds'!$E:$AS,15,FALSE),IF(AND($Q$1=TRUE,$S$4=FALSE),VLOOKUP($E848,'Status Thresholds'!$E:$AS,5,FALSE), IF(AND($Q$1=TRUE,$S$1=TRUE,$S$4=TRUE),VLOOKUP($E848,'Status Thresholds'!$E:$AS,20,FALSE),IF(AND($Q$1=TRUE,$S$4=TRUE),VLOOKUP($E848,'Status Thresholds'!$E:$AS,10,FALSE),IF(AND($S$3=TRUE,$S$1=TRUE,$S$4=FALSE),VLOOKUP($E848,'Status Thresholds'!$E:$AS,35,FALSE),IF(AND($S$3=TRUE,$S$4=FALSE),VLOOKUP($E848,'Status Thresholds'!$E:$AS,25,FALSE),IF(AND($S$3=TRUE,$S$1=TRUE,$S$4=TRUE),VLOOKUP($E848,'Status Thresholds'!$E:$AS,40,FALSE),IF(AND($S$3=TRUE,$S$4=TRUE),VLOOKUP($E848,'Status Thresholds'!$E:$AS,30,FALSE),""))))))))/IF(OR($Q$3=TRUE,AND($Q$2=TRUE,$Q$7=TRUE),AND($Q$3=TRUE,$Q$7=TRUE))=TRUE,'Shots and Status'!$F$5,IF((OR($Q$2,$Q$7)=TRUE),'Shots and Status'!$D$5,'Shots and Status'!$C$5)))),0),"-")</f>
        <v>-</v>
      </c>
      <c r="L848" s="36" t="str">
        <f>IFERROR(IF(AND($Q$1=FALSE,$S$3=FALSE),"-",VLOOKUP($E848,'Status Thresholds'!$E:$AU,41,FALSE)),"-")</f>
        <v>-</v>
      </c>
      <c r="M848" s="36" t="str">
        <f>IFERROR(IF(AND($Q$1=FALSE,$S$3=FALSE),"-",VLOOKUP($E848,'Status Thresholds'!$E:$AU,42,FALSE)),"-")</f>
        <v>-</v>
      </c>
      <c r="N848" s="36" t="str">
        <f>IFERROR(IF(AND($Q$1=FALSE,$S$3=FALSE),"-",VLOOKUP($E848,'Status Thresholds'!$E:$AU,43,FALSE)),"-")</f>
        <v>-</v>
      </c>
    </row>
    <row r="849" spans="2:14" x14ac:dyDescent="0.25">
      <c r="B849" s="64" t="str">
        <f>VLOOKUP(C849,'Status Thresholds'!B:C,2,FALSE)</f>
        <v>MHGen</v>
      </c>
      <c r="C849" s="46" t="str">
        <f>IF(ISBLANK('KO Calc'!C845)=TRUE,"",'KO Calc'!C845)</f>
        <v>Zinogre</v>
      </c>
      <c r="D849" s="57" t="s">
        <v>22</v>
      </c>
      <c r="E849" s="62" t="str">
        <f t="shared" si="25"/>
        <v>ZinogreExhaust</v>
      </c>
      <c r="F849" s="36" t="s">
        <v>8</v>
      </c>
      <c r="G849" s="36" t="str">
        <f t="shared" si="26"/>
        <v>ZinogreExhaust lvl 2</v>
      </c>
      <c r="H849" s="36" t="str">
        <f>IFERROR(ROUNDUP(IF(AND($Q$1=FALSE,$S$3=FALSE),"-",IF(AND($Q$1=TRUE,$S$3=TRUE),"-",IF(AND($Q$1=TRUE,$S$1=TRUE,$S$4=FALSE),VLOOKUP($E849,'Status Thresholds'!$E:$AS,12,FALSE),IF(AND($Q$1=TRUE,$S$4=FALSE),VLOOKUP($E849,'Status Thresholds'!$E:$AS,2,FALSE), IF(AND($Q$1=TRUE,$S$1=TRUE,$S$4=TRUE),VLOOKUP($E849,'Status Thresholds'!$E:$AS,17,FALSE),IF(AND($Q$1=TRUE,$S$4=TRUE),VLOOKUP($E849,'Status Thresholds'!$E:$AS,7,FALSE),IF(AND($S$3=TRUE,$S$1=TRUE,$S$4=FALSE),VLOOKUP($E849,'Status Thresholds'!$E:$AS,32,FALSE),IF(AND($S$3=TRUE,$S$4=FALSE),VLOOKUP($E849,'Status Thresholds'!$E:$AS,22,FALSE),IF(AND($S$3=TRUE,$S$1=TRUE,$S$4=TRUE),VLOOKUP($E849,'Status Thresholds'!$E:$AS,37,FALSE),IF(AND($S$3=TRUE,$S$4=TRUE),VLOOKUP($E849,'Status Thresholds'!$E:$AS,27,FALSE),""))))))))/IF(OR($Q$3=TRUE,AND($Q$2=TRUE,$Q$7=TRUE),AND($Q$3=TRUE,$Q$7=TRUE))=TRUE,'Shots and Status'!$F$5,IF((OR($Q$2,$Q$7)=TRUE),'Shots and Status'!$D$5,'Shots and Status'!$C$5)))),0),"-")</f>
        <v>-</v>
      </c>
      <c r="I849" s="36" t="str">
        <f>IFERROR(ROUNDUP(IF(AND($Q$1=FALSE,$S$3=FALSE),"-",IF(AND($Q$1=TRUE,$S$3=TRUE),"-",IF(AND($Q$1=TRUE,$S$1=TRUE,$S$4=FALSE),VLOOKUP($E849,'Status Thresholds'!$E:$AS,13,FALSE),IF(AND($Q$1=TRUE,$S$4=FALSE),VLOOKUP($E849,'Status Thresholds'!$E:$AS,3,FALSE), IF(AND($Q$1=TRUE,$S$1=TRUE,$S$4=TRUE),VLOOKUP($E849,'Status Thresholds'!$E:$AS,18,FALSE),IF(AND($Q$1=TRUE,$S$4=TRUE),VLOOKUP($E849,'Status Thresholds'!$E:$AS,8,FALSE),IF(AND($S$3=TRUE,$S$1=TRUE,$S$4=FALSE),VLOOKUP($E849,'Status Thresholds'!$E:$AS,33,FALSE),IF(AND($S$3=TRUE,$S$4=FALSE),VLOOKUP($E849,'Status Thresholds'!$E:$AS,23,FALSE),IF(AND($S$3=TRUE,$S$1=TRUE,$S$4=TRUE),VLOOKUP($E849,'Status Thresholds'!$E:$AS,38,FALSE),IF(AND($S$3=TRUE,$S$4=TRUE),VLOOKUP($E849,'Status Thresholds'!$E:$AS,28,FALSE),""))))))))/IF(OR($Q$3=TRUE,AND($Q$2=TRUE,$Q$7=TRUE),AND($Q$3=TRUE,$Q$7=TRUE))=TRUE,'Shots and Status'!$F$5,IF((OR($Q$2,$Q$7)=TRUE),'Shots and Status'!$D$5,'Shots and Status'!$C$5)))),0),"-")</f>
        <v>-</v>
      </c>
      <c r="J849" s="36" t="str">
        <f>IFERROR(ROUNDUP(IF(AND($Q$1=FALSE,$S$3=FALSE),"-",IF(AND($Q$1=TRUE,$S$3=TRUE),"-",IF(AND($Q$1=TRUE,$S$1=TRUE,$S$4=FALSE),VLOOKUP($E849,'Status Thresholds'!$E:$AS,14,FALSE),IF(AND($Q$1=TRUE,$S$4=FALSE),VLOOKUP($E849,'Status Thresholds'!$E:$AS,4,FALSE), IF(AND($Q$1=TRUE,$S$1=TRUE,$S$4=TRUE),VLOOKUP($E849,'Status Thresholds'!$E:$AS,19,FALSE),IF(AND($Q$1=TRUE,$S$4=TRUE),VLOOKUP($E849,'Status Thresholds'!$E:$AS,9,FALSE),IF(AND($S$3=TRUE,$S$1=TRUE,$S$4=FALSE),VLOOKUP($E849,'Status Thresholds'!$E:$AS,34,FALSE),IF(AND($S$3=TRUE,$S$4=FALSE),VLOOKUP($E849,'Status Thresholds'!$E:$AS,24,FALSE),IF(AND($S$3=TRUE,$S$1=TRUE,$S$4=TRUE),VLOOKUP($E849,'Status Thresholds'!$E:$AS,39,FALSE),IF(AND($S$3=TRUE,$S$4=TRUE),VLOOKUP($E849,'Status Thresholds'!$E:$AS,29,FALSE),""))))))))/IF(OR($Q$3=TRUE,AND($Q$2=TRUE,$Q$7=TRUE),AND($Q$3=TRUE,$Q$7=TRUE))=TRUE,'Shots and Status'!$F$5,IF((OR($Q$2,$Q$7)=TRUE),'Shots and Status'!$D$5,'Shots and Status'!$C$5)))),0),"-")</f>
        <v>-</v>
      </c>
      <c r="K849" s="36" t="str">
        <f>IFERROR(ROUNDUP(IF(AND($Q$1=FALSE,$S$3=FALSE),"-",IF(AND($Q$1=TRUE,$S$3=TRUE),"-",IF(AND($Q$1=TRUE,$S$1=TRUE,$S$4=FALSE),VLOOKUP($E849,'Status Thresholds'!$E:$AS,15,FALSE),IF(AND($Q$1=TRUE,$S$4=FALSE),VLOOKUP($E849,'Status Thresholds'!$E:$AS,5,FALSE), IF(AND($Q$1=TRUE,$S$1=TRUE,$S$4=TRUE),VLOOKUP($E849,'Status Thresholds'!$E:$AS,20,FALSE),IF(AND($Q$1=TRUE,$S$4=TRUE),VLOOKUP($E849,'Status Thresholds'!$E:$AS,10,FALSE),IF(AND($S$3=TRUE,$S$1=TRUE,$S$4=FALSE),VLOOKUP($E849,'Status Thresholds'!$E:$AS,35,FALSE),IF(AND($S$3=TRUE,$S$4=FALSE),VLOOKUP($E849,'Status Thresholds'!$E:$AS,25,FALSE),IF(AND($S$3=TRUE,$S$1=TRUE,$S$4=TRUE),VLOOKUP($E849,'Status Thresholds'!$E:$AS,40,FALSE),IF(AND($S$3=TRUE,$S$4=TRUE),VLOOKUP($E849,'Status Thresholds'!$E:$AS,30,FALSE),""))))))))/IF(OR($Q$3=TRUE,AND($Q$2=TRUE,$Q$7=TRUE),AND($Q$3=TRUE,$Q$7=TRUE))=TRUE,'Shots and Status'!$F$5,IF((OR($Q$2,$Q$7)=TRUE),'Shots and Status'!$D$5,'Shots and Status'!$C$5)))),0),"-")</f>
        <v>-</v>
      </c>
      <c r="L849" s="36" t="str">
        <f>IFERROR(IF(AND($Q$1=FALSE,$S$3=FALSE),"-",VLOOKUP($E849,'Status Thresholds'!$E:$AU,41,FALSE)),"-")</f>
        <v>-</v>
      </c>
      <c r="M849" s="36" t="str">
        <f>IFERROR(IF(AND($Q$1=FALSE,$S$3=FALSE),"-",VLOOKUP($E849,'Status Thresholds'!$E:$AU,42,FALSE)),"-")</f>
        <v>-</v>
      </c>
      <c r="N849" s="36" t="str">
        <f>IFERROR(IF(AND($Q$1=FALSE,$S$3=FALSE),"-",VLOOKUP($E849,'Status Thresholds'!$E:$AU,43,FALSE)),"-")</f>
        <v>-</v>
      </c>
    </row>
    <row r="850" spans="2:14" x14ac:dyDescent="0.25">
      <c r="B850" s="64" t="str">
        <f>VLOOKUP(C850,'Status Thresholds'!B:C,2,FALSE)</f>
        <v>MHGen</v>
      </c>
      <c r="C850" s="46" t="str">
        <f>IF(ISBLANK('KO Calc'!C846)=TRUE,"",'KO Calc'!C846)</f>
        <v>Zinogre</v>
      </c>
      <c r="D850" s="67" t="s">
        <v>14</v>
      </c>
      <c r="E850" s="62" t="str">
        <f t="shared" si="25"/>
        <v>ZinogreKO</v>
      </c>
      <c r="F850" s="36" t="s">
        <v>21</v>
      </c>
      <c r="G850" s="36" t="str">
        <f t="shared" si="26"/>
        <v>ZinogreTriblast</v>
      </c>
      <c r="H850" s="36" t="str">
        <f>IF(AND($Q$1=FALSE,$S$3=FALSE),"-",IF(AND($Q$1=TRUE,$S$3=TRUE),"-",IF(AND($Q$1=FALSE,$S$3=FALSE),"-",IF(AND($Q$1=TRUE,$S$1=TRUE,$S$4=FALSE)=TRUE,IF(OR($Q$4=TRUE,$Q$5=TRUE,$S$2=TRUE),VLOOKUP($G850,'KO Calc'!$H:$AW,12,FALSE),VLOOKUP($G850,'KO Calc'!$H856:$AW856,12,FALSE)),IF(AND($Q$1=TRUE,$S$4=FALSE),IF(OR($Q$4=TRUE,$Q$5=TRUE,$S$2=TRUE),VLOOKUP($G850,'KO Calc'!$H:$AW,2,FALSE),VLOOKUP($G850,'KO Calc'!$H856:$AW856,2,FALSE)),
IF(AND($Q$1=TRUE,$S$1=TRUE,$S$4=TRUE)=TRUE,IF(OR($Q$4=TRUE,$Q$5=TRUE,$S$2=TRUE),VLOOKUP($G850,'KO Calc'!$H:$AW,17,FALSE),VLOOKUP($G850,'KO Calc'!$H856:$AW856,17,FALSE)),IF(AND($Q$1=TRUE,$S$4=TRUE),IF(OR($Q$4=TRUE,$Q$5=TRUE,$S$2=TRUE),VLOOKUP($G850,'KO Calc'!$H:$AW,7,FALSE),VLOOKUP($G850,'KO Calc'!$H856:$AW856,7,FALSE)),
IF(AND($S$3=TRUE,$S$1=TRUE,$S$4=FALSE)=TRUE,IF(OR($Q$4=TRUE,$Q$5=TRUE,$S$2=TRUE),VLOOKUP($G850,'KO Calc'!$H:$AW,32,FALSE),VLOOKUP($G850,'KO Calc'!$H856:$AW856,32,FALSE)),IF(AND($S$3=TRUE,$S$4=FALSE),IF(OR($Q$4=TRUE,$Q$5=TRUE,$S$2=TRUE),VLOOKUP($G850,'KO Calc'!$H:$AW,22,FALSE),VLOOKUP($G850,'KO Calc'!$H856:$AW856,22,FALSE)),
IF(AND($S$3=TRUE,$S$1=TRUE,$S$4=TRUE)=TRUE,IF(OR($Q$4=TRUE,$Q$5=TRUE,$S$2=TRUE),VLOOKUP($G850,'KO Calc'!$H:$AW,37,FALSE),VLOOKUP($G850,'KO Calc'!$H856:$AW856,37,FALSE)),IF(AND($S$3=TRUE,$S$4=TRUE),IF(OR($Q$4=TRUE,$Q$5=TRUE,$S$2=TRUE),VLOOKUP($G850,'KO Calc'!$H:$AW,27,FALSE),VLOOKUP($G850,'KO Calc'!$H856:$AW856,27,FALSE)))))))))))))</f>
        <v>-</v>
      </c>
      <c r="I850" s="36" t="str">
        <f>IF(AND($Q$1=FALSE,$S$3=FALSE),"-",IF(AND($Q$1=TRUE,$S$3=TRUE),"-",IF(AND($Q$1=FALSE,$S$3=FALSE),"-",IF(AND($Q$1=TRUE,$S$1=TRUE,$S$4=FALSE)=TRUE,IF(OR($Q$4=TRUE,$Q$5=TRUE,$S$2=TRUE),VLOOKUP($G850,'KO Calc'!$H:$AW,13,FALSE),VLOOKUP($G850,'KO Calc'!$H856:$AW856,13,FALSE)),IF(AND($Q$1=TRUE,$S$4=FALSE),IF(OR($Q$4=TRUE,$Q$5=TRUE,$S$2=TRUE),VLOOKUP($G850,'KO Calc'!$H:$AW,3,FALSE),VLOOKUP($G850,'KO Calc'!$H856:$AW856,3,FALSE)),
IF(AND($Q$1=TRUE,$S$1=TRUE,$S$4=TRUE)=TRUE,IF(OR($Q$4=TRUE,$Q$5=TRUE,$S$2=TRUE),VLOOKUP($G850,'KO Calc'!$H:$AW,18,FALSE),VLOOKUP($G850,'KO Calc'!$H856:$AW856,18,FALSE)),IF(AND($Q$1=TRUE,$S$4=TRUE),IF(OR($Q$4=TRUE,$Q$5=TRUE,$S$2=TRUE),VLOOKUP($G850,'KO Calc'!$H:$AW,8,FALSE),VLOOKUP($G850,'KO Calc'!$H856:$AW856,8,FALSE)),
IF(AND($S$3=TRUE,$S$1=TRUE,$S$4=FALSE)=TRUE,IF(OR($Q$4=TRUE,$Q$5=TRUE,$S$2=TRUE),VLOOKUP($G850,'KO Calc'!$H:$AW,33,FALSE),VLOOKUP($G850,'KO Calc'!$H856:$AW856,33,FALSE)),IF(AND($S$3=TRUE,$S$4=FALSE),IF(OR($Q$4=TRUE,$Q$5=TRUE,$S$2=TRUE),VLOOKUP($G850,'KO Calc'!$H:$AW,23,FALSE),VLOOKUP($G850,'KO Calc'!$H856:$AW856,23,FALSE)),
IF(AND($S$3=TRUE,$S$1=TRUE,$S$4=TRUE)=TRUE,IF(OR($Q$4=TRUE,$Q$5=TRUE,$S$2=TRUE),VLOOKUP($G850,'KO Calc'!$H:$AW,38,FALSE),VLOOKUP($G850,'KO Calc'!$H856:$AW856,38,FALSE)),IF(AND($S$3=TRUE,$S$4=TRUE),IF(OR($Q$4=TRUE,$Q$5=TRUE,$S$2=TRUE),VLOOKUP($G850,'KO Calc'!$H:$AW,28,FALSE),VLOOKUP($G850,'KO Calc'!$H856:$AW856,28,FALSE)))))))))))))</f>
        <v>-</v>
      </c>
      <c r="J850" s="36" t="str">
        <f>IF(AND($Q$1=FALSE,$S$3=FALSE),"-",IF(AND($Q$1=TRUE,$S$3=TRUE),"-",IF(AND($Q$1=FALSE,$S$3=FALSE),"-",IF(AND($Q$1=TRUE,$S$1=TRUE,$S$4=FALSE)=TRUE,IF(OR($Q$4=TRUE,$Q$5=TRUE,$S$2=TRUE),VLOOKUP($G850,'KO Calc'!$H:$AW,FALSE),VLOOKUP($G850,'KO Calc'!$H856:$AW856,14,FALSE)),IF(AND($Q$1=TRUE,$S$4=FALSE),IF(OR($Q$4=TRUE,$Q$5=TRUE,$S$2=TRUE),VLOOKUP($G850,'KO Calc'!$H:$AW,4,FALSE),VLOOKUP($G850,'KO Calc'!$H856:$AW856,4,FALSE)),
IF(AND($Q$1=TRUE,$S$1=TRUE,$S$4=TRUE)=TRUE,IF(OR($Q$4=TRUE,$Q$5=TRUE,$S$2=TRUE),VLOOKUP($G850,'KO Calc'!$H:$AW,19,FALSE),VLOOKUP($G850,'KO Calc'!$H856:$AW856,19,FALSE)),IF(AND($Q$1=TRUE,$S$4=TRUE),IF(OR($Q$4=TRUE,$Q$5=TRUE,$S$2=TRUE),VLOOKUP($G850,'KO Calc'!$H:$AW,9,FALSE),VLOOKUP($G850,'KO Calc'!$H856:$AW856,9,FALSE)),
IF(AND($S$3=TRUE,$S$1=TRUE,$S$4=FALSE)=TRUE,IF(OR($Q$4=TRUE,$Q$5=TRUE,$S$2=TRUE),VLOOKUP($G850,'KO Calc'!$H:$AW,34,FALSE),VLOOKUP($G850,'KO Calc'!$H856:$AW856,34,FALSE)),IF(AND($S$3=TRUE,$S$4=FALSE),IF(OR($Q$4=TRUE,$Q$5=TRUE,$S$2=TRUE),VLOOKUP($G850,'KO Calc'!$H:$AW,24,FALSE),VLOOKUP($G850,'KO Calc'!$H856:$AW856,24,FALSE)),
IF(AND($S$3=TRUE,$S$1=TRUE,$S$4=TRUE)=TRUE,IF(OR($Q$4=TRUE,$Q$5=TRUE,$S$2=TRUE),VLOOKUP($G850,'KO Calc'!$H:$AW,39,FALSE),VLOOKUP($G850,'KO Calc'!$H856:$AW856,39,FALSE)),IF(AND($S$3=TRUE,$S$4=TRUE),IF(OR($Q$4=TRUE,$Q$5=TRUE,$S$2=TRUE),VLOOKUP($G850,'KO Calc'!$H:$AW,29,FALSE),VLOOKUP($G850,'KO Calc'!$H856:$AW856,29,FALSE)))))))))))))</f>
        <v>-</v>
      </c>
      <c r="K850" s="36" t="str">
        <f>IF(AND($Q$1=FALSE,$S$3=FALSE),"-",IF(AND($Q$1=TRUE,$S$3=TRUE),"-",IF(AND($Q$1=FALSE,$S$3=FALSE),"-",IF(AND($Q$1=TRUE,$S$1=TRUE,$S$4=FALSE)=TRUE,IF(OR($Q$4=TRUE,$Q$5=TRUE,$S$2=TRUE),VLOOKUP($G850,'KO Calc'!$H:$AW,15,FALSE),VLOOKUP($G850,'KO Calc'!$H856:$AW856,15,FALSE)),IF(AND($Q$1=TRUE,$S$4=FALSE),IF(OR($Q$4=TRUE,$Q$5=TRUE,$S$2=TRUE),VLOOKUP($G850,'KO Calc'!$H:$AW,5,FALSE),VLOOKUP($G850,'KO Calc'!$H856:$AW856,5,FALSE)),
IF(AND($Q$1=TRUE,$S$1=TRUE,$S$4=TRUE)=TRUE,IF(OR($Q$4=TRUE,$Q$5=TRUE,$S$2=TRUE),VLOOKUP($G850,'KO Calc'!$H:$AW,20,FALSE),VLOOKUP($G850,'KO Calc'!$H856:$AW856,20,FALSE)),IF(AND($Q$1=TRUE,$S$4=TRUE),IF(OR($Q$4=TRUE,$Q$5=TRUE,$S$2=TRUE),VLOOKUP($G850,'KO Calc'!$H:$AW,10,FALSE),VLOOKUP($G850,'KO Calc'!$H856:$AW856,10,FALSE)),
IF(AND($S$3=TRUE,$S$1=TRUE,$S$4=FALSE)=TRUE,IF(OR($Q$4=TRUE,$Q$5=TRUE,$S$2=TRUE),VLOOKUP($G850,'KO Calc'!$H:$AW,35,FALSE),VLOOKUP($G850,'KO Calc'!$H856:$AW856,35,FALSE)),IF(AND($S$3=TRUE,$S$4=FALSE),IF(OR($Q$4=TRUE,$Q$5=TRUE,$S$2=TRUE),VLOOKUP($G850,'KO Calc'!$H:$AW,25,FALSE),VLOOKUP($G850,'KO Calc'!$H856:$AW856,25,FALSE)),
IF(AND($S$3=TRUE,$S$1=TRUE,$S$4=TRUE)=TRUE,IF(OR($Q$4=TRUE,$Q$5=TRUE,$S$2=TRUE),VLOOKUP($G850,'KO Calc'!$H:$AW,40,FALSE),VLOOKUP($G850,'KO Calc'!$H856:$AW856,40,FALSE)),IF(AND($S$3=TRUE,$S$4=TRUE),IF(OR($Q$4=TRUE,$Q$5=TRUE,$S$2=TRUE),VLOOKUP($G850,'KO Calc'!$H:$AW,30,FALSE),VLOOKUP($G850,'KO Calc'!$H856:$AW856,30,FALSE)))))))))))))</f>
        <v>-</v>
      </c>
      <c r="L850" s="36" t="str">
        <f>IFERROR(IF(AND($Q$1=FALSE,$S$3=FALSE),"-",VLOOKUP($E850,'Status Thresholds'!$E:$AU,41,FALSE)),"-")</f>
        <v>-</v>
      </c>
      <c r="M850" s="36" t="str">
        <f>IFERROR(IF(AND($Q$1=FALSE,$S$3=FALSE),"-",VLOOKUP($E850,'Status Thresholds'!$E:$AU,42,FALSE)),"-")</f>
        <v>-</v>
      </c>
      <c r="N850" s="36" t="str">
        <f>IFERROR(IF(AND($Q$1=FALSE,$S$3=FALSE),"-",VLOOKUP($E850,'Status Thresholds'!$E:$AU,43,FALSE)),"-")</f>
        <v>-</v>
      </c>
    </row>
    <row r="851" spans="2:14" x14ac:dyDescent="0.25">
      <c r="B851" s="64" t="str">
        <f>VLOOKUP(C851,'Status Thresholds'!B:C,2,FALSE)</f>
        <v>MHGen</v>
      </c>
      <c r="C851" s="46" t="str">
        <f>IF(ISBLANK('KO Calc'!C847)=TRUE,"",'KO Calc'!C847)</f>
        <v>Zinogre</v>
      </c>
      <c r="D851" s="78" t="s">
        <v>207</v>
      </c>
      <c r="E851" s="62" t="str">
        <f t="shared" si="25"/>
        <v>ZinogreShock Trap</v>
      </c>
      <c r="F851" t="s">
        <v>13</v>
      </c>
      <c r="G851" s="36" t="str">
        <f t="shared" si="26"/>
        <v>ZinogreCrag 3</v>
      </c>
      <c r="H851" s="36" t="str">
        <f>IF(AND($Q$1=FALSE,$S$3=FALSE),"-",IF(AND($Q$1=TRUE,$S$3=TRUE),"-",IF(AND($Q$1=FALSE,$S$3=FALSE),"-",IF(AND($Q$1=TRUE,$S$1=TRUE,$S$4=FALSE)=TRUE,IF(OR($Q$4=TRUE,$Q$5=TRUE,$S$2=TRUE),VLOOKUP($G851,'KO Calc'!$H:$AW,12,FALSE),VLOOKUP($G851,'KO Calc'!$H857:$AW857,12,FALSE)),IF(AND($Q$1=TRUE,$S$4=FALSE),IF(OR($Q$4=TRUE,$Q$5=TRUE,$S$2=TRUE),VLOOKUP($G851,'KO Calc'!$H:$AW,2,FALSE),VLOOKUP($G851,'KO Calc'!$H857:$AW857,2,FALSE)),
IF(AND($Q$1=TRUE,$S$1=TRUE,$S$4=TRUE)=TRUE,IF(OR($Q$4=TRUE,$Q$5=TRUE,$S$2=TRUE),VLOOKUP($G851,'KO Calc'!$H:$AW,17,FALSE),VLOOKUP($G851,'KO Calc'!$H857:$AW857,17,FALSE)),IF(AND($Q$1=TRUE,$S$4=TRUE),IF(OR($Q$4=TRUE,$Q$5=TRUE,$S$2=TRUE),VLOOKUP($G851,'KO Calc'!$H:$AW,7,FALSE),VLOOKUP($G851,'KO Calc'!$H857:$AW857,7,FALSE)),
IF(AND($S$3=TRUE,$S$1=TRUE,$S$4=FALSE)=TRUE,IF(OR($Q$4=TRUE,$Q$5=TRUE,$S$2=TRUE),VLOOKUP($G851,'KO Calc'!$H:$AW,32,FALSE),VLOOKUP($G851,'KO Calc'!$H857:$AW857,32,FALSE)),IF(AND($S$3=TRUE,$S$4=FALSE),IF(OR($Q$4=TRUE,$Q$5=TRUE,$S$2=TRUE),VLOOKUP($G851,'KO Calc'!$H:$AW,22,FALSE),VLOOKUP($G851,'KO Calc'!$H857:$AW857,22,FALSE)),
IF(AND($S$3=TRUE,$S$1=TRUE,$S$4=TRUE)=TRUE,IF(OR($Q$4=TRUE,$Q$5=TRUE,$S$2=TRUE),VLOOKUP($G851,'KO Calc'!$H:$AW,37,FALSE),VLOOKUP($G851,'KO Calc'!$H857:$AW857,37,FALSE)),IF(AND($S$3=TRUE,$S$4=TRUE),IF(OR($Q$4=TRUE,$Q$5=TRUE,$S$2=TRUE),VLOOKUP($G851,'KO Calc'!$H:$AW,27,FALSE),VLOOKUP($G851,'KO Calc'!$H857:$AW857,27,FALSE)))))))))))))</f>
        <v>-</v>
      </c>
      <c r="I851" s="36" t="str">
        <f>IF(AND($Q$1=FALSE,$S$3=FALSE),"-",IF(AND($Q$1=TRUE,$S$3=TRUE),"-",IF(AND($Q$1=FALSE,$S$3=FALSE),"-",IF(AND($Q$1=TRUE,$S$1=TRUE,$S$4=FALSE)=TRUE,IF(OR($Q$4=TRUE,$Q$5=TRUE,$S$2=TRUE),VLOOKUP($G851,'KO Calc'!$H:$AW,13,FALSE),VLOOKUP($G851,'KO Calc'!$H857:$AW857,13,FALSE)),IF(AND($Q$1=TRUE,$S$4=FALSE),IF(OR($Q$4=TRUE,$Q$5=TRUE,$S$2=TRUE),VLOOKUP($G851,'KO Calc'!$H:$AW,3,FALSE),VLOOKUP($G851,'KO Calc'!$H857:$AW857,3,FALSE)),
IF(AND($Q$1=TRUE,$S$1=TRUE,$S$4=TRUE)=TRUE,IF(OR($Q$4=TRUE,$Q$5=TRUE,$S$2=TRUE),VLOOKUP($G851,'KO Calc'!$H:$AW,18,FALSE),VLOOKUP($G851,'KO Calc'!$H857:$AW857,18,FALSE)),IF(AND($Q$1=TRUE,$S$4=TRUE),IF(OR($Q$4=TRUE,$Q$5=TRUE,$S$2=TRUE),VLOOKUP($G851,'KO Calc'!$H:$AW,8,FALSE),VLOOKUP($G851,'KO Calc'!$H857:$AW857,8,FALSE)),
IF(AND($S$3=TRUE,$S$1=TRUE,$S$4=FALSE)=TRUE,IF(OR($Q$4=TRUE,$Q$5=TRUE,$S$2=TRUE),VLOOKUP($G851,'KO Calc'!$H:$AW,33,FALSE),VLOOKUP($G851,'KO Calc'!$H857:$AW857,33,FALSE)),IF(AND($S$3=TRUE,$S$4=FALSE),IF(OR($Q$4=TRUE,$Q$5=TRUE,$S$2=TRUE),VLOOKUP($G851,'KO Calc'!$H:$AW,23,FALSE),VLOOKUP($G851,'KO Calc'!$H857:$AW857,23,FALSE)),
IF(AND($S$3=TRUE,$S$1=TRUE,$S$4=TRUE)=TRUE,IF(OR($Q$4=TRUE,$Q$5=TRUE,$S$2=TRUE),VLOOKUP($G851,'KO Calc'!$H:$AW,38,FALSE),VLOOKUP($G851,'KO Calc'!$H857:$AW857,38,FALSE)),IF(AND($S$3=TRUE,$S$4=TRUE),IF(OR($Q$4=TRUE,$Q$5=TRUE,$S$2=TRUE),VLOOKUP($G851,'KO Calc'!$H:$AW,28,FALSE),VLOOKUP($G851,'KO Calc'!$H857:$AW857,28,FALSE)))))))))))))</f>
        <v>-</v>
      </c>
      <c r="J851" s="36" t="str">
        <f>IF(AND($Q$1=FALSE,$S$3=FALSE),"-",IF(AND($Q$1=TRUE,$S$3=TRUE),"-",IF(AND($Q$1=FALSE,$S$3=FALSE),"-",IF(AND($Q$1=TRUE,$S$1=TRUE,$S$4=FALSE)=TRUE,IF(OR($Q$4=TRUE,$Q$5=TRUE,$S$2=TRUE),VLOOKUP($G851,'KO Calc'!$H:$AW,FALSE),VLOOKUP($G851,'KO Calc'!$H857:$AW857,14,FALSE)),IF(AND($Q$1=TRUE,$S$4=FALSE),IF(OR($Q$4=TRUE,$Q$5=TRUE,$S$2=TRUE),VLOOKUP($G851,'KO Calc'!$H:$AW,4,FALSE),VLOOKUP($G851,'KO Calc'!$H857:$AW857,4,FALSE)),
IF(AND($Q$1=TRUE,$S$1=TRUE,$S$4=TRUE)=TRUE,IF(OR($Q$4=TRUE,$Q$5=TRUE,$S$2=TRUE),VLOOKUP($G851,'KO Calc'!$H:$AW,19,FALSE),VLOOKUP($G851,'KO Calc'!$H857:$AW857,19,FALSE)),IF(AND($Q$1=TRUE,$S$4=TRUE),IF(OR($Q$4=TRUE,$Q$5=TRUE,$S$2=TRUE),VLOOKUP($G851,'KO Calc'!$H:$AW,9,FALSE),VLOOKUP($G851,'KO Calc'!$H857:$AW857,9,FALSE)),
IF(AND($S$3=TRUE,$S$1=TRUE,$S$4=FALSE)=TRUE,IF(OR($Q$4=TRUE,$Q$5=TRUE,$S$2=TRUE),VLOOKUP($G851,'KO Calc'!$H:$AW,34,FALSE),VLOOKUP($G851,'KO Calc'!$H857:$AW857,34,FALSE)),IF(AND($S$3=TRUE,$S$4=FALSE),IF(OR($Q$4=TRUE,$Q$5=TRUE,$S$2=TRUE),VLOOKUP($G851,'KO Calc'!$H:$AW,24,FALSE),VLOOKUP($G851,'KO Calc'!$H857:$AW857,24,FALSE)),
IF(AND($S$3=TRUE,$S$1=TRUE,$S$4=TRUE)=TRUE,IF(OR($Q$4=TRUE,$Q$5=TRUE,$S$2=TRUE),VLOOKUP($G851,'KO Calc'!$H:$AW,39,FALSE),VLOOKUP($G851,'KO Calc'!$H857:$AW857,39,FALSE)),IF(AND($S$3=TRUE,$S$4=TRUE),IF(OR($Q$4=TRUE,$Q$5=TRUE,$S$2=TRUE),VLOOKUP($G851,'KO Calc'!$H:$AW,29,FALSE),VLOOKUP($G851,'KO Calc'!$H857:$AW857,29,FALSE)))))))))))))</f>
        <v>-</v>
      </c>
      <c r="K851" s="36" t="str">
        <f>IF(AND($Q$1=FALSE,$S$3=FALSE),"-",IF(AND($Q$1=TRUE,$S$3=TRUE),"-",IF(AND($Q$1=FALSE,$S$3=FALSE),"-",IF(AND($Q$1=TRUE,$S$1=TRUE,$S$4=FALSE)=TRUE,IF(OR($Q$4=TRUE,$Q$5=TRUE,$S$2=TRUE),VLOOKUP($G851,'KO Calc'!$H:$AW,15,FALSE),VLOOKUP($G851,'KO Calc'!$H857:$AW857,15,FALSE)),IF(AND($Q$1=TRUE,$S$4=FALSE),IF(OR($Q$4=TRUE,$Q$5=TRUE,$S$2=TRUE),VLOOKUP($G851,'KO Calc'!$H:$AW,5,FALSE),VLOOKUP($G851,'KO Calc'!$H857:$AW857,5,FALSE)),
IF(AND($Q$1=TRUE,$S$1=TRUE,$S$4=TRUE)=TRUE,IF(OR($Q$4=TRUE,$Q$5=TRUE,$S$2=TRUE),VLOOKUP($G851,'KO Calc'!$H:$AW,20,FALSE),VLOOKUP($G851,'KO Calc'!$H857:$AW857,20,FALSE)),IF(AND($Q$1=TRUE,$S$4=TRUE),IF(OR($Q$4=TRUE,$Q$5=TRUE,$S$2=TRUE),VLOOKUP($G851,'KO Calc'!$H:$AW,10,FALSE),VLOOKUP($G851,'KO Calc'!$H857:$AW857,10,FALSE)),
IF(AND($S$3=TRUE,$S$1=TRUE,$S$4=FALSE)=TRUE,IF(OR($Q$4=TRUE,$Q$5=TRUE,$S$2=TRUE),VLOOKUP($G851,'KO Calc'!$H:$AW,35,FALSE),VLOOKUP($G851,'KO Calc'!$H857:$AW857,35,FALSE)),IF(AND($S$3=TRUE,$S$4=FALSE),IF(OR($Q$4=TRUE,$Q$5=TRUE,$S$2=TRUE),VLOOKUP($G851,'KO Calc'!$H:$AW,25,FALSE),VLOOKUP($G851,'KO Calc'!$H857:$AW857,25,FALSE)),
IF(AND($S$3=TRUE,$S$1=TRUE,$S$4=TRUE)=TRUE,IF(OR($Q$4=TRUE,$Q$5=TRUE,$S$2=TRUE),VLOOKUP($G851,'KO Calc'!$H:$AW,40,FALSE),VLOOKUP($G851,'KO Calc'!$H857:$AW857,40,FALSE)),IF(AND($S$3=TRUE,$S$4=TRUE),IF(OR($Q$4=TRUE,$Q$5=TRUE,$S$2=TRUE),VLOOKUP($G851,'KO Calc'!$H:$AW,30,FALSE),VLOOKUP($G851,'KO Calc'!$H857:$AW857,30,FALSE)))))))))))))</f>
        <v>-</v>
      </c>
      <c r="L851" s="36" t="str">
        <f>IFERROR(IF(AND($Q$1=FALSE,$S$3=FALSE),"-",VLOOKUP($E851,'Status Thresholds'!$E:$AU,43,FALSE)),"-")</f>
        <v>-</v>
      </c>
      <c r="M851" s="36" t="str">
        <f>IFERROR(IF(AND($Q$1=FALSE,$S$3=FALSE),"-",VLOOKUP($E851,'Status Thresholds'!$E:$AU,41,FALSE)),"-")</f>
        <v>-</v>
      </c>
      <c r="N851" s="36" t="str">
        <f>IFERROR(IF(AND($Q$1=FALSE,$S$3=FALSE),"-",VLOOKUP($E851,'Status Thresholds'!$E:$AU,42,FALSE)),"-")</f>
        <v>-</v>
      </c>
    </row>
    <row r="852" spans="2:14" x14ac:dyDescent="0.25">
      <c r="B852" s="64" t="str">
        <f>VLOOKUP(C852,'Status Thresholds'!B:C,2,FALSE)</f>
        <v>MHGen</v>
      </c>
      <c r="C852" s="46" t="str">
        <f>IF(ISBLANK('KO Calc'!C848)=TRUE,"",'KO Calc'!C848)</f>
        <v>Zinogre</v>
      </c>
      <c r="D852" s="78" t="s">
        <v>213</v>
      </c>
      <c r="E852" s="62" t="str">
        <f t="shared" si="25"/>
        <v>ZinogrePitfall Trap</v>
      </c>
      <c r="F852" t="s">
        <v>12</v>
      </c>
      <c r="G852" s="36" t="str">
        <f t="shared" si="26"/>
        <v>ZinogreCrag 2</v>
      </c>
      <c r="H852" s="36" t="str">
        <f>IF(AND($Q$1=FALSE,$S$3=FALSE),"-",IF(AND($Q$1=TRUE,$S$3=TRUE),"-",IF(AND($Q$1=FALSE,$S$3=FALSE),"-",IF(AND($Q$1=TRUE,$S$1=TRUE,$S$4=FALSE)=TRUE,IF(OR($Q$4=TRUE,$Q$5=TRUE,$S$2=TRUE),VLOOKUP($G852,'KO Calc'!$H:$AW,12,FALSE),VLOOKUP($G852,'KO Calc'!$H858:$AW858,12,FALSE)),IF(AND($Q$1=TRUE,$S$4=FALSE),IF(OR($Q$4=TRUE,$Q$5=TRUE,$S$2=TRUE),VLOOKUP($G852,'KO Calc'!$H:$AW,2,FALSE),VLOOKUP($G852,'KO Calc'!$H858:$AW858,2,FALSE)),
IF(AND($Q$1=TRUE,$S$1=TRUE,$S$4=TRUE)=TRUE,IF(OR($Q$4=TRUE,$Q$5=TRUE,$S$2=TRUE),VLOOKUP($G852,'KO Calc'!$H:$AW,17,FALSE),VLOOKUP($G852,'KO Calc'!$H858:$AW858,17,FALSE)),IF(AND($Q$1=TRUE,$S$4=TRUE),IF(OR($Q$4=TRUE,$Q$5=TRUE,$S$2=TRUE),VLOOKUP($G852,'KO Calc'!$H:$AW,7,FALSE),VLOOKUP($G852,'KO Calc'!$H858:$AW858,7,FALSE)),
IF(AND($S$3=TRUE,$S$1=TRUE,$S$4=FALSE)=TRUE,IF(OR($Q$4=TRUE,$Q$5=TRUE,$S$2=TRUE),VLOOKUP($G852,'KO Calc'!$H:$AW,32,FALSE),VLOOKUP($G852,'KO Calc'!$H858:$AW858,32,FALSE)),IF(AND($S$3=TRUE,$S$4=FALSE),IF(OR($Q$4=TRUE,$Q$5=TRUE,$S$2=TRUE),VLOOKUP($G852,'KO Calc'!$H:$AW,22,FALSE),VLOOKUP($G852,'KO Calc'!$H858:$AW858,22,FALSE)),
IF(AND($S$3=TRUE,$S$1=TRUE,$S$4=TRUE)=TRUE,IF(OR($Q$4=TRUE,$Q$5=TRUE,$S$2=TRUE),VLOOKUP($G852,'KO Calc'!$H:$AW,37,FALSE),VLOOKUP($G852,'KO Calc'!$H858:$AW858,37,FALSE)),IF(AND($S$3=TRUE,$S$4=TRUE),IF(OR($Q$4=TRUE,$Q$5=TRUE,$S$2=TRUE),VLOOKUP($G852,'KO Calc'!$H:$AW,27,FALSE),VLOOKUP($G852,'KO Calc'!$H858:$AW858,27,FALSE)))))))))))))</f>
        <v>-</v>
      </c>
      <c r="I852" s="36" t="str">
        <f>IF(AND($Q$1=FALSE,$S$3=FALSE),"-",IF(AND($Q$1=TRUE,$S$3=TRUE),"-",IF(AND($Q$1=FALSE,$S$3=FALSE),"-",IF(AND($Q$1=TRUE,$S$1=TRUE,$S$4=FALSE)=TRUE,IF(OR($Q$4=TRUE,$Q$5=TRUE,$S$2=TRUE),VLOOKUP($G852,'KO Calc'!$H:$AW,13,FALSE),VLOOKUP($G852,'KO Calc'!$H858:$AW858,13,FALSE)),IF(AND($Q$1=TRUE,$S$4=FALSE),IF(OR($Q$4=TRUE,$Q$5=TRUE,$S$2=TRUE),VLOOKUP($G852,'KO Calc'!$H:$AW,3,FALSE),VLOOKUP($G852,'KO Calc'!$H858:$AW858,3,FALSE)),
IF(AND($Q$1=TRUE,$S$1=TRUE,$S$4=TRUE)=TRUE,IF(OR($Q$4=TRUE,$Q$5=TRUE,$S$2=TRUE),VLOOKUP($G852,'KO Calc'!$H:$AW,18,FALSE),VLOOKUP($G852,'KO Calc'!$H858:$AW858,18,FALSE)),IF(AND($Q$1=TRUE,$S$4=TRUE),IF(OR($Q$4=TRUE,$Q$5=TRUE,$S$2=TRUE),VLOOKUP($G852,'KO Calc'!$H:$AW,8,FALSE),VLOOKUP($G852,'KO Calc'!$H858:$AW858,8,FALSE)),
IF(AND($S$3=TRUE,$S$1=TRUE,$S$4=FALSE)=TRUE,IF(OR($Q$4=TRUE,$Q$5=TRUE,$S$2=TRUE),VLOOKUP($G852,'KO Calc'!$H:$AW,33,FALSE),VLOOKUP($G852,'KO Calc'!$H858:$AW858,33,FALSE)),IF(AND($S$3=TRUE,$S$4=FALSE),IF(OR($Q$4=TRUE,$Q$5=TRUE,$S$2=TRUE),VLOOKUP($G852,'KO Calc'!$H:$AW,23,FALSE),VLOOKUP($G852,'KO Calc'!$H858:$AW858,23,FALSE)),
IF(AND($S$3=TRUE,$S$1=TRUE,$S$4=TRUE)=TRUE,IF(OR($Q$4=TRUE,$Q$5=TRUE,$S$2=TRUE),VLOOKUP($G852,'KO Calc'!$H:$AW,38,FALSE),VLOOKUP($G852,'KO Calc'!$H858:$AW858,38,FALSE)),IF(AND($S$3=TRUE,$S$4=TRUE),IF(OR($Q$4=TRUE,$Q$5=TRUE,$S$2=TRUE),VLOOKUP($G852,'KO Calc'!$H:$AW,28,FALSE),VLOOKUP($G852,'KO Calc'!$H858:$AW858,28,FALSE)))))))))))))</f>
        <v>-</v>
      </c>
      <c r="J852" s="36" t="str">
        <f>IF(AND($Q$1=FALSE,$S$3=FALSE),"-",IF(AND($Q$1=TRUE,$S$3=TRUE),"-",IF(AND($Q$1=FALSE,$S$3=FALSE),"-",IF(AND($Q$1=TRUE,$S$1=TRUE,$S$4=FALSE)=TRUE,IF(OR($Q$4=TRUE,$Q$5=TRUE,$S$2=TRUE),VLOOKUP($G852,'KO Calc'!$H:$AW,FALSE),VLOOKUP($G852,'KO Calc'!$H858:$AW858,14,FALSE)),IF(AND($Q$1=TRUE,$S$4=FALSE),IF(OR($Q$4=TRUE,$Q$5=TRUE,$S$2=TRUE),VLOOKUP($G852,'KO Calc'!$H:$AW,4,FALSE),VLOOKUP($G852,'KO Calc'!$H858:$AW858,4,FALSE)),
IF(AND($Q$1=TRUE,$S$1=TRUE,$S$4=TRUE)=TRUE,IF(OR($Q$4=TRUE,$Q$5=TRUE,$S$2=TRUE),VLOOKUP($G852,'KO Calc'!$H:$AW,19,FALSE),VLOOKUP($G852,'KO Calc'!$H858:$AW858,19,FALSE)),IF(AND($Q$1=TRUE,$S$4=TRUE),IF(OR($Q$4=TRUE,$Q$5=TRUE,$S$2=TRUE),VLOOKUP($G852,'KO Calc'!$H:$AW,9,FALSE),VLOOKUP($G852,'KO Calc'!$H858:$AW858,9,FALSE)),
IF(AND($S$3=TRUE,$S$1=TRUE,$S$4=FALSE)=TRUE,IF(OR($Q$4=TRUE,$Q$5=TRUE,$S$2=TRUE),VLOOKUP($G852,'KO Calc'!$H:$AW,34,FALSE),VLOOKUP($G852,'KO Calc'!$H858:$AW858,34,FALSE)),IF(AND($S$3=TRUE,$S$4=FALSE),IF(OR($Q$4=TRUE,$Q$5=TRUE,$S$2=TRUE),VLOOKUP($G852,'KO Calc'!$H:$AW,24,FALSE),VLOOKUP($G852,'KO Calc'!$H858:$AW858,24,FALSE)),
IF(AND($S$3=TRUE,$S$1=TRUE,$S$4=TRUE)=TRUE,IF(OR($Q$4=TRUE,$Q$5=TRUE,$S$2=TRUE),VLOOKUP($G852,'KO Calc'!$H:$AW,39,FALSE),VLOOKUP($G852,'KO Calc'!$H858:$AW858,39,FALSE)),IF(AND($S$3=TRUE,$S$4=TRUE),IF(OR($Q$4=TRUE,$Q$5=TRUE,$S$2=TRUE),VLOOKUP($G852,'KO Calc'!$H:$AW,29,FALSE),VLOOKUP($G852,'KO Calc'!$H858:$AW858,29,FALSE)))))))))))))</f>
        <v>-</v>
      </c>
      <c r="K852" s="36" t="str">
        <f>IF(AND($Q$1=FALSE,$S$3=FALSE),"-",IF(AND($Q$1=TRUE,$S$3=TRUE),"-",IF(AND($Q$1=FALSE,$S$3=FALSE),"-",IF(AND($Q$1=TRUE,$S$1=TRUE,$S$4=FALSE)=TRUE,IF(OR($Q$4=TRUE,$Q$5=TRUE,$S$2=TRUE),VLOOKUP($G852,'KO Calc'!$H:$AW,15,FALSE),VLOOKUP($G852,'KO Calc'!$H858:$AW858,15,FALSE)),IF(AND($Q$1=TRUE,$S$4=FALSE),IF(OR($Q$4=TRUE,$Q$5=TRUE,$S$2=TRUE),VLOOKUP($G852,'KO Calc'!$H:$AW,5,FALSE),VLOOKUP($G852,'KO Calc'!$H858:$AW858,5,FALSE)),
IF(AND($Q$1=TRUE,$S$1=TRUE,$S$4=TRUE)=TRUE,IF(OR($Q$4=TRUE,$Q$5=TRUE,$S$2=TRUE),VLOOKUP($G852,'KO Calc'!$H:$AW,20,FALSE),VLOOKUP($G852,'KO Calc'!$H858:$AW858,20,FALSE)),IF(AND($Q$1=TRUE,$S$4=TRUE),IF(OR($Q$4=TRUE,$Q$5=TRUE,$S$2=TRUE),VLOOKUP($G852,'KO Calc'!$H:$AW,10,FALSE),VLOOKUP($G852,'KO Calc'!$H858:$AW858,10,FALSE)),
IF(AND($S$3=TRUE,$S$1=TRUE,$S$4=FALSE)=TRUE,IF(OR($Q$4=TRUE,$Q$5=TRUE,$S$2=TRUE),VLOOKUP($G852,'KO Calc'!$H:$AW,35,FALSE),VLOOKUP($G852,'KO Calc'!$H858:$AW858,35,FALSE)),IF(AND($S$3=TRUE,$S$4=FALSE),IF(OR($Q$4=TRUE,$Q$5=TRUE,$S$2=TRUE),VLOOKUP($G852,'KO Calc'!$H:$AW,25,FALSE),VLOOKUP($G852,'KO Calc'!$H858:$AW858,25,FALSE)),
IF(AND($S$3=TRUE,$S$1=TRUE,$S$4=TRUE)=TRUE,IF(OR($Q$4=TRUE,$Q$5=TRUE,$S$2=TRUE),VLOOKUP($G852,'KO Calc'!$H:$AW,40,FALSE),VLOOKUP($G852,'KO Calc'!$H858:$AW858,40,FALSE)),IF(AND($S$3=TRUE,$S$4=TRUE),IF(OR($Q$4=TRUE,$Q$5=TRUE,$S$2=TRUE),VLOOKUP($G852,'KO Calc'!$H:$AW,30,FALSE),VLOOKUP($G852,'KO Calc'!$H858:$AW858,30,FALSE)))))))))))))</f>
        <v>-</v>
      </c>
      <c r="L852" s="36" t="str">
        <f>IFERROR(IF(AND($Q$1=FALSE,$S$3=FALSE),"-",VLOOKUP($E852,'Status Thresholds'!$E:$AU,43,FALSE)),"-")</f>
        <v>-</v>
      </c>
      <c r="M852" s="36" t="str">
        <f>IFERROR(IF(AND($Q$1=FALSE,$S$3=FALSE),"-",VLOOKUP($E852,'Status Thresholds'!$E:$AU,41,FALSE)),"-")</f>
        <v>-</v>
      </c>
      <c r="N852" s="36" t="str">
        <f>IFERROR(IF(AND($Q$1=FALSE,$S$3=FALSE),"-",VLOOKUP($E852,'Status Thresholds'!$E:$AU,42,FALSE)),"-")</f>
        <v>-</v>
      </c>
    </row>
    <row r="853" spans="2:14" x14ac:dyDescent="0.25">
      <c r="B853" s="64" t="str">
        <f>VLOOKUP(C853,'Status Thresholds'!B:C,2,FALSE)</f>
        <v>MHGen</v>
      </c>
      <c r="C853" s="46" t="str">
        <f>IF(ISBLANK('KO Calc'!C849)=TRUE,"",'KO Calc'!C849)</f>
        <v>Zinogre</v>
      </c>
      <c r="D853" s="78"/>
      <c r="E853" s="62" t="str">
        <f t="shared" si="25"/>
        <v>Zinogre</v>
      </c>
      <c r="F853" t="s">
        <v>11</v>
      </c>
      <c r="G853" s="36" t="str">
        <f t="shared" si="26"/>
        <v>ZinogreCrag 1</v>
      </c>
      <c r="H853" s="36" t="str">
        <f>IF(AND($Q$1=FALSE,$S$3=FALSE),"-",IF(AND($Q$1=TRUE,$S$3=TRUE),"-",IF(AND($Q$1=FALSE,$S$3=FALSE),"-",IF(AND($Q$1=TRUE,$S$1=TRUE,$S$4=FALSE)=TRUE,IF(OR($Q$4=TRUE,$Q$5=TRUE,$S$2=TRUE),VLOOKUP($G853,'KO Calc'!$H:$AW,12,FALSE),VLOOKUP($G853,'KO Calc'!$H859:$AW859,12,FALSE)),IF(AND($Q$1=TRUE,$S$4=FALSE),IF(OR($Q$4=TRUE,$Q$5=TRUE,$S$2=TRUE),VLOOKUP($G853,'KO Calc'!$H:$AW,2,FALSE),VLOOKUP($G853,'KO Calc'!$H859:$AW859,2,FALSE)),
IF(AND($Q$1=TRUE,$S$1=TRUE,$S$4=TRUE)=TRUE,IF(OR($Q$4=TRUE,$Q$5=TRUE,$S$2=TRUE),VLOOKUP($G853,'KO Calc'!$H:$AW,17,FALSE),VLOOKUP($G853,'KO Calc'!$H859:$AW859,17,FALSE)),IF(AND($Q$1=TRUE,$S$4=TRUE),IF(OR($Q$4=TRUE,$Q$5=TRUE,$S$2=TRUE),VLOOKUP($G853,'KO Calc'!$H:$AW,7,FALSE),VLOOKUP($G853,'KO Calc'!$H859:$AW859,7,FALSE)),
IF(AND($S$3=TRUE,$S$1=TRUE,$S$4=FALSE)=TRUE,IF(OR($Q$4=TRUE,$Q$5=TRUE,$S$2=TRUE),VLOOKUP($G853,'KO Calc'!$H:$AW,32,FALSE),VLOOKUP($G853,'KO Calc'!$H859:$AW859,32,FALSE)),IF(AND($S$3=TRUE,$S$4=FALSE),IF(OR($Q$4=TRUE,$Q$5=TRUE,$S$2=TRUE),VLOOKUP($G853,'KO Calc'!$H:$AW,22,FALSE),VLOOKUP($G853,'KO Calc'!$H859:$AW859,22,FALSE)),
IF(AND($S$3=TRUE,$S$1=TRUE,$S$4=TRUE)=TRUE,IF(OR($Q$4=TRUE,$Q$5=TRUE,$S$2=TRUE),VLOOKUP($G853,'KO Calc'!$H:$AW,37,FALSE),VLOOKUP($G853,'KO Calc'!$H859:$AW859,37,FALSE)),IF(AND($S$3=TRUE,$S$4=TRUE),IF(OR($Q$4=TRUE,$Q$5=TRUE,$S$2=TRUE),VLOOKUP($G853,'KO Calc'!$H:$AW,27,FALSE),VLOOKUP($G853,'KO Calc'!$H859:$AW859,27,FALSE)))))))))))))</f>
        <v>-</v>
      </c>
      <c r="I853" s="36" t="str">
        <f>IF(AND($Q$1=FALSE,$S$3=FALSE),"-",IF(AND($Q$1=TRUE,$S$3=TRUE),"-",IF(AND($Q$1=FALSE,$S$3=FALSE),"-",IF(AND($Q$1=TRUE,$S$1=TRUE,$S$4=FALSE)=TRUE,IF(OR($Q$4=TRUE,$Q$5=TRUE,$S$2=TRUE),VLOOKUP($G853,'KO Calc'!$H:$AW,13,FALSE),VLOOKUP($G853,'KO Calc'!$H859:$AW859,13,FALSE)),IF(AND($Q$1=TRUE,$S$4=FALSE),IF(OR($Q$4=TRUE,$Q$5=TRUE,$S$2=TRUE),VLOOKUP($G853,'KO Calc'!$H:$AW,3,FALSE),VLOOKUP($G853,'KO Calc'!$H859:$AW859,3,FALSE)),
IF(AND($Q$1=TRUE,$S$1=TRUE,$S$4=TRUE)=TRUE,IF(OR($Q$4=TRUE,$Q$5=TRUE,$S$2=TRUE),VLOOKUP($G853,'KO Calc'!$H:$AW,18,FALSE),VLOOKUP($G853,'KO Calc'!$H859:$AW859,18,FALSE)),IF(AND($Q$1=TRUE,$S$4=TRUE),IF(OR($Q$4=TRUE,$Q$5=TRUE,$S$2=TRUE),VLOOKUP($G853,'KO Calc'!$H:$AW,8,FALSE),VLOOKUP($G853,'KO Calc'!$H859:$AW859,8,FALSE)),
IF(AND($S$3=TRUE,$S$1=TRUE,$S$4=FALSE)=TRUE,IF(OR($Q$4=TRUE,$Q$5=TRUE,$S$2=TRUE),VLOOKUP($G853,'KO Calc'!$H:$AW,33,FALSE),VLOOKUP($G853,'KO Calc'!$H859:$AW859,33,FALSE)),IF(AND($S$3=TRUE,$S$4=FALSE),IF(OR($Q$4=TRUE,$Q$5=TRUE,$S$2=TRUE),VLOOKUP($G853,'KO Calc'!$H:$AW,23,FALSE),VLOOKUP($G853,'KO Calc'!$H859:$AW859,23,FALSE)),
IF(AND($S$3=TRUE,$S$1=TRUE,$S$4=TRUE)=TRUE,IF(OR($Q$4=TRUE,$Q$5=TRUE,$S$2=TRUE),VLOOKUP($G853,'KO Calc'!$H:$AW,38,FALSE),VLOOKUP($G853,'KO Calc'!$H859:$AW859,38,FALSE)),IF(AND($S$3=TRUE,$S$4=TRUE),IF(OR($Q$4=TRUE,$Q$5=TRUE,$S$2=TRUE),VLOOKUP($G853,'KO Calc'!$H:$AW,28,FALSE),VLOOKUP($G853,'KO Calc'!$H859:$AW859,28,FALSE)))))))))))))</f>
        <v>-</v>
      </c>
      <c r="J853" s="36" t="str">
        <f>IF(AND($Q$1=FALSE,$S$3=FALSE),"-",IF(AND($Q$1=TRUE,$S$3=TRUE),"-",IF(AND($Q$1=FALSE,$S$3=FALSE),"-",IF(AND($Q$1=TRUE,$S$1=TRUE,$S$4=FALSE)=TRUE,IF(OR($Q$4=TRUE,$Q$5=TRUE,$S$2=TRUE),VLOOKUP($G853,'KO Calc'!$H:$AW,FALSE),VLOOKUP($G853,'KO Calc'!$H859:$AW859,14,FALSE)),IF(AND($Q$1=TRUE,$S$4=FALSE),IF(OR($Q$4=TRUE,$Q$5=TRUE,$S$2=TRUE),VLOOKUP($G853,'KO Calc'!$H:$AW,4,FALSE),VLOOKUP($G853,'KO Calc'!$H859:$AW859,4,FALSE)),
IF(AND($Q$1=TRUE,$S$1=TRUE,$S$4=TRUE)=TRUE,IF(OR($Q$4=TRUE,$Q$5=TRUE,$S$2=TRUE),VLOOKUP($G853,'KO Calc'!$H:$AW,19,FALSE),VLOOKUP($G853,'KO Calc'!$H859:$AW859,19,FALSE)),IF(AND($Q$1=TRUE,$S$4=TRUE),IF(OR($Q$4=TRUE,$Q$5=TRUE,$S$2=TRUE),VLOOKUP($G853,'KO Calc'!$H:$AW,9,FALSE),VLOOKUP($G853,'KO Calc'!$H859:$AW859,9,FALSE)),
IF(AND($S$3=TRUE,$S$1=TRUE,$S$4=FALSE)=TRUE,IF(OR($Q$4=TRUE,$Q$5=TRUE,$S$2=TRUE),VLOOKUP($G853,'KO Calc'!$H:$AW,34,FALSE),VLOOKUP($G853,'KO Calc'!$H859:$AW859,34,FALSE)),IF(AND($S$3=TRUE,$S$4=FALSE),IF(OR($Q$4=TRUE,$Q$5=TRUE,$S$2=TRUE),VLOOKUP($G853,'KO Calc'!$H:$AW,24,FALSE),VLOOKUP($G853,'KO Calc'!$H859:$AW859,24,FALSE)),
IF(AND($S$3=TRUE,$S$1=TRUE,$S$4=TRUE)=TRUE,IF(OR($Q$4=TRUE,$Q$5=TRUE,$S$2=TRUE),VLOOKUP($G853,'KO Calc'!$H:$AW,39,FALSE),VLOOKUP($G853,'KO Calc'!$H859:$AW859,39,FALSE)),IF(AND($S$3=TRUE,$S$4=TRUE),IF(OR($Q$4=TRUE,$Q$5=TRUE,$S$2=TRUE),VLOOKUP($G853,'KO Calc'!$H:$AW,29,FALSE),VLOOKUP($G853,'KO Calc'!$H859:$AW859,29,FALSE)))))))))))))</f>
        <v>-</v>
      </c>
      <c r="K853" s="36" t="str">
        <f>IF(AND($Q$1=FALSE,$S$3=FALSE),"-",IF(AND($Q$1=TRUE,$S$3=TRUE),"-",IF(AND($Q$1=FALSE,$S$3=FALSE),"-",IF(AND($Q$1=TRUE,$S$1=TRUE,$S$4=FALSE)=TRUE,IF(OR($Q$4=TRUE,$Q$5=TRUE,$S$2=TRUE),VLOOKUP($G853,'KO Calc'!$H:$AW,15,FALSE),VLOOKUP($G853,'KO Calc'!$H859:$AW859,15,FALSE)),IF(AND($Q$1=TRUE,$S$4=FALSE),IF(OR($Q$4=TRUE,$Q$5=TRUE,$S$2=TRUE),VLOOKUP($G853,'KO Calc'!$H:$AW,5,FALSE),VLOOKUP($G853,'KO Calc'!$H859:$AW859,5,FALSE)),
IF(AND($Q$1=TRUE,$S$1=TRUE,$S$4=TRUE)=TRUE,IF(OR($Q$4=TRUE,$Q$5=TRUE,$S$2=TRUE),VLOOKUP($G853,'KO Calc'!$H:$AW,20,FALSE),VLOOKUP($G853,'KO Calc'!$H859:$AW859,20,FALSE)),IF(AND($Q$1=TRUE,$S$4=TRUE),IF(OR($Q$4=TRUE,$Q$5=TRUE,$S$2=TRUE),VLOOKUP($G853,'KO Calc'!$H:$AW,10,FALSE),VLOOKUP($G853,'KO Calc'!$H859:$AW859,10,FALSE)),
IF(AND($S$3=TRUE,$S$1=TRUE,$S$4=FALSE)=TRUE,IF(OR($Q$4=TRUE,$Q$5=TRUE,$S$2=TRUE),VLOOKUP($G853,'KO Calc'!$H:$AW,35,FALSE),VLOOKUP($G853,'KO Calc'!$H859:$AW859,35,FALSE)),IF(AND($S$3=TRUE,$S$4=FALSE),IF(OR($Q$4=TRUE,$Q$5=TRUE,$S$2=TRUE),VLOOKUP($G853,'KO Calc'!$H:$AW,25,FALSE),VLOOKUP($G853,'KO Calc'!$H859:$AW859,25,FALSE)),
IF(AND($S$3=TRUE,$S$1=TRUE,$S$4=TRUE)=TRUE,IF(OR($Q$4=TRUE,$Q$5=TRUE,$S$2=TRUE),VLOOKUP($G853,'KO Calc'!$H:$AW,40,FALSE),VLOOKUP($G853,'KO Calc'!$H859:$AW859,40,FALSE)),IF(AND($S$3=TRUE,$S$4=TRUE),IF(OR($Q$4=TRUE,$Q$5=TRUE,$S$2=TRUE),VLOOKUP($G853,'KO Calc'!$H:$AW,30,FALSE),VLOOKUP($G853,'KO Calc'!$H859:$AW859,30,FALSE)))))))))))))</f>
        <v>-</v>
      </c>
      <c r="L853" s="36" t="str">
        <f>IFERROR(VLOOKUP($E853,'Status Thresholds'!$E:$AS,41,FALSE),"-")</f>
        <v>-</v>
      </c>
    </row>
    <row r="854" spans="2:14" x14ac:dyDescent="0.25">
      <c r="B854" s="64" t="str">
        <f>VLOOKUP(C854,'Status Thresholds'!B:C,2,FALSE)</f>
        <v>MHGen</v>
      </c>
      <c r="C854" s="46" t="str">
        <f>IF(ISBLANK('KO Calc'!C850)=TRUE,"",'KO Calc'!C850)</f>
        <v>Zinogre</v>
      </c>
      <c r="D854" s="78"/>
      <c r="E854" s="62" t="str">
        <f t="shared" si="25"/>
        <v>Zinogre</v>
      </c>
      <c r="G854" s="36"/>
    </row>
  </sheetData>
  <autoFilter ref="A8:S854"/>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8</xdr:col>
                    <xdr:colOff>9525</xdr:colOff>
                    <xdr:row>4</xdr:row>
                    <xdr:rowOff>0</xdr:rowOff>
                  </from>
                  <to>
                    <xdr:col>8</xdr:col>
                    <xdr:colOff>714375</xdr:colOff>
                    <xdr:row>5</xdr:row>
                    <xdr:rowOff>28575</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8</xdr:col>
                    <xdr:colOff>9525</xdr:colOff>
                    <xdr:row>5</xdr:row>
                    <xdr:rowOff>161925</xdr:rowOff>
                  </from>
                  <to>
                    <xdr:col>8</xdr:col>
                    <xdr:colOff>714375</xdr:colOff>
                    <xdr:row>7</xdr:row>
                    <xdr:rowOff>9525</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8</xdr:col>
                    <xdr:colOff>9525</xdr:colOff>
                    <xdr:row>2</xdr:row>
                    <xdr:rowOff>0</xdr:rowOff>
                  </from>
                  <to>
                    <xdr:col>8</xdr:col>
                    <xdr:colOff>714375</xdr:colOff>
                    <xdr:row>3</xdr:row>
                    <xdr:rowOff>28575</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8</xdr:col>
                    <xdr:colOff>9525</xdr:colOff>
                    <xdr:row>3</xdr:row>
                    <xdr:rowOff>19050</xdr:rowOff>
                  </from>
                  <to>
                    <xdr:col>8</xdr:col>
                    <xdr:colOff>714375</xdr:colOff>
                    <xdr:row>4</xdr:row>
                    <xdr:rowOff>47625</xdr:rowOff>
                  </to>
                </anchor>
              </controlPr>
            </control>
          </mc:Choice>
        </mc:AlternateContent>
        <mc:AlternateContent xmlns:mc="http://schemas.openxmlformats.org/markup-compatibility/2006">
          <mc:Choice Requires="x14">
            <control shapeId="3078" r:id="rId8" name="Check Box 6">
              <controlPr defaultSize="0" autoFill="0" autoLine="0" autoPict="0">
                <anchor moveWithCells="1">
                  <from>
                    <xdr:col>10</xdr:col>
                    <xdr:colOff>9525</xdr:colOff>
                    <xdr:row>3</xdr:row>
                    <xdr:rowOff>19050</xdr:rowOff>
                  </from>
                  <to>
                    <xdr:col>11</xdr:col>
                    <xdr:colOff>123825</xdr:colOff>
                    <xdr:row>4</xdr:row>
                    <xdr:rowOff>47625</xdr:rowOff>
                  </to>
                </anchor>
              </controlPr>
            </control>
          </mc:Choice>
        </mc:AlternateContent>
        <mc:AlternateContent xmlns:mc="http://schemas.openxmlformats.org/markup-compatibility/2006">
          <mc:Choice Requires="x14">
            <control shapeId="3087" r:id="rId9" name="Check Box 15">
              <controlPr defaultSize="0" autoFill="0" autoLine="0" autoPict="0">
                <anchor moveWithCells="1">
                  <from>
                    <xdr:col>5</xdr:col>
                    <xdr:colOff>19050</xdr:colOff>
                    <xdr:row>1</xdr:row>
                    <xdr:rowOff>171450</xdr:rowOff>
                  </from>
                  <to>
                    <xdr:col>7</xdr:col>
                    <xdr:colOff>19050</xdr:colOff>
                    <xdr:row>3</xdr:row>
                    <xdr:rowOff>19050</xdr:rowOff>
                  </to>
                </anchor>
              </controlPr>
            </control>
          </mc:Choice>
        </mc:AlternateContent>
        <mc:AlternateContent xmlns:mc="http://schemas.openxmlformats.org/markup-compatibility/2006">
          <mc:Choice Requires="x14">
            <control shapeId="3088" r:id="rId10" name="Check Box 16">
              <controlPr defaultSize="0" autoFill="0" autoLine="0" autoPict="0">
                <anchor moveWithCells="1">
                  <from>
                    <xdr:col>5</xdr:col>
                    <xdr:colOff>19050</xdr:colOff>
                    <xdr:row>2</xdr:row>
                    <xdr:rowOff>171450</xdr:rowOff>
                  </from>
                  <to>
                    <xdr:col>7</xdr:col>
                    <xdr:colOff>19050</xdr:colOff>
                    <xdr:row>4</xdr:row>
                    <xdr:rowOff>19050</xdr:rowOff>
                  </to>
                </anchor>
              </controlPr>
            </control>
          </mc:Choice>
        </mc:AlternateContent>
        <mc:AlternateContent xmlns:mc="http://schemas.openxmlformats.org/markup-compatibility/2006">
          <mc:Choice Requires="x14">
            <control shapeId="3089" r:id="rId11" name="Check Box 17">
              <controlPr defaultSize="0" autoFill="0" autoLine="0" autoPict="0">
                <anchor moveWithCells="1">
                  <from>
                    <xdr:col>10</xdr:col>
                    <xdr:colOff>9525</xdr:colOff>
                    <xdr:row>2</xdr:row>
                    <xdr:rowOff>19050</xdr:rowOff>
                  </from>
                  <to>
                    <xdr:col>11</xdr:col>
                    <xdr:colOff>123825</xdr:colOff>
                    <xdr:row>3</xdr:row>
                    <xdr:rowOff>47625</xdr:rowOff>
                  </to>
                </anchor>
              </controlPr>
            </control>
          </mc:Choice>
        </mc:AlternateContent>
        <mc:AlternateContent xmlns:mc="http://schemas.openxmlformats.org/markup-compatibility/2006">
          <mc:Choice Requires="x14">
            <control shapeId="3099" r:id="rId12" name="Check Box 27">
              <controlPr defaultSize="0" autoFill="0" autoLine="0" autoPict="0">
                <anchor moveWithCells="1">
                  <from>
                    <xdr:col>5</xdr:col>
                    <xdr:colOff>19050</xdr:colOff>
                    <xdr:row>3</xdr:row>
                    <xdr:rowOff>171450</xdr:rowOff>
                  </from>
                  <to>
                    <xdr:col>7</xdr:col>
                    <xdr:colOff>19050</xdr:colOff>
                    <xdr:row>5</xdr:row>
                    <xdr:rowOff>19050</xdr:rowOff>
                  </to>
                </anchor>
              </controlPr>
            </control>
          </mc:Choice>
        </mc:AlternateContent>
        <mc:AlternateContent xmlns:mc="http://schemas.openxmlformats.org/markup-compatibility/2006">
          <mc:Choice Requires="x14">
            <control shapeId="3111" r:id="rId13" name="Check Box 39">
              <controlPr defaultSize="0" autoFill="0" autoLine="0" autoPict="0">
                <anchor moveWithCells="1">
                  <from>
                    <xdr:col>8</xdr:col>
                    <xdr:colOff>9525</xdr:colOff>
                    <xdr:row>4</xdr:row>
                    <xdr:rowOff>171450</xdr:rowOff>
                  </from>
                  <to>
                    <xdr:col>8</xdr:col>
                    <xdr:colOff>771525</xdr:colOff>
                    <xdr:row>6</xdr:row>
                    <xdr:rowOff>19050</xdr:rowOff>
                  </to>
                </anchor>
              </controlPr>
            </control>
          </mc:Choice>
        </mc:AlternateContent>
        <mc:AlternateContent xmlns:mc="http://schemas.openxmlformats.org/markup-compatibility/2006">
          <mc:Choice Requires="x14">
            <control shapeId="3123" r:id="rId14" name="Check Box 51">
              <controlPr defaultSize="0" autoFill="0" autoLine="0" autoPict="0">
                <anchor moveWithCells="1">
                  <from>
                    <xdr:col>5</xdr:col>
                    <xdr:colOff>19050</xdr:colOff>
                    <xdr:row>5</xdr:row>
                    <xdr:rowOff>0</xdr:rowOff>
                  </from>
                  <to>
                    <xdr:col>7</xdr:col>
                    <xdr:colOff>142875</xdr:colOff>
                    <xdr:row>6</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U841"/>
  <sheetViews>
    <sheetView zoomScaleNormal="100" workbookViewId="0">
      <pane xSplit="5" ySplit="4" topLeftCell="F5" activePane="bottomRight" state="frozen"/>
      <selection pane="topRight" activeCell="E1" sqref="E1"/>
      <selection pane="bottomLeft" activeCell="A5" sqref="A5"/>
      <selection pane="bottomRight" activeCell="C4" sqref="C4"/>
    </sheetView>
  </sheetViews>
  <sheetFormatPr defaultRowHeight="15" x14ac:dyDescent="0.25"/>
  <cols>
    <col min="1" max="1" width="15.28515625" bestFit="1" customWidth="1"/>
    <col min="2" max="2" width="19.5703125" bestFit="1" customWidth="1"/>
    <col min="3" max="3" width="19.5703125" customWidth="1"/>
    <col min="5" max="5" width="26.7109375" customWidth="1"/>
    <col min="6" max="25" width="8.85546875" customWidth="1"/>
    <col min="26" max="26" width="8.85546875" style="6"/>
    <col min="45" max="45" width="9.140625" style="47"/>
  </cols>
  <sheetData>
    <row r="1" spans="1:47" x14ac:dyDescent="0.25">
      <c r="E1">
        <v>1</v>
      </c>
      <c r="F1">
        <v>2</v>
      </c>
      <c r="G1">
        <v>3</v>
      </c>
      <c r="H1">
        <v>4</v>
      </c>
      <c r="I1">
        <v>5</v>
      </c>
      <c r="J1">
        <v>6</v>
      </c>
      <c r="K1">
        <v>7</v>
      </c>
      <c r="L1">
        <v>8</v>
      </c>
      <c r="M1">
        <v>9</v>
      </c>
      <c r="N1">
        <v>10</v>
      </c>
      <c r="O1">
        <v>11</v>
      </c>
      <c r="P1">
        <v>12</v>
      </c>
      <c r="Q1">
        <v>13</v>
      </c>
      <c r="R1">
        <v>14</v>
      </c>
      <c r="S1">
        <v>15</v>
      </c>
      <c r="T1">
        <v>16</v>
      </c>
      <c r="U1">
        <v>17</v>
      </c>
      <c r="V1">
        <v>18</v>
      </c>
      <c r="W1">
        <v>19</v>
      </c>
      <c r="X1">
        <v>20</v>
      </c>
      <c r="Y1">
        <v>21</v>
      </c>
      <c r="Z1" s="6">
        <v>22</v>
      </c>
      <c r="AA1">
        <v>23</v>
      </c>
      <c r="AB1">
        <v>24</v>
      </c>
      <c r="AC1">
        <v>25</v>
      </c>
      <c r="AD1">
        <v>26</v>
      </c>
      <c r="AE1">
        <v>27</v>
      </c>
      <c r="AF1">
        <v>28</v>
      </c>
      <c r="AG1">
        <v>29</v>
      </c>
      <c r="AH1">
        <v>30</v>
      </c>
      <c r="AI1">
        <v>31</v>
      </c>
      <c r="AJ1">
        <v>32</v>
      </c>
      <c r="AK1">
        <v>33</v>
      </c>
      <c r="AL1">
        <v>34</v>
      </c>
      <c r="AM1">
        <v>35</v>
      </c>
      <c r="AN1">
        <v>36</v>
      </c>
      <c r="AO1">
        <v>37</v>
      </c>
      <c r="AP1">
        <v>38</v>
      </c>
      <c r="AQ1">
        <v>39</v>
      </c>
      <c r="AR1">
        <v>40</v>
      </c>
      <c r="AS1" s="46">
        <v>41</v>
      </c>
      <c r="AT1">
        <v>42</v>
      </c>
      <c r="AU1" s="46">
        <v>43</v>
      </c>
    </row>
    <row r="2" spans="1:47" ht="18.75" x14ac:dyDescent="0.3">
      <c r="F2" s="68" t="s">
        <v>99</v>
      </c>
      <c r="G2" s="68"/>
      <c r="H2" s="68"/>
      <c r="I2" s="68"/>
      <c r="J2" s="68"/>
      <c r="K2" s="68"/>
      <c r="L2" s="68"/>
      <c r="M2" s="68"/>
      <c r="N2" s="68"/>
      <c r="O2" s="68"/>
      <c r="P2" s="68"/>
      <c r="Q2" s="68"/>
      <c r="R2" s="68"/>
      <c r="S2" s="68"/>
      <c r="T2" s="68"/>
      <c r="U2" s="68"/>
      <c r="V2" s="68"/>
      <c r="W2" s="68"/>
      <c r="X2" s="68"/>
      <c r="Y2" s="68"/>
      <c r="Z2" s="69" t="s">
        <v>103</v>
      </c>
      <c r="AA2" s="68"/>
      <c r="AB2" s="68"/>
      <c r="AC2" s="68"/>
      <c r="AD2" s="68"/>
      <c r="AE2" s="68"/>
      <c r="AF2" s="68"/>
      <c r="AG2" s="68"/>
      <c r="AH2" s="68"/>
      <c r="AI2" s="68"/>
      <c r="AJ2" s="68"/>
      <c r="AK2" s="68"/>
      <c r="AL2" s="68"/>
      <c r="AM2" s="68"/>
      <c r="AN2" s="68"/>
      <c r="AO2" s="68"/>
      <c r="AP2" s="68"/>
      <c r="AQ2" s="68"/>
      <c r="AR2" s="68"/>
      <c r="AS2" s="73"/>
    </row>
    <row r="3" spans="1:47" x14ac:dyDescent="0.25">
      <c r="F3" t="s">
        <v>104</v>
      </c>
      <c r="K3" t="s">
        <v>105</v>
      </c>
      <c r="P3" t="s">
        <v>106</v>
      </c>
      <c r="U3" t="s">
        <v>107</v>
      </c>
      <c r="Z3" s="6" t="s">
        <v>104</v>
      </c>
      <c r="AE3" t="s">
        <v>105</v>
      </c>
      <c r="AJ3" t="s">
        <v>106</v>
      </c>
      <c r="AO3" t="s">
        <v>107</v>
      </c>
      <c r="AS3" s="46"/>
      <c r="AT3" s="46"/>
    </row>
    <row r="4" spans="1:47" x14ac:dyDescent="0.25">
      <c r="A4" t="s">
        <v>92</v>
      </c>
      <c r="B4" t="s">
        <v>93</v>
      </c>
      <c r="C4" t="s">
        <v>92</v>
      </c>
      <c r="D4" t="s">
        <v>16</v>
      </c>
      <c r="E4" t="s">
        <v>117</v>
      </c>
      <c r="F4" t="s">
        <v>36</v>
      </c>
      <c r="G4" t="s">
        <v>37</v>
      </c>
      <c r="H4" t="s">
        <v>38</v>
      </c>
      <c r="I4" t="s">
        <v>39</v>
      </c>
      <c r="J4" t="s">
        <v>40</v>
      </c>
      <c r="K4" t="s">
        <v>36</v>
      </c>
      <c r="L4" t="s">
        <v>37</v>
      </c>
      <c r="M4" t="s">
        <v>38</v>
      </c>
      <c r="N4" t="s">
        <v>39</v>
      </c>
      <c r="O4" t="s">
        <v>40</v>
      </c>
      <c r="P4" t="s">
        <v>36</v>
      </c>
      <c r="Q4" t="s">
        <v>37</v>
      </c>
      <c r="R4" t="s">
        <v>38</v>
      </c>
      <c r="S4" t="s">
        <v>39</v>
      </c>
      <c r="T4" t="s">
        <v>40</v>
      </c>
      <c r="U4" t="s">
        <v>36</v>
      </c>
      <c r="V4" t="s">
        <v>37</v>
      </c>
      <c r="W4" t="s">
        <v>38</v>
      </c>
      <c r="X4" t="s">
        <v>39</v>
      </c>
      <c r="Y4" t="s">
        <v>40</v>
      </c>
      <c r="Z4" s="6" t="s">
        <v>36</v>
      </c>
      <c r="AA4" t="s">
        <v>37</v>
      </c>
      <c r="AB4" t="s">
        <v>38</v>
      </c>
      <c r="AC4" t="s">
        <v>39</v>
      </c>
      <c r="AD4" t="s">
        <v>40</v>
      </c>
      <c r="AE4" t="s">
        <v>36</v>
      </c>
      <c r="AF4" t="s">
        <v>37</v>
      </c>
      <c r="AG4" t="s">
        <v>38</v>
      </c>
      <c r="AH4" t="s">
        <v>39</v>
      </c>
      <c r="AI4" t="s">
        <v>40</v>
      </c>
      <c r="AJ4" t="s">
        <v>36</v>
      </c>
      <c r="AK4" t="s">
        <v>37</v>
      </c>
      <c r="AL4" t="s">
        <v>38</v>
      </c>
      <c r="AM4" t="s">
        <v>39</v>
      </c>
      <c r="AN4" t="s">
        <v>40</v>
      </c>
      <c r="AO4" t="s">
        <v>36</v>
      </c>
      <c r="AP4" t="s">
        <v>37</v>
      </c>
      <c r="AQ4" t="s">
        <v>38</v>
      </c>
      <c r="AR4" t="s">
        <v>39</v>
      </c>
      <c r="AS4" s="56" t="s">
        <v>210</v>
      </c>
      <c r="AT4" s="46" t="s">
        <v>211</v>
      </c>
      <c r="AU4" t="s">
        <v>212</v>
      </c>
    </row>
    <row r="5" spans="1:47" s="36" customFormat="1" x14ac:dyDescent="0.25">
      <c r="A5" s="63" t="s">
        <v>91</v>
      </c>
      <c r="B5" s="63" t="s">
        <v>46</v>
      </c>
      <c r="C5" s="63" t="s">
        <v>91</v>
      </c>
      <c r="D5" s="37" t="s">
        <v>0</v>
      </c>
      <c r="E5" s="62" t="str">
        <f t="shared" ref="E5:E68" si="0">B5&amp;D5</f>
        <v>AgnaktorPara</v>
      </c>
      <c r="F5" s="36">
        <v>180</v>
      </c>
      <c r="G5" s="36">
        <v>336</v>
      </c>
      <c r="H5" s="36">
        <v>647</v>
      </c>
      <c r="I5" s="36">
        <v>804</v>
      </c>
      <c r="J5" s="61"/>
      <c r="K5" s="50"/>
      <c r="P5" s="6">
        <v>180</v>
      </c>
      <c r="Q5" s="46">
        <v>420</v>
      </c>
      <c r="R5" s="46">
        <v>660</v>
      </c>
      <c r="S5" s="46">
        <v>900</v>
      </c>
      <c r="U5" s="50"/>
      <c r="Z5" s="6">
        <v>180</v>
      </c>
      <c r="AA5" s="46">
        <v>444</v>
      </c>
      <c r="AB5" s="46">
        <v>708</v>
      </c>
      <c r="AC5" s="46">
        <v>972</v>
      </c>
      <c r="AE5" s="50">
        <v>180</v>
      </c>
      <c r="AF5" s="36">
        <v>444</v>
      </c>
      <c r="AG5" s="36">
        <v>708</v>
      </c>
      <c r="AH5" s="36">
        <v>972</v>
      </c>
      <c r="AJ5" s="6">
        <v>180</v>
      </c>
      <c r="AK5" s="46">
        <v>504</v>
      </c>
      <c r="AL5" s="46">
        <v>828</v>
      </c>
      <c r="AM5" s="46">
        <v>1152</v>
      </c>
      <c r="AO5" s="50"/>
      <c r="AS5" s="36">
        <v>10</v>
      </c>
      <c r="AT5" s="36" t="s">
        <v>214</v>
      </c>
      <c r="AU5" s="36" t="s">
        <v>214</v>
      </c>
    </row>
    <row r="6" spans="1:47" x14ac:dyDescent="0.25">
      <c r="A6" s="63" t="s">
        <v>91</v>
      </c>
      <c r="B6" s="63" t="s">
        <v>46</v>
      </c>
      <c r="C6" s="63" t="s">
        <v>91</v>
      </c>
      <c r="D6" s="31" t="s">
        <v>32</v>
      </c>
      <c r="E6" s="62" t="str">
        <f t="shared" si="0"/>
        <v>AgnaktorSleep</v>
      </c>
      <c r="F6">
        <v>180</v>
      </c>
      <c r="G6">
        <v>336</v>
      </c>
      <c r="H6">
        <v>492</v>
      </c>
      <c r="I6">
        <v>647</v>
      </c>
      <c r="K6" s="6"/>
      <c r="P6" s="6">
        <v>180</v>
      </c>
      <c r="Q6">
        <v>420</v>
      </c>
      <c r="R6">
        <v>660</v>
      </c>
      <c r="S6">
        <v>900</v>
      </c>
      <c r="U6" s="6"/>
      <c r="Z6" s="6">
        <v>180</v>
      </c>
      <c r="AA6">
        <v>444</v>
      </c>
      <c r="AB6">
        <v>708</v>
      </c>
      <c r="AC6">
        <v>972</v>
      </c>
      <c r="AE6" s="6">
        <v>180</v>
      </c>
      <c r="AF6">
        <v>444</v>
      </c>
      <c r="AG6">
        <v>708</v>
      </c>
      <c r="AH6">
        <v>972</v>
      </c>
      <c r="AJ6" s="6">
        <v>180</v>
      </c>
      <c r="AK6">
        <v>504</v>
      </c>
      <c r="AL6">
        <v>828</v>
      </c>
      <c r="AM6">
        <v>1152</v>
      </c>
      <c r="AO6" s="6"/>
      <c r="AS6">
        <v>20</v>
      </c>
      <c r="AT6" t="s">
        <v>214</v>
      </c>
      <c r="AU6" t="s">
        <v>214</v>
      </c>
    </row>
    <row r="7" spans="1:47" x14ac:dyDescent="0.25">
      <c r="A7" s="63" t="s">
        <v>91</v>
      </c>
      <c r="B7" s="63" t="s">
        <v>46</v>
      </c>
      <c r="C7" s="63" t="s">
        <v>91</v>
      </c>
      <c r="D7" s="32" t="s">
        <v>33</v>
      </c>
      <c r="E7" s="62" t="str">
        <f t="shared" si="0"/>
        <v>AgnaktorPoison</v>
      </c>
      <c r="F7">
        <v>180</v>
      </c>
      <c r="G7">
        <f>367+61</f>
        <v>428</v>
      </c>
      <c r="H7">
        <v>466</v>
      </c>
      <c r="I7">
        <v>608</v>
      </c>
      <c r="J7" s="29"/>
      <c r="K7" s="6"/>
      <c r="P7" s="6">
        <v>180</v>
      </c>
      <c r="Q7">
        <v>400</v>
      </c>
      <c r="R7">
        <v>620</v>
      </c>
      <c r="S7">
        <v>840</v>
      </c>
      <c r="U7" s="6"/>
      <c r="Z7" s="6">
        <v>180</v>
      </c>
      <c r="AA7">
        <v>422</v>
      </c>
      <c r="AB7">
        <v>664</v>
      </c>
      <c r="AC7">
        <v>906</v>
      </c>
      <c r="AE7" s="6">
        <v>180</v>
      </c>
      <c r="AF7">
        <v>422</v>
      </c>
      <c r="AG7">
        <v>664</v>
      </c>
      <c r="AH7">
        <v>906</v>
      </c>
      <c r="AJ7" s="6">
        <v>180</v>
      </c>
      <c r="AK7">
        <v>477</v>
      </c>
      <c r="AL7">
        <v>774</v>
      </c>
      <c r="AM7">
        <v>1071</v>
      </c>
      <c r="AO7" s="6"/>
      <c r="AS7">
        <v>30</v>
      </c>
      <c r="AT7" t="s">
        <v>214</v>
      </c>
      <c r="AU7" t="s">
        <v>214</v>
      </c>
    </row>
    <row r="8" spans="1:47" x14ac:dyDescent="0.25">
      <c r="A8" s="63" t="s">
        <v>91</v>
      </c>
      <c r="B8" s="63" t="s">
        <v>46</v>
      </c>
      <c r="C8" s="63" t="s">
        <v>91</v>
      </c>
      <c r="D8" s="10" t="s">
        <v>22</v>
      </c>
      <c r="E8" s="62" t="str">
        <f t="shared" si="0"/>
        <v>AgnaktorExhaust</v>
      </c>
      <c r="F8">
        <v>240</v>
      </c>
      <c r="G8">
        <v>360</v>
      </c>
      <c r="H8">
        <v>480</v>
      </c>
      <c r="I8">
        <v>600</v>
      </c>
      <c r="J8" s="29"/>
      <c r="K8" s="6"/>
      <c r="P8" s="6">
        <v>277</v>
      </c>
      <c r="Q8">
        <v>416</v>
      </c>
      <c r="R8">
        <v>555</v>
      </c>
      <c r="S8">
        <v>694</v>
      </c>
      <c r="U8" s="6"/>
      <c r="Z8" s="6">
        <v>300</v>
      </c>
      <c r="AA8">
        <v>450</v>
      </c>
      <c r="AB8">
        <v>600</v>
      </c>
      <c r="AC8">
        <v>750</v>
      </c>
      <c r="AE8" s="6">
        <v>300</v>
      </c>
      <c r="AF8">
        <v>450</v>
      </c>
      <c r="AG8">
        <v>600</v>
      </c>
      <c r="AH8">
        <v>750</v>
      </c>
      <c r="AJ8" s="6">
        <v>375</v>
      </c>
      <c r="AK8">
        <v>562</v>
      </c>
      <c r="AL8">
        <v>749</v>
      </c>
      <c r="AM8">
        <v>936</v>
      </c>
      <c r="AO8" s="6"/>
      <c r="AS8"/>
      <c r="AT8" t="s">
        <v>214</v>
      </c>
      <c r="AU8" t="s">
        <v>214</v>
      </c>
    </row>
    <row r="9" spans="1:47" x14ac:dyDescent="0.25">
      <c r="A9" s="63" t="s">
        <v>91</v>
      </c>
      <c r="B9" s="63" t="s">
        <v>46</v>
      </c>
      <c r="C9" s="63" t="s">
        <v>91</v>
      </c>
      <c r="D9" s="30" t="s">
        <v>35</v>
      </c>
      <c r="E9" s="62" t="str">
        <f t="shared" si="0"/>
        <v>AgnaktorBlast</v>
      </c>
      <c r="F9">
        <v>70</v>
      </c>
      <c r="G9">
        <v>109</v>
      </c>
      <c r="H9">
        <v>148</v>
      </c>
      <c r="I9">
        <v>187</v>
      </c>
      <c r="K9" s="6"/>
      <c r="P9" s="6">
        <v>70</v>
      </c>
      <c r="Q9">
        <v>130</v>
      </c>
      <c r="R9" s="6">
        <v>190</v>
      </c>
      <c r="S9">
        <v>250</v>
      </c>
      <c r="U9" s="6"/>
      <c r="Z9" s="6">
        <v>70</v>
      </c>
      <c r="AA9">
        <v>136</v>
      </c>
      <c r="AB9" s="6">
        <v>202</v>
      </c>
      <c r="AC9">
        <v>268</v>
      </c>
      <c r="AE9" s="6">
        <v>70</v>
      </c>
      <c r="AF9">
        <v>136</v>
      </c>
      <c r="AG9" s="6">
        <v>202</v>
      </c>
      <c r="AH9">
        <v>268</v>
      </c>
      <c r="AJ9" s="6">
        <v>70</v>
      </c>
      <c r="AK9">
        <v>151</v>
      </c>
      <c r="AL9">
        <v>232</v>
      </c>
      <c r="AM9">
        <v>313</v>
      </c>
      <c r="AO9" s="6"/>
      <c r="AS9"/>
      <c r="AT9" t="s">
        <v>214</v>
      </c>
      <c r="AU9" t="s">
        <v>214</v>
      </c>
    </row>
    <row r="10" spans="1:47" x14ac:dyDescent="0.25">
      <c r="A10" s="63" t="s">
        <v>91</v>
      </c>
      <c r="B10" s="63" t="s">
        <v>46</v>
      </c>
      <c r="C10" s="63" t="s">
        <v>91</v>
      </c>
      <c r="D10" s="34" t="s">
        <v>14</v>
      </c>
      <c r="E10" s="62" t="str">
        <f t="shared" si="0"/>
        <v>AgnaktorKO</v>
      </c>
      <c r="F10">
        <v>260</v>
      </c>
      <c r="G10">
        <v>390</v>
      </c>
      <c r="H10">
        <v>520</v>
      </c>
      <c r="I10">
        <v>650</v>
      </c>
      <c r="J10" s="29"/>
      <c r="K10" s="6"/>
      <c r="P10" s="6">
        <v>280</v>
      </c>
      <c r="Q10">
        <v>420</v>
      </c>
      <c r="R10">
        <v>560</v>
      </c>
      <c r="S10">
        <v>700</v>
      </c>
      <c r="U10" s="6"/>
      <c r="Z10" s="6">
        <v>300</v>
      </c>
      <c r="AA10">
        <v>450</v>
      </c>
      <c r="AB10">
        <v>600</v>
      </c>
      <c r="AC10">
        <v>750</v>
      </c>
      <c r="AE10" s="6">
        <v>300</v>
      </c>
      <c r="AF10">
        <v>450</v>
      </c>
      <c r="AG10">
        <v>600</v>
      </c>
      <c r="AH10">
        <v>750</v>
      </c>
      <c r="AJ10" s="6">
        <v>400</v>
      </c>
      <c r="AK10">
        <v>600</v>
      </c>
      <c r="AL10">
        <v>800</v>
      </c>
      <c r="AM10">
        <v>1000</v>
      </c>
      <c r="AO10" s="6"/>
      <c r="AS10">
        <v>10</v>
      </c>
      <c r="AT10" t="s">
        <v>214</v>
      </c>
      <c r="AU10" t="s">
        <v>214</v>
      </c>
    </row>
    <row r="11" spans="1:47" x14ac:dyDescent="0.25">
      <c r="A11" s="63" t="s">
        <v>91</v>
      </c>
      <c r="B11" s="63" t="s">
        <v>46</v>
      </c>
      <c r="C11" s="63" t="s">
        <v>91</v>
      </c>
      <c r="D11" s="33" t="s">
        <v>34</v>
      </c>
      <c r="E11" s="62" t="str">
        <f t="shared" si="0"/>
        <v>AgnaktorMount</v>
      </c>
      <c r="F11">
        <v>80</v>
      </c>
      <c r="G11">
        <v>240</v>
      </c>
      <c r="H11">
        <v>400</v>
      </c>
      <c r="I11">
        <v>560</v>
      </c>
      <c r="K11" s="6"/>
      <c r="P11" s="6">
        <v>90</v>
      </c>
      <c r="Q11">
        <v>270</v>
      </c>
      <c r="R11" s="6">
        <v>450</v>
      </c>
      <c r="S11">
        <v>630</v>
      </c>
      <c r="U11" s="6"/>
      <c r="Z11" s="6">
        <v>90</v>
      </c>
      <c r="AA11">
        <v>270</v>
      </c>
      <c r="AB11">
        <v>450</v>
      </c>
      <c r="AC11">
        <v>630</v>
      </c>
      <c r="AE11" s="6">
        <v>90</v>
      </c>
      <c r="AF11">
        <v>270</v>
      </c>
      <c r="AG11">
        <v>450</v>
      </c>
      <c r="AH11">
        <v>630</v>
      </c>
      <c r="AJ11" s="6">
        <v>100</v>
      </c>
      <c r="AK11">
        <v>300</v>
      </c>
      <c r="AL11">
        <v>500</v>
      </c>
      <c r="AM11">
        <v>700</v>
      </c>
      <c r="AO11" s="6"/>
      <c r="AS11"/>
      <c r="AT11" t="s">
        <v>214</v>
      </c>
      <c r="AU11" t="s">
        <v>214</v>
      </c>
    </row>
    <row r="12" spans="1:47" x14ac:dyDescent="0.25">
      <c r="A12" s="63" t="s">
        <v>91</v>
      </c>
      <c r="B12" s="63" t="s">
        <v>46</v>
      </c>
      <c r="C12" s="63" t="s">
        <v>91</v>
      </c>
      <c r="D12" s="77" t="s">
        <v>207</v>
      </c>
      <c r="E12" s="62" t="str">
        <f t="shared" si="0"/>
        <v>AgnaktorShock Trap</v>
      </c>
      <c r="K12" s="6"/>
      <c r="P12" s="6"/>
      <c r="U12" s="6"/>
      <c r="AE12" s="6"/>
      <c r="AJ12" s="6"/>
      <c r="AO12" s="6"/>
      <c r="AS12">
        <v>5</v>
      </c>
      <c r="AT12">
        <v>15</v>
      </c>
      <c r="AU12">
        <v>8</v>
      </c>
    </row>
    <row r="13" spans="1:47" s="56" customFormat="1" x14ac:dyDescent="0.25">
      <c r="A13" s="63" t="s">
        <v>91</v>
      </c>
      <c r="B13" s="63" t="s">
        <v>46</v>
      </c>
      <c r="C13" s="63" t="s">
        <v>91</v>
      </c>
      <c r="D13" s="79" t="s">
        <v>213</v>
      </c>
      <c r="E13" s="62" t="str">
        <f t="shared" si="0"/>
        <v>AgnaktorPitfall Trap</v>
      </c>
      <c r="K13" s="7"/>
      <c r="P13" s="7"/>
      <c r="U13" s="7"/>
      <c r="Z13" s="7"/>
      <c r="AE13" s="7"/>
      <c r="AJ13" s="7"/>
      <c r="AO13" s="7"/>
      <c r="AS13" s="56">
        <v>5</v>
      </c>
      <c r="AT13" s="56">
        <v>15</v>
      </c>
      <c r="AU13" s="56">
        <v>13</v>
      </c>
    </row>
    <row r="14" spans="1:47" s="36" customFormat="1" x14ac:dyDescent="0.25">
      <c r="A14" s="63" t="s">
        <v>184</v>
      </c>
      <c r="B14" s="63" t="s">
        <v>173</v>
      </c>
      <c r="C14" s="63" t="s">
        <v>184</v>
      </c>
      <c r="D14" s="37" t="s">
        <v>0</v>
      </c>
      <c r="E14" s="62" t="str">
        <f t="shared" si="0"/>
        <v>Ahtal-KaPara</v>
      </c>
      <c r="J14" s="61"/>
      <c r="K14" s="50"/>
      <c r="P14" s="6"/>
      <c r="Q14" s="46"/>
      <c r="R14" s="46"/>
      <c r="S14" s="46"/>
      <c r="U14" s="50"/>
      <c r="Z14" s="6">
        <v>350</v>
      </c>
      <c r="AA14" s="46">
        <v>1010</v>
      </c>
      <c r="AB14" s="46">
        <v>1670</v>
      </c>
      <c r="AC14" s="46">
        <v>1780</v>
      </c>
      <c r="AE14" s="50"/>
      <c r="AJ14" s="6"/>
      <c r="AK14" s="46"/>
      <c r="AL14" s="46"/>
      <c r="AM14" s="46"/>
      <c r="AO14" s="50"/>
      <c r="AS14" s="36">
        <v>5</v>
      </c>
      <c r="AT14" s="36" t="s">
        <v>214</v>
      </c>
      <c r="AU14" s="36" t="s">
        <v>214</v>
      </c>
    </row>
    <row r="15" spans="1:47" x14ac:dyDescent="0.25">
      <c r="A15" s="63" t="s">
        <v>184</v>
      </c>
      <c r="B15" s="63" t="s">
        <v>173</v>
      </c>
      <c r="C15" s="63" t="s">
        <v>184</v>
      </c>
      <c r="D15" s="31" t="s">
        <v>32</v>
      </c>
      <c r="E15" s="62" t="str">
        <f t="shared" si="0"/>
        <v>Ahtal-KaSleep</v>
      </c>
      <c r="K15" s="6"/>
      <c r="P15" s="6"/>
      <c r="U15" s="6"/>
      <c r="Z15" s="6">
        <v>350</v>
      </c>
      <c r="AA15">
        <v>1010</v>
      </c>
      <c r="AB15">
        <v>1670</v>
      </c>
      <c r="AC15">
        <v>2330</v>
      </c>
      <c r="AE15" s="6"/>
      <c r="AJ15" s="6"/>
      <c r="AO15" s="6"/>
      <c r="AS15">
        <v>60</v>
      </c>
      <c r="AT15" t="s">
        <v>214</v>
      </c>
      <c r="AU15" t="s">
        <v>214</v>
      </c>
    </row>
    <row r="16" spans="1:47" x14ac:dyDescent="0.25">
      <c r="A16" s="63" t="s">
        <v>184</v>
      </c>
      <c r="B16" s="63" t="s">
        <v>173</v>
      </c>
      <c r="C16" s="63" t="s">
        <v>184</v>
      </c>
      <c r="D16" s="32" t="s">
        <v>33</v>
      </c>
      <c r="E16" s="62" t="str">
        <f t="shared" si="0"/>
        <v>Ahtal-KaPoison</v>
      </c>
      <c r="J16" s="29"/>
      <c r="K16" s="6"/>
      <c r="P16" s="6"/>
      <c r="U16" s="6"/>
      <c r="Z16" s="6">
        <v>180</v>
      </c>
      <c r="AA16">
        <v>400</v>
      </c>
      <c r="AB16">
        <v>620</v>
      </c>
      <c r="AC16">
        <v>840</v>
      </c>
      <c r="AE16" s="6"/>
      <c r="AJ16" s="6"/>
      <c r="AO16" s="6"/>
      <c r="AS16">
        <v>30</v>
      </c>
      <c r="AT16" t="s">
        <v>214</v>
      </c>
      <c r="AU16" t="s">
        <v>214</v>
      </c>
    </row>
    <row r="17" spans="1:47" x14ac:dyDescent="0.25">
      <c r="A17" s="63" t="s">
        <v>184</v>
      </c>
      <c r="B17" s="63" t="s">
        <v>173</v>
      </c>
      <c r="C17" s="63" t="s">
        <v>184</v>
      </c>
      <c r="D17" s="10" t="s">
        <v>22</v>
      </c>
      <c r="E17" s="62" t="str">
        <f t="shared" si="0"/>
        <v>Ahtal-KaExhaust</v>
      </c>
      <c r="J17" s="29"/>
      <c r="K17" s="6"/>
      <c r="P17" s="6"/>
      <c r="U17" s="6"/>
      <c r="Z17" s="6">
        <v>360</v>
      </c>
      <c r="AA17">
        <v>660</v>
      </c>
      <c r="AB17">
        <v>960</v>
      </c>
      <c r="AC17">
        <v>1260</v>
      </c>
      <c r="AE17" s="6"/>
      <c r="AJ17" s="6"/>
      <c r="AO17" s="6"/>
      <c r="AS17"/>
      <c r="AT17" t="s">
        <v>214</v>
      </c>
      <c r="AU17" t="s">
        <v>214</v>
      </c>
    </row>
    <row r="18" spans="1:47" x14ac:dyDescent="0.25">
      <c r="A18" s="63" t="s">
        <v>184</v>
      </c>
      <c r="B18" s="63" t="s">
        <v>173</v>
      </c>
      <c r="C18" s="63" t="s">
        <v>184</v>
      </c>
      <c r="D18" s="30" t="s">
        <v>35</v>
      </c>
      <c r="E18" s="62" t="str">
        <f t="shared" si="0"/>
        <v>Ahtal-KaBlast</v>
      </c>
      <c r="K18" s="6"/>
      <c r="P18" s="6"/>
      <c r="R18" s="6"/>
      <c r="U18" s="6"/>
      <c r="Z18" s="6">
        <v>130</v>
      </c>
      <c r="AA18">
        <v>240</v>
      </c>
      <c r="AB18" s="6">
        <v>350</v>
      </c>
      <c r="AC18">
        <v>460</v>
      </c>
      <c r="AE18" s="6"/>
      <c r="AG18" s="6"/>
      <c r="AJ18" s="6"/>
      <c r="AO18" s="6"/>
      <c r="AS18"/>
      <c r="AT18" t="s">
        <v>214</v>
      </c>
      <c r="AU18" t="s">
        <v>214</v>
      </c>
    </row>
    <row r="19" spans="1:47" x14ac:dyDescent="0.25">
      <c r="A19" s="63" t="s">
        <v>184</v>
      </c>
      <c r="B19" s="63" t="s">
        <v>173</v>
      </c>
      <c r="C19" s="63" t="s">
        <v>184</v>
      </c>
      <c r="D19" s="34" t="s">
        <v>14</v>
      </c>
      <c r="E19" s="62" t="str">
        <f t="shared" si="0"/>
        <v>Ahtal-KaKO</v>
      </c>
      <c r="J19" s="29"/>
      <c r="K19" s="6"/>
      <c r="P19" s="6"/>
      <c r="U19" s="6"/>
      <c r="Z19" s="6">
        <v>225</v>
      </c>
      <c r="AA19">
        <v>584</v>
      </c>
      <c r="AB19">
        <v>943</v>
      </c>
      <c r="AC19">
        <v>1302</v>
      </c>
      <c r="AE19" s="6"/>
      <c r="AJ19" s="6"/>
      <c r="AO19" s="6"/>
      <c r="AS19">
        <v>7</v>
      </c>
      <c r="AT19" t="s">
        <v>214</v>
      </c>
      <c r="AU19" t="s">
        <v>214</v>
      </c>
    </row>
    <row r="20" spans="1:47" x14ac:dyDescent="0.25">
      <c r="A20" s="63" t="s">
        <v>184</v>
      </c>
      <c r="B20" s="63" t="s">
        <v>173</v>
      </c>
      <c r="C20" s="63" t="s">
        <v>184</v>
      </c>
      <c r="D20" s="33" t="s">
        <v>34</v>
      </c>
      <c r="E20" s="62" t="str">
        <f t="shared" si="0"/>
        <v>Ahtal-KaMount</v>
      </c>
      <c r="K20" s="6"/>
      <c r="P20" s="6"/>
      <c r="R20" s="6"/>
      <c r="U20" s="6"/>
      <c r="Z20" s="6">
        <v>108</v>
      </c>
      <c r="AA20">
        <v>648</v>
      </c>
      <c r="AB20">
        <v>1188</v>
      </c>
      <c r="AC20">
        <v>1728</v>
      </c>
      <c r="AE20" s="6"/>
      <c r="AJ20" s="6"/>
      <c r="AO20" s="6"/>
      <c r="AS20"/>
      <c r="AT20" t="s">
        <v>214</v>
      </c>
      <c r="AU20" t="s">
        <v>214</v>
      </c>
    </row>
    <row r="21" spans="1:47" x14ac:dyDescent="0.25">
      <c r="A21" s="63" t="s">
        <v>184</v>
      </c>
      <c r="B21" s="63" t="s">
        <v>173</v>
      </c>
      <c r="C21" s="63" t="s">
        <v>184</v>
      </c>
      <c r="D21" s="77" t="s">
        <v>207</v>
      </c>
      <c r="E21" s="62" t="str">
        <f t="shared" si="0"/>
        <v>Ahtal-KaShock Trap</v>
      </c>
      <c r="K21" s="6"/>
      <c r="P21" s="6"/>
      <c r="U21" s="6"/>
      <c r="AE21" s="6"/>
      <c r="AJ21" s="6"/>
      <c r="AO21" s="6"/>
      <c r="AS21"/>
    </row>
    <row r="22" spans="1:47" s="56" customFormat="1" x14ac:dyDescent="0.25">
      <c r="A22" s="63" t="s">
        <v>184</v>
      </c>
      <c r="B22" s="63" t="s">
        <v>173</v>
      </c>
      <c r="C22" s="63" t="s">
        <v>184</v>
      </c>
      <c r="D22" s="79" t="s">
        <v>213</v>
      </c>
      <c r="E22" s="62" t="str">
        <f t="shared" si="0"/>
        <v>Ahtal-KaPitfall Trap</v>
      </c>
      <c r="K22" s="7"/>
      <c r="P22" s="7"/>
      <c r="U22" s="7"/>
      <c r="Z22" s="7"/>
      <c r="AE22" s="7"/>
      <c r="AJ22" s="7"/>
      <c r="AO22" s="7"/>
    </row>
    <row r="23" spans="1:47" s="36" customFormat="1" x14ac:dyDescent="0.25">
      <c r="A23" s="63" t="s">
        <v>184</v>
      </c>
      <c r="B23" s="63" t="s">
        <v>185</v>
      </c>
      <c r="C23" s="63" t="s">
        <v>184</v>
      </c>
      <c r="D23" s="37" t="s">
        <v>0</v>
      </c>
      <c r="E23" s="62" t="str">
        <f t="shared" si="0"/>
        <v>Ahtal-Ka ( Fortress)Para</v>
      </c>
      <c r="J23" s="61"/>
      <c r="K23" s="50"/>
      <c r="P23" s="6"/>
      <c r="Q23" s="46"/>
      <c r="R23" s="46"/>
      <c r="S23" s="46"/>
      <c r="U23" s="50"/>
      <c r="Z23" s="6">
        <v>0</v>
      </c>
      <c r="AA23" s="46">
        <v>0</v>
      </c>
      <c r="AB23" s="46">
        <v>0</v>
      </c>
      <c r="AC23" s="46">
        <v>0</v>
      </c>
      <c r="AE23" s="50"/>
      <c r="AJ23" s="6"/>
      <c r="AK23" s="46"/>
      <c r="AL23" s="46"/>
      <c r="AM23" s="46"/>
      <c r="AO23" s="50"/>
      <c r="AS23" s="36" t="s">
        <v>214</v>
      </c>
      <c r="AT23" s="36" t="s">
        <v>214</v>
      </c>
      <c r="AU23" s="36" t="s">
        <v>214</v>
      </c>
    </row>
    <row r="24" spans="1:47" x14ac:dyDescent="0.25">
      <c r="A24" s="63" t="s">
        <v>184</v>
      </c>
      <c r="B24" s="63" t="s">
        <v>185</v>
      </c>
      <c r="C24" s="63" t="s">
        <v>184</v>
      </c>
      <c r="D24" s="31" t="s">
        <v>32</v>
      </c>
      <c r="E24" s="62" t="str">
        <f t="shared" si="0"/>
        <v>Ahtal-Ka ( Fortress)Sleep</v>
      </c>
      <c r="K24" s="6"/>
      <c r="P24" s="6"/>
      <c r="U24" s="6"/>
      <c r="Z24" s="6">
        <v>0</v>
      </c>
      <c r="AA24">
        <v>0</v>
      </c>
      <c r="AB24">
        <v>0</v>
      </c>
      <c r="AC24">
        <v>0</v>
      </c>
      <c r="AE24" s="6"/>
      <c r="AJ24" s="6"/>
      <c r="AO24" s="6"/>
      <c r="AS24" t="s">
        <v>214</v>
      </c>
      <c r="AT24" t="s">
        <v>214</v>
      </c>
      <c r="AU24" t="s">
        <v>214</v>
      </c>
    </row>
    <row r="25" spans="1:47" x14ac:dyDescent="0.25">
      <c r="A25" s="63" t="s">
        <v>184</v>
      </c>
      <c r="B25" s="63" t="s">
        <v>185</v>
      </c>
      <c r="C25" s="63" t="s">
        <v>184</v>
      </c>
      <c r="D25" s="32" t="s">
        <v>33</v>
      </c>
      <c r="E25" s="62" t="str">
        <f t="shared" si="0"/>
        <v>Ahtal-Ka ( Fortress)Poison</v>
      </c>
      <c r="J25" s="29"/>
      <c r="K25" s="6"/>
      <c r="P25" s="6"/>
      <c r="U25" s="6"/>
      <c r="Z25" s="6">
        <v>0</v>
      </c>
      <c r="AA25">
        <v>0</v>
      </c>
      <c r="AB25">
        <v>0</v>
      </c>
      <c r="AC25">
        <v>0</v>
      </c>
      <c r="AE25" s="6"/>
      <c r="AJ25" s="6"/>
      <c r="AO25" s="6"/>
      <c r="AS25" t="s">
        <v>214</v>
      </c>
      <c r="AT25" t="s">
        <v>214</v>
      </c>
      <c r="AU25" t="s">
        <v>214</v>
      </c>
    </row>
    <row r="26" spans="1:47" x14ac:dyDescent="0.25">
      <c r="A26" s="63" t="s">
        <v>184</v>
      </c>
      <c r="B26" s="63" t="s">
        <v>185</v>
      </c>
      <c r="C26" s="63" t="s">
        <v>184</v>
      </c>
      <c r="D26" s="10" t="s">
        <v>22</v>
      </c>
      <c r="E26" s="62" t="str">
        <f t="shared" si="0"/>
        <v>Ahtal-Ka ( Fortress)Exhaust</v>
      </c>
      <c r="J26" s="29"/>
      <c r="K26" s="6"/>
      <c r="P26" s="6"/>
      <c r="U26" s="6"/>
      <c r="Z26" s="6">
        <v>0</v>
      </c>
      <c r="AA26">
        <v>0</v>
      </c>
      <c r="AB26">
        <v>0</v>
      </c>
      <c r="AC26">
        <v>0</v>
      </c>
      <c r="AE26" s="6"/>
      <c r="AJ26" s="6"/>
      <c r="AO26" s="6"/>
      <c r="AS26" t="s">
        <v>214</v>
      </c>
      <c r="AT26" t="s">
        <v>214</v>
      </c>
      <c r="AU26" t="s">
        <v>214</v>
      </c>
    </row>
    <row r="27" spans="1:47" x14ac:dyDescent="0.25">
      <c r="A27" s="63" t="s">
        <v>184</v>
      </c>
      <c r="B27" s="63" t="s">
        <v>185</v>
      </c>
      <c r="C27" s="63" t="s">
        <v>184</v>
      </c>
      <c r="D27" s="30" t="s">
        <v>35</v>
      </c>
      <c r="E27" s="62" t="str">
        <f t="shared" si="0"/>
        <v>Ahtal-Ka ( Fortress)Blast</v>
      </c>
      <c r="K27" s="6"/>
      <c r="P27" s="6"/>
      <c r="R27" s="6"/>
      <c r="U27" s="6"/>
      <c r="Z27" s="6">
        <v>0</v>
      </c>
      <c r="AA27">
        <v>0</v>
      </c>
      <c r="AB27" s="6">
        <v>0</v>
      </c>
      <c r="AC27">
        <v>0</v>
      </c>
      <c r="AE27" s="6"/>
      <c r="AG27" s="6"/>
      <c r="AJ27" s="6"/>
      <c r="AO27" s="6"/>
      <c r="AS27" t="s">
        <v>214</v>
      </c>
      <c r="AT27" t="s">
        <v>214</v>
      </c>
      <c r="AU27" t="s">
        <v>214</v>
      </c>
    </row>
    <row r="28" spans="1:47" x14ac:dyDescent="0.25">
      <c r="A28" s="63" t="s">
        <v>184</v>
      </c>
      <c r="B28" s="63" t="s">
        <v>185</v>
      </c>
      <c r="C28" s="63" t="s">
        <v>184</v>
      </c>
      <c r="D28" s="34" t="s">
        <v>14</v>
      </c>
      <c r="E28" s="62" t="str">
        <f t="shared" si="0"/>
        <v>Ahtal-Ka ( Fortress)KO</v>
      </c>
      <c r="J28" s="29"/>
      <c r="K28" s="6"/>
      <c r="P28" s="6"/>
      <c r="U28" s="6"/>
      <c r="Z28" s="6">
        <v>0</v>
      </c>
      <c r="AA28">
        <v>0</v>
      </c>
      <c r="AB28">
        <v>0</v>
      </c>
      <c r="AC28">
        <v>0</v>
      </c>
      <c r="AE28" s="6"/>
      <c r="AJ28" s="6"/>
      <c r="AO28" s="6"/>
      <c r="AS28" t="s">
        <v>214</v>
      </c>
      <c r="AT28" t="s">
        <v>214</v>
      </c>
      <c r="AU28" t="s">
        <v>214</v>
      </c>
    </row>
    <row r="29" spans="1:47" x14ac:dyDescent="0.25">
      <c r="A29" s="63" t="s">
        <v>184</v>
      </c>
      <c r="B29" s="63" t="s">
        <v>185</v>
      </c>
      <c r="C29" s="63" t="s">
        <v>184</v>
      </c>
      <c r="D29" s="33" t="s">
        <v>34</v>
      </c>
      <c r="E29" s="62" t="str">
        <f t="shared" si="0"/>
        <v>Ahtal-Ka ( Fortress)Mount</v>
      </c>
      <c r="K29" s="6"/>
      <c r="P29" s="6"/>
      <c r="R29" s="6"/>
      <c r="U29" s="6"/>
      <c r="Z29" s="6">
        <v>0</v>
      </c>
      <c r="AA29">
        <v>0</v>
      </c>
      <c r="AB29">
        <v>0</v>
      </c>
      <c r="AC29">
        <v>0</v>
      </c>
      <c r="AE29" s="6"/>
      <c r="AJ29" s="6"/>
      <c r="AO29" s="6"/>
      <c r="AS29" t="s">
        <v>214</v>
      </c>
      <c r="AT29" t="s">
        <v>214</v>
      </c>
      <c r="AU29" t="s">
        <v>214</v>
      </c>
    </row>
    <row r="30" spans="1:47" x14ac:dyDescent="0.25">
      <c r="A30" s="63" t="s">
        <v>184</v>
      </c>
      <c r="B30" s="63" t="s">
        <v>185</v>
      </c>
      <c r="C30" s="63" t="s">
        <v>184</v>
      </c>
      <c r="D30" s="77" t="s">
        <v>207</v>
      </c>
      <c r="E30" s="62" t="str">
        <f t="shared" si="0"/>
        <v>Ahtal-Ka ( Fortress)Shock Trap</v>
      </c>
      <c r="K30" s="6"/>
      <c r="P30" s="6"/>
      <c r="U30" s="6"/>
      <c r="AE30" s="6"/>
      <c r="AJ30" s="6"/>
      <c r="AO30" s="6"/>
      <c r="AS30"/>
    </row>
    <row r="31" spans="1:47" s="56" customFormat="1" x14ac:dyDescent="0.25">
      <c r="A31" s="63" t="s">
        <v>184</v>
      </c>
      <c r="B31" s="63" t="s">
        <v>185</v>
      </c>
      <c r="C31" s="63" t="s">
        <v>184</v>
      </c>
      <c r="D31" s="79" t="s">
        <v>213</v>
      </c>
      <c r="E31" s="62" t="str">
        <f t="shared" si="0"/>
        <v>Ahtal-Ka ( Fortress)Pitfall Trap</v>
      </c>
      <c r="K31" s="7"/>
      <c r="P31" s="7"/>
      <c r="U31" s="7"/>
      <c r="Z31" s="7"/>
      <c r="AE31" s="7"/>
      <c r="AJ31" s="7"/>
      <c r="AO31" s="7"/>
    </row>
    <row r="32" spans="1:47" s="36" customFormat="1" x14ac:dyDescent="0.25">
      <c r="A32" s="63" t="s">
        <v>91</v>
      </c>
      <c r="B32" s="63" t="s">
        <v>47</v>
      </c>
      <c r="C32" s="63" t="s">
        <v>91</v>
      </c>
      <c r="D32" s="37" t="s">
        <v>0</v>
      </c>
      <c r="E32" s="62" t="str">
        <f t="shared" si="0"/>
        <v>AkantorPara</v>
      </c>
      <c r="F32" s="36">
        <v>350</v>
      </c>
      <c r="G32" s="36">
        <v>1205</v>
      </c>
      <c r="H32" s="36">
        <v>1490</v>
      </c>
      <c r="I32" s="36">
        <v>1490</v>
      </c>
      <c r="J32" s="61"/>
      <c r="K32" s="50"/>
      <c r="P32" s="6"/>
      <c r="Q32" s="46"/>
      <c r="R32" s="46"/>
      <c r="S32" s="46"/>
      <c r="U32" s="50"/>
      <c r="Z32" s="6">
        <v>350</v>
      </c>
      <c r="AA32" s="46">
        <v>695</v>
      </c>
      <c r="AB32" s="46">
        <v>1040</v>
      </c>
      <c r="AC32" s="46">
        <v>1385</v>
      </c>
      <c r="AE32" s="50"/>
      <c r="AJ32" s="6"/>
      <c r="AK32" s="46"/>
      <c r="AL32" s="46"/>
      <c r="AM32" s="46"/>
      <c r="AO32" s="50"/>
      <c r="AS32" s="36">
        <v>10</v>
      </c>
      <c r="AT32" s="36" t="s">
        <v>214</v>
      </c>
      <c r="AU32" s="36" t="s">
        <v>214</v>
      </c>
    </row>
    <row r="33" spans="1:47" x14ac:dyDescent="0.25">
      <c r="A33" s="63" t="s">
        <v>91</v>
      </c>
      <c r="B33" s="63" t="s">
        <v>47</v>
      </c>
      <c r="C33" s="63" t="s">
        <v>91</v>
      </c>
      <c r="D33" s="31" t="s">
        <v>32</v>
      </c>
      <c r="E33" s="62" t="str">
        <f t="shared" si="0"/>
        <v>AkantorSleep</v>
      </c>
      <c r="F33">
        <v>350</v>
      </c>
      <c r="G33">
        <v>635</v>
      </c>
      <c r="H33">
        <v>920</v>
      </c>
      <c r="I33">
        <v>1205</v>
      </c>
      <c r="K33" s="6"/>
      <c r="P33" s="6"/>
      <c r="U33" s="6"/>
      <c r="Z33" s="6">
        <v>350</v>
      </c>
      <c r="AA33">
        <v>695</v>
      </c>
      <c r="AB33">
        <v>1040</v>
      </c>
      <c r="AC33">
        <v>1385</v>
      </c>
      <c r="AE33" s="6"/>
      <c r="AJ33" s="6"/>
      <c r="AO33" s="6"/>
      <c r="AS33">
        <v>30</v>
      </c>
      <c r="AT33" t="s">
        <v>214</v>
      </c>
      <c r="AU33" t="s">
        <v>214</v>
      </c>
    </row>
    <row r="34" spans="1:47" x14ac:dyDescent="0.25">
      <c r="A34" s="63" t="s">
        <v>91</v>
      </c>
      <c r="B34" s="63" t="s">
        <v>47</v>
      </c>
      <c r="C34" s="63" t="s">
        <v>91</v>
      </c>
      <c r="D34" s="32" t="s">
        <v>33</v>
      </c>
      <c r="E34" s="62" t="str">
        <f t="shared" si="0"/>
        <v>AkantorPoison</v>
      </c>
      <c r="F34">
        <v>400</v>
      </c>
      <c r="G34">
        <v>685</v>
      </c>
      <c r="H34">
        <v>970</v>
      </c>
      <c r="I34">
        <v>1255</v>
      </c>
      <c r="J34" s="29"/>
      <c r="K34" s="6"/>
      <c r="P34" s="6"/>
      <c r="U34" s="6"/>
      <c r="Z34" s="6">
        <v>400</v>
      </c>
      <c r="AA34">
        <v>745</v>
      </c>
      <c r="AB34">
        <v>1090</v>
      </c>
      <c r="AC34">
        <v>1435</v>
      </c>
      <c r="AE34" s="6"/>
      <c r="AJ34" s="6"/>
      <c r="AO34" s="6"/>
      <c r="AS34">
        <v>60</v>
      </c>
      <c r="AT34" t="s">
        <v>214</v>
      </c>
      <c r="AU34" t="s">
        <v>214</v>
      </c>
    </row>
    <row r="35" spans="1:47" x14ac:dyDescent="0.25">
      <c r="A35" s="63" t="s">
        <v>91</v>
      </c>
      <c r="B35" s="63" t="s">
        <v>47</v>
      </c>
      <c r="C35" s="63" t="s">
        <v>91</v>
      </c>
      <c r="D35" s="10" t="s">
        <v>22</v>
      </c>
      <c r="E35" s="62" t="str">
        <f t="shared" si="0"/>
        <v>AkantorExhaust</v>
      </c>
      <c r="F35">
        <v>0</v>
      </c>
      <c r="G35">
        <v>0</v>
      </c>
      <c r="H35">
        <v>0</v>
      </c>
      <c r="I35">
        <v>0</v>
      </c>
      <c r="J35" s="29"/>
      <c r="K35" s="6"/>
      <c r="P35" s="6"/>
      <c r="U35" s="6"/>
      <c r="Z35" s="6">
        <v>0</v>
      </c>
      <c r="AA35">
        <v>0</v>
      </c>
      <c r="AB35">
        <v>0</v>
      </c>
      <c r="AC35">
        <v>0</v>
      </c>
      <c r="AE35" s="6"/>
      <c r="AJ35" s="6"/>
      <c r="AO35" s="6"/>
      <c r="AS35"/>
      <c r="AT35" t="s">
        <v>214</v>
      </c>
      <c r="AU35" t="s">
        <v>214</v>
      </c>
    </row>
    <row r="36" spans="1:47" x14ac:dyDescent="0.25">
      <c r="A36" s="63" t="s">
        <v>91</v>
      </c>
      <c r="B36" s="63" t="s">
        <v>47</v>
      </c>
      <c r="C36" s="63" t="s">
        <v>91</v>
      </c>
      <c r="D36" s="30" t="s">
        <v>35</v>
      </c>
      <c r="E36" s="62" t="str">
        <f t="shared" si="0"/>
        <v>AkantorBlast</v>
      </c>
      <c r="F36">
        <v>140</v>
      </c>
      <c r="G36">
        <v>202</v>
      </c>
      <c r="H36">
        <v>264</v>
      </c>
      <c r="I36">
        <v>326</v>
      </c>
      <c r="K36" s="6"/>
      <c r="P36" s="6"/>
      <c r="R36" s="6"/>
      <c r="U36" s="6"/>
      <c r="Z36" s="6">
        <v>140</v>
      </c>
      <c r="AA36">
        <v>312</v>
      </c>
      <c r="AB36" s="6">
        <v>484</v>
      </c>
      <c r="AC36">
        <v>656</v>
      </c>
      <c r="AE36" s="6"/>
      <c r="AG36" s="6"/>
      <c r="AJ36" s="6"/>
      <c r="AO36" s="6"/>
      <c r="AS36"/>
      <c r="AT36" t="s">
        <v>214</v>
      </c>
      <c r="AU36" t="s">
        <v>214</v>
      </c>
    </row>
    <row r="37" spans="1:47" x14ac:dyDescent="0.25">
      <c r="A37" s="63" t="s">
        <v>91</v>
      </c>
      <c r="B37" s="63" t="s">
        <v>47</v>
      </c>
      <c r="C37" s="63" t="s">
        <v>91</v>
      </c>
      <c r="D37" s="34" t="s">
        <v>14</v>
      </c>
      <c r="E37" s="62" t="str">
        <f t="shared" si="0"/>
        <v>AkantorKO</v>
      </c>
      <c r="F37">
        <v>280</v>
      </c>
      <c r="G37">
        <v>490</v>
      </c>
      <c r="H37">
        <v>700</v>
      </c>
      <c r="I37">
        <v>910</v>
      </c>
      <c r="J37" s="29"/>
      <c r="K37" s="6"/>
      <c r="P37" s="6"/>
      <c r="U37" s="6"/>
      <c r="Z37" s="6">
        <v>320</v>
      </c>
      <c r="AA37">
        <v>560</v>
      </c>
      <c r="AB37">
        <v>800</v>
      </c>
      <c r="AC37">
        <v>1040</v>
      </c>
      <c r="AE37" s="6"/>
      <c r="AJ37" s="6"/>
      <c r="AO37" s="6"/>
      <c r="AS37">
        <v>10</v>
      </c>
      <c r="AT37" t="s">
        <v>214</v>
      </c>
      <c r="AU37" t="s">
        <v>214</v>
      </c>
    </row>
    <row r="38" spans="1:47" x14ac:dyDescent="0.25">
      <c r="A38" s="63" t="s">
        <v>91</v>
      </c>
      <c r="B38" s="63" t="s">
        <v>47</v>
      </c>
      <c r="C38" s="63" t="s">
        <v>91</v>
      </c>
      <c r="D38" s="33" t="s">
        <v>34</v>
      </c>
      <c r="E38" s="62" t="str">
        <f t="shared" si="0"/>
        <v>AkantorMount</v>
      </c>
      <c r="F38">
        <v>102</v>
      </c>
      <c r="G38">
        <v>306</v>
      </c>
      <c r="H38">
        <v>510</v>
      </c>
      <c r="I38">
        <v>714</v>
      </c>
      <c r="K38" s="6"/>
      <c r="P38" s="6"/>
      <c r="R38" s="6"/>
      <c r="U38" s="6"/>
      <c r="Z38" s="6">
        <v>120</v>
      </c>
      <c r="AA38">
        <v>360</v>
      </c>
      <c r="AB38">
        <v>600</v>
      </c>
      <c r="AC38">
        <v>840</v>
      </c>
      <c r="AE38" s="6"/>
      <c r="AJ38" s="6"/>
      <c r="AO38" s="6"/>
      <c r="AS38"/>
      <c r="AT38" t="s">
        <v>214</v>
      </c>
      <c r="AU38" t="s">
        <v>214</v>
      </c>
    </row>
    <row r="39" spans="1:47" x14ac:dyDescent="0.25">
      <c r="A39" s="63" t="s">
        <v>91</v>
      </c>
      <c r="B39" s="63" t="s">
        <v>47</v>
      </c>
      <c r="C39" s="63" t="s">
        <v>91</v>
      </c>
      <c r="D39" s="77" t="s">
        <v>207</v>
      </c>
      <c r="E39" s="62" t="str">
        <f t="shared" si="0"/>
        <v>AkantorShock Trap</v>
      </c>
      <c r="K39" s="6"/>
      <c r="P39" s="6"/>
      <c r="U39" s="6"/>
      <c r="AE39" s="6"/>
      <c r="AJ39" s="6"/>
      <c r="AO39" s="6"/>
      <c r="AS39">
        <v>0</v>
      </c>
      <c r="AT39">
        <v>0</v>
      </c>
      <c r="AU39">
        <v>0</v>
      </c>
    </row>
    <row r="40" spans="1:47" s="56" customFormat="1" x14ac:dyDescent="0.25">
      <c r="A40" s="63" t="s">
        <v>91</v>
      </c>
      <c r="B40" s="63" t="s">
        <v>47</v>
      </c>
      <c r="C40" s="63" t="s">
        <v>91</v>
      </c>
      <c r="D40" s="79" t="s">
        <v>213</v>
      </c>
      <c r="E40" s="62" t="str">
        <f t="shared" si="0"/>
        <v>AkantorPitfall Trap</v>
      </c>
      <c r="K40" s="7"/>
      <c r="P40" s="7"/>
      <c r="U40" s="7"/>
      <c r="Z40" s="7"/>
      <c r="AE40" s="7"/>
      <c r="AJ40" s="7"/>
      <c r="AO40" s="7"/>
      <c r="AS40" s="56">
        <v>0</v>
      </c>
      <c r="AT40" s="56">
        <v>0</v>
      </c>
      <c r="AU40" s="56">
        <v>0</v>
      </c>
    </row>
    <row r="41" spans="1:47" s="36" customFormat="1" x14ac:dyDescent="0.25">
      <c r="A41" s="63" t="s">
        <v>91</v>
      </c>
      <c r="B41" s="63" t="s">
        <v>85</v>
      </c>
      <c r="C41" s="63" t="s">
        <v>91</v>
      </c>
      <c r="D41" s="37" t="s">
        <v>0</v>
      </c>
      <c r="E41" s="62" t="str">
        <f t="shared" si="0"/>
        <v>AlatronPara</v>
      </c>
      <c r="F41" s="36">
        <v>250</v>
      </c>
      <c r="G41" s="36">
        <v>669</v>
      </c>
      <c r="H41" s="36">
        <v>1089</v>
      </c>
      <c r="I41" s="36">
        <v>1510</v>
      </c>
      <c r="J41" s="61"/>
      <c r="K41" s="50"/>
      <c r="P41" s="6"/>
      <c r="Q41" s="46"/>
      <c r="R41" s="46"/>
      <c r="S41" s="46"/>
      <c r="U41" s="50"/>
      <c r="Z41" s="6">
        <v>250</v>
      </c>
      <c r="AA41" s="46">
        <v>730</v>
      </c>
      <c r="AB41" s="46">
        <v>1210</v>
      </c>
      <c r="AC41" s="46">
        <v>1690</v>
      </c>
      <c r="AE41" s="50"/>
      <c r="AJ41" s="6"/>
      <c r="AK41" s="46"/>
      <c r="AL41" s="46"/>
      <c r="AM41" s="46"/>
      <c r="AO41" s="50"/>
      <c r="AS41" s="36">
        <v>15</v>
      </c>
      <c r="AT41" s="36" t="s">
        <v>214</v>
      </c>
      <c r="AU41" s="36" t="s">
        <v>214</v>
      </c>
    </row>
    <row r="42" spans="1:47" x14ac:dyDescent="0.25">
      <c r="A42" s="63" t="s">
        <v>91</v>
      </c>
      <c r="B42" s="63" t="s">
        <v>85</v>
      </c>
      <c r="C42" s="63" t="s">
        <v>91</v>
      </c>
      <c r="D42" s="31" t="s">
        <v>32</v>
      </c>
      <c r="E42" s="62" t="str">
        <f t="shared" si="0"/>
        <v>AlatronSleep</v>
      </c>
      <c r="F42">
        <v>250</v>
      </c>
      <c r="G42">
        <v>669</v>
      </c>
      <c r="H42">
        <v>1088</v>
      </c>
      <c r="I42">
        <v>1507</v>
      </c>
      <c r="K42" s="6"/>
      <c r="P42" s="6"/>
      <c r="U42" s="6"/>
      <c r="Z42" s="6">
        <v>250</v>
      </c>
      <c r="AA42">
        <v>730</v>
      </c>
      <c r="AB42">
        <v>1210</v>
      </c>
      <c r="AC42">
        <v>1690</v>
      </c>
      <c r="AE42" s="6"/>
      <c r="AJ42" s="6"/>
      <c r="AO42" s="6"/>
      <c r="AS42">
        <v>60</v>
      </c>
      <c r="AT42" t="s">
        <v>214</v>
      </c>
      <c r="AU42" t="s">
        <v>214</v>
      </c>
    </row>
    <row r="43" spans="1:47" x14ac:dyDescent="0.25">
      <c r="A43" s="63" t="s">
        <v>91</v>
      </c>
      <c r="B43" s="63" t="s">
        <v>85</v>
      </c>
      <c r="C43" s="63" t="s">
        <v>91</v>
      </c>
      <c r="D43" s="32" t="s">
        <v>33</v>
      </c>
      <c r="E43" s="62" t="str">
        <f t="shared" si="0"/>
        <v>AlatronPoison</v>
      </c>
      <c r="F43">
        <v>180</v>
      </c>
      <c r="G43">
        <v>599</v>
      </c>
      <c r="H43">
        <v>1018</v>
      </c>
      <c r="I43">
        <v>1437</v>
      </c>
      <c r="J43" s="29"/>
      <c r="K43" s="6"/>
      <c r="P43" s="6"/>
      <c r="U43" s="6"/>
      <c r="Z43" s="6">
        <v>180</v>
      </c>
      <c r="AA43">
        <v>660</v>
      </c>
      <c r="AB43">
        <v>1140</v>
      </c>
      <c r="AC43">
        <v>1620</v>
      </c>
      <c r="AE43" s="6"/>
      <c r="AJ43" s="6"/>
      <c r="AO43" s="6"/>
      <c r="AS43">
        <v>15</v>
      </c>
      <c r="AT43" t="s">
        <v>214</v>
      </c>
      <c r="AU43" t="s">
        <v>214</v>
      </c>
    </row>
    <row r="44" spans="1:47" x14ac:dyDescent="0.25">
      <c r="A44" s="63" t="s">
        <v>91</v>
      </c>
      <c r="B44" s="63" t="s">
        <v>85</v>
      </c>
      <c r="C44" s="63" t="s">
        <v>91</v>
      </c>
      <c r="D44" s="10" t="s">
        <v>22</v>
      </c>
      <c r="E44" s="62" t="str">
        <f t="shared" si="0"/>
        <v>AlatronExhaust</v>
      </c>
      <c r="F44">
        <v>0</v>
      </c>
      <c r="G44">
        <v>0</v>
      </c>
      <c r="H44">
        <v>0</v>
      </c>
      <c r="I44">
        <v>0</v>
      </c>
      <c r="J44" s="29"/>
      <c r="K44" s="6"/>
      <c r="P44" s="6"/>
      <c r="U44" s="6"/>
      <c r="Z44" s="6">
        <v>0</v>
      </c>
      <c r="AA44">
        <v>0</v>
      </c>
      <c r="AB44">
        <v>0</v>
      </c>
      <c r="AC44">
        <v>0</v>
      </c>
      <c r="AE44" s="6"/>
      <c r="AJ44" s="6"/>
      <c r="AO44" s="6"/>
      <c r="AS44"/>
      <c r="AT44" t="s">
        <v>214</v>
      </c>
      <c r="AU44" t="s">
        <v>214</v>
      </c>
    </row>
    <row r="45" spans="1:47" x14ac:dyDescent="0.25">
      <c r="A45" s="63" t="s">
        <v>91</v>
      </c>
      <c r="B45" s="63" t="s">
        <v>85</v>
      </c>
      <c r="C45" s="63" t="s">
        <v>91</v>
      </c>
      <c r="D45" s="30" t="s">
        <v>35</v>
      </c>
      <c r="E45" s="62" t="str">
        <f t="shared" si="0"/>
        <v>AlatronBlast</v>
      </c>
      <c r="F45">
        <v>70</v>
      </c>
      <c r="G45">
        <v>132</v>
      </c>
      <c r="H45">
        <v>194</v>
      </c>
      <c r="I45">
        <v>256</v>
      </c>
      <c r="K45" s="6"/>
      <c r="P45" s="6"/>
      <c r="R45" s="6"/>
      <c r="U45" s="6"/>
      <c r="Z45" s="6">
        <v>70</v>
      </c>
      <c r="AA45">
        <v>142</v>
      </c>
      <c r="AB45" s="6">
        <v>214</v>
      </c>
      <c r="AC45">
        <v>286</v>
      </c>
      <c r="AE45" s="6"/>
      <c r="AG45" s="6"/>
      <c r="AJ45" s="6"/>
      <c r="AO45" s="6"/>
      <c r="AS45"/>
      <c r="AT45" t="s">
        <v>214</v>
      </c>
      <c r="AU45" t="s">
        <v>214</v>
      </c>
    </row>
    <row r="46" spans="1:47" x14ac:dyDescent="0.25">
      <c r="A46" s="63" t="s">
        <v>91</v>
      </c>
      <c r="B46" s="63" t="s">
        <v>85</v>
      </c>
      <c r="C46" s="63" t="s">
        <v>91</v>
      </c>
      <c r="D46" s="34" t="s">
        <v>14</v>
      </c>
      <c r="E46" s="62" t="str">
        <f t="shared" si="0"/>
        <v>AlatronKO</v>
      </c>
      <c r="F46">
        <v>300</v>
      </c>
      <c r="G46">
        <v>525</v>
      </c>
      <c r="H46">
        <v>750</v>
      </c>
      <c r="I46">
        <v>975</v>
      </c>
      <c r="J46" s="29"/>
      <c r="K46" s="6"/>
      <c r="P46" s="6"/>
      <c r="U46" s="6"/>
      <c r="Z46" s="6">
        <v>340</v>
      </c>
      <c r="AA46">
        <v>595</v>
      </c>
      <c r="AB46">
        <v>850</v>
      </c>
      <c r="AC46">
        <v>1105</v>
      </c>
      <c r="AE46" s="6"/>
      <c r="AJ46" s="6"/>
      <c r="AO46" s="6"/>
      <c r="AS46">
        <v>10</v>
      </c>
      <c r="AT46" t="s">
        <v>214</v>
      </c>
      <c r="AU46" t="s">
        <v>214</v>
      </c>
    </row>
    <row r="47" spans="1:47" x14ac:dyDescent="0.25">
      <c r="A47" s="63" t="s">
        <v>91</v>
      </c>
      <c r="B47" s="63" t="s">
        <v>85</v>
      </c>
      <c r="C47" s="63" t="s">
        <v>91</v>
      </c>
      <c r="D47" s="33" t="s">
        <v>34</v>
      </c>
      <c r="E47" s="62" t="str">
        <f t="shared" si="0"/>
        <v>AlatronMount</v>
      </c>
      <c r="F47">
        <v>135</v>
      </c>
      <c r="G47">
        <v>315</v>
      </c>
      <c r="H47">
        <v>495</v>
      </c>
      <c r="I47">
        <v>675</v>
      </c>
      <c r="K47" s="6"/>
      <c r="P47" s="6"/>
      <c r="R47" s="6"/>
      <c r="U47" s="6"/>
      <c r="Z47" s="6">
        <v>150</v>
      </c>
      <c r="AA47">
        <v>350</v>
      </c>
      <c r="AB47">
        <v>550</v>
      </c>
      <c r="AC47">
        <v>750</v>
      </c>
      <c r="AE47" s="6"/>
      <c r="AJ47" s="6"/>
      <c r="AO47" s="6"/>
      <c r="AS47"/>
      <c r="AT47" t="s">
        <v>214</v>
      </c>
      <c r="AU47" t="s">
        <v>214</v>
      </c>
    </row>
    <row r="48" spans="1:47" x14ac:dyDescent="0.25">
      <c r="A48" s="63" t="s">
        <v>91</v>
      </c>
      <c r="B48" s="63" t="s">
        <v>85</v>
      </c>
      <c r="C48" s="63" t="s">
        <v>91</v>
      </c>
      <c r="D48" s="77" t="s">
        <v>207</v>
      </c>
      <c r="E48" s="62" t="str">
        <f t="shared" si="0"/>
        <v>AlatronShock Trap</v>
      </c>
      <c r="K48" s="6"/>
      <c r="P48" s="6"/>
      <c r="U48" s="6"/>
      <c r="AE48" s="6"/>
      <c r="AJ48" s="6"/>
      <c r="AO48" s="6"/>
      <c r="AS48">
        <v>0</v>
      </c>
      <c r="AT48">
        <v>0</v>
      </c>
      <c r="AU48">
        <v>0</v>
      </c>
    </row>
    <row r="49" spans="1:47" s="56" customFormat="1" x14ac:dyDescent="0.25">
      <c r="A49" s="63" t="s">
        <v>91</v>
      </c>
      <c r="B49" s="63" t="s">
        <v>85</v>
      </c>
      <c r="C49" s="63" t="s">
        <v>91</v>
      </c>
      <c r="D49" s="79" t="s">
        <v>213</v>
      </c>
      <c r="E49" s="62" t="str">
        <f t="shared" si="0"/>
        <v>AlatronPitfall Trap</v>
      </c>
      <c r="K49" s="7"/>
      <c r="P49" s="7"/>
      <c r="U49" s="7"/>
      <c r="Z49" s="7"/>
      <c r="AE49" s="7"/>
      <c r="AJ49" s="7"/>
      <c r="AO49" s="7"/>
      <c r="AS49" s="56">
        <v>0</v>
      </c>
      <c r="AT49" s="56">
        <v>0</v>
      </c>
      <c r="AU49" s="56">
        <v>0</v>
      </c>
    </row>
    <row r="50" spans="1:47" s="36" customFormat="1" x14ac:dyDescent="0.25">
      <c r="A50" s="63" t="s">
        <v>91</v>
      </c>
      <c r="B50" s="63" t="s">
        <v>86</v>
      </c>
      <c r="C50" s="63" t="s">
        <v>91</v>
      </c>
      <c r="D50" s="37" t="s">
        <v>0</v>
      </c>
      <c r="E50" s="62" t="str">
        <f t="shared" si="0"/>
        <v>AmatsuPara</v>
      </c>
      <c r="F50" s="36">
        <v>250</v>
      </c>
      <c r="G50" s="36">
        <v>725</v>
      </c>
      <c r="H50" s="36">
        <v>1675</v>
      </c>
      <c r="I50" s="36">
        <v>2150</v>
      </c>
      <c r="J50" s="61"/>
      <c r="K50" s="50"/>
      <c r="P50" s="6"/>
      <c r="Q50" s="46"/>
      <c r="R50" s="46"/>
      <c r="S50" s="46"/>
      <c r="U50" s="50"/>
      <c r="Z50" s="6">
        <v>250</v>
      </c>
      <c r="AA50" s="46">
        <v>825</v>
      </c>
      <c r="AB50" s="46">
        <v>1400</v>
      </c>
      <c r="AC50" s="46">
        <v>1975</v>
      </c>
      <c r="AE50" s="50"/>
      <c r="AJ50" s="6"/>
      <c r="AK50" s="46"/>
      <c r="AL50" s="46"/>
      <c r="AM50" s="46"/>
      <c r="AO50" s="50"/>
      <c r="AS50" s="36">
        <v>8</v>
      </c>
      <c r="AT50" s="36" t="s">
        <v>214</v>
      </c>
      <c r="AU50" s="36" t="s">
        <v>214</v>
      </c>
    </row>
    <row r="51" spans="1:47" x14ac:dyDescent="0.25">
      <c r="A51" s="63" t="s">
        <v>91</v>
      </c>
      <c r="B51" s="63" t="s">
        <v>86</v>
      </c>
      <c r="C51" s="63" t="s">
        <v>91</v>
      </c>
      <c r="D51" s="31" t="s">
        <v>32</v>
      </c>
      <c r="E51" s="62" t="str">
        <f t="shared" si="0"/>
        <v>AmatsuSleep</v>
      </c>
      <c r="F51">
        <v>250</v>
      </c>
      <c r="G51">
        <v>725</v>
      </c>
      <c r="H51">
        <v>1200</v>
      </c>
      <c r="I51">
        <v>1675</v>
      </c>
      <c r="K51" s="6"/>
      <c r="P51" s="6"/>
      <c r="U51" s="6"/>
      <c r="Z51" s="6">
        <v>250</v>
      </c>
      <c r="AA51">
        <v>825</v>
      </c>
      <c r="AB51">
        <v>1400</v>
      </c>
      <c r="AC51">
        <v>1975</v>
      </c>
      <c r="AE51" s="6"/>
      <c r="AJ51" s="6"/>
      <c r="AO51" s="6"/>
      <c r="AS51">
        <v>30</v>
      </c>
      <c r="AT51" t="s">
        <v>214</v>
      </c>
      <c r="AU51" t="s">
        <v>214</v>
      </c>
    </row>
    <row r="52" spans="1:47" x14ac:dyDescent="0.25">
      <c r="A52" s="63" t="s">
        <v>91</v>
      </c>
      <c r="B52" s="63" t="s">
        <v>86</v>
      </c>
      <c r="C52" s="63" t="s">
        <v>91</v>
      </c>
      <c r="D52" s="32" t="s">
        <v>33</v>
      </c>
      <c r="E52" s="62" t="str">
        <f t="shared" si="0"/>
        <v>AmatsuPoison</v>
      </c>
      <c r="F52">
        <v>180</v>
      </c>
      <c r="G52">
        <v>522</v>
      </c>
      <c r="H52">
        <v>864</v>
      </c>
      <c r="I52">
        <v>1206</v>
      </c>
      <c r="J52" s="29"/>
      <c r="K52" s="6"/>
      <c r="P52" s="6"/>
      <c r="U52" s="6"/>
      <c r="Z52" s="6">
        <v>180</v>
      </c>
      <c r="AA52">
        <v>594</v>
      </c>
      <c r="AB52">
        <v>1008</v>
      </c>
      <c r="AC52">
        <v>1422</v>
      </c>
      <c r="AE52" s="6"/>
      <c r="AJ52" s="6"/>
      <c r="AO52" s="6"/>
      <c r="AS52">
        <v>30</v>
      </c>
      <c r="AT52" t="s">
        <v>214</v>
      </c>
      <c r="AU52" t="s">
        <v>214</v>
      </c>
    </row>
    <row r="53" spans="1:47" x14ac:dyDescent="0.25">
      <c r="A53" s="63" t="s">
        <v>91</v>
      </c>
      <c r="B53" s="63" t="s">
        <v>86</v>
      </c>
      <c r="C53" s="63" t="s">
        <v>91</v>
      </c>
      <c r="D53" s="10" t="s">
        <v>22</v>
      </c>
      <c r="E53" s="62" t="str">
        <f t="shared" si="0"/>
        <v>AmatsuExhaust</v>
      </c>
      <c r="F53">
        <v>0</v>
      </c>
      <c r="G53">
        <v>0</v>
      </c>
      <c r="H53">
        <v>0</v>
      </c>
      <c r="I53">
        <v>0</v>
      </c>
      <c r="J53" s="29"/>
      <c r="K53" s="6"/>
      <c r="P53" s="6"/>
      <c r="U53" s="6"/>
      <c r="Z53" s="6">
        <v>0</v>
      </c>
      <c r="AA53">
        <v>0</v>
      </c>
      <c r="AB53">
        <v>0</v>
      </c>
      <c r="AC53">
        <v>0</v>
      </c>
      <c r="AE53" s="6"/>
      <c r="AJ53" s="6"/>
      <c r="AO53" s="6"/>
      <c r="AS53"/>
      <c r="AT53" t="s">
        <v>214</v>
      </c>
      <c r="AU53" t="s">
        <v>214</v>
      </c>
    </row>
    <row r="54" spans="1:47" x14ac:dyDescent="0.25">
      <c r="A54" s="63" t="s">
        <v>91</v>
      </c>
      <c r="B54" s="63" t="s">
        <v>86</v>
      </c>
      <c r="C54" s="63" t="s">
        <v>91</v>
      </c>
      <c r="D54" s="30" t="s">
        <v>35</v>
      </c>
      <c r="E54" s="62" t="str">
        <f t="shared" si="0"/>
        <v>AmatsuBlast</v>
      </c>
      <c r="F54">
        <v>100</v>
      </c>
      <c r="G54">
        <v>195</v>
      </c>
      <c r="H54">
        <v>290</v>
      </c>
      <c r="I54">
        <v>385</v>
      </c>
      <c r="K54" s="6"/>
      <c r="P54" s="6"/>
      <c r="R54" s="6"/>
      <c r="U54" s="6"/>
      <c r="Z54" s="6">
        <v>100</v>
      </c>
      <c r="AA54">
        <v>215</v>
      </c>
      <c r="AB54" s="6">
        <v>330</v>
      </c>
      <c r="AC54">
        <v>445</v>
      </c>
      <c r="AE54" s="6"/>
      <c r="AG54" s="6"/>
      <c r="AJ54" s="6"/>
      <c r="AO54" s="6"/>
      <c r="AS54"/>
      <c r="AT54" t="s">
        <v>214</v>
      </c>
      <c r="AU54" t="s">
        <v>214</v>
      </c>
    </row>
    <row r="55" spans="1:47" x14ac:dyDescent="0.25">
      <c r="A55" s="63" t="s">
        <v>91</v>
      </c>
      <c r="B55" s="63" t="s">
        <v>86</v>
      </c>
      <c r="C55" s="63" t="s">
        <v>91</v>
      </c>
      <c r="D55" s="34" t="s">
        <v>14</v>
      </c>
      <c r="E55" s="62" t="str">
        <f t="shared" si="0"/>
        <v>AmatsuKO</v>
      </c>
      <c r="F55">
        <v>322</v>
      </c>
      <c r="G55">
        <v>602</v>
      </c>
      <c r="H55">
        <v>882</v>
      </c>
      <c r="I55">
        <v>1162</v>
      </c>
      <c r="J55" s="29"/>
      <c r="K55" s="6"/>
      <c r="P55" s="6"/>
      <c r="U55" s="6"/>
      <c r="Z55" s="6">
        <v>368</v>
      </c>
      <c r="AA55">
        <v>688</v>
      </c>
      <c r="AB55">
        <v>1008</v>
      </c>
      <c r="AC55">
        <v>1328</v>
      </c>
      <c r="AE55" s="6"/>
      <c r="AJ55" s="6"/>
      <c r="AO55" s="6"/>
      <c r="AS55">
        <v>8</v>
      </c>
      <c r="AT55" t="s">
        <v>214</v>
      </c>
      <c r="AU55" t="s">
        <v>214</v>
      </c>
    </row>
    <row r="56" spans="1:47" x14ac:dyDescent="0.25">
      <c r="A56" s="63" t="s">
        <v>91</v>
      </c>
      <c r="B56" s="63" t="s">
        <v>86</v>
      </c>
      <c r="C56" s="63" t="s">
        <v>91</v>
      </c>
      <c r="D56" s="33" t="s">
        <v>34</v>
      </c>
      <c r="E56" s="62" t="str">
        <f t="shared" si="0"/>
        <v>AmatsuMount</v>
      </c>
      <c r="F56">
        <v>102</v>
      </c>
      <c r="G56">
        <v>238</v>
      </c>
      <c r="H56">
        <v>374</v>
      </c>
      <c r="I56">
        <v>510</v>
      </c>
      <c r="K56" s="6"/>
      <c r="P56" s="6"/>
      <c r="R56" s="6"/>
      <c r="U56" s="6"/>
      <c r="Z56" s="6">
        <v>120</v>
      </c>
      <c r="AA56">
        <v>280</v>
      </c>
      <c r="AB56">
        <v>440</v>
      </c>
      <c r="AC56">
        <v>600</v>
      </c>
      <c r="AE56" s="6"/>
      <c r="AJ56" s="6"/>
      <c r="AO56" s="6"/>
      <c r="AS56"/>
      <c r="AT56" t="s">
        <v>214</v>
      </c>
      <c r="AU56" t="s">
        <v>214</v>
      </c>
    </row>
    <row r="57" spans="1:47" x14ac:dyDescent="0.25">
      <c r="A57" s="63" t="s">
        <v>91</v>
      </c>
      <c r="B57" s="63" t="s">
        <v>86</v>
      </c>
      <c r="C57" s="63" t="s">
        <v>91</v>
      </c>
      <c r="D57" s="77" t="s">
        <v>207</v>
      </c>
      <c r="E57" s="62" t="str">
        <f t="shared" si="0"/>
        <v>AmatsuShock Trap</v>
      </c>
      <c r="K57" s="6"/>
      <c r="P57" s="6"/>
      <c r="U57" s="6"/>
      <c r="AE57" s="6"/>
      <c r="AJ57" s="6"/>
      <c r="AO57" s="6"/>
      <c r="AS57">
        <v>0</v>
      </c>
      <c r="AT57">
        <v>0</v>
      </c>
      <c r="AU57">
        <v>0</v>
      </c>
    </row>
    <row r="58" spans="1:47" s="56" customFormat="1" x14ac:dyDescent="0.25">
      <c r="A58" s="63" t="s">
        <v>91</v>
      </c>
      <c r="B58" s="63" t="s">
        <v>86</v>
      </c>
      <c r="C58" s="63" t="s">
        <v>91</v>
      </c>
      <c r="D58" s="79" t="s">
        <v>213</v>
      </c>
      <c r="E58" s="62" t="str">
        <f t="shared" si="0"/>
        <v>AmatsuPitfall Trap</v>
      </c>
      <c r="K58" s="7"/>
      <c r="P58" s="7"/>
      <c r="U58" s="7"/>
      <c r="Z58" s="7"/>
      <c r="AE58" s="7"/>
      <c r="AJ58" s="7"/>
      <c r="AO58" s="7"/>
      <c r="AS58" s="56">
        <v>0</v>
      </c>
      <c r="AT58" s="56">
        <v>0</v>
      </c>
      <c r="AU58" s="56">
        <v>0</v>
      </c>
    </row>
    <row r="59" spans="1:47" s="36" customFormat="1" x14ac:dyDescent="0.25">
      <c r="A59" s="63" t="s">
        <v>91</v>
      </c>
      <c r="B59" s="63" t="s">
        <v>203</v>
      </c>
      <c r="C59" s="63" t="s">
        <v>91</v>
      </c>
      <c r="D59" s="37" t="s">
        <v>0</v>
      </c>
      <c r="E59" s="62" t="str">
        <f t="shared" si="0"/>
        <v>ArzurosPara</v>
      </c>
      <c r="F59" s="36">
        <v>80</v>
      </c>
      <c r="G59" s="36">
        <v>168</v>
      </c>
      <c r="H59" s="36">
        <v>256</v>
      </c>
      <c r="I59" s="36">
        <v>344</v>
      </c>
      <c r="J59" s="61"/>
      <c r="K59" s="50"/>
      <c r="P59" s="6"/>
      <c r="Q59" s="46"/>
      <c r="R59" s="46"/>
      <c r="S59" s="46"/>
      <c r="U59" s="50"/>
      <c r="Z59" s="6">
        <v>80</v>
      </c>
      <c r="AA59" s="46">
        <v>232</v>
      </c>
      <c r="AB59" s="46">
        <v>384</v>
      </c>
      <c r="AC59" s="46">
        <v>536</v>
      </c>
      <c r="AE59" s="50">
        <v>80</v>
      </c>
      <c r="AF59" s="36">
        <v>232</v>
      </c>
      <c r="AG59" s="36">
        <v>384</v>
      </c>
      <c r="AH59" s="36">
        <v>536</v>
      </c>
      <c r="AJ59" s="6"/>
      <c r="AK59" s="46"/>
      <c r="AL59" s="46"/>
      <c r="AM59" s="46"/>
      <c r="AO59" s="50"/>
      <c r="AS59" s="36">
        <v>12</v>
      </c>
      <c r="AT59" s="36" t="s">
        <v>214</v>
      </c>
      <c r="AU59" s="36" t="s">
        <v>214</v>
      </c>
    </row>
    <row r="60" spans="1:47" x14ac:dyDescent="0.25">
      <c r="A60" s="63" t="s">
        <v>91</v>
      </c>
      <c r="B60" s="63" t="s">
        <v>203</v>
      </c>
      <c r="C60" s="63" t="s">
        <v>91</v>
      </c>
      <c r="D60" s="31" t="s">
        <v>32</v>
      </c>
      <c r="E60" s="62" t="str">
        <f t="shared" si="0"/>
        <v>ArzurosSleep</v>
      </c>
      <c r="F60">
        <v>80</v>
      </c>
      <c r="G60">
        <v>168</v>
      </c>
      <c r="H60">
        <v>256</v>
      </c>
      <c r="I60">
        <v>344</v>
      </c>
      <c r="K60" s="6"/>
      <c r="P60" s="6"/>
      <c r="U60" s="6"/>
      <c r="Z60" s="6">
        <v>80</v>
      </c>
      <c r="AA60">
        <v>232</v>
      </c>
      <c r="AB60">
        <v>384</v>
      </c>
      <c r="AC60">
        <v>536</v>
      </c>
      <c r="AE60" s="6">
        <v>80</v>
      </c>
      <c r="AF60">
        <v>232</v>
      </c>
      <c r="AG60">
        <v>384</v>
      </c>
      <c r="AH60">
        <v>536</v>
      </c>
      <c r="AJ60" s="6"/>
      <c r="AO60" s="6"/>
      <c r="AS60">
        <v>60</v>
      </c>
      <c r="AT60" t="s">
        <v>214</v>
      </c>
      <c r="AU60" t="s">
        <v>214</v>
      </c>
    </row>
    <row r="61" spans="1:47" x14ac:dyDescent="0.25">
      <c r="A61" s="63" t="s">
        <v>91</v>
      </c>
      <c r="B61" s="63" t="s">
        <v>203</v>
      </c>
      <c r="C61" s="63" t="s">
        <v>91</v>
      </c>
      <c r="D61" s="32" t="s">
        <v>33</v>
      </c>
      <c r="E61" s="62" t="str">
        <f t="shared" si="0"/>
        <v>ArzurosPoison</v>
      </c>
      <c r="F61">
        <v>60</v>
      </c>
      <c r="G61">
        <v>148</v>
      </c>
      <c r="H61">
        <v>236</v>
      </c>
      <c r="I61">
        <v>324</v>
      </c>
      <c r="J61" s="29"/>
      <c r="K61" s="6"/>
      <c r="P61" s="6"/>
      <c r="U61" s="6"/>
      <c r="Z61" s="6">
        <v>60</v>
      </c>
      <c r="AA61">
        <v>217</v>
      </c>
      <c r="AB61">
        <v>374</v>
      </c>
      <c r="AC61">
        <v>531</v>
      </c>
      <c r="AE61" s="6">
        <v>60</v>
      </c>
      <c r="AF61">
        <v>217</v>
      </c>
      <c r="AG61">
        <v>374</v>
      </c>
      <c r="AH61">
        <v>531</v>
      </c>
      <c r="AJ61" s="6"/>
      <c r="AO61" s="6"/>
      <c r="AS61">
        <v>60</v>
      </c>
      <c r="AT61" t="s">
        <v>214</v>
      </c>
      <c r="AU61" t="s">
        <v>214</v>
      </c>
    </row>
    <row r="62" spans="1:47" x14ac:dyDescent="0.25">
      <c r="A62" s="63" t="s">
        <v>91</v>
      </c>
      <c r="B62" s="63" t="s">
        <v>203</v>
      </c>
      <c r="C62" s="63" t="s">
        <v>91</v>
      </c>
      <c r="D62" s="10" t="s">
        <v>22</v>
      </c>
      <c r="E62" s="62" t="str">
        <f t="shared" si="0"/>
        <v>ArzurosExhaust</v>
      </c>
      <c r="F62">
        <v>150</v>
      </c>
      <c r="G62">
        <v>270</v>
      </c>
      <c r="H62">
        <v>510</v>
      </c>
      <c r="I62">
        <v>670</v>
      </c>
      <c r="J62" s="29"/>
      <c r="K62" s="6"/>
      <c r="P62" s="6"/>
      <c r="U62" s="6"/>
      <c r="Z62" s="6">
        <v>180</v>
      </c>
      <c r="AA62">
        <v>324</v>
      </c>
      <c r="AB62">
        <v>468</v>
      </c>
      <c r="AC62">
        <v>612</v>
      </c>
      <c r="AE62" s="6">
        <v>180</v>
      </c>
      <c r="AF62">
        <v>324</v>
      </c>
      <c r="AG62">
        <v>468</v>
      </c>
      <c r="AH62">
        <v>612</v>
      </c>
      <c r="AJ62" s="6"/>
      <c r="AO62" s="6"/>
      <c r="AS62"/>
      <c r="AT62" t="s">
        <v>214</v>
      </c>
      <c r="AU62" t="s">
        <v>214</v>
      </c>
    </row>
    <row r="63" spans="1:47" x14ac:dyDescent="0.25">
      <c r="A63" s="63" t="s">
        <v>91</v>
      </c>
      <c r="B63" s="63" t="s">
        <v>203</v>
      </c>
      <c r="C63" s="63" t="s">
        <v>91</v>
      </c>
      <c r="D63" s="30" t="s">
        <v>35</v>
      </c>
      <c r="E63" s="62" t="str">
        <f t="shared" si="0"/>
        <v>ArzurosBlast</v>
      </c>
      <c r="F63">
        <v>70</v>
      </c>
      <c r="G63">
        <v>103</v>
      </c>
      <c r="H63">
        <v>136</v>
      </c>
      <c r="I63">
        <v>169</v>
      </c>
      <c r="K63" s="6"/>
      <c r="P63" s="6"/>
      <c r="R63" s="6"/>
      <c r="U63" s="6"/>
      <c r="Z63" s="6">
        <v>70</v>
      </c>
      <c r="AA63">
        <v>127</v>
      </c>
      <c r="AB63" s="6">
        <v>184</v>
      </c>
      <c r="AC63">
        <v>241</v>
      </c>
      <c r="AE63" s="6">
        <v>70</v>
      </c>
      <c r="AF63">
        <v>127</v>
      </c>
      <c r="AG63" s="6">
        <v>184</v>
      </c>
      <c r="AH63">
        <v>241</v>
      </c>
      <c r="AJ63" s="6"/>
      <c r="AO63" s="6"/>
      <c r="AS63"/>
      <c r="AT63" t="s">
        <v>214</v>
      </c>
      <c r="AU63" t="s">
        <v>214</v>
      </c>
    </row>
    <row r="64" spans="1:47" x14ac:dyDescent="0.25">
      <c r="A64" s="63" t="s">
        <v>91</v>
      </c>
      <c r="B64" s="63" t="s">
        <v>203</v>
      </c>
      <c r="C64" s="63" t="s">
        <v>91</v>
      </c>
      <c r="D64" s="34" t="s">
        <v>14</v>
      </c>
      <c r="E64" s="62" t="str">
        <f t="shared" si="0"/>
        <v>ArzurosKO</v>
      </c>
      <c r="F64">
        <v>130</v>
      </c>
      <c r="G64">
        <v>233</v>
      </c>
      <c r="H64">
        <v>338</v>
      </c>
      <c r="I64">
        <v>390</v>
      </c>
      <c r="J64" s="29"/>
      <c r="K64" s="6"/>
      <c r="P64" s="6"/>
      <c r="U64" s="6"/>
      <c r="Z64" s="6">
        <v>140</v>
      </c>
      <c r="AA64">
        <v>252</v>
      </c>
      <c r="AB64">
        <v>364</v>
      </c>
      <c r="AC64">
        <v>476</v>
      </c>
      <c r="AE64" s="6">
        <v>140</v>
      </c>
      <c r="AF64">
        <v>252</v>
      </c>
      <c r="AG64">
        <v>364</v>
      </c>
      <c r="AH64">
        <v>476</v>
      </c>
      <c r="AJ64" s="6"/>
      <c r="AO64" s="6"/>
      <c r="AS64">
        <v>10</v>
      </c>
      <c r="AT64" t="s">
        <v>214</v>
      </c>
      <c r="AU64" t="s">
        <v>214</v>
      </c>
    </row>
    <row r="65" spans="1:47" x14ac:dyDescent="0.25">
      <c r="A65" s="63" t="s">
        <v>91</v>
      </c>
      <c r="B65" s="63" t="s">
        <v>203</v>
      </c>
      <c r="C65" s="63" t="s">
        <v>91</v>
      </c>
      <c r="D65" s="33" t="s">
        <v>34</v>
      </c>
      <c r="E65" s="62" t="str">
        <f t="shared" si="0"/>
        <v>ArzurosMount</v>
      </c>
      <c r="F65">
        <v>64</v>
      </c>
      <c r="G65">
        <v>192</v>
      </c>
      <c r="H65">
        <v>320</v>
      </c>
      <c r="I65">
        <v>448</v>
      </c>
      <c r="K65" s="6"/>
      <c r="P65" s="6"/>
      <c r="R65" s="6"/>
      <c r="U65" s="6"/>
      <c r="Z65" s="6">
        <v>68</v>
      </c>
      <c r="AA65">
        <v>204</v>
      </c>
      <c r="AB65">
        <v>340</v>
      </c>
      <c r="AC65">
        <v>476</v>
      </c>
      <c r="AE65" s="6">
        <v>68</v>
      </c>
      <c r="AF65">
        <v>204</v>
      </c>
      <c r="AG65">
        <v>340</v>
      </c>
      <c r="AH65">
        <v>476</v>
      </c>
      <c r="AJ65" s="6"/>
      <c r="AO65" s="6"/>
      <c r="AS65"/>
      <c r="AT65" t="s">
        <v>214</v>
      </c>
      <c r="AU65" t="s">
        <v>214</v>
      </c>
    </row>
    <row r="66" spans="1:47" x14ac:dyDescent="0.25">
      <c r="A66" s="63" t="s">
        <v>91</v>
      </c>
      <c r="B66" s="63" t="s">
        <v>203</v>
      </c>
      <c r="C66" s="63" t="s">
        <v>91</v>
      </c>
      <c r="D66" s="77" t="s">
        <v>207</v>
      </c>
      <c r="E66" s="62" t="str">
        <f t="shared" si="0"/>
        <v>ArzurosShock Trap</v>
      </c>
      <c r="K66" s="6"/>
      <c r="P66" s="6"/>
      <c r="U66" s="6"/>
      <c r="AE66" s="6"/>
      <c r="AJ66" s="6"/>
      <c r="AO66" s="6"/>
      <c r="AS66">
        <v>12</v>
      </c>
      <c r="AT66">
        <v>20</v>
      </c>
      <c r="AU66">
        <v>12</v>
      </c>
    </row>
    <row r="67" spans="1:47" s="56" customFormat="1" x14ac:dyDescent="0.25">
      <c r="A67" s="63" t="s">
        <v>91</v>
      </c>
      <c r="B67" s="63" t="s">
        <v>203</v>
      </c>
      <c r="C67" s="63" t="s">
        <v>91</v>
      </c>
      <c r="D67" s="79" t="s">
        <v>213</v>
      </c>
      <c r="E67" s="62" t="str">
        <f t="shared" si="0"/>
        <v>ArzurosPitfall Trap</v>
      </c>
      <c r="K67" s="7"/>
      <c r="P67" s="7"/>
      <c r="U67" s="7"/>
      <c r="Z67" s="7"/>
      <c r="AE67" s="7"/>
      <c r="AJ67" s="7"/>
      <c r="AO67" s="7"/>
      <c r="AS67" s="56">
        <v>15</v>
      </c>
      <c r="AT67" s="56">
        <v>20</v>
      </c>
      <c r="AU67" s="56">
        <v>15</v>
      </c>
    </row>
    <row r="68" spans="1:47" s="36" customFormat="1" x14ac:dyDescent="0.25">
      <c r="A68" s="63" t="s">
        <v>91</v>
      </c>
      <c r="B68" s="63" t="s">
        <v>48</v>
      </c>
      <c r="C68" s="63" t="s">
        <v>91</v>
      </c>
      <c r="D68" s="37" t="s">
        <v>0</v>
      </c>
      <c r="E68" s="62" t="str">
        <f t="shared" si="0"/>
        <v>AstalosPara</v>
      </c>
      <c r="F68" s="36">
        <v>180</v>
      </c>
      <c r="G68" s="36">
        <v>440</v>
      </c>
      <c r="H68" s="36">
        <v>700</v>
      </c>
      <c r="I68" s="36">
        <v>895</v>
      </c>
      <c r="J68" s="61"/>
      <c r="K68" s="50">
        <v>180</v>
      </c>
      <c r="L68" s="36">
        <v>440</v>
      </c>
      <c r="M68" s="36">
        <v>700</v>
      </c>
      <c r="N68" s="36">
        <v>895</v>
      </c>
      <c r="P68" s="6">
        <v>180</v>
      </c>
      <c r="Q68" s="46">
        <v>580</v>
      </c>
      <c r="R68" s="46">
        <v>980</v>
      </c>
      <c r="S68" s="46">
        <v>1280</v>
      </c>
      <c r="U68" s="50"/>
      <c r="Z68" s="6">
        <v>180</v>
      </c>
      <c r="AA68" s="46">
        <v>599</v>
      </c>
      <c r="AB68" s="46">
        <v>1018</v>
      </c>
      <c r="AC68" s="46">
        <v>1437</v>
      </c>
      <c r="AE68" s="50"/>
      <c r="AJ68" s="6">
        <v>180</v>
      </c>
      <c r="AK68" s="46">
        <v>720</v>
      </c>
      <c r="AL68" s="46">
        <v>1260</v>
      </c>
      <c r="AM68" s="46">
        <v>1800</v>
      </c>
      <c r="AO68" s="50"/>
      <c r="AS68" s="36">
        <v>10</v>
      </c>
      <c r="AT68" s="36" t="s">
        <v>214</v>
      </c>
      <c r="AU68" s="36" t="s">
        <v>214</v>
      </c>
    </row>
    <row r="69" spans="1:47" x14ac:dyDescent="0.25">
      <c r="A69" s="63" t="s">
        <v>91</v>
      </c>
      <c r="B69" s="63" t="s">
        <v>48</v>
      </c>
      <c r="C69" s="63" t="s">
        <v>91</v>
      </c>
      <c r="D69" s="31" t="s">
        <v>32</v>
      </c>
      <c r="E69" s="62" t="str">
        <f t="shared" ref="E69:E132" si="1">B69&amp;D69</f>
        <v>AstalosSleep</v>
      </c>
      <c r="F69">
        <v>180</v>
      </c>
      <c r="G69">
        <v>310</v>
      </c>
      <c r="H69">
        <v>440</v>
      </c>
      <c r="I69">
        <v>570</v>
      </c>
      <c r="K69" s="6">
        <v>180</v>
      </c>
      <c r="L69">
        <v>310</v>
      </c>
      <c r="M69">
        <v>440</v>
      </c>
      <c r="N69">
        <v>570</v>
      </c>
      <c r="P69" s="6">
        <v>180</v>
      </c>
      <c r="Q69">
        <v>180</v>
      </c>
      <c r="R69">
        <v>180</v>
      </c>
      <c r="S69">
        <v>180</v>
      </c>
      <c r="U69" s="6"/>
      <c r="Z69" s="6">
        <v>180</v>
      </c>
      <c r="AA69">
        <v>389</v>
      </c>
      <c r="AB69">
        <v>598</v>
      </c>
      <c r="AC69">
        <v>807</v>
      </c>
      <c r="AE69" s="6"/>
      <c r="AJ69" s="6">
        <v>180</v>
      </c>
      <c r="AK69">
        <v>450</v>
      </c>
      <c r="AL69">
        <v>720</v>
      </c>
      <c r="AM69">
        <v>990</v>
      </c>
      <c r="AO69" s="6"/>
      <c r="AS69">
        <v>46</v>
      </c>
      <c r="AT69" t="s">
        <v>214</v>
      </c>
      <c r="AU69" t="s">
        <v>214</v>
      </c>
    </row>
    <row r="70" spans="1:47" x14ac:dyDescent="0.25">
      <c r="A70" s="63" t="s">
        <v>91</v>
      </c>
      <c r="B70" s="63" t="s">
        <v>48</v>
      </c>
      <c r="C70" s="63" t="s">
        <v>91</v>
      </c>
      <c r="D70" s="32" t="s">
        <v>33</v>
      </c>
      <c r="E70" s="62" t="str">
        <f t="shared" si="1"/>
        <v>AstalosPoison</v>
      </c>
      <c r="F70">
        <v>180</v>
      </c>
      <c r="G70">
        <v>323</v>
      </c>
      <c r="H70">
        <v>466</v>
      </c>
      <c r="I70">
        <v>609</v>
      </c>
      <c r="J70" s="29"/>
      <c r="K70" s="6">
        <v>180</v>
      </c>
      <c r="L70">
        <v>310</v>
      </c>
      <c r="M70">
        <v>440</v>
      </c>
      <c r="N70">
        <v>570</v>
      </c>
      <c r="P70" s="6">
        <v>180</v>
      </c>
      <c r="Q70">
        <v>400</v>
      </c>
      <c r="R70">
        <v>620</v>
      </c>
      <c r="S70">
        <v>840</v>
      </c>
      <c r="U70" s="6"/>
      <c r="Z70" s="6">
        <v>180</v>
      </c>
      <c r="AA70">
        <v>410</v>
      </c>
      <c r="AB70">
        <v>640</v>
      </c>
      <c r="AC70">
        <v>870</v>
      </c>
      <c r="AE70" s="6"/>
      <c r="AJ70" s="6">
        <v>180</v>
      </c>
      <c r="AK70">
        <v>477</v>
      </c>
      <c r="AL70">
        <v>774</v>
      </c>
      <c r="AM70">
        <v>1071</v>
      </c>
      <c r="AO70" s="6"/>
      <c r="AS70">
        <v>60</v>
      </c>
      <c r="AT70" t="s">
        <v>214</v>
      </c>
      <c r="AU70" t="s">
        <v>214</v>
      </c>
    </row>
    <row r="71" spans="1:47" x14ac:dyDescent="0.25">
      <c r="A71" s="63" t="s">
        <v>91</v>
      </c>
      <c r="B71" s="63" t="s">
        <v>48</v>
      </c>
      <c r="C71" s="63" t="s">
        <v>91</v>
      </c>
      <c r="D71" s="10" t="s">
        <v>22</v>
      </c>
      <c r="E71" s="62" t="str">
        <f t="shared" si="1"/>
        <v>AstalosExhaust</v>
      </c>
      <c r="F71">
        <v>288</v>
      </c>
      <c r="G71">
        <v>408</v>
      </c>
      <c r="H71">
        <v>528</v>
      </c>
      <c r="I71">
        <v>648</v>
      </c>
      <c r="J71" s="29"/>
      <c r="K71" s="6">
        <v>288</v>
      </c>
      <c r="L71">
        <v>408</v>
      </c>
      <c r="M71">
        <v>528</v>
      </c>
      <c r="N71">
        <v>648</v>
      </c>
      <c r="P71" s="6">
        <v>333</v>
      </c>
      <c r="Q71">
        <v>471</v>
      </c>
      <c r="R71">
        <v>609</v>
      </c>
      <c r="S71">
        <v>747</v>
      </c>
      <c r="U71" s="6"/>
      <c r="Z71" s="6">
        <v>342</v>
      </c>
      <c r="AA71">
        <v>484</v>
      </c>
      <c r="AB71">
        <v>626</v>
      </c>
      <c r="AC71">
        <v>768</v>
      </c>
      <c r="AE71" s="6"/>
      <c r="AJ71" s="6">
        <v>450</v>
      </c>
      <c r="AK71">
        <v>637</v>
      </c>
      <c r="AL71">
        <v>824</v>
      </c>
      <c r="AM71">
        <v>1011</v>
      </c>
      <c r="AO71" s="6"/>
      <c r="AS71"/>
      <c r="AT71" t="s">
        <v>214</v>
      </c>
      <c r="AU71" t="s">
        <v>214</v>
      </c>
    </row>
    <row r="72" spans="1:47" x14ac:dyDescent="0.25">
      <c r="A72" s="63" t="s">
        <v>91</v>
      </c>
      <c r="B72" s="63" t="s">
        <v>48</v>
      </c>
      <c r="C72" s="63" t="s">
        <v>91</v>
      </c>
      <c r="D72" s="30" t="s">
        <v>35</v>
      </c>
      <c r="E72" s="62" t="str">
        <f t="shared" si="1"/>
        <v>AstalosBlast</v>
      </c>
      <c r="F72">
        <v>70</v>
      </c>
      <c r="G72">
        <v>141</v>
      </c>
      <c r="H72">
        <v>212</v>
      </c>
      <c r="I72">
        <v>283</v>
      </c>
      <c r="K72" s="6">
        <v>70</v>
      </c>
      <c r="L72">
        <v>141</v>
      </c>
      <c r="M72">
        <v>212</v>
      </c>
      <c r="N72">
        <v>283</v>
      </c>
      <c r="P72" s="6">
        <v>70</v>
      </c>
      <c r="Q72">
        <v>180</v>
      </c>
      <c r="R72" s="6">
        <v>290</v>
      </c>
      <c r="S72">
        <v>400</v>
      </c>
      <c r="U72" s="6"/>
      <c r="Z72" s="6">
        <v>70</v>
      </c>
      <c r="AA72">
        <v>175</v>
      </c>
      <c r="AB72" s="6">
        <v>280</v>
      </c>
      <c r="AC72">
        <v>385</v>
      </c>
      <c r="AE72" s="6"/>
      <c r="AG72" s="6"/>
      <c r="AJ72" s="6">
        <v>70</v>
      </c>
      <c r="AK72">
        <v>218</v>
      </c>
      <c r="AL72">
        <v>366</v>
      </c>
      <c r="AM72">
        <v>514</v>
      </c>
      <c r="AO72" s="6"/>
      <c r="AS72"/>
      <c r="AT72" t="s">
        <v>214</v>
      </c>
      <c r="AU72" t="s">
        <v>214</v>
      </c>
    </row>
    <row r="73" spans="1:47" x14ac:dyDescent="0.25">
      <c r="A73" s="63" t="s">
        <v>91</v>
      </c>
      <c r="B73" s="63" t="s">
        <v>48</v>
      </c>
      <c r="C73" s="63" t="s">
        <v>91</v>
      </c>
      <c r="D73" s="34" t="s">
        <v>14</v>
      </c>
      <c r="E73" s="62" t="str">
        <f t="shared" si="1"/>
        <v>AstalosKO</v>
      </c>
      <c r="F73">
        <v>195</v>
      </c>
      <c r="G73">
        <v>454</v>
      </c>
      <c r="H73">
        <v>715</v>
      </c>
      <c r="I73">
        <v>972</v>
      </c>
      <c r="J73" s="29"/>
      <c r="K73" s="6">
        <v>195</v>
      </c>
      <c r="L73">
        <v>454</v>
      </c>
      <c r="M73">
        <v>715</v>
      </c>
      <c r="N73">
        <v>972</v>
      </c>
      <c r="P73" s="6">
        <v>210</v>
      </c>
      <c r="Q73">
        <v>490</v>
      </c>
      <c r="R73">
        <v>770</v>
      </c>
      <c r="S73">
        <v>1050</v>
      </c>
      <c r="U73" s="6"/>
      <c r="Z73" s="6">
        <v>225</v>
      </c>
      <c r="AA73">
        <v>525</v>
      </c>
      <c r="AB73">
        <v>825</v>
      </c>
      <c r="AC73">
        <v>1125</v>
      </c>
      <c r="AE73" s="6"/>
      <c r="AJ73" s="6">
        <v>300</v>
      </c>
      <c r="AK73">
        <v>700</v>
      </c>
      <c r="AL73">
        <v>1100</v>
      </c>
      <c r="AM73">
        <v>1500</v>
      </c>
      <c r="AO73" s="6"/>
      <c r="AS73">
        <v>10</v>
      </c>
      <c r="AT73" t="s">
        <v>214</v>
      </c>
      <c r="AU73" t="s">
        <v>214</v>
      </c>
    </row>
    <row r="74" spans="1:47" x14ac:dyDescent="0.25">
      <c r="A74" s="63" t="s">
        <v>91</v>
      </c>
      <c r="B74" s="63" t="s">
        <v>48</v>
      </c>
      <c r="C74" s="63" t="s">
        <v>91</v>
      </c>
      <c r="D74" s="33" t="s">
        <v>34</v>
      </c>
      <c r="E74" s="62" t="str">
        <f t="shared" si="1"/>
        <v>AstalosMount</v>
      </c>
      <c r="F74">
        <v>96</v>
      </c>
      <c r="G74">
        <v>256</v>
      </c>
      <c r="H74">
        <v>416</v>
      </c>
      <c r="I74">
        <v>576</v>
      </c>
      <c r="K74" s="6">
        <v>96</v>
      </c>
      <c r="L74">
        <v>256</v>
      </c>
      <c r="M74">
        <v>416</v>
      </c>
      <c r="N74">
        <v>576</v>
      </c>
      <c r="P74" s="6">
        <v>108</v>
      </c>
      <c r="Q74">
        <v>288</v>
      </c>
      <c r="R74" s="6">
        <v>468</v>
      </c>
      <c r="S74">
        <v>648</v>
      </c>
      <c r="U74" s="6"/>
      <c r="Z74" s="6">
        <v>108</v>
      </c>
      <c r="AA74">
        <v>288</v>
      </c>
      <c r="AB74">
        <v>468</v>
      </c>
      <c r="AC74">
        <v>648</v>
      </c>
      <c r="AE74" s="6"/>
      <c r="AJ74" s="6">
        <v>120</v>
      </c>
      <c r="AK74">
        <v>320</v>
      </c>
      <c r="AL74">
        <v>520</v>
      </c>
      <c r="AM74">
        <v>720</v>
      </c>
      <c r="AO74" s="6"/>
      <c r="AS74"/>
      <c r="AT74" t="s">
        <v>214</v>
      </c>
      <c r="AU74" t="s">
        <v>214</v>
      </c>
    </row>
    <row r="75" spans="1:47" x14ac:dyDescent="0.25">
      <c r="A75" s="63" t="s">
        <v>91</v>
      </c>
      <c r="B75" s="63" t="s">
        <v>48</v>
      </c>
      <c r="C75" s="63" t="s">
        <v>91</v>
      </c>
      <c r="D75" s="77" t="s">
        <v>207</v>
      </c>
      <c r="E75" s="62" t="str">
        <f t="shared" si="1"/>
        <v>AstalosShock Trap</v>
      </c>
      <c r="K75" s="6"/>
      <c r="P75" s="6"/>
      <c r="U75" s="6"/>
      <c r="AE75" s="6"/>
      <c r="AJ75" s="6"/>
      <c r="AO75" s="6"/>
      <c r="AS75">
        <v>3</v>
      </c>
      <c r="AT75">
        <v>15</v>
      </c>
      <c r="AU75">
        <v>4</v>
      </c>
    </row>
    <row r="76" spans="1:47" s="56" customFormat="1" x14ac:dyDescent="0.25">
      <c r="A76" s="63" t="s">
        <v>91</v>
      </c>
      <c r="B76" s="63" t="s">
        <v>48</v>
      </c>
      <c r="C76" s="63" t="s">
        <v>91</v>
      </c>
      <c r="D76" s="79" t="s">
        <v>213</v>
      </c>
      <c r="E76" s="62" t="str">
        <f t="shared" si="1"/>
        <v>AstalosPitfall Trap</v>
      </c>
      <c r="K76" s="7"/>
      <c r="P76" s="7"/>
      <c r="U76" s="7"/>
      <c r="Z76" s="7"/>
      <c r="AE76" s="7"/>
      <c r="AJ76" s="7"/>
      <c r="AO76" s="7"/>
      <c r="AS76" s="56">
        <v>12</v>
      </c>
      <c r="AT76" s="56">
        <v>25</v>
      </c>
      <c r="AU76" s="56">
        <v>12</v>
      </c>
    </row>
    <row r="77" spans="1:47" s="36" customFormat="1" x14ac:dyDescent="0.25">
      <c r="A77" s="63" t="s">
        <v>184</v>
      </c>
      <c r="B77" s="63" t="s">
        <v>174</v>
      </c>
      <c r="C77" s="63" t="s">
        <v>184</v>
      </c>
      <c r="D77" s="37" t="s">
        <v>0</v>
      </c>
      <c r="E77" s="62" t="str">
        <f t="shared" si="1"/>
        <v>BariothPara</v>
      </c>
      <c r="F77" s="36">
        <v>180</v>
      </c>
      <c r="G77" s="36">
        <v>375</v>
      </c>
      <c r="H77" s="36">
        <v>570</v>
      </c>
      <c r="I77" s="36">
        <v>765</v>
      </c>
      <c r="J77" s="61"/>
      <c r="K77" s="50"/>
      <c r="P77" s="6"/>
      <c r="Q77" s="46"/>
      <c r="R77" s="46"/>
      <c r="S77" s="46"/>
      <c r="U77" s="50"/>
      <c r="Z77" s="6">
        <v>180</v>
      </c>
      <c r="AA77" s="46">
        <v>495</v>
      </c>
      <c r="AB77" s="46">
        <v>810</v>
      </c>
      <c r="AC77" s="46">
        <v>1125</v>
      </c>
      <c r="AE77" s="50"/>
      <c r="AJ77" s="6">
        <v>180</v>
      </c>
      <c r="AK77" s="46">
        <v>585</v>
      </c>
      <c r="AL77" s="46">
        <v>990</v>
      </c>
      <c r="AM77" s="46">
        <v>1395</v>
      </c>
      <c r="AO77" s="50"/>
      <c r="AS77" s="36">
        <v>10</v>
      </c>
      <c r="AT77" s="36" t="s">
        <v>214</v>
      </c>
      <c r="AU77" s="36" t="s">
        <v>214</v>
      </c>
    </row>
    <row r="78" spans="1:47" x14ac:dyDescent="0.25">
      <c r="A78" s="63" t="s">
        <v>184</v>
      </c>
      <c r="B78" s="63" t="s">
        <v>174</v>
      </c>
      <c r="C78" s="63" t="s">
        <v>184</v>
      </c>
      <c r="D78" s="31" t="s">
        <v>32</v>
      </c>
      <c r="E78" s="62" t="str">
        <f t="shared" si="1"/>
        <v>BariothSleep</v>
      </c>
      <c r="F78">
        <v>180</v>
      </c>
      <c r="G78">
        <v>375</v>
      </c>
      <c r="H78">
        <v>570</v>
      </c>
      <c r="I78">
        <v>765</v>
      </c>
      <c r="K78" s="6"/>
      <c r="P78" s="6"/>
      <c r="U78" s="6"/>
      <c r="Z78" s="6">
        <v>180</v>
      </c>
      <c r="AA78">
        <v>495</v>
      </c>
      <c r="AB78">
        <v>810</v>
      </c>
      <c r="AC78">
        <v>1125</v>
      </c>
      <c r="AE78" s="6"/>
      <c r="AJ78" s="6">
        <v>180</v>
      </c>
      <c r="AK78">
        <v>585</v>
      </c>
      <c r="AL78">
        <v>990</v>
      </c>
      <c r="AM78">
        <v>1395</v>
      </c>
      <c r="AO78" s="6"/>
      <c r="AS78">
        <v>30</v>
      </c>
      <c r="AT78" t="s">
        <v>214</v>
      </c>
      <c r="AU78" t="s">
        <v>214</v>
      </c>
    </row>
    <row r="79" spans="1:47" x14ac:dyDescent="0.25">
      <c r="A79" s="63" t="s">
        <v>184</v>
      </c>
      <c r="B79" s="63" t="s">
        <v>174</v>
      </c>
      <c r="C79" s="63" t="s">
        <v>184</v>
      </c>
      <c r="D79" s="32" t="s">
        <v>33</v>
      </c>
      <c r="E79" s="62" t="str">
        <f t="shared" si="1"/>
        <v>BariothPoison</v>
      </c>
      <c r="F79">
        <v>180</v>
      </c>
      <c r="G79">
        <v>375</v>
      </c>
      <c r="H79">
        <v>570</v>
      </c>
      <c r="I79">
        <v>765</v>
      </c>
      <c r="J79" s="29"/>
      <c r="K79" s="6"/>
      <c r="P79" s="6"/>
      <c r="U79" s="6"/>
      <c r="Z79" s="6">
        <v>180</v>
      </c>
      <c r="AA79">
        <v>495</v>
      </c>
      <c r="AB79">
        <v>810</v>
      </c>
      <c r="AC79">
        <v>1125</v>
      </c>
      <c r="AE79" s="6"/>
      <c r="AJ79" s="6">
        <v>180</v>
      </c>
      <c r="AK79">
        <v>585</v>
      </c>
      <c r="AL79">
        <v>990</v>
      </c>
      <c r="AM79">
        <v>1395</v>
      </c>
      <c r="AO79" s="6"/>
      <c r="AS79">
        <v>60</v>
      </c>
      <c r="AT79" t="s">
        <v>214</v>
      </c>
      <c r="AU79" t="s">
        <v>214</v>
      </c>
    </row>
    <row r="80" spans="1:47" x14ac:dyDescent="0.25">
      <c r="A80" s="63" t="s">
        <v>184</v>
      </c>
      <c r="B80" s="63" t="s">
        <v>174</v>
      </c>
      <c r="C80" s="63" t="s">
        <v>184</v>
      </c>
      <c r="D80" s="10" t="s">
        <v>22</v>
      </c>
      <c r="E80" s="62" t="str">
        <f t="shared" si="1"/>
        <v>BariothExhaust</v>
      </c>
      <c r="F80">
        <v>240</v>
      </c>
      <c r="G80">
        <v>360</v>
      </c>
      <c r="H80">
        <v>480</v>
      </c>
      <c r="I80">
        <v>600</v>
      </c>
      <c r="J80" s="29"/>
      <c r="K80" s="6"/>
      <c r="P80" s="6"/>
      <c r="U80" s="6"/>
      <c r="Z80" s="6">
        <v>285</v>
      </c>
      <c r="AA80">
        <v>427</v>
      </c>
      <c r="AB80">
        <v>569</v>
      </c>
      <c r="AC80">
        <v>711</v>
      </c>
      <c r="AE80" s="6"/>
      <c r="AJ80" s="6">
        <v>375</v>
      </c>
      <c r="AK80">
        <v>562</v>
      </c>
      <c r="AL80">
        <v>749</v>
      </c>
      <c r="AM80">
        <v>936</v>
      </c>
      <c r="AO80" s="6"/>
      <c r="AS80"/>
      <c r="AT80" t="s">
        <v>214</v>
      </c>
      <c r="AU80" t="s">
        <v>214</v>
      </c>
    </row>
    <row r="81" spans="1:47" x14ac:dyDescent="0.25">
      <c r="A81" s="63" t="s">
        <v>184</v>
      </c>
      <c r="B81" s="63" t="s">
        <v>174</v>
      </c>
      <c r="C81" s="63" t="s">
        <v>184</v>
      </c>
      <c r="D81" s="30" t="s">
        <v>35</v>
      </c>
      <c r="E81" s="62" t="str">
        <f t="shared" si="1"/>
        <v>BariothBlast</v>
      </c>
      <c r="F81">
        <v>70</v>
      </c>
      <c r="G81">
        <v>109</v>
      </c>
      <c r="H81">
        <v>148</v>
      </c>
      <c r="I81">
        <v>187</v>
      </c>
      <c r="K81" s="6"/>
      <c r="P81" s="6"/>
      <c r="R81" s="6"/>
      <c r="U81" s="6"/>
      <c r="Z81" s="6">
        <v>70</v>
      </c>
      <c r="AA81">
        <v>132</v>
      </c>
      <c r="AB81" s="6">
        <v>194</v>
      </c>
      <c r="AC81">
        <v>256</v>
      </c>
      <c r="AE81" s="6"/>
      <c r="AG81" s="6"/>
      <c r="AJ81" s="6">
        <v>70</v>
      </c>
      <c r="AK81">
        <v>151</v>
      </c>
      <c r="AL81">
        <v>232</v>
      </c>
      <c r="AM81">
        <v>313</v>
      </c>
      <c r="AO81" s="6"/>
      <c r="AS81"/>
      <c r="AT81" t="s">
        <v>214</v>
      </c>
      <c r="AU81" t="s">
        <v>214</v>
      </c>
    </row>
    <row r="82" spans="1:47" x14ac:dyDescent="0.25">
      <c r="A82" s="63" t="s">
        <v>184</v>
      </c>
      <c r="B82" s="63" t="s">
        <v>174</v>
      </c>
      <c r="C82" s="63" t="s">
        <v>184</v>
      </c>
      <c r="D82" s="34" t="s">
        <v>14</v>
      </c>
      <c r="E82" s="62" t="str">
        <f t="shared" si="1"/>
        <v>BariothKO</v>
      </c>
      <c r="F82">
        <v>160</v>
      </c>
      <c r="G82">
        <v>339</v>
      </c>
      <c r="H82">
        <v>518</v>
      </c>
      <c r="I82">
        <v>697</v>
      </c>
      <c r="J82" s="29"/>
      <c r="K82" s="6"/>
      <c r="P82" s="6"/>
      <c r="U82" s="6"/>
      <c r="Z82" s="6">
        <v>195</v>
      </c>
      <c r="AA82">
        <v>390</v>
      </c>
      <c r="AB82">
        <v>585</v>
      </c>
      <c r="AC82">
        <v>780</v>
      </c>
      <c r="AE82" s="6"/>
      <c r="AJ82" s="6">
        <v>260</v>
      </c>
      <c r="AK82">
        <v>520</v>
      </c>
      <c r="AL82">
        <v>780</v>
      </c>
      <c r="AM82">
        <v>1040</v>
      </c>
      <c r="AO82" s="6"/>
      <c r="AS82">
        <v>10</v>
      </c>
      <c r="AT82" t="s">
        <v>214</v>
      </c>
      <c r="AU82" t="s">
        <v>214</v>
      </c>
    </row>
    <row r="83" spans="1:47" x14ac:dyDescent="0.25">
      <c r="A83" s="63" t="s">
        <v>184</v>
      </c>
      <c r="B83" s="63" t="s">
        <v>174</v>
      </c>
      <c r="C83" s="63" t="s">
        <v>184</v>
      </c>
      <c r="D83" s="33" t="s">
        <v>34</v>
      </c>
      <c r="E83" s="62" t="str">
        <f t="shared" si="1"/>
        <v>BariothMount</v>
      </c>
      <c r="F83">
        <v>96</v>
      </c>
      <c r="G83">
        <v>272</v>
      </c>
      <c r="H83">
        <v>448</v>
      </c>
      <c r="I83">
        <v>624</v>
      </c>
      <c r="K83" s="6"/>
      <c r="P83" s="6"/>
      <c r="R83" s="6"/>
      <c r="U83" s="6"/>
      <c r="Z83" s="6">
        <v>108</v>
      </c>
      <c r="AA83">
        <v>306</v>
      </c>
      <c r="AB83">
        <v>504</v>
      </c>
      <c r="AC83">
        <v>702</v>
      </c>
      <c r="AE83" s="6"/>
      <c r="AJ83" s="6">
        <v>120</v>
      </c>
      <c r="AK83">
        <v>340</v>
      </c>
      <c r="AL83">
        <v>560</v>
      </c>
      <c r="AM83">
        <v>780</v>
      </c>
      <c r="AO83" s="6"/>
      <c r="AS83"/>
      <c r="AT83" t="s">
        <v>214</v>
      </c>
      <c r="AU83" t="s">
        <v>214</v>
      </c>
    </row>
    <row r="84" spans="1:47" x14ac:dyDescent="0.25">
      <c r="A84" s="63" t="s">
        <v>184</v>
      </c>
      <c r="B84" s="63" t="s">
        <v>174</v>
      </c>
      <c r="C84" s="63" t="s">
        <v>184</v>
      </c>
      <c r="D84" s="77" t="s">
        <v>207</v>
      </c>
      <c r="E84" s="62" t="str">
        <f t="shared" si="1"/>
        <v>BariothShock Trap</v>
      </c>
      <c r="K84" s="6"/>
      <c r="P84" s="6"/>
      <c r="U84" s="6"/>
      <c r="AE84" s="6"/>
      <c r="AJ84" s="6"/>
      <c r="AO84" s="6"/>
      <c r="AS84"/>
    </row>
    <row r="85" spans="1:47" s="56" customFormat="1" x14ac:dyDescent="0.25">
      <c r="A85" s="63" t="s">
        <v>184</v>
      </c>
      <c r="B85" s="63" t="s">
        <v>174</v>
      </c>
      <c r="C85" s="63" t="s">
        <v>184</v>
      </c>
      <c r="D85" s="79" t="s">
        <v>213</v>
      </c>
      <c r="E85" s="62" t="str">
        <f t="shared" si="1"/>
        <v>BariothPitfall Trap</v>
      </c>
      <c r="K85" s="7"/>
      <c r="P85" s="7"/>
      <c r="U85" s="7"/>
      <c r="Z85" s="7"/>
      <c r="AE85" s="7"/>
      <c r="AJ85" s="7"/>
      <c r="AO85" s="7"/>
    </row>
    <row r="86" spans="1:47" s="36" customFormat="1" x14ac:dyDescent="0.25">
      <c r="A86" s="63" t="s">
        <v>184</v>
      </c>
      <c r="B86" s="63" t="s">
        <v>175</v>
      </c>
      <c r="C86" s="63" t="s">
        <v>184</v>
      </c>
      <c r="D86" s="37" t="s">
        <v>0</v>
      </c>
      <c r="E86" s="62" t="str">
        <f t="shared" si="1"/>
        <v>BarrothPara</v>
      </c>
      <c r="F86" s="36">
        <v>180</v>
      </c>
      <c r="G86" s="36">
        <v>324</v>
      </c>
      <c r="H86" s="36">
        <v>468</v>
      </c>
      <c r="I86" s="36">
        <v>612</v>
      </c>
      <c r="J86" s="61"/>
      <c r="K86" s="50"/>
      <c r="P86" s="6"/>
      <c r="Q86" s="46"/>
      <c r="R86" s="46"/>
      <c r="S86" s="46"/>
      <c r="U86" s="50"/>
      <c r="Z86" s="6">
        <v>180</v>
      </c>
      <c r="AA86" s="46">
        <v>400</v>
      </c>
      <c r="AB86" s="46">
        <v>660</v>
      </c>
      <c r="AC86" s="46">
        <v>900</v>
      </c>
      <c r="AE86" s="50">
        <v>1382</v>
      </c>
      <c r="AF86" s="36">
        <v>1624</v>
      </c>
      <c r="AG86" s="36">
        <v>1866</v>
      </c>
      <c r="AH86" s="36">
        <v>2108</v>
      </c>
      <c r="AJ86" s="6">
        <v>180</v>
      </c>
      <c r="AK86" s="46">
        <v>492</v>
      </c>
      <c r="AL86" s="46">
        <v>804</v>
      </c>
      <c r="AM86" s="46">
        <v>1115</v>
      </c>
      <c r="AO86" s="50"/>
      <c r="AS86" s="36">
        <v>10</v>
      </c>
      <c r="AT86" s="36" t="s">
        <v>214</v>
      </c>
      <c r="AU86" s="36" t="s">
        <v>214</v>
      </c>
    </row>
    <row r="87" spans="1:47" x14ac:dyDescent="0.25">
      <c r="A87" s="63" t="s">
        <v>184</v>
      </c>
      <c r="B87" s="63" t="s">
        <v>175</v>
      </c>
      <c r="C87" s="63" t="s">
        <v>184</v>
      </c>
      <c r="D87" s="31" t="s">
        <v>32</v>
      </c>
      <c r="E87" s="62" t="str">
        <f t="shared" si="1"/>
        <v>BarrothSleep</v>
      </c>
      <c r="F87">
        <v>180</v>
      </c>
      <c r="G87">
        <v>324</v>
      </c>
      <c r="H87">
        <v>468</v>
      </c>
      <c r="I87">
        <v>612</v>
      </c>
      <c r="K87" s="6"/>
      <c r="P87" s="6"/>
      <c r="U87" s="6"/>
      <c r="Z87" s="6">
        <v>180</v>
      </c>
      <c r="AA87">
        <v>420</v>
      </c>
      <c r="AB87">
        <v>660</v>
      </c>
      <c r="AC87">
        <v>900</v>
      </c>
      <c r="AE87" s="6">
        <v>1380</v>
      </c>
      <c r="AF87">
        <v>1620</v>
      </c>
      <c r="AG87">
        <v>1860</v>
      </c>
      <c r="AH87">
        <v>2100</v>
      </c>
      <c r="AJ87" s="6">
        <v>180</v>
      </c>
      <c r="AK87">
        <v>492</v>
      </c>
      <c r="AL87">
        <v>804</v>
      </c>
      <c r="AM87">
        <v>1116</v>
      </c>
      <c r="AO87" s="6"/>
      <c r="AS87">
        <v>30</v>
      </c>
      <c r="AT87" t="s">
        <v>214</v>
      </c>
      <c r="AU87" t="s">
        <v>214</v>
      </c>
    </row>
    <row r="88" spans="1:47" x14ac:dyDescent="0.25">
      <c r="A88" s="63" t="s">
        <v>184</v>
      </c>
      <c r="B88" s="63" t="s">
        <v>175</v>
      </c>
      <c r="C88" s="63" t="s">
        <v>184</v>
      </c>
      <c r="D88" s="32" t="s">
        <v>33</v>
      </c>
      <c r="E88" s="62" t="str">
        <f t="shared" si="1"/>
        <v>BarrothPoison</v>
      </c>
      <c r="F88">
        <v>150</v>
      </c>
      <c r="G88">
        <v>240</v>
      </c>
      <c r="H88">
        <v>330</v>
      </c>
      <c r="I88">
        <v>420</v>
      </c>
      <c r="J88" s="29"/>
      <c r="K88" s="6"/>
      <c r="P88" s="6"/>
      <c r="U88" s="6"/>
      <c r="Z88" s="6">
        <v>150</v>
      </c>
      <c r="AA88">
        <v>300</v>
      </c>
      <c r="AB88">
        <v>450</v>
      </c>
      <c r="AC88">
        <v>600</v>
      </c>
      <c r="AE88" s="6">
        <v>900</v>
      </c>
      <c r="AF88">
        <v>1050</v>
      </c>
      <c r="AG88">
        <v>1200</v>
      </c>
      <c r="AH88">
        <v>1350</v>
      </c>
      <c r="AJ88" s="6">
        <v>150</v>
      </c>
      <c r="AK88">
        <v>345</v>
      </c>
      <c r="AL88">
        <v>540</v>
      </c>
      <c r="AM88">
        <v>735</v>
      </c>
      <c r="AO88" s="6"/>
      <c r="AS88">
        <v>40</v>
      </c>
      <c r="AT88" t="s">
        <v>214</v>
      </c>
      <c r="AU88" t="s">
        <v>214</v>
      </c>
    </row>
    <row r="89" spans="1:47" x14ac:dyDescent="0.25">
      <c r="A89" s="63" t="s">
        <v>184</v>
      </c>
      <c r="B89" s="63" t="s">
        <v>175</v>
      </c>
      <c r="C89" s="63" t="s">
        <v>184</v>
      </c>
      <c r="D89" s="10" t="s">
        <v>22</v>
      </c>
      <c r="E89" s="62" t="str">
        <f t="shared" si="1"/>
        <v>BarrothExhaust</v>
      </c>
      <c r="F89">
        <v>225</v>
      </c>
      <c r="G89">
        <v>375</v>
      </c>
      <c r="H89">
        <v>525</v>
      </c>
      <c r="I89">
        <v>675</v>
      </c>
      <c r="J89" s="29"/>
      <c r="K89" s="6"/>
      <c r="P89" s="6"/>
      <c r="U89" s="6"/>
      <c r="Z89" s="6">
        <v>277</v>
      </c>
      <c r="AA89">
        <v>462</v>
      </c>
      <c r="AB89">
        <v>647</v>
      </c>
      <c r="AC89">
        <v>832</v>
      </c>
      <c r="AE89" s="6">
        <v>1202</v>
      </c>
      <c r="AF89">
        <v>1387</v>
      </c>
      <c r="AG89">
        <v>1572</v>
      </c>
      <c r="AH89">
        <v>1757</v>
      </c>
      <c r="AJ89" s="6">
        <v>375</v>
      </c>
      <c r="AK89">
        <v>625</v>
      </c>
      <c r="AL89">
        <v>875</v>
      </c>
      <c r="AM89">
        <v>1125</v>
      </c>
      <c r="AO89" s="6"/>
      <c r="AS89"/>
      <c r="AT89" t="s">
        <v>214</v>
      </c>
      <c r="AU89" t="s">
        <v>214</v>
      </c>
    </row>
    <row r="90" spans="1:47" x14ac:dyDescent="0.25">
      <c r="A90" s="63" t="s">
        <v>184</v>
      </c>
      <c r="B90" s="63" t="s">
        <v>175</v>
      </c>
      <c r="C90" s="63" t="s">
        <v>184</v>
      </c>
      <c r="D90" s="30" t="s">
        <v>35</v>
      </c>
      <c r="E90" s="62" t="str">
        <f t="shared" si="1"/>
        <v>BarrothBlast</v>
      </c>
      <c r="F90">
        <v>55</v>
      </c>
      <c r="G90">
        <v>109</v>
      </c>
      <c r="H90">
        <v>163</v>
      </c>
      <c r="I90">
        <v>217</v>
      </c>
      <c r="K90" s="6"/>
      <c r="P90" s="6"/>
      <c r="R90" s="6"/>
      <c r="U90" s="6"/>
      <c r="Z90" s="6">
        <v>55</v>
      </c>
      <c r="AA90">
        <v>145</v>
      </c>
      <c r="AB90" s="6">
        <v>235</v>
      </c>
      <c r="AC90">
        <v>325</v>
      </c>
      <c r="AE90" s="6"/>
      <c r="AG90" s="6"/>
      <c r="AH90">
        <v>55</v>
      </c>
      <c r="AJ90" s="6">
        <v>55</v>
      </c>
      <c r="AK90">
        <v>171</v>
      </c>
      <c r="AL90">
        <v>287</v>
      </c>
      <c r="AM90">
        <v>403</v>
      </c>
      <c r="AO90" s="6"/>
      <c r="AS90"/>
      <c r="AT90" t="s">
        <v>214</v>
      </c>
      <c r="AU90" t="s">
        <v>214</v>
      </c>
    </row>
    <row r="91" spans="1:47" x14ac:dyDescent="0.25">
      <c r="A91" s="63" t="s">
        <v>184</v>
      </c>
      <c r="B91" s="63" t="s">
        <v>175</v>
      </c>
      <c r="C91" s="63" t="s">
        <v>184</v>
      </c>
      <c r="D91" s="34" t="s">
        <v>14</v>
      </c>
      <c r="E91" s="62" t="str">
        <f t="shared" si="1"/>
        <v>BarrothKO</v>
      </c>
      <c r="F91">
        <v>116</v>
      </c>
      <c r="G91">
        <v>246</v>
      </c>
      <c r="H91">
        <v>376</v>
      </c>
      <c r="I91">
        <v>506</v>
      </c>
      <c r="J91" s="29"/>
      <c r="K91" s="6"/>
      <c r="P91" s="6"/>
      <c r="U91" s="6"/>
      <c r="Z91" s="6">
        <v>126</v>
      </c>
      <c r="AA91">
        <v>266</v>
      </c>
      <c r="AB91">
        <v>406</v>
      </c>
      <c r="AC91">
        <v>546</v>
      </c>
      <c r="AE91" s="6">
        <v>826</v>
      </c>
      <c r="AF91">
        <v>966</v>
      </c>
      <c r="AG91">
        <v>1106</v>
      </c>
      <c r="AH91">
        <v>1246</v>
      </c>
      <c r="AJ91" s="6">
        <v>180</v>
      </c>
      <c r="AK91">
        <v>380</v>
      </c>
      <c r="AL91">
        <v>580</v>
      </c>
      <c r="AM91">
        <v>780</v>
      </c>
      <c r="AO91" s="6"/>
      <c r="AS91">
        <v>10</v>
      </c>
      <c r="AT91" t="s">
        <v>214</v>
      </c>
      <c r="AU91" t="s">
        <v>214</v>
      </c>
    </row>
    <row r="92" spans="1:47" x14ac:dyDescent="0.25">
      <c r="A92" s="63" t="s">
        <v>184</v>
      </c>
      <c r="B92" s="63" t="s">
        <v>175</v>
      </c>
      <c r="C92" s="63" t="s">
        <v>184</v>
      </c>
      <c r="D92" s="33" t="s">
        <v>34</v>
      </c>
      <c r="E92" s="62" t="str">
        <f t="shared" si="1"/>
        <v>BarrothMount</v>
      </c>
      <c r="F92">
        <v>96</v>
      </c>
      <c r="G92">
        <v>256</v>
      </c>
      <c r="H92">
        <v>416</v>
      </c>
      <c r="I92">
        <v>576</v>
      </c>
      <c r="K92" s="6"/>
      <c r="P92" s="6"/>
      <c r="R92" s="6"/>
      <c r="U92" s="6"/>
      <c r="Z92" s="6">
        <v>108</v>
      </c>
      <c r="AA92">
        <v>288</v>
      </c>
      <c r="AB92">
        <v>468</v>
      </c>
      <c r="AC92">
        <v>648</v>
      </c>
      <c r="AE92" s="6">
        <v>1008</v>
      </c>
      <c r="AF92">
        <v>1188</v>
      </c>
      <c r="AG92">
        <v>1368</v>
      </c>
      <c r="AH92">
        <v>1548</v>
      </c>
      <c r="AJ92" s="6">
        <v>120</v>
      </c>
      <c r="AK92">
        <v>320</v>
      </c>
      <c r="AL92">
        <v>520</v>
      </c>
      <c r="AM92">
        <v>720</v>
      </c>
      <c r="AO92" s="6"/>
      <c r="AS92"/>
      <c r="AT92" t="s">
        <v>214</v>
      </c>
      <c r="AU92" t="s">
        <v>214</v>
      </c>
    </row>
    <row r="93" spans="1:47" x14ac:dyDescent="0.25">
      <c r="A93" s="63" t="s">
        <v>184</v>
      </c>
      <c r="B93" s="63" t="s">
        <v>175</v>
      </c>
      <c r="C93" s="63" t="s">
        <v>184</v>
      </c>
      <c r="D93" s="77" t="s">
        <v>207</v>
      </c>
      <c r="E93" s="62" t="str">
        <f t="shared" si="1"/>
        <v>BarrothShock Trap</v>
      </c>
      <c r="K93" s="6"/>
      <c r="P93" s="6"/>
      <c r="U93" s="6"/>
      <c r="AE93" s="6"/>
      <c r="AJ93" s="6"/>
      <c r="AO93" s="6"/>
      <c r="AS93"/>
    </row>
    <row r="94" spans="1:47" s="56" customFormat="1" x14ac:dyDescent="0.25">
      <c r="A94" s="63" t="s">
        <v>184</v>
      </c>
      <c r="B94" s="63" t="s">
        <v>175</v>
      </c>
      <c r="C94" s="63" t="s">
        <v>184</v>
      </c>
      <c r="D94" s="79" t="s">
        <v>213</v>
      </c>
      <c r="E94" s="62" t="str">
        <f t="shared" si="1"/>
        <v>BarrothPitfall Trap</v>
      </c>
      <c r="K94" s="7"/>
      <c r="P94" s="7"/>
      <c r="U94" s="7"/>
      <c r="Z94" s="7"/>
      <c r="AE94" s="7"/>
      <c r="AJ94" s="7"/>
      <c r="AO94" s="7"/>
    </row>
    <row r="95" spans="1:47" s="36" customFormat="1" x14ac:dyDescent="0.25">
      <c r="A95" s="63" t="s">
        <v>184</v>
      </c>
      <c r="B95" s="63" t="s">
        <v>176</v>
      </c>
      <c r="C95" s="63" t="s">
        <v>184</v>
      </c>
      <c r="D95" s="37" t="s">
        <v>0</v>
      </c>
      <c r="E95" s="62" t="str">
        <f t="shared" si="1"/>
        <v>BasariosPara</v>
      </c>
      <c r="F95" s="36">
        <v>200</v>
      </c>
      <c r="G95" s="36">
        <v>260</v>
      </c>
      <c r="H95" s="36">
        <v>320</v>
      </c>
      <c r="I95" s="36">
        <v>380</v>
      </c>
      <c r="J95" s="61"/>
      <c r="K95" s="50"/>
      <c r="P95" s="6"/>
      <c r="Q95" s="46"/>
      <c r="R95" s="46"/>
      <c r="S95" s="46"/>
      <c r="U95" s="50"/>
      <c r="Z95" s="6">
        <v>200</v>
      </c>
      <c r="AA95" s="46">
        <v>300</v>
      </c>
      <c r="AB95" s="46">
        <v>400</v>
      </c>
      <c r="AC95" s="46">
        <v>500</v>
      </c>
      <c r="AE95" s="50"/>
      <c r="AJ95" s="6">
        <v>200</v>
      </c>
      <c r="AK95" s="46">
        <v>330</v>
      </c>
      <c r="AL95" s="46">
        <v>460</v>
      </c>
      <c r="AM95" s="46">
        <v>590</v>
      </c>
      <c r="AO95" s="50"/>
      <c r="AS95" s="36">
        <v>10</v>
      </c>
      <c r="AT95" s="36" t="s">
        <v>214</v>
      </c>
      <c r="AU95" s="36" t="s">
        <v>214</v>
      </c>
    </row>
    <row r="96" spans="1:47" x14ac:dyDescent="0.25">
      <c r="A96" s="63" t="s">
        <v>184</v>
      </c>
      <c r="B96" s="63" t="s">
        <v>176</v>
      </c>
      <c r="C96" s="63" t="s">
        <v>184</v>
      </c>
      <c r="D96" s="31" t="s">
        <v>32</v>
      </c>
      <c r="E96" s="62" t="str">
        <f t="shared" si="1"/>
        <v>BasariosSleep</v>
      </c>
      <c r="F96">
        <v>100</v>
      </c>
      <c r="G96">
        <v>160</v>
      </c>
      <c r="H96">
        <v>220</v>
      </c>
      <c r="I96">
        <v>280</v>
      </c>
      <c r="K96" s="6"/>
      <c r="P96" s="6"/>
      <c r="U96" s="6"/>
      <c r="Z96" s="6">
        <v>100</v>
      </c>
      <c r="AA96">
        <v>200</v>
      </c>
      <c r="AB96">
        <v>300</v>
      </c>
      <c r="AC96">
        <v>400</v>
      </c>
      <c r="AE96" s="6"/>
      <c r="AJ96" s="6">
        <v>100</v>
      </c>
      <c r="AK96">
        <v>230</v>
      </c>
      <c r="AL96">
        <v>360</v>
      </c>
      <c r="AM96">
        <v>490</v>
      </c>
      <c r="AO96" s="6"/>
      <c r="AS96">
        <v>40</v>
      </c>
      <c r="AT96" t="s">
        <v>214</v>
      </c>
      <c r="AU96" t="s">
        <v>214</v>
      </c>
    </row>
    <row r="97" spans="1:47" x14ac:dyDescent="0.25">
      <c r="A97" s="63" t="s">
        <v>184</v>
      </c>
      <c r="B97" s="63" t="s">
        <v>176</v>
      </c>
      <c r="C97" s="63" t="s">
        <v>184</v>
      </c>
      <c r="D97" s="32" t="s">
        <v>33</v>
      </c>
      <c r="E97" s="62" t="str">
        <f t="shared" si="1"/>
        <v>BasariosPoison</v>
      </c>
      <c r="F97">
        <v>200</v>
      </c>
      <c r="G97">
        <v>290</v>
      </c>
      <c r="H97">
        <v>380</v>
      </c>
      <c r="I97">
        <v>470</v>
      </c>
      <c r="J97" s="29"/>
      <c r="K97" s="6"/>
      <c r="P97" s="6"/>
      <c r="U97" s="6"/>
      <c r="Z97" s="6">
        <v>200</v>
      </c>
      <c r="AA97">
        <v>350</v>
      </c>
      <c r="AB97">
        <v>500</v>
      </c>
      <c r="AC97">
        <v>650</v>
      </c>
      <c r="AE97" s="6"/>
      <c r="AJ97" s="6">
        <v>200</v>
      </c>
      <c r="AK97">
        <v>395</v>
      </c>
      <c r="AL97">
        <v>590</v>
      </c>
      <c r="AM97">
        <v>785</v>
      </c>
      <c r="AO97" s="6"/>
      <c r="AS97">
        <v>60</v>
      </c>
      <c r="AT97" t="s">
        <v>214</v>
      </c>
      <c r="AU97" t="s">
        <v>214</v>
      </c>
    </row>
    <row r="98" spans="1:47" x14ac:dyDescent="0.25">
      <c r="A98" s="63" t="s">
        <v>184</v>
      </c>
      <c r="B98" s="63" t="s">
        <v>176</v>
      </c>
      <c r="C98" s="63" t="s">
        <v>184</v>
      </c>
      <c r="D98" s="10" t="s">
        <v>22</v>
      </c>
      <c r="E98" s="62" t="str">
        <f t="shared" si="1"/>
        <v>BasariosExhaust</v>
      </c>
      <c r="F98">
        <v>270</v>
      </c>
      <c r="G98">
        <v>382</v>
      </c>
      <c r="H98">
        <v>494</v>
      </c>
      <c r="I98">
        <v>606</v>
      </c>
      <c r="J98" s="29"/>
      <c r="K98" s="6"/>
      <c r="P98" s="6"/>
      <c r="U98" s="6"/>
      <c r="Z98" s="6">
        <v>333</v>
      </c>
      <c r="AA98">
        <v>471</v>
      </c>
      <c r="AB98">
        <v>609</v>
      </c>
      <c r="AC98">
        <v>747</v>
      </c>
      <c r="AE98" s="6"/>
      <c r="AJ98" s="6">
        <v>450</v>
      </c>
      <c r="AK98">
        <v>637</v>
      </c>
      <c r="AL98">
        <v>824</v>
      </c>
      <c r="AM98">
        <v>1011</v>
      </c>
      <c r="AO98" s="6"/>
      <c r="AS98"/>
      <c r="AT98" t="s">
        <v>214</v>
      </c>
      <c r="AU98" t="s">
        <v>214</v>
      </c>
    </row>
    <row r="99" spans="1:47" x14ac:dyDescent="0.25">
      <c r="A99" s="63" t="s">
        <v>184</v>
      </c>
      <c r="B99" s="63" t="s">
        <v>176</v>
      </c>
      <c r="C99" s="63" t="s">
        <v>184</v>
      </c>
      <c r="D99" s="30" t="s">
        <v>35</v>
      </c>
      <c r="E99" s="62" t="str">
        <f t="shared" si="1"/>
        <v>BasariosBlast</v>
      </c>
      <c r="F99">
        <v>130</v>
      </c>
      <c r="G99">
        <v>184</v>
      </c>
      <c r="H99">
        <v>238</v>
      </c>
      <c r="I99">
        <v>292</v>
      </c>
      <c r="K99" s="6"/>
      <c r="P99" s="6"/>
      <c r="R99" s="6"/>
      <c r="U99" s="6"/>
      <c r="Z99" s="6">
        <v>130</v>
      </c>
      <c r="AA99">
        <v>220</v>
      </c>
      <c r="AB99" s="6">
        <v>310</v>
      </c>
      <c r="AC99">
        <v>400</v>
      </c>
      <c r="AE99" s="6"/>
      <c r="AG99" s="6"/>
      <c r="AJ99" s="6">
        <v>130</v>
      </c>
      <c r="AK99">
        <v>246</v>
      </c>
      <c r="AL99">
        <v>362</v>
      </c>
      <c r="AM99">
        <v>478</v>
      </c>
      <c r="AO99" s="6"/>
      <c r="AS99"/>
      <c r="AT99" t="s">
        <v>214</v>
      </c>
      <c r="AU99" t="s">
        <v>214</v>
      </c>
    </row>
    <row r="100" spans="1:47" x14ac:dyDescent="0.25">
      <c r="A100" s="63" t="s">
        <v>184</v>
      </c>
      <c r="B100" s="63" t="s">
        <v>176</v>
      </c>
      <c r="C100" s="63" t="s">
        <v>184</v>
      </c>
      <c r="D100" s="34" t="s">
        <v>14</v>
      </c>
      <c r="E100" s="62" t="str">
        <f t="shared" si="1"/>
        <v>BasariosKO</v>
      </c>
      <c r="F100">
        <v>260</v>
      </c>
      <c r="G100">
        <v>325</v>
      </c>
      <c r="H100">
        <v>390</v>
      </c>
      <c r="I100">
        <v>455</v>
      </c>
      <c r="J100" s="29"/>
      <c r="K100" s="6"/>
      <c r="P100" s="6"/>
      <c r="U100" s="6"/>
      <c r="Z100" s="6">
        <v>280</v>
      </c>
      <c r="AA100">
        <v>350</v>
      </c>
      <c r="AB100">
        <v>420</v>
      </c>
      <c r="AC100">
        <v>490</v>
      </c>
      <c r="AE100" s="6"/>
      <c r="AJ100" s="6">
        <v>400</v>
      </c>
      <c r="AK100">
        <v>500</v>
      </c>
      <c r="AL100">
        <v>600</v>
      </c>
      <c r="AM100">
        <v>700</v>
      </c>
      <c r="AO100" s="6"/>
      <c r="AS100">
        <v>10</v>
      </c>
      <c r="AT100" t="s">
        <v>214</v>
      </c>
      <c r="AU100" t="s">
        <v>214</v>
      </c>
    </row>
    <row r="101" spans="1:47" x14ac:dyDescent="0.25">
      <c r="A101" s="63" t="s">
        <v>184</v>
      </c>
      <c r="B101" s="63" t="s">
        <v>176</v>
      </c>
      <c r="C101" s="63" t="s">
        <v>184</v>
      </c>
      <c r="D101" s="33" t="s">
        <v>34</v>
      </c>
      <c r="E101" s="62" t="str">
        <f t="shared" si="1"/>
        <v>BasariosMount</v>
      </c>
      <c r="F101">
        <v>64</v>
      </c>
      <c r="G101">
        <v>112</v>
      </c>
      <c r="H101">
        <v>160</v>
      </c>
      <c r="I101">
        <v>208</v>
      </c>
      <c r="K101" s="6"/>
      <c r="P101" s="6"/>
      <c r="R101" s="6"/>
      <c r="U101" s="6"/>
      <c r="Z101" s="6">
        <v>72</v>
      </c>
      <c r="AA101">
        <v>126</v>
      </c>
      <c r="AB101">
        <v>180</v>
      </c>
      <c r="AC101">
        <v>234</v>
      </c>
      <c r="AE101" s="6"/>
      <c r="AJ101" s="6">
        <v>80</v>
      </c>
      <c r="AK101">
        <v>140</v>
      </c>
      <c r="AL101">
        <v>200</v>
      </c>
      <c r="AM101">
        <v>260</v>
      </c>
      <c r="AO101" s="6"/>
      <c r="AS101"/>
      <c r="AT101" t="s">
        <v>214</v>
      </c>
      <c r="AU101" t="s">
        <v>214</v>
      </c>
    </row>
    <row r="102" spans="1:47" x14ac:dyDescent="0.25">
      <c r="A102" s="63" t="s">
        <v>184</v>
      </c>
      <c r="B102" s="63" t="s">
        <v>176</v>
      </c>
      <c r="C102" s="63" t="s">
        <v>184</v>
      </c>
      <c r="D102" s="77" t="s">
        <v>207</v>
      </c>
      <c r="E102" s="62" t="str">
        <f t="shared" si="1"/>
        <v>BasariosShock Trap</v>
      </c>
      <c r="K102" s="6"/>
      <c r="P102" s="6"/>
      <c r="U102" s="6"/>
      <c r="AE102" s="6"/>
      <c r="AJ102" s="6"/>
      <c r="AO102" s="6"/>
      <c r="AS102">
        <v>8</v>
      </c>
      <c r="AT102">
        <v>15</v>
      </c>
      <c r="AU102">
        <v>8</v>
      </c>
    </row>
    <row r="103" spans="1:47" s="56" customFormat="1" x14ac:dyDescent="0.25">
      <c r="A103" s="63" t="s">
        <v>184</v>
      </c>
      <c r="B103" s="63" t="s">
        <v>176</v>
      </c>
      <c r="C103" s="63" t="s">
        <v>184</v>
      </c>
      <c r="D103" s="79" t="s">
        <v>213</v>
      </c>
      <c r="E103" s="62" t="str">
        <f t="shared" si="1"/>
        <v>BasariosPitfall Trap</v>
      </c>
      <c r="K103" s="7"/>
      <c r="P103" s="7"/>
      <c r="U103" s="7"/>
      <c r="Z103" s="7"/>
      <c r="AE103" s="7"/>
      <c r="AJ103" s="7"/>
      <c r="AO103" s="7"/>
      <c r="AS103" s="56">
        <v>10</v>
      </c>
      <c r="AT103" s="56">
        <v>20</v>
      </c>
      <c r="AU103" s="56">
        <v>10</v>
      </c>
    </row>
    <row r="104" spans="1:47" s="36" customFormat="1" x14ac:dyDescent="0.25">
      <c r="A104" s="63" t="s">
        <v>91</v>
      </c>
      <c r="B104" s="63" t="s">
        <v>49</v>
      </c>
      <c r="C104" s="63" t="s">
        <v>91</v>
      </c>
      <c r="D104" s="37" t="s">
        <v>0</v>
      </c>
      <c r="E104" s="62" t="str">
        <f t="shared" si="1"/>
        <v>BlangongaPara</v>
      </c>
      <c r="F104" s="36">
        <v>200</v>
      </c>
      <c r="G104" s="36">
        <v>380</v>
      </c>
      <c r="H104" s="36">
        <v>740</v>
      </c>
      <c r="I104" s="36">
        <v>920</v>
      </c>
      <c r="J104" s="61"/>
      <c r="K104" s="50"/>
      <c r="P104" s="6">
        <v>200</v>
      </c>
      <c r="Q104" s="46">
        <v>470</v>
      </c>
      <c r="R104" s="46">
        <v>740</v>
      </c>
      <c r="S104" s="46">
        <v>1010</v>
      </c>
      <c r="U104" s="50"/>
      <c r="Z104" s="6">
        <v>200</v>
      </c>
      <c r="AA104" s="46">
        <v>500</v>
      </c>
      <c r="AB104" s="46">
        <v>800</v>
      </c>
      <c r="AC104" s="46">
        <v>1100</v>
      </c>
      <c r="AE104" s="50">
        <v>200</v>
      </c>
      <c r="AF104" s="36">
        <v>500</v>
      </c>
      <c r="AG104" s="36">
        <v>800</v>
      </c>
      <c r="AH104" s="36">
        <v>1100</v>
      </c>
      <c r="AJ104" s="6">
        <v>200</v>
      </c>
      <c r="AK104" s="46">
        <v>590</v>
      </c>
      <c r="AL104" s="46">
        <v>980</v>
      </c>
      <c r="AM104" s="46">
        <v>1370</v>
      </c>
      <c r="AO104" s="50">
        <v>200</v>
      </c>
      <c r="AP104" s="36">
        <v>500</v>
      </c>
      <c r="AQ104" s="36">
        <v>800</v>
      </c>
      <c r="AR104" s="36">
        <v>1100</v>
      </c>
      <c r="AS104" s="36">
        <v>10</v>
      </c>
      <c r="AT104" s="36" t="s">
        <v>214</v>
      </c>
      <c r="AU104" s="36" t="s">
        <v>214</v>
      </c>
    </row>
    <row r="105" spans="1:47" x14ac:dyDescent="0.25">
      <c r="A105" s="63" t="s">
        <v>91</v>
      </c>
      <c r="B105" s="63" t="s">
        <v>49</v>
      </c>
      <c r="C105" s="63" t="s">
        <v>91</v>
      </c>
      <c r="D105" s="31" t="s">
        <v>32</v>
      </c>
      <c r="E105" s="62" t="str">
        <f t="shared" si="1"/>
        <v>BlangongaSleep</v>
      </c>
      <c r="F105">
        <v>150</v>
      </c>
      <c r="G105">
        <v>270</v>
      </c>
      <c r="H105">
        <v>390</v>
      </c>
      <c r="I105">
        <v>510</v>
      </c>
      <c r="K105" s="6"/>
      <c r="P105" s="6">
        <v>150</v>
      </c>
      <c r="Q105">
        <v>330</v>
      </c>
      <c r="R105">
        <v>510</v>
      </c>
      <c r="S105">
        <v>690</v>
      </c>
      <c r="U105" s="6"/>
      <c r="Z105" s="6">
        <v>150</v>
      </c>
      <c r="AA105">
        <v>350</v>
      </c>
      <c r="AB105">
        <v>550</v>
      </c>
      <c r="AC105">
        <v>750</v>
      </c>
      <c r="AE105" s="6">
        <v>150</v>
      </c>
      <c r="AF105">
        <v>350</v>
      </c>
      <c r="AG105">
        <v>550</v>
      </c>
      <c r="AH105">
        <v>750</v>
      </c>
      <c r="AJ105" s="6">
        <v>150</v>
      </c>
      <c r="AK105">
        <v>410</v>
      </c>
      <c r="AL105">
        <v>670</v>
      </c>
      <c r="AM105">
        <v>930</v>
      </c>
      <c r="AO105" s="6">
        <v>150</v>
      </c>
      <c r="AP105">
        <v>350</v>
      </c>
      <c r="AQ105">
        <v>550</v>
      </c>
      <c r="AR105">
        <v>750</v>
      </c>
      <c r="AS105">
        <v>40</v>
      </c>
      <c r="AT105" t="s">
        <v>214</v>
      </c>
      <c r="AU105" t="s">
        <v>214</v>
      </c>
    </row>
    <row r="106" spans="1:47" x14ac:dyDescent="0.25">
      <c r="A106" s="63" t="s">
        <v>91</v>
      </c>
      <c r="B106" s="63" t="s">
        <v>49</v>
      </c>
      <c r="C106" s="63" t="s">
        <v>91</v>
      </c>
      <c r="D106" s="32" t="s">
        <v>33</v>
      </c>
      <c r="E106" s="62" t="str">
        <f t="shared" si="1"/>
        <v>BlangongaPoison</v>
      </c>
      <c r="F106">
        <v>180</v>
      </c>
      <c r="G106">
        <v>276</v>
      </c>
      <c r="H106">
        <v>372</v>
      </c>
      <c r="I106">
        <v>468</v>
      </c>
      <c r="J106" s="29"/>
      <c r="K106" s="6"/>
      <c r="P106" s="6">
        <v>180</v>
      </c>
      <c r="Q106">
        <v>324</v>
      </c>
      <c r="R106">
        <v>468</v>
      </c>
      <c r="S106">
        <v>612</v>
      </c>
      <c r="U106" s="6"/>
      <c r="Z106" s="6">
        <v>180</v>
      </c>
      <c r="AA106">
        <v>340</v>
      </c>
      <c r="AB106">
        <v>500</v>
      </c>
      <c r="AC106">
        <v>660</v>
      </c>
      <c r="AE106" s="6">
        <v>180</v>
      </c>
      <c r="AF106">
        <v>340</v>
      </c>
      <c r="AG106">
        <v>500</v>
      </c>
      <c r="AH106">
        <v>660</v>
      </c>
      <c r="AJ106" s="6">
        <v>180</v>
      </c>
      <c r="AK106">
        <v>388</v>
      </c>
      <c r="AL106">
        <v>596</v>
      </c>
      <c r="AM106">
        <v>804</v>
      </c>
      <c r="AO106" s="6">
        <v>180</v>
      </c>
      <c r="AP106">
        <v>340</v>
      </c>
      <c r="AQ106">
        <v>500</v>
      </c>
      <c r="AR106">
        <v>660</v>
      </c>
      <c r="AS106">
        <v>60</v>
      </c>
      <c r="AT106" t="s">
        <v>214</v>
      </c>
      <c r="AU106" t="s">
        <v>214</v>
      </c>
    </row>
    <row r="107" spans="1:47" x14ac:dyDescent="0.25">
      <c r="A107" s="63" t="s">
        <v>91</v>
      </c>
      <c r="B107" s="63" t="s">
        <v>49</v>
      </c>
      <c r="C107" s="63" t="s">
        <v>91</v>
      </c>
      <c r="D107" s="10" t="s">
        <v>22</v>
      </c>
      <c r="E107" s="62" t="str">
        <f t="shared" si="1"/>
        <v>BlangongaExhaust</v>
      </c>
      <c r="F107">
        <v>300</v>
      </c>
      <c r="G107">
        <v>450</v>
      </c>
      <c r="H107">
        <v>600</v>
      </c>
      <c r="I107">
        <v>750</v>
      </c>
      <c r="J107" s="29"/>
      <c r="K107" s="6"/>
      <c r="P107" s="6">
        <v>350</v>
      </c>
      <c r="Q107">
        <v>525</v>
      </c>
      <c r="R107">
        <v>700</v>
      </c>
      <c r="S107">
        <v>875</v>
      </c>
      <c r="U107" s="6"/>
      <c r="Z107" s="6">
        <v>370</v>
      </c>
      <c r="AA107">
        <v>555</v>
      </c>
      <c r="AB107">
        <v>740</v>
      </c>
      <c r="AC107">
        <v>925</v>
      </c>
      <c r="AE107" s="6">
        <v>370</v>
      </c>
      <c r="AF107">
        <v>555</v>
      </c>
      <c r="AG107">
        <v>740</v>
      </c>
      <c r="AH107">
        <v>925</v>
      </c>
      <c r="AJ107" s="6">
        <v>500</v>
      </c>
      <c r="AK107">
        <v>750</v>
      </c>
      <c r="AL107">
        <v>1000</v>
      </c>
      <c r="AM107">
        <v>1250</v>
      </c>
      <c r="AO107" s="6">
        <v>370</v>
      </c>
      <c r="AP107">
        <v>555</v>
      </c>
      <c r="AQ107">
        <v>740</v>
      </c>
      <c r="AR107">
        <v>925</v>
      </c>
      <c r="AS107"/>
      <c r="AT107" t="s">
        <v>214</v>
      </c>
      <c r="AU107" t="s">
        <v>214</v>
      </c>
    </row>
    <row r="108" spans="1:47" x14ac:dyDescent="0.25">
      <c r="A108" s="63" t="s">
        <v>91</v>
      </c>
      <c r="B108" s="63" t="s">
        <v>49</v>
      </c>
      <c r="C108" s="63" t="s">
        <v>91</v>
      </c>
      <c r="D108" s="30" t="s">
        <v>35</v>
      </c>
      <c r="E108" s="62" t="str">
        <f t="shared" si="1"/>
        <v>BlangongaBlast</v>
      </c>
      <c r="F108">
        <v>85</v>
      </c>
      <c r="G108">
        <v>151</v>
      </c>
      <c r="H108">
        <v>217</v>
      </c>
      <c r="I108">
        <v>283</v>
      </c>
      <c r="K108" s="6"/>
      <c r="P108" s="6">
        <v>85</v>
      </c>
      <c r="Q108">
        <v>184</v>
      </c>
      <c r="R108" s="6">
        <v>283</v>
      </c>
      <c r="S108">
        <v>382</v>
      </c>
      <c r="U108" s="6"/>
      <c r="Z108" s="6">
        <v>85</v>
      </c>
      <c r="AA108">
        <v>195</v>
      </c>
      <c r="AB108" s="6">
        <v>305</v>
      </c>
      <c r="AC108">
        <v>415</v>
      </c>
      <c r="AE108" s="6">
        <v>85</v>
      </c>
      <c r="AF108">
        <v>195</v>
      </c>
      <c r="AG108" s="6">
        <v>305</v>
      </c>
      <c r="AH108">
        <v>415</v>
      </c>
      <c r="AJ108" s="6">
        <v>85</v>
      </c>
      <c r="AK108">
        <v>220</v>
      </c>
      <c r="AL108">
        <v>355</v>
      </c>
      <c r="AM108">
        <v>490</v>
      </c>
      <c r="AO108" s="6">
        <v>85</v>
      </c>
      <c r="AS108"/>
      <c r="AT108" t="s">
        <v>214</v>
      </c>
      <c r="AU108" t="s">
        <v>214</v>
      </c>
    </row>
    <row r="109" spans="1:47" x14ac:dyDescent="0.25">
      <c r="A109" s="63" t="s">
        <v>91</v>
      </c>
      <c r="B109" s="63" t="s">
        <v>49</v>
      </c>
      <c r="C109" s="63" t="s">
        <v>91</v>
      </c>
      <c r="D109" s="34" t="s">
        <v>14</v>
      </c>
      <c r="E109" s="62" t="str">
        <f t="shared" si="1"/>
        <v>BlangongaKO</v>
      </c>
      <c r="F109">
        <v>195</v>
      </c>
      <c r="G109">
        <v>325</v>
      </c>
      <c r="H109">
        <v>455</v>
      </c>
      <c r="I109">
        <v>585</v>
      </c>
      <c r="J109" s="29"/>
      <c r="K109" s="6"/>
      <c r="P109" s="6">
        <v>195</v>
      </c>
      <c r="Q109">
        <v>325</v>
      </c>
      <c r="R109">
        <v>455</v>
      </c>
      <c r="S109">
        <v>585</v>
      </c>
      <c r="U109" s="6"/>
      <c r="Z109" s="6">
        <v>210</v>
      </c>
      <c r="AA109">
        <v>350</v>
      </c>
      <c r="AB109">
        <v>490</v>
      </c>
      <c r="AC109">
        <v>630</v>
      </c>
      <c r="AE109" s="6">
        <v>210</v>
      </c>
      <c r="AF109">
        <v>350</v>
      </c>
      <c r="AG109">
        <v>490</v>
      </c>
      <c r="AH109">
        <v>630</v>
      </c>
      <c r="AJ109" s="6">
        <v>300</v>
      </c>
      <c r="AK109">
        <v>500</v>
      </c>
      <c r="AL109">
        <v>700</v>
      </c>
      <c r="AM109">
        <v>900</v>
      </c>
      <c r="AO109" s="6">
        <v>210</v>
      </c>
      <c r="AP109">
        <v>350</v>
      </c>
      <c r="AQ109">
        <v>490</v>
      </c>
      <c r="AR109">
        <v>630</v>
      </c>
      <c r="AS109">
        <v>10</v>
      </c>
      <c r="AT109" t="s">
        <v>214</v>
      </c>
      <c r="AU109" t="s">
        <v>214</v>
      </c>
    </row>
    <row r="110" spans="1:47" x14ac:dyDescent="0.25">
      <c r="A110" s="63" t="s">
        <v>91</v>
      </c>
      <c r="B110" s="63" t="s">
        <v>49</v>
      </c>
      <c r="C110" s="63" t="s">
        <v>91</v>
      </c>
      <c r="D110" s="33" t="s">
        <v>34</v>
      </c>
      <c r="E110" s="62" t="str">
        <f t="shared" si="1"/>
        <v>BlangongaMount</v>
      </c>
      <c r="F110">
        <v>80</v>
      </c>
      <c r="G110">
        <v>208</v>
      </c>
      <c r="H110">
        <v>336</v>
      </c>
      <c r="I110">
        <v>464</v>
      </c>
      <c r="K110" s="6"/>
      <c r="P110" s="6">
        <v>85</v>
      </c>
      <c r="Q110">
        <v>221</v>
      </c>
      <c r="R110" s="6">
        <v>357</v>
      </c>
      <c r="S110">
        <v>493</v>
      </c>
      <c r="U110" s="6"/>
      <c r="Z110" s="6">
        <v>90</v>
      </c>
      <c r="AA110">
        <v>234</v>
      </c>
      <c r="AB110">
        <v>378</v>
      </c>
      <c r="AC110">
        <v>522</v>
      </c>
      <c r="AE110" s="6">
        <v>90</v>
      </c>
      <c r="AF110">
        <v>234</v>
      </c>
      <c r="AG110">
        <v>378</v>
      </c>
      <c r="AH110">
        <v>522</v>
      </c>
      <c r="AJ110" s="6">
        <v>100</v>
      </c>
      <c r="AK110">
        <v>260</v>
      </c>
      <c r="AL110">
        <v>420</v>
      </c>
      <c r="AM110">
        <v>580</v>
      </c>
      <c r="AO110" s="6">
        <v>90</v>
      </c>
      <c r="AP110">
        <v>234</v>
      </c>
      <c r="AQ110">
        <v>378</v>
      </c>
      <c r="AR110">
        <v>522</v>
      </c>
      <c r="AS110"/>
      <c r="AT110" t="s">
        <v>214</v>
      </c>
      <c r="AU110" t="s">
        <v>214</v>
      </c>
    </row>
    <row r="111" spans="1:47" x14ac:dyDescent="0.25">
      <c r="A111" s="63" t="s">
        <v>91</v>
      </c>
      <c r="B111" s="63" t="s">
        <v>49</v>
      </c>
      <c r="C111" s="63" t="s">
        <v>91</v>
      </c>
      <c r="D111" s="77" t="s">
        <v>207</v>
      </c>
      <c r="E111" s="62" t="str">
        <f t="shared" si="1"/>
        <v>BlangongaShock Trap</v>
      </c>
      <c r="K111" s="6"/>
      <c r="P111" s="6"/>
      <c r="U111" s="6"/>
      <c r="AE111" s="6"/>
      <c r="AJ111" s="6"/>
      <c r="AO111" s="6"/>
      <c r="AS111">
        <v>8</v>
      </c>
      <c r="AT111">
        <v>15</v>
      </c>
      <c r="AU111">
        <v>8</v>
      </c>
    </row>
    <row r="112" spans="1:47" s="56" customFormat="1" x14ac:dyDescent="0.25">
      <c r="A112" s="63" t="s">
        <v>91</v>
      </c>
      <c r="B112" s="63" t="s">
        <v>49</v>
      </c>
      <c r="C112" s="63" t="s">
        <v>91</v>
      </c>
      <c r="D112" s="79" t="s">
        <v>213</v>
      </c>
      <c r="E112" s="62" t="str">
        <f t="shared" si="1"/>
        <v>BlangongaPitfall Trap</v>
      </c>
      <c r="K112" s="7"/>
      <c r="P112" s="7"/>
      <c r="U112" s="7"/>
      <c r="Z112" s="7"/>
      <c r="AE112" s="7"/>
      <c r="AJ112" s="7"/>
      <c r="AO112" s="7"/>
      <c r="AS112" s="56">
        <v>18</v>
      </c>
      <c r="AT112" s="56">
        <v>20</v>
      </c>
      <c r="AU112" s="56">
        <v>18</v>
      </c>
    </row>
    <row r="113" spans="1:47" s="36" customFormat="1" x14ac:dyDescent="0.25">
      <c r="A113" s="63" t="s">
        <v>171</v>
      </c>
      <c r="B113" s="63" t="s">
        <v>178</v>
      </c>
      <c r="C113" s="63" t="s">
        <v>171</v>
      </c>
      <c r="D113" s="37" t="s">
        <v>0</v>
      </c>
      <c r="E113" s="62" t="str">
        <f t="shared" si="1"/>
        <v>Bloodbath DiablosPara</v>
      </c>
      <c r="J113" s="61"/>
      <c r="K113" s="50"/>
      <c r="P113" s="6"/>
      <c r="Q113" s="46"/>
      <c r="R113" s="46"/>
      <c r="S113" s="46"/>
      <c r="U113" s="50"/>
      <c r="Z113" s="6"/>
      <c r="AA113" s="46"/>
      <c r="AB113" s="46"/>
      <c r="AC113" s="46"/>
      <c r="AE113" s="50"/>
      <c r="AJ113" s="6"/>
      <c r="AK113" s="46"/>
      <c r="AL113" s="46"/>
      <c r="AM113" s="46"/>
      <c r="AO113" s="50"/>
      <c r="AS113" s="36">
        <v>12</v>
      </c>
      <c r="AT113" s="36" t="s">
        <v>214</v>
      </c>
      <c r="AU113" s="36" t="s">
        <v>214</v>
      </c>
    </row>
    <row r="114" spans="1:47" x14ac:dyDescent="0.25">
      <c r="A114" s="63" t="s">
        <v>171</v>
      </c>
      <c r="B114" s="63" t="s">
        <v>178</v>
      </c>
      <c r="C114" s="63" t="s">
        <v>171</v>
      </c>
      <c r="D114" s="31" t="s">
        <v>32</v>
      </c>
      <c r="E114" s="62" t="str">
        <f t="shared" si="1"/>
        <v>Bloodbath DiablosSleep</v>
      </c>
      <c r="K114" s="6"/>
      <c r="P114" s="6"/>
      <c r="U114" s="6"/>
      <c r="AE114" s="6"/>
      <c r="AJ114" s="6"/>
      <c r="AO114" s="6"/>
      <c r="AS114">
        <v>40</v>
      </c>
      <c r="AT114" t="s">
        <v>214</v>
      </c>
      <c r="AU114" t="s">
        <v>214</v>
      </c>
    </row>
    <row r="115" spans="1:47" x14ac:dyDescent="0.25">
      <c r="A115" s="63" t="s">
        <v>171</v>
      </c>
      <c r="B115" s="63" t="s">
        <v>178</v>
      </c>
      <c r="C115" s="63" t="s">
        <v>171</v>
      </c>
      <c r="D115" s="32" t="s">
        <v>33</v>
      </c>
      <c r="E115" s="62" t="str">
        <f t="shared" si="1"/>
        <v>Bloodbath DiablosPoison</v>
      </c>
      <c r="J115" s="29"/>
      <c r="K115" s="6"/>
      <c r="P115" s="6"/>
      <c r="U115" s="6"/>
      <c r="AE115" s="6"/>
      <c r="AJ115" s="6"/>
      <c r="AO115" s="6"/>
      <c r="AS115">
        <v>50</v>
      </c>
      <c r="AT115" t="s">
        <v>214</v>
      </c>
      <c r="AU115" t="s">
        <v>214</v>
      </c>
    </row>
    <row r="116" spans="1:47" x14ac:dyDescent="0.25">
      <c r="A116" s="63" t="s">
        <v>171</v>
      </c>
      <c r="B116" s="63" t="s">
        <v>178</v>
      </c>
      <c r="C116" s="63" t="s">
        <v>171</v>
      </c>
      <c r="D116" s="10" t="s">
        <v>22</v>
      </c>
      <c r="E116" s="62" t="str">
        <f t="shared" si="1"/>
        <v>Bloodbath DiablosExhaust</v>
      </c>
      <c r="J116" s="29"/>
      <c r="K116" s="6"/>
      <c r="P116" s="6"/>
      <c r="U116" s="6"/>
      <c r="AE116" s="6"/>
      <c r="AJ116" s="6"/>
      <c r="AO116" s="6"/>
      <c r="AS116">
        <v>10</v>
      </c>
      <c r="AT116" t="s">
        <v>214</v>
      </c>
      <c r="AU116" t="s">
        <v>214</v>
      </c>
    </row>
    <row r="117" spans="1:47" x14ac:dyDescent="0.25">
      <c r="A117" s="63" t="s">
        <v>171</v>
      </c>
      <c r="B117" s="63" t="s">
        <v>178</v>
      </c>
      <c r="C117" s="63" t="s">
        <v>171</v>
      </c>
      <c r="D117" s="30" t="s">
        <v>35</v>
      </c>
      <c r="E117" s="62" t="str">
        <f t="shared" si="1"/>
        <v>Bloodbath DiablosBlast</v>
      </c>
      <c r="K117" s="6"/>
      <c r="P117" s="6"/>
      <c r="R117" s="6"/>
      <c r="U117" s="6"/>
      <c r="AB117" s="6"/>
      <c r="AE117" s="6"/>
      <c r="AG117" s="6"/>
      <c r="AJ117" s="6"/>
      <c r="AO117" s="6"/>
      <c r="AS117"/>
      <c r="AT117" t="s">
        <v>214</v>
      </c>
      <c r="AU117" t="s">
        <v>214</v>
      </c>
    </row>
    <row r="118" spans="1:47" x14ac:dyDescent="0.25">
      <c r="A118" s="63" t="s">
        <v>171</v>
      </c>
      <c r="B118" s="63" t="s">
        <v>178</v>
      </c>
      <c r="C118" s="63" t="s">
        <v>171</v>
      </c>
      <c r="D118" s="34" t="s">
        <v>14</v>
      </c>
      <c r="E118" s="62" t="str">
        <f t="shared" si="1"/>
        <v>Bloodbath DiablosKO</v>
      </c>
      <c r="J118" s="29"/>
      <c r="K118" s="6"/>
      <c r="P118" s="6"/>
      <c r="U118" s="6"/>
      <c r="AE118" s="6"/>
      <c r="AJ118" s="6"/>
      <c r="AO118" s="6"/>
      <c r="AS118">
        <v>10</v>
      </c>
      <c r="AT118" t="s">
        <v>214</v>
      </c>
      <c r="AU118" t="s">
        <v>214</v>
      </c>
    </row>
    <row r="119" spans="1:47" x14ac:dyDescent="0.25">
      <c r="A119" s="63" t="s">
        <v>171</v>
      </c>
      <c r="B119" s="63" t="s">
        <v>178</v>
      </c>
      <c r="C119" s="63" t="s">
        <v>171</v>
      </c>
      <c r="D119" s="33" t="s">
        <v>34</v>
      </c>
      <c r="E119" s="62" t="str">
        <f t="shared" si="1"/>
        <v>Bloodbath DiablosMount</v>
      </c>
      <c r="K119" s="6"/>
      <c r="P119" s="6"/>
      <c r="R119" s="6"/>
      <c r="U119" s="6"/>
      <c r="AE119" s="6"/>
      <c r="AJ119" s="6"/>
      <c r="AO119" s="6"/>
      <c r="AS119"/>
      <c r="AT119" t="s">
        <v>214</v>
      </c>
      <c r="AU119" t="s">
        <v>214</v>
      </c>
    </row>
    <row r="120" spans="1:47" x14ac:dyDescent="0.25">
      <c r="A120" s="63" t="s">
        <v>171</v>
      </c>
      <c r="B120" s="63" t="s">
        <v>178</v>
      </c>
      <c r="C120" s="63" t="s">
        <v>171</v>
      </c>
      <c r="D120" s="77" t="s">
        <v>207</v>
      </c>
      <c r="E120" s="62" t="str">
        <f t="shared" si="1"/>
        <v>Bloodbath DiablosShock Trap</v>
      </c>
      <c r="K120" s="6"/>
      <c r="P120" s="6"/>
      <c r="U120" s="6"/>
      <c r="AE120" s="6"/>
      <c r="AJ120" s="6"/>
      <c r="AO120" s="6"/>
      <c r="AS120"/>
    </row>
    <row r="121" spans="1:47" s="56" customFormat="1" x14ac:dyDescent="0.25">
      <c r="A121" s="63" t="s">
        <v>171</v>
      </c>
      <c r="B121" s="63" t="s">
        <v>178</v>
      </c>
      <c r="C121" s="63" t="s">
        <v>171</v>
      </c>
      <c r="D121" s="79" t="s">
        <v>213</v>
      </c>
      <c r="E121" s="62" t="str">
        <f t="shared" si="1"/>
        <v>Bloodbath DiablosPitfall Trap</v>
      </c>
      <c r="K121" s="7"/>
      <c r="P121" s="7"/>
      <c r="U121" s="7"/>
      <c r="Z121" s="7"/>
      <c r="AE121" s="7"/>
      <c r="AJ121" s="7"/>
      <c r="AO121" s="7"/>
    </row>
    <row r="122" spans="1:47" s="36" customFormat="1" x14ac:dyDescent="0.25">
      <c r="A122" s="63" t="s">
        <v>171</v>
      </c>
      <c r="B122" s="63" t="s">
        <v>172</v>
      </c>
      <c r="C122" s="63" t="s">
        <v>171</v>
      </c>
      <c r="D122" s="37" t="s">
        <v>0</v>
      </c>
      <c r="E122" s="62" t="str">
        <f t="shared" si="1"/>
        <v>Boltreaver AstalosPara</v>
      </c>
      <c r="J122" s="61"/>
      <c r="K122" s="50"/>
      <c r="P122" s="6"/>
      <c r="Q122" s="46"/>
      <c r="R122" s="46"/>
      <c r="S122" s="46"/>
      <c r="U122" s="50"/>
      <c r="Z122" s="6"/>
      <c r="AA122" s="46"/>
      <c r="AB122" s="46"/>
      <c r="AC122" s="46"/>
      <c r="AE122" s="50"/>
      <c r="AJ122" s="6"/>
      <c r="AK122" s="46"/>
      <c r="AL122" s="46"/>
      <c r="AM122" s="46"/>
      <c r="AO122" s="50"/>
      <c r="AS122" s="36">
        <v>10</v>
      </c>
      <c r="AT122" s="36" t="s">
        <v>214</v>
      </c>
      <c r="AU122" s="36" t="s">
        <v>214</v>
      </c>
    </row>
    <row r="123" spans="1:47" x14ac:dyDescent="0.25">
      <c r="A123" s="63" t="s">
        <v>171</v>
      </c>
      <c r="B123" s="63" t="s">
        <v>172</v>
      </c>
      <c r="C123" s="63" t="s">
        <v>171</v>
      </c>
      <c r="D123" s="31" t="s">
        <v>32</v>
      </c>
      <c r="E123" s="62" t="str">
        <f t="shared" si="1"/>
        <v>Boltreaver AstalosSleep</v>
      </c>
      <c r="K123" s="6"/>
      <c r="P123" s="6"/>
      <c r="U123" s="6"/>
      <c r="AE123" s="6"/>
      <c r="AJ123" s="6"/>
      <c r="AO123" s="6"/>
      <c r="AS123">
        <v>47</v>
      </c>
      <c r="AT123" t="s">
        <v>214</v>
      </c>
      <c r="AU123" t="s">
        <v>214</v>
      </c>
    </row>
    <row r="124" spans="1:47" x14ac:dyDescent="0.25">
      <c r="A124" s="63" t="s">
        <v>171</v>
      </c>
      <c r="B124" s="63" t="s">
        <v>172</v>
      </c>
      <c r="C124" s="63" t="s">
        <v>171</v>
      </c>
      <c r="D124" s="32" t="s">
        <v>33</v>
      </c>
      <c r="E124" s="62" t="str">
        <f t="shared" si="1"/>
        <v>Boltreaver AstalosPoison</v>
      </c>
      <c r="J124" s="29"/>
      <c r="K124" s="6"/>
      <c r="P124" s="6"/>
      <c r="U124" s="6"/>
      <c r="AE124" s="6"/>
      <c r="AJ124" s="6"/>
      <c r="AO124" s="6"/>
      <c r="AS124">
        <v>60</v>
      </c>
      <c r="AT124" t="s">
        <v>214</v>
      </c>
      <c r="AU124" t="s">
        <v>214</v>
      </c>
    </row>
    <row r="125" spans="1:47" x14ac:dyDescent="0.25">
      <c r="A125" s="63" t="s">
        <v>171</v>
      </c>
      <c r="B125" s="63" t="s">
        <v>172</v>
      </c>
      <c r="C125" s="63" t="s">
        <v>171</v>
      </c>
      <c r="D125" s="10" t="s">
        <v>22</v>
      </c>
      <c r="E125" s="62" t="str">
        <f t="shared" si="1"/>
        <v>Boltreaver AstalosExhaust</v>
      </c>
      <c r="J125" s="29"/>
      <c r="K125" s="6"/>
      <c r="P125" s="6"/>
      <c r="U125" s="6"/>
      <c r="AE125" s="6"/>
      <c r="AJ125" s="6"/>
      <c r="AO125" s="6"/>
      <c r="AS125"/>
      <c r="AT125" t="s">
        <v>214</v>
      </c>
      <c r="AU125" t="s">
        <v>214</v>
      </c>
    </row>
    <row r="126" spans="1:47" x14ac:dyDescent="0.25">
      <c r="A126" s="63" t="s">
        <v>171</v>
      </c>
      <c r="B126" s="63" t="s">
        <v>172</v>
      </c>
      <c r="C126" s="63" t="s">
        <v>171</v>
      </c>
      <c r="D126" s="30" t="s">
        <v>35</v>
      </c>
      <c r="E126" s="62" t="str">
        <f t="shared" si="1"/>
        <v>Boltreaver AstalosBlast</v>
      </c>
      <c r="K126" s="6"/>
      <c r="P126" s="6"/>
      <c r="R126" s="6"/>
      <c r="U126" s="6"/>
      <c r="AB126" s="6"/>
      <c r="AE126" s="6"/>
      <c r="AG126" s="6"/>
      <c r="AJ126" s="6"/>
      <c r="AO126" s="6"/>
      <c r="AS126"/>
      <c r="AT126" t="s">
        <v>214</v>
      </c>
      <c r="AU126" t="s">
        <v>214</v>
      </c>
    </row>
    <row r="127" spans="1:47" x14ac:dyDescent="0.25">
      <c r="A127" s="63" t="s">
        <v>171</v>
      </c>
      <c r="B127" s="63" t="s">
        <v>172</v>
      </c>
      <c r="C127" s="63" t="s">
        <v>171</v>
      </c>
      <c r="D127" s="34" t="s">
        <v>14</v>
      </c>
      <c r="E127" s="62" t="str">
        <f t="shared" si="1"/>
        <v>Boltreaver AstalosKO</v>
      </c>
      <c r="J127" s="29"/>
      <c r="K127" s="6"/>
      <c r="P127" s="6"/>
      <c r="U127" s="6"/>
      <c r="AE127" s="6"/>
      <c r="AJ127" s="6"/>
      <c r="AO127" s="6"/>
      <c r="AS127">
        <v>10</v>
      </c>
      <c r="AT127" t="s">
        <v>214</v>
      </c>
      <c r="AU127" t="s">
        <v>214</v>
      </c>
    </row>
    <row r="128" spans="1:47" x14ac:dyDescent="0.25">
      <c r="A128" s="63" t="s">
        <v>171</v>
      </c>
      <c r="B128" s="63" t="s">
        <v>172</v>
      </c>
      <c r="C128" s="63" t="s">
        <v>171</v>
      </c>
      <c r="D128" s="33" t="s">
        <v>34</v>
      </c>
      <c r="E128" s="62" t="str">
        <f t="shared" si="1"/>
        <v>Boltreaver AstalosMount</v>
      </c>
      <c r="K128" s="6"/>
      <c r="P128" s="6"/>
      <c r="R128" s="6"/>
      <c r="U128" s="6"/>
      <c r="AE128" s="6"/>
      <c r="AJ128" s="6"/>
      <c r="AO128" s="6"/>
      <c r="AS128"/>
      <c r="AT128" t="s">
        <v>214</v>
      </c>
      <c r="AU128" t="s">
        <v>214</v>
      </c>
    </row>
    <row r="129" spans="1:47" x14ac:dyDescent="0.25">
      <c r="A129" s="63" t="s">
        <v>171</v>
      </c>
      <c r="B129" s="63" t="s">
        <v>172</v>
      </c>
      <c r="C129" s="63" t="s">
        <v>171</v>
      </c>
      <c r="D129" s="77" t="s">
        <v>207</v>
      </c>
      <c r="E129" s="62" t="str">
        <f t="shared" si="1"/>
        <v>Boltreaver AstalosShock Trap</v>
      </c>
      <c r="K129" s="6"/>
      <c r="P129" s="6"/>
      <c r="U129" s="6"/>
      <c r="AE129" s="6"/>
      <c r="AJ129" s="6"/>
      <c r="AO129" s="6"/>
      <c r="AS129"/>
    </row>
    <row r="130" spans="1:47" s="56" customFormat="1" x14ac:dyDescent="0.25">
      <c r="A130" s="63" t="s">
        <v>171</v>
      </c>
      <c r="B130" s="63" t="s">
        <v>172</v>
      </c>
      <c r="C130" s="63" t="s">
        <v>171</v>
      </c>
      <c r="D130" s="79" t="s">
        <v>213</v>
      </c>
      <c r="E130" s="62" t="str">
        <f t="shared" si="1"/>
        <v>Boltreaver AstalosPitfall Trap</v>
      </c>
      <c r="K130" s="7"/>
      <c r="P130" s="7"/>
      <c r="U130" s="7"/>
      <c r="Z130" s="7"/>
      <c r="AE130" s="7"/>
      <c r="AJ130" s="7"/>
      <c r="AO130" s="7"/>
    </row>
    <row r="131" spans="1:47" s="36" customFormat="1" x14ac:dyDescent="0.25">
      <c r="A131" s="63" t="s">
        <v>91</v>
      </c>
      <c r="B131" s="63" t="s">
        <v>209</v>
      </c>
      <c r="C131" s="63" t="s">
        <v>91</v>
      </c>
      <c r="D131" s="37" t="s">
        <v>0</v>
      </c>
      <c r="E131" s="62" t="str">
        <f t="shared" si="1"/>
        <v>BrachydiosPara</v>
      </c>
      <c r="F131" s="36">
        <v>200</v>
      </c>
      <c r="G131" s="36">
        <v>350</v>
      </c>
      <c r="H131" s="36">
        <v>500</v>
      </c>
      <c r="I131" s="36">
        <v>650</v>
      </c>
      <c r="J131" s="61"/>
      <c r="K131" s="50"/>
      <c r="P131" s="6">
        <v>200</v>
      </c>
      <c r="Q131" s="46">
        <v>400</v>
      </c>
      <c r="R131" s="46">
        <v>600</v>
      </c>
      <c r="S131" s="46">
        <v>800</v>
      </c>
      <c r="U131" s="50"/>
      <c r="Z131" s="6">
        <v>200</v>
      </c>
      <c r="AA131" s="46">
        <v>420</v>
      </c>
      <c r="AB131" s="46">
        <v>640</v>
      </c>
      <c r="AC131" s="46">
        <v>860</v>
      </c>
      <c r="AE131" s="50"/>
      <c r="AJ131" s="6"/>
      <c r="AK131" s="46"/>
      <c r="AL131" s="46"/>
      <c r="AM131" s="46"/>
      <c r="AO131" s="50"/>
      <c r="AS131" s="36">
        <v>10</v>
      </c>
      <c r="AT131" s="36" t="s">
        <v>214</v>
      </c>
      <c r="AU131" s="36" t="s">
        <v>214</v>
      </c>
    </row>
    <row r="132" spans="1:47" x14ac:dyDescent="0.25">
      <c r="A132" s="63" t="s">
        <v>91</v>
      </c>
      <c r="B132" s="63" t="s">
        <v>209</v>
      </c>
      <c r="C132" s="63" t="s">
        <v>91</v>
      </c>
      <c r="D132" s="31" t="s">
        <v>32</v>
      </c>
      <c r="E132" s="62" t="str">
        <f t="shared" si="1"/>
        <v>BrachydiosSleep</v>
      </c>
      <c r="F132">
        <v>150</v>
      </c>
      <c r="G132">
        <v>300</v>
      </c>
      <c r="H132">
        <v>450</v>
      </c>
      <c r="I132">
        <v>600</v>
      </c>
      <c r="K132" s="6"/>
      <c r="P132" s="6">
        <v>150</v>
      </c>
      <c r="Q132">
        <v>350</v>
      </c>
      <c r="R132">
        <v>550</v>
      </c>
      <c r="S132">
        <v>750</v>
      </c>
      <c r="U132" s="6"/>
      <c r="Z132" s="6">
        <v>150</v>
      </c>
      <c r="AA132">
        <v>370</v>
      </c>
      <c r="AB132">
        <v>590</v>
      </c>
      <c r="AC132">
        <v>810</v>
      </c>
      <c r="AE132" s="6"/>
      <c r="AJ132" s="6"/>
      <c r="AO132" s="6"/>
      <c r="AS132">
        <v>40</v>
      </c>
      <c r="AT132" t="s">
        <v>214</v>
      </c>
      <c r="AU132" t="s">
        <v>214</v>
      </c>
    </row>
    <row r="133" spans="1:47" x14ac:dyDescent="0.25">
      <c r="A133" s="63" t="s">
        <v>91</v>
      </c>
      <c r="B133" s="63" t="s">
        <v>209</v>
      </c>
      <c r="C133" s="63" t="s">
        <v>91</v>
      </c>
      <c r="D133" s="32" t="s">
        <v>33</v>
      </c>
      <c r="E133" s="62" t="str">
        <f t="shared" ref="E133:E196" si="2">B133&amp;D133</f>
        <v>BrachydiosPoison</v>
      </c>
      <c r="F133">
        <v>150</v>
      </c>
      <c r="G133">
        <v>375</v>
      </c>
      <c r="H133">
        <v>600</v>
      </c>
      <c r="I133">
        <v>825</v>
      </c>
      <c r="J133" s="29"/>
      <c r="K133" s="6"/>
      <c r="P133" s="6">
        <v>150</v>
      </c>
      <c r="Q133">
        <v>450</v>
      </c>
      <c r="R133">
        <v>750</v>
      </c>
      <c r="S133">
        <v>1050</v>
      </c>
      <c r="U133" s="6"/>
      <c r="Z133" s="6">
        <v>150</v>
      </c>
      <c r="AA133">
        <v>480</v>
      </c>
      <c r="AB133">
        <v>810</v>
      </c>
      <c r="AC133">
        <v>1140</v>
      </c>
      <c r="AE133" s="6"/>
      <c r="AJ133" s="6"/>
      <c r="AO133" s="6"/>
      <c r="AS133">
        <v>40</v>
      </c>
      <c r="AT133" t="s">
        <v>214</v>
      </c>
      <c r="AU133" t="s">
        <v>214</v>
      </c>
    </row>
    <row r="134" spans="1:47" x14ac:dyDescent="0.25">
      <c r="A134" s="63" t="s">
        <v>91</v>
      </c>
      <c r="B134" s="63" t="s">
        <v>209</v>
      </c>
      <c r="C134" s="63" t="s">
        <v>91</v>
      </c>
      <c r="D134" s="10" t="s">
        <v>22</v>
      </c>
      <c r="E134" s="62" t="str">
        <f t="shared" si="2"/>
        <v>BrachydiosExhaust</v>
      </c>
      <c r="F134">
        <v>240</v>
      </c>
      <c r="G134">
        <v>400</v>
      </c>
      <c r="H134">
        <v>560</v>
      </c>
      <c r="I134">
        <v>720</v>
      </c>
      <c r="J134" s="29"/>
      <c r="K134" s="6"/>
      <c r="P134" s="6">
        <v>277</v>
      </c>
      <c r="Q134">
        <v>462</v>
      </c>
      <c r="R134">
        <v>647</v>
      </c>
      <c r="S134">
        <v>832</v>
      </c>
      <c r="U134" s="6"/>
      <c r="Z134" s="6">
        <v>300</v>
      </c>
      <c r="AA134">
        <v>500</v>
      </c>
      <c r="AB134">
        <v>700</v>
      </c>
      <c r="AC134">
        <v>900</v>
      </c>
      <c r="AE134" s="6"/>
      <c r="AJ134" s="6"/>
      <c r="AO134" s="6"/>
      <c r="AS134"/>
      <c r="AT134" t="s">
        <v>214</v>
      </c>
      <c r="AU134" t="s">
        <v>214</v>
      </c>
    </row>
    <row r="135" spans="1:47" x14ac:dyDescent="0.25">
      <c r="A135" s="63" t="s">
        <v>91</v>
      </c>
      <c r="B135" s="63" t="s">
        <v>209</v>
      </c>
      <c r="C135" s="63" t="s">
        <v>91</v>
      </c>
      <c r="D135" s="30" t="s">
        <v>35</v>
      </c>
      <c r="E135" s="62" t="str">
        <f t="shared" si="2"/>
        <v>BrachydiosBlast</v>
      </c>
      <c r="F135">
        <v>200</v>
      </c>
      <c r="G135">
        <v>350</v>
      </c>
      <c r="H135">
        <v>500</v>
      </c>
      <c r="I135">
        <v>650</v>
      </c>
      <c r="K135" s="6"/>
      <c r="P135" s="6">
        <v>200</v>
      </c>
      <c r="Q135">
        <v>400</v>
      </c>
      <c r="R135" s="6">
        <v>600</v>
      </c>
      <c r="S135">
        <v>800</v>
      </c>
      <c r="U135" s="6"/>
      <c r="Z135" s="6">
        <v>200</v>
      </c>
      <c r="AA135">
        <v>420</v>
      </c>
      <c r="AB135" s="6">
        <v>640</v>
      </c>
      <c r="AC135">
        <v>860</v>
      </c>
      <c r="AE135" s="6"/>
      <c r="AG135" s="6"/>
      <c r="AJ135" s="6"/>
      <c r="AO135" s="6"/>
      <c r="AS135"/>
      <c r="AT135" t="s">
        <v>214</v>
      </c>
      <c r="AU135" t="s">
        <v>214</v>
      </c>
    </row>
    <row r="136" spans="1:47" x14ac:dyDescent="0.25">
      <c r="A136" s="63" t="s">
        <v>91</v>
      </c>
      <c r="B136" s="63" t="s">
        <v>209</v>
      </c>
      <c r="C136" s="63" t="s">
        <v>91</v>
      </c>
      <c r="D136" s="34" t="s">
        <v>14</v>
      </c>
      <c r="E136" s="62" t="str">
        <f t="shared" si="2"/>
        <v>BrachydiosKO</v>
      </c>
      <c r="F136">
        <v>116</v>
      </c>
      <c r="G136">
        <v>246</v>
      </c>
      <c r="H136">
        <v>377</v>
      </c>
      <c r="I136">
        <v>506</v>
      </c>
      <c r="J136" s="29"/>
      <c r="K136" s="6"/>
      <c r="P136" s="6">
        <v>126</v>
      </c>
      <c r="Q136">
        <v>266</v>
      </c>
      <c r="R136">
        <v>406</v>
      </c>
      <c r="S136">
        <v>546</v>
      </c>
      <c r="U136" s="6"/>
      <c r="Z136" s="6">
        <v>135</v>
      </c>
      <c r="AA136">
        <v>135</v>
      </c>
      <c r="AB136">
        <v>135</v>
      </c>
      <c r="AC136">
        <v>135</v>
      </c>
      <c r="AE136" s="6"/>
      <c r="AJ136" s="6"/>
      <c r="AO136" s="6"/>
      <c r="AS136">
        <v>10</v>
      </c>
      <c r="AT136" t="s">
        <v>214</v>
      </c>
      <c r="AU136" t="s">
        <v>214</v>
      </c>
    </row>
    <row r="137" spans="1:47" x14ac:dyDescent="0.25">
      <c r="A137" s="63" t="s">
        <v>91</v>
      </c>
      <c r="B137" s="63" t="s">
        <v>209</v>
      </c>
      <c r="C137" s="63" t="s">
        <v>91</v>
      </c>
      <c r="D137" s="33" t="s">
        <v>34</v>
      </c>
      <c r="E137" s="62" t="str">
        <f t="shared" si="2"/>
        <v>BrachydiosMount</v>
      </c>
      <c r="F137">
        <v>96</v>
      </c>
      <c r="G137">
        <v>256</v>
      </c>
      <c r="H137">
        <v>416</v>
      </c>
      <c r="I137">
        <v>576</v>
      </c>
      <c r="K137" s="6"/>
      <c r="P137" s="6">
        <v>108</v>
      </c>
      <c r="Q137">
        <v>288</v>
      </c>
      <c r="R137" s="6">
        <v>468</v>
      </c>
      <c r="S137">
        <v>648</v>
      </c>
      <c r="U137" s="6"/>
      <c r="Z137" s="6">
        <v>108</v>
      </c>
      <c r="AA137">
        <v>288</v>
      </c>
      <c r="AB137">
        <v>468</v>
      </c>
      <c r="AC137">
        <v>648</v>
      </c>
      <c r="AE137" s="6"/>
      <c r="AJ137" s="6"/>
      <c r="AO137" s="6"/>
      <c r="AS137"/>
      <c r="AT137" t="s">
        <v>214</v>
      </c>
      <c r="AU137" t="s">
        <v>214</v>
      </c>
    </row>
    <row r="138" spans="1:47" x14ac:dyDescent="0.25">
      <c r="A138" s="63" t="s">
        <v>91</v>
      </c>
      <c r="B138" s="63" t="s">
        <v>209</v>
      </c>
      <c r="C138" s="63" t="s">
        <v>91</v>
      </c>
      <c r="D138" s="77" t="s">
        <v>207</v>
      </c>
      <c r="E138" s="62" t="str">
        <f t="shared" si="2"/>
        <v>BrachydiosShock Trap</v>
      </c>
      <c r="K138" s="6"/>
      <c r="P138" s="6"/>
      <c r="U138" s="6"/>
      <c r="AE138" s="6"/>
      <c r="AJ138" s="6"/>
      <c r="AO138" s="6"/>
      <c r="AS138">
        <v>8</v>
      </c>
      <c r="AT138">
        <v>15</v>
      </c>
      <c r="AU138">
        <v>8</v>
      </c>
    </row>
    <row r="139" spans="1:47" s="56" customFormat="1" x14ac:dyDescent="0.25">
      <c r="A139" s="63" t="s">
        <v>91</v>
      </c>
      <c r="B139" s="63" t="s">
        <v>209</v>
      </c>
      <c r="C139" s="63" t="s">
        <v>91</v>
      </c>
      <c r="D139" s="79" t="s">
        <v>213</v>
      </c>
      <c r="E139" s="62" t="str">
        <f t="shared" si="2"/>
        <v>BrachydiosPitfall Trap</v>
      </c>
      <c r="K139" s="7"/>
      <c r="P139" s="7"/>
      <c r="U139" s="7"/>
      <c r="Z139" s="7"/>
      <c r="AE139" s="7"/>
      <c r="AJ139" s="7"/>
      <c r="AO139" s="7"/>
      <c r="AS139" s="56">
        <v>12</v>
      </c>
      <c r="AT139" s="56">
        <v>25</v>
      </c>
      <c r="AU139" s="56">
        <v>12</v>
      </c>
    </row>
    <row r="140" spans="1:47" s="36" customFormat="1" x14ac:dyDescent="0.25">
      <c r="A140" s="63" t="s">
        <v>91</v>
      </c>
      <c r="B140" s="63" t="s">
        <v>241</v>
      </c>
      <c r="C140" s="63" t="s">
        <v>91</v>
      </c>
      <c r="D140" s="37" t="s">
        <v>0</v>
      </c>
      <c r="E140" s="62" t="str">
        <f t="shared" si="2"/>
        <v>Brachydios (Raging)Para</v>
      </c>
      <c r="J140" s="61"/>
      <c r="K140" s="50"/>
      <c r="P140" s="6"/>
      <c r="Q140" s="46"/>
      <c r="R140" s="46"/>
      <c r="S140" s="46"/>
      <c r="U140" s="50"/>
      <c r="Z140" s="6">
        <v>200</v>
      </c>
      <c r="AA140" s="46">
        <v>480</v>
      </c>
      <c r="AB140" s="46">
        <v>760</v>
      </c>
      <c r="AC140" s="46">
        <v>1040</v>
      </c>
      <c r="AE140" s="50"/>
      <c r="AJ140" s="6"/>
      <c r="AK140" s="46"/>
      <c r="AL140" s="46"/>
      <c r="AM140" s="46"/>
      <c r="AO140" s="50"/>
      <c r="AS140" s="36">
        <v>10</v>
      </c>
      <c r="AT140" s="36" t="s">
        <v>214</v>
      </c>
      <c r="AU140" s="36" t="s">
        <v>214</v>
      </c>
    </row>
    <row r="141" spans="1:47" x14ac:dyDescent="0.25">
      <c r="A141" s="63" t="s">
        <v>91</v>
      </c>
      <c r="B141" s="63" t="s">
        <v>241</v>
      </c>
      <c r="C141" s="63" t="s">
        <v>91</v>
      </c>
      <c r="D141" s="31" t="s">
        <v>32</v>
      </c>
      <c r="E141" s="62" t="str">
        <f t="shared" si="2"/>
        <v>Brachydios (Raging)Sleep</v>
      </c>
      <c r="K141" s="6"/>
      <c r="P141" s="6"/>
      <c r="U141" s="6"/>
      <c r="Z141" s="6">
        <v>150</v>
      </c>
      <c r="AA141">
        <v>430</v>
      </c>
      <c r="AB141">
        <v>710</v>
      </c>
      <c r="AC141">
        <v>990</v>
      </c>
      <c r="AE141" s="6"/>
      <c r="AJ141" s="6"/>
      <c r="AO141" s="6"/>
      <c r="AS141">
        <v>40</v>
      </c>
      <c r="AT141" t="s">
        <v>214</v>
      </c>
      <c r="AU141" t="s">
        <v>214</v>
      </c>
    </row>
    <row r="142" spans="1:47" x14ac:dyDescent="0.25">
      <c r="A142" s="63" t="s">
        <v>91</v>
      </c>
      <c r="B142" s="63" t="s">
        <v>241</v>
      </c>
      <c r="C142" s="63" t="s">
        <v>91</v>
      </c>
      <c r="D142" s="32" t="s">
        <v>33</v>
      </c>
      <c r="E142" s="62" t="str">
        <f t="shared" si="2"/>
        <v>Brachydios (Raging)Poison</v>
      </c>
      <c r="J142" s="29"/>
      <c r="K142" s="6"/>
      <c r="P142" s="6"/>
      <c r="U142" s="6"/>
      <c r="Z142" s="6">
        <v>150</v>
      </c>
      <c r="AA142">
        <v>570</v>
      </c>
      <c r="AB142">
        <v>990</v>
      </c>
      <c r="AC142">
        <v>1410</v>
      </c>
      <c r="AE142" s="6"/>
      <c r="AJ142" s="6"/>
      <c r="AO142" s="6"/>
      <c r="AS142">
        <v>40</v>
      </c>
      <c r="AT142" t="s">
        <v>214</v>
      </c>
      <c r="AU142" t="s">
        <v>214</v>
      </c>
    </row>
    <row r="143" spans="1:47" x14ac:dyDescent="0.25">
      <c r="A143" s="63" t="s">
        <v>91</v>
      </c>
      <c r="B143" s="63" t="s">
        <v>241</v>
      </c>
      <c r="C143" s="63" t="s">
        <v>91</v>
      </c>
      <c r="D143" s="10" t="s">
        <v>22</v>
      </c>
      <c r="E143" s="62" t="str">
        <f t="shared" si="2"/>
        <v>Brachydios (Raging)Exhaust</v>
      </c>
      <c r="J143" s="29"/>
      <c r="K143" s="6"/>
      <c r="P143" s="6"/>
      <c r="U143" s="6"/>
      <c r="Z143" s="6">
        <v>375</v>
      </c>
      <c r="AA143">
        <v>625</v>
      </c>
      <c r="AB143">
        <v>875</v>
      </c>
      <c r="AC143">
        <v>1125</v>
      </c>
      <c r="AE143" s="6"/>
      <c r="AJ143" s="6"/>
      <c r="AO143" s="6"/>
      <c r="AS143"/>
      <c r="AT143" t="s">
        <v>214</v>
      </c>
      <c r="AU143" t="s">
        <v>214</v>
      </c>
    </row>
    <row r="144" spans="1:47" x14ac:dyDescent="0.25">
      <c r="A144" s="63" t="s">
        <v>91</v>
      </c>
      <c r="B144" s="63" t="s">
        <v>241</v>
      </c>
      <c r="C144" s="63" t="s">
        <v>91</v>
      </c>
      <c r="D144" s="30" t="s">
        <v>35</v>
      </c>
      <c r="E144" s="62" t="str">
        <f t="shared" si="2"/>
        <v>Brachydios (Raging)Blast</v>
      </c>
      <c r="K144" s="6"/>
      <c r="P144" s="6"/>
      <c r="R144" s="6"/>
      <c r="U144" s="6"/>
      <c r="Z144" s="6">
        <v>200</v>
      </c>
      <c r="AA144">
        <v>480</v>
      </c>
      <c r="AB144" s="6">
        <v>760</v>
      </c>
      <c r="AC144">
        <v>1040</v>
      </c>
      <c r="AE144" s="6"/>
      <c r="AG144" s="6"/>
      <c r="AJ144" s="6"/>
      <c r="AO144" s="6"/>
      <c r="AS144"/>
      <c r="AT144" t="s">
        <v>214</v>
      </c>
      <c r="AU144" t="s">
        <v>214</v>
      </c>
    </row>
    <row r="145" spans="1:47" x14ac:dyDescent="0.25">
      <c r="A145" s="63" t="s">
        <v>91</v>
      </c>
      <c r="B145" s="63" t="s">
        <v>241</v>
      </c>
      <c r="C145" s="63" t="s">
        <v>91</v>
      </c>
      <c r="D145" s="34" t="s">
        <v>14</v>
      </c>
      <c r="E145" s="62" t="str">
        <f t="shared" si="2"/>
        <v>Brachydios (Raging)KO</v>
      </c>
      <c r="J145" s="29"/>
      <c r="K145" s="6"/>
      <c r="P145" s="6"/>
      <c r="U145" s="6"/>
      <c r="Z145" s="6">
        <v>180</v>
      </c>
      <c r="AA145">
        <v>380</v>
      </c>
      <c r="AB145">
        <v>580</v>
      </c>
      <c r="AC145">
        <v>780</v>
      </c>
      <c r="AE145" s="6"/>
      <c r="AJ145" s="6"/>
      <c r="AO145" s="6"/>
      <c r="AS145">
        <v>10</v>
      </c>
      <c r="AT145" t="s">
        <v>214</v>
      </c>
      <c r="AU145" t="s">
        <v>214</v>
      </c>
    </row>
    <row r="146" spans="1:47" x14ac:dyDescent="0.25">
      <c r="A146" s="63" t="s">
        <v>91</v>
      </c>
      <c r="B146" s="63" t="s">
        <v>241</v>
      </c>
      <c r="C146" s="63" t="s">
        <v>91</v>
      </c>
      <c r="D146" s="33" t="s">
        <v>34</v>
      </c>
      <c r="E146" s="62" t="str">
        <f t="shared" si="2"/>
        <v>Brachydios (Raging)Mount</v>
      </c>
      <c r="K146" s="6"/>
      <c r="P146" s="6"/>
      <c r="R146" s="6"/>
      <c r="U146" s="6"/>
      <c r="Z146" s="6">
        <v>100</v>
      </c>
      <c r="AA146">
        <v>340</v>
      </c>
      <c r="AB146">
        <v>580</v>
      </c>
      <c r="AC146">
        <v>820</v>
      </c>
      <c r="AE146" s="6"/>
      <c r="AJ146" s="6"/>
      <c r="AO146" s="6"/>
      <c r="AS146"/>
      <c r="AT146" t="s">
        <v>214</v>
      </c>
      <c r="AU146" t="s">
        <v>214</v>
      </c>
    </row>
    <row r="147" spans="1:47" x14ac:dyDescent="0.25">
      <c r="A147" s="63" t="s">
        <v>91</v>
      </c>
      <c r="B147" s="63" t="s">
        <v>241</v>
      </c>
      <c r="C147" s="63" t="s">
        <v>91</v>
      </c>
      <c r="D147" s="77" t="s">
        <v>207</v>
      </c>
      <c r="E147" s="62" t="str">
        <f t="shared" si="2"/>
        <v>Brachydios (Raging)Shock Trap</v>
      </c>
      <c r="K147" s="6"/>
      <c r="P147" s="6"/>
      <c r="U147" s="6"/>
      <c r="AE147" s="6"/>
      <c r="AJ147" s="6"/>
      <c r="AO147" s="6"/>
      <c r="AS147">
        <v>0</v>
      </c>
      <c r="AT147">
        <v>0</v>
      </c>
      <c r="AU147">
        <v>0</v>
      </c>
    </row>
    <row r="148" spans="1:47" s="56" customFormat="1" x14ac:dyDescent="0.25">
      <c r="A148" s="63" t="s">
        <v>91</v>
      </c>
      <c r="B148" s="63" t="s">
        <v>241</v>
      </c>
      <c r="C148" s="63" t="s">
        <v>91</v>
      </c>
      <c r="D148" s="79" t="s">
        <v>213</v>
      </c>
      <c r="E148" s="62" t="str">
        <f t="shared" si="2"/>
        <v>Brachydios (Raging)Pitfall Trap</v>
      </c>
      <c r="K148" s="7"/>
      <c r="P148" s="7"/>
      <c r="U148" s="7"/>
      <c r="Z148" s="7"/>
      <c r="AE148" s="7"/>
      <c r="AJ148" s="7"/>
      <c r="AO148" s="7"/>
      <c r="AS148" s="56">
        <v>0</v>
      </c>
      <c r="AT148" s="56">
        <v>0</v>
      </c>
      <c r="AU148" s="56">
        <v>0</v>
      </c>
    </row>
    <row r="149" spans="1:47" s="36" customFormat="1" x14ac:dyDescent="0.25">
      <c r="A149" s="63" t="s">
        <v>171</v>
      </c>
      <c r="B149" s="63" t="s">
        <v>50</v>
      </c>
      <c r="C149" s="63" t="s">
        <v>171</v>
      </c>
      <c r="D149" s="37" t="s">
        <v>0</v>
      </c>
      <c r="E149" s="62" t="str">
        <f t="shared" si="2"/>
        <v>BulldromePara</v>
      </c>
      <c r="F149" s="36">
        <v>150</v>
      </c>
      <c r="G149" s="36">
        <v>260</v>
      </c>
      <c r="H149" s="36">
        <v>370</v>
      </c>
      <c r="I149" s="36">
        <v>370</v>
      </c>
      <c r="J149" s="61"/>
      <c r="K149" s="50"/>
      <c r="P149" s="6"/>
      <c r="Q149" s="46"/>
      <c r="R149" s="46"/>
      <c r="S149" s="46"/>
      <c r="U149" s="50"/>
      <c r="Z149" s="6"/>
      <c r="AA149" s="46"/>
      <c r="AB149" s="46"/>
      <c r="AC149" s="46"/>
      <c r="AE149" s="50">
        <v>150</v>
      </c>
      <c r="AF149" s="36">
        <v>340</v>
      </c>
      <c r="AG149" s="36">
        <v>530</v>
      </c>
      <c r="AH149" s="36">
        <v>530</v>
      </c>
      <c r="AJ149" s="6"/>
      <c r="AK149" s="46"/>
      <c r="AL149" s="46"/>
      <c r="AM149" s="46"/>
      <c r="AO149" s="50"/>
      <c r="AS149" s="36">
        <v>20</v>
      </c>
      <c r="AT149" s="36" t="s">
        <v>214</v>
      </c>
      <c r="AU149" s="36" t="s">
        <v>214</v>
      </c>
    </row>
    <row r="150" spans="1:47" x14ac:dyDescent="0.25">
      <c r="A150" s="63" t="s">
        <v>171</v>
      </c>
      <c r="B150" s="63" t="s">
        <v>50</v>
      </c>
      <c r="C150" s="63" t="s">
        <v>171</v>
      </c>
      <c r="D150" s="31" t="s">
        <v>32</v>
      </c>
      <c r="E150" s="62" t="str">
        <f t="shared" si="2"/>
        <v>BulldromeSleep</v>
      </c>
      <c r="F150">
        <v>30</v>
      </c>
      <c r="G150">
        <v>140</v>
      </c>
      <c r="H150">
        <v>250</v>
      </c>
      <c r="I150">
        <v>360</v>
      </c>
      <c r="K150" s="6"/>
      <c r="P150" s="6"/>
      <c r="U150" s="6"/>
      <c r="AE150" s="6">
        <v>30</v>
      </c>
      <c r="AF150">
        <v>220</v>
      </c>
      <c r="AG150">
        <v>410</v>
      </c>
      <c r="AH150">
        <v>600</v>
      </c>
      <c r="AJ150" s="6"/>
      <c r="AO150" s="6"/>
      <c r="AS150">
        <v>30</v>
      </c>
      <c r="AT150" t="s">
        <v>214</v>
      </c>
      <c r="AU150" t="s">
        <v>214</v>
      </c>
    </row>
    <row r="151" spans="1:47" x14ac:dyDescent="0.25">
      <c r="A151" s="63" t="s">
        <v>171</v>
      </c>
      <c r="B151" s="63" t="s">
        <v>50</v>
      </c>
      <c r="C151" s="63" t="s">
        <v>171</v>
      </c>
      <c r="D151" s="32" t="s">
        <v>33</v>
      </c>
      <c r="E151" s="62" t="str">
        <f t="shared" si="2"/>
        <v>BulldromePoison</v>
      </c>
      <c r="F151">
        <v>27</v>
      </c>
      <c r="G151">
        <v>137</v>
      </c>
      <c r="H151">
        <v>247</v>
      </c>
      <c r="I151">
        <v>357</v>
      </c>
      <c r="J151" s="29"/>
      <c r="K151" s="6"/>
      <c r="P151" s="6"/>
      <c r="U151" s="6"/>
      <c r="AE151" s="6">
        <v>27</v>
      </c>
      <c r="AF151">
        <v>217</v>
      </c>
      <c r="AG151">
        <v>407</v>
      </c>
      <c r="AH151">
        <v>597</v>
      </c>
      <c r="AJ151" s="6"/>
      <c r="AO151" s="6"/>
      <c r="AS151">
        <v>90</v>
      </c>
      <c r="AT151" t="s">
        <v>214</v>
      </c>
      <c r="AU151" t="s">
        <v>214</v>
      </c>
    </row>
    <row r="152" spans="1:47" x14ac:dyDescent="0.25">
      <c r="A152" s="63" t="s">
        <v>171</v>
      </c>
      <c r="B152" s="63" t="s">
        <v>50</v>
      </c>
      <c r="C152" s="63" t="s">
        <v>171</v>
      </c>
      <c r="D152" s="10" t="s">
        <v>22</v>
      </c>
      <c r="E152" s="62" t="str">
        <f t="shared" si="2"/>
        <v>BulldromeExhaust</v>
      </c>
      <c r="F152">
        <v>225</v>
      </c>
      <c r="G152">
        <v>300</v>
      </c>
      <c r="H152">
        <v>375</v>
      </c>
      <c r="I152">
        <v>450</v>
      </c>
      <c r="J152" s="29"/>
      <c r="K152" s="6"/>
      <c r="P152" s="6"/>
      <c r="U152" s="6"/>
      <c r="AE152" s="6">
        <v>270</v>
      </c>
      <c r="AF152">
        <v>360</v>
      </c>
      <c r="AG152">
        <v>450</v>
      </c>
      <c r="AH152">
        <v>540</v>
      </c>
      <c r="AJ152" s="6"/>
      <c r="AO152" s="6"/>
      <c r="AS152"/>
      <c r="AT152" t="s">
        <v>214</v>
      </c>
      <c r="AU152" t="s">
        <v>214</v>
      </c>
    </row>
    <row r="153" spans="1:47" x14ac:dyDescent="0.25">
      <c r="A153" s="63" t="s">
        <v>171</v>
      </c>
      <c r="B153" s="63" t="s">
        <v>50</v>
      </c>
      <c r="C153" s="63" t="s">
        <v>171</v>
      </c>
      <c r="D153" s="30" t="s">
        <v>35</v>
      </c>
      <c r="E153" s="62" t="str">
        <f t="shared" si="2"/>
        <v>BulldromeBlast</v>
      </c>
      <c r="F153">
        <v>70</v>
      </c>
      <c r="G153">
        <v>103</v>
      </c>
      <c r="H153">
        <v>136</v>
      </c>
      <c r="I153">
        <v>169</v>
      </c>
      <c r="K153" s="6"/>
      <c r="P153" s="6"/>
      <c r="R153" s="6"/>
      <c r="U153" s="6"/>
      <c r="AB153" s="6"/>
      <c r="AE153" s="6">
        <v>70</v>
      </c>
      <c r="AF153">
        <v>127</v>
      </c>
      <c r="AG153" s="6">
        <v>184</v>
      </c>
      <c r="AH153">
        <v>241</v>
      </c>
      <c r="AJ153" s="6"/>
      <c r="AO153" s="6"/>
      <c r="AS153"/>
      <c r="AT153" t="s">
        <v>214</v>
      </c>
      <c r="AU153" t="s">
        <v>214</v>
      </c>
    </row>
    <row r="154" spans="1:47" x14ac:dyDescent="0.25">
      <c r="A154" s="63" t="s">
        <v>171</v>
      </c>
      <c r="B154" s="63" t="s">
        <v>50</v>
      </c>
      <c r="C154" s="63" t="s">
        <v>171</v>
      </c>
      <c r="D154" s="34" t="s">
        <v>14</v>
      </c>
      <c r="E154" s="62" t="str">
        <f t="shared" si="2"/>
        <v>BulldromeKO</v>
      </c>
      <c r="F154">
        <v>30</v>
      </c>
      <c r="G154">
        <v>325</v>
      </c>
      <c r="H154">
        <v>520</v>
      </c>
      <c r="I154">
        <v>520</v>
      </c>
      <c r="J154" s="29"/>
      <c r="K154" s="6"/>
      <c r="P154" s="6"/>
      <c r="U154" s="6"/>
      <c r="AE154" s="6">
        <v>140</v>
      </c>
      <c r="AF154">
        <v>334</v>
      </c>
      <c r="AG154">
        <v>528</v>
      </c>
      <c r="AH154">
        <v>722</v>
      </c>
      <c r="AJ154" s="6"/>
      <c r="AO154" s="6"/>
      <c r="AS154">
        <v>10</v>
      </c>
      <c r="AT154" t="s">
        <v>214</v>
      </c>
      <c r="AU154" t="s">
        <v>214</v>
      </c>
    </row>
    <row r="155" spans="1:47" x14ac:dyDescent="0.25">
      <c r="A155" s="63" t="s">
        <v>171</v>
      </c>
      <c r="B155" s="63" t="s">
        <v>50</v>
      </c>
      <c r="C155" s="63" t="s">
        <v>171</v>
      </c>
      <c r="D155" s="33" t="s">
        <v>34</v>
      </c>
      <c r="E155" s="62" t="str">
        <f t="shared" si="2"/>
        <v>BulldromeMount</v>
      </c>
      <c r="F155">
        <v>80</v>
      </c>
      <c r="G155">
        <v>176</v>
      </c>
      <c r="H155">
        <v>272</v>
      </c>
      <c r="I155">
        <v>368</v>
      </c>
      <c r="K155" s="6"/>
      <c r="P155" s="6"/>
      <c r="R155" s="6"/>
      <c r="U155" s="6"/>
      <c r="AE155" s="6">
        <v>85</v>
      </c>
      <c r="AF155">
        <v>187</v>
      </c>
      <c r="AG155">
        <v>289</v>
      </c>
      <c r="AH155">
        <v>391</v>
      </c>
      <c r="AJ155" s="6"/>
      <c r="AO155" s="6"/>
      <c r="AS155"/>
      <c r="AT155" t="s">
        <v>214</v>
      </c>
      <c r="AU155" t="s">
        <v>214</v>
      </c>
    </row>
    <row r="156" spans="1:47" x14ac:dyDescent="0.25">
      <c r="A156" s="63" t="s">
        <v>171</v>
      </c>
      <c r="B156" s="63" t="s">
        <v>50</v>
      </c>
      <c r="C156" s="63" t="s">
        <v>171</v>
      </c>
      <c r="D156" s="77" t="s">
        <v>207</v>
      </c>
      <c r="E156" s="62" t="str">
        <f t="shared" si="2"/>
        <v>BulldromeShock Trap</v>
      </c>
      <c r="K156" s="6"/>
      <c r="P156" s="6"/>
      <c r="U156" s="6"/>
      <c r="AE156" s="6"/>
      <c r="AJ156" s="6"/>
      <c r="AO156" s="6"/>
      <c r="AS156">
        <v>15</v>
      </c>
      <c r="AT156">
        <v>25</v>
      </c>
      <c r="AU156">
        <v>15</v>
      </c>
    </row>
    <row r="157" spans="1:47" s="56" customFormat="1" x14ac:dyDescent="0.25">
      <c r="A157" s="63" t="s">
        <v>171</v>
      </c>
      <c r="B157" s="63" t="s">
        <v>50</v>
      </c>
      <c r="C157" s="63" t="s">
        <v>171</v>
      </c>
      <c r="D157" s="79" t="s">
        <v>213</v>
      </c>
      <c r="E157" s="62" t="str">
        <f t="shared" si="2"/>
        <v>BulldromePitfall Trap</v>
      </c>
      <c r="K157" s="7"/>
      <c r="P157" s="7"/>
      <c r="U157" s="7"/>
      <c r="Z157" s="7"/>
      <c r="AE157" s="7"/>
      <c r="AJ157" s="7"/>
      <c r="AO157" s="7"/>
      <c r="AS157" s="56">
        <v>15</v>
      </c>
      <c r="AT157" s="56">
        <v>25</v>
      </c>
      <c r="AU157" s="56">
        <v>15</v>
      </c>
    </row>
    <row r="158" spans="1:47" s="36" customFormat="1" x14ac:dyDescent="0.25">
      <c r="A158" s="63" t="s">
        <v>91</v>
      </c>
      <c r="B158" s="63" t="s">
        <v>51</v>
      </c>
      <c r="C158" s="63" t="s">
        <v>91</v>
      </c>
      <c r="D158" s="37" t="s">
        <v>0</v>
      </c>
      <c r="E158" s="62" t="str">
        <f t="shared" si="2"/>
        <v>CephadromePara</v>
      </c>
      <c r="F158" s="36">
        <v>150</v>
      </c>
      <c r="G158" s="36">
        <v>260</v>
      </c>
      <c r="H158" s="36">
        <v>370</v>
      </c>
      <c r="I158" s="36">
        <v>480</v>
      </c>
      <c r="J158" s="61"/>
      <c r="K158" s="50">
        <v>150</v>
      </c>
      <c r="L158" s="36">
        <v>270</v>
      </c>
      <c r="M158" s="36">
        <v>390</v>
      </c>
      <c r="N158" s="36">
        <v>510</v>
      </c>
      <c r="P158" s="6"/>
      <c r="Q158" s="46"/>
      <c r="R158" s="46"/>
      <c r="S158" s="46"/>
      <c r="U158" s="50"/>
      <c r="Z158" s="6"/>
      <c r="AA158" s="46"/>
      <c r="AB158" s="46"/>
      <c r="AC158" s="46"/>
      <c r="AE158" s="50">
        <v>150</v>
      </c>
      <c r="AF158" s="36">
        <v>340</v>
      </c>
      <c r="AG158" s="36">
        <v>530</v>
      </c>
      <c r="AH158" s="36">
        <v>720</v>
      </c>
      <c r="AJ158" s="6"/>
      <c r="AK158" s="46"/>
      <c r="AL158" s="46"/>
      <c r="AM158" s="46"/>
      <c r="AO158" s="50"/>
      <c r="AS158" s="36">
        <v>10</v>
      </c>
      <c r="AT158" s="36" t="s">
        <v>214</v>
      </c>
      <c r="AU158" s="36" t="s">
        <v>214</v>
      </c>
    </row>
    <row r="159" spans="1:47" x14ac:dyDescent="0.25">
      <c r="A159" s="63" t="s">
        <v>91</v>
      </c>
      <c r="B159" s="63" t="s">
        <v>51</v>
      </c>
      <c r="C159" s="63" t="s">
        <v>91</v>
      </c>
      <c r="D159" s="31" t="s">
        <v>32</v>
      </c>
      <c r="E159" s="62" t="str">
        <f t="shared" si="2"/>
        <v>CephadromeSleep</v>
      </c>
      <c r="F159">
        <v>110</v>
      </c>
      <c r="G159">
        <v>220</v>
      </c>
      <c r="H159">
        <v>330</v>
      </c>
      <c r="I159">
        <v>440</v>
      </c>
      <c r="K159" s="6">
        <v>110</v>
      </c>
      <c r="L159">
        <v>230</v>
      </c>
      <c r="M159">
        <v>350</v>
      </c>
      <c r="N159">
        <v>470</v>
      </c>
      <c r="P159" s="6"/>
      <c r="U159" s="6"/>
      <c r="AE159" s="6">
        <v>110</v>
      </c>
      <c r="AF159">
        <v>300</v>
      </c>
      <c r="AG159">
        <v>490</v>
      </c>
      <c r="AH159">
        <v>680</v>
      </c>
      <c r="AJ159" s="6"/>
      <c r="AO159" s="6"/>
      <c r="AS159">
        <v>40</v>
      </c>
      <c r="AT159" t="s">
        <v>214</v>
      </c>
      <c r="AU159" t="s">
        <v>214</v>
      </c>
    </row>
    <row r="160" spans="1:47" x14ac:dyDescent="0.25">
      <c r="A160" s="63" t="s">
        <v>91</v>
      </c>
      <c r="B160" s="63" t="s">
        <v>51</v>
      </c>
      <c r="C160" s="63" t="s">
        <v>91</v>
      </c>
      <c r="D160" s="32" t="s">
        <v>33</v>
      </c>
      <c r="E160" s="62" t="str">
        <f t="shared" si="2"/>
        <v>CephadromePoison</v>
      </c>
      <c r="F160">
        <v>100</v>
      </c>
      <c r="G160">
        <v>210</v>
      </c>
      <c r="H160">
        <v>320</v>
      </c>
      <c r="I160">
        <v>430</v>
      </c>
      <c r="J160" s="29"/>
      <c r="K160" s="6">
        <v>110</v>
      </c>
      <c r="L160">
        <v>230</v>
      </c>
      <c r="M160">
        <v>350</v>
      </c>
      <c r="N160">
        <v>470</v>
      </c>
      <c r="P160" s="6"/>
      <c r="U160" s="6"/>
      <c r="AE160" s="6">
        <v>100</v>
      </c>
      <c r="AF160">
        <v>290</v>
      </c>
      <c r="AG160">
        <v>480</v>
      </c>
      <c r="AH160">
        <v>670</v>
      </c>
      <c r="AJ160" s="6"/>
      <c r="AO160" s="6"/>
      <c r="AS160">
        <v>30</v>
      </c>
      <c r="AT160" t="s">
        <v>214</v>
      </c>
      <c r="AU160" t="s">
        <v>214</v>
      </c>
    </row>
    <row r="161" spans="1:47" x14ac:dyDescent="0.25">
      <c r="A161" s="63" t="s">
        <v>91</v>
      </c>
      <c r="B161" s="63" t="s">
        <v>51</v>
      </c>
      <c r="C161" s="63" t="s">
        <v>91</v>
      </c>
      <c r="D161" s="10" t="s">
        <v>22</v>
      </c>
      <c r="E161" s="62" t="str">
        <f t="shared" si="2"/>
        <v>CephadromeExhaust</v>
      </c>
      <c r="F161">
        <v>300</v>
      </c>
      <c r="G161">
        <v>450</v>
      </c>
      <c r="H161">
        <v>600</v>
      </c>
      <c r="I161">
        <v>750</v>
      </c>
      <c r="J161" s="29"/>
      <c r="K161" s="6">
        <v>300</v>
      </c>
      <c r="L161">
        <v>450</v>
      </c>
      <c r="M161">
        <v>600</v>
      </c>
      <c r="N161">
        <v>750</v>
      </c>
      <c r="P161" s="6"/>
      <c r="U161" s="6"/>
      <c r="AE161" s="6">
        <v>360</v>
      </c>
      <c r="AF161">
        <v>470</v>
      </c>
      <c r="AG161">
        <v>580</v>
      </c>
      <c r="AH161">
        <v>690</v>
      </c>
      <c r="AJ161" s="6"/>
      <c r="AO161" s="6"/>
      <c r="AS161"/>
      <c r="AT161" t="s">
        <v>214</v>
      </c>
      <c r="AU161" t="s">
        <v>214</v>
      </c>
    </row>
    <row r="162" spans="1:47" x14ac:dyDescent="0.25">
      <c r="A162" s="63" t="s">
        <v>91</v>
      </c>
      <c r="B162" s="63" t="s">
        <v>51</v>
      </c>
      <c r="C162" s="63" t="s">
        <v>91</v>
      </c>
      <c r="D162" s="30" t="s">
        <v>35</v>
      </c>
      <c r="E162" s="62" t="str">
        <f t="shared" si="2"/>
        <v>CephadromeBlast</v>
      </c>
      <c r="F162">
        <v>70</v>
      </c>
      <c r="G162">
        <v>103</v>
      </c>
      <c r="H162">
        <v>136</v>
      </c>
      <c r="I162">
        <v>169</v>
      </c>
      <c r="K162" s="6">
        <v>70</v>
      </c>
      <c r="L162">
        <v>103</v>
      </c>
      <c r="M162">
        <v>136</v>
      </c>
      <c r="N162">
        <v>169</v>
      </c>
      <c r="P162" s="6"/>
      <c r="R162" s="6"/>
      <c r="U162" s="6"/>
      <c r="AB162" s="6"/>
      <c r="AE162" s="6">
        <v>70</v>
      </c>
      <c r="AF162">
        <v>127</v>
      </c>
      <c r="AG162" s="6">
        <v>184</v>
      </c>
      <c r="AH162">
        <v>241</v>
      </c>
      <c r="AJ162" s="6"/>
      <c r="AO162" s="6"/>
      <c r="AS162"/>
      <c r="AT162" t="s">
        <v>214</v>
      </c>
      <c r="AU162" t="s">
        <v>214</v>
      </c>
    </row>
    <row r="163" spans="1:47" x14ac:dyDescent="0.25">
      <c r="A163" s="63" t="s">
        <v>91</v>
      </c>
      <c r="B163" s="63" t="s">
        <v>51</v>
      </c>
      <c r="C163" s="63" t="s">
        <v>91</v>
      </c>
      <c r="D163" s="34" t="s">
        <v>14</v>
      </c>
      <c r="E163" s="62" t="str">
        <f t="shared" si="2"/>
        <v>CephadromeKO</v>
      </c>
      <c r="F163">
        <v>130</v>
      </c>
      <c r="G163">
        <v>260</v>
      </c>
      <c r="H163">
        <v>390</v>
      </c>
      <c r="I163">
        <v>520</v>
      </c>
      <c r="J163" s="29"/>
      <c r="K163" s="6">
        <v>130</v>
      </c>
      <c r="L163">
        <v>260</v>
      </c>
      <c r="M163">
        <v>390</v>
      </c>
      <c r="N163">
        <v>520</v>
      </c>
      <c r="P163" s="6"/>
      <c r="U163" s="6"/>
      <c r="AE163" s="6">
        <v>140</v>
      </c>
      <c r="AF163">
        <v>280</v>
      </c>
      <c r="AG163">
        <v>420</v>
      </c>
      <c r="AH163">
        <v>560</v>
      </c>
      <c r="AJ163" s="6"/>
      <c r="AO163" s="6"/>
      <c r="AS163">
        <v>10</v>
      </c>
      <c r="AT163" t="s">
        <v>214</v>
      </c>
      <c r="AU163" t="s">
        <v>214</v>
      </c>
    </row>
    <row r="164" spans="1:47" x14ac:dyDescent="0.25">
      <c r="A164" s="63" t="s">
        <v>91</v>
      </c>
      <c r="B164" s="63" t="s">
        <v>51</v>
      </c>
      <c r="C164" s="63" t="s">
        <v>91</v>
      </c>
      <c r="D164" s="33" t="s">
        <v>34</v>
      </c>
      <c r="E164" s="62" t="str">
        <f t="shared" si="2"/>
        <v>CephadromeMount</v>
      </c>
      <c r="F164">
        <v>96</v>
      </c>
      <c r="G164">
        <v>256</v>
      </c>
      <c r="H164">
        <v>416</v>
      </c>
      <c r="I164">
        <v>576</v>
      </c>
      <c r="K164" s="6">
        <v>96</v>
      </c>
      <c r="L164">
        <v>256</v>
      </c>
      <c r="M164">
        <v>416</v>
      </c>
      <c r="N164">
        <v>576</v>
      </c>
      <c r="P164" s="6"/>
      <c r="R164" s="6"/>
      <c r="U164" s="6"/>
      <c r="AE164" s="6">
        <v>102</v>
      </c>
      <c r="AF164">
        <v>272</v>
      </c>
      <c r="AG164">
        <v>442</v>
      </c>
      <c r="AH164">
        <v>612</v>
      </c>
      <c r="AJ164" s="6"/>
      <c r="AO164" s="6"/>
      <c r="AS164"/>
      <c r="AT164" t="s">
        <v>214</v>
      </c>
      <c r="AU164" t="s">
        <v>214</v>
      </c>
    </row>
    <row r="165" spans="1:47" x14ac:dyDescent="0.25">
      <c r="A165" s="63" t="s">
        <v>91</v>
      </c>
      <c r="B165" s="63" t="s">
        <v>51</v>
      </c>
      <c r="C165" s="63" t="s">
        <v>91</v>
      </c>
      <c r="D165" s="77" t="s">
        <v>207</v>
      </c>
      <c r="E165" s="62" t="str">
        <f t="shared" si="2"/>
        <v>CephadromeShock Trap</v>
      </c>
      <c r="K165" s="6"/>
      <c r="P165" s="6"/>
      <c r="U165" s="6"/>
      <c r="AE165" s="6"/>
      <c r="AJ165" s="6"/>
      <c r="AO165" s="6"/>
      <c r="AS165">
        <v>8</v>
      </c>
      <c r="AT165">
        <v>15</v>
      </c>
      <c r="AU165">
        <v>10</v>
      </c>
    </row>
    <row r="166" spans="1:47" s="56" customFormat="1" x14ac:dyDescent="0.25">
      <c r="A166" s="63" t="s">
        <v>91</v>
      </c>
      <c r="B166" s="63" t="s">
        <v>51</v>
      </c>
      <c r="C166" s="63" t="s">
        <v>91</v>
      </c>
      <c r="D166" s="79" t="s">
        <v>213</v>
      </c>
      <c r="E166" s="62" t="str">
        <f t="shared" si="2"/>
        <v>CephadromePitfall Trap</v>
      </c>
      <c r="K166" s="7"/>
      <c r="P166" s="7"/>
      <c r="U166" s="7"/>
      <c r="Z166" s="7"/>
      <c r="AE166" s="7"/>
      <c r="AJ166" s="7"/>
      <c r="AO166" s="7"/>
      <c r="AS166" s="56">
        <v>10</v>
      </c>
      <c r="AT166" s="56">
        <v>20</v>
      </c>
      <c r="AU166" s="56">
        <v>10</v>
      </c>
    </row>
    <row r="167" spans="1:47" s="36" customFormat="1" x14ac:dyDescent="0.25">
      <c r="A167" s="63" t="s">
        <v>91</v>
      </c>
      <c r="B167" s="63" t="s">
        <v>87</v>
      </c>
      <c r="C167" s="63" t="s">
        <v>91</v>
      </c>
      <c r="D167" s="37" t="s">
        <v>0</v>
      </c>
      <c r="E167" s="62" t="str">
        <f t="shared" si="2"/>
        <v>ChamelosPara</v>
      </c>
      <c r="F167" s="36">
        <v>110</v>
      </c>
      <c r="G167" s="36">
        <v>338</v>
      </c>
      <c r="H167" s="36">
        <v>566</v>
      </c>
      <c r="I167" s="36">
        <v>794</v>
      </c>
      <c r="J167" s="61"/>
      <c r="K167" s="50"/>
      <c r="P167" s="6"/>
      <c r="Q167" s="46"/>
      <c r="R167" s="46"/>
      <c r="S167" s="46"/>
      <c r="U167" s="50"/>
      <c r="Z167" s="6">
        <v>110</v>
      </c>
      <c r="AA167" s="46">
        <v>386</v>
      </c>
      <c r="AB167" s="46">
        <v>662</v>
      </c>
      <c r="AC167" s="46">
        <v>938</v>
      </c>
      <c r="AD167" s="36">
        <v>5</v>
      </c>
      <c r="AE167" s="50"/>
      <c r="AJ167" s="6"/>
      <c r="AK167" s="46"/>
      <c r="AL167" s="46"/>
      <c r="AM167" s="46"/>
      <c r="AO167" s="50"/>
      <c r="AS167" s="36">
        <v>5</v>
      </c>
      <c r="AT167" s="36" t="s">
        <v>214</v>
      </c>
      <c r="AU167" s="36" t="s">
        <v>214</v>
      </c>
    </row>
    <row r="168" spans="1:47" x14ac:dyDescent="0.25">
      <c r="A168" s="63" t="s">
        <v>91</v>
      </c>
      <c r="B168" s="63" t="s">
        <v>87</v>
      </c>
      <c r="C168" s="63" t="s">
        <v>91</v>
      </c>
      <c r="D168" s="31" t="s">
        <v>32</v>
      </c>
      <c r="E168" s="62" t="str">
        <f t="shared" si="2"/>
        <v>ChamelosSleep</v>
      </c>
      <c r="F168">
        <v>150</v>
      </c>
      <c r="G168">
        <v>292</v>
      </c>
      <c r="H168">
        <v>434</v>
      </c>
      <c r="I168">
        <v>576</v>
      </c>
      <c r="K168" s="6"/>
      <c r="P168" s="6"/>
      <c r="U168" s="6"/>
      <c r="Z168" s="6">
        <v>150</v>
      </c>
      <c r="AA168">
        <v>322</v>
      </c>
      <c r="AB168">
        <v>494</v>
      </c>
      <c r="AC168">
        <v>666</v>
      </c>
      <c r="AE168" s="6"/>
      <c r="AJ168" s="6"/>
      <c r="AO168" s="6"/>
      <c r="AS168">
        <v>30</v>
      </c>
      <c r="AT168" t="s">
        <v>214</v>
      </c>
      <c r="AU168" t="s">
        <v>214</v>
      </c>
    </row>
    <row r="169" spans="1:47" x14ac:dyDescent="0.25">
      <c r="A169" s="63" t="s">
        <v>91</v>
      </c>
      <c r="B169" s="63" t="s">
        <v>87</v>
      </c>
      <c r="C169" s="63" t="s">
        <v>91</v>
      </c>
      <c r="D169" s="32" t="s">
        <v>33</v>
      </c>
      <c r="E169" s="62" t="str">
        <f t="shared" si="2"/>
        <v>ChamelosPoison</v>
      </c>
      <c r="F169">
        <v>200</v>
      </c>
      <c r="G169">
        <v>342</v>
      </c>
      <c r="H169">
        <v>484</v>
      </c>
      <c r="I169">
        <v>626</v>
      </c>
      <c r="J169" s="29"/>
      <c r="K169" s="6"/>
      <c r="P169" s="6"/>
      <c r="U169" s="6"/>
      <c r="Z169" s="6">
        <v>200</v>
      </c>
      <c r="AA169">
        <v>372</v>
      </c>
      <c r="AB169">
        <v>544</v>
      </c>
      <c r="AC169">
        <v>716</v>
      </c>
      <c r="AE169" s="6"/>
      <c r="AJ169" s="6"/>
      <c r="AO169" s="6"/>
      <c r="AS169">
        <v>60</v>
      </c>
      <c r="AT169" t="s">
        <v>214</v>
      </c>
      <c r="AU169" t="s">
        <v>214</v>
      </c>
    </row>
    <row r="170" spans="1:47" x14ac:dyDescent="0.25">
      <c r="A170" s="63" t="s">
        <v>91</v>
      </c>
      <c r="B170" s="63" t="s">
        <v>87</v>
      </c>
      <c r="C170" s="63" t="s">
        <v>91</v>
      </c>
      <c r="D170" s="10" t="s">
        <v>22</v>
      </c>
      <c r="E170" s="62" t="str">
        <f t="shared" si="2"/>
        <v>ChamelosExhaust</v>
      </c>
      <c r="F170">
        <v>0</v>
      </c>
      <c r="G170">
        <v>0</v>
      </c>
      <c r="H170">
        <v>0</v>
      </c>
      <c r="I170">
        <v>0</v>
      </c>
      <c r="J170" s="29"/>
      <c r="K170" s="6"/>
      <c r="P170" s="6"/>
      <c r="U170" s="6"/>
      <c r="Z170" s="6">
        <v>0</v>
      </c>
      <c r="AA170">
        <v>0</v>
      </c>
      <c r="AB170">
        <v>0</v>
      </c>
      <c r="AC170">
        <v>0</v>
      </c>
      <c r="AE170" s="6"/>
      <c r="AJ170" s="6"/>
      <c r="AO170" s="6"/>
      <c r="AS170"/>
      <c r="AT170" t="s">
        <v>214</v>
      </c>
      <c r="AU170" t="s">
        <v>214</v>
      </c>
    </row>
    <row r="171" spans="1:47" x14ac:dyDescent="0.25">
      <c r="A171" s="63" t="s">
        <v>91</v>
      </c>
      <c r="B171" s="63" t="s">
        <v>87</v>
      </c>
      <c r="C171" s="63" t="s">
        <v>91</v>
      </c>
      <c r="D171" s="30" t="s">
        <v>35</v>
      </c>
      <c r="E171" s="62" t="str">
        <f t="shared" si="2"/>
        <v>ChamelosBlast</v>
      </c>
      <c r="F171">
        <v>70</v>
      </c>
      <c r="G171">
        <v>127</v>
      </c>
      <c r="H171">
        <v>184</v>
      </c>
      <c r="I171">
        <v>241</v>
      </c>
      <c r="K171" s="6"/>
      <c r="P171" s="6"/>
      <c r="R171" s="6"/>
      <c r="U171" s="6"/>
      <c r="Z171" s="6">
        <v>70</v>
      </c>
      <c r="AA171">
        <v>139</v>
      </c>
      <c r="AB171" s="6">
        <v>208</v>
      </c>
      <c r="AC171">
        <v>277</v>
      </c>
      <c r="AE171" s="6"/>
      <c r="AG171" s="6"/>
      <c r="AJ171" s="6"/>
      <c r="AO171" s="6"/>
      <c r="AS171"/>
      <c r="AT171" t="s">
        <v>214</v>
      </c>
      <c r="AU171" t="s">
        <v>214</v>
      </c>
    </row>
    <row r="172" spans="1:47" x14ac:dyDescent="0.25">
      <c r="A172" s="63" t="s">
        <v>91</v>
      </c>
      <c r="B172" s="63" t="s">
        <v>87</v>
      </c>
      <c r="C172" s="63" t="s">
        <v>91</v>
      </c>
      <c r="D172" s="34" t="s">
        <v>14</v>
      </c>
      <c r="E172" s="62" t="str">
        <f t="shared" si="2"/>
        <v>ChamelosKO</v>
      </c>
      <c r="F172">
        <v>280</v>
      </c>
      <c r="G172">
        <v>385</v>
      </c>
      <c r="H172">
        <v>490</v>
      </c>
      <c r="I172">
        <v>595</v>
      </c>
      <c r="J172" s="29"/>
      <c r="K172" s="6"/>
      <c r="P172" s="6"/>
      <c r="U172" s="6"/>
      <c r="Z172" s="6">
        <v>320</v>
      </c>
      <c r="AA172">
        <v>440</v>
      </c>
      <c r="AB172">
        <v>560</v>
      </c>
      <c r="AC172">
        <v>680</v>
      </c>
      <c r="AE172" s="6"/>
      <c r="AJ172" s="6"/>
      <c r="AO172" s="6"/>
      <c r="AS172">
        <v>10</v>
      </c>
      <c r="AT172" t="s">
        <v>214</v>
      </c>
      <c r="AU172" t="s">
        <v>214</v>
      </c>
    </row>
    <row r="173" spans="1:47" x14ac:dyDescent="0.25">
      <c r="A173" s="63" t="s">
        <v>91</v>
      </c>
      <c r="B173" s="63" t="s">
        <v>87</v>
      </c>
      <c r="C173" s="63" t="s">
        <v>91</v>
      </c>
      <c r="D173" s="33" t="s">
        <v>34</v>
      </c>
      <c r="E173" s="62" t="str">
        <f t="shared" si="2"/>
        <v>ChamelosMount</v>
      </c>
      <c r="F173">
        <v>102</v>
      </c>
      <c r="G173">
        <v>306</v>
      </c>
      <c r="H173">
        <v>510</v>
      </c>
      <c r="I173">
        <v>714</v>
      </c>
      <c r="K173" s="6"/>
      <c r="P173" s="6"/>
      <c r="R173" s="6"/>
      <c r="U173" s="6"/>
      <c r="Z173" s="6">
        <v>120</v>
      </c>
      <c r="AA173">
        <v>360</v>
      </c>
      <c r="AB173">
        <v>600</v>
      </c>
      <c r="AC173">
        <v>840</v>
      </c>
      <c r="AE173" s="6"/>
      <c r="AJ173" s="6"/>
      <c r="AO173" s="6"/>
      <c r="AS173"/>
      <c r="AT173" t="s">
        <v>214</v>
      </c>
      <c r="AU173" t="s">
        <v>214</v>
      </c>
    </row>
    <row r="174" spans="1:47" x14ac:dyDescent="0.25">
      <c r="A174" s="63" t="s">
        <v>91</v>
      </c>
      <c r="B174" s="63" t="s">
        <v>87</v>
      </c>
      <c r="C174" s="63" t="s">
        <v>91</v>
      </c>
      <c r="D174" s="77" t="s">
        <v>207</v>
      </c>
      <c r="E174" s="62" t="str">
        <f t="shared" si="2"/>
        <v>ChamelosShock Trap</v>
      </c>
      <c r="K174" s="6"/>
      <c r="P174" s="6"/>
      <c r="U174" s="6"/>
      <c r="AE174" s="6"/>
      <c r="AJ174" s="6"/>
      <c r="AO174" s="6"/>
      <c r="AS174">
        <v>0</v>
      </c>
      <c r="AT174">
        <v>0</v>
      </c>
      <c r="AU174">
        <v>0</v>
      </c>
    </row>
    <row r="175" spans="1:47" s="56" customFormat="1" x14ac:dyDescent="0.25">
      <c r="A175" s="63" t="s">
        <v>91</v>
      </c>
      <c r="B175" s="63" t="s">
        <v>87</v>
      </c>
      <c r="C175" s="63" t="s">
        <v>91</v>
      </c>
      <c r="D175" s="79" t="s">
        <v>213</v>
      </c>
      <c r="E175" s="62" t="str">
        <f t="shared" si="2"/>
        <v>ChamelosPitfall Trap</v>
      </c>
      <c r="K175" s="7"/>
      <c r="P175" s="7"/>
      <c r="U175" s="7"/>
      <c r="Z175" s="7"/>
      <c r="AE175" s="7"/>
      <c r="AJ175" s="7"/>
      <c r="AO175" s="7"/>
      <c r="AS175" s="56">
        <v>0</v>
      </c>
      <c r="AT175" s="56">
        <v>0</v>
      </c>
      <c r="AU175" s="56">
        <v>0</v>
      </c>
    </row>
    <row r="176" spans="1:47" s="36" customFormat="1" x14ac:dyDescent="0.25">
      <c r="A176" s="63" t="s">
        <v>184</v>
      </c>
      <c r="B176" s="63" t="s">
        <v>177</v>
      </c>
      <c r="C176" s="63" t="s">
        <v>184</v>
      </c>
      <c r="D176" s="37" t="s">
        <v>0</v>
      </c>
      <c r="E176" s="62" t="str">
        <f t="shared" si="2"/>
        <v>CongalalaPara</v>
      </c>
      <c r="F176" s="36">
        <v>200</v>
      </c>
      <c r="G176" s="36">
        <v>350</v>
      </c>
      <c r="H176" s="36">
        <v>500</v>
      </c>
      <c r="I176" s="36">
        <v>650</v>
      </c>
      <c r="J176" s="61"/>
      <c r="K176" s="50"/>
      <c r="P176" s="6"/>
      <c r="Q176" s="46"/>
      <c r="R176" s="46"/>
      <c r="S176" s="46"/>
      <c r="U176" s="50"/>
      <c r="Z176" s="6">
        <v>200</v>
      </c>
      <c r="AA176" s="46">
        <v>450</v>
      </c>
      <c r="AB176" s="46">
        <v>700</v>
      </c>
      <c r="AC176" s="46">
        <v>950</v>
      </c>
      <c r="AE176" s="50">
        <v>200</v>
      </c>
      <c r="AF176" s="36">
        <v>450</v>
      </c>
      <c r="AG176" s="36">
        <v>700</v>
      </c>
      <c r="AH176" s="36">
        <v>950</v>
      </c>
      <c r="AJ176" s="6">
        <v>200</v>
      </c>
      <c r="AK176" s="46">
        <v>525</v>
      </c>
      <c r="AL176" s="46">
        <v>850</v>
      </c>
      <c r="AM176" s="46">
        <v>1175</v>
      </c>
      <c r="AO176" s="50"/>
      <c r="AS176" s="36">
        <v>10</v>
      </c>
      <c r="AT176" s="36" t="s">
        <v>214</v>
      </c>
      <c r="AU176" s="36" t="s">
        <v>214</v>
      </c>
    </row>
    <row r="177" spans="1:47" x14ac:dyDescent="0.25">
      <c r="A177" s="63" t="s">
        <v>184</v>
      </c>
      <c r="B177" s="63" t="s">
        <v>177</v>
      </c>
      <c r="C177" s="63" t="s">
        <v>184</v>
      </c>
      <c r="D177" s="31" t="s">
        <v>32</v>
      </c>
      <c r="E177" s="62" t="str">
        <f t="shared" si="2"/>
        <v>CongalalaSleep</v>
      </c>
      <c r="F177">
        <v>200</v>
      </c>
      <c r="G177">
        <v>320</v>
      </c>
      <c r="H177">
        <v>440</v>
      </c>
      <c r="I177">
        <v>560</v>
      </c>
      <c r="K177" s="6"/>
      <c r="P177" s="6"/>
      <c r="U177" s="6"/>
      <c r="Z177" s="6">
        <v>200</v>
      </c>
      <c r="AA177">
        <v>400</v>
      </c>
      <c r="AB177">
        <v>600</v>
      </c>
      <c r="AC177">
        <v>800</v>
      </c>
      <c r="AE177" s="6">
        <v>200</v>
      </c>
      <c r="AF177">
        <v>400</v>
      </c>
      <c r="AG177">
        <v>600</v>
      </c>
      <c r="AH177">
        <v>800</v>
      </c>
      <c r="AJ177" s="6">
        <v>200</v>
      </c>
      <c r="AK177">
        <v>460</v>
      </c>
      <c r="AL177">
        <v>720</v>
      </c>
      <c r="AM177">
        <v>980</v>
      </c>
      <c r="AO177" s="6"/>
      <c r="AS177">
        <v>40</v>
      </c>
      <c r="AT177" t="s">
        <v>214</v>
      </c>
      <c r="AU177" t="s">
        <v>214</v>
      </c>
    </row>
    <row r="178" spans="1:47" x14ac:dyDescent="0.25">
      <c r="A178" s="63" t="s">
        <v>184</v>
      </c>
      <c r="B178" s="63" t="s">
        <v>177</v>
      </c>
      <c r="C178" s="63" t="s">
        <v>184</v>
      </c>
      <c r="D178" s="32" t="s">
        <v>33</v>
      </c>
      <c r="E178" s="62" t="str">
        <f t="shared" si="2"/>
        <v>CongalalaPoison</v>
      </c>
      <c r="F178">
        <v>200</v>
      </c>
      <c r="G178">
        <v>290</v>
      </c>
      <c r="H178">
        <v>380</v>
      </c>
      <c r="I178">
        <v>470</v>
      </c>
      <c r="J178" s="29"/>
      <c r="K178" s="6"/>
      <c r="P178" s="6"/>
      <c r="U178" s="6"/>
      <c r="Z178" s="6">
        <v>200</v>
      </c>
      <c r="AA178">
        <v>350</v>
      </c>
      <c r="AB178">
        <v>500</v>
      </c>
      <c r="AC178">
        <v>650</v>
      </c>
      <c r="AE178" s="6">
        <v>200</v>
      </c>
      <c r="AF178">
        <v>350</v>
      </c>
      <c r="AG178">
        <v>500</v>
      </c>
      <c r="AH178">
        <v>650</v>
      </c>
      <c r="AJ178" s="6">
        <v>200</v>
      </c>
      <c r="AK178">
        <v>395</v>
      </c>
      <c r="AL178">
        <v>590</v>
      </c>
      <c r="AM178">
        <v>785</v>
      </c>
      <c r="AO178" s="6"/>
      <c r="AS178">
        <v>60</v>
      </c>
      <c r="AT178" t="s">
        <v>214</v>
      </c>
      <c r="AU178" t="s">
        <v>214</v>
      </c>
    </row>
    <row r="179" spans="1:47" x14ac:dyDescent="0.25">
      <c r="A179" s="63" t="s">
        <v>184</v>
      </c>
      <c r="B179" s="63" t="s">
        <v>177</v>
      </c>
      <c r="C179" s="63" t="s">
        <v>184</v>
      </c>
      <c r="D179" s="10" t="s">
        <v>22</v>
      </c>
      <c r="E179" s="62" t="str">
        <f t="shared" si="2"/>
        <v>CongalalaExhaust</v>
      </c>
      <c r="F179">
        <v>270</v>
      </c>
      <c r="G179">
        <v>420</v>
      </c>
      <c r="H179">
        <v>570</v>
      </c>
      <c r="I179">
        <v>720</v>
      </c>
      <c r="J179" s="29"/>
      <c r="K179" s="6"/>
      <c r="P179" s="6"/>
      <c r="U179" s="6"/>
      <c r="Z179" s="6">
        <v>333</v>
      </c>
      <c r="AA179">
        <v>518</v>
      </c>
      <c r="AB179">
        <v>703</v>
      </c>
      <c r="AC179">
        <v>888</v>
      </c>
      <c r="AE179" s="6">
        <v>333</v>
      </c>
      <c r="AF179">
        <v>518</v>
      </c>
      <c r="AG179">
        <v>703</v>
      </c>
      <c r="AH179">
        <v>888</v>
      </c>
      <c r="AJ179" s="6">
        <v>450</v>
      </c>
      <c r="AK179">
        <v>700</v>
      </c>
      <c r="AL179">
        <v>950</v>
      </c>
      <c r="AM179">
        <v>1200</v>
      </c>
      <c r="AO179" s="6"/>
      <c r="AS179"/>
      <c r="AT179" t="s">
        <v>214</v>
      </c>
      <c r="AU179" t="s">
        <v>214</v>
      </c>
    </row>
    <row r="180" spans="1:47" x14ac:dyDescent="0.25">
      <c r="A180" s="63" t="s">
        <v>184</v>
      </c>
      <c r="B180" s="63" t="s">
        <v>177</v>
      </c>
      <c r="C180" s="63" t="s">
        <v>184</v>
      </c>
      <c r="D180" s="30" t="s">
        <v>35</v>
      </c>
      <c r="E180" s="62" t="str">
        <f t="shared" si="2"/>
        <v>CongalalaBlast</v>
      </c>
      <c r="F180">
        <v>70</v>
      </c>
      <c r="G180">
        <v>106</v>
      </c>
      <c r="H180">
        <v>142</v>
      </c>
      <c r="I180">
        <v>178</v>
      </c>
      <c r="K180" s="6"/>
      <c r="P180" s="6"/>
      <c r="R180" s="6"/>
      <c r="U180" s="6"/>
      <c r="Z180" s="6">
        <v>70</v>
      </c>
      <c r="AA180">
        <v>130</v>
      </c>
      <c r="AB180" s="6">
        <v>190</v>
      </c>
      <c r="AC180">
        <v>250</v>
      </c>
      <c r="AE180" s="6">
        <v>70</v>
      </c>
      <c r="AF180">
        <v>130</v>
      </c>
      <c r="AG180" s="6">
        <v>190</v>
      </c>
      <c r="AH180">
        <v>250</v>
      </c>
      <c r="AJ180" s="6">
        <v>70</v>
      </c>
      <c r="AK180">
        <v>148</v>
      </c>
      <c r="AL180">
        <v>226</v>
      </c>
      <c r="AM180">
        <v>304</v>
      </c>
      <c r="AO180" s="6"/>
      <c r="AS180"/>
      <c r="AT180" t="s">
        <v>214</v>
      </c>
      <c r="AU180" t="s">
        <v>214</v>
      </c>
    </row>
    <row r="181" spans="1:47" x14ac:dyDescent="0.25">
      <c r="A181" s="63" t="s">
        <v>184</v>
      </c>
      <c r="B181" s="63" t="s">
        <v>177</v>
      </c>
      <c r="C181" s="63" t="s">
        <v>184</v>
      </c>
      <c r="D181" s="34" t="s">
        <v>14</v>
      </c>
      <c r="E181" s="62" t="str">
        <f t="shared" si="2"/>
        <v>CongalalaKO</v>
      </c>
      <c r="F181">
        <v>105</v>
      </c>
      <c r="G181">
        <v>292</v>
      </c>
      <c r="H181">
        <v>479</v>
      </c>
      <c r="I181">
        <v>666</v>
      </c>
      <c r="J181" s="29"/>
      <c r="K181" s="6"/>
      <c r="P181" s="6"/>
      <c r="U181" s="6"/>
      <c r="Z181" s="6">
        <v>210</v>
      </c>
      <c r="AA181">
        <v>315</v>
      </c>
      <c r="AB181">
        <v>420</v>
      </c>
      <c r="AC181">
        <v>525</v>
      </c>
      <c r="AE181" s="6">
        <v>210</v>
      </c>
      <c r="AF181">
        <v>315</v>
      </c>
      <c r="AG181">
        <v>420</v>
      </c>
      <c r="AH181">
        <v>525</v>
      </c>
      <c r="AJ181" s="6">
        <v>300</v>
      </c>
      <c r="AK181">
        <v>450</v>
      </c>
      <c r="AL181">
        <v>600</v>
      </c>
      <c r="AM181">
        <v>750</v>
      </c>
      <c r="AO181" s="6"/>
      <c r="AS181">
        <v>10</v>
      </c>
      <c r="AT181" t="s">
        <v>214</v>
      </c>
      <c r="AU181" t="s">
        <v>214</v>
      </c>
    </row>
    <row r="182" spans="1:47" x14ac:dyDescent="0.25">
      <c r="A182" s="63" t="s">
        <v>184</v>
      </c>
      <c r="B182" s="63" t="s">
        <v>177</v>
      </c>
      <c r="C182" s="63" t="s">
        <v>184</v>
      </c>
      <c r="D182" s="33" t="s">
        <v>34</v>
      </c>
      <c r="E182" s="62" t="str">
        <f t="shared" si="2"/>
        <v>CongalalaMount</v>
      </c>
      <c r="F182">
        <v>80</v>
      </c>
      <c r="G182">
        <v>230</v>
      </c>
      <c r="H182">
        <v>380</v>
      </c>
      <c r="I182">
        <v>530</v>
      </c>
      <c r="K182" s="6"/>
      <c r="P182" s="6"/>
      <c r="R182" s="6"/>
      <c r="U182" s="6"/>
      <c r="Z182" s="6">
        <v>90</v>
      </c>
      <c r="AA182">
        <v>259</v>
      </c>
      <c r="AB182">
        <v>428</v>
      </c>
      <c r="AC182">
        <v>597</v>
      </c>
      <c r="AE182" s="6">
        <v>90</v>
      </c>
      <c r="AF182">
        <v>259</v>
      </c>
      <c r="AG182">
        <v>428</v>
      </c>
      <c r="AH182">
        <v>597</v>
      </c>
      <c r="AJ182" s="6">
        <v>100</v>
      </c>
      <c r="AK182">
        <v>288</v>
      </c>
      <c r="AL182">
        <v>476</v>
      </c>
      <c r="AM182">
        <v>664</v>
      </c>
      <c r="AO182" s="6"/>
      <c r="AS182"/>
      <c r="AT182" t="s">
        <v>214</v>
      </c>
      <c r="AU182" t="s">
        <v>214</v>
      </c>
    </row>
    <row r="183" spans="1:47" x14ac:dyDescent="0.25">
      <c r="A183" s="63" t="s">
        <v>184</v>
      </c>
      <c r="B183" s="63" t="s">
        <v>177</v>
      </c>
      <c r="C183" s="63" t="s">
        <v>184</v>
      </c>
      <c r="D183" s="77" t="s">
        <v>207</v>
      </c>
      <c r="E183" s="62" t="str">
        <f t="shared" si="2"/>
        <v>CongalalaShock Trap</v>
      </c>
      <c r="K183" s="6"/>
      <c r="P183" s="6"/>
      <c r="U183" s="6"/>
      <c r="AE183" s="6"/>
      <c r="AJ183" s="6"/>
      <c r="AO183" s="6"/>
      <c r="AS183">
        <v>8</v>
      </c>
      <c r="AT183">
        <v>15</v>
      </c>
      <c r="AU183">
        <v>8</v>
      </c>
    </row>
    <row r="184" spans="1:47" s="56" customFormat="1" x14ac:dyDescent="0.25">
      <c r="A184" s="63" t="s">
        <v>184</v>
      </c>
      <c r="B184" s="63" t="s">
        <v>177</v>
      </c>
      <c r="C184" s="63" t="s">
        <v>184</v>
      </c>
      <c r="D184" s="79" t="s">
        <v>213</v>
      </c>
      <c r="E184" s="62" t="str">
        <f t="shared" si="2"/>
        <v>CongalalaPitfall Trap</v>
      </c>
      <c r="K184" s="7"/>
      <c r="P184" s="7"/>
      <c r="U184" s="7"/>
      <c r="Z184" s="7"/>
      <c r="AE184" s="7"/>
      <c r="AJ184" s="7"/>
      <c r="AO184" s="7"/>
      <c r="AS184" s="56">
        <v>12</v>
      </c>
      <c r="AT184" s="56">
        <v>25</v>
      </c>
      <c r="AU184" s="56">
        <v>12</v>
      </c>
    </row>
    <row r="185" spans="1:47" s="36" customFormat="1" x14ac:dyDescent="0.25">
      <c r="A185" s="63" t="s">
        <v>171</v>
      </c>
      <c r="B185" s="63" t="s">
        <v>240</v>
      </c>
      <c r="C185" s="63" t="s">
        <v>171</v>
      </c>
      <c r="D185" s="37" t="s">
        <v>0</v>
      </c>
      <c r="E185" s="62" t="str">
        <f t="shared" si="2"/>
        <v>Crystal beard UragaanPara</v>
      </c>
      <c r="J185" s="61"/>
      <c r="K185" s="50"/>
      <c r="P185" s="6"/>
      <c r="Q185" s="46"/>
      <c r="R185" s="46"/>
      <c r="S185" s="46"/>
      <c r="U185" s="50"/>
      <c r="Z185" s="6"/>
      <c r="AA185" s="46"/>
      <c r="AB185" s="46"/>
      <c r="AC185" s="46"/>
      <c r="AE185" s="50"/>
      <c r="AJ185" s="6"/>
      <c r="AK185" s="46"/>
      <c r="AL185" s="46"/>
      <c r="AM185" s="46"/>
      <c r="AO185" s="50"/>
      <c r="AS185" s="36">
        <v>15</v>
      </c>
      <c r="AT185" s="36" t="s">
        <v>214</v>
      </c>
      <c r="AU185" s="36" t="s">
        <v>214</v>
      </c>
    </row>
    <row r="186" spans="1:47" x14ac:dyDescent="0.25">
      <c r="A186" s="63" t="s">
        <v>171</v>
      </c>
      <c r="B186" s="63" t="s">
        <v>240</v>
      </c>
      <c r="C186" s="63" t="s">
        <v>171</v>
      </c>
      <c r="D186" s="31" t="s">
        <v>32</v>
      </c>
      <c r="E186" s="62" t="str">
        <f t="shared" si="2"/>
        <v>Crystal beard UragaanSleep</v>
      </c>
      <c r="K186" s="6"/>
      <c r="P186" s="6"/>
      <c r="U186" s="6"/>
      <c r="AE186" s="6"/>
      <c r="AJ186" s="6"/>
      <c r="AO186" s="6"/>
      <c r="AS186">
        <v>30</v>
      </c>
      <c r="AT186" t="s">
        <v>214</v>
      </c>
      <c r="AU186" t="s">
        <v>214</v>
      </c>
    </row>
    <row r="187" spans="1:47" x14ac:dyDescent="0.25">
      <c r="A187" s="63" t="s">
        <v>171</v>
      </c>
      <c r="B187" s="63" t="s">
        <v>240</v>
      </c>
      <c r="C187" s="63" t="s">
        <v>171</v>
      </c>
      <c r="D187" s="32" t="s">
        <v>33</v>
      </c>
      <c r="E187" s="62" t="str">
        <f t="shared" si="2"/>
        <v>Crystal beard UragaanPoison</v>
      </c>
      <c r="J187" s="29"/>
      <c r="K187" s="6"/>
      <c r="P187" s="6"/>
      <c r="U187" s="6"/>
      <c r="AE187" s="6"/>
      <c r="AJ187" s="6"/>
      <c r="AO187" s="6"/>
      <c r="AS187">
        <v>30</v>
      </c>
      <c r="AT187" t="s">
        <v>214</v>
      </c>
      <c r="AU187" t="s">
        <v>214</v>
      </c>
    </row>
    <row r="188" spans="1:47" x14ac:dyDescent="0.25">
      <c r="A188" s="63" t="s">
        <v>171</v>
      </c>
      <c r="B188" s="63" t="s">
        <v>240</v>
      </c>
      <c r="C188" s="63" t="s">
        <v>171</v>
      </c>
      <c r="D188" s="10" t="s">
        <v>22</v>
      </c>
      <c r="E188" s="62" t="str">
        <f t="shared" si="2"/>
        <v>Crystal beard UragaanExhaust</v>
      </c>
      <c r="J188" s="29"/>
      <c r="K188" s="6"/>
      <c r="P188" s="6"/>
      <c r="U188" s="6"/>
      <c r="AE188" s="6"/>
      <c r="AJ188" s="6"/>
      <c r="AO188" s="6"/>
      <c r="AS188"/>
      <c r="AT188" t="s">
        <v>214</v>
      </c>
      <c r="AU188" t="s">
        <v>214</v>
      </c>
    </row>
    <row r="189" spans="1:47" x14ac:dyDescent="0.25">
      <c r="A189" s="63" t="s">
        <v>171</v>
      </c>
      <c r="B189" s="63" t="s">
        <v>240</v>
      </c>
      <c r="C189" s="63" t="s">
        <v>171</v>
      </c>
      <c r="D189" s="30" t="s">
        <v>35</v>
      </c>
      <c r="E189" s="62" t="str">
        <f t="shared" si="2"/>
        <v>Crystal beard UragaanBlast</v>
      </c>
      <c r="K189" s="6"/>
      <c r="P189" s="6"/>
      <c r="R189" s="6"/>
      <c r="U189" s="6"/>
      <c r="AB189" s="6"/>
      <c r="AE189" s="6"/>
      <c r="AG189" s="6"/>
      <c r="AJ189" s="6"/>
      <c r="AO189" s="6"/>
      <c r="AS189"/>
      <c r="AT189" t="s">
        <v>214</v>
      </c>
      <c r="AU189" t="s">
        <v>214</v>
      </c>
    </row>
    <row r="190" spans="1:47" x14ac:dyDescent="0.25">
      <c r="A190" s="63" t="s">
        <v>171</v>
      </c>
      <c r="B190" s="63" t="s">
        <v>240</v>
      </c>
      <c r="C190" s="63" t="s">
        <v>171</v>
      </c>
      <c r="D190" s="34" t="s">
        <v>14</v>
      </c>
      <c r="E190" s="62" t="str">
        <f t="shared" si="2"/>
        <v>Crystal beard UragaanKO</v>
      </c>
      <c r="J190" s="29"/>
      <c r="K190" s="6"/>
      <c r="P190" s="6"/>
      <c r="U190" s="6"/>
      <c r="AE190" s="6"/>
      <c r="AJ190" s="6"/>
      <c r="AO190" s="6"/>
      <c r="AS190">
        <v>15</v>
      </c>
      <c r="AT190" t="s">
        <v>214</v>
      </c>
      <c r="AU190" t="s">
        <v>214</v>
      </c>
    </row>
    <row r="191" spans="1:47" x14ac:dyDescent="0.25">
      <c r="A191" s="63" t="s">
        <v>171</v>
      </c>
      <c r="B191" s="63" t="s">
        <v>240</v>
      </c>
      <c r="C191" s="63" t="s">
        <v>171</v>
      </c>
      <c r="D191" s="33" t="s">
        <v>34</v>
      </c>
      <c r="E191" s="62" t="str">
        <f t="shared" si="2"/>
        <v>Crystal beard UragaanMount</v>
      </c>
      <c r="K191" s="6"/>
      <c r="P191" s="6"/>
      <c r="R191" s="6"/>
      <c r="U191" s="6"/>
      <c r="AE191" s="6"/>
      <c r="AJ191" s="6"/>
      <c r="AO191" s="6"/>
      <c r="AS191"/>
      <c r="AT191" t="s">
        <v>214</v>
      </c>
      <c r="AU191" t="s">
        <v>214</v>
      </c>
    </row>
    <row r="192" spans="1:47" x14ac:dyDescent="0.25">
      <c r="A192" s="63" t="s">
        <v>171</v>
      </c>
      <c r="B192" s="63" t="s">
        <v>240</v>
      </c>
      <c r="C192" s="63" t="s">
        <v>171</v>
      </c>
      <c r="D192" s="77" t="s">
        <v>207</v>
      </c>
      <c r="E192" s="62" t="str">
        <f t="shared" si="2"/>
        <v>Crystal beard UragaanShock Trap</v>
      </c>
      <c r="K192" s="6"/>
      <c r="P192" s="6"/>
      <c r="U192" s="6"/>
      <c r="AE192" s="6"/>
      <c r="AJ192" s="6"/>
      <c r="AO192" s="6"/>
      <c r="AS192">
        <v>10</v>
      </c>
      <c r="AT192">
        <v>20</v>
      </c>
      <c r="AU192">
        <v>10</v>
      </c>
    </row>
    <row r="193" spans="1:47" s="56" customFormat="1" x14ac:dyDescent="0.25">
      <c r="A193" s="63" t="s">
        <v>171</v>
      </c>
      <c r="B193" s="63" t="s">
        <v>240</v>
      </c>
      <c r="C193" s="63" t="s">
        <v>171</v>
      </c>
      <c r="D193" s="79" t="s">
        <v>213</v>
      </c>
      <c r="E193" s="62" t="str">
        <f t="shared" si="2"/>
        <v>Crystal beard UragaanPitfall Trap</v>
      </c>
      <c r="K193" s="7"/>
      <c r="P193" s="7"/>
      <c r="U193" s="7"/>
      <c r="Z193" s="7"/>
      <c r="AE193" s="7"/>
      <c r="AJ193" s="7"/>
      <c r="AO193" s="7"/>
      <c r="AS193" s="56">
        <v>15</v>
      </c>
      <c r="AT193" s="56">
        <v>30</v>
      </c>
      <c r="AU193" s="56">
        <v>20</v>
      </c>
    </row>
    <row r="194" spans="1:47" s="36" customFormat="1" x14ac:dyDescent="0.25">
      <c r="A194" s="63" t="s">
        <v>91</v>
      </c>
      <c r="B194" s="63" t="s">
        <v>124</v>
      </c>
      <c r="C194" s="63" t="s">
        <v>91</v>
      </c>
      <c r="D194" s="37" t="s">
        <v>0</v>
      </c>
      <c r="E194" s="62" t="str">
        <f t="shared" si="2"/>
        <v>Daimyo HermitaurPara</v>
      </c>
      <c r="F194" s="36">
        <v>125</v>
      </c>
      <c r="G194" s="36">
        <v>235</v>
      </c>
      <c r="H194" s="36">
        <v>345</v>
      </c>
      <c r="I194" s="36">
        <v>455</v>
      </c>
      <c r="J194" s="61"/>
      <c r="K194" s="50"/>
      <c r="P194" s="6">
        <v>125</v>
      </c>
      <c r="Q194" s="46">
        <v>305</v>
      </c>
      <c r="R194" s="46">
        <v>485</v>
      </c>
      <c r="S194" s="46">
        <v>665</v>
      </c>
      <c r="U194" s="50"/>
      <c r="Z194" s="6">
        <v>125</v>
      </c>
      <c r="AA194" s="46">
        <v>315</v>
      </c>
      <c r="AB194" s="46">
        <v>505</v>
      </c>
      <c r="AC194" s="46">
        <v>695</v>
      </c>
      <c r="AE194" s="50">
        <v>125</v>
      </c>
      <c r="AF194" s="36">
        <v>315</v>
      </c>
      <c r="AG194" s="36">
        <v>505</v>
      </c>
      <c r="AH194" s="36">
        <v>695</v>
      </c>
      <c r="AJ194" s="6"/>
      <c r="AK194" s="46"/>
      <c r="AL194" s="46"/>
      <c r="AM194" s="46"/>
      <c r="AO194" s="50"/>
      <c r="AS194" s="36">
        <v>10</v>
      </c>
      <c r="AT194" s="36" t="s">
        <v>214</v>
      </c>
      <c r="AU194" s="36" t="s">
        <v>214</v>
      </c>
    </row>
    <row r="195" spans="1:47" x14ac:dyDescent="0.25">
      <c r="A195" s="63" t="s">
        <v>91</v>
      </c>
      <c r="B195" s="63" t="s">
        <v>124</v>
      </c>
      <c r="C195" s="63" t="s">
        <v>91</v>
      </c>
      <c r="D195" s="31" t="s">
        <v>32</v>
      </c>
      <c r="E195" s="62" t="str">
        <f t="shared" si="2"/>
        <v>Daimyo HermitaurSleep</v>
      </c>
      <c r="F195">
        <v>150</v>
      </c>
      <c r="G195">
        <v>260</v>
      </c>
      <c r="H195">
        <v>370</v>
      </c>
      <c r="I195">
        <v>480</v>
      </c>
      <c r="K195" s="6"/>
      <c r="P195" s="6">
        <v>150</v>
      </c>
      <c r="Q195">
        <v>330</v>
      </c>
      <c r="R195">
        <v>510</v>
      </c>
      <c r="S195">
        <v>690</v>
      </c>
      <c r="U195" s="6"/>
      <c r="Z195" s="6">
        <v>150</v>
      </c>
      <c r="AA195">
        <v>340</v>
      </c>
      <c r="AB195">
        <v>530</v>
      </c>
      <c r="AC195">
        <v>720</v>
      </c>
      <c r="AE195" s="6">
        <v>150</v>
      </c>
      <c r="AF195">
        <v>340</v>
      </c>
      <c r="AG195">
        <v>530</v>
      </c>
      <c r="AH195">
        <v>720</v>
      </c>
      <c r="AJ195" s="6"/>
      <c r="AO195" s="6"/>
      <c r="AS195">
        <v>30</v>
      </c>
      <c r="AT195" t="s">
        <v>214</v>
      </c>
      <c r="AU195" t="s">
        <v>214</v>
      </c>
    </row>
    <row r="196" spans="1:47" x14ac:dyDescent="0.25">
      <c r="A196" s="63" t="s">
        <v>91</v>
      </c>
      <c r="B196" s="63" t="s">
        <v>124</v>
      </c>
      <c r="C196" s="63" t="s">
        <v>91</v>
      </c>
      <c r="D196" s="32" t="s">
        <v>33</v>
      </c>
      <c r="E196" s="62" t="str">
        <f t="shared" si="2"/>
        <v>Daimyo HermitaurPoison</v>
      </c>
      <c r="F196">
        <v>200</v>
      </c>
      <c r="G196">
        <v>282</v>
      </c>
      <c r="H196">
        <v>365</v>
      </c>
      <c r="I196">
        <v>448</v>
      </c>
      <c r="J196" s="29"/>
      <c r="K196" s="6"/>
      <c r="P196" s="6">
        <v>200</v>
      </c>
      <c r="Q196">
        <v>335</v>
      </c>
      <c r="R196">
        <v>470</v>
      </c>
      <c r="S196">
        <v>605</v>
      </c>
      <c r="U196" s="6"/>
      <c r="Z196" s="6">
        <v>200</v>
      </c>
      <c r="AA196">
        <v>342</v>
      </c>
      <c r="AB196">
        <v>484</v>
      </c>
      <c r="AC196">
        <v>626</v>
      </c>
      <c r="AE196" s="6">
        <v>200</v>
      </c>
      <c r="AF196">
        <v>342</v>
      </c>
      <c r="AG196">
        <v>484</v>
      </c>
      <c r="AH196">
        <v>626</v>
      </c>
      <c r="AJ196" s="6"/>
      <c r="AO196" s="6"/>
      <c r="AS196">
        <v>60</v>
      </c>
      <c r="AT196" t="s">
        <v>214</v>
      </c>
      <c r="AU196" t="s">
        <v>214</v>
      </c>
    </row>
    <row r="197" spans="1:47" x14ac:dyDescent="0.25">
      <c r="A197" s="63" t="s">
        <v>91</v>
      </c>
      <c r="B197" s="63" t="s">
        <v>124</v>
      </c>
      <c r="C197" s="63" t="s">
        <v>91</v>
      </c>
      <c r="D197" s="10" t="s">
        <v>22</v>
      </c>
      <c r="E197" s="62" t="str">
        <f t="shared" ref="E197:E260" si="3">B197&amp;D197</f>
        <v>Daimyo HermitaurExhaust</v>
      </c>
      <c r="F197">
        <v>270</v>
      </c>
      <c r="G197">
        <v>382</v>
      </c>
      <c r="H197">
        <v>495</v>
      </c>
      <c r="I197">
        <v>607</v>
      </c>
      <c r="J197" s="29"/>
      <c r="K197" s="6"/>
      <c r="P197" s="6">
        <v>315</v>
      </c>
      <c r="Q197">
        <v>446</v>
      </c>
      <c r="R197">
        <v>577</v>
      </c>
      <c r="S197">
        <v>708</v>
      </c>
      <c r="U197" s="6"/>
      <c r="Z197" s="6">
        <v>324</v>
      </c>
      <c r="AA197">
        <v>594</v>
      </c>
      <c r="AB197">
        <v>864</v>
      </c>
      <c r="AC197">
        <v>1134</v>
      </c>
      <c r="AE197" s="6">
        <v>324</v>
      </c>
      <c r="AF197">
        <v>459</v>
      </c>
      <c r="AG197">
        <v>594</v>
      </c>
      <c r="AH197">
        <v>729</v>
      </c>
      <c r="AJ197" s="6"/>
      <c r="AO197" s="6"/>
      <c r="AS197"/>
      <c r="AT197" t="s">
        <v>214</v>
      </c>
      <c r="AU197" t="s">
        <v>214</v>
      </c>
    </row>
    <row r="198" spans="1:47" x14ac:dyDescent="0.25">
      <c r="A198" s="63" t="s">
        <v>91</v>
      </c>
      <c r="B198" s="63" t="s">
        <v>124</v>
      </c>
      <c r="C198" s="63" t="s">
        <v>91</v>
      </c>
      <c r="D198" s="30" t="s">
        <v>35</v>
      </c>
      <c r="E198" s="62" t="str">
        <f t="shared" si="3"/>
        <v>Daimyo HermitaurBlast</v>
      </c>
      <c r="F198">
        <v>70</v>
      </c>
      <c r="G198">
        <v>103</v>
      </c>
      <c r="H198">
        <v>136</v>
      </c>
      <c r="I198">
        <v>169</v>
      </c>
      <c r="K198" s="6"/>
      <c r="P198" s="6">
        <v>70</v>
      </c>
      <c r="Q198">
        <v>124</v>
      </c>
      <c r="R198" s="6">
        <v>178</v>
      </c>
      <c r="S198">
        <v>232</v>
      </c>
      <c r="U198" s="6"/>
      <c r="Z198" s="6">
        <v>70</v>
      </c>
      <c r="AA198">
        <v>127</v>
      </c>
      <c r="AB198" s="6">
        <v>184</v>
      </c>
      <c r="AC198">
        <v>241</v>
      </c>
      <c r="AE198" s="6">
        <v>70</v>
      </c>
      <c r="AF198">
        <v>127</v>
      </c>
      <c r="AG198" s="6">
        <v>184</v>
      </c>
      <c r="AH198">
        <v>241</v>
      </c>
      <c r="AJ198" s="6"/>
      <c r="AO198" s="6"/>
      <c r="AS198"/>
      <c r="AT198" t="s">
        <v>214</v>
      </c>
      <c r="AU198" t="s">
        <v>214</v>
      </c>
    </row>
    <row r="199" spans="1:47" x14ac:dyDescent="0.25">
      <c r="A199" s="63" t="s">
        <v>91</v>
      </c>
      <c r="B199" s="63" t="s">
        <v>124</v>
      </c>
      <c r="C199" s="63" t="s">
        <v>91</v>
      </c>
      <c r="D199" s="34" t="s">
        <v>14</v>
      </c>
      <c r="E199" s="62" t="str">
        <f t="shared" si="3"/>
        <v>Daimyo HermitaurKO</v>
      </c>
      <c r="F199">
        <v>156</v>
      </c>
      <c r="G199">
        <v>253</v>
      </c>
      <c r="H199">
        <v>351</v>
      </c>
      <c r="I199">
        <v>449</v>
      </c>
      <c r="J199" s="29"/>
      <c r="K199" s="6"/>
      <c r="P199" s="6">
        <v>156</v>
      </c>
      <c r="Q199">
        <v>253</v>
      </c>
      <c r="R199">
        <v>350</v>
      </c>
      <c r="S199">
        <v>447</v>
      </c>
      <c r="U199" s="6"/>
      <c r="Z199" s="6">
        <v>168</v>
      </c>
      <c r="AA199">
        <v>273</v>
      </c>
      <c r="AB199">
        <v>378</v>
      </c>
      <c r="AC199">
        <v>483</v>
      </c>
      <c r="AE199" s="6">
        <v>168</v>
      </c>
      <c r="AF199">
        <v>273</v>
      </c>
      <c r="AG199">
        <v>378</v>
      </c>
      <c r="AH199">
        <v>483</v>
      </c>
      <c r="AJ199" s="6"/>
      <c r="AO199" s="6"/>
      <c r="AS199">
        <v>10</v>
      </c>
      <c r="AT199" t="s">
        <v>214</v>
      </c>
      <c r="AU199" t="s">
        <v>214</v>
      </c>
    </row>
    <row r="200" spans="1:47" x14ac:dyDescent="0.25">
      <c r="A200" s="63" t="s">
        <v>91</v>
      </c>
      <c r="B200" s="63" t="s">
        <v>124</v>
      </c>
      <c r="C200" s="63" t="s">
        <v>91</v>
      </c>
      <c r="D200" s="33" t="s">
        <v>34</v>
      </c>
      <c r="E200" s="62" t="str">
        <f t="shared" si="3"/>
        <v>Daimyo HermitaurMount</v>
      </c>
      <c r="F200">
        <v>80</v>
      </c>
      <c r="G200">
        <v>208</v>
      </c>
      <c r="H200">
        <v>336</v>
      </c>
      <c r="I200">
        <v>464</v>
      </c>
      <c r="K200" s="6"/>
      <c r="P200" s="6">
        <v>85</v>
      </c>
      <c r="Q200">
        <v>221</v>
      </c>
      <c r="R200" s="6">
        <v>357</v>
      </c>
      <c r="S200">
        <v>493</v>
      </c>
      <c r="U200" s="6"/>
      <c r="Z200" s="6">
        <v>85</v>
      </c>
      <c r="AA200">
        <v>221</v>
      </c>
      <c r="AB200">
        <v>357</v>
      </c>
      <c r="AC200">
        <v>493</v>
      </c>
      <c r="AE200" s="6">
        <v>85</v>
      </c>
      <c r="AF200">
        <v>221</v>
      </c>
      <c r="AG200">
        <v>357</v>
      </c>
      <c r="AH200">
        <v>493</v>
      </c>
      <c r="AJ200" s="6"/>
      <c r="AO200" s="6"/>
      <c r="AS200"/>
      <c r="AT200" t="s">
        <v>214</v>
      </c>
      <c r="AU200" t="s">
        <v>214</v>
      </c>
    </row>
    <row r="201" spans="1:47" x14ac:dyDescent="0.25">
      <c r="A201" s="63" t="s">
        <v>91</v>
      </c>
      <c r="B201" s="63" t="s">
        <v>124</v>
      </c>
      <c r="C201" s="63" t="s">
        <v>91</v>
      </c>
      <c r="D201" s="77" t="s">
        <v>207</v>
      </c>
      <c r="E201" s="62" t="str">
        <f t="shared" si="3"/>
        <v>Daimyo HermitaurShock Trap</v>
      </c>
      <c r="K201" s="6"/>
      <c r="P201" s="6"/>
      <c r="U201" s="6"/>
      <c r="AE201" s="6"/>
      <c r="AJ201" s="6"/>
      <c r="AO201" s="6"/>
      <c r="AS201">
        <v>10</v>
      </c>
      <c r="AT201">
        <v>15</v>
      </c>
      <c r="AU201">
        <v>12</v>
      </c>
    </row>
    <row r="202" spans="1:47" s="56" customFormat="1" x14ac:dyDescent="0.25">
      <c r="A202" s="63" t="s">
        <v>91</v>
      </c>
      <c r="B202" s="63" t="s">
        <v>124</v>
      </c>
      <c r="C202" s="63" t="s">
        <v>91</v>
      </c>
      <c r="D202" s="79" t="s">
        <v>213</v>
      </c>
      <c r="E202" s="62" t="str">
        <f t="shared" si="3"/>
        <v>Daimyo HermitaurPitfall Trap</v>
      </c>
      <c r="K202" s="7"/>
      <c r="P202" s="7"/>
      <c r="U202" s="7"/>
      <c r="Z202" s="7"/>
      <c r="AE202" s="7"/>
      <c r="AJ202" s="7"/>
      <c r="AO202" s="7"/>
      <c r="AS202" s="56">
        <v>12</v>
      </c>
      <c r="AT202" s="56">
        <v>25</v>
      </c>
      <c r="AU202" s="56">
        <v>12</v>
      </c>
    </row>
    <row r="203" spans="1:47" s="36" customFormat="1" x14ac:dyDescent="0.25">
      <c r="A203" s="63" t="s">
        <v>171</v>
      </c>
      <c r="B203" s="63" t="s">
        <v>239</v>
      </c>
      <c r="C203" s="63" t="s">
        <v>171</v>
      </c>
      <c r="D203" s="37" t="s">
        <v>0</v>
      </c>
      <c r="E203" s="62" t="str">
        <f t="shared" si="3"/>
        <v>Deadeye Yian GarugaPara</v>
      </c>
      <c r="J203" s="61"/>
      <c r="K203" s="50"/>
      <c r="P203" s="6"/>
      <c r="Q203" s="46"/>
      <c r="R203" s="46"/>
      <c r="S203" s="46"/>
      <c r="U203" s="50"/>
      <c r="Z203" s="6"/>
      <c r="AA203" s="46"/>
      <c r="AB203" s="46"/>
      <c r="AC203" s="46"/>
      <c r="AE203" s="50"/>
      <c r="AJ203" s="6"/>
      <c r="AK203" s="46"/>
      <c r="AL203" s="46"/>
      <c r="AM203" s="46"/>
      <c r="AO203" s="50"/>
      <c r="AS203" s="36">
        <v>10</v>
      </c>
      <c r="AT203" s="36" t="s">
        <v>214</v>
      </c>
      <c r="AU203" s="36" t="s">
        <v>214</v>
      </c>
    </row>
    <row r="204" spans="1:47" x14ac:dyDescent="0.25">
      <c r="A204" s="63" t="s">
        <v>171</v>
      </c>
      <c r="B204" s="63" t="s">
        <v>239</v>
      </c>
      <c r="C204" s="63" t="s">
        <v>171</v>
      </c>
      <c r="D204" s="31" t="s">
        <v>32</v>
      </c>
      <c r="E204" s="62" t="str">
        <f t="shared" si="3"/>
        <v>Deadeye Yian GarugaSleep</v>
      </c>
      <c r="K204" s="6"/>
      <c r="P204" s="6"/>
      <c r="U204" s="6"/>
      <c r="AE204" s="6"/>
      <c r="AJ204" s="6"/>
      <c r="AO204" s="6"/>
      <c r="AS204">
        <v>40</v>
      </c>
      <c r="AT204" t="s">
        <v>214</v>
      </c>
      <c r="AU204" t="s">
        <v>214</v>
      </c>
    </row>
    <row r="205" spans="1:47" x14ac:dyDescent="0.25">
      <c r="A205" s="63" t="s">
        <v>171</v>
      </c>
      <c r="B205" s="63" t="s">
        <v>239</v>
      </c>
      <c r="C205" s="63" t="s">
        <v>171</v>
      </c>
      <c r="D205" s="32" t="s">
        <v>33</v>
      </c>
      <c r="E205" s="62" t="str">
        <f t="shared" si="3"/>
        <v>Deadeye Yian GarugaPoison</v>
      </c>
      <c r="J205" s="29"/>
      <c r="K205" s="6"/>
      <c r="P205" s="6"/>
      <c r="U205" s="6"/>
      <c r="AE205" s="6"/>
      <c r="AJ205" s="6"/>
      <c r="AO205" s="6"/>
      <c r="AS205">
        <v>0</v>
      </c>
      <c r="AT205" t="s">
        <v>214</v>
      </c>
      <c r="AU205" t="s">
        <v>214</v>
      </c>
    </row>
    <row r="206" spans="1:47" x14ac:dyDescent="0.25">
      <c r="A206" s="63" t="s">
        <v>171</v>
      </c>
      <c r="B206" s="63" t="s">
        <v>239</v>
      </c>
      <c r="C206" s="63" t="s">
        <v>171</v>
      </c>
      <c r="D206" s="10" t="s">
        <v>22</v>
      </c>
      <c r="E206" s="62" t="str">
        <f t="shared" si="3"/>
        <v>Deadeye Yian GarugaExhaust</v>
      </c>
      <c r="J206" s="29"/>
      <c r="K206" s="6"/>
      <c r="P206" s="6"/>
      <c r="U206" s="6"/>
      <c r="AE206" s="6"/>
      <c r="AJ206" s="6"/>
      <c r="AO206" s="6"/>
      <c r="AS206"/>
      <c r="AT206" t="s">
        <v>214</v>
      </c>
      <c r="AU206" t="s">
        <v>214</v>
      </c>
    </row>
    <row r="207" spans="1:47" x14ac:dyDescent="0.25">
      <c r="A207" s="63" t="s">
        <v>171</v>
      </c>
      <c r="B207" s="63" t="s">
        <v>239</v>
      </c>
      <c r="C207" s="63" t="s">
        <v>171</v>
      </c>
      <c r="D207" s="30" t="s">
        <v>35</v>
      </c>
      <c r="E207" s="62" t="str">
        <f t="shared" si="3"/>
        <v>Deadeye Yian GarugaBlast</v>
      </c>
      <c r="K207" s="6"/>
      <c r="P207" s="6"/>
      <c r="R207" s="6"/>
      <c r="U207" s="6"/>
      <c r="AB207" s="6"/>
      <c r="AE207" s="6"/>
      <c r="AG207" s="6"/>
      <c r="AJ207" s="6"/>
      <c r="AO207" s="6"/>
      <c r="AS207"/>
      <c r="AT207" t="s">
        <v>214</v>
      </c>
      <c r="AU207" t="s">
        <v>214</v>
      </c>
    </row>
    <row r="208" spans="1:47" x14ac:dyDescent="0.25">
      <c r="A208" s="63" t="s">
        <v>171</v>
      </c>
      <c r="B208" s="63" t="s">
        <v>239</v>
      </c>
      <c r="C208" s="63" t="s">
        <v>171</v>
      </c>
      <c r="D208" s="34" t="s">
        <v>14</v>
      </c>
      <c r="E208" s="62" t="str">
        <f t="shared" si="3"/>
        <v>Deadeye Yian GarugaKO</v>
      </c>
      <c r="J208" s="29"/>
      <c r="K208" s="6"/>
      <c r="P208" s="6"/>
      <c r="U208" s="6"/>
      <c r="AE208" s="6"/>
      <c r="AJ208" s="6"/>
      <c r="AO208" s="6"/>
      <c r="AS208">
        <v>10</v>
      </c>
      <c r="AT208" t="s">
        <v>214</v>
      </c>
      <c r="AU208" t="s">
        <v>214</v>
      </c>
    </row>
    <row r="209" spans="1:47" x14ac:dyDescent="0.25">
      <c r="A209" s="63" t="s">
        <v>171</v>
      </c>
      <c r="B209" s="63" t="s">
        <v>239</v>
      </c>
      <c r="C209" s="63" t="s">
        <v>171</v>
      </c>
      <c r="D209" s="33" t="s">
        <v>34</v>
      </c>
      <c r="E209" s="62" t="str">
        <f t="shared" si="3"/>
        <v>Deadeye Yian GarugaMount</v>
      </c>
      <c r="K209" s="6"/>
      <c r="P209" s="6"/>
      <c r="R209" s="6"/>
      <c r="U209" s="6"/>
      <c r="AE209" s="6"/>
      <c r="AJ209" s="6"/>
      <c r="AO209" s="6"/>
      <c r="AS209"/>
      <c r="AT209" t="s">
        <v>214</v>
      </c>
      <c r="AU209" t="s">
        <v>214</v>
      </c>
    </row>
    <row r="210" spans="1:47" x14ac:dyDescent="0.25">
      <c r="A210" s="63" t="s">
        <v>171</v>
      </c>
      <c r="B210" s="63" t="s">
        <v>239</v>
      </c>
      <c r="C210" s="63" t="s">
        <v>171</v>
      </c>
      <c r="D210" s="77" t="s">
        <v>207</v>
      </c>
      <c r="E210" s="62" t="str">
        <f t="shared" si="3"/>
        <v>Deadeye Yian GarugaShock Trap</v>
      </c>
      <c r="K210" s="6"/>
      <c r="P210" s="6"/>
      <c r="U210" s="6"/>
      <c r="AE210" s="6"/>
      <c r="AJ210" s="6"/>
      <c r="AO210" s="6"/>
      <c r="AS210">
        <v>8</v>
      </c>
      <c r="AT210">
        <v>15</v>
      </c>
      <c r="AU210">
        <v>8</v>
      </c>
    </row>
    <row r="211" spans="1:47" s="56" customFormat="1" x14ac:dyDescent="0.25">
      <c r="A211" s="63" t="s">
        <v>171</v>
      </c>
      <c r="B211" s="63" t="s">
        <v>239</v>
      </c>
      <c r="C211" s="63" t="s">
        <v>171</v>
      </c>
      <c r="D211" s="79" t="s">
        <v>213</v>
      </c>
      <c r="E211" s="62" t="str">
        <f t="shared" si="3"/>
        <v>Deadeye Yian GarugaPitfall Trap</v>
      </c>
      <c r="K211" s="7"/>
      <c r="P211" s="7"/>
      <c r="U211" s="7"/>
      <c r="Z211" s="7"/>
      <c r="AE211" s="7"/>
      <c r="AJ211" s="7"/>
      <c r="AO211" s="7"/>
      <c r="AS211" s="56">
        <v>17</v>
      </c>
      <c r="AT211" s="56">
        <v>25</v>
      </c>
      <c r="AU211" s="56">
        <v>17</v>
      </c>
    </row>
    <row r="212" spans="1:47" s="36" customFormat="1" x14ac:dyDescent="0.25">
      <c r="A212" s="63" t="s">
        <v>91</v>
      </c>
      <c r="B212" s="63" t="s">
        <v>226</v>
      </c>
      <c r="C212" s="63" t="s">
        <v>91</v>
      </c>
      <c r="D212" s="37" t="s">
        <v>0</v>
      </c>
      <c r="E212" s="62" t="str">
        <f t="shared" si="3"/>
        <v>Devil JhoPara</v>
      </c>
      <c r="F212" s="36">
        <v>180</v>
      </c>
      <c r="G212" s="36">
        <v>440</v>
      </c>
      <c r="H212" s="36">
        <v>700</v>
      </c>
      <c r="I212" s="36">
        <v>960</v>
      </c>
      <c r="J212" s="61"/>
      <c r="K212" s="50">
        <v>180</v>
      </c>
      <c r="L212" s="36">
        <v>480</v>
      </c>
      <c r="M212" s="36">
        <v>780</v>
      </c>
      <c r="N212" s="36">
        <v>1080</v>
      </c>
      <c r="P212" s="6">
        <v>180</v>
      </c>
      <c r="Q212" s="46">
        <v>620</v>
      </c>
      <c r="R212" s="46">
        <v>1060</v>
      </c>
      <c r="S212" s="46">
        <v>1500</v>
      </c>
      <c r="U212" s="50"/>
      <c r="Z212" s="6">
        <v>180</v>
      </c>
      <c r="AA212" s="46">
        <v>599</v>
      </c>
      <c r="AB212" s="46">
        <v>1018</v>
      </c>
      <c r="AC212" s="46">
        <v>1437</v>
      </c>
      <c r="AE212" s="50">
        <v>180</v>
      </c>
      <c r="AF212" s="36">
        <v>599</v>
      </c>
      <c r="AG212" s="36">
        <v>1018</v>
      </c>
      <c r="AH212" s="36">
        <v>1437</v>
      </c>
      <c r="AJ212" s="6">
        <v>180</v>
      </c>
      <c r="AK212" s="46">
        <v>700</v>
      </c>
      <c r="AL212" s="46">
        <v>1220</v>
      </c>
      <c r="AM212" s="46">
        <v>1740</v>
      </c>
      <c r="AO212" s="50"/>
      <c r="AS212" s="36">
        <v>15</v>
      </c>
      <c r="AT212" s="36" t="s">
        <v>214</v>
      </c>
      <c r="AU212" s="36" t="s">
        <v>214</v>
      </c>
    </row>
    <row r="213" spans="1:47" x14ac:dyDescent="0.25">
      <c r="A213" s="63" t="s">
        <v>91</v>
      </c>
      <c r="B213" s="63" t="s">
        <v>226</v>
      </c>
      <c r="C213" s="63" t="s">
        <v>91</v>
      </c>
      <c r="D213" s="31" t="s">
        <v>32</v>
      </c>
      <c r="E213" s="62" t="str">
        <f t="shared" si="3"/>
        <v>Devil JhoSleep</v>
      </c>
      <c r="F213">
        <v>180</v>
      </c>
      <c r="G213">
        <v>440</v>
      </c>
      <c r="H213">
        <v>700</v>
      </c>
      <c r="I213">
        <v>960</v>
      </c>
      <c r="K213" s="6">
        <v>180</v>
      </c>
      <c r="L213">
        <v>480</v>
      </c>
      <c r="M213">
        <v>780</v>
      </c>
      <c r="N213">
        <v>1080</v>
      </c>
      <c r="P213" s="6">
        <v>180</v>
      </c>
      <c r="Q213">
        <v>620</v>
      </c>
      <c r="R213">
        <v>1060</v>
      </c>
      <c r="S213">
        <v>1500</v>
      </c>
      <c r="U213" s="6"/>
      <c r="Z213" s="6">
        <v>180</v>
      </c>
      <c r="AA213">
        <v>599</v>
      </c>
      <c r="AB213">
        <v>1018</v>
      </c>
      <c r="AC213">
        <v>1437</v>
      </c>
      <c r="AE213" s="6">
        <v>180</v>
      </c>
      <c r="AF213">
        <v>359</v>
      </c>
      <c r="AG213">
        <v>538</v>
      </c>
      <c r="AH213">
        <v>717</v>
      </c>
      <c r="AJ213" s="6">
        <v>180</v>
      </c>
      <c r="AK213">
        <v>700</v>
      </c>
      <c r="AL213">
        <v>1220</v>
      </c>
      <c r="AM213">
        <v>1740</v>
      </c>
      <c r="AO213" s="6"/>
      <c r="AS213">
        <v>60</v>
      </c>
      <c r="AT213" t="s">
        <v>214</v>
      </c>
      <c r="AU213" t="s">
        <v>214</v>
      </c>
    </row>
    <row r="214" spans="1:47" x14ac:dyDescent="0.25">
      <c r="A214" s="63" t="s">
        <v>91</v>
      </c>
      <c r="B214" s="63" t="s">
        <v>226</v>
      </c>
      <c r="C214" s="63" t="s">
        <v>91</v>
      </c>
      <c r="D214" s="32" t="s">
        <v>33</v>
      </c>
      <c r="E214" s="62" t="str">
        <f t="shared" si="3"/>
        <v>Devil JhoPoison</v>
      </c>
      <c r="F214">
        <v>100</v>
      </c>
      <c r="G214">
        <v>165</v>
      </c>
      <c r="H214">
        <v>230</v>
      </c>
      <c r="I214">
        <v>295</v>
      </c>
      <c r="J214" s="29"/>
      <c r="K214" s="6">
        <v>180</v>
      </c>
      <c r="L214">
        <v>480</v>
      </c>
      <c r="M214">
        <v>780</v>
      </c>
      <c r="N214">
        <v>1080</v>
      </c>
      <c r="P214" s="6">
        <v>100</v>
      </c>
      <c r="Q214">
        <v>210</v>
      </c>
      <c r="R214">
        <v>320</v>
      </c>
      <c r="S214">
        <v>430</v>
      </c>
      <c r="U214" s="6"/>
      <c r="Z214" s="6">
        <v>100</v>
      </c>
      <c r="AA214">
        <v>204</v>
      </c>
      <c r="AB214">
        <v>308</v>
      </c>
      <c r="AC214">
        <v>412</v>
      </c>
      <c r="AE214" s="6">
        <v>100</v>
      </c>
      <c r="AF214">
        <v>348</v>
      </c>
      <c r="AG214">
        <v>596</v>
      </c>
      <c r="AH214">
        <v>844</v>
      </c>
      <c r="AJ214" s="6">
        <v>100</v>
      </c>
      <c r="AK214">
        <v>230</v>
      </c>
      <c r="AL214">
        <v>360</v>
      </c>
      <c r="AM214">
        <v>490</v>
      </c>
      <c r="AO214" s="6"/>
      <c r="AS214">
        <v>45</v>
      </c>
      <c r="AT214" t="s">
        <v>214</v>
      </c>
      <c r="AU214" t="s">
        <v>214</v>
      </c>
    </row>
    <row r="215" spans="1:47" x14ac:dyDescent="0.25">
      <c r="A215" s="63" t="s">
        <v>91</v>
      </c>
      <c r="B215" s="63" t="s">
        <v>226</v>
      </c>
      <c r="C215" s="63" t="s">
        <v>91</v>
      </c>
      <c r="D215" s="10" t="s">
        <v>22</v>
      </c>
      <c r="E215" s="62" t="str">
        <f t="shared" si="3"/>
        <v>Devil JhoExhaust</v>
      </c>
      <c r="F215">
        <v>288</v>
      </c>
      <c r="G215">
        <v>528</v>
      </c>
      <c r="H215">
        <v>768</v>
      </c>
      <c r="I215">
        <v>1008</v>
      </c>
      <c r="J215" s="29"/>
      <c r="K215" s="6">
        <v>288</v>
      </c>
      <c r="L215">
        <v>528</v>
      </c>
      <c r="M215">
        <v>768</v>
      </c>
      <c r="N215">
        <v>1008</v>
      </c>
      <c r="P215" s="6">
        <v>360</v>
      </c>
      <c r="Q215">
        <v>660</v>
      </c>
      <c r="R215">
        <v>960</v>
      </c>
      <c r="S215">
        <v>1260</v>
      </c>
      <c r="U215" s="6"/>
      <c r="Z215" s="6">
        <v>360</v>
      </c>
      <c r="AA215">
        <v>660</v>
      </c>
      <c r="AB215">
        <v>960</v>
      </c>
      <c r="AC215">
        <v>1260</v>
      </c>
      <c r="AE215" s="6">
        <v>360</v>
      </c>
      <c r="AF215">
        <v>660</v>
      </c>
      <c r="AG215">
        <v>960</v>
      </c>
      <c r="AH215">
        <v>1260</v>
      </c>
      <c r="AJ215" s="6">
        <v>450</v>
      </c>
      <c r="AK215">
        <v>825</v>
      </c>
      <c r="AL215">
        <v>1200</v>
      </c>
      <c r="AM215">
        <v>1575</v>
      </c>
      <c r="AO215" s="6"/>
      <c r="AS215"/>
      <c r="AT215" t="s">
        <v>214</v>
      </c>
      <c r="AU215" t="s">
        <v>214</v>
      </c>
    </row>
    <row r="216" spans="1:47" x14ac:dyDescent="0.25">
      <c r="A216" s="63" t="s">
        <v>91</v>
      </c>
      <c r="B216" s="63" t="s">
        <v>226</v>
      </c>
      <c r="C216" s="63" t="s">
        <v>91</v>
      </c>
      <c r="D216" s="30" t="s">
        <v>35</v>
      </c>
      <c r="E216" s="62" t="str">
        <f t="shared" si="3"/>
        <v>Devil JhoBlast</v>
      </c>
      <c r="F216">
        <v>130</v>
      </c>
      <c r="G216">
        <v>188</v>
      </c>
      <c r="H216">
        <v>246</v>
      </c>
      <c r="I216">
        <v>304</v>
      </c>
      <c r="K216" s="6">
        <v>130</v>
      </c>
      <c r="L216">
        <v>188</v>
      </c>
      <c r="M216">
        <v>246</v>
      </c>
      <c r="N216">
        <v>304</v>
      </c>
      <c r="P216" s="6">
        <v>130</v>
      </c>
      <c r="Q216">
        <v>229</v>
      </c>
      <c r="R216" s="6">
        <v>328</v>
      </c>
      <c r="S216">
        <v>427</v>
      </c>
      <c r="U216" s="6"/>
      <c r="Z216" s="6">
        <v>130</v>
      </c>
      <c r="AA216">
        <v>224</v>
      </c>
      <c r="AB216" s="6">
        <v>318</v>
      </c>
      <c r="AC216">
        <v>412</v>
      </c>
      <c r="AE216" s="6">
        <v>130</v>
      </c>
      <c r="AF216">
        <v>224</v>
      </c>
      <c r="AG216" s="6">
        <v>318</v>
      </c>
      <c r="AH216">
        <v>412</v>
      </c>
      <c r="AJ216" s="6">
        <v>130</v>
      </c>
      <c r="AK216">
        <v>246</v>
      </c>
      <c r="AL216">
        <v>362</v>
      </c>
      <c r="AM216">
        <v>478</v>
      </c>
      <c r="AO216" s="6"/>
      <c r="AS216"/>
      <c r="AT216" t="s">
        <v>214</v>
      </c>
      <c r="AU216" t="s">
        <v>214</v>
      </c>
    </row>
    <row r="217" spans="1:47" x14ac:dyDescent="0.25">
      <c r="A217" s="63" t="s">
        <v>91</v>
      </c>
      <c r="B217" s="63" t="s">
        <v>226</v>
      </c>
      <c r="C217" s="63" t="s">
        <v>91</v>
      </c>
      <c r="D217" s="34" t="s">
        <v>14</v>
      </c>
      <c r="E217" s="62" t="str">
        <f t="shared" si="3"/>
        <v>Devil JhoKO</v>
      </c>
      <c r="F217">
        <v>233</v>
      </c>
      <c r="G217">
        <v>428</v>
      </c>
      <c r="H217">
        <v>624</v>
      </c>
      <c r="I217">
        <v>819</v>
      </c>
      <c r="J217" s="29"/>
      <c r="K217" s="6">
        <v>233</v>
      </c>
      <c r="L217">
        <v>428</v>
      </c>
      <c r="M217">
        <v>623</v>
      </c>
      <c r="N217">
        <v>818</v>
      </c>
      <c r="P217" s="6">
        <v>270</v>
      </c>
      <c r="Q217">
        <v>495</v>
      </c>
      <c r="R217">
        <v>720</v>
      </c>
      <c r="S217">
        <v>945</v>
      </c>
      <c r="U217" s="6"/>
      <c r="Z217" s="6">
        <v>270</v>
      </c>
      <c r="AA217">
        <v>495</v>
      </c>
      <c r="AB217">
        <v>720</v>
      </c>
      <c r="AC217">
        <v>945</v>
      </c>
      <c r="AE217" s="6">
        <v>270</v>
      </c>
      <c r="AF217">
        <v>495</v>
      </c>
      <c r="AG217">
        <v>720</v>
      </c>
      <c r="AH217">
        <v>945</v>
      </c>
      <c r="AJ217" s="6">
        <v>360</v>
      </c>
      <c r="AK217">
        <v>660</v>
      </c>
      <c r="AL217">
        <v>960</v>
      </c>
      <c r="AM217">
        <v>1260</v>
      </c>
      <c r="AO217" s="6"/>
      <c r="AS217">
        <v>15</v>
      </c>
      <c r="AT217" t="s">
        <v>214</v>
      </c>
      <c r="AU217" t="s">
        <v>214</v>
      </c>
    </row>
    <row r="218" spans="1:47" x14ac:dyDescent="0.25">
      <c r="A218" s="63" t="s">
        <v>91</v>
      </c>
      <c r="B218" s="63" t="s">
        <v>226</v>
      </c>
      <c r="C218" s="63" t="s">
        <v>91</v>
      </c>
      <c r="D218" s="33" t="s">
        <v>34</v>
      </c>
      <c r="E218" s="62" t="str">
        <f t="shared" si="3"/>
        <v>Devil JhoMount</v>
      </c>
      <c r="F218">
        <v>96</v>
      </c>
      <c r="G218">
        <v>256</v>
      </c>
      <c r="H218">
        <v>416</v>
      </c>
      <c r="I218">
        <v>576</v>
      </c>
      <c r="K218" s="6">
        <v>96</v>
      </c>
      <c r="L218">
        <v>256</v>
      </c>
      <c r="M218">
        <v>416</v>
      </c>
      <c r="N218">
        <v>576</v>
      </c>
      <c r="P218" s="6">
        <v>108</v>
      </c>
      <c r="Q218">
        <v>288</v>
      </c>
      <c r="R218" s="6">
        <v>468</v>
      </c>
      <c r="S218">
        <v>648</v>
      </c>
      <c r="U218" s="6"/>
      <c r="Z218" s="6">
        <v>120</v>
      </c>
      <c r="AA218">
        <v>320</v>
      </c>
      <c r="AB218">
        <v>520</v>
      </c>
      <c r="AC218">
        <v>720</v>
      </c>
      <c r="AE218" s="6">
        <v>120</v>
      </c>
      <c r="AF218">
        <v>320</v>
      </c>
      <c r="AG218">
        <v>520</v>
      </c>
      <c r="AH218">
        <v>720</v>
      </c>
      <c r="AJ218" s="6">
        <v>120</v>
      </c>
      <c r="AK218">
        <v>320</v>
      </c>
      <c r="AL218">
        <v>520</v>
      </c>
      <c r="AM218">
        <v>720</v>
      </c>
      <c r="AO218" s="6"/>
      <c r="AS218"/>
      <c r="AT218" t="s">
        <v>214</v>
      </c>
      <c r="AU218" t="s">
        <v>214</v>
      </c>
    </row>
    <row r="219" spans="1:47" x14ac:dyDescent="0.25">
      <c r="A219" s="63" t="s">
        <v>91</v>
      </c>
      <c r="B219" s="63" t="s">
        <v>226</v>
      </c>
      <c r="C219" s="63" t="s">
        <v>91</v>
      </c>
      <c r="D219" s="77" t="s">
        <v>207</v>
      </c>
      <c r="E219" s="62" t="str">
        <f t="shared" si="3"/>
        <v>Devil JhoShock Trap</v>
      </c>
      <c r="K219" s="6"/>
      <c r="P219" s="6"/>
      <c r="U219" s="6"/>
      <c r="AE219" s="6"/>
      <c r="AJ219" s="6"/>
      <c r="AO219" s="6"/>
      <c r="AS219">
        <v>5</v>
      </c>
      <c r="AT219">
        <v>15</v>
      </c>
      <c r="AU219">
        <v>5</v>
      </c>
    </row>
    <row r="220" spans="1:47" s="56" customFormat="1" x14ac:dyDescent="0.25">
      <c r="A220" s="63" t="s">
        <v>91</v>
      </c>
      <c r="B220" s="63" t="s">
        <v>226</v>
      </c>
      <c r="C220" s="63" t="s">
        <v>91</v>
      </c>
      <c r="D220" s="79" t="s">
        <v>213</v>
      </c>
      <c r="E220" s="62" t="str">
        <f t="shared" si="3"/>
        <v>Devil JhoPitfall Trap</v>
      </c>
      <c r="K220" s="7"/>
      <c r="P220" s="7"/>
      <c r="U220" s="7"/>
      <c r="Z220" s="7"/>
      <c r="AE220" s="7"/>
      <c r="AJ220" s="7"/>
      <c r="AO220" s="7"/>
      <c r="AS220" s="56">
        <v>10</v>
      </c>
      <c r="AT220" s="56">
        <v>20</v>
      </c>
      <c r="AU220" s="56">
        <v>10</v>
      </c>
    </row>
    <row r="221" spans="1:47" s="36" customFormat="1" x14ac:dyDescent="0.25">
      <c r="A221" s="63" t="s">
        <v>91</v>
      </c>
      <c r="B221" s="63" t="s">
        <v>199</v>
      </c>
      <c r="C221" s="63" t="s">
        <v>91</v>
      </c>
      <c r="D221" s="37" t="s">
        <v>0</v>
      </c>
      <c r="E221" s="62" t="str">
        <f t="shared" si="3"/>
        <v>Devil Jho (Savage)Para</v>
      </c>
      <c r="F221" s="36">
        <v>180</v>
      </c>
      <c r="G221" s="36">
        <v>480</v>
      </c>
      <c r="H221" s="36">
        <v>780</v>
      </c>
      <c r="I221" s="36">
        <v>1080</v>
      </c>
      <c r="J221" s="61"/>
      <c r="K221" s="50"/>
      <c r="P221" s="6"/>
      <c r="Q221" s="46"/>
      <c r="R221" s="46"/>
      <c r="S221" s="46"/>
      <c r="U221" s="50"/>
      <c r="Z221" s="6">
        <v>180</v>
      </c>
      <c r="AA221" s="46">
        <v>620</v>
      </c>
      <c r="AB221" s="46">
        <v>1060</v>
      </c>
      <c r="AC221" s="46">
        <v>1500</v>
      </c>
      <c r="AE221" s="50"/>
      <c r="AJ221" s="6"/>
      <c r="AK221" s="46"/>
      <c r="AL221" s="46"/>
      <c r="AM221" s="46"/>
      <c r="AO221" s="50"/>
      <c r="AS221" s="36">
        <v>15</v>
      </c>
      <c r="AT221" s="36" t="s">
        <v>214</v>
      </c>
      <c r="AU221" s="36" t="s">
        <v>214</v>
      </c>
    </row>
    <row r="222" spans="1:47" x14ac:dyDescent="0.25">
      <c r="A222" s="63" t="s">
        <v>91</v>
      </c>
      <c r="B222" s="63" t="s">
        <v>199</v>
      </c>
      <c r="C222" s="63" t="s">
        <v>91</v>
      </c>
      <c r="D222" s="31" t="s">
        <v>32</v>
      </c>
      <c r="E222" s="62" t="str">
        <f t="shared" si="3"/>
        <v>Devil Jho (Savage)Sleep</v>
      </c>
      <c r="F222">
        <v>180</v>
      </c>
      <c r="G222">
        <v>480</v>
      </c>
      <c r="H222">
        <v>780</v>
      </c>
      <c r="I222">
        <v>1080</v>
      </c>
      <c r="K222" s="6"/>
      <c r="P222" s="6"/>
      <c r="U222" s="6"/>
      <c r="Z222" s="6">
        <v>180</v>
      </c>
      <c r="AA222">
        <v>620</v>
      </c>
      <c r="AB222">
        <v>1060</v>
      </c>
      <c r="AC222">
        <v>1500</v>
      </c>
      <c r="AE222" s="6"/>
      <c r="AJ222" s="6"/>
      <c r="AO222" s="6"/>
      <c r="AS222">
        <v>60</v>
      </c>
      <c r="AT222" t="s">
        <v>214</v>
      </c>
      <c r="AU222" t="s">
        <v>214</v>
      </c>
    </row>
    <row r="223" spans="1:47" x14ac:dyDescent="0.25">
      <c r="A223" s="63" t="s">
        <v>91</v>
      </c>
      <c r="B223" s="63" t="s">
        <v>199</v>
      </c>
      <c r="C223" s="63" t="s">
        <v>91</v>
      </c>
      <c r="D223" s="32" t="s">
        <v>33</v>
      </c>
      <c r="E223" s="62" t="str">
        <f t="shared" si="3"/>
        <v>Devil Jho (Savage)Poison</v>
      </c>
      <c r="F223">
        <v>180</v>
      </c>
      <c r="G223">
        <v>480</v>
      </c>
      <c r="H223">
        <v>780</v>
      </c>
      <c r="I223">
        <v>1080</v>
      </c>
      <c r="J223" s="29"/>
      <c r="K223" s="6"/>
      <c r="P223" s="6"/>
      <c r="U223" s="6"/>
      <c r="Z223" s="6">
        <v>100</v>
      </c>
      <c r="AA223">
        <v>210</v>
      </c>
      <c r="AB223">
        <v>320</v>
      </c>
      <c r="AC223">
        <v>430</v>
      </c>
      <c r="AE223" s="6"/>
      <c r="AJ223" s="6"/>
      <c r="AO223" s="6"/>
      <c r="AS223">
        <v>45</v>
      </c>
      <c r="AT223" t="s">
        <v>214</v>
      </c>
      <c r="AU223" t="s">
        <v>214</v>
      </c>
    </row>
    <row r="224" spans="1:47" x14ac:dyDescent="0.25">
      <c r="A224" s="63" t="s">
        <v>91</v>
      </c>
      <c r="B224" s="63" t="s">
        <v>199</v>
      </c>
      <c r="C224" s="63" t="s">
        <v>91</v>
      </c>
      <c r="D224" s="10" t="s">
        <v>22</v>
      </c>
      <c r="E224" s="62" t="str">
        <f t="shared" si="3"/>
        <v>Devil Jho (Savage)Exhaust</v>
      </c>
      <c r="F224">
        <v>288</v>
      </c>
      <c r="G224">
        <v>528</v>
      </c>
      <c r="H224">
        <v>768</v>
      </c>
      <c r="I224">
        <v>1008</v>
      </c>
      <c r="J224" s="29"/>
      <c r="K224" s="6"/>
      <c r="P224" s="6"/>
      <c r="U224" s="6"/>
      <c r="Z224" s="6">
        <v>377</v>
      </c>
      <c r="AA224">
        <v>692</v>
      </c>
      <c r="AB224">
        <v>1007</v>
      </c>
      <c r="AC224">
        <v>1322</v>
      </c>
      <c r="AE224" s="6"/>
      <c r="AJ224" s="6"/>
      <c r="AO224" s="6"/>
      <c r="AS224"/>
      <c r="AT224" t="s">
        <v>214</v>
      </c>
      <c r="AU224" t="s">
        <v>214</v>
      </c>
    </row>
    <row r="225" spans="1:47" x14ac:dyDescent="0.25">
      <c r="A225" s="63" t="s">
        <v>91</v>
      </c>
      <c r="B225" s="63" t="s">
        <v>199</v>
      </c>
      <c r="C225" s="63" t="s">
        <v>91</v>
      </c>
      <c r="D225" s="30" t="s">
        <v>35</v>
      </c>
      <c r="E225" s="62" t="str">
        <f t="shared" si="3"/>
        <v>Devil Jho (Savage)Blast</v>
      </c>
      <c r="F225">
        <v>130</v>
      </c>
      <c r="G225">
        <v>197</v>
      </c>
      <c r="H225">
        <v>264</v>
      </c>
      <c r="I225">
        <v>331</v>
      </c>
      <c r="K225" s="6"/>
      <c r="P225" s="6"/>
      <c r="R225" s="6"/>
      <c r="U225" s="6"/>
      <c r="Z225" s="6">
        <v>130</v>
      </c>
      <c r="AA225">
        <v>224</v>
      </c>
      <c r="AB225" s="6">
        <v>318</v>
      </c>
      <c r="AC225">
        <v>412</v>
      </c>
      <c r="AE225" s="6"/>
      <c r="AG225" s="6"/>
      <c r="AJ225" s="6"/>
      <c r="AO225" s="6"/>
      <c r="AS225"/>
      <c r="AT225" t="s">
        <v>214</v>
      </c>
      <c r="AU225" t="s">
        <v>214</v>
      </c>
    </row>
    <row r="226" spans="1:47" x14ac:dyDescent="0.25">
      <c r="A226" s="63" t="s">
        <v>91</v>
      </c>
      <c r="B226" s="63" t="s">
        <v>199</v>
      </c>
      <c r="C226" s="63" t="s">
        <v>91</v>
      </c>
      <c r="D226" s="34" t="s">
        <v>14</v>
      </c>
      <c r="E226" s="62" t="str">
        <f t="shared" si="3"/>
        <v>Devil Jho (Savage)KO</v>
      </c>
      <c r="F226">
        <v>233</v>
      </c>
      <c r="G226">
        <v>428</v>
      </c>
      <c r="H226">
        <v>623</v>
      </c>
      <c r="I226">
        <v>818</v>
      </c>
      <c r="J226" s="29"/>
      <c r="K226" s="6"/>
      <c r="P226" s="6"/>
      <c r="U226" s="6"/>
      <c r="Z226" s="6">
        <v>270</v>
      </c>
      <c r="AA226">
        <v>495</v>
      </c>
      <c r="AB226">
        <v>720</v>
      </c>
      <c r="AC226">
        <v>945</v>
      </c>
      <c r="AE226" s="6"/>
      <c r="AJ226" s="6"/>
      <c r="AO226" s="6"/>
      <c r="AS226">
        <v>15</v>
      </c>
      <c r="AT226" t="s">
        <v>214</v>
      </c>
      <c r="AU226" t="s">
        <v>214</v>
      </c>
    </row>
    <row r="227" spans="1:47" x14ac:dyDescent="0.25">
      <c r="A227" s="63" t="s">
        <v>91</v>
      </c>
      <c r="B227" s="63" t="s">
        <v>199</v>
      </c>
      <c r="C227" s="63" t="s">
        <v>91</v>
      </c>
      <c r="D227" s="33" t="s">
        <v>34</v>
      </c>
      <c r="E227" s="62" t="str">
        <f t="shared" si="3"/>
        <v>Devil Jho (Savage)Mount</v>
      </c>
      <c r="F227">
        <v>96</v>
      </c>
      <c r="G227">
        <v>256</v>
      </c>
      <c r="H227">
        <v>416</v>
      </c>
      <c r="I227">
        <v>576</v>
      </c>
      <c r="K227" s="6"/>
      <c r="P227" s="6"/>
      <c r="R227" s="6"/>
      <c r="U227" s="6"/>
      <c r="Z227" s="6">
        <v>120</v>
      </c>
      <c r="AA227">
        <v>320</v>
      </c>
      <c r="AB227">
        <v>520</v>
      </c>
      <c r="AC227">
        <v>720</v>
      </c>
      <c r="AE227" s="6"/>
      <c r="AJ227" s="6"/>
      <c r="AO227" s="6"/>
      <c r="AS227"/>
      <c r="AT227" t="s">
        <v>214</v>
      </c>
      <c r="AU227" t="s">
        <v>214</v>
      </c>
    </row>
    <row r="228" spans="1:47" x14ac:dyDescent="0.25">
      <c r="A228" s="63" t="s">
        <v>91</v>
      </c>
      <c r="B228" s="63" t="s">
        <v>199</v>
      </c>
      <c r="C228" s="63" t="s">
        <v>91</v>
      </c>
      <c r="D228" s="77" t="s">
        <v>207</v>
      </c>
      <c r="E228" s="62" t="str">
        <f t="shared" si="3"/>
        <v>Devil Jho (Savage)Shock Trap</v>
      </c>
      <c r="K228" s="6"/>
      <c r="P228" s="6"/>
      <c r="U228" s="6"/>
      <c r="AE228" s="6"/>
      <c r="AJ228" s="6"/>
      <c r="AO228" s="6"/>
      <c r="AS228">
        <v>5</v>
      </c>
      <c r="AT228">
        <v>15</v>
      </c>
      <c r="AU228">
        <v>5</v>
      </c>
    </row>
    <row r="229" spans="1:47" s="56" customFormat="1" x14ac:dyDescent="0.25">
      <c r="A229" s="63" t="s">
        <v>91</v>
      </c>
      <c r="B229" s="63" t="s">
        <v>199</v>
      </c>
      <c r="C229" s="63" t="s">
        <v>91</v>
      </c>
      <c r="D229" s="79" t="s">
        <v>213</v>
      </c>
      <c r="E229" s="62" t="str">
        <f t="shared" si="3"/>
        <v>Devil Jho (Savage)Pitfall Trap</v>
      </c>
      <c r="K229" s="7"/>
      <c r="P229" s="7"/>
      <c r="U229" s="7"/>
      <c r="Z229" s="7"/>
      <c r="AE229" s="7"/>
      <c r="AJ229" s="7"/>
      <c r="AO229" s="7"/>
      <c r="AS229" s="56">
        <v>10</v>
      </c>
      <c r="AT229" s="56">
        <v>20</v>
      </c>
      <c r="AU229" s="56">
        <v>10</v>
      </c>
    </row>
    <row r="230" spans="1:47" s="36" customFormat="1" x14ac:dyDescent="0.25">
      <c r="A230" s="63" t="s">
        <v>184</v>
      </c>
      <c r="B230" s="63" t="s">
        <v>194</v>
      </c>
      <c r="C230" s="63" t="s">
        <v>184</v>
      </c>
      <c r="D230" s="37" t="s">
        <v>0</v>
      </c>
      <c r="E230" s="62" t="str">
        <f t="shared" si="3"/>
        <v>DiablosPara</v>
      </c>
      <c r="F230" s="36">
        <v>200</v>
      </c>
      <c r="G230" s="36">
        <v>390</v>
      </c>
      <c r="H230" s="36">
        <v>580</v>
      </c>
      <c r="I230" s="36">
        <v>770</v>
      </c>
      <c r="J230" s="61"/>
      <c r="K230" s="50"/>
      <c r="P230" s="6"/>
      <c r="Q230" s="46"/>
      <c r="R230" s="46"/>
      <c r="S230" s="46"/>
      <c r="U230" s="50"/>
      <c r="Z230" s="6">
        <v>200</v>
      </c>
      <c r="AA230" s="46">
        <v>420</v>
      </c>
      <c r="AB230" s="46">
        <v>640</v>
      </c>
      <c r="AC230" s="46">
        <v>860</v>
      </c>
      <c r="AE230" s="50"/>
      <c r="AJ230" s="6">
        <v>200</v>
      </c>
      <c r="AK230" s="46">
        <v>470</v>
      </c>
      <c r="AL230" s="46">
        <v>740</v>
      </c>
      <c r="AM230" s="46">
        <v>1010</v>
      </c>
      <c r="AO230" s="50"/>
      <c r="AS230" s="36">
        <v>15</v>
      </c>
      <c r="AT230" s="36" t="s">
        <v>214</v>
      </c>
      <c r="AU230" s="36" t="s">
        <v>214</v>
      </c>
    </row>
    <row r="231" spans="1:47" x14ac:dyDescent="0.25">
      <c r="A231" s="63" t="s">
        <v>184</v>
      </c>
      <c r="B231" s="63" t="s">
        <v>194</v>
      </c>
      <c r="C231" s="63" t="s">
        <v>184</v>
      </c>
      <c r="D231" s="31" t="s">
        <v>32</v>
      </c>
      <c r="E231" s="62" t="str">
        <f t="shared" si="3"/>
        <v>DiablosSleep</v>
      </c>
      <c r="F231">
        <v>150</v>
      </c>
      <c r="G231">
        <v>245</v>
      </c>
      <c r="H231">
        <v>340</v>
      </c>
      <c r="I231">
        <v>435</v>
      </c>
      <c r="K231" s="6"/>
      <c r="P231" s="6"/>
      <c r="U231" s="6"/>
      <c r="Z231" s="6">
        <v>150</v>
      </c>
      <c r="AA231">
        <f>199+61</f>
        <v>260</v>
      </c>
      <c r="AB231">
        <v>150</v>
      </c>
      <c r="AC231">
        <f>199+61</f>
        <v>260</v>
      </c>
      <c r="AE231" s="6"/>
      <c r="AJ231" s="6">
        <v>150</v>
      </c>
      <c r="AK231">
        <v>285</v>
      </c>
      <c r="AL231">
        <v>420</v>
      </c>
      <c r="AM231">
        <v>555</v>
      </c>
      <c r="AO231" s="6"/>
      <c r="AS231">
        <v>40</v>
      </c>
      <c r="AT231" t="s">
        <v>214</v>
      </c>
      <c r="AU231" t="s">
        <v>214</v>
      </c>
    </row>
    <row r="232" spans="1:47" x14ac:dyDescent="0.25">
      <c r="A232" s="63" t="s">
        <v>184</v>
      </c>
      <c r="B232" s="63" t="s">
        <v>194</v>
      </c>
      <c r="C232" s="63" t="s">
        <v>184</v>
      </c>
      <c r="D232" s="32" t="s">
        <v>33</v>
      </c>
      <c r="E232" s="62" t="str">
        <f t="shared" si="3"/>
        <v>DiablosPoison</v>
      </c>
      <c r="F232">
        <v>100</v>
      </c>
      <c r="G232">
        <v>195</v>
      </c>
      <c r="H232">
        <v>290</v>
      </c>
      <c r="I232">
        <v>385</v>
      </c>
      <c r="J232" s="29"/>
      <c r="K232" s="6"/>
      <c r="P232" s="6"/>
      <c r="U232" s="6"/>
      <c r="Z232" s="6">
        <v>100</v>
      </c>
      <c r="AA232">
        <v>210</v>
      </c>
      <c r="AB232">
        <v>320</v>
      </c>
      <c r="AC232">
        <v>430</v>
      </c>
      <c r="AE232" s="6"/>
      <c r="AJ232" s="6">
        <v>100</v>
      </c>
      <c r="AK232">
        <v>235</v>
      </c>
      <c r="AL232">
        <v>370</v>
      </c>
      <c r="AM232">
        <v>505</v>
      </c>
      <c r="AO232" s="6"/>
      <c r="AS232">
        <v>80</v>
      </c>
      <c r="AT232" t="s">
        <v>214</v>
      </c>
      <c r="AU232" t="s">
        <v>214</v>
      </c>
    </row>
    <row r="233" spans="1:47" x14ac:dyDescent="0.25">
      <c r="A233" s="63" t="s">
        <v>184</v>
      </c>
      <c r="B233" s="63" t="s">
        <v>194</v>
      </c>
      <c r="C233" s="63" t="s">
        <v>184</v>
      </c>
      <c r="D233" s="10" t="s">
        <v>22</v>
      </c>
      <c r="E233" s="62" t="str">
        <f t="shared" si="3"/>
        <v>DiablosExhaust</v>
      </c>
      <c r="F233">
        <v>540</v>
      </c>
      <c r="G233">
        <v>720</v>
      </c>
      <c r="H233">
        <v>900</v>
      </c>
      <c r="I233">
        <v>1080</v>
      </c>
      <c r="J233" s="29"/>
      <c r="K233" s="6"/>
      <c r="P233" s="6"/>
      <c r="U233" s="6"/>
      <c r="Z233" s="6">
        <v>600</v>
      </c>
      <c r="AA233">
        <v>800</v>
      </c>
      <c r="AB233">
        <v>1000</v>
      </c>
      <c r="AC233">
        <v>1200</v>
      </c>
      <c r="AE233" s="6"/>
      <c r="AJ233" s="6">
        <v>750</v>
      </c>
      <c r="AK233">
        <v>1000</v>
      </c>
      <c r="AL233">
        <v>1250</v>
      </c>
      <c r="AM233">
        <v>1500</v>
      </c>
      <c r="AO233" s="6"/>
      <c r="AS233"/>
      <c r="AT233" t="s">
        <v>214</v>
      </c>
      <c r="AU233" t="s">
        <v>214</v>
      </c>
    </row>
    <row r="234" spans="1:47" x14ac:dyDescent="0.25">
      <c r="A234" s="63" t="s">
        <v>184</v>
      </c>
      <c r="B234" s="63" t="s">
        <v>194</v>
      </c>
      <c r="C234" s="63" t="s">
        <v>184</v>
      </c>
      <c r="D234" s="30" t="s">
        <v>35</v>
      </c>
      <c r="E234" s="62" t="str">
        <f t="shared" si="3"/>
        <v>DiablosBlast</v>
      </c>
      <c r="F234">
        <v>70</v>
      </c>
      <c r="G234">
        <v>174</v>
      </c>
      <c r="H234">
        <v>278</v>
      </c>
      <c r="I234">
        <v>382</v>
      </c>
      <c r="K234" s="6"/>
      <c r="P234" s="6"/>
      <c r="R234" s="6"/>
      <c r="U234" s="6"/>
      <c r="Z234" s="6">
        <v>70</v>
      </c>
      <c r="AA234">
        <v>191</v>
      </c>
      <c r="AB234" s="6">
        <v>312</v>
      </c>
      <c r="AC234">
        <v>433</v>
      </c>
      <c r="AE234" s="6"/>
      <c r="AG234" s="6"/>
      <c r="AJ234" s="6">
        <v>70</v>
      </c>
      <c r="AK234">
        <v>218</v>
      </c>
      <c r="AL234">
        <v>366</v>
      </c>
      <c r="AM234">
        <v>514</v>
      </c>
      <c r="AO234" s="6"/>
      <c r="AS234"/>
      <c r="AT234" t="s">
        <v>214</v>
      </c>
      <c r="AU234" t="s">
        <v>214</v>
      </c>
    </row>
    <row r="235" spans="1:47" x14ac:dyDescent="0.25">
      <c r="A235" s="63" t="s">
        <v>184</v>
      </c>
      <c r="B235" s="63" t="s">
        <v>194</v>
      </c>
      <c r="C235" s="63" t="s">
        <v>184</v>
      </c>
      <c r="D235" s="34" t="s">
        <v>14</v>
      </c>
      <c r="E235" s="62" t="str">
        <f t="shared" si="3"/>
        <v>DiablosKO</v>
      </c>
      <c r="F235">
        <v>210</v>
      </c>
      <c r="G235">
        <v>350</v>
      </c>
      <c r="H235">
        <v>490</v>
      </c>
      <c r="I235">
        <v>630</v>
      </c>
      <c r="J235" s="29"/>
      <c r="K235" s="6"/>
      <c r="P235" s="6"/>
      <c r="U235" s="6"/>
      <c r="Z235" s="6">
        <v>225</v>
      </c>
      <c r="AA235">
        <v>375</v>
      </c>
      <c r="AB235">
        <v>525</v>
      </c>
      <c r="AC235">
        <v>675</v>
      </c>
      <c r="AE235" s="6"/>
      <c r="AJ235" s="6">
        <v>300</v>
      </c>
      <c r="AK235">
        <v>500</v>
      </c>
      <c r="AL235">
        <v>700</v>
      </c>
      <c r="AM235">
        <v>900</v>
      </c>
      <c r="AO235" s="6"/>
      <c r="AS235">
        <v>15</v>
      </c>
      <c r="AT235" t="s">
        <v>214</v>
      </c>
      <c r="AU235" t="s">
        <v>214</v>
      </c>
    </row>
    <row r="236" spans="1:47" x14ac:dyDescent="0.25">
      <c r="A236" s="63" t="s">
        <v>184</v>
      </c>
      <c r="B236" s="63" t="s">
        <v>194</v>
      </c>
      <c r="C236" s="63" t="s">
        <v>184</v>
      </c>
      <c r="D236" s="33" t="s">
        <v>34</v>
      </c>
      <c r="E236" s="62" t="str">
        <f t="shared" si="3"/>
        <v>DiablosMount</v>
      </c>
      <c r="F236">
        <v>119</v>
      </c>
      <c r="G236">
        <v>272</v>
      </c>
      <c r="H236">
        <v>425</v>
      </c>
      <c r="I236">
        <v>578</v>
      </c>
      <c r="K236" s="6"/>
      <c r="P236" s="6"/>
      <c r="R236" s="6"/>
      <c r="U236" s="6"/>
      <c r="Z236" s="6">
        <v>126</v>
      </c>
      <c r="AA236">
        <v>288</v>
      </c>
      <c r="AB236">
        <v>450</v>
      </c>
      <c r="AC236">
        <v>612</v>
      </c>
      <c r="AE236" s="6"/>
      <c r="AJ236" s="6">
        <v>140</v>
      </c>
      <c r="AK236">
        <v>320</v>
      </c>
      <c r="AL236">
        <v>500</v>
      </c>
      <c r="AM236">
        <v>680</v>
      </c>
      <c r="AO236" s="6"/>
      <c r="AS236"/>
      <c r="AT236" t="s">
        <v>214</v>
      </c>
      <c r="AU236" t="s">
        <v>214</v>
      </c>
    </row>
    <row r="237" spans="1:47" x14ac:dyDescent="0.25">
      <c r="A237" s="63" t="s">
        <v>184</v>
      </c>
      <c r="B237" s="63" t="s">
        <v>194</v>
      </c>
      <c r="C237" s="63" t="s">
        <v>184</v>
      </c>
      <c r="D237" s="77" t="s">
        <v>207</v>
      </c>
      <c r="E237" s="62" t="str">
        <f t="shared" si="3"/>
        <v>DiablosShock Trap</v>
      </c>
      <c r="K237" s="6"/>
      <c r="P237" s="6"/>
      <c r="U237" s="6"/>
      <c r="AE237" s="6"/>
      <c r="AJ237" s="6"/>
      <c r="AO237" s="6"/>
      <c r="AS237">
        <v>10</v>
      </c>
      <c r="AT237">
        <v>15</v>
      </c>
      <c r="AU237">
        <v>10</v>
      </c>
    </row>
    <row r="238" spans="1:47" s="56" customFormat="1" x14ac:dyDescent="0.25">
      <c r="A238" s="63" t="s">
        <v>184</v>
      </c>
      <c r="B238" s="63" t="s">
        <v>194</v>
      </c>
      <c r="C238" s="63" t="s">
        <v>184</v>
      </c>
      <c r="D238" s="79" t="s">
        <v>213</v>
      </c>
      <c r="E238" s="62" t="str">
        <f t="shared" si="3"/>
        <v>DiablosPitfall Trap</v>
      </c>
      <c r="K238" s="7"/>
      <c r="P238" s="7"/>
      <c r="U238" s="7"/>
      <c r="Z238" s="7"/>
      <c r="AE238" s="7"/>
      <c r="AJ238" s="7"/>
      <c r="AO238" s="7"/>
      <c r="AS238" s="56">
        <v>10</v>
      </c>
      <c r="AT238" s="56">
        <v>20</v>
      </c>
      <c r="AU238" s="56">
        <v>10</v>
      </c>
    </row>
    <row r="239" spans="1:47" s="36" customFormat="1" x14ac:dyDescent="0.25">
      <c r="A239" s="63" t="s">
        <v>171</v>
      </c>
      <c r="B239" s="63" t="s">
        <v>238</v>
      </c>
      <c r="C239" s="63" t="s">
        <v>171</v>
      </c>
      <c r="D239" s="37" t="s">
        <v>0</v>
      </c>
      <c r="E239" s="62" t="str">
        <f t="shared" si="3"/>
        <v>Dreadking RathalosPara</v>
      </c>
      <c r="J239" s="61"/>
      <c r="K239" s="50"/>
      <c r="P239" s="6"/>
      <c r="Q239" s="46"/>
      <c r="R239" s="46"/>
      <c r="S239" s="46"/>
      <c r="U239" s="50"/>
      <c r="Z239" s="6"/>
      <c r="AA239" s="46"/>
      <c r="AB239" s="46"/>
      <c r="AC239" s="46"/>
      <c r="AE239" s="50"/>
      <c r="AJ239" s="6"/>
      <c r="AK239" s="46"/>
      <c r="AL239" s="46"/>
      <c r="AM239" s="46"/>
      <c r="AO239" s="50"/>
      <c r="AS239" s="36">
        <v>10</v>
      </c>
      <c r="AT239" s="36" t="s">
        <v>214</v>
      </c>
      <c r="AU239" s="36" t="s">
        <v>214</v>
      </c>
    </row>
    <row r="240" spans="1:47" x14ac:dyDescent="0.25">
      <c r="A240" s="63" t="s">
        <v>171</v>
      </c>
      <c r="B240" s="63" t="s">
        <v>238</v>
      </c>
      <c r="C240" s="63" t="s">
        <v>171</v>
      </c>
      <c r="D240" s="31" t="s">
        <v>32</v>
      </c>
      <c r="E240" s="62" t="str">
        <f t="shared" si="3"/>
        <v>Dreadking RathalosSleep</v>
      </c>
      <c r="K240" s="6"/>
      <c r="P240" s="6"/>
      <c r="U240" s="6"/>
      <c r="AE240" s="6"/>
      <c r="AJ240" s="6"/>
      <c r="AO240" s="6"/>
      <c r="AS240">
        <v>40</v>
      </c>
      <c r="AT240" t="s">
        <v>214</v>
      </c>
      <c r="AU240" t="s">
        <v>214</v>
      </c>
    </row>
    <row r="241" spans="1:47" x14ac:dyDescent="0.25">
      <c r="A241" s="63" t="s">
        <v>171</v>
      </c>
      <c r="B241" s="63" t="s">
        <v>238</v>
      </c>
      <c r="C241" s="63" t="s">
        <v>171</v>
      </c>
      <c r="D241" s="32" t="s">
        <v>33</v>
      </c>
      <c r="E241" s="62" t="str">
        <f t="shared" si="3"/>
        <v>Dreadking RathalosPoison</v>
      </c>
      <c r="J241" s="29"/>
      <c r="K241" s="6"/>
      <c r="P241" s="6"/>
      <c r="U241" s="6"/>
      <c r="AE241" s="6"/>
      <c r="AJ241" s="6"/>
      <c r="AO241" s="6"/>
      <c r="AS241">
        <v>60</v>
      </c>
      <c r="AT241" t="s">
        <v>214</v>
      </c>
      <c r="AU241" t="s">
        <v>214</v>
      </c>
    </row>
    <row r="242" spans="1:47" x14ac:dyDescent="0.25">
      <c r="A242" s="63" t="s">
        <v>171</v>
      </c>
      <c r="B242" s="63" t="s">
        <v>238</v>
      </c>
      <c r="C242" s="63" t="s">
        <v>171</v>
      </c>
      <c r="D242" s="10" t="s">
        <v>22</v>
      </c>
      <c r="E242" s="62" t="str">
        <f t="shared" si="3"/>
        <v>Dreadking RathalosExhaust</v>
      </c>
      <c r="J242" s="29"/>
      <c r="K242" s="6"/>
      <c r="P242" s="6"/>
      <c r="U242" s="6"/>
      <c r="AE242" s="6"/>
      <c r="AJ242" s="6"/>
      <c r="AO242" s="6"/>
      <c r="AS242"/>
      <c r="AT242" t="s">
        <v>214</v>
      </c>
      <c r="AU242" t="s">
        <v>214</v>
      </c>
    </row>
    <row r="243" spans="1:47" x14ac:dyDescent="0.25">
      <c r="A243" s="63" t="s">
        <v>171</v>
      </c>
      <c r="B243" s="63" t="s">
        <v>238</v>
      </c>
      <c r="C243" s="63" t="s">
        <v>171</v>
      </c>
      <c r="D243" s="30" t="s">
        <v>35</v>
      </c>
      <c r="E243" s="62" t="str">
        <f t="shared" si="3"/>
        <v>Dreadking RathalosBlast</v>
      </c>
      <c r="K243" s="6"/>
      <c r="P243" s="6"/>
      <c r="R243" s="6"/>
      <c r="U243" s="6"/>
      <c r="AB243" s="6"/>
      <c r="AE243" s="6"/>
      <c r="AG243" s="6"/>
      <c r="AJ243" s="6"/>
      <c r="AO243" s="6"/>
      <c r="AS243"/>
      <c r="AT243" t="s">
        <v>214</v>
      </c>
      <c r="AU243" t="s">
        <v>214</v>
      </c>
    </row>
    <row r="244" spans="1:47" x14ac:dyDescent="0.25">
      <c r="A244" s="63" t="s">
        <v>171</v>
      </c>
      <c r="B244" s="63" t="s">
        <v>238</v>
      </c>
      <c r="C244" s="63" t="s">
        <v>171</v>
      </c>
      <c r="D244" s="34" t="s">
        <v>14</v>
      </c>
      <c r="E244" s="62" t="str">
        <f t="shared" si="3"/>
        <v>Dreadking RathalosKO</v>
      </c>
      <c r="J244" s="29"/>
      <c r="K244" s="6"/>
      <c r="P244" s="6"/>
      <c r="U244" s="6"/>
      <c r="AE244" s="6"/>
      <c r="AJ244" s="6"/>
      <c r="AO244" s="6"/>
      <c r="AS244">
        <v>10</v>
      </c>
      <c r="AT244" t="s">
        <v>214</v>
      </c>
      <c r="AU244" t="s">
        <v>214</v>
      </c>
    </row>
    <row r="245" spans="1:47" x14ac:dyDescent="0.25">
      <c r="A245" s="63" t="s">
        <v>171</v>
      </c>
      <c r="B245" s="63" t="s">
        <v>238</v>
      </c>
      <c r="C245" s="63" t="s">
        <v>171</v>
      </c>
      <c r="D245" s="33" t="s">
        <v>34</v>
      </c>
      <c r="E245" s="62" t="str">
        <f t="shared" si="3"/>
        <v>Dreadking RathalosMount</v>
      </c>
      <c r="K245" s="6"/>
      <c r="P245" s="6"/>
      <c r="R245" s="6"/>
      <c r="U245" s="6"/>
      <c r="AE245" s="6"/>
      <c r="AJ245" s="6"/>
      <c r="AO245" s="6"/>
      <c r="AS245"/>
      <c r="AT245" t="s">
        <v>214</v>
      </c>
      <c r="AU245" t="s">
        <v>214</v>
      </c>
    </row>
    <row r="246" spans="1:47" x14ac:dyDescent="0.25">
      <c r="A246" s="63" t="s">
        <v>171</v>
      </c>
      <c r="B246" s="63" t="s">
        <v>238</v>
      </c>
      <c r="C246" s="63" t="s">
        <v>171</v>
      </c>
      <c r="D246" s="77" t="s">
        <v>207</v>
      </c>
      <c r="E246" s="62" t="str">
        <f t="shared" si="3"/>
        <v>Dreadking RathalosShock Trap</v>
      </c>
      <c r="K246" s="6"/>
      <c r="P246" s="6"/>
      <c r="U246" s="6"/>
      <c r="AE246" s="6"/>
      <c r="AJ246" s="6"/>
      <c r="AO246" s="6"/>
      <c r="AS246">
        <v>5</v>
      </c>
      <c r="AT246">
        <v>15</v>
      </c>
      <c r="AU246">
        <v>8</v>
      </c>
    </row>
    <row r="247" spans="1:47" s="56" customFormat="1" x14ac:dyDescent="0.25">
      <c r="A247" s="63" t="s">
        <v>171</v>
      </c>
      <c r="B247" s="63" t="s">
        <v>238</v>
      </c>
      <c r="C247" s="63" t="s">
        <v>171</v>
      </c>
      <c r="D247" s="79" t="s">
        <v>213</v>
      </c>
      <c r="E247" s="62" t="str">
        <f t="shared" si="3"/>
        <v>Dreadking RathalosPitfall Trap</v>
      </c>
      <c r="K247" s="7"/>
      <c r="P247" s="7"/>
      <c r="U247" s="7"/>
      <c r="Z247" s="7"/>
      <c r="AE247" s="7"/>
      <c r="AJ247" s="7"/>
      <c r="AO247" s="7"/>
      <c r="AS247" s="56">
        <v>10</v>
      </c>
      <c r="AT247" s="56">
        <v>25</v>
      </c>
      <c r="AU247" s="56">
        <v>12</v>
      </c>
    </row>
    <row r="248" spans="1:47" s="36" customFormat="1" x14ac:dyDescent="0.25">
      <c r="A248" s="63" t="s">
        <v>171</v>
      </c>
      <c r="B248" s="63" t="s">
        <v>237</v>
      </c>
      <c r="C248" s="63" t="s">
        <v>171</v>
      </c>
      <c r="D248" s="37" t="s">
        <v>0</v>
      </c>
      <c r="E248" s="62" t="str">
        <f t="shared" si="3"/>
        <v>Dreadqueen RathianPara</v>
      </c>
      <c r="J248" s="61"/>
      <c r="K248" s="50"/>
      <c r="P248" s="6"/>
      <c r="Q248" s="46"/>
      <c r="R248" s="46"/>
      <c r="S248" s="46"/>
      <c r="U248" s="50"/>
      <c r="Z248" s="6"/>
      <c r="AA248" s="46"/>
      <c r="AB248" s="46"/>
      <c r="AC248" s="46"/>
      <c r="AE248" s="50"/>
      <c r="AJ248" s="6"/>
      <c r="AK248" s="46"/>
      <c r="AL248" s="46"/>
      <c r="AM248" s="46"/>
      <c r="AO248" s="50"/>
      <c r="AS248" s="36">
        <v>10</v>
      </c>
      <c r="AT248" s="36" t="s">
        <v>214</v>
      </c>
      <c r="AU248" s="36" t="s">
        <v>214</v>
      </c>
    </row>
    <row r="249" spans="1:47" x14ac:dyDescent="0.25">
      <c r="A249" s="63" t="s">
        <v>171</v>
      </c>
      <c r="B249" s="63" t="s">
        <v>237</v>
      </c>
      <c r="C249" s="63" t="s">
        <v>171</v>
      </c>
      <c r="D249" s="31" t="s">
        <v>32</v>
      </c>
      <c r="E249" s="62" t="str">
        <f t="shared" si="3"/>
        <v>Dreadqueen RathianSleep</v>
      </c>
      <c r="K249" s="6"/>
      <c r="P249" s="6"/>
      <c r="U249" s="6"/>
      <c r="AE249" s="6"/>
      <c r="AJ249" s="6"/>
      <c r="AO249" s="6"/>
      <c r="AS249">
        <v>40</v>
      </c>
      <c r="AT249" t="s">
        <v>214</v>
      </c>
      <c r="AU249" t="s">
        <v>214</v>
      </c>
    </row>
    <row r="250" spans="1:47" x14ac:dyDescent="0.25">
      <c r="A250" s="63" t="s">
        <v>171</v>
      </c>
      <c r="B250" s="63" t="s">
        <v>237</v>
      </c>
      <c r="C250" s="63" t="s">
        <v>171</v>
      </c>
      <c r="D250" s="32" t="s">
        <v>33</v>
      </c>
      <c r="E250" s="62" t="str">
        <f t="shared" si="3"/>
        <v>Dreadqueen RathianPoison</v>
      </c>
      <c r="J250" s="29"/>
      <c r="K250" s="6"/>
      <c r="P250" s="6"/>
      <c r="U250" s="6"/>
      <c r="AE250" s="6"/>
      <c r="AJ250" s="6"/>
      <c r="AO250" s="6"/>
      <c r="AS250">
        <v>60</v>
      </c>
      <c r="AT250" t="s">
        <v>214</v>
      </c>
      <c r="AU250" t="s">
        <v>214</v>
      </c>
    </row>
    <row r="251" spans="1:47" x14ac:dyDescent="0.25">
      <c r="A251" s="63" t="s">
        <v>171</v>
      </c>
      <c r="B251" s="63" t="s">
        <v>237</v>
      </c>
      <c r="C251" s="63" t="s">
        <v>171</v>
      </c>
      <c r="D251" s="10" t="s">
        <v>22</v>
      </c>
      <c r="E251" s="62" t="str">
        <f t="shared" si="3"/>
        <v>Dreadqueen RathianExhaust</v>
      </c>
      <c r="J251" s="29"/>
      <c r="K251" s="6"/>
      <c r="P251" s="6"/>
      <c r="U251" s="6"/>
      <c r="AE251" s="6"/>
      <c r="AJ251" s="6"/>
      <c r="AO251" s="6"/>
      <c r="AS251"/>
      <c r="AT251" t="s">
        <v>214</v>
      </c>
      <c r="AU251" t="s">
        <v>214</v>
      </c>
    </row>
    <row r="252" spans="1:47" x14ac:dyDescent="0.25">
      <c r="A252" s="63" t="s">
        <v>171</v>
      </c>
      <c r="B252" s="63" t="s">
        <v>237</v>
      </c>
      <c r="C252" s="63" t="s">
        <v>171</v>
      </c>
      <c r="D252" s="30" t="s">
        <v>35</v>
      </c>
      <c r="E252" s="62" t="str">
        <f t="shared" si="3"/>
        <v>Dreadqueen RathianBlast</v>
      </c>
      <c r="K252" s="6"/>
      <c r="P252" s="6"/>
      <c r="R252" s="6"/>
      <c r="U252" s="6"/>
      <c r="AB252" s="6"/>
      <c r="AE252" s="6"/>
      <c r="AG252" s="6"/>
      <c r="AJ252" s="6"/>
      <c r="AO252" s="6"/>
      <c r="AS252"/>
      <c r="AT252" t="s">
        <v>214</v>
      </c>
      <c r="AU252" t="s">
        <v>214</v>
      </c>
    </row>
    <row r="253" spans="1:47" x14ac:dyDescent="0.25">
      <c r="A253" s="63" t="s">
        <v>171</v>
      </c>
      <c r="B253" s="63" t="s">
        <v>237</v>
      </c>
      <c r="C253" s="63" t="s">
        <v>171</v>
      </c>
      <c r="D253" s="34" t="s">
        <v>14</v>
      </c>
      <c r="E253" s="62" t="str">
        <f t="shared" si="3"/>
        <v>Dreadqueen RathianKO</v>
      </c>
      <c r="J253" s="29"/>
      <c r="K253" s="6"/>
      <c r="P253" s="6"/>
      <c r="U253" s="6"/>
      <c r="AE253" s="6"/>
      <c r="AJ253" s="6"/>
      <c r="AO253" s="6"/>
      <c r="AS253">
        <v>10</v>
      </c>
      <c r="AT253" t="s">
        <v>214</v>
      </c>
      <c r="AU253" t="s">
        <v>214</v>
      </c>
    </row>
    <row r="254" spans="1:47" x14ac:dyDescent="0.25">
      <c r="A254" s="63" t="s">
        <v>171</v>
      </c>
      <c r="B254" s="63" t="s">
        <v>237</v>
      </c>
      <c r="C254" s="63" t="s">
        <v>171</v>
      </c>
      <c r="D254" s="33" t="s">
        <v>34</v>
      </c>
      <c r="E254" s="62" t="str">
        <f t="shared" si="3"/>
        <v>Dreadqueen RathianMount</v>
      </c>
      <c r="K254" s="6"/>
      <c r="P254" s="6"/>
      <c r="R254" s="6"/>
      <c r="U254" s="6"/>
      <c r="AE254" s="6"/>
      <c r="AJ254" s="6"/>
      <c r="AO254" s="6"/>
      <c r="AS254"/>
      <c r="AT254" t="s">
        <v>214</v>
      </c>
      <c r="AU254" t="s">
        <v>214</v>
      </c>
    </row>
    <row r="255" spans="1:47" x14ac:dyDescent="0.25">
      <c r="A255" s="63" t="s">
        <v>171</v>
      </c>
      <c r="B255" s="63" t="s">
        <v>237</v>
      </c>
      <c r="C255" s="63" t="s">
        <v>171</v>
      </c>
      <c r="D255" s="77" t="s">
        <v>207</v>
      </c>
      <c r="E255" s="62" t="str">
        <f t="shared" si="3"/>
        <v>Dreadqueen RathianShock Trap</v>
      </c>
      <c r="K255" s="6"/>
      <c r="P255" s="6"/>
      <c r="U255" s="6"/>
      <c r="AE255" s="6"/>
      <c r="AJ255" s="6"/>
      <c r="AO255" s="6"/>
      <c r="AS255">
        <v>5</v>
      </c>
      <c r="AT255">
        <v>15</v>
      </c>
      <c r="AU255">
        <v>8</v>
      </c>
    </row>
    <row r="256" spans="1:47" s="56" customFormat="1" x14ac:dyDescent="0.25">
      <c r="A256" s="63" t="s">
        <v>171</v>
      </c>
      <c r="B256" s="63" t="s">
        <v>237</v>
      </c>
      <c r="C256" s="63" t="s">
        <v>171</v>
      </c>
      <c r="D256" s="79" t="s">
        <v>213</v>
      </c>
      <c r="E256" s="62" t="str">
        <f t="shared" si="3"/>
        <v>Dreadqueen RathianPitfall Trap</v>
      </c>
      <c r="K256" s="7"/>
      <c r="P256" s="7"/>
      <c r="U256" s="7"/>
      <c r="Z256" s="7"/>
      <c r="AE256" s="7"/>
      <c r="AJ256" s="7"/>
      <c r="AO256" s="7"/>
      <c r="AS256" s="56">
        <v>10</v>
      </c>
      <c r="AT256" s="56">
        <v>25</v>
      </c>
      <c r="AU256" s="56">
        <v>12</v>
      </c>
    </row>
    <row r="257" spans="1:47" s="36" customFormat="1" x14ac:dyDescent="0.25">
      <c r="A257" s="63" t="s">
        <v>171</v>
      </c>
      <c r="B257" s="63" t="s">
        <v>236</v>
      </c>
      <c r="C257" s="63" t="s">
        <v>171</v>
      </c>
      <c r="D257" s="37" t="s">
        <v>0</v>
      </c>
      <c r="E257" s="62" t="str">
        <f t="shared" si="3"/>
        <v>Drilltusk TetsucabraPara</v>
      </c>
      <c r="J257" s="61"/>
      <c r="K257" s="50"/>
      <c r="P257" s="6"/>
      <c r="Q257" s="46"/>
      <c r="R257" s="46"/>
      <c r="S257" s="46"/>
      <c r="U257" s="50"/>
      <c r="Z257" s="6"/>
      <c r="AA257" s="46"/>
      <c r="AB257" s="46"/>
      <c r="AC257" s="46"/>
      <c r="AE257" s="50"/>
      <c r="AJ257" s="6"/>
      <c r="AK257" s="46"/>
      <c r="AL257" s="46"/>
      <c r="AM257" s="46"/>
      <c r="AO257" s="50"/>
      <c r="AS257" s="36">
        <v>10</v>
      </c>
      <c r="AT257" s="36" t="s">
        <v>214</v>
      </c>
      <c r="AU257" s="36" t="s">
        <v>214</v>
      </c>
    </row>
    <row r="258" spans="1:47" x14ac:dyDescent="0.25">
      <c r="A258" s="63" t="s">
        <v>171</v>
      </c>
      <c r="B258" s="63" t="s">
        <v>236</v>
      </c>
      <c r="C258" s="63" t="s">
        <v>171</v>
      </c>
      <c r="D258" s="31" t="s">
        <v>32</v>
      </c>
      <c r="E258" s="62" t="str">
        <f t="shared" si="3"/>
        <v>Drilltusk TetsucabraSleep</v>
      </c>
      <c r="K258" s="6"/>
      <c r="P258" s="6"/>
      <c r="U258" s="6"/>
      <c r="AE258" s="6"/>
      <c r="AJ258" s="6"/>
      <c r="AO258" s="6"/>
      <c r="AS258">
        <v>40</v>
      </c>
      <c r="AT258" t="s">
        <v>214</v>
      </c>
      <c r="AU258" t="s">
        <v>214</v>
      </c>
    </row>
    <row r="259" spans="1:47" x14ac:dyDescent="0.25">
      <c r="A259" s="63" t="s">
        <v>171</v>
      </c>
      <c r="B259" s="63" t="s">
        <v>236</v>
      </c>
      <c r="C259" s="63" t="s">
        <v>171</v>
      </c>
      <c r="D259" s="32" t="s">
        <v>33</v>
      </c>
      <c r="E259" s="62" t="str">
        <f t="shared" si="3"/>
        <v>Drilltusk TetsucabraPoison</v>
      </c>
      <c r="J259" s="29"/>
      <c r="K259" s="6"/>
      <c r="P259" s="6"/>
      <c r="U259" s="6"/>
      <c r="AE259" s="6"/>
      <c r="AJ259" s="6"/>
      <c r="AO259" s="6"/>
      <c r="AS259">
        <v>60</v>
      </c>
      <c r="AT259" t="s">
        <v>214</v>
      </c>
      <c r="AU259" t="s">
        <v>214</v>
      </c>
    </row>
    <row r="260" spans="1:47" x14ac:dyDescent="0.25">
      <c r="A260" s="63" t="s">
        <v>171</v>
      </c>
      <c r="B260" s="63" t="s">
        <v>236</v>
      </c>
      <c r="C260" s="63" t="s">
        <v>171</v>
      </c>
      <c r="D260" s="10" t="s">
        <v>22</v>
      </c>
      <c r="E260" s="62" t="str">
        <f t="shared" si="3"/>
        <v>Drilltusk TetsucabraExhaust</v>
      </c>
      <c r="J260" s="29"/>
      <c r="K260" s="6"/>
      <c r="P260" s="6"/>
      <c r="U260" s="6"/>
      <c r="AE260" s="6"/>
      <c r="AJ260" s="6"/>
      <c r="AO260" s="6"/>
      <c r="AS260"/>
      <c r="AT260" t="s">
        <v>214</v>
      </c>
      <c r="AU260" t="s">
        <v>214</v>
      </c>
    </row>
    <row r="261" spans="1:47" x14ac:dyDescent="0.25">
      <c r="A261" s="63" t="s">
        <v>171</v>
      </c>
      <c r="B261" s="63" t="s">
        <v>236</v>
      </c>
      <c r="C261" s="63" t="s">
        <v>171</v>
      </c>
      <c r="D261" s="30" t="s">
        <v>35</v>
      </c>
      <c r="E261" s="62" t="str">
        <f t="shared" ref="E261:E324" si="4">B261&amp;D261</f>
        <v>Drilltusk TetsucabraBlast</v>
      </c>
      <c r="K261" s="6"/>
      <c r="P261" s="6"/>
      <c r="R261" s="6"/>
      <c r="U261" s="6"/>
      <c r="AB261" s="6"/>
      <c r="AE261" s="6"/>
      <c r="AG261" s="6"/>
      <c r="AJ261" s="6"/>
      <c r="AO261" s="6"/>
      <c r="AS261"/>
      <c r="AT261" t="s">
        <v>214</v>
      </c>
      <c r="AU261" t="s">
        <v>214</v>
      </c>
    </row>
    <row r="262" spans="1:47" x14ac:dyDescent="0.25">
      <c r="A262" s="63" t="s">
        <v>171</v>
      </c>
      <c r="B262" s="63" t="s">
        <v>236</v>
      </c>
      <c r="C262" s="63" t="s">
        <v>171</v>
      </c>
      <c r="D262" s="34" t="s">
        <v>14</v>
      </c>
      <c r="E262" s="62" t="str">
        <f t="shared" si="4"/>
        <v>Drilltusk TetsucabraKO</v>
      </c>
      <c r="J262" s="29"/>
      <c r="K262" s="6"/>
      <c r="P262" s="6"/>
      <c r="U262" s="6"/>
      <c r="AE262" s="6"/>
      <c r="AJ262" s="6"/>
      <c r="AO262" s="6"/>
      <c r="AS262">
        <v>10</v>
      </c>
      <c r="AT262" t="s">
        <v>214</v>
      </c>
      <c r="AU262" t="s">
        <v>214</v>
      </c>
    </row>
    <row r="263" spans="1:47" x14ac:dyDescent="0.25">
      <c r="A263" s="63" t="s">
        <v>171</v>
      </c>
      <c r="B263" s="63" t="s">
        <v>236</v>
      </c>
      <c r="C263" s="63" t="s">
        <v>171</v>
      </c>
      <c r="D263" s="33" t="s">
        <v>34</v>
      </c>
      <c r="E263" s="62" t="str">
        <f t="shared" si="4"/>
        <v>Drilltusk TetsucabraMount</v>
      </c>
      <c r="K263" s="6"/>
      <c r="P263" s="6"/>
      <c r="R263" s="6"/>
      <c r="U263" s="6"/>
      <c r="AE263" s="6"/>
      <c r="AJ263" s="6"/>
      <c r="AO263" s="6"/>
      <c r="AS263"/>
      <c r="AT263" t="s">
        <v>214</v>
      </c>
      <c r="AU263" t="s">
        <v>214</v>
      </c>
    </row>
    <row r="264" spans="1:47" x14ac:dyDescent="0.25">
      <c r="A264" s="63" t="s">
        <v>171</v>
      </c>
      <c r="B264" s="63" t="s">
        <v>236</v>
      </c>
      <c r="C264" s="63" t="s">
        <v>171</v>
      </c>
      <c r="D264" s="77" t="s">
        <v>207</v>
      </c>
      <c r="E264" s="62" t="str">
        <f t="shared" si="4"/>
        <v>Drilltusk TetsucabraShock Trap</v>
      </c>
      <c r="K264" s="6"/>
      <c r="P264" s="6"/>
      <c r="U264" s="6"/>
      <c r="AE264" s="6"/>
      <c r="AJ264" s="6"/>
      <c r="AO264" s="6"/>
      <c r="AS264">
        <v>8</v>
      </c>
      <c r="AT264">
        <v>12</v>
      </c>
      <c r="AU264">
        <v>10</v>
      </c>
    </row>
    <row r="265" spans="1:47" s="56" customFormat="1" x14ac:dyDescent="0.25">
      <c r="A265" s="63" t="s">
        <v>171</v>
      </c>
      <c r="B265" s="63" t="s">
        <v>236</v>
      </c>
      <c r="C265" s="63" t="s">
        <v>171</v>
      </c>
      <c r="D265" s="79" t="s">
        <v>213</v>
      </c>
      <c r="E265" s="62" t="str">
        <f t="shared" si="4"/>
        <v>Drilltusk TetsucabraPitfall Trap</v>
      </c>
      <c r="K265" s="7"/>
      <c r="P265" s="7"/>
      <c r="U265" s="7"/>
      <c r="Z265" s="7"/>
      <c r="AE265" s="7"/>
      <c r="AJ265" s="7"/>
      <c r="AO265" s="7"/>
      <c r="AS265" s="56">
        <v>12</v>
      </c>
      <c r="AT265" s="56">
        <v>20</v>
      </c>
      <c r="AU265" s="56">
        <v>15</v>
      </c>
    </row>
    <row r="266" spans="1:47" s="36" customFormat="1" x14ac:dyDescent="0.25">
      <c r="A266" s="63" t="s">
        <v>91</v>
      </c>
      <c r="B266" s="63" t="s">
        <v>52</v>
      </c>
      <c r="C266" s="63" t="s">
        <v>91</v>
      </c>
      <c r="D266" s="37" t="s">
        <v>0</v>
      </c>
      <c r="E266" s="62" t="str">
        <f t="shared" si="4"/>
        <v>DurambrosPara</v>
      </c>
      <c r="F266" s="36">
        <v>180</v>
      </c>
      <c r="G266" s="36">
        <v>296</v>
      </c>
      <c r="H266" s="36">
        <v>413</v>
      </c>
      <c r="I266" s="36">
        <v>530</v>
      </c>
      <c r="J266" s="61"/>
      <c r="K266" s="50"/>
      <c r="P266" s="6">
        <v>180</v>
      </c>
      <c r="Q266" s="46">
        <v>296</v>
      </c>
      <c r="R266" s="46">
        <v>413</v>
      </c>
      <c r="S266" s="46">
        <v>531</v>
      </c>
      <c r="U266" s="50"/>
      <c r="Z266" s="6">
        <v>180</v>
      </c>
      <c r="AA266" s="46">
        <v>378</v>
      </c>
      <c r="AB266" s="46">
        <v>576</v>
      </c>
      <c r="AC266" s="46">
        <v>774</v>
      </c>
      <c r="AE266" s="50">
        <v>180</v>
      </c>
      <c r="AF266" s="36">
        <v>378</v>
      </c>
      <c r="AG266" s="36">
        <v>576</v>
      </c>
      <c r="AH266" s="36">
        <v>774</v>
      </c>
      <c r="AJ266" s="6"/>
      <c r="AK266" s="46"/>
      <c r="AL266" s="46"/>
      <c r="AM266" s="46"/>
      <c r="AO266" s="50"/>
      <c r="AS266" s="36">
        <v>10</v>
      </c>
      <c r="AT266" s="36" t="s">
        <v>214</v>
      </c>
      <c r="AU266" s="36" t="s">
        <v>214</v>
      </c>
    </row>
    <row r="267" spans="1:47" x14ac:dyDescent="0.25">
      <c r="A267" s="63" t="s">
        <v>91</v>
      </c>
      <c r="B267" s="63" t="s">
        <v>52</v>
      </c>
      <c r="C267" s="63" t="s">
        <v>91</v>
      </c>
      <c r="D267" s="31" t="s">
        <v>32</v>
      </c>
      <c r="E267" s="62" t="str">
        <f t="shared" si="4"/>
        <v>DurambrosSleep</v>
      </c>
      <c r="F267">
        <v>100</v>
      </c>
      <c r="G267">
        <v>295</v>
      </c>
      <c r="H267">
        <v>490</v>
      </c>
      <c r="I267">
        <v>685</v>
      </c>
      <c r="K267" s="6"/>
      <c r="P267" s="6">
        <v>100</v>
      </c>
      <c r="Q267">
        <v>295</v>
      </c>
      <c r="R267">
        <v>490</v>
      </c>
      <c r="S267">
        <v>685</v>
      </c>
      <c r="U267" s="6"/>
      <c r="Z267" s="6">
        <v>100</v>
      </c>
      <c r="AA267">
        <v>430</v>
      </c>
      <c r="AB267">
        <v>760</v>
      </c>
      <c r="AC267">
        <v>1090</v>
      </c>
      <c r="AE267" s="6">
        <v>100</v>
      </c>
      <c r="AF267">
        <v>430</v>
      </c>
      <c r="AG267">
        <v>760</v>
      </c>
      <c r="AH267">
        <v>1090</v>
      </c>
      <c r="AJ267" s="6"/>
      <c r="AO267" s="6"/>
      <c r="AS267">
        <v>30</v>
      </c>
      <c r="AT267" t="s">
        <v>214</v>
      </c>
      <c r="AU267" t="s">
        <v>214</v>
      </c>
    </row>
    <row r="268" spans="1:47" x14ac:dyDescent="0.25">
      <c r="A268" s="63" t="s">
        <v>91</v>
      </c>
      <c r="B268" s="63" t="s">
        <v>52</v>
      </c>
      <c r="C268" s="63" t="s">
        <v>91</v>
      </c>
      <c r="D268" s="32" t="s">
        <v>33</v>
      </c>
      <c r="E268" s="62" t="str">
        <f t="shared" si="4"/>
        <v>DurambrosPoison</v>
      </c>
      <c r="F268">
        <v>120</v>
      </c>
      <c r="G268">
        <v>276</v>
      </c>
      <c r="H268">
        <v>432</v>
      </c>
      <c r="I268">
        <v>588</v>
      </c>
      <c r="J268" s="29"/>
      <c r="K268" s="6"/>
      <c r="P268" s="6">
        <v>120</v>
      </c>
      <c r="Q268">
        <v>276</v>
      </c>
      <c r="R268">
        <v>432</v>
      </c>
      <c r="S268">
        <v>588</v>
      </c>
      <c r="U268" s="6"/>
      <c r="Z268" s="6">
        <v>120</v>
      </c>
      <c r="AA268">
        <v>384</v>
      </c>
      <c r="AB268">
        <v>648</v>
      </c>
      <c r="AC268">
        <v>912</v>
      </c>
      <c r="AE268" s="6">
        <v>120</v>
      </c>
      <c r="AF268">
        <v>384</v>
      </c>
      <c r="AG268">
        <v>648</v>
      </c>
      <c r="AH268">
        <v>912</v>
      </c>
      <c r="AJ268" s="6"/>
      <c r="AO268" s="6"/>
      <c r="AS268">
        <v>60</v>
      </c>
      <c r="AT268" t="s">
        <v>214</v>
      </c>
      <c r="AU268" t="s">
        <v>214</v>
      </c>
    </row>
    <row r="269" spans="1:47" x14ac:dyDescent="0.25">
      <c r="A269" s="63" t="s">
        <v>91</v>
      </c>
      <c r="B269" s="63" t="s">
        <v>52</v>
      </c>
      <c r="C269" s="63" t="s">
        <v>91</v>
      </c>
      <c r="D269" s="10" t="s">
        <v>22</v>
      </c>
      <c r="E269" s="62" t="str">
        <f t="shared" si="4"/>
        <v>DurambrosExhaust</v>
      </c>
      <c r="F269">
        <v>320</v>
      </c>
      <c r="G269">
        <v>480</v>
      </c>
      <c r="H269">
        <v>640</v>
      </c>
      <c r="I269">
        <v>800</v>
      </c>
      <c r="J269" s="29"/>
      <c r="K269" s="6"/>
      <c r="P269" s="6">
        <v>320</v>
      </c>
      <c r="Q269">
        <v>480</v>
      </c>
      <c r="R269">
        <v>640</v>
      </c>
      <c r="S269">
        <v>800</v>
      </c>
      <c r="U269" s="6"/>
      <c r="Z269" s="6">
        <v>400</v>
      </c>
      <c r="AA269">
        <v>600</v>
      </c>
      <c r="AB269">
        <v>800</v>
      </c>
      <c r="AC269">
        <v>1000</v>
      </c>
      <c r="AE269" s="6">
        <v>400</v>
      </c>
      <c r="AF269">
        <v>600</v>
      </c>
      <c r="AG269">
        <v>800</v>
      </c>
      <c r="AH269">
        <v>1000</v>
      </c>
      <c r="AJ269" s="6"/>
      <c r="AO269" s="6"/>
      <c r="AS269"/>
      <c r="AT269" t="s">
        <v>214</v>
      </c>
      <c r="AU269" t="s">
        <v>214</v>
      </c>
    </row>
    <row r="270" spans="1:47" x14ac:dyDescent="0.25">
      <c r="A270" s="63" t="s">
        <v>91</v>
      </c>
      <c r="B270" s="63" t="s">
        <v>52</v>
      </c>
      <c r="C270" s="63" t="s">
        <v>91</v>
      </c>
      <c r="D270" s="30" t="s">
        <v>35</v>
      </c>
      <c r="E270" s="62" t="str">
        <f t="shared" si="4"/>
        <v>DurambrosBlast</v>
      </c>
      <c r="F270">
        <v>70</v>
      </c>
      <c r="G270">
        <v>109</v>
      </c>
      <c r="H270">
        <v>148</v>
      </c>
      <c r="I270">
        <v>187</v>
      </c>
      <c r="K270" s="6"/>
      <c r="P270" s="6">
        <v>70</v>
      </c>
      <c r="Q270">
        <v>109</v>
      </c>
      <c r="R270" s="6">
        <v>148</v>
      </c>
      <c r="S270">
        <v>187</v>
      </c>
      <c r="U270" s="6"/>
      <c r="Z270" s="6">
        <v>70</v>
      </c>
      <c r="AA270">
        <v>136</v>
      </c>
      <c r="AB270" s="6">
        <v>202</v>
      </c>
      <c r="AC270">
        <v>268</v>
      </c>
      <c r="AE270" s="6">
        <v>70</v>
      </c>
      <c r="AF270">
        <v>136</v>
      </c>
      <c r="AG270" s="6">
        <v>202</v>
      </c>
      <c r="AH270">
        <v>268</v>
      </c>
      <c r="AJ270" s="6"/>
      <c r="AO270" s="6"/>
      <c r="AS270"/>
      <c r="AT270" t="s">
        <v>214</v>
      </c>
      <c r="AU270" t="s">
        <v>214</v>
      </c>
    </row>
    <row r="271" spans="1:47" x14ac:dyDescent="0.25">
      <c r="A271" s="63" t="s">
        <v>91</v>
      </c>
      <c r="B271" s="63" t="s">
        <v>52</v>
      </c>
      <c r="C271" s="63" t="s">
        <v>91</v>
      </c>
      <c r="D271" s="34" t="s">
        <v>14</v>
      </c>
      <c r="E271" s="62" t="str">
        <f t="shared" si="4"/>
        <v>DurambrosKO</v>
      </c>
      <c r="F271">
        <v>195</v>
      </c>
      <c r="G271">
        <v>390</v>
      </c>
      <c r="H271">
        <v>585</v>
      </c>
      <c r="I271">
        <v>780</v>
      </c>
      <c r="J271" s="29"/>
      <c r="K271" s="6"/>
      <c r="P271" s="6">
        <v>195</v>
      </c>
      <c r="Q271">
        <v>390</v>
      </c>
      <c r="R271">
        <v>585</v>
      </c>
      <c r="S271">
        <v>780</v>
      </c>
      <c r="U271" s="6"/>
      <c r="Z271" s="6">
        <v>225</v>
      </c>
      <c r="AA271">
        <v>450</v>
      </c>
      <c r="AB271">
        <v>675</v>
      </c>
      <c r="AC271">
        <v>900</v>
      </c>
      <c r="AE271" s="6">
        <v>225</v>
      </c>
      <c r="AF271">
        <v>450</v>
      </c>
      <c r="AG271">
        <v>675</v>
      </c>
      <c r="AH271">
        <v>900</v>
      </c>
      <c r="AJ271" s="6"/>
      <c r="AO271" s="6"/>
      <c r="AS271">
        <v>15</v>
      </c>
      <c r="AT271" t="s">
        <v>214</v>
      </c>
      <c r="AU271" t="s">
        <v>214</v>
      </c>
    </row>
    <row r="272" spans="1:47" x14ac:dyDescent="0.25">
      <c r="A272" s="63" t="s">
        <v>91</v>
      </c>
      <c r="B272" s="63" t="s">
        <v>52</v>
      </c>
      <c r="C272" s="63" t="s">
        <v>91</v>
      </c>
      <c r="D272" s="33" t="s">
        <v>34</v>
      </c>
      <c r="E272" s="62" t="str">
        <f t="shared" si="4"/>
        <v>DurambrosMount</v>
      </c>
      <c r="F272">
        <v>112</v>
      </c>
      <c r="G272">
        <v>288</v>
      </c>
      <c r="H272">
        <v>464</v>
      </c>
      <c r="I272">
        <v>640</v>
      </c>
      <c r="K272" s="6"/>
      <c r="P272" s="6">
        <v>112</v>
      </c>
      <c r="Q272">
        <v>288</v>
      </c>
      <c r="R272" s="6">
        <v>464</v>
      </c>
      <c r="S272">
        <v>640</v>
      </c>
      <c r="U272" s="6"/>
      <c r="Z272" s="6">
        <v>126</v>
      </c>
      <c r="AA272">
        <v>324</v>
      </c>
      <c r="AB272">
        <v>522</v>
      </c>
      <c r="AC272">
        <v>720</v>
      </c>
      <c r="AE272" s="6">
        <v>126</v>
      </c>
      <c r="AF272">
        <v>324</v>
      </c>
      <c r="AG272">
        <v>522</v>
      </c>
      <c r="AH272">
        <v>720</v>
      </c>
      <c r="AJ272" s="6"/>
      <c r="AO272" s="6"/>
      <c r="AS272"/>
      <c r="AT272" t="s">
        <v>214</v>
      </c>
      <c r="AU272" t="s">
        <v>214</v>
      </c>
    </row>
    <row r="273" spans="1:47" x14ac:dyDescent="0.25">
      <c r="A273" s="63" t="s">
        <v>91</v>
      </c>
      <c r="B273" s="63" t="s">
        <v>52</v>
      </c>
      <c r="C273" s="63" t="s">
        <v>91</v>
      </c>
      <c r="D273" s="77" t="s">
        <v>207</v>
      </c>
      <c r="E273" s="62" t="str">
        <f t="shared" si="4"/>
        <v>DurambrosShock Trap</v>
      </c>
      <c r="K273" s="6"/>
      <c r="P273" s="6"/>
      <c r="U273" s="6"/>
      <c r="AE273" s="6"/>
      <c r="AJ273" s="6"/>
      <c r="AO273" s="6"/>
      <c r="AS273">
        <v>10</v>
      </c>
      <c r="AT273">
        <v>15</v>
      </c>
      <c r="AU273">
        <v>12</v>
      </c>
    </row>
    <row r="274" spans="1:47" s="56" customFormat="1" x14ac:dyDescent="0.25">
      <c r="A274" s="63" t="s">
        <v>91</v>
      </c>
      <c r="B274" s="63" t="s">
        <v>52</v>
      </c>
      <c r="C274" s="63" t="s">
        <v>91</v>
      </c>
      <c r="D274" s="79" t="s">
        <v>213</v>
      </c>
      <c r="E274" s="62" t="str">
        <f t="shared" si="4"/>
        <v>DurambrosPitfall Trap</v>
      </c>
      <c r="K274" s="7"/>
      <c r="P274" s="7"/>
      <c r="U274" s="7"/>
      <c r="Z274" s="7"/>
      <c r="AE274" s="7"/>
      <c r="AJ274" s="7"/>
      <c r="AO274" s="7"/>
      <c r="AS274" s="56">
        <v>11</v>
      </c>
      <c r="AT274" s="56">
        <v>16</v>
      </c>
      <c r="AU274" s="56">
        <v>16</v>
      </c>
    </row>
    <row r="275" spans="1:47" s="36" customFormat="1" x14ac:dyDescent="0.25">
      <c r="A275" s="63" t="s">
        <v>171</v>
      </c>
      <c r="B275" s="63" t="s">
        <v>179</v>
      </c>
      <c r="C275" s="63" t="s">
        <v>171</v>
      </c>
      <c r="D275" s="37" t="s">
        <v>0</v>
      </c>
      <c r="E275" s="62" t="str">
        <f t="shared" si="4"/>
        <v>Elderfrost GammothPara</v>
      </c>
      <c r="J275" s="61"/>
      <c r="K275" s="50"/>
      <c r="P275" s="6"/>
      <c r="Q275" s="46"/>
      <c r="R275" s="46"/>
      <c r="S275" s="46"/>
      <c r="U275" s="50"/>
      <c r="Z275" s="6"/>
      <c r="AA275" s="46"/>
      <c r="AB275" s="46"/>
      <c r="AC275" s="46"/>
      <c r="AE275" s="50"/>
      <c r="AJ275" s="6"/>
      <c r="AK275" s="46"/>
      <c r="AL275" s="46"/>
      <c r="AM275" s="46"/>
      <c r="AO275" s="50"/>
      <c r="AS275" s="36">
        <v>15</v>
      </c>
      <c r="AT275" s="36" t="s">
        <v>214</v>
      </c>
      <c r="AU275" s="36" t="s">
        <v>214</v>
      </c>
    </row>
    <row r="276" spans="1:47" x14ac:dyDescent="0.25">
      <c r="A276" s="63" t="s">
        <v>171</v>
      </c>
      <c r="B276" s="63" t="s">
        <v>179</v>
      </c>
      <c r="C276" s="63" t="s">
        <v>171</v>
      </c>
      <c r="D276" s="31" t="s">
        <v>32</v>
      </c>
      <c r="E276" s="62" t="str">
        <f t="shared" si="4"/>
        <v>Elderfrost GammothSleep</v>
      </c>
      <c r="K276" s="6"/>
      <c r="P276" s="6"/>
      <c r="U276" s="6"/>
      <c r="AE276" s="6"/>
      <c r="AJ276" s="6"/>
      <c r="AO276" s="6"/>
      <c r="AS276">
        <v>25</v>
      </c>
      <c r="AT276" t="s">
        <v>214</v>
      </c>
      <c r="AU276" t="s">
        <v>214</v>
      </c>
    </row>
    <row r="277" spans="1:47" x14ac:dyDescent="0.25">
      <c r="A277" s="63" t="s">
        <v>171</v>
      </c>
      <c r="B277" s="63" t="s">
        <v>179</v>
      </c>
      <c r="C277" s="63" t="s">
        <v>171</v>
      </c>
      <c r="D277" s="32" t="s">
        <v>33</v>
      </c>
      <c r="E277" s="62" t="str">
        <f t="shared" si="4"/>
        <v>Elderfrost GammothPoison</v>
      </c>
      <c r="J277" s="29"/>
      <c r="K277" s="6"/>
      <c r="P277" s="6"/>
      <c r="U277" s="6"/>
      <c r="AE277" s="6"/>
      <c r="AJ277" s="6"/>
      <c r="AO277" s="6"/>
      <c r="AS277">
        <v>50</v>
      </c>
      <c r="AT277" t="s">
        <v>214</v>
      </c>
      <c r="AU277" t="s">
        <v>214</v>
      </c>
    </row>
    <row r="278" spans="1:47" x14ac:dyDescent="0.25">
      <c r="A278" s="63" t="s">
        <v>171</v>
      </c>
      <c r="B278" s="63" t="s">
        <v>179</v>
      </c>
      <c r="C278" s="63" t="s">
        <v>171</v>
      </c>
      <c r="D278" s="10" t="s">
        <v>22</v>
      </c>
      <c r="E278" s="62" t="str">
        <f t="shared" si="4"/>
        <v>Elderfrost GammothExhaust</v>
      </c>
      <c r="J278" s="29"/>
      <c r="K278" s="6"/>
      <c r="P278" s="6"/>
      <c r="U278" s="6"/>
      <c r="AE278" s="6"/>
      <c r="AJ278" s="6"/>
      <c r="AO278" s="6"/>
      <c r="AS278"/>
      <c r="AT278" t="s">
        <v>214</v>
      </c>
      <c r="AU278" t="s">
        <v>214</v>
      </c>
    </row>
    <row r="279" spans="1:47" x14ac:dyDescent="0.25">
      <c r="A279" s="63" t="s">
        <v>171</v>
      </c>
      <c r="B279" s="63" t="s">
        <v>179</v>
      </c>
      <c r="C279" s="63" t="s">
        <v>171</v>
      </c>
      <c r="D279" s="30" t="s">
        <v>35</v>
      </c>
      <c r="E279" s="62" t="str">
        <f t="shared" si="4"/>
        <v>Elderfrost GammothBlast</v>
      </c>
      <c r="K279" s="6"/>
      <c r="P279" s="6"/>
      <c r="R279" s="6"/>
      <c r="U279" s="6"/>
      <c r="AB279" s="6"/>
      <c r="AE279" s="6"/>
      <c r="AG279" s="6"/>
      <c r="AJ279" s="6"/>
      <c r="AO279" s="6"/>
      <c r="AS279"/>
      <c r="AT279" t="s">
        <v>214</v>
      </c>
      <c r="AU279" t="s">
        <v>214</v>
      </c>
    </row>
    <row r="280" spans="1:47" x14ac:dyDescent="0.25">
      <c r="A280" s="63" t="s">
        <v>171</v>
      </c>
      <c r="B280" s="63" t="s">
        <v>179</v>
      </c>
      <c r="C280" s="63" t="s">
        <v>171</v>
      </c>
      <c r="D280" s="34" t="s">
        <v>14</v>
      </c>
      <c r="E280" s="62" t="str">
        <f t="shared" si="4"/>
        <v>Elderfrost GammothKO</v>
      </c>
      <c r="J280" s="29"/>
      <c r="K280" s="6"/>
      <c r="P280" s="6"/>
      <c r="U280" s="6"/>
      <c r="AE280" s="6"/>
      <c r="AJ280" s="6"/>
      <c r="AO280" s="6"/>
      <c r="AS280">
        <v>15</v>
      </c>
      <c r="AT280" t="s">
        <v>214</v>
      </c>
      <c r="AU280" t="s">
        <v>214</v>
      </c>
    </row>
    <row r="281" spans="1:47" x14ac:dyDescent="0.25">
      <c r="A281" s="63" t="s">
        <v>171</v>
      </c>
      <c r="B281" s="63" t="s">
        <v>179</v>
      </c>
      <c r="C281" s="63" t="s">
        <v>171</v>
      </c>
      <c r="D281" s="33" t="s">
        <v>34</v>
      </c>
      <c r="E281" s="62" t="str">
        <f t="shared" si="4"/>
        <v>Elderfrost GammothMount</v>
      </c>
      <c r="K281" s="6"/>
      <c r="P281" s="6"/>
      <c r="R281" s="6"/>
      <c r="U281" s="6"/>
      <c r="AE281" s="6"/>
      <c r="AJ281" s="6"/>
      <c r="AO281" s="6"/>
      <c r="AS281"/>
      <c r="AT281" t="s">
        <v>214</v>
      </c>
      <c r="AU281" t="s">
        <v>214</v>
      </c>
    </row>
    <row r="282" spans="1:47" x14ac:dyDescent="0.25">
      <c r="A282" s="63" t="s">
        <v>171</v>
      </c>
      <c r="B282" s="63" t="s">
        <v>179</v>
      </c>
      <c r="C282" s="63" t="s">
        <v>171</v>
      </c>
      <c r="D282" s="77" t="s">
        <v>207</v>
      </c>
      <c r="E282" s="62" t="str">
        <f t="shared" si="4"/>
        <v>Elderfrost GammothShock Trap</v>
      </c>
      <c r="K282" s="6"/>
      <c r="P282" s="6"/>
      <c r="U282" s="6"/>
      <c r="AE282" s="6"/>
      <c r="AJ282" s="6"/>
      <c r="AO282" s="6"/>
      <c r="AS282"/>
    </row>
    <row r="283" spans="1:47" s="56" customFormat="1" x14ac:dyDescent="0.25">
      <c r="A283" s="63" t="s">
        <v>171</v>
      </c>
      <c r="B283" s="63" t="s">
        <v>179</v>
      </c>
      <c r="C283" s="63" t="s">
        <v>171</v>
      </c>
      <c r="D283" s="79" t="s">
        <v>213</v>
      </c>
      <c r="E283" s="62" t="str">
        <f t="shared" si="4"/>
        <v>Elderfrost GammothPitfall Trap</v>
      </c>
      <c r="K283" s="7"/>
      <c r="P283" s="7"/>
      <c r="U283" s="7"/>
      <c r="Z283" s="7"/>
      <c r="AE283" s="7"/>
      <c r="AJ283" s="7"/>
      <c r="AO283" s="7"/>
    </row>
    <row r="284" spans="1:47" s="36" customFormat="1" x14ac:dyDescent="0.25">
      <c r="A284" s="63" t="s">
        <v>184</v>
      </c>
      <c r="B284" s="63" t="s">
        <v>189</v>
      </c>
      <c r="C284" s="63" t="s">
        <v>184</v>
      </c>
      <c r="D284" s="37" t="s">
        <v>0</v>
      </c>
      <c r="E284" s="62" t="str">
        <f t="shared" si="4"/>
        <v>Fatalis (Black)Para</v>
      </c>
      <c r="J284" s="61"/>
      <c r="K284" s="50"/>
      <c r="P284" s="6"/>
      <c r="Q284" s="46"/>
      <c r="R284" s="46"/>
      <c r="S284" s="46"/>
      <c r="U284" s="50"/>
      <c r="Z284" s="6">
        <v>400</v>
      </c>
      <c r="AA284" s="46">
        <v>640</v>
      </c>
      <c r="AB284" s="46">
        <v>880</v>
      </c>
      <c r="AC284" s="46">
        <v>1120</v>
      </c>
      <c r="AE284" s="50"/>
      <c r="AJ284" s="6"/>
      <c r="AK284" s="46"/>
      <c r="AL284" s="46"/>
      <c r="AM284" s="46"/>
      <c r="AO284" s="50"/>
      <c r="AS284" s="36">
        <v>10</v>
      </c>
      <c r="AT284" s="36" t="s">
        <v>214</v>
      </c>
      <c r="AU284" s="36" t="s">
        <v>214</v>
      </c>
    </row>
    <row r="285" spans="1:47" x14ac:dyDescent="0.25">
      <c r="A285" s="63" t="s">
        <v>184</v>
      </c>
      <c r="B285" s="63" t="s">
        <v>189</v>
      </c>
      <c r="C285" s="63" t="s">
        <v>184</v>
      </c>
      <c r="D285" s="31" t="s">
        <v>32</v>
      </c>
      <c r="E285" s="62" t="str">
        <f t="shared" si="4"/>
        <v>Fatalis (Black)Sleep</v>
      </c>
      <c r="K285" s="6"/>
      <c r="P285" s="6"/>
      <c r="U285" s="6"/>
      <c r="Z285" s="6">
        <v>400</v>
      </c>
      <c r="AA285">
        <v>640</v>
      </c>
      <c r="AB285">
        <v>880</v>
      </c>
      <c r="AC285">
        <v>1120</v>
      </c>
      <c r="AE285" s="6"/>
      <c r="AJ285" s="6"/>
      <c r="AO285" s="6"/>
      <c r="AS285">
        <v>40</v>
      </c>
      <c r="AT285" t="s">
        <v>214</v>
      </c>
      <c r="AU285" t="s">
        <v>214</v>
      </c>
    </row>
    <row r="286" spans="1:47" x14ac:dyDescent="0.25">
      <c r="A286" s="63" t="s">
        <v>184</v>
      </c>
      <c r="B286" s="63" t="s">
        <v>189</v>
      </c>
      <c r="C286" s="63" t="s">
        <v>184</v>
      </c>
      <c r="D286" s="32" t="s">
        <v>33</v>
      </c>
      <c r="E286" s="62" t="str">
        <f t="shared" si="4"/>
        <v>Fatalis (Black)Poison</v>
      </c>
      <c r="J286" s="29"/>
      <c r="K286" s="6"/>
      <c r="P286" s="6"/>
      <c r="U286" s="6"/>
      <c r="Z286" s="6">
        <v>400</v>
      </c>
      <c r="AA286">
        <v>520</v>
      </c>
      <c r="AB286">
        <v>640</v>
      </c>
      <c r="AC286">
        <v>760</v>
      </c>
      <c r="AE286" s="6"/>
      <c r="AJ286" s="6"/>
      <c r="AO286" s="6"/>
      <c r="AS286">
        <v>40</v>
      </c>
      <c r="AT286" t="s">
        <v>214</v>
      </c>
      <c r="AU286" t="s">
        <v>214</v>
      </c>
    </row>
    <row r="287" spans="1:47" x14ac:dyDescent="0.25">
      <c r="A287" s="63" t="s">
        <v>184</v>
      </c>
      <c r="B287" s="63" t="s">
        <v>189</v>
      </c>
      <c r="C287" s="63" t="s">
        <v>184</v>
      </c>
      <c r="D287" s="10" t="s">
        <v>22</v>
      </c>
      <c r="E287" s="62" t="str">
        <f t="shared" si="4"/>
        <v>Fatalis (Black)Exhaust</v>
      </c>
      <c r="J287" s="29"/>
      <c r="K287" s="6"/>
      <c r="P287" s="6"/>
      <c r="U287" s="6"/>
      <c r="Z287" s="6">
        <v>0</v>
      </c>
      <c r="AA287">
        <v>0</v>
      </c>
      <c r="AB287">
        <v>0</v>
      </c>
      <c r="AC287">
        <v>0</v>
      </c>
      <c r="AE287" s="6"/>
      <c r="AJ287" s="6"/>
      <c r="AO287" s="6"/>
      <c r="AS287"/>
      <c r="AT287" t="s">
        <v>214</v>
      </c>
      <c r="AU287" t="s">
        <v>214</v>
      </c>
    </row>
    <row r="288" spans="1:47" x14ac:dyDescent="0.25">
      <c r="A288" s="63" t="s">
        <v>184</v>
      </c>
      <c r="B288" s="63" t="s">
        <v>189</v>
      </c>
      <c r="C288" s="63" t="s">
        <v>184</v>
      </c>
      <c r="D288" s="30" t="s">
        <v>35</v>
      </c>
      <c r="E288" s="62" t="str">
        <f t="shared" si="4"/>
        <v>Fatalis (Black)Blast</v>
      </c>
      <c r="K288" s="6"/>
      <c r="P288" s="6"/>
      <c r="R288" s="6"/>
      <c r="U288" s="6"/>
      <c r="Z288" s="6">
        <v>130</v>
      </c>
      <c r="AA288">
        <v>238</v>
      </c>
      <c r="AB288" s="6">
        <v>346</v>
      </c>
      <c r="AC288">
        <v>454</v>
      </c>
      <c r="AE288" s="6"/>
      <c r="AG288" s="6"/>
      <c r="AJ288" s="6"/>
      <c r="AO288" s="6"/>
      <c r="AS288"/>
      <c r="AT288" t="s">
        <v>214</v>
      </c>
      <c r="AU288" t="s">
        <v>214</v>
      </c>
    </row>
    <row r="289" spans="1:47" x14ac:dyDescent="0.25">
      <c r="A289" s="63" t="s">
        <v>184</v>
      </c>
      <c r="B289" s="63" t="s">
        <v>189</v>
      </c>
      <c r="C289" s="63" t="s">
        <v>184</v>
      </c>
      <c r="D289" s="34" t="s">
        <v>14</v>
      </c>
      <c r="E289" s="62" t="str">
        <f t="shared" si="4"/>
        <v>Fatalis (Black)KO</v>
      </c>
      <c r="J289" s="29"/>
      <c r="K289" s="6"/>
      <c r="P289" s="6"/>
      <c r="U289" s="6"/>
      <c r="Z289" s="6">
        <v>0</v>
      </c>
      <c r="AA289">
        <v>0</v>
      </c>
      <c r="AB289">
        <v>0</v>
      </c>
      <c r="AC289">
        <v>0</v>
      </c>
      <c r="AE289" s="6"/>
      <c r="AJ289" s="6"/>
      <c r="AO289" s="6"/>
      <c r="AS289">
        <v>0</v>
      </c>
      <c r="AT289" t="s">
        <v>214</v>
      </c>
      <c r="AU289" t="s">
        <v>214</v>
      </c>
    </row>
    <row r="290" spans="1:47" x14ac:dyDescent="0.25">
      <c r="A290" s="63" t="s">
        <v>184</v>
      </c>
      <c r="B290" s="63" t="s">
        <v>189</v>
      </c>
      <c r="C290" s="63" t="s">
        <v>184</v>
      </c>
      <c r="D290" s="33" t="s">
        <v>34</v>
      </c>
      <c r="E290" s="62" t="str">
        <f t="shared" si="4"/>
        <v>Fatalis (Black)Mount</v>
      </c>
      <c r="K290" s="6"/>
      <c r="P290" s="6"/>
      <c r="R290" s="6"/>
      <c r="U290" s="6"/>
      <c r="Z290" s="6">
        <v>120</v>
      </c>
      <c r="AA290">
        <v>360</v>
      </c>
      <c r="AB290">
        <v>600</v>
      </c>
      <c r="AC290">
        <v>840</v>
      </c>
      <c r="AE290" s="6"/>
      <c r="AJ290" s="6"/>
      <c r="AO290" s="6"/>
      <c r="AS290"/>
      <c r="AT290" t="s">
        <v>214</v>
      </c>
      <c r="AU290" t="s">
        <v>214</v>
      </c>
    </row>
    <row r="291" spans="1:47" x14ac:dyDescent="0.25">
      <c r="A291" s="63" t="s">
        <v>184</v>
      </c>
      <c r="B291" s="63" t="s">
        <v>189</v>
      </c>
      <c r="C291" s="63" t="s">
        <v>184</v>
      </c>
      <c r="D291" s="77" t="s">
        <v>207</v>
      </c>
      <c r="E291" s="62" t="str">
        <f t="shared" si="4"/>
        <v>Fatalis (Black)Shock Trap</v>
      </c>
      <c r="K291" s="6"/>
      <c r="P291" s="6"/>
      <c r="U291" s="6"/>
      <c r="AE291" s="6"/>
      <c r="AJ291" s="6"/>
      <c r="AO291" s="6"/>
      <c r="AS291">
        <v>0</v>
      </c>
      <c r="AT291">
        <v>0</v>
      </c>
      <c r="AU291">
        <v>0</v>
      </c>
    </row>
    <row r="292" spans="1:47" s="56" customFormat="1" x14ac:dyDescent="0.25">
      <c r="A292" s="63" t="s">
        <v>184</v>
      </c>
      <c r="B292" s="63" t="s">
        <v>189</v>
      </c>
      <c r="C292" s="63" t="s">
        <v>184</v>
      </c>
      <c r="D292" s="79" t="s">
        <v>213</v>
      </c>
      <c r="E292" s="62" t="str">
        <f t="shared" si="4"/>
        <v>Fatalis (Black)Pitfall Trap</v>
      </c>
      <c r="K292" s="7"/>
      <c r="P292" s="7"/>
      <c r="U292" s="7"/>
      <c r="Z292" s="7"/>
      <c r="AE292" s="7"/>
      <c r="AJ292" s="7"/>
      <c r="AO292" s="7"/>
      <c r="AS292" s="56">
        <v>0</v>
      </c>
      <c r="AT292" s="56">
        <v>0</v>
      </c>
      <c r="AU292" s="56">
        <v>0</v>
      </c>
    </row>
    <row r="293" spans="1:47" s="36" customFormat="1" x14ac:dyDescent="0.25">
      <c r="A293" s="63" t="s">
        <v>184</v>
      </c>
      <c r="B293" s="63" t="s">
        <v>186</v>
      </c>
      <c r="C293" s="63" t="s">
        <v>184</v>
      </c>
      <c r="D293" s="37" t="s">
        <v>0</v>
      </c>
      <c r="E293" s="62" t="str">
        <f t="shared" si="4"/>
        <v>Fatalis (Crimson)Para</v>
      </c>
      <c r="J293" s="61"/>
      <c r="K293" s="50"/>
      <c r="P293" s="6"/>
      <c r="Q293" s="46"/>
      <c r="R293" s="46"/>
      <c r="S293" s="46"/>
      <c r="U293" s="50"/>
      <c r="Z293" s="6">
        <v>400</v>
      </c>
      <c r="AA293" s="46">
        <v>680</v>
      </c>
      <c r="AB293" s="46">
        <v>960</v>
      </c>
      <c r="AC293" s="46">
        <v>1240</v>
      </c>
      <c r="AE293" s="50"/>
      <c r="AJ293" s="6"/>
      <c r="AK293" s="46"/>
      <c r="AL293" s="46"/>
      <c r="AM293" s="46"/>
      <c r="AO293" s="50"/>
      <c r="AS293" s="36">
        <v>10</v>
      </c>
      <c r="AT293" s="36" t="s">
        <v>214</v>
      </c>
      <c r="AU293" s="36" t="s">
        <v>214</v>
      </c>
    </row>
    <row r="294" spans="1:47" x14ac:dyDescent="0.25">
      <c r="A294" s="63" t="s">
        <v>184</v>
      </c>
      <c r="B294" s="63" t="s">
        <v>186</v>
      </c>
      <c r="C294" s="63" t="s">
        <v>184</v>
      </c>
      <c r="D294" s="31" t="s">
        <v>32</v>
      </c>
      <c r="E294" s="62" t="str">
        <f t="shared" si="4"/>
        <v>Fatalis (Crimson)Sleep</v>
      </c>
      <c r="K294" s="6"/>
      <c r="P294" s="6"/>
      <c r="U294" s="6"/>
      <c r="Z294" s="6">
        <v>400</v>
      </c>
      <c r="AA294">
        <v>680</v>
      </c>
      <c r="AB294">
        <v>960</v>
      </c>
      <c r="AC294">
        <v>1240</v>
      </c>
      <c r="AE294" s="6"/>
      <c r="AJ294" s="6"/>
      <c r="AO294" s="6"/>
      <c r="AS294">
        <v>40</v>
      </c>
      <c r="AT294" t="s">
        <v>214</v>
      </c>
      <c r="AU294" t="s">
        <v>214</v>
      </c>
    </row>
    <row r="295" spans="1:47" x14ac:dyDescent="0.25">
      <c r="A295" s="63" t="s">
        <v>184</v>
      </c>
      <c r="B295" s="63" t="s">
        <v>186</v>
      </c>
      <c r="C295" s="63" t="s">
        <v>184</v>
      </c>
      <c r="D295" s="32" t="s">
        <v>33</v>
      </c>
      <c r="E295" s="62" t="str">
        <f t="shared" si="4"/>
        <v>Fatalis (Crimson)Poison</v>
      </c>
      <c r="J295" s="29"/>
      <c r="K295" s="6"/>
      <c r="P295" s="6"/>
      <c r="U295" s="6"/>
      <c r="Z295" s="6">
        <v>400</v>
      </c>
      <c r="AA295">
        <v>540</v>
      </c>
      <c r="AB295">
        <v>680</v>
      </c>
      <c r="AC295">
        <v>820</v>
      </c>
      <c r="AE295" s="6"/>
      <c r="AJ295" s="6"/>
      <c r="AO295" s="6"/>
      <c r="AS295">
        <v>40</v>
      </c>
      <c r="AT295" t="s">
        <v>214</v>
      </c>
      <c r="AU295" t="s">
        <v>214</v>
      </c>
    </row>
    <row r="296" spans="1:47" x14ac:dyDescent="0.25">
      <c r="A296" s="63" t="s">
        <v>184</v>
      </c>
      <c r="B296" s="63" t="s">
        <v>186</v>
      </c>
      <c r="C296" s="63" t="s">
        <v>184</v>
      </c>
      <c r="D296" s="10" t="s">
        <v>22</v>
      </c>
      <c r="E296" s="62" t="str">
        <f t="shared" si="4"/>
        <v>Fatalis (Crimson)Exhaust</v>
      </c>
      <c r="J296" s="29"/>
      <c r="K296" s="6"/>
      <c r="P296" s="6"/>
      <c r="U296" s="6"/>
      <c r="Z296" s="6">
        <v>0</v>
      </c>
      <c r="AA296">
        <v>0</v>
      </c>
      <c r="AB296">
        <v>0</v>
      </c>
      <c r="AC296">
        <v>0</v>
      </c>
      <c r="AE296" s="6"/>
      <c r="AJ296" s="6"/>
      <c r="AO296" s="6"/>
      <c r="AS296"/>
      <c r="AT296" t="s">
        <v>214</v>
      </c>
      <c r="AU296" t="s">
        <v>214</v>
      </c>
    </row>
    <row r="297" spans="1:47" x14ac:dyDescent="0.25">
      <c r="A297" s="63" t="s">
        <v>184</v>
      </c>
      <c r="B297" s="63" t="s">
        <v>186</v>
      </c>
      <c r="C297" s="63" t="s">
        <v>184</v>
      </c>
      <c r="D297" s="30" t="s">
        <v>35</v>
      </c>
      <c r="E297" s="62" t="str">
        <f t="shared" si="4"/>
        <v>Fatalis (Crimson)Blast</v>
      </c>
      <c r="K297" s="6"/>
      <c r="P297" s="6"/>
      <c r="R297" s="6"/>
      <c r="U297" s="6"/>
      <c r="Z297" s="6">
        <v>180</v>
      </c>
      <c r="AA297">
        <v>460</v>
      </c>
      <c r="AB297" s="6">
        <v>740</v>
      </c>
      <c r="AC297">
        <v>1020</v>
      </c>
      <c r="AE297" s="6"/>
      <c r="AG297" s="6"/>
      <c r="AJ297" s="6"/>
      <c r="AO297" s="6"/>
      <c r="AS297"/>
      <c r="AT297" t="s">
        <v>214</v>
      </c>
      <c r="AU297" t="s">
        <v>214</v>
      </c>
    </row>
    <row r="298" spans="1:47" x14ac:dyDescent="0.25">
      <c r="A298" s="63" t="s">
        <v>184</v>
      </c>
      <c r="B298" s="63" t="s">
        <v>186</v>
      </c>
      <c r="C298" s="63" t="s">
        <v>184</v>
      </c>
      <c r="D298" s="34" t="s">
        <v>14</v>
      </c>
      <c r="E298" s="62" t="str">
        <f t="shared" si="4"/>
        <v>Fatalis (Crimson)KO</v>
      </c>
      <c r="J298" s="29"/>
      <c r="K298" s="6"/>
      <c r="P298" s="6"/>
      <c r="U298" s="6"/>
      <c r="Z298" s="6">
        <v>0</v>
      </c>
      <c r="AA298">
        <v>0</v>
      </c>
      <c r="AB298">
        <v>0</v>
      </c>
      <c r="AC298">
        <v>0</v>
      </c>
      <c r="AE298" s="6"/>
      <c r="AJ298" s="6"/>
      <c r="AO298" s="6"/>
      <c r="AS298">
        <v>0</v>
      </c>
      <c r="AT298" t="s">
        <v>214</v>
      </c>
      <c r="AU298" t="s">
        <v>214</v>
      </c>
    </row>
    <row r="299" spans="1:47" x14ac:dyDescent="0.25">
      <c r="A299" s="63" t="s">
        <v>184</v>
      </c>
      <c r="B299" s="63" t="s">
        <v>186</v>
      </c>
      <c r="C299" s="63" t="s">
        <v>184</v>
      </c>
      <c r="D299" s="33" t="s">
        <v>34</v>
      </c>
      <c r="E299" s="62" t="str">
        <f t="shared" si="4"/>
        <v>Fatalis (Crimson)Mount</v>
      </c>
      <c r="K299" s="6"/>
      <c r="P299" s="6"/>
      <c r="R299" s="6"/>
      <c r="U299" s="6"/>
      <c r="Z299" s="6">
        <v>120</v>
      </c>
      <c r="AA299">
        <v>360</v>
      </c>
      <c r="AB299">
        <v>600</v>
      </c>
      <c r="AC299">
        <v>840</v>
      </c>
      <c r="AE299" s="6"/>
      <c r="AJ299" s="6"/>
      <c r="AO299" s="6"/>
      <c r="AS299"/>
      <c r="AT299" t="s">
        <v>214</v>
      </c>
      <c r="AU299" t="s">
        <v>214</v>
      </c>
    </row>
    <row r="300" spans="1:47" x14ac:dyDescent="0.25">
      <c r="A300" s="63" t="s">
        <v>184</v>
      </c>
      <c r="B300" s="63" t="s">
        <v>186</v>
      </c>
      <c r="C300" s="63" t="s">
        <v>184</v>
      </c>
      <c r="D300" s="77" t="s">
        <v>207</v>
      </c>
      <c r="E300" s="62" t="str">
        <f t="shared" si="4"/>
        <v>Fatalis (Crimson)Shock Trap</v>
      </c>
      <c r="K300" s="6"/>
      <c r="P300" s="6"/>
      <c r="U300" s="6"/>
      <c r="AE300" s="6"/>
      <c r="AJ300" s="6"/>
      <c r="AO300" s="6"/>
      <c r="AS300">
        <v>0</v>
      </c>
      <c r="AT300">
        <v>0</v>
      </c>
      <c r="AU300">
        <v>0</v>
      </c>
    </row>
    <row r="301" spans="1:47" s="56" customFormat="1" x14ac:dyDescent="0.25">
      <c r="A301" s="63" t="s">
        <v>184</v>
      </c>
      <c r="B301" s="63" t="s">
        <v>186</v>
      </c>
      <c r="C301" s="63" t="s">
        <v>184</v>
      </c>
      <c r="D301" s="79" t="s">
        <v>213</v>
      </c>
      <c r="E301" s="62" t="str">
        <f t="shared" si="4"/>
        <v>Fatalis (Crimson)Pitfall Trap</v>
      </c>
      <c r="K301" s="7"/>
      <c r="P301" s="7"/>
      <c r="U301" s="7"/>
      <c r="Z301" s="7"/>
      <c r="AE301" s="7"/>
      <c r="AJ301" s="7"/>
      <c r="AO301" s="7"/>
      <c r="AS301" s="56">
        <v>0</v>
      </c>
      <c r="AT301" s="56">
        <v>0</v>
      </c>
      <c r="AU301" s="56">
        <v>0</v>
      </c>
    </row>
    <row r="302" spans="1:47" s="36" customFormat="1" x14ac:dyDescent="0.25">
      <c r="A302" s="63" t="s">
        <v>184</v>
      </c>
      <c r="B302" s="63" t="s">
        <v>190</v>
      </c>
      <c r="C302" s="63" t="s">
        <v>184</v>
      </c>
      <c r="D302" s="37" t="s">
        <v>0</v>
      </c>
      <c r="E302" s="62" t="str">
        <f t="shared" si="4"/>
        <v>Fatalis (White, Old)Para</v>
      </c>
      <c r="J302" s="61"/>
      <c r="K302" s="50"/>
      <c r="P302" s="6"/>
      <c r="Q302" s="46"/>
      <c r="R302" s="46"/>
      <c r="S302" s="46"/>
      <c r="U302" s="50"/>
      <c r="Z302" s="6">
        <v>400</v>
      </c>
      <c r="AA302" s="46">
        <v>625</v>
      </c>
      <c r="AB302" s="46">
        <v>850</v>
      </c>
      <c r="AC302" s="46">
        <v>1075</v>
      </c>
      <c r="AE302" s="50"/>
      <c r="AJ302" s="6"/>
      <c r="AK302" s="46"/>
      <c r="AL302" s="46"/>
      <c r="AM302" s="46"/>
      <c r="AO302" s="50"/>
      <c r="AS302" s="36">
        <v>10</v>
      </c>
      <c r="AT302" s="36" t="s">
        <v>214</v>
      </c>
      <c r="AU302" s="36" t="s">
        <v>214</v>
      </c>
    </row>
    <row r="303" spans="1:47" x14ac:dyDescent="0.25">
      <c r="A303" s="63" t="s">
        <v>184</v>
      </c>
      <c r="B303" s="63" t="s">
        <v>190</v>
      </c>
      <c r="C303" s="63" t="s">
        <v>184</v>
      </c>
      <c r="D303" s="31" t="s">
        <v>32</v>
      </c>
      <c r="E303" s="62" t="str">
        <f t="shared" si="4"/>
        <v>Fatalis (White, Old)Sleep</v>
      </c>
      <c r="K303" s="6"/>
      <c r="P303" s="6"/>
      <c r="U303" s="6"/>
      <c r="Z303" s="6">
        <v>400</v>
      </c>
      <c r="AA303">
        <v>525</v>
      </c>
      <c r="AB303">
        <v>650</v>
      </c>
      <c r="AC303">
        <v>775</v>
      </c>
      <c r="AE303" s="6"/>
      <c r="AJ303" s="6"/>
      <c r="AO303" s="6"/>
      <c r="AS303">
        <v>30</v>
      </c>
      <c r="AT303" t="s">
        <v>214</v>
      </c>
      <c r="AU303" t="s">
        <v>214</v>
      </c>
    </row>
    <row r="304" spans="1:47" x14ac:dyDescent="0.25">
      <c r="A304" s="63" t="s">
        <v>184</v>
      </c>
      <c r="B304" s="63" t="s">
        <v>190</v>
      </c>
      <c r="C304" s="63" t="s">
        <v>184</v>
      </c>
      <c r="D304" s="32" t="s">
        <v>33</v>
      </c>
      <c r="E304" s="62" t="str">
        <f t="shared" si="4"/>
        <v>Fatalis (White, Old)Poison</v>
      </c>
      <c r="J304" s="29"/>
      <c r="K304" s="6"/>
      <c r="P304" s="6"/>
      <c r="U304" s="6"/>
      <c r="Z304" s="6">
        <v>400</v>
      </c>
      <c r="AA304">
        <v>525</v>
      </c>
      <c r="AB304">
        <v>650</v>
      </c>
      <c r="AC304">
        <v>775</v>
      </c>
      <c r="AE304" s="6"/>
      <c r="AJ304" s="6"/>
      <c r="AO304" s="6"/>
      <c r="AS304">
        <v>30</v>
      </c>
      <c r="AT304" t="s">
        <v>214</v>
      </c>
      <c r="AU304" t="s">
        <v>214</v>
      </c>
    </row>
    <row r="305" spans="1:47" x14ac:dyDescent="0.25">
      <c r="A305" s="63" t="s">
        <v>184</v>
      </c>
      <c r="B305" s="63" t="s">
        <v>190</v>
      </c>
      <c r="C305" s="63" t="s">
        <v>184</v>
      </c>
      <c r="D305" s="10" t="s">
        <v>22</v>
      </c>
      <c r="E305" s="62" t="str">
        <f t="shared" si="4"/>
        <v>Fatalis (White, Old)Exhaust</v>
      </c>
      <c r="J305" s="29"/>
      <c r="K305" s="6"/>
      <c r="P305" s="6"/>
      <c r="U305" s="6"/>
      <c r="Z305" s="6">
        <v>0</v>
      </c>
      <c r="AA305">
        <v>0</v>
      </c>
      <c r="AB305">
        <v>0</v>
      </c>
      <c r="AC305">
        <v>0</v>
      </c>
      <c r="AE305" s="6"/>
      <c r="AJ305" s="6"/>
      <c r="AO305" s="6"/>
      <c r="AS305"/>
      <c r="AT305" t="s">
        <v>214</v>
      </c>
      <c r="AU305" t="s">
        <v>214</v>
      </c>
    </row>
    <row r="306" spans="1:47" x14ac:dyDescent="0.25">
      <c r="A306" s="63" t="s">
        <v>184</v>
      </c>
      <c r="B306" s="63" t="s">
        <v>190</v>
      </c>
      <c r="C306" s="63" t="s">
        <v>184</v>
      </c>
      <c r="D306" s="30" t="s">
        <v>35</v>
      </c>
      <c r="E306" s="62" t="str">
        <f t="shared" si="4"/>
        <v>Fatalis (White, Old)Blast</v>
      </c>
      <c r="K306" s="6"/>
      <c r="P306" s="6"/>
      <c r="R306" s="6"/>
      <c r="U306" s="6"/>
      <c r="Z306" s="6">
        <v>130</v>
      </c>
      <c r="AA306">
        <v>242</v>
      </c>
      <c r="AB306" s="6">
        <v>354</v>
      </c>
      <c r="AC306">
        <v>466</v>
      </c>
      <c r="AE306" s="6"/>
      <c r="AG306" s="6"/>
      <c r="AJ306" s="6"/>
      <c r="AO306" s="6"/>
      <c r="AS306"/>
      <c r="AT306" t="s">
        <v>214</v>
      </c>
      <c r="AU306" t="s">
        <v>214</v>
      </c>
    </row>
    <row r="307" spans="1:47" x14ac:dyDescent="0.25">
      <c r="A307" s="63" t="s">
        <v>184</v>
      </c>
      <c r="B307" s="63" t="s">
        <v>190</v>
      </c>
      <c r="C307" s="63" t="s">
        <v>184</v>
      </c>
      <c r="D307" s="34" t="s">
        <v>14</v>
      </c>
      <c r="E307" s="62" t="str">
        <f t="shared" si="4"/>
        <v>Fatalis (White, Old)KO</v>
      </c>
      <c r="J307" s="29"/>
      <c r="K307" s="6"/>
      <c r="P307" s="6"/>
      <c r="U307" s="6"/>
      <c r="Z307" s="6">
        <v>0</v>
      </c>
      <c r="AA307">
        <v>0</v>
      </c>
      <c r="AB307">
        <v>0</v>
      </c>
      <c r="AC307">
        <v>0</v>
      </c>
      <c r="AE307" s="6"/>
      <c r="AJ307" s="6"/>
      <c r="AO307" s="6"/>
      <c r="AS307">
        <v>0</v>
      </c>
      <c r="AT307" t="s">
        <v>214</v>
      </c>
      <c r="AU307" t="s">
        <v>214</v>
      </c>
    </row>
    <row r="308" spans="1:47" x14ac:dyDescent="0.25">
      <c r="A308" s="63" t="s">
        <v>184</v>
      </c>
      <c r="B308" s="63" t="s">
        <v>190</v>
      </c>
      <c r="C308" s="63" t="s">
        <v>184</v>
      </c>
      <c r="D308" s="33" t="s">
        <v>34</v>
      </c>
      <c r="E308" s="62" t="str">
        <f t="shared" si="4"/>
        <v>Fatalis (White, Old)Mount</v>
      </c>
      <c r="K308" s="6"/>
      <c r="P308" s="6"/>
      <c r="R308" s="6"/>
      <c r="U308" s="6"/>
      <c r="Z308" s="6">
        <v>120</v>
      </c>
      <c r="AA308">
        <v>360</v>
      </c>
      <c r="AB308">
        <v>600</v>
      </c>
      <c r="AC308">
        <v>840</v>
      </c>
      <c r="AE308" s="6"/>
      <c r="AJ308" s="6"/>
      <c r="AO308" s="6"/>
      <c r="AS308"/>
      <c r="AT308" t="s">
        <v>214</v>
      </c>
      <c r="AU308" t="s">
        <v>214</v>
      </c>
    </row>
    <row r="309" spans="1:47" x14ac:dyDescent="0.25">
      <c r="A309" s="63" t="s">
        <v>184</v>
      </c>
      <c r="B309" s="63" t="s">
        <v>190</v>
      </c>
      <c r="C309" s="63" t="s">
        <v>184</v>
      </c>
      <c r="D309" s="77" t="s">
        <v>207</v>
      </c>
      <c r="E309" s="62" t="str">
        <f t="shared" si="4"/>
        <v>Fatalis (White, Old)Shock Trap</v>
      </c>
      <c r="K309" s="6"/>
      <c r="P309" s="6"/>
      <c r="U309" s="6"/>
      <c r="AE309" s="6"/>
      <c r="AJ309" s="6"/>
      <c r="AO309" s="6"/>
      <c r="AS309">
        <v>0</v>
      </c>
      <c r="AT309">
        <v>0</v>
      </c>
      <c r="AU309">
        <v>0</v>
      </c>
    </row>
    <row r="310" spans="1:47" s="56" customFormat="1" x14ac:dyDescent="0.25">
      <c r="A310" s="63" t="s">
        <v>184</v>
      </c>
      <c r="B310" s="63" t="s">
        <v>190</v>
      </c>
      <c r="C310" s="63" t="s">
        <v>184</v>
      </c>
      <c r="D310" s="79" t="s">
        <v>213</v>
      </c>
      <c r="E310" s="62" t="str">
        <f t="shared" si="4"/>
        <v>Fatalis (White, Old)Pitfall Trap</v>
      </c>
      <c r="K310" s="7"/>
      <c r="P310" s="7"/>
      <c r="U310" s="7"/>
      <c r="Z310" s="7"/>
      <c r="AE310" s="7"/>
      <c r="AJ310" s="7"/>
      <c r="AO310" s="7"/>
      <c r="AS310" s="56">
        <v>0</v>
      </c>
      <c r="AT310" s="56">
        <v>0</v>
      </c>
      <c r="AU310" s="56">
        <v>0</v>
      </c>
    </row>
    <row r="311" spans="1:47" s="36" customFormat="1" x14ac:dyDescent="0.25">
      <c r="A311" s="63" t="s">
        <v>91</v>
      </c>
      <c r="B311" s="63" t="s">
        <v>53</v>
      </c>
      <c r="C311" s="63" t="s">
        <v>91</v>
      </c>
      <c r="D311" s="37" t="s">
        <v>0</v>
      </c>
      <c r="E311" s="62" t="str">
        <f t="shared" si="4"/>
        <v>GammothPara</v>
      </c>
      <c r="F311" s="36">
        <v>150</v>
      </c>
      <c r="G311" s="36">
        <v>410</v>
      </c>
      <c r="H311" s="36">
        <v>670</v>
      </c>
      <c r="I311" s="36">
        <v>1047</v>
      </c>
      <c r="J311" s="61"/>
      <c r="K311" s="50">
        <v>150</v>
      </c>
      <c r="L311" s="36">
        <v>410</v>
      </c>
      <c r="M311" s="36">
        <v>670</v>
      </c>
      <c r="N311" s="36">
        <v>930</v>
      </c>
      <c r="P311" s="6">
        <v>150</v>
      </c>
      <c r="Q311" s="46">
        <v>550</v>
      </c>
      <c r="R311" s="46">
        <v>950</v>
      </c>
      <c r="S311" s="46">
        <v>1350</v>
      </c>
      <c r="U311" s="50"/>
      <c r="Z311" s="6">
        <v>150</v>
      </c>
      <c r="AA311" s="46">
        <v>569</v>
      </c>
      <c r="AB311" s="46">
        <v>988</v>
      </c>
      <c r="AC311" s="46">
        <v>1407</v>
      </c>
      <c r="AE311" s="50"/>
      <c r="AJ311" s="6">
        <v>150</v>
      </c>
      <c r="AK311" s="46">
        <v>690</v>
      </c>
      <c r="AL311" s="46">
        <v>1230</v>
      </c>
      <c r="AM311" s="46">
        <v>1770</v>
      </c>
      <c r="AO311" s="50"/>
      <c r="AS311" s="36">
        <v>15</v>
      </c>
      <c r="AT311" s="36" t="s">
        <v>214</v>
      </c>
      <c r="AU311" s="36" t="s">
        <v>214</v>
      </c>
    </row>
    <row r="312" spans="1:47" x14ac:dyDescent="0.25">
      <c r="A312" s="63" t="s">
        <v>91</v>
      </c>
      <c r="B312" s="63" t="s">
        <v>53</v>
      </c>
      <c r="C312" s="63" t="s">
        <v>91</v>
      </c>
      <c r="D312" s="31" t="s">
        <v>32</v>
      </c>
      <c r="E312" s="62" t="str">
        <f t="shared" si="4"/>
        <v>GammothSleep</v>
      </c>
      <c r="F312">
        <v>150</v>
      </c>
      <c r="G312">
        <v>410</v>
      </c>
      <c r="H312">
        <v>670</v>
      </c>
      <c r="I312">
        <v>930</v>
      </c>
      <c r="K312" s="6">
        <v>150</v>
      </c>
      <c r="L312">
        <v>410</v>
      </c>
      <c r="M312">
        <v>670</v>
      </c>
      <c r="N312">
        <v>930</v>
      </c>
      <c r="P312" s="6">
        <v>150</v>
      </c>
      <c r="Q312">
        <v>550</v>
      </c>
      <c r="R312">
        <v>950</v>
      </c>
      <c r="S312">
        <v>1350</v>
      </c>
      <c r="U312" s="6"/>
      <c r="Z312" s="6">
        <v>150</v>
      </c>
      <c r="AA312">
        <v>569</v>
      </c>
      <c r="AB312">
        <v>988</v>
      </c>
      <c r="AC312">
        <v>1407</v>
      </c>
      <c r="AE312" s="6"/>
      <c r="AJ312" s="6">
        <v>150</v>
      </c>
      <c r="AK312">
        <v>690</v>
      </c>
      <c r="AL312">
        <v>1230</v>
      </c>
      <c r="AM312">
        <v>1770</v>
      </c>
      <c r="AO312" s="6"/>
      <c r="AS312">
        <v>25</v>
      </c>
      <c r="AT312" t="s">
        <v>214</v>
      </c>
      <c r="AU312" t="s">
        <v>214</v>
      </c>
    </row>
    <row r="313" spans="1:47" x14ac:dyDescent="0.25">
      <c r="A313" s="63" t="s">
        <v>91</v>
      </c>
      <c r="B313" s="63" t="s">
        <v>53</v>
      </c>
      <c r="C313" s="63" t="s">
        <v>91</v>
      </c>
      <c r="D313" s="32" t="s">
        <v>33</v>
      </c>
      <c r="E313" s="62" t="str">
        <f t="shared" si="4"/>
        <v>GammothPoison</v>
      </c>
      <c r="F313">
        <v>180</v>
      </c>
      <c r="G313">
        <v>310</v>
      </c>
      <c r="H313">
        <v>440</v>
      </c>
      <c r="I313">
        <v>570</v>
      </c>
      <c r="J313" s="29"/>
      <c r="K313" s="6">
        <v>150</v>
      </c>
      <c r="L313">
        <v>410</v>
      </c>
      <c r="M313">
        <v>670</v>
      </c>
      <c r="N313">
        <v>930</v>
      </c>
      <c r="P313" s="6">
        <v>180</v>
      </c>
      <c r="Q313">
        <v>380</v>
      </c>
      <c r="R313">
        <v>580</v>
      </c>
      <c r="S313">
        <v>780</v>
      </c>
      <c r="U313" s="6"/>
      <c r="Z313" s="6">
        <v>180</v>
      </c>
      <c r="AA313">
        <v>389</v>
      </c>
      <c r="AB313">
        <v>598</v>
      </c>
      <c r="AC313">
        <v>807</v>
      </c>
      <c r="AE313" s="6"/>
      <c r="AJ313" s="6">
        <v>180</v>
      </c>
      <c r="AK313">
        <v>450</v>
      </c>
      <c r="AL313">
        <v>720</v>
      </c>
      <c r="AM313">
        <v>990</v>
      </c>
      <c r="AO313" s="6"/>
      <c r="AS313">
        <v>50</v>
      </c>
      <c r="AT313" t="s">
        <v>214</v>
      </c>
      <c r="AU313" t="s">
        <v>214</v>
      </c>
    </row>
    <row r="314" spans="1:47" x14ac:dyDescent="0.25">
      <c r="A314" s="63" t="s">
        <v>91</v>
      </c>
      <c r="B314" s="63" t="s">
        <v>53</v>
      </c>
      <c r="C314" s="63" t="s">
        <v>91</v>
      </c>
      <c r="D314" s="10" t="s">
        <v>22</v>
      </c>
      <c r="E314" s="62" t="str">
        <f t="shared" si="4"/>
        <v>GammothExhaust</v>
      </c>
      <c r="F314">
        <v>432</v>
      </c>
      <c r="G314">
        <v>552</v>
      </c>
      <c r="H314">
        <v>672</v>
      </c>
      <c r="I314">
        <v>792</v>
      </c>
      <c r="J314" s="29"/>
      <c r="K314" s="6">
        <v>432</v>
      </c>
      <c r="L314">
        <v>552</v>
      </c>
      <c r="M314">
        <v>672</v>
      </c>
      <c r="N314">
        <v>792</v>
      </c>
      <c r="P314" s="6">
        <v>499</v>
      </c>
      <c r="Q314">
        <v>638</v>
      </c>
      <c r="R314">
        <v>777</v>
      </c>
      <c r="S314">
        <v>916</v>
      </c>
      <c r="U314" s="6"/>
      <c r="Z314" s="6">
        <v>513</v>
      </c>
      <c r="AA314">
        <v>655</v>
      </c>
      <c r="AB314">
        <v>797</v>
      </c>
      <c r="AC314">
        <v>939</v>
      </c>
      <c r="AE314" s="6"/>
      <c r="AJ314" s="6">
        <v>675</v>
      </c>
      <c r="AK314">
        <v>862</v>
      </c>
      <c r="AL314">
        <v>1049</v>
      </c>
      <c r="AM314">
        <v>1236</v>
      </c>
      <c r="AO314" s="6"/>
      <c r="AS314"/>
      <c r="AT314" t="s">
        <v>214</v>
      </c>
      <c r="AU314" t="s">
        <v>214</v>
      </c>
    </row>
    <row r="315" spans="1:47" x14ac:dyDescent="0.25">
      <c r="A315" s="63" t="s">
        <v>91</v>
      </c>
      <c r="B315" s="63" t="s">
        <v>53</v>
      </c>
      <c r="C315" s="63" t="s">
        <v>91</v>
      </c>
      <c r="D315" s="30" t="s">
        <v>35</v>
      </c>
      <c r="E315" s="62" t="str">
        <f t="shared" si="4"/>
        <v>GammothBlast</v>
      </c>
      <c r="F315">
        <v>100</v>
      </c>
      <c r="G315">
        <v>204</v>
      </c>
      <c r="H315">
        <v>308</v>
      </c>
      <c r="I315">
        <v>412</v>
      </c>
      <c r="K315" s="6">
        <v>100</v>
      </c>
      <c r="L315">
        <v>204</v>
      </c>
      <c r="M315">
        <v>308</v>
      </c>
      <c r="N315">
        <v>412</v>
      </c>
      <c r="P315" s="6">
        <v>100</v>
      </c>
      <c r="Q315">
        <v>260</v>
      </c>
      <c r="R315" s="6">
        <v>420</v>
      </c>
      <c r="S315">
        <v>580</v>
      </c>
      <c r="U315" s="6"/>
      <c r="Z315" s="6">
        <v>100</v>
      </c>
      <c r="AA315">
        <v>268</v>
      </c>
      <c r="AB315" s="6">
        <v>436</v>
      </c>
      <c r="AC315">
        <v>604</v>
      </c>
      <c r="AE315" s="6"/>
      <c r="AG315" s="6"/>
      <c r="AJ315" s="6">
        <v>100</v>
      </c>
      <c r="AK315">
        <v>316</v>
      </c>
      <c r="AL315">
        <v>532</v>
      </c>
      <c r="AM315">
        <v>748</v>
      </c>
      <c r="AO315" s="6"/>
      <c r="AS315"/>
      <c r="AT315" t="s">
        <v>214</v>
      </c>
      <c r="AU315" t="s">
        <v>214</v>
      </c>
    </row>
    <row r="316" spans="1:47" x14ac:dyDescent="0.25">
      <c r="A316" s="63" t="s">
        <v>91</v>
      </c>
      <c r="B316" s="63" t="s">
        <v>53</v>
      </c>
      <c r="C316" s="63" t="s">
        <v>91</v>
      </c>
      <c r="D316" s="34" t="s">
        <v>14</v>
      </c>
      <c r="E316" s="62" t="str">
        <f t="shared" si="4"/>
        <v>GammothKO</v>
      </c>
      <c r="F316">
        <v>273</v>
      </c>
      <c r="G316">
        <v>467</v>
      </c>
      <c r="H316">
        <v>663</v>
      </c>
      <c r="I316">
        <v>857</v>
      </c>
      <c r="J316" s="29"/>
      <c r="K316" s="6">
        <v>273</v>
      </c>
      <c r="L316">
        <v>467</v>
      </c>
      <c r="M316">
        <v>661</v>
      </c>
      <c r="N316">
        <v>855</v>
      </c>
      <c r="P316" s="6">
        <v>294</v>
      </c>
      <c r="Q316">
        <v>504</v>
      </c>
      <c r="R316">
        <v>714</v>
      </c>
      <c r="S316">
        <v>924</v>
      </c>
      <c r="U316" s="6"/>
      <c r="Z316" s="6">
        <v>315</v>
      </c>
      <c r="AA316">
        <v>540</v>
      </c>
      <c r="AB316">
        <v>765</v>
      </c>
      <c r="AC316">
        <v>990</v>
      </c>
      <c r="AE316" s="6"/>
      <c r="AJ316" s="6">
        <v>420</v>
      </c>
      <c r="AK316">
        <v>720</v>
      </c>
      <c r="AL316">
        <v>1020</v>
      </c>
      <c r="AM316">
        <v>1320</v>
      </c>
      <c r="AO316" s="6"/>
      <c r="AS316">
        <v>15</v>
      </c>
      <c r="AT316" t="s">
        <v>214</v>
      </c>
      <c r="AU316" t="s">
        <v>214</v>
      </c>
    </row>
    <row r="317" spans="1:47" x14ac:dyDescent="0.25">
      <c r="A317" s="63" t="s">
        <v>91</v>
      </c>
      <c r="B317" s="63" t="s">
        <v>53</v>
      </c>
      <c r="C317" s="63" t="s">
        <v>91</v>
      </c>
      <c r="D317" s="33" t="s">
        <v>34</v>
      </c>
      <c r="E317" s="62" t="str">
        <f t="shared" si="4"/>
        <v>GammothMount</v>
      </c>
      <c r="F317">
        <v>112</v>
      </c>
      <c r="G317">
        <v>256</v>
      </c>
      <c r="H317">
        <v>400</v>
      </c>
      <c r="I317">
        <v>544</v>
      </c>
      <c r="K317" s="6">
        <v>112</v>
      </c>
      <c r="L317">
        <v>256</v>
      </c>
      <c r="M317">
        <v>400</v>
      </c>
      <c r="N317">
        <v>544</v>
      </c>
      <c r="P317" s="6">
        <v>126</v>
      </c>
      <c r="Q317">
        <v>288</v>
      </c>
      <c r="R317" s="6">
        <v>450</v>
      </c>
      <c r="S317">
        <v>612</v>
      </c>
      <c r="U317" s="6"/>
      <c r="Z317" s="6">
        <v>126</v>
      </c>
      <c r="AA317">
        <v>288</v>
      </c>
      <c r="AB317">
        <v>450</v>
      </c>
      <c r="AC317">
        <v>612</v>
      </c>
      <c r="AE317" s="6"/>
      <c r="AJ317" s="6">
        <v>140</v>
      </c>
      <c r="AK317">
        <v>320</v>
      </c>
      <c r="AL317">
        <v>500</v>
      </c>
      <c r="AM317">
        <v>680</v>
      </c>
      <c r="AO317" s="6"/>
      <c r="AS317"/>
      <c r="AT317" t="s">
        <v>214</v>
      </c>
      <c r="AU317" t="s">
        <v>214</v>
      </c>
    </row>
    <row r="318" spans="1:47" x14ac:dyDescent="0.25">
      <c r="A318" s="63" t="s">
        <v>91</v>
      </c>
      <c r="B318" s="63" t="s">
        <v>53</v>
      </c>
      <c r="C318" s="63" t="s">
        <v>91</v>
      </c>
      <c r="D318" s="77" t="s">
        <v>207</v>
      </c>
      <c r="E318" s="62" t="str">
        <f t="shared" si="4"/>
        <v>GammothShock Trap</v>
      </c>
      <c r="K318" s="6"/>
      <c r="P318" s="6"/>
      <c r="U318" s="6"/>
      <c r="AE318" s="6"/>
      <c r="AJ318" s="6"/>
      <c r="AO318" s="6"/>
      <c r="AS318">
        <v>8</v>
      </c>
      <c r="AT318">
        <v>15</v>
      </c>
      <c r="AU318">
        <v>8</v>
      </c>
    </row>
    <row r="319" spans="1:47" s="56" customFormat="1" x14ac:dyDescent="0.25">
      <c r="A319" s="63" t="s">
        <v>91</v>
      </c>
      <c r="B319" s="63" t="s">
        <v>53</v>
      </c>
      <c r="C319" s="63" t="s">
        <v>91</v>
      </c>
      <c r="D319" s="79" t="s">
        <v>213</v>
      </c>
      <c r="E319" s="62" t="str">
        <f t="shared" si="4"/>
        <v>GammothPitfall Trap</v>
      </c>
      <c r="K319" s="7"/>
      <c r="P319" s="7"/>
      <c r="U319" s="7"/>
      <c r="Z319" s="7"/>
      <c r="AE319" s="7"/>
      <c r="AJ319" s="7"/>
      <c r="AO319" s="7"/>
      <c r="AS319" s="56">
        <v>12</v>
      </c>
      <c r="AT319" s="56">
        <v>25</v>
      </c>
      <c r="AU319" s="56">
        <v>12</v>
      </c>
    </row>
    <row r="320" spans="1:47" s="36" customFormat="1" x14ac:dyDescent="0.25">
      <c r="A320" s="63" t="s">
        <v>91</v>
      </c>
      <c r="B320" s="63" t="s">
        <v>54</v>
      </c>
      <c r="C320" s="63" t="s">
        <v>91</v>
      </c>
      <c r="D320" s="37" t="s">
        <v>0</v>
      </c>
      <c r="E320" s="62" t="str">
        <f t="shared" si="4"/>
        <v>GendromePara</v>
      </c>
      <c r="F320" s="36">
        <v>200</v>
      </c>
      <c r="G320" s="36">
        <v>310</v>
      </c>
      <c r="H320" s="36">
        <v>420</v>
      </c>
      <c r="I320" s="36">
        <v>530</v>
      </c>
      <c r="J320" s="61"/>
      <c r="K320" s="50">
        <v>200</v>
      </c>
      <c r="L320" s="36">
        <v>320</v>
      </c>
      <c r="M320" s="36">
        <v>440</v>
      </c>
      <c r="N320" s="36">
        <v>560</v>
      </c>
      <c r="P320" s="6"/>
      <c r="Q320" s="46"/>
      <c r="R320" s="46"/>
      <c r="S320" s="46"/>
      <c r="U320" s="50"/>
      <c r="Z320" s="6"/>
      <c r="AA320" s="46"/>
      <c r="AB320" s="46"/>
      <c r="AC320" s="46"/>
      <c r="AE320" s="50">
        <v>80</v>
      </c>
      <c r="AF320" s="36">
        <v>175</v>
      </c>
      <c r="AG320" s="36">
        <v>270</v>
      </c>
      <c r="AH320" s="36">
        <v>555</v>
      </c>
      <c r="AJ320" s="6"/>
      <c r="AK320" s="46"/>
      <c r="AL320" s="46"/>
      <c r="AM320" s="46"/>
      <c r="AO320" s="50"/>
      <c r="AS320" s="36">
        <v>5</v>
      </c>
      <c r="AT320" s="36" t="s">
        <v>214</v>
      </c>
      <c r="AU320" s="36" t="s">
        <v>214</v>
      </c>
    </row>
    <row r="321" spans="1:47" x14ac:dyDescent="0.25">
      <c r="A321" s="63" t="s">
        <v>91</v>
      </c>
      <c r="B321" s="63" t="s">
        <v>54</v>
      </c>
      <c r="C321" s="63" t="s">
        <v>91</v>
      </c>
      <c r="D321" s="31" t="s">
        <v>32</v>
      </c>
      <c r="E321" s="62" t="str">
        <f t="shared" si="4"/>
        <v>GendromeSleep</v>
      </c>
      <c r="F321">
        <v>70</v>
      </c>
      <c r="G321">
        <v>114</v>
      </c>
      <c r="H321">
        <v>158</v>
      </c>
      <c r="I321">
        <v>202</v>
      </c>
      <c r="K321" s="6">
        <v>70</v>
      </c>
      <c r="L321">
        <v>118</v>
      </c>
      <c r="M321">
        <v>166</v>
      </c>
      <c r="N321">
        <v>214</v>
      </c>
      <c r="P321" s="6"/>
      <c r="U321" s="6"/>
      <c r="AE321" s="6">
        <v>70</v>
      </c>
      <c r="AF321">
        <v>146</v>
      </c>
      <c r="AG321">
        <v>222</v>
      </c>
      <c r="AH321">
        <v>298</v>
      </c>
      <c r="AJ321" s="6"/>
      <c r="AO321" s="6"/>
      <c r="AS321">
        <v>40</v>
      </c>
      <c r="AT321" t="s">
        <v>214</v>
      </c>
      <c r="AU321" t="s">
        <v>214</v>
      </c>
    </row>
    <row r="322" spans="1:47" x14ac:dyDescent="0.25">
      <c r="A322" s="63" t="s">
        <v>91</v>
      </c>
      <c r="B322" s="63" t="s">
        <v>54</v>
      </c>
      <c r="C322" s="63" t="s">
        <v>91</v>
      </c>
      <c r="D322" s="32" t="s">
        <v>33</v>
      </c>
      <c r="E322" s="62" t="str">
        <f t="shared" si="4"/>
        <v>GendromePoison</v>
      </c>
      <c r="F322">
        <v>100</v>
      </c>
      <c r="G322">
        <v>155</v>
      </c>
      <c r="H322">
        <v>210</v>
      </c>
      <c r="I322">
        <v>265</v>
      </c>
      <c r="J322" s="29"/>
      <c r="K322" s="6">
        <v>70</v>
      </c>
      <c r="L322">
        <v>118</v>
      </c>
      <c r="M322">
        <v>166</v>
      </c>
      <c r="N322">
        <v>214</v>
      </c>
      <c r="P322" s="6"/>
      <c r="U322" s="6"/>
      <c r="AE322" s="6">
        <v>80</v>
      </c>
      <c r="AF322">
        <v>156</v>
      </c>
      <c r="AG322">
        <v>232</v>
      </c>
      <c r="AH322">
        <v>308</v>
      </c>
      <c r="AJ322" s="6"/>
      <c r="AO322" s="6"/>
      <c r="AS322">
        <v>30</v>
      </c>
      <c r="AT322" t="s">
        <v>214</v>
      </c>
      <c r="AU322" t="s">
        <v>214</v>
      </c>
    </row>
    <row r="323" spans="1:47" x14ac:dyDescent="0.25">
      <c r="A323" s="63" t="s">
        <v>91</v>
      </c>
      <c r="B323" s="63" t="s">
        <v>54</v>
      </c>
      <c r="C323" s="63" t="s">
        <v>91</v>
      </c>
      <c r="D323" s="10" t="s">
        <v>22</v>
      </c>
      <c r="E323" s="62" t="str">
        <f t="shared" si="4"/>
        <v>GendromeExhaust</v>
      </c>
      <c r="F323">
        <v>225</v>
      </c>
      <c r="G323">
        <v>450</v>
      </c>
      <c r="H323">
        <v>675</v>
      </c>
      <c r="I323">
        <v>900</v>
      </c>
      <c r="J323" s="29"/>
      <c r="K323" s="6">
        <v>225</v>
      </c>
      <c r="L323">
        <v>337</v>
      </c>
      <c r="M323">
        <v>449</v>
      </c>
      <c r="N323">
        <v>561</v>
      </c>
      <c r="P323" s="6"/>
      <c r="U323" s="6"/>
      <c r="AE323" s="6">
        <v>270</v>
      </c>
      <c r="AF323">
        <v>405</v>
      </c>
      <c r="AG323">
        <v>540</v>
      </c>
      <c r="AH323">
        <v>675</v>
      </c>
      <c r="AJ323" s="6"/>
      <c r="AO323" s="6"/>
      <c r="AS323"/>
      <c r="AT323" t="s">
        <v>214</v>
      </c>
      <c r="AU323" t="s">
        <v>214</v>
      </c>
    </row>
    <row r="324" spans="1:47" x14ac:dyDescent="0.25">
      <c r="A324" s="63" t="s">
        <v>91</v>
      </c>
      <c r="B324" s="63" t="s">
        <v>54</v>
      </c>
      <c r="C324" s="63" t="s">
        <v>91</v>
      </c>
      <c r="D324" s="30" t="s">
        <v>35</v>
      </c>
      <c r="E324" s="62" t="str">
        <f t="shared" si="4"/>
        <v>GendromeBlast</v>
      </c>
      <c r="F324">
        <v>55</v>
      </c>
      <c r="G324">
        <v>104</v>
      </c>
      <c r="H324">
        <v>153</v>
      </c>
      <c r="I324">
        <v>202</v>
      </c>
      <c r="K324" s="6">
        <v>55</v>
      </c>
      <c r="L324">
        <v>104</v>
      </c>
      <c r="M324">
        <v>153</v>
      </c>
      <c r="N324">
        <v>202</v>
      </c>
      <c r="P324" s="6"/>
      <c r="R324" s="6"/>
      <c r="U324" s="6"/>
      <c r="AB324" s="6"/>
      <c r="AE324" s="6">
        <v>70</v>
      </c>
      <c r="AF324">
        <v>127</v>
      </c>
      <c r="AG324" s="6">
        <v>184</v>
      </c>
      <c r="AH324">
        <v>241</v>
      </c>
      <c r="AJ324" s="6"/>
      <c r="AO324" s="6"/>
      <c r="AS324"/>
      <c r="AT324" t="s">
        <v>214</v>
      </c>
      <c r="AU324" t="s">
        <v>214</v>
      </c>
    </row>
    <row r="325" spans="1:47" x14ac:dyDescent="0.25">
      <c r="A325" s="63" t="s">
        <v>91</v>
      </c>
      <c r="B325" s="63" t="s">
        <v>54</v>
      </c>
      <c r="C325" s="63" t="s">
        <v>91</v>
      </c>
      <c r="D325" s="34" t="s">
        <v>14</v>
      </c>
      <c r="E325" s="62" t="str">
        <f t="shared" ref="E325:E388" si="5">B325&amp;D325</f>
        <v>GendromeKO</v>
      </c>
      <c r="F325">
        <v>156</v>
      </c>
      <c r="G325">
        <v>233</v>
      </c>
      <c r="H325">
        <v>312</v>
      </c>
      <c r="I325">
        <v>390</v>
      </c>
      <c r="J325" s="29"/>
      <c r="K325" s="6">
        <v>156</v>
      </c>
      <c r="L325">
        <v>233</v>
      </c>
      <c r="M325">
        <v>310</v>
      </c>
      <c r="N325">
        <v>387</v>
      </c>
      <c r="P325" s="6"/>
      <c r="U325" s="6"/>
      <c r="AE325" s="6">
        <v>140</v>
      </c>
      <c r="AF325">
        <v>196</v>
      </c>
      <c r="AG325">
        <v>252</v>
      </c>
      <c r="AH325">
        <v>308</v>
      </c>
      <c r="AJ325" s="6"/>
      <c r="AO325" s="6"/>
      <c r="AS325">
        <v>10</v>
      </c>
      <c r="AT325" t="s">
        <v>214</v>
      </c>
      <c r="AU325" t="s">
        <v>214</v>
      </c>
    </row>
    <row r="326" spans="1:47" x14ac:dyDescent="0.25">
      <c r="A326" s="63" t="s">
        <v>91</v>
      </c>
      <c r="B326" s="63" t="s">
        <v>54</v>
      </c>
      <c r="C326" s="63" t="s">
        <v>91</v>
      </c>
      <c r="D326" s="33" t="s">
        <v>34</v>
      </c>
      <c r="E326" s="62" t="str">
        <f t="shared" si="5"/>
        <v>GendromeMount</v>
      </c>
      <c r="F326">
        <v>80</v>
      </c>
      <c r="G326">
        <v>200</v>
      </c>
      <c r="H326">
        <v>320</v>
      </c>
      <c r="I326">
        <v>440</v>
      </c>
      <c r="K326" s="6">
        <v>80</v>
      </c>
      <c r="L326">
        <v>208</v>
      </c>
      <c r="M326">
        <v>336</v>
      </c>
      <c r="N326">
        <v>464</v>
      </c>
      <c r="P326" s="6"/>
      <c r="R326" s="6"/>
      <c r="U326" s="6"/>
      <c r="AE326" s="6">
        <v>85</v>
      </c>
      <c r="AF326">
        <v>221</v>
      </c>
      <c r="AG326">
        <v>357</v>
      </c>
      <c r="AH326">
        <v>493</v>
      </c>
      <c r="AJ326" s="6"/>
      <c r="AO326" s="6"/>
      <c r="AS326"/>
      <c r="AT326" t="s">
        <v>214</v>
      </c>
      <c r="AU326" t="s">
        <v>214</v>
      </c>
    </row>
    <row r="327" spans="1:47" x14ac:dyDescent="0.25">
      <c r="A327" s="63" t="s">
        <v>91</v>
      </c>
      <c r="B327" s="63" t="s">
        <v>54</v>
      </c>
      <c r="C327" s="63" t="s">
        <v>91</v>
      </c>
      <c r="D327" s="77" t="s">
        <v>207</v>
      </c>
      <c r="E327" s="62" t="str">
        <f t="shared" si="5"/>
        <v>GendromeShock Trap</v>
      </c>
      <c r="K327" s="6"/>
      <c r="P327" s="6"/>
      <c r="U327" s="6"/>
      <c r="AE327" s="6"/>
      <c r="AJ327" s="6"/>
      <c r="AO327" s="6"/>
      <c r="AS327">
        <v>12</v>
      </c>
      <c r="AT327">
        <v>18</v>
      </c>
      <c r="AU327">
        <v>15</v>
      </c>
    </row>
    <row r="328" spans="1:47" s="56" customFormat="1" x14ac:dyDescent="0.25">
      <c r="A328" s="63" t="s">
        <v>91</v>
      </c>
      <c r="B328" s="63" t="s">
        <v>54</v>
      </c>
      <c r="C328" s="63" t="s">
        <v>91</v>
      </c>
      <c r="D328" s="79" t="s">
        <v>213</v>
      </c>
      <c r="E328" s="62" t="str">
        <f t="shared" si="5"/>
        <v>GendromePitfall Trap</v>
      </c>
      <c r="K328" s="7"/>
      <c r="P328" s="7"/>
      <c r="U328" s="7"/>
      <c r="Z328" s="7"/>
      <c r="AE328" s="7"/>
      <c r="AJ328" s="7"/>
      <c r="AO328" s="7"/>
      <c r="AS328" s="56">
        <v>15</v>
      </c>
      <c r="AT328" s="56">
        <v>25</v>
      </c>
      <c r="AU328" s="56">
        <v>18</v>
      </c>
    </row>
    <row r="329" spans="1:47" s="36" customFormat="1" x14ac:dyDescent="0.25">
      <c r="A329" s="63" t="s">
        <v>91</v>
      </c>
      <c r="B329" s="63" t="s">
        <v>55</v>
      </c>
      <c r="C329" s="63" t="s">
        <v>91</v>
      </c>
      <c r="D329" s="37" t="s">
        <v>0</v>
      </c>
      <c r="E329" s="62" t="str">
        <f t="shared" si="5"/>
        <v>GlavenusPara</v>
      </c>
      <c r="F329" s="36">
        <v>180</v>
      </c>
      <c r="G329" s="36">
        <v>700</v>
      </c>
      <c r="H329" s="36">
        <v>1220</v>
      </c>
      <c r="I329" s="36">
        <v>1740</v>
      </c>
      <c r="J329" s="61"/>
      <c r="K329" s="50">
        <v>180</v>
      </c>
      <c r="L329" s="36">
        <v>440</v>
      </c>
      <c r="M329" s="36">
        <v>700</v>
      </c>
      <c r="N329" s="36">
        <v>960</v>
      </c>
      <c r="P329" s="6">
        <v>180</v>
      </c>
      <c r="Q329" s="46">
        <v>580</v>
      </c>
      <c r="R329" s="46">
        <v>980</v>
      </c>
      <c r="S329" s="46">
        <v>1380</v>
      </c>
      <c r="U329" s="50"/>
      <c r="Z329" s="6">
        <v>180</v>
      </c>
      <c r="AA329" s="46">
        <v>660</v>
      </c>
      <c r="AB329" s="46">
        <v>1140</v>
      </c>
      <c r="AC329" s="46">
        <v>1620</v>
      </c>
      <c r="AE329" s="50">
        <v>180</v>
      </c>
      <c r="AF329" s="36">
        <v>680</v>
      </c>
      <c r="AG329" s="36">
        <v>1180</v>
      </c>
      <c r="AH329" s="36">
        <v>1680</v>
      </c>
      <c r="AJ329" s="6">
        <v>180</v>
      </c>
      <c r="AK329" s="46">
        <v>720</v>
      </c>
      <c r="AL329" s="46">
        <v>1260</v>
      </c>
      <c r="AM329" s="46">
        <v>1800</v>
      </c>
      <c r="AO329" s="50"/>
      <c r="AS329" s="36">
        <v>12</v>
      </c>
      <c r="AT329" s="36" t="s">
        <v>214</v>
      </c>
      <c r="AU329" s="36" t="s">
        <v>214</v>
      </c>
    </row>
    <row r="330" spans="1:47" x14ac:dyDescent="0.25">
      <c r="A330" s="63" t="s">
        <v>91</v>
      </c>
      <c r="B330" s="63" t="s">
        <v>55</v>
      </c>
      <c r="C330" s="63" t="s">
        <v>91</v>
      </c>
      <c r="D330" s="31" t="s">
        <v>32</v>
      </c>
      <c r="E330" s="62" t="str">
        <f t="shared" si="5"/>
        <v>GlavenusSleep</v>
      </c>
      <c r="F330">
        <v>180</v>
      </c>
      <c r="G330">
        <v>440</v>
      </c>
      <c r="H330">
        <v>700</v>
      </c>
      <c r="I330">
        <v>960</v>
      </c>
      <c r="K330" s="6">
        <v>180</v>
      </c>
      <c r="L330">
        <v>440</v>
      </c>
      <c r="M330">
        <v>700</v>
      </c>
      <c r="N330">
        <v>960</v>
      </c>
      <c r="P330" s="6">
        <v>180</v>
      </c>
      <c r="Q330">
        <v>580</v>
      </c>
      <c r="R330">
        <v>980</v>
      </c>
      <c r="S330">
        <v>1380</v>
      </c>
      <c r="U330" s="6"/>
      <c r="Z330" s="6">
        <v>180</v>
      </c>
      <c r="AA330">
        <v>660</v>
      </c>
      <c r="AB330">
        <v>1140</v>
      </c>
      <c r="AC330">
        <v>1620</v>
      </c>
      <c r="AE330" s="6">
        <v>180</v>
      </c>
      <c r="AF330">
        <v>680</v>
      </c>
      <c r="AG330">
        <v>1180</v>
      </c>
      <c r="AH330">
        <v>1680</v>
      </c>
      <c r="AJ330" s="6">
        <v>180</v>
      </c>
      <c r="AK330">
        <v>720</v>
      </c>
      <c r="AL330">
        <v>1260</v>
      </c>
      <c r="AM330">
        <v>1800</v>
      </c>
      <c r="AO330" s="6"/>
      <c r="AS330">
        <v>60</v>
      </c>
      <c r="AT330" t="s">
        <v>214</v>
      </c>
      <c r="AU330" t="s">
        <v>214</v>
      </c>
    </row>
    <row r="331" spans="1:47" x14ac:dyDescent="0.25">
      <c r="A331" s="63" t="s">
        <v>91</v>
      </c>
      <c r="B331" s="63" t="s">
        <v>55</v>
      </c>
      <c r="C331" s="63" t="s">
        <v>91</v>
      </c>
      <c r="D331" s="32" t="s">
        <v>33</v>
      </c>
      <c r="E331" s="62" t="str">
        <f t="shared" si="5"/>
        <v>GlavenusPoison</v>
      </c>
      <c r="F331">
        <v>100</v>
      </c>
      <c r="G331">
        <v>230</v>
      </c>
      <c r="H331">
        <v>360</v>
      </c>
      <c r="I331">
        <v>490</v>
      </c>
      <c r="J331" s="29"/>
      <c r="K331" s="6">
        <v>180</v>
      </c>
      <c r="L331">
        <v>440</v>
      </c>
      <c r="M331">
        <v>700</v>
      </c>
      <c r="N331">
        <v>960</v>
      </c>
      <c r="P331" s="6">
        <v>180</v>
      </c>
      <c r="Q331">
        <v>300</v>
      </c>
      <c r="R331">
        <v>420</v>
      </c>
      <c r="S331">
        <v>540</v>
      </c>
      <c r="U331" s="6"/>
      <c r="Z331" s="6">
        <v>100</v>
      </c>
      <c r="AA331">
        <v>340</v>
      </c>
      <c r="AB331">
        <v>580</v>
      </c>
      <c r="AC331">
        <v>820</v>
      </c>
      <c r="AE331" s="6">
        <v>100</v>
      </c>
      <c r="AF331">
        <v>350</v>
      </c>
      <c r="AG331">
        <v>600</v>
      </c>
      <c r="AH331">
        <v>850</v>
      </c>
      <c r="AJ331" s="6">
        <v>100</v>
      </c>
      <c r="AK331">
        <v>370</v>
      </c>
      <c r="AL331">
        <v>640</v>
      </c>
      <c r="AM331">
        <v>910</v>
      </c>
      <c r="AO331" s="6"/>
      <c r="AS331">
        <v>50</v>
      </c>
      <c r="AT331" t="s">
        <v>214</v>
      </c>
      <c r="AU331" t="s">
        <v>214</v>
      </c>
    </row>
    <row r="332" spans="1:47" x14ac:dyDescent="0.25">
      <c r="A332" s="63" t="s">
        <v>91</v>
      </c>
      <c r="B332" s="63" t="s">
        <v>55</v>
      </c>
      <c r="C332" s="63" t="s">
        <v>91</v>
      </c>
      <c r="D332" s="10" t="s">
        <v>22</v>
      </c>
      <c r="E332" s="62" t="str">
        <f t="shared" si="5"/>
        <v>GlavenusExhaust</v>
      </c>
      <c r="F332">
        <v>288</v>
      </c>
      <c r="G332">
        <v>528</v>
      </c>
      <c r="H332">
        <v>768</v>
      </c>
      <c r="I332">
        <v>1008</v>
      </c>
      <c r="J332" s="29"/>
      <c r="K332" s="6">
        <v>288</v>
      </c>
      <c r="L332">
        <v>528</v>
      </c>
      <c r="M332">
        <v>768</v>
      </c>
      <c r="N332">
        <v>1008</v>
      </c>
      <c r="P332" s="6">
        <v>333</v>
      </c>
      <c r="Q332">
        <v>610</v>
      </c>
      <c r="R332">
        <v>887</v>
      </c>
      <c r="S332">
        <v>1164</v>
      </c>
      <c r="U332" s="6"/>
      <c r="Z332" s="6">
        <v>414</v>
      </c>
      <c r="AA332">
        <v>759</v>
      </c>
      <c r="AB332">
        <v>1104</v>
      </c>
      <c r="AC332">
        <v>1449</v>
      </c>
      <c r="AE332" s="6">
        <v>432</v>
      </c>
      <c r="AF332">
        <v>792</v>
      </c>
      <c r="AG332">
        <v>1152</v>
      </c>
      <c r="AH332">
        <v>1512</v>
      </c>
      <c r="AJ332" s="6">
        <v>450</v>
      </c>
      <c r="AK332">
        <v>825</v>
      </c>
      <c r="AL332">
        <v>1200</v>
      </c>
      <c r="AM332">
        <v>1575</v>
      </c>
      <c r="AO332" s="6"/>
      <c r="AS332"/>
      <c r="AT332" t="s">
        <v>214</v>
      </c>
      <c r="AU332" t="s">
        <v>214</v>
      </c>
    </row>
    <row r="333" spans="1:47" x14ac:dyDescent="0.25">
      <c r="A333" s="63" t="s">
        <v>91</v>
      </c>
      <c r="B333" s="63" t="s">
        <v>55</v>
      </c>
      <c r="C333" s="63" t="s">
        <v>91</v>
      </c>
      <c r="D333" s="30" t="s">
        <v>35</v>
      </c>
      <c r="E333" s="62" t="str">
        <f t="shared" si="5"/>
        <v>GlavenusBlast</v>
      </c>
      <c r="F333">
        <v>130</v>
      </c>
      <c r="G333">
        <v>233</v>
      </c>
      <c r="H333">
        <v>336</v>
      </c>
      <c r="I333">
        <v>439</v>
      </c>
      <c r="K333" s="6">
        <v>130</v>
      </c>
      <c r="L333">
        <v>233</v>
      </c>
      <c r="M333">
        <v>336</v>
      </c>
      <c r="N333">
        <v>439</v>
      </c>
      <c r="P333" s="6">
        <v>130</v>
      </c>
      <c r="Q333">
        <v>220</v>
      </c>
      <c r="R333" s="6">
        <v>310</v>
      </c>
      <c r="S333">
        <v>400</v>
      </c>
      <c r="U333" s="6"/>
      <c r="Z333" s="6">
        <v>130</v>
      </c>
      <c r="AA333">
        <v>230</v>
      </c>
      <c r="AB333" s="6">
        <v>330</v>
      </c>
      <c r="AC333">
        <v>430</v>
      </c>
      <c r="AE333" s="6">
        <v>130</v>
      </c>
      <c r="AF333">
        <v>242</v>
      </c>
      <c r="AG333" s="6">
        <v>354</v>
      </c>
      <c r="AH333">
        <v>466</v>
      </c>
      <c r="AJ333" s="6">
        <v>130</v>
      </c>
      <c r="AK333">
        <v>251</v>
      </c>
      <c r="AL333">
        <v>372</v>
      </c>
      <c r="AM333">
        <v>493</v>
      </c>
      <c r="AO333" s="6"/>
      <c r="AS333"/>
      <c r="AT333" t="s">
        <v>214</v>
      </c>
      <c r="AU333" t="s">
        <v>214</v>
      </c>
    </row>
    <row r="334" spans="1:47" x14ac:dyDescent="0.25">
      <c r="A334" s="63" t="s">
        <v>91</v>
      </c>
      <c r="B334" s="63" t="s">
        <v>55</v>
      </c>
      <c r="C334" s="63" t="s">
        <v>91</v>
      </c>
      <c r="D334" s="34" t="s">
        <v>14</v>
      </c>
      <c r="E334" s="62" t="str">
        <f t="shared" si="5"/>
        <v>GlavenusKO</v>
      </c>
      <c r="F334">
        <v>233</v>
      </c>
      <c r="G334">
        <v>428</v>
      </c>
      <c r="H334">
        <v>623</v>
      </c>
      <c r="I334">
        <v>818</v>
      </c>
      <c r="J334" s="29"/>
      <c r="K334" s="6">
        <v>233</v>
      </c>
      <c r="L334">
        <v>428</v>
      </c>
      <c r="M334">
        <v>623</v>
      </c>
      <c r="N334">
        <v>818</v>
      </c>
      <c r="P334" s="6">
        <v>252</v>
      </c>
      <c r="Q334">
        <v>462</v>
      </c>
      <c r="R334">
        <v>672</v>
      </c>
      <c r="S334">
        <v>882</v>
      </c>
      <c r="U334" s="6"/>
      <c r="Z334" s="6">
        <v>306</v>
      </c>
      <c r="AA334">
        <v>561</v>
      </c>
      <c r="AB334">
        <v>816</v>
      </c>
      <c r="AC334">
        <v>1071</v>
      </c>
      <c r="AE334" s="6">
        <v>324</v>
      </c>
      <c r="AF334">
        <v>594</v>
      </c>
      <c r="AG334">
        <v>864</v>
      </c>
      <c r="AH334">
        <v>1134</v>
      </c>
      <c r="AJ334" s="6">
        <v>360</v>
      </c>
      <c r="AK334">
        <v>660</v>
      </c>
      <c r="AL334">
        <v>960</v>
      </c>
      <c r="AM334">
        <v>1260</v>
      </c>
      <c r="AO334" s="6"/>
      <c r="AS334">
        <v>10</v>
      </c>
      <c r="AT334" t="s">
        <v>214</v>
      </c>
      <c r="AU334" t="s">
        <v>214</v>
      </c>
    </row>
    <row r="335" spans="1:47" x14ac:dyDescent="0.25">
      <c r="A335" s="63" t="s">
        <v>91</v>
      </c>
      <c r="B335" s="63" t="s">
        <v>55</v>
      </c>
      <c r="C335" s="63" t="s">
        <v>91</v>
      </c>
      <c r="D335" s="33" t="s">
        <v>34</v>
      </c>
      <c r="E335" s="62" t="str">
        <f t="shared" si="5"/>
        <v>GlavenusMount</v>
      </c>
      <c r="F335">
        <v>96</v>
      </c>
      <c r="G335">
        <v>256</v>
      </c>
      <c r="H335">
        <v>416</v>
      </c>
      <c r="I335">
        <v>576</v>
      </c>
      <c r="K335" s="6">
        <v>96</v>
      </c>
      <c r="L335">
        <v>256</v>
      </c>
      <c r="M335">
        <v>416</v>
      </c>
      <c r="N335">
        <v>576</v>
      </c>
      <c r="P335" s="6">
        <v>108</v>
      </c>
      <c r="Q335">
        <v>288</v>
      </c>
      <c r="R335" s="6">
        <v>468</v>
      </c>
      <c r="S335">
        <v>648</v>
      </c>
      <c r="U335" s="6"/>
      <c r="Z335" s="6">
        <v>120</v>
      </c>
      <c r="AA335">
        <v>320</v>
      </c>
      <c r="AB335">
        <v>520</v>
      </c>
      <c r="AC335">
        <v>720</v>
      </c>
      <c r="AE335" s="6">
        <v>120</v>
      </c>
      <c r="AF335">
        <v>320</v>
      </c>
      <c r="AG335">
        <v>520</v>
      </c>
      <c r="AH335">
        <v>720</v>
      </c>
      <c r="AJ335" s="6">
        <v>120</v>
      </c>
      <c r="AK335">
        <v>320</v>
      </c>
      <c r="AL335">
        <v>520</v>
      </c>
      <c r="AM335">
        <v>720</v>
      </c>
      <c r="AO335" s="6"/>
      <c r="AS335"/>
      <c r="AT335" t="s">
        <v>214</v>
      </c>
      <c r="AU335" t="s">
        <v>214</v>
      </c>
    </row>
    <row r="336" spans="1:47" x14ac:dyDescent="0.25">
      <c r="A336" s="63" t="s">
        <v>91</v>
      </c>
      <c r="B336" s="63" t="s">
        <v>55</v>
      </c>
      <c r="C336" s="63" t="s">
        <v>91</v>
      </c>
      <c r="D336" s="77" t="s">
        <v>207</v>
      </c>
      <c r="E336" s="62" t="str">
        <f t="shared" si="5"/>
        <v>GlavenusShock Trap</v>
      </c>
      <c r="K336" s="6"/>
      <c r="P336" s="6"/>
      <c r="U336" s="6"/>
      <c r="AE336" s="6"/>
      <c r="AJ336" s="6"/>
      <c r="AO336" s="6"/>
      <c r="AS336">
        <v>10</v>
      </c>
      <c r="AT336">
        <v>15</v>
      </c>
      <c r="AU336">
        <v>12</v>
      </c>
    </row>
    <row r="337" spans="1:47" s="56" customFormat="1" x14ac:dyDescent="0.25">
      <c r="A337" s="63" t="s">
        <v>91</v>
      </c>
      <c r="B337" s="63" t="s">
        <v>55</v>
      </c>
      <c r="C337" s="63" t="s">
        <v>91</v>
      </c>
      <c r="D337" s="79" t="s">
        <v>213</v>
      </c>
      <c r="E337" s="62" t="str">
        <f t="shared" si="5"/>
        <v>GlavenusPitfall Trap</v>
      </c>
      <c r="K337" s="7"/>
      <c r="P337" s="7"/>
      <c r="U337" s="7"/>
      <c r="Z337" s="7"/>
      <c r="AE337" s="7"/>
      <c r="AJ337" s="7"/>
      <c r="AO337" s="7"/>
      <c r="AS337" s="56">
        <v>10</v>
      </c>
      <c r="AT337" s="56">
        <v>20</v>
      </c>
      <c r="AU337" s="56">
        <v>12</v>
      </c>
    </row>
    <row r="338" spans="1:47" s="36" customFormat="1" x14ac:dyDescent="0.25">
      <c r="A338" s="63" t="s">
        <v>91</v>
      </c>
      <c r="B338" s="63" t="s">
        <v>56</v>
      </c>
      <c r="C338" s="63" t="s">
        <v>91</v>
      </c>
      <c r="D338" s="37" t="s">
        <v>0</v>
      </c>
      <c r="E338" s="62" t="str">
        <f t="shared" si="5"/>
        <v>Gore MagalaPara</v>
      </c>
      <c r="F338" s="36">
        <v>180</v>
      </c>
      <c r="G338" s="36">
        <v>492</v>
      </c>
      <c r="H338" s="36">
        <v>647</v>
      </c>
      <c r="I338" s="36">
        <v>960</v>
      </c>
      <c r="J338" s="61"/>
      <c r="K338" s="50"/>
      <c r="P338" s="6">
        <v>180</v>
      </c>
      <c r="Q338" s="46">
        <v>396</v>
      </c>
      <c r="R338" s="46">
        <v>612</v>
      </c>
      <c r="S338" s="46">
        <v>1044</v>
      </c>
      <c r="U338" s="50"/>
      <c r="Z338" s="6">
        <v>180</v>
      </c>
      <c r="AA338" s="46">
        <v>431</v>
      </c>
      <c r="AB338" s="46">
        <v>682</v>
      </c>
      <c r="AC338" s="46">
        <v>933</v>
      </c>
      <c r="AE338" s="50"/>
      <c r="AJ338" s="6">
        <v>180</v>
      </c>
      <c r="AK338" s="46">
        <v>504</v>
      </c>
      <c r="AL338" s="46">
        <v>828</v>
      </c>
      <c r="AM338" s="46">
        <v>1152</v>
      </c>
      <c r="AO338" s="50"/>
      <c r="AS338" s="36">
        <v>10</v>
      </c>
      <c r="AT338" s="36" t="s">
        <v>214</v>
      </c>
      <c r="AU338" s="36" t="s">
        <v>214</v>
      </c>
    </row>
    <row r="339" spans="1:47" x14ac:dyDescent="0.25">
      <c r="A339" s="63" t="s">
        <v>91</v>
      </c>
      <c r="B339" s="63" t="s">
        <v>56</v>
      </c>
      <c r="C339" s="63" t="s">
        <v>91</v>
      </c>
      <c r="D339" s="31" t="s">
        <v>32</v>
      </c>
      <c r="E339" s="62" t="str">
        <f t="shared" si="5"/>
        <v>Gore MagalaSleep</v>
      </c>
      <c r="F339">
        <v>200</v>
      </c>
      <c r="G339">
        <v>395</v>
      </c>
      <c r="H339">
        <v>590</v>
      </c>
      <c r="I339">
        <v>785</v>
      </c>
      <c r="K339" s="6"/>
      <c r="P339" s="6">
        <v>200</v>
      </c>
      <c r="Q339">
        <v>470</v>
      </c>
      <c r="R339">
        <v>740</v>
      </c>
      <c r="S339">
        <v>1010</v>
      </c>
      <c r="U339" s="6"/>
      <c r="Z339" s="6">
        <v>200</v>
      </c>
      <c r="AA339">
        <v>515</v>
      </c>
      <c r="AB339">
        <v>830</v>
      </c>
      <c r="AC339">
        <v>1145</v>
      </c>
      <c r="AE339" s="6"/>
      <c r="AJ339" s="6">
        <v>200</v>
      </c>
      <c r="AK339">
        <v>605</v>
      </c>
      <c r="AL339">
        <v>1010</v>
      </c>
      <c r="AM339">
        <v>1415</v>
      </c>
      <c r="AO339" s="6"/>
      <c r="AS339">
        <v>40</v>
      </c>
      <c r="AT339" t="s">
        <v>214</v>
      </c>
      <c r="AU339" t="s">
        <v>214</v>
      </c>
    </row>
    <row r="340" spans="1:47" x14ac:dyDescent="0.25">
      <c r="A340" s="63" t="s">
        <v>91</v>
      </c>
      <c r="B340" s="63" t="s">
        <v>56</v>
      </c>
      <c r="C340" s="63" t="s">
        <v>91</v>
      </c>
      <c r="D340" s="32" t="s">
        <v>33</v>
      </c>
      <c r="E340" s="62" t="str">
        <f t="shared" si="5"/>
        <v>Gore MagalaPoison</v>
      </c>
      <c r="F340">
        <v>180</v>
      </c>
      <c r="G340">
        <v>336</v>
      </c>
      <c r="H340">
        <v>492</v>
      </c>
      <c r="I340">
        <v>647</v>
      </c>
      <c r="J340" s="29"/>
      <c r="K340" s="6"/>
      <c r="P340" s="6">
        <v>180</v>
      </c>
      <c r="Q340">
        <v>396</v>
      </c>
      <c r="R340">
        <v>612</v>
      </c>
      <c r="S340">
        <v>828</v>
      </c>
      <c r="U340" s="6"/>
      <c r="Z340" s="6">
        <v>180</v>
      </c>
      <c r="AA340">
        <v>431</v>
      </c>
      <c r="AB340">
        <v>682</v>
      </c>
      <c r="AC340">
        <v>933</v>
      </c>
      <c r="AE340" s="6"/>
      <c r="AJ340" s="6">
        <v>180</v>
      </c>
      <c r="AK340">
        <v>604</v>
      </c>
      <c r="AL340">
        <v>1028</v>
      </c>
      <c r="AM340">
        <v>1452</v>
      </c>
      <c r="AO340" s="6"/>
      <c r="AS340">
        <v>60</v>
      </c>
      <c r="AT340" t="s">
        <v>214</v>
      </c>
      <c r="AU340" t="s">
        <v>214</v>
      </c>
    </row>
    <row r="341" spans="1:47" x14ac:dyDescent="0.25">
      <c r="A341" s="63" t="s">
        <v>91</v>
      </c>
      <c r="B341" s="63" t="s">
        <v>56</v>
      </c>
      <c r="C341" s="63" t="s">
        <v>91</v>
      </c>
      <c r="D341" s="10" t="s">
        <v>22</v>
      </c>
      <c r="E341" s="62" t="str">
        <f t="shared" si="5"/>
        <v>Gore MagalaExhaust</v>
      </c>
      <c r="F341">
        <v>288</v>
      </c>
      <c r="G341">
        <v>448</v>
      </c>
      <c r="H341">
        <v>608</v>
      </c>
      <c r="I341">
        <v>768</v>
      </c>
      <c r="J341" s="29"/>
      <c r="K341" s="6"/>
      <c r="P341" s="6">
        <v>315</v>
      </c>
      <c r="Q341">
        <v>490</v>
      </c>
      <c r="R341">
        <v>665</v>
      </c>
      <c r="S341">
        <v>840</v>
      </c>
      <c r="U341" s="6"/>
      <c r="Z341" s="6">
        <v>342</v>
      </c>
      <c r="AA341">
        <v>532</v>
      </c>
      <c r="AB341">
        <v>722</v>
      </c>
      <c r="AC341">
        <v>912</v>
      </c>
      <c r="AE341" s="6"/>
      <c r="AJ341" s="6">
        <v>450</v>
      </c>
      <c r="AK341">
        <v>700</v>
      </c>
      <c r="AL341">
        <v>950</v>
      </c>
      <c r="AM341">
        <v>1200</v>
      </c>
      <c r="AO341" s="6"/>
      <c r="AS341"/>
      <c r="AT341" t="s">
        <v>214</v>
      </c>
      <c r="AU341" t="s">
        <v>214</v>
      </c>
    </row>
    <row r="342" spans="1:47" x14ac:dyDescent="0.25">
      <c r="A342" s="63" t="s">
        <v>91</v>
      </c>
      <c r="B342" s="63" t="s">
        <v>56</v>
      </c>
      <c r="C342" s="63" t="s">
        <v>91</v>
      </c>
      <c r="D342" s="30" t="s">
        <v>35</v>
      </c>
      <c r="E342" s="62" t="str">
        <f t="shared" si="5"/>
        <v>Gore MagalaBlast</v>
      </c>
      <c r="F342">
        <v>70</v>
      </c>
      <c r="G342">
        <v>109</v>
      </c>
      <c r="H342">
        <v>148</v>
      </c>
      <c r="I342">
        <v>187</v>
      </c>
      <c r="K342" s="6"/>
      <c r="P342" s="6">
        <v>70</v>
      </c>
      <c r="Q342">
        <v>124</v>
      </c>
      <c r="R342" s="6">
        <v>178</v>
      </c>
      <c r="S342">
        <v>232</v>
      </c>
      <c r="U342" s="6"/>
      <c r="Z342" s="6">
        <v>70</v>
      </c>
      <c r="AA342">
        <v>132</v>
      </c>
      <c r="AB342" s="6">
        <v>194</v>
      </c>
      <c r="AC342">
        <v>256</v>
      </c>
      <c r="AE342" s="6"/>
      <c r="AG342" s="6"/>
      <c r="AJ342" s="6">
        <v>70</v>
      </c>
      <c r="AK342">
        <v>151</v>
      </c>
      <c r="AL342">
        <v>232</v>
      </c>
      <c r="AM342">
        <v>313</v>
      </c>
      <c r="AO342" s="6"/>
      <c r="AS342"/>
      <c r="AT342" t="s">
        <v>214</v>
      </c>
      <c r="AU342" t="s">
        <v>214</v>
      </c>
    </row>
    <row r="343" spans="1:47" x14ac:dyDescent="0.25">
      <c r="A343" s="63" t="s">
        <v>91</v>
      </c>
      <c r="B343" s="63" t="s">
        <v>56</v>
      </c>
      <c r="C343" s="63" t="s">
        <v>91</v>
      </c>
      <c r="D343" s="34" t="s">
        <v>14</v>
      </c>
      <c r="E343" s="62" t="str">
        <f t="shared" si="5"/>
        <v>Gore MagalaKO</v>
      </c>
      <c r="F343">
        <v>260</v>
      </c>
      <c r="G343">
        <v>454</v>
      </c>
      <c r="H343">
        <v>650</v>
      </c>
      <c r="I343">
        <v>844</v>
      </c>
      <c r="J343" s="29"/>
      <c r="K343" s="6"/>
      <c r="P343" s="6">
        <v>260</v>
      </c>
      <c r="Q343">
        <v>454</v>
      </c>
      <c r="R343">
        <v>648</v>
      </c>
      <c r="S343">
        <v>842</v>
      </c>
      <c r="U343" s="6"/>
      <c r="Z343" s="6">
        <v>300</v>
      </c>
      <c r="AA343">
        <v>525</v>
      </c>
      <c r="AB343">
        <v>750</v>
      </c>
      <c r="AC343">
        <v>975</v>
      </c>
      <c r="AE343" s="6"/>
      <c r="AJ343" s="6">
        <v>400</v>
      </c>
      <c r="AK343">
        <v>700</v>
      </c>
      <c r="AL343">
        <v>1000</v>
      </c>
      <c r="AM343">
        <v>1300</v>
      </c>
      <c r="AO343" s="6"/>
      <c r="AS343">
        <v>10</v>
      </c>
      <c r="AT343" t="s">
        <v>214</v>
      </c>
      <c r="AU343" t="s">
        <v>214</v>
      </c>
    </row>
    <row r="344" spans="1:47" x14ac:dyDescent="0.25">
      <c r="A344" s="63" t="s">
        <v>91</v>
      </c>
      <c r="B344" s="63" t="s">
        <v>56</v>
      </c>
      <c r="C344" s="63" t="s">
        <v>91</v>
      </c>
      <c r="D344" s="33" t="s">
        <v>34</v>
      </c>
      <c r="E344" s="62" t="str">
        <f t="shared" si="5"/>
        <v>Gore MagalaMount</v>
      </c>
      <c r="F344">
        <v>96</v>
      </c>
      <c r="G344">
        <v>256</v>
      </c>
      <c r="H344">
        <v>416</v>
      </c>
      <c r="I344">
        <v>576</v>
      </c>
      <c r="K344" s="6"/>
      <c r="P344" s="6">
        <v>102</v>
      </c>
      <c r="Q344">
        <v>272</v>
      </c>
      <c r="R344" s="6">
        <v>442</v>
      </c>
      <c r="S344">
        <v>612</v>
      </c>
      <c r="U344" s="6"/>
      <c r="Z344" s="6">
        <v>108</v>
      </c>
      <c r="AA344">
        <v>288</v>
      </c>
      <c r="AB344">
        <v>468</v>
      </c>
      <c r="AC344">
        <v>648</v>
      </c>
      <c r="AE344" s="6"/>
      <c r="AJ344" s="6">
        <v>120</v>
      </c>
      <c r="AK344">
        <v>320</v>
      </c>
      <c r="AL344">
        <v>520</v>
      </c>
      <c r="AM344">
        <v>720</v>
      </c>
      <c r="AO344" s="6"/>
      <c r="AS344"/>
      <c r="AT344" t="s">
        <v>214</v>
      </c>
      <c r="AU344" t="s">
        <v>214</v>
      </c>
    </row>
    <row r="345" spans="1:47" x14ac:dyDescent="0.25">
      <c r="A345" s="63" t="s">
        <v>91</v>
      </c>
      <c r="B345" s="63" t="s">
        <v>56</v>
      </c>
      <c r="C345" s="63" t="s">
        <v>91</v>
      </c>
      <c r="D345" s="77" t="s">
        <v>207</v>
      </c>
      <c r="E345" s="62" t="str">
        <f t="shared" si="5"/>
        <v>Gore MagalaShock Trap</v>
      </c>
      <c r="K345" s="6"/>
      <c r="P345" s="6"/>
      <c r="U345" s="6"/>
      <c r="AE345" s="6"/>
      <c r="AJ345" s="6"/>
      <c r="AO345" s="6"/>
      <c r="AS345">
        <v>8</v>
      </c>
      <c r="AT345">
        <v>15</v>
      </c>
      <c r="AU345">
        <v>8</v>
      </c>
    </row>
    <row r="346" spans="1:47" s="56" customFormat="1" x14ac:dyDescent="0.25">
      <c r="A346" s="63" t="s">
        <v>91</v>
      </c>
      <c r="B346" s="63" t="s">
        <v>56</v>
      </c>
      <c r="C346" s="63" t="s">
        <v>91</v>
      </c>
      <c r="D346" s="79" t="s">
        <v>213</v>
      </c>
      <c r="E346" s="62" t="str">
        <f t="shared" si="5"/>
        <v>Gore MagalaPitfall Trap</v>
      </c>
      <c r="K346" s="7"/>
      <c r="P346" s="7"/>
      <c r="U346" s="7"/>
      <c r="Z346" s="7"/>
      <c r="AE346" s="7"/>
      <c r="AJ346" s="7"/>
      <c r="AO346" s="7"/>
      <c r="AS346" s="56">
        <v>10</v>
      </c>
      <c r="AT346" s="56">
        <v>20</v>
      </c>
      <c r="AU346" s="56">
        <v>10</v>
      </c>
    </row>
    <row r="347" spans="1:47" s="36" customFormat="1" x14ac:dyDescent="0.25">
      <c r="A347" s="63" t="s">
        <v>184</v>
      </c>
      <c r="B347" s="63" t="s">
        <v>204</v>
      </c>
      <c r="C347" s="63" t="s">
        <v>184</v>
      </c>
      <c r="D347" s="37" t="s">
        <v>0</v>
      </c>
      <c r="E347" s="62" t="str">
        <f t="shared" si="5"/>
        <v>Gore Magala (Chaotic)Para</v>
      </c>
      <c r="J347" s="61"/>
      <c r="K347" s="50"/>
      <c r="P347" s="6"/>
      <c r="Q347" s="46"/>
      <c r="R347" s="46"/>
      <c r="S347" s="46"/>
      <c r="U347" s="50"/>
      <c r="Z347" s="6">
        <v>180</v>
      </c>
      <c r="AA347" s="46">
        <v>444</v>
      </c>
      <c r="AB347" s="46">
        <v>708</v>
      </c>
      <c r="AC347" s="46">
        <v>972</v>
      </c>
      <c r="AE347" s="50"/>
      <c r="AJ347" s="6"/>
      <c r="AK347" s="46"/>
      <c r="AL347" s="46"/>
      <c r="AM347" s="46"/>
      <c r="AO347" s="50"/>
      <c r="AS347" s="36">
        <v>10</v>
      </c>
      <c r="AT347" s="36" t="s">
        <v>214</v>
      </c>
      <c r="AU347" s="36" t="s">
        <v>214</v>
      </c>
    </row>
    <row r="348" spans="1:47" x14ac:dyDescent="0.25">
      <c r="A348" s="63" t="s">
        <v>184</v>
      </c>
      <c r="B348" s="63" t="s">
        <v>204</v>
      </c>
      <c r="C348" s="63" t="s">
        <v>184</v>
      </c>
      <c r="D348" s="31" t="s">
        <v>32</v>
      </c>
      <c r="E348" s="62" t="str">
        <f t="shared" si="5"/>
        <v>Gore Magala (Chaotic)Sleep</v>
      </c>
      <c r="K348" s="6"/>
      <c r="P348" s="6"/>
      <c r="U348" s="6"/>
      <c r="Z348" s="6">
        <v>200</v>
      </c>
      <c r="AA348">
        <v>530</v>
      </c>
      <c r="AB348">
        <v>860</v>
      </c>
      <c r="AC348">
        <v>1190</v>
      </c>
      <c r="AE348" s="6"/>
      <c r="AJ348" s="6"/>
      <c r="AO348" s="6"/>
      <c r="AS348">
        <v>40</v>
      </c>
      <c r="AT348" t="s">
        <v>214</v>
      </c>
      <c r="AU348" t="s">
        <v>214</v>
      </c>
    </row>
    <row r="349" spans="1:47" x14ac:dyDescent="0.25">
      <c r="A349" s="63" t="s">
        <v>184</v>
      </c>
      <c r="B349" s="63" t="s">
        <v>204</v>
      </c>
      <c r="C349" s="63" t="s">
        <v>184</v>
      </c>
      <c r="D349" s="32" t="s">
        <v>33</v>
      </c>
      <c r="E349" s="62" t="str">
        <f t="shared" si="5"/>
        <v>Gore Magala (Chaotic)Poison</v>
      </c>
      <c r="J349" s="29"/>
      <c r="K349" s="6"/>
      <c r="P349" s="6"/>
      <c r="U349" s="6"/>
      <c r="Z349" s="6">
        <v>180</v>
      </c>
      <c r="AA349">
        <v>444</v>
      </c>
      <c r="AB349">
        <v>708</v>
      </c>
      <c r="AC349">
        <v>972</v>
      </c>
      <c r="AE349" s="6"/>
      <c r="AJ349" s="6"/>
      <c r="AO349" s="6"/>
      <c r="AS349">
        <v>60</v>
      </c>
      <c r="AT349" t="s">
        <v>214</v>
      </c>
      <c r="AU349" t="s">
        <v>214</v>
      </c>
    </row>
    <row r="350" spans="1:47" x14ac:dyDescent="0.25">
      <c r="A350" s="63" t="s">
        <v>184</v>
      </c>
      <c r="B350" s="63" t="s">
        <v>204</v>
      </c>
      <c r="C350" s="63" t="s">
        <v>184</v>
      </c>
      <c r="D350" s="10" t="s">
        <v>22</v>
      </c>
      <c r="E350" s="62" t="str">
        <f t="shared" si="5"/>
        <v>Gore Magala (Chaotic)Exhaust</v>
      </c>
      <c r="J350" s="29"/>
      <c r="K350" s="6"/>
      <c r="P350" s="6"/>
      <c r="U350" s="6"/>
      <c r="Z350" s="6">
        <v>377</v>
      </c>
      <c r="AA350">
        <v>588</v>
      </c>
      <c r="AB350">
        <v>799</v>
      </c>
      <c r="AC350">
        <v>1010</v>
      </c>
      <c r="AE350" s="6"/>
      <c r="AJ350" s="6"/>
      <c r="AO350" s="6"/>
      <c r="AS350"/>
      <c r="AT350" t="s">
        <v>214</v>
      </c>
      <c r="AU350" t="s">
        <v>214</v>
      </c>
    </row>
    <row r="351" spans="1:47" x14ac:dyDescent="0.25">
      <c r="A351" s="63" t="s">
        <v>184</v>
      </c>
      <c r="B351" s="63" t="s">
        <v>204</v>
      </c>
      <c r="C351" s="63" t="s">
        <v>184</v>
      </c>
      <c r="D351" s="30" t="s">
        <v>35</v>
      </c>
      <c r="E351" s="62" t="str">
        <f t="shared" si="5"/>
        <v>Gore Magala (Chaotic)Blast</v>
      </c>
      <c r="K351" s="6"/>
      <c r="P351" s="6"/>
      <c r="R351" s="6"/>
      <c r="U351" s="6"/>
      <c r="Z351" s="6">
        <v>70</v>
      </c>
      <c r="AA351">
        <v>136</v>
      </c>
      <c r="AB351" s="6">
        <v>202</v>
      </c>
      <c r="AC351">
        <v>268</v>
      </c>
      <c r="AE351" s="6"/>
      <c r="AG351" s="6"/>
      <c r="AJ351" s="6"/>
      <c r="AO351" s="6"/>
      <c r="AS351"/>
      <c r="AT351" t="s">
        <v>214</v>
      </c>
      <c r="AU351" t="s">
        <v>214</v>
      </c>
    </row>
    <row r="352" spans="1:47" x14ac:dyDescent="0.25">
      <c r="A352" s="63" t="s">
        <v>184</v>
      </c>
      <c r="B352" s="63" t="s">
        <v>204</v>
      </c>
      <c r="C352" s="63" t="s">
        <v>184</v>
      </c>
      <c r="D352" s="34" t="s">
        <v>14</v>
      </c>
      <c r="E352" s="62" t="str">
        <f t="shared" si="5"/>
        <v>Gore Magala (Chaotic)KO</v>
      </c>
      <c r="J352" s="29"/>
      <c r="K352" s="6"/>
      <c r="P352" s="6"/>
      <c r="U352" s="6"/>
      <c r="Z352" s="6">
        <v>300</v>
      </c>
      <c r="AA352">
        <v>525</v>
      </c>
      <c r="AB352">
        <v>750</v>
      </c>
      <c r="AC352">
        <v>975</v>
      </c>
      <c r="AE352" s="6"/>
      <c r="AJ352" s="6"/>
      <c r="AO352" s="6"/>
      <c r="AS352">
        <v>10</v>
      </c>
      <c r="AT352" t="s">
        <v>214</v>
      </c>
      <c r="AU352" t="s">
        <v>214</v>
      </c>
    </row>
    <row r="353" spans="1:47" x14ac:dyDescent="0.25">
      <c r="A353" s="63" t="s">
        <v>184</v>
      </c>
      <c r="B353" s="63" t="s">
        <v>204</v>
      </c>
      <c r="C353" s="63" t="s">
        <v>184</v>
      </c>
      <c r="D353" s="33" t="s">
        <v>34</v>
      </c>
      <c r="E353" s="62" t="str">
        <f t="shared" si="5"/>
        <v>Gore Magala (Chaotic)Mount</v>
      </c>
      <c r="K353" s="6"/>
      <c r="P353" s="6"/>
      <c r="R353" s="6"/>
      <c r="U353" s="6"/>
      <c r="Z353" s="6">
        <v>100</v>
      </c>
      <c r="AA353">
        <v>340</v>
      </c>
      <c r="AB353">
        <v>580</v>
      </c>
      <c r="AC353">
        <v>820</v>
      </c>
      <c r="AE353" s="6"/>
      <c r="AJ353" s="6"/>
      <c r="AO353" s="6"/>
      <c r="AS353"/>
      <c r="AT353" t="s">
        <v>214</v>
      </c>
      <c r="AU353" t="s">
        <v>214</v>
      </c>
    </row>
    <row r="354" spans="1:47" x14ac:dyDescent="0.25">
      <c r="A354" s="63" t="s">
        <v>184</v>
      </c>
      <c r="B354" s="63" t="s">
        <v>204</v>
      </c>
      <c r="C354" s="63" t="s">
        <v>184</v>
      </c>
      <c r="D354" s="77" t="s">
        <v>207</v>
      </c>
      <c r="E354" s="62" t="str">
        <f t="shared" si="5"/>
        <v>Gore Magala (Chaotic)Shock Trap</v>
      </c>
      <c r="K354" s="6"/>
      <c r="P354" s="6"/>
      <c r="U354" s="6"/>
      <c r="AE354" s="6"/>
      <c r="AJ354" s="6"/>
      <c r="AO354" s="6"/>
      <c r="AS354">
        <v>8</v>
      </c>
      <c r="AT354">
        <v>15</v>
      </c>
      <c r="AU354">
        <v>8</v>
      </c>
    </row>
    <row r="355" spans="1:47" s="56" customFormat="1" x14ac:dyDescent="0.25">
      <c r="A355" s="63" t="s">
        <v>184</v>
      </c>
      <c r="B355" s="63" t="s">
        <v>204</v>
      </c>
      <c r="C355" s="63" t="s">
        <v>184</v>
      </c>
      <c r="D355" s="79" t="s">
        <v>213</v>
      </c>
      <c r="E355" s="62" t="str">
        <f t="shared" si="5"/>
        <v>Gore Magala (Chaotic)Pitfall Trap</v>
      </c>
      <c r="K355" s="7"/>
      <c r="P355" s="7"/>
      <c r="U355" s="7"/>
      <c r="Z355" s="7"/>
      <c r="AE355" s="7"/>
      <c r="AJ355" s="7"/>
      <c r="AO355" s="7"/>
      <c r="AS355" s="56">
        <v>10</v>
      </c>
      <c r="AT355" s="56">
        <v>20</v>
      </c>
      <c r="AU355" s="56">
        <v>10</v>
      </c>
    </row>
    <row r="356" spans="1:47" s="36" customFormat="1" x14ac:dyDescent="0.25">
      <c r="A356" s="63" t="s">
        <v>91</v>
      </c>
      <c r="B356" s="63" t="s">
        <v>208</v>
      </c>
      <c r="C356" s="63" t="s">
        <v>91</v>
      </c>
      <c r="D356" s="37" t="s">
        <v>0</v>
      </c>
      <c r="E356" s="62" t="str">
        <f t="shared" si="5"/>
        <v>Gore Magala (Shagaru)Para</v>
      </c>
      <c r="F356" s="36">
        <v>180</v>
      </c>
      <c r="G356" s="36">
        <v>405</v>
      </c>
      <c r="H356" s="36">
        <v>630</v>
      </c>
      <c r="I356" s="36">
        <v>855</v>
      </c>
      <c r="J356" s="61"/>
      <c r="K356" s="50"/>
      <c r="P356" s="6"/>
      <c r="Q356" s="46"/>
      <c r="R356" s="46"/>
      <c r="S356" s="46"/>
      <c r="U356" s="50"/>
      <c r="Z356" s="6">
        <v>180</v>
      </c>
      <c r="AA356" s="46">
        <v>510</v>
      </c>
      <c r="AB356" s="46">
        <v>840</v>
      </c>
      <c r="AC356" s="46">
        <v>1170</v>
      </c>
      <c r="AE356" s="50"/>
      <c r="AJ356" s="6"/>
      <c r="AK356" s="46"/>
      <c r="AL356" s="46"/>
      <c r="AM356" s="46"/>
      <c r="AO356" s="50"/>
      <c r="AS356" s="36">
        <v>10</v>
      </c>
      <c r="AT356" s="36" t="s">
        <v>214</v>
      </c>
      <c r="AU356" s="36" t="s">
        <v>214</v>
      </c>
    </row>
    <row r="357" spans="1:47" x14ac:dyDescent="0.25">
      <c r="A357" s="63" t="s">
        <v>91</v>
      </c>
      <c r="B357" s="63" t="s">
        <v>208</v>
      </c>
      <c r="C357" s="63" t="s">
        <v>91</v>
      </c>
      <c r="D357" s="31" t="s">
        <v>32</v>
      </c>
      <c r="E357" s="62" t="str">
        <f t="shared" si="5"/>
        <v>Gore Magala (Shagaru)Sleep</v>
      </c>
      <c r="F357">
        <v>200</v>
      </c>
      <c r="G357">
        <v>200</v>
      </c>
      <c r="H357">
        <v>200</v>
      </c>
      <c r="I357">
        <v>200</v>
      </c>
      <c r="K357" s="6"/>
      <c r="P357" s="6"/>
      <c r="U357" s="6"/>
      <c r="Z357" s="6">
        <v>200</v>
      </c>
      <c r="AA357">
        <v>530</v>
      </c>
      <c r="AB357">
        <v>860</v>
      </c>
      <c r="AC357">
        <v>1190</v>
      </c>
      <c r="AE357" s="6"/>
      <c r="AJ357" s="6"/>
      <c r="AO357" s="6"/>
      <c r="AS357">
        <v>40</v>
      </c>
      <c r="AT357" t="s">
        <v>214</v>
      </c>
      <c r="AU357" t="s">
        <v>214</v>
      </c>
    </row>
    <row r="358" spans="1:47" x14ac:dyDescent="0.25">
      <c r="A358" s="63" t="s">
        <v>91</v>
      </c>
      <c r="B358" s="63" t="s">
        <v>208</v>
      </c>
      <c r="C358" s="63" t="s">
        <v>91</v>
      </c>
      <c r="D358" s="32" t="s">
        <v>33</v>
      </c>
      <c r="E358" s="62" t="str">
        <f t="shared" si="5"/>
        <v>Gore Magala (Shagaru)Poison</v>
      </c>
      <c r="F358">
        <v>180</v>
      </c>
      <c r="G358">
        <v>390</v>
      </c>
      <c r="H358">
        <v>600</v>
      </c>
      <c r="I358">
        <v>810</v>
      </c>
      <c r="J358" s="29"/>
      <c r="K358" s="6"/>
      <c r="P358" s="6"/>
      <c r="U358" s="6"/>
      <c r="Z358" s="6">
        <v>180</v>
      </c>
      <c r="AA358">
        <v>488</v>
      </c>
      <c r="AB358">
        <v>796</v>
      </c>
      <c r="AC358">
        <v>1104</v>
      </c>
      <c r="AE358" s="6"/>
      <c r="AJ358" s="6"/>
      <c r="AO358" s="6"/>
      <c r="AS358">
        <v>60</v>
      </c>
      <c r="AT358" t="s">
        <v>214</v>
      </c>
      <c r="AU358" t="s">
        <v>214</v>
      </c>
    </row>
    <row r="359" spans="1:47" x14ac:dyDescent="0.25">
      <c r="A359" s="63" t="s">
        <v>91</v>
      </c>
      <c r="B359" s="63" t="s">
        <v>208</v>
      </c>
      <c r="C359" s="63" t="s">
        <v>91</v>
      </c>
      <c r="D359" s="10" t="s">
        <v>22</v>
      </c>
      <c r="E359" s="62" t="str">
        <f t="shared" si="5"/>
        <v>Gore Magala (Shagaru)Exhaust</v>
      </c>
      <c r="F359">
        <v>0</v>
      </c>
      <c r="G359">
        <v>0</v>
      </c>
      <c r="H359">
        <v>0</v>
      </c>
      <c r="I359">
        <v>0</v>
      </c>
      <c r="J359" s="29"/>
      <c r="K359" s="6"/>
      <c r="P359" s="6"/>
      <c r="U359" s="6"/>
      <c r="Z359" s="6">
        <v>0</v>
      </c>
      <c r="AA359">
        <v>0</v>
      </c>
      <c r="AB359">
        <v>0</v>
      </c>
      <c r="AC359">
        <v>0</v>
      </c>
      <c r="AE359" s="6"/>
      <c r="AJ359" s="6"/>
      <c r="AO359" s="6"/>
      <c r="AS359"/>
      <c r="AT359" t="s">
        <v>214</v>
      </c>
      <c r="AU359" t="s">
        <v>214</v>
      </c>
    </row>
    <row r="360" spans="1:47" x14ac:dyDescent="0.25">
      <c r="A360" s="63" t="s">
        <v>91</v>
      </c>
      <c r="B360" s="63" t="s">
        <v>208</v>
      </c>
      <c r="C360" s="63" t="s">
        <v>91</v>
      </c>
      <c r="D360" s="30" t="s">
        <v>35</v>
      </c>
      <c r="E360" s="62" t="str">
        <f t="shared" si="5"/>
        <v>Gore Magala (Shagaru)Blast</v>
      </c>
      <c r="F360">
        <v>70</v>
      </c>
      <c r="G360">
        <v>115</v>
      </c>
      <c r="H360">
        <v>160</v>
      </c>
      <c r="I360">
        <v>205</v>
      </c>
      <c r="K360" s="6"/>
      <c r="P360" s="6"/>
      <c r="R360" s="6"/>
      <c r="U360" s="6"/>
      <c r="Z360" s="6">
        <v>70</v>
      </c>
      <c r="AA360">
        <v>136</v>
      </c>
      <c r="AB360" s="6">
        <v>202</v>
      </c>
      <c r="AC360">
        <v>268</v>
      </c>
      <c r="AE360" s="6"/>
      <c r="AG360" s="6"/>
      <c r="AJ360" s="6"/>
      <c r="AO360" s="6"/>
      <c r="AS360"/>
      <c r="AT360" t="s">
        <v>214</v>
      </c>
      <c r="AU360" t="s">
        <v>214</v>
      </c>
    </row>
    <row r="361" spans="1:47" x14ac:dyDescent="0.25">
      <c r="A361" s="63" t="s">
        <v>91</v>
      </c>
      <c r="B361" s="63" t="s">
        <v>208</v>
      </c>
      <c r="C361" s="63" t="s">
        <v>91</v>
      </c>
      <c r="D361" s="34" t="s">
        <v>14</v>
      </c>
      <c r="E361" s="62" t="str">
        <f t="shared" si="5"/>
        <v>Gore Magala (Shagaru)KO</v>
      </c>
      <c r="F361">
        <v>260</v>
      </c>
      <c r="G361">
        <v>454</v>
      </c>
      <c r="H361">
        <v>648</v>
      </c>
      <c r="I361">
        <v>842</v>
      </c>
      <c r="J361" s="29"/>
      <c r="K361" s="6"/>
      <c r="P361" s="6"/>
      <c r="U361" s="6"/>
      <c r="Z361" s="6">
        <v>300</v>
      </c>
      <c r="AA361">
        <v>525</v>
      </c>
      <c r="AB361">
        <v>750</v>
      </c>
      <c r="AC361">
        <v>975</v>
      </c>
      <c r="AE361" s="6"/>
      <c r="AJ361" s="6"/>
      <c r="AO361" s="6"/>
      <c r="AS361">
        <v>10</v>
      </c>
      <c r="AT361" t="s">
        <v>214</v>
      </c>
      <c r="AU361" t="s">
        <v>214</v>
      </c>
    </row>
    <row r="362" spans="1:47" x14ac:dyDescent="0.25">
      <c r="A362" s="63" t="s">
        <v>91</v>
      </c>
      <c r="B362" s="63" t="s">
        <v>208</v>
      </c>
      <c r="C362" s="63" t="s">
        <v>91</v>
      </c>
      <c r="D362" s="33" t="s">
        <v>34</v>
      </c>
      <c r="E362" s="62" t="str">
        <f t="shared" si="5"/>
        <v>Gore Magala (Shagaru)Mount</v>
      </c>
      <c r="F362">
        <v>96</v>
      </c>
      <c r="G362">
        <v>256</v>
      </c>
      <c r="H362">
        <v>416</v>
      </c>
      <c r="I362">
        <v>576</v>
      </c>
      <c r="K362" s="6"/>
      <c r="P362" s="6"/>
      <c r="R362" s="6"/>
      <c r="U362" s="6"/>
      <c r="Z362" s="6">
        <v>108</v>
      </c>
      <c r="AA362">
        <v>288</v>
      </c>
      <c r="AB362">
        <v>468</v>
      </c>
      <c r="AC362">
        <v>648</v>
      </c>
      <c r="AE362" s="6"/>
      <c r="AJ362" s="6"/>
      <c r="AO362" s="6"/>
      <c r="AS362"/>
      <c r="AT362" t="s">
        <v>214</v>
      </c>
      <c r="AU362" t="s">
        <v>214</v>
      </c>
    </row>
    <row r="363" spans="1:47" x14ac:dyDescent="0.25">
      <c r="A363" s="63" t="s">
        <v>91</v>
      </c>
      <c r="B363" s="63" t="s">
        <v>208</v>
      </c>
      <c r="C363" s="63" t="s">
        <v>91</v>
      </c>
      <c r="D363" s="77" t="s">
        <v>207</v>
      </c>
      <c r="E363" s="62" t="str">
        <f t="shared" si="5"/>
        <v>Gore Magala (Shagaru)Shock Trap</v>
      </c>
      <c r="K363" s="6"/>
      <c r="P363" s="6"/>
      <c r="U363" s="6"/>
      <c r="AE363" s="6"/>
      <c r="AJ363" s="6"/>
      <c r="AO363" s="6"/>
      <c r="AS363">
        <v>8</v>
      </c>
      <c r="AT363">
        <v>15</v>
      </c>
      <c r="AU363">
        <v>8</v>
      </c>
    </row>
    <row r="364" spans="1:47" s="56" customFormat="1" x14ac:dyDescent="0.25">
      <c r="A364" s="63" t="s">
        <v>91</v>
      </c>
      <c r="B364" s="63" t="s">
        <v>208</v>
      </c>
      <c r="C364" s="63" t="s">
        <v>91</v>
      </c>
      <c r="D364" s="79" t="s">
        <v>213</v>
      </c>
      <c r="E364" s="62" t="str">
        <f t="shared" si="5"/>
        <v>Gore Magala (Shagaru)Pitfall Trap</v>
      </c>
      <c r="K364" s="7"/>
      <c r="P364" s="7"/>
      <c r="U364" s="7"/>
      <c r="Z364" s="7"/>
      <c r="AE364" s="7"/>
      <c r="AJ364" s="7"/>
      <c r="AO364" s="7"/>
      <c r="AS364" s="56">
        <v>10</v>
      </c>
      <c r="AT364" s="56">
        <v>20</v>
      </c>
      <c r="AU364" s="56">
        <v>10</v>
      </c>
    </row>
    <row r="365" spans="1:47" s="36" customFormat="1" x14ac:dyDescent="0.25">
      <c r="A365" s="63" t="s">
        <v>91</v>
      </c>
      <c r="B365" s="63" t="s">
        <v>192</v>
      </c>
      <c r="C365" s="63" t="s">
        <v>91</v>
      </c>
      <c r="D365" s="37" t="s">
        <v>0</v>
      </c>
      <c r="E365" s="62" t="str">
        <f t="shared" si="5"/>
        <v>GraviousPara</v>
      </c>
      <c r="F365" s="36">
        <v>180</v>
      </c>
      <c r="G365" s="36">
        <v>440</v>
      </c>
      <c r="H365" s="36">
        <v>700</v>
      </c>
      <c r="I365" s="36">
        <v>960</v>
      </c>
      <c r="J365" s="61"/>
      <c r="K365" s="50"/>
      <c r="P365" s="6"/>
      <c r="Q365" s="46"/>
      <c r="R365" s="46"/>
      <c r="S365" s="46"/>
      <c r="U365" s="50"/>
      <c r="Z365" s="6">
        <v>200</v>
      </c>
      <c r="AA365" s="46">
        <v>357</v>
      </c>
      <c r="AB365" s="46">
        <v>515</v>
      </c>
      <c r="AC365" s="46">
        <v>672</v>
      </c>
      <c r="AE365" s="50">
        <v>200</v>
      </c>
      <c r="AF365" s="36">
        <v>365</v>
      </c>
      <c r="AG365" s="36">
        <v>530</v>
      </c>
      <c r="AH365" s="36">
        <v>695</v>
      </c>
      <c r="AJ365" s="6">
        <v>200</v>
      </c>
      <c r="AK365" s="46">
        <v>402</v>
      </c>
      <c r="AL365" s="46">
        <v>604</v>
      </c>
      <c r="AM365" s="46">
        <v>806</v>
      </c>
      <c r="AO365" s="50"/>
      <c r="AS365" s="36">
        <v>10</v>
      </c>
      <c r="AT365" s="36" t="s">
        <v>214</v>
      </c>
      <c r="AU365" s="36" t="s">
        <v>214</v>
      </c>
    </row>
    <row r="366" spans="1:47" x14ac:dyDescent="0.25">
      <c r="A366" s="63" t="s">
        <v>91</v>
      </c>
      <c r="B366" s="63" t="s">
        <v>192</v>
      </c>
      <c r="C366" s="63" t="s">
        <v>91</v>
      </c>
      <c r="D366" s="31" t="s">
        <v>32</v>
      </c>
      <c r="E366" s="62" t="str">
        <f t="shared" si="5"/>
        <v>GraviousSleep</v>
      </c>
      <c r="F366">
        <v>180</v>
      </c>
      <c r="G366">
        <v>440</v>
      </c>
      <c r="H366">
        <v>700</v>
      </c>
      <c r="I366">
        <v>960</v>
      </c>
      <c r="K366" s="6"/>
      <c r="P366" s="6"/>
      <c r="U366" s="6"/>
      <c r="Z366" s="6">
        <v>200</v>
      </c>
      <c r="AA366">
        <v>304</v>
      </c>
      <c r="AB366">
        <v>408</v>
      </c>
      <c r="AC366">
        <v>512</v>
      </c>
      <c r="AE366" s="6">
        <v>200</v>
      </c>
      <c r="AF366">
        <v>310</v>
      </c>
      <c r="AG366">
        <v>420</v>
      </c>
      <c r="AH366">
        <v>530</v>
      </c>
      <c r="AJ366" s="6">
        <v>200</v>
      </c>
      <c r="AK366">
        <v>335</v>
      </c>
      <c r="AL366">
        <v>470</v>
      </c>
      <c r="AM366">
        <v>605</v>
      </c>
      <c r="AO366" s="6"/>
      <c r="AS366">
        <v>60</v>
      </c>
      <c r="AT366" t="s">
        <v>214</v>
      </c>
      <c r="AU366" t="s">
        <v>214</v>
      </c>
    </row>
    <row r="367" spans="1:47" x14ac:dyDescent="0.25">
      <c r="A367" s="63" t="s">
        <v>91</v>
      </c>
      <c r="B367" s="63" t="s">
        <v>192</v>
      </c>
      <c r="C367" s="63" t="s">
        <v>91</v>
      </c>
      <c r="D367" s="32" t="s">
        <v>33</v>
      </c>
      <c r="E367" s="62" t="str">
        <f t="shared" si="5"/>
        <v>GraviousPoison</v>
      </c>
      <c r="F367">
        <v>100</v>
      </c>
      <c r="G367">
        <v>230</v>
      </c>
      <c r="H367">
        <v>360</v>
      </c>
      <c r="I367">
        <v>490</v>
      </c>
      <c r="J367" s="29"/>
      <c r="K367" s="6"/>
      <c r="P367" s="6"/>
      <c r="U367" s="6"/>
      <c r="Z367" s="6">
        <v>150</v>
      </c>
      <c r="AA367">
        <v>307</v>
      </c>
      <c r="AB367">
        <v>464</v>
      </c>
      <c r="AC367">
        <v>621</v>
      </c>
      <c r="AE367" s="6">
        <v>150</v>
      </c>
      <c r="AF367">
        <v>315</v>
      </c>
      <c r="AG367">
        <v>480</v>
      </c>
      <c r="AH367">
        <v>645</v>
      </c>
      <c r="AJ367" s="6">
        <v>150</v>
      </c>
      <c r="AK367">
        <v>352</v>
      </c>
      <c r="AL367">
        <v>554</v>
      </c>
      <c r="AM367">
        <v>756</v>
      </c>
      <c r="AO367" s="6"/>
      <c r="AS367">
        <v>60</v>
      </c>
      <c r="AT367" t="s">
        <v>214</v>
      </c>
      <c r="AU367" t="s">
        <v>214</v>
      </c>
    </row>
    <row r="368" spans="1:47" x14ac:dyDescent="0.25">
      <c r="A368" s="63" t="s">
        <v>91</v>
      </c>
      <c r="B368" s="63" t="s">
        <v>192</v>
      </c>
      <c r="C368" s="63" t="s">
        <v>91</v>
      </c>
      <c r="D368" s="10" t="s">
        <v>22</v>
      </c>
      <c r="E368" s="62" t="str">
        <f t="shared" si="5"/>
        <v>GraviousExhaust</v>
      </c>
      <c r="F368">
        <v>288</v>
      </c>
      <c r="G368">
        <v>528</v>
      </c>
      <c r="H368">
        <v>768</v>
      </c>
      <c r="I368">
        <v>1008</v>
      </c>
      <c r="J368" s="29"/>
      <c r="K368" s="6"/>
      <c r="P368" s="6"/>
      <c r="U368" s="6"/>
      <c r="Z368" s="6">
        <v>342</v>
      </c>
      <c r="AA368">
        <v>484</v>
      </c>
      <c r="AB368">
        <v>626</v>
      </c>
      <c r="AC368">
        <v>768</v>
      </c>
      <c r="AE368" s="6">
        <v>360</v>
      </c>
      <c r="AF368">
        <v>510</v>
      </c>
      <c r="AG368">
        <v>660</v>
      </c>
      <c r="AH368">
        <v>810</v>
      </c>
      <c r="AJ368" s="6">
        <v>450</v>
      </c>
      <c r="AK368">
        <f>637</f>
        <v>637</v>
      </c>
      <c r="AL368">
        <v>825</v>
      </c>
      <c r="AM368">
        <v>1012</v>
      </c>
      <c r="AO368" s="6"/>
      <c r="AS368"/>
      <c r="AT368" t="s">
        <v>214</v>
      </c>
      <c r="AU368" t="s">
        <v>214</v>
      </c>
    </row>
    <row r="369" spans="1:47" x14ac:dyDescent="0.25">
      <c r="A369" s="63" t="s">
        <v>91</v>
      </c>
      <c r="B369" s="63" t="s">
        <v>192</v>
      </c>
      <c r="C369" s="63" t="s">
        <v>91</v>
      </c>
      <c r="D369" s="30" t="s">
        <v>35</v>
      </c>
      <c r="E369" s="62" t="str">
        <f t="shared" si="5"/>
        <v>GraviousBlast</v>
      </c>
      <c r="F369">
        <v>130</v>
      </c>
      <c r="G369">
        <v>188</v>
      </c>
      <c r="H369">
        <v>246</v>
      </c>
      <c r="I369">
        <v>304</v>
      </c>
      <c r="K369" s="6"/>
      <c r="P369" s="6"/>
      <c r="R369" s="6"/>
      <c r="U369" s="6"/>
      <c r="Z369" s="6">
        <v>130</v>
      </c>
      <c r="AA369">
        <v>224</v>
      </c>
      <c r="AB369" s="6">
        <v>318</v>
      </c>
      <c r="AC369">
        <v>412</v>
      </c>
      <c r="AE369" s="6">
        <v>130</v>
      </c>
      <c r="AF369">
        <v>224</v>
      </c>
      <c r="AG369" s="6">
        <v>318</v>
      </c>
      <c r="AH369">
        <v>412</v>
      </c>
      <c r="AJ369" s="6">
        <v>130</v>
      </c>
      <c r="AK369">
        <v>251</v>
      </c>
      <c r="AL369">
        <v>372</v>
      </c>
      <c r="AM369">
        <v>493</v>
      </c>
      <c r="AO369" s="6"/>
      <c r="AS369"/>
      <c r="AT369" t="s">
        <v>214</v>
      </c>
      <c r="AU369" t="s">
        <v>214</v>
      </c>
    </row>
    <row r="370" spans="1:47" x14ac:dyDescent="0.25">
      <c r="A370" s="63" t="s">
        <v>91</v>
      </c>
      <c r="B370" s="63" t="s">
        <v>192</v>
      </c>
      <c r="C370" s="63" t="s">
        <v>91</v>
      </c>
      <c r="D370" s="34" t="s">
        <v>14</v>
      </c>
      <c r="E370" s="62" t="str">
        <f t="shared" si="5"/>
        <v>GraviousKO</v>
      </c>
      <c r="F370">
        <v>260</v>
      </c>
      <c r="G370">
        <v>420</v>
      </c>
      <c r="H370">
        <v>580</v>
      </c>
      <c r="I370">
        <v>740</v>
      </c>
      <c r="J370" s="29"/>
      <c r="K370" s="6"/>
      <c r="P370" s="6"/>
      <c r="U370" s="6"/>
      <c r="Z370" s="6">
        <v>300</v>
      </c>
      <c r="AA370">
        <v>412</v>
      </c>
      <c r="AB370">
        <v>524</v>
      </c>
      <c r="AC370">
        <v>636</v>
      </c>
      <c r="AE370" s="6">
        <v>300</v>
      </c>
      <c r="AF370">
        <v>412</v>
      </c>
      <c r="AG370">
        <v>524</v>
      </c>
      <c r="AH370">
        <v>636</v>
      </c>
      <c r="AJ370" s="6">
        <v>400</v>
      </c>
      <c r="AK370">
        <v>550</v>
      </c>
      <c r="AL370">
        <v>700</v>
      </c>
      <c r="AM370">
        <v>850</v>
      </c>
      <c r="AO370" s="6"/>
      <c r="AS370">
        <v>10</v>
      </c>
      <c r="AT370" t="s">
        <v>214</v>
      </c>
      <c r="AU370" t="s">
        <v>214</v>
      </c>
    </row>
    <row r="371" spans="1:47" x14ac:dyDescent="0.25">
      <c r="A371" s="63" t="s">
        <v>91</v>
      </c>
      <c r="B371" s="63" t="s">
        <v>192</v>
      </c>
      <c r="C371" s="63" t="s">
        <v>91</v>
      </c>
      <c r="D371" s="33" t="s">
        <v>34</v>
      </c>
      <c r="E371" s="62" t="str">
        <f t="shared" si="5"/>
        <v>GraviousMount</v>
      </c>
      <c r="F371">
        <v>96</v>
      </c>
      <c r="K371" s="6"/>
      <c r="P371" s="6"/>
      <c r="R371" s="6"/>
      <c r="U371" s="6"/>
      <c r="Z371" s="6">
        <v>72</v>
      </c>
      <c r="AA371">
        <v>180</v>
      </c>
      <c r="AB371">
        <v>288</v>
      </c>
      <c r="AC371">
        <v>396</v>
      </c>
      <c r="AE371" s="6">
        <v>72</v>
      </c>
      <c r="AF371">
        <v>180</v>
      </c>
      <c r="AG371">
        <v>288</v>
      </c>
      <c r="AH371">
        <v>396</v>
      </c>
      <c r="AJ371" s="6">
        <v>80</v>
      </c>
      <c r="AK371">
        <v>200</v>
      </c>
      <c r="AL371">
        <v>320</v>
      </c>
      <c r="AM371">
        <v>440</v>
      </c>
      <c r="AO371" s="6"/>
      <c r="AS371"/>
      <c r="AT371" t="s">
        <v>214</v>
      </c>
      <c r="AU371" t="s">
        <v>214</v>
      </c>
    </row>
    <row r="372" spans="1:47" x14ac:dyDescent="0.25">
      <c r="A372" s="63" t="s">
        <v>91</v>
      </c>
      <c r="B372" s="63" t="s">
        <v>192</v>
      </c>
      <c r="C372" s="63" t="s">
        <v>91</v>
      </c>
      <c r="D372" s="77" t="s">
        <v>207</v>
      </c>
      <c r="E372" s="62" t="str">
        <f t="shared" si="5"/>
        <v>GraviousShock Trap</v>
      </c>
      <c r="K372" s="6"/>
      <c r="P372" s="6"/>
      <c r="U372" s="6"/>
      <c r="AE372" s="6"/>
      <c r="AJ372" s="6"/>
      <c r="AO372" s="6"/>
      <c r="AS372">
        <v>8</v>
      </c>
      <c r="AT372">
        <v>15</v>
      </c>
      <c r="AU372">
        <v>8</v>
      </c>
    </row>
    <row r="373" spans="1:47" s="56" customFormat="1" x14ac:dyDescent="0.25">
      <c r="A373" s="63" t="s">
        <v>91</v>
      </c>
      <c r="B373" s="63" t="s">
        <v>192</v>
      </c>
      <c r="C373" s="63" t="s">
        <v>91</v>
      </c>
      <c r="D373" s="79" t="s">
        <v>213</v>
      </c>
      <c r="E373" s="62" t="str">
        <f t="shared" si="5"/>
        <v>GraviousPitfall Trap</v>
      </c>
      <c r="K373" s="7"/>
      <c r="P373" s="7"/>
      <c r="U373" s="7"/>
      <c r="Z373" s="7"/>
      <c r="AE373" s="7"/>
      <c r="AJ373" s="7"/>
      <c r="AO373" s="7"/>
      <c r="AS373" s="56">
        <v>10</v>
      </c>
      <c r="AT373" s="56">
        <v>20</v>
      </c>
      <c r="AU373" s="56">
        <v>10</v>
      </c>
    </row>
    <row r="374" spans="1:47" s="36" customFormat="1" x14ac:dyDescent="0.25">
      <c r="A374" s="63" t="s">
        <v>91</v>
      </c>
      <c r="B374" s="63" t="s">
        <v>57</v>
      </c>
      <c r="C374" s="63" t="s">
        <v>91</v>
      </c>
      <c r="D374" s="37" t="s">
        <v>0</v>
      </c>
      <c r="E374" s="62" t="str">
        <f t="shared" si="5"/>
        <v>Great MaccaoPara</v>
      </c>
      <c r="F374" s="36">
        <v>150</v>
      </c>
      <c r="G374" s="36">
        <v>172</v>
      </c>
      <c r="H374" s="36">
        <v>194</v>
      </c>
      <c r="I374" s="36">
        <v>238</v>
      </c>
      <c r="J374" s="61"/>
      <c r="K374" s="50">
        <v>150</v>
      </c>
      <c r="L374" s="36">
        <v>172</v>
      </c>
      <c r="M374" s="36">
        <v>194</v>
      </c>
      <c r="N374" s="36">
        <v>216</v>
      </c>
      <c r="P374" s="6"/>
      <c r="Q374" s="46"/>
      <c r="R374" s="46"/>
      <c r="S374" s="46"/>
      <c r="U374" s="50"/>
      <c r="Z374" s="6">
        <v>150</v>
      </c>
      <c r="AA374" s="46">
        <v>194</v>
      </c>
      <c r="AB374" s="46">
        <v>238</v>
      </c>
      <c r="AC374" s="46">
        <v>282</v>
      </c>
      <c r="AE374" s="50">
        <v>150</v>
      </c>
      <c r="AF374" s="36">
        <v>194</v>
      </c>
      <c r="AG374" s="36">
        <v>238</v>
      </c>
      <c r="AH374" s="36">
        <v>282</v>
      </c>
      <c r="AJ374" s="6"/>
      <c r="AK374" s="46"/>
      <c r="AL374" s="46"/>
      <c r="AM374" s="46"/>
      <c r="AO374" s="50"/>
      <c r="AS374" s="36">
        <v>10</v>
      </c>
      <c r="AT374" s="36" t="s">
        <v>214</v>
      </c>
      <c r="AU374" s="36" t="s">
        <v>214</v>
      </c>
    </row>
    <row r="375" spans="1:47" x14ac:dyDescent="0.25">
      <c r="A375" s="63" t="s">
        <v>91</v>
      </c>
      <c r="B375" s="63" t="s">
        <v>57</v>
      </c>
      <c r="C375" s="63" t="s">
        <v>91</v>
      </c>
      <c r="D375" s="31" t="s">
        <v>32</v>
      </c>
      <c r="E375" s="62" t="str">
        <f t="shared" si="5"/>
        <v>Great MaccaoSleep</v>
      </c>
      <c r="F375">
        <v>150</v>
      </c>
      <c r="G375">
        <v>166</v>
      </c>
      <c r="H375">
        <v>183</v>
      </c>
      <c r="I375">
        <v>199</v>
      </c>
      <c r="K375" s="6">
        <v>150</v>
      </c>
      <c r="L375">
        <v>166</v>
      </c>
      <c r="M375">
        <v>182</v>
      </c>
      <c r="N375">
        <v>198</v>
      </c>
      <c r="P375" s="6"/>
      <c r="U375" s="6"/>
      <c r="Z375" s="6">
        <v>150</v>
      </c>
      <c r="AA375">
        <v>183</v>
      </c>
      <c r="AB375">
        <v>216</v>
      </c>
      <c r="AC375">
        <v>249</v>
      </c>
      <c r="AE375" s="6">
        <v>150</v>
      </c>
      <c r="AF375">
        <v>183</v>
      </c>
      <c r="AG375">
        <v>216</v>
      </c>
      <c r="AH375">
        <v>249</v>
      </c>
      <c r="AJ375" s="6"/>
      <c r="AO375" s="6"/>
      <c r="AS375">
        <v>40</v>
      </c>
      <c r="AT375" t="s">
        <v>214</v>
      </c>
      <c r="AU375" t="s">
        <v>214</v>
      </c>
    </row>
    <row r="376" spans="1:47" x14ac:dyDescent="0.25">
      <c r="A376" s="63" t="s">
        <v>91</v>
      </c>
      <c r="B376" s="63" t="s">
        <v>57</v>
      </c>
      <c r="C376" s="63" t="s">
        <v>91</v>
      </c>
      <c r="D376" s="32" t="s">
        <v>33</v>
      </c>
      <c r="E376" s="62" t="str">
        <f t="shared" si="5"/>
        <v>Great MaccaoPoison</v>
      </c>
      <c r="F376">
        <v>90</v>
      </c>
      <c r="G376">
        <v>123</v>
      </c>
      <c r="H376">
        <v>156</v>
      </c>
      <c r="I376">
        <v>189</v>
      </c>
      <c r="J376" s="29"/>
      <c r="K376" s="6">
        <v>150</v>
      </c>
      <c r="L376">
        <v>166</v>
      </c>
      <c r="M376">
        <v>182</v>
      </c>
      <c r="N376">
        <v>198</v>
      </c>
      <c r="P376" s="6"/>
      <c r="U376" s="6"/>
      <c r="Z376" s="6">
        <v>90</v>
      </c>
      <c r="AA376">
        <v>156</v>
      </c>
      <c r="AB376">
        <v>222</v>
      </c>
      <c r="AC376">
        <v>288</v>
      </c>
      <c r="AE376" s="6">
        <v>90</v>
      </c>
      <c r="AF376">
        <v>156</v>
      </c>
      <c r="AG376">
        <v>222</v>
      </c>
      <c r="AH376">
        <v>288</v>
      </c>
      <c r="AJ376" s="6"/>
      <c r="AO376" s="6"/>
      <c r="AS376">
        <v>30</v>
      </c>
      <c r="AT376" t="s">
        <v>214</v>
      </c>
      <c r="AU376" t="s">
        <v>214</v>
      </c>
    </row>
    <row r="377" spans="1:47" x14ac:dyDescent="0.25">
      <c r="A377" s="63" t="s">
        <v>91</v>
      </c>
      <c r="B377" s="63" t="s">
        <v>57</v>
      </c>
      <c r="C377" s="63" t="s">
        <v>91</v>
      </c>
      <c r="D377" s="10" t="s">
        <v>22</v>
      </c>
      <c r="E377" s="62" t="str">
        <f t="shared" si="5"/>
        <v>Great MaccaoExhaust</v>
      </c>
      <c r="F377">
        <v>225</v>
      </c>
      <c r="G377">
        <v>300</v>
      </c>
      <c r="H377">
        <v>375</v>
      </c>
      <c r="I377">
        <v>450</v>
      </c>
      <c r="J377" s="29"/>
      <c r="K377" s="6">
        <v>225</v>
      </c>
      <c r="L377">
        <v>300</v>
      </c>
      <c r="M377">
        <v>375</v>
      </c>
      <c r="N377">
        <v>450</v>
      </c>
      <c r="P377" s="6"/>
      <c r="U377" s="6"/>
      <c r="Z377" s="6">
        <v>315</v>
      </c>
      <c r="AA377">
        <v>419</v>
      </c>
      <c r="AB377">
        <v>523</v>
      </c>
      <c r="AC377">
        <v>627</v>
      </c>
      <c r="AE377" s="6">
        <v>315</v>
      </c>
      <c r="AF377">
        <v>419</v>
      </c>
      <c r="AG377">
        <v>523</v>
      </c>
      <c r="AH377">
        <v>627</v>
      </c>
      <c r="AJ377" s="6"/>
      <c r="AO377" s="6"/>
      <c r="AS377"/>
      <c r="AT377" t="s">
        <v>214</v>
      </c>
      <c r="AU377" t="s">
        <v>214</v>
      </c>
    </row>
    <row r="378" spans="1:47" x14ac:dyDescent="0.25">
      <c r="A378" s="63" t="s">
        <v>91</v>
      </c>
      <c r="B378" s="63" t="s">
        <v>57</v>
      </c>
      <c r="C378" s="63" t="s">
        <v>91</v>
      </c>
      <c r="D378" s="30" t="s">
        <v>35</v>
      </c>
      <c r="E378" s="62" t="str">
        <f t="shared" si="5"/>
        <v>Great MaccaoBlast</v>
      </c>
      <c r="F378">
        <v>55</v>
      </c>
      <c r="G378">
        <v>104</v>
      </c>
      <c r="H378">
        <v>153</v>
      </c>
      <c r="I378">
        <v>202</v>
      </c>
      <c r="K378" s="6">
        <v>55</v>
      </c>
      <c r="L378">
        <v>104</v>
      </c>
      <c r="M378">
        <v>153</v>
      </c>
      <c r="N378">
        <v>202</v>
      </c>
      <c r="P378" s="6"/>
      <c r="R378" s="6"/>
      <c r="U378" s="6"/>
      <c r="Z378" s="6">
        <v>55</v>
      </c>
      <c r="AA378">
        <v>154</v>
      </c>
      <c r="AB378" s="6">
        <v>253</v>
      </c>
      <c r="AC378">
        <v>352</v>
      </c>
      <c r="AE378" s="6">
        <v>55</v>
      </c>
      <c r="AF378">
        <v>154</v>
      </c>
      <c r="AG378" s="6">
        <v>253</v>
      </c>
      <c r="AH378">
        <v>352</v>
      </c>
      <c r="AJ378" s="6"/>
      <c r="AO378" s="6"/>
      <c r="AS378"/>
      <c r="AT378" t="s">
        <v>214</v>
      </c>
      <c r="AU378" t="s">
        <v>214</v>
      </c>
    </row>
    <row r="379" spans="1:47" x14ac:dyDescent="0.25">
      <c r="A379" s="63" t="s">
        <v>91</v>
      </c>
      <c r="B379" s="63" t="s">
        <v>57</v>
      </c>
      <c r="C379" s="63" t="s">
        <v>91</v>
      </c>
      <c r="D379" s="34" t="s">
        <v>14</v>
      </c>
      <c r="E379" s="62" t="str">
        <f t="shared" si="5"/>
        <v>Great MaccaoKO</v>
      </c>
      <c r="F379">
        <v>156</v>
      </c>
      <c r="G379">
        <v>195</v>
      </c>
      <c r="H379">
        <v>233</v>
      </c>
      <c r="I379">
        <v>312</v>
      </c>
      <c r="J379" s="29"/>
      <c r="K379" s="6">
        <v>156</v>
      </c>
      <c r="L379">
        <v>195</v>
      </c>
      <c r="M379">
        <v>234</v>
      </c>
      <c r="N379">
        <v>273</v>
      </c>
      <c r="P379" s="6"/>
      <c r="U379" s="6"/>
      <c r="Z379" s="6">
        <v>180</v>
      </c>
      <c r="AA379">
        <v>225</v>
      </c>
      <c r="AB379">
        <v>270</v>
      </c>
      <c r="AC379">
        <v>315</v>
      </c>
      <c r="AE379" s="6">
        <v>180</v>
      </c>
      <c r="AF379">
        <v>225</v>
      </c>
      <c r="AG379">
        <v>270</v>
      </c>
      <c r="AH379">
        <v>315</v>
      </c>
      <c r="AJ379" s="6"/>
      <c r="AO379" s="6"/>
      <c r="AS379">
        <v>10</v>
      </c>
      <c r="AT379" t="s">
        <v>214</v>
      </c>
      <c r="AU379" t="s">
        <v>214</v>
      </c>
    </row>
    <row r="380" spans="1:47" x14ac:dyDescent="0.25">
      <c r="A380" s="63" t="s">
        <v>91</v>
      </c>
      <c r="B380" s="63" t="s">
        <v>57</v>
      </c>
      <c r="C380" s="63" t="s">
        <v>91</v>
      </c>
      <c r="D380" s="33" t="s">
        <v>34</v>
      </c>
      <c r="E380" s="62" t="str">
        <f t="shared" si="5"/>
        <v>Great MaccaoMount</v>
      </c>
      <c r="F380">
        <v>80</v>
      </c>
      <c r="G380">
        <v>192</v>
      </c>
      <c r="H380">
        <v>304</v>
      </c>
      <c r="I380">
        <v>416</v>
      </c>
      <c r="K380" s="6">
        <v>80</v>
      </c>
      <c r="L380">
        <v>192</v>
      </c>
      <c r="M380">
        <v>304</v>
      </c>
      <c r="N380">
        <v>416</v>
      </c>
      <c r="P380" s="6"/>
      <c r="R380" s="6"/>
      <c r="U380" s="6"/>
      <c r="Z380" s="6">
        <v>100</v>
      </c>
      <c r="AA380">
        <v>240</v>
      </c>
      <c r="AB380">
        <v>380</v>
      </c>
      <c r="AC380">
        <v>520</v>
      </c>
      <c r="AE380" s="6">
        <v>100</v>
      </c>
      <c r="AF380">
        <v>240</v>
      </c>
      <c r="AG380">
        <v>380</v>
      </c>
      <c r="AH380">
        <v>520</v>
      </c>
      <c r="AJ380" s="6"/>
      <c r="AO380" s="6"/>
      <c r="AS380"/>
      <c r="AT380" t="s">
        <v>214</v>
      </c>
      <c r="AU380" t="s">
        <v>214</v>
      </c>
    </row>
    <row r="381" spans="1:47" x14ac:dyDescent="0.25">
      <c r="A381" s="63" t="s">
        <v>91</v>
      </c>
      <c r="B381" s="63" t="s">
        <v>57</v>
      </c>
      <c r="C381" s="63" t="s">
        <v>91</v>
      </c>
      <c r="D381" s="77" t="s">
        <v>207</v>
      </c>
      <c r="E381" s="62" t="str">
        <f t="shared" si="5"/>
        <v>Great MaccaoShock Trap</v>
      </c>
      <c r="K381" s="6"/>
      <c r="P381" s="6"/>
      <c r="U381" s="6"/>
      <c r="AE381" s="6"/>
      <c r="AJ381" s="6"/>
      <c r="AO381" s="6"/>
      <c r="AS381">
        <v>12</v>
      </c>
      <c r="AT381">
        <v>20</v>
      </c>
      <c r="AU381">
        <v>12</v>
      </c>
    </row>
    <row r="382" spans="1:47" s="56" customFormat="1" x14ac:dyDescent="0.25">
      <c r="A382" s="63" t="s">
        <v>91</v>
      </c>
      <c r="B382" s="63" t="s">
        <v>57</v>
      </c>
      <c r="C382" s="63" t="s">
        <v>91</v>
      </c>
      <c r="D382" s="79" t="s">
        <v>213</v>
      </c>
      <c r="E382" s="62" t="str">
        <f t="shared" si="5"/>
        <v>Great MaccaoPitfall Trap</v>
      </c>
      <c r="K382" s="7"/>
      <c r="P382" s="7"/>
      <c r="U382" s="7"/>
      <c r="Z382" s="7"/>
      <c r="AE382" s="7"/>
      <c r="AJ382" s="7"/>
      <c r="AO382" s="7"/>
      <c r="AS382" s="56">
        <v>15</v>
      </c>
      <c r="AT382" s="56">
        <v>25</v>
      </c>
      <c r="AU382" s="56">
        <v>15</v>
      </c>
    </row>
    <row r="383" spans="1:47" s="36" customFormat="1" x14ac:dyDescent="0.25">
      <c r="A383" s="63" t="s">
        <v>171</v>
      </c>
      <c r="B383" s="63" t="s">
        <v>235</v>
      </c>
      <c r="C383" s="63" t="s">
        <v>171</v>
      </c>
      <c r="D383" s="37" t="s">
        <v>0</v>
      </c>
      <c r="E383" s="62" t="str">
        <f t="shared" si="5"/>
        <v>Grimclaw TigrexPara</v>
      </c>
      <c r="J383" s="61"/>
      <c r="K383" s="50"/>
      <c r="P383" s="6"/>
      <c r="Q383" s="46"/>
      <c r="R383" s="46"/>
      <c r="S383" s="46"/>
      <c r="U383" s="50"/>
      <c r="Z383" s="6"/>
      <c r="AA383" s="46"/>
      <c r="AB383" s="46"/>
      <c r="AC383" s="46"/>
      <c r="AE383" s="50"/>
      <c r="AJ383" s="6"/>
      <c r="AK383" s="46"/>
      <c r="AL383" s="46"/>
      <c r="AM383" s="46"/>
      <c r="AO383" s="50"/>
      <c r="AS383" s="36">
        <v>10</v>
      </c>
      <c r="AT383" s="36" t="s">
        <v>214</v>
      </c>
      <c r="AU383" s="36" t="s">
        <v>214</v>
      </c>
    </row>
    <row r="384" spans="1:47" x14ac:dyDescent="0.25">
      <c r="A384" s="63" t="s">
        <v>171</v>
      </c>
      <c r="B384" s="63" t="s">
        <v>235</v>
      </c>
      <c r="C384" s="63" t="s">
        <v>171</v>
      </c>
      <c r="D384" s="31" t="s">
        <v>32</v>
      </c>
      <c r="E384" s="62" t="str">
        <f t="shared" si="5"/>
        <v>Grimclaw TigrexSleep</v>
      </c>
      <c r="K384" s="6"/>
      <c r="P384" s="6"/>
      <c r="U384" s="6"/>
      <c r="AE384" s="6"/>
      <c r="AJ384" s="6"/>
      <c r="AO384" s="6"/>
      <c r="AS384">
        <v>40</v>
      </c>
      <c r="AT384" t="s">
        <v>214</v>
      </c>
      <c r="AU384" t="s">
        <v>214</v>
      </c>
    </row>
    <row r="385" spans="1:47" x14ac:dyDescent="0.25">
      <c r="A385" s="63" t="s">
        <v>171</v>
      </c>
      <c r="B385" s="63" t="s">
        <v>235</v>
      </c>
      <c r="C385" s="63" t="s">
        <v>171</v>
      </c>
      <c r="D385" s="32" t="s">
        <v>33</v>
      </c>
      <c r="E385" s="62" t="str">
        <f t="shared" si="5"/>
        <v>Grimclaw TigrexPoison</v>
      </c>
      <c r="J385" s="29"/>
      <c r="K385" s="6"/>
      <c r="P385" s="6"/>
      <c r="U385" s="6"/>
      <c r="AE385" s="6"/>
      <c r="AJ385" s="6"/>
      <c r="AO385" s="6"/>
      <c r="AS385">
        <v>60</v>
      </c>
      <c r="AT385" t="s">
        <v>214</v>
      </c>
      <c r="AU385" t="s">
        <v>214</v>
      </c>
    </row>
    <row r="386" spans="1:47" x14ac:dyDescent="0.25">
      <c r="A386" s="63" t="s">
        <v>171</v>
      </c>
      <c r="B386" s="63" t="s">
        <v>235</v>
      </c>
      <c r="C386" s="63" t="s">
        <v>171</v>
      </c>
      <c r="D386" s="10" t="s">
        <v>22</v>
      </c>
      <c r="E386" s="62" t="str">
        <f t="shared" si="5"/>
        <v>Grimclaw TigrexExhaust</v>
      </c>
      <c r="J386" s="29"/>
      <c r="K386" s="6"/>
      <c r="P386" s="6"/>
      <c r="U386" s="6"/>
      <c r="AE386" s="6"/>
      <c r="AJ386" s="6"/>
      <c r="AO386" s="6"/>
      <c r="AS386"/>
      <c r="AT386" t="s">
        <v>214</v>
      </c>
      <c r="AU386" t="s">
        <v>214</v>
      </c>
    </row>
    <row r="387" spans="1:47" x14ac:dyDescent="0.25">
      <c r="A387" s="63" t="s">
        <v>171</v>
      </c>
      <c r="B387" s="63" t="s">
        <v>235</v>
      </c>
      <c r="C387" s="63" t="s">
        <v>171</v>
      </c>
      <c r="D387" s="30" t="s">
        <v>35</v>
      </c>
      <c r="E387" s="62" t="str">
        <f t="shared" si="5"/>
        <v>Grimclaw TigrexBlast</v>
      </c>
      <c r="K387" s="6"/>
      <c r="P387" s="6"/>
      <c r="R387" s="6"/>
      <c r="U387" s="6"/>
      <c r="AB387" s="6"/>
      <c r="AE387" s="6"/>
      <c r="AG387" s="6"/>
      <c r="AJ387" s="6"/>
      <c r="AO387" s="6"/>
      <c r="AS387"/>
      <c r="AT387" t="s">
        <v>214</v>
      </c>
      <c r="AU387" t="s">
        <v>214</v>
      </c>
    </row>
    <row r="388" spans="1:47" x14ac:dyDescent="0.25">
      <c r="A388" s="63" t="s">
        <v>171</v>
      </c>
      <c r="B388" s="63" t="s">
        <v>235</v>
      </c>
      <c r="C388" s="63" t="s">
        <v>171</v>
      </c>
      <c r="D388" s="34" t="s">
        <v>14</v>
      </c>
      <c r="E388" s="62" t="str">
        <f t="shared" si="5"/>
        <v>Grimclaw TigrexKO</v>
      </c>
      <c r="J388" s="29"/>
      <c r="K388" s="6"/>
      <c r="P388" s="6"/>
      <c r="U388" s="6"/>
      <c r="AE388" s="6"/>
      <c r="AJ388" s="6"/>
      <c r="AO388" s="6"/>
      <c r="AS388">
        <v>10</v>
      </c>
      <c r="AT388" t="s">
        <v>214</v>
      </c>
      <c r="AU388" t="s">
        <v>214</v>
      </c>
    </row>
    <row r="389" spans="1:47" x14ac:dyDescent="0.25">
      <c r="A389" s="63" t="s">
        <v>171</v>
      </c>
      <c r="B389" s="63" t="s">
        <v>235</v>
      </c>
      <c r="C389" s="63" t="s">
        <v>171</v>
      </c>
      <c r="D389" s="33" t="s">
        <v>34</v>
      </c>
      <c r="E389" s="62" t="str">
        <f t="shared" ref="E389:E452" si="6">B389&amp;D389</f>
        <v>Grimclaw TigrexMount</v>
      </c>
      <c r="K389" s="6"/>
      <c r="P389" s="6"/>
      <c r="R389" s="6"/>
      <c r="U389" s="6"/>
      <c r="AE389" s="6"/>
      <c r="AJ389" s="6"/>
      <c r="AO389" s="6"/>
      <c r="AS389"/>
      <c r="AT389" t="s">
        <v>214</v>
      </c>
      <c r="AU389" t="s">
        <v>214</v>
      </c>
    </row>
    <row r="390" spans="1:47" x14ac:dyDescent="0.25">
      <c r="A390" s="63" t="s">
        <v>171</v>
      </c>
      <c r="B390" s="63" t="s">
        <v>235</v>
      </c>
      <c r="C390" s="63" t="s">
        <v>171</v>
      </c>
      <c r="D390" s="77" t="s">
        <v>207</v>
      </c>
      <c r="E390" s="62" t="str">
        <f t="shared" si="6"/>
        <v>Grimclaw TigrexShock Trap</v>
      </c>
      <c r="K390" s="6"/>
      <c r="P390" s="6"/>
      <c r="U390" s="6"/>
      <c r="AE390" s="6"/>
      <c r="AJ390" s="6"/>
      <c r="AO390" s="6"/>
      <c r="AS390">
        <v>8</v>
      </c>
      <c r="AT390">
        <v>15</v>
      </c>
      <c r="AU390">
        <v>10</v>
      </c>
    </row>
    <row r="391" spans="1:47" s="56" customFormat="1" x14ac:dyDescent="0.25">
      <c r="A391" s="63" t="s">
        <v>171</v>
      </c>
      <c r="B391" s="63" t="s">
        <v>235</v>
      </c>
      <c r="C391" s="63" t="s">
        <v>171</v>
      </c>
      <c r="D391" s="79" t="s">
        <v>213</v>
      </c>
      <c r="E391" s="62" t="str">
        <f t="shared" si="6"/>
        <v>Grimclaw TigrexPitfall Trap</v>
      </c>
      <c r="K391" s="7"/>
      <c r="P391" s="7"/>
      <c r="U391" s="7"/>
      <c r="Z391" s="7"/>
      <c r="AE391" s="7"/>
      <c r="AJ391" s="7"/>
      <c r="AO391" s="7"/>
      <c r="AS391" s="56">
        <v>8</v>
      </c>
      <c r="AT391" s="56">
        <v>15</v>
      </c>
      <c r="AU391" s="56">
        <v>16</v>
      </c>
    </row>
    <row r="392" spans="1:47" s="36" customFormat="1" x14ac:dyDescent="0.25">
      <c r="A392" s="63" t="s">
        <v>91</v>
      </c>
      <c r="B392" s="63" t="s">
        <v>41</v>
      </c>
      <c r="C392" s="63" t="s">
        <v>91</v>
      </c>
      <c r="D392" s="37" t="s">
        <v>0</v>
      </c>
      <c r="E392" s="62" t="str">
        <f t="shared" si="6"/>
        <v>GypcerosPara</v>
      </c>
      <c r="F392" s="36">
        <v>150</v>
      </c>
      <c r="G392" s="36">
        <v>555</v>
      </c>
      <c r="H392" s="36">
        <v>690</v>
      </c>
      <c r="I392" s="36">
        <v>690</v>
      </c>
      <c r="J392" s="61"/>
      <c r="K392" s="50"/>
      <c r="P392" s="6">
        <v>150</v>
      </c>
      <c r="Q392" s="46">
        <v>285</v>
      </c>
      <c r="R392" s="46">
        <v>420</v>
      </c>
      <c r="S392" s="46">
        <v>555</v>
      </c>
      <c r="U392" s="50"/>
      <c r="Z392" s="6">
        <v>150</v>
      </c>
      <c r="AA392" s="46">
        <v>292</v>
      </c>
      <c r="AB392" s="46">
        <v>435</v>
      </c>
      <c r="AC392" s="46">
        <v>577</v>
      </c>
      <c r="AE392" s="50"/>
      <c r="AJ392" s="6">
        <v>150</v>
      </c>
      <c r="AK392" s="46">
        <v>322</v>
      </c>
      <c r="AL392" s="46">
        <v>494</v>
      </c>
      <c r="AM392" s="46">
        <v>666</v>
      </c>
      <c r="AO392" s="50"/>
      <c r="AS392" s="36">
        <v>10</v>
      </c>
      <c r="AT392" s="36" t="s">
        <v>214</v>
      </c>
      <c r="AU392" s="36" t="s">
        <v>214</v>
      </c>
    </row>
    <row r="393" spans="1:47" x14ac:dyDescent="0.25">
      <c r="A393" s="63" t="s">
        <v>91</v>
      </c>
      <c r="B393" s="63" t="s">
        <v>41</v>
      </c>
      <c r="C393" s="63" t="s">
        <v>91</v>
      </c>
      <c r="D393" s="31" t="s">
        <v>32</v>
      </c>
      <c r="E393" s="62" t="str">
        <f t="shared" si="6"/>
        <v>GypcerosSleep</v>
      </c>
      <c r="F393">
        <v>150</v>
      </c>
      <c r="G393">
        <v>285</v>
      </c>
      <c r="H393">
        <v>420</v>
      </c>
      <c r="I393">
        <v>555</v>
      </c>
      <c r="K393" s="6"/>
      <c r="P393" s="6">
        <v>150</v>
      </c>
      <c r="Q393">
        <v>285</v>
      </c>
      <c r="R393">
        <v>420</v>
      </c>
      <c r="S393">
        <v>555</v>
      </c>
      <c r="U393" s="6"/>
      <c r="Z393" s="6">
        <v>150</v>
      </c>
      <c r="AA393">
        <v>292</v>
      </c>
      <c r="AB393">
        <v>434</v>
      </c>
      <c r="AC393">
        <v>576</v>
      </c>
      <c r="AE393" s="6"/>
      <c r="AJ393" s="6">
        <v>150</v>
      </c>
      <c r="AK393">
        <v>322</v>
      </c>
      <c r="AL393">
        <v>494</v>
      </c>
      <c r="AM393">
        <v>666</v>
      </c>
      <c r="AO393" s="6"/>
      <c r="AS393">
        <v>40</v>
      </c>
      <c r="AT393" t="s">
        <v>214</v>
      </c>
      <c r="AU393" t="s">
        <v>214</v>
      </c>
    </row>
    <row r="394" spans="1:47" x14ac:dyDescent="0.25">
      <c r="A394" s="63" t="s">
        <v>91</v>
      </c>
      <c r="B394" s="63" t="s">
        <v>41</v>
      </c>
      <c r="C394" s="63" t="s">
        <v>91</v>
      </c>
      <c r="D394" s="32" t="s">
        <v>33</v>
      </c>
      <c r="E394" s="62" t="str">
        <f t="shared" si="6"/>
        <v>GypcerosPoison</v>
      </c>
      <c r="F394">
        <v>250</v>
      </c>
      <c r="G394">
        <v>520</v>
      </c>
      <c r="H394">
        <v>790</v>
      </c>
      <c r="I394">
        <v>1060</v>
      </c>
      <c r="J394" s="29"/>
      <c r="K394" s="6"/>
      <c r="P394" s="6">
        <v>250</v>
      </c>
      <c r="Q394">
        <v>520</v>
      </c>
      <c r="R394">
        <v>790</v>
      </c>
      <c r="S394">
        <v>1060</v>
      </c>
      <c r="U394" s="6"/>
      <c r="Z394" s="6">
        <v>250</v>
      </c>
      <c r="AA394">
        <v>535</v>
      </c>
      <c r="AB394">
        <v>820</v>
      </c>
      <c r="AC394">
        <v>1105</v>
      </c>
      <c r="AE394" s="6"/>
      <c r="AJ394" s="6">
        <v>250</v>
      </c>
      <c r="AK394">
        <v>595</v>
      </c>
      <c r="AL394">
        <v>940</v>
      </c>
      <c r="AM394">
        <v>1285</v>
      </c>
      <c r="AO394" s="6"/>
      <c r="AS394">
        <v>40</v>
      </c>
      <c r="AT394" t="s">
        <v>214</v>
      </c>
      <c r="AU394" t="s">
        <v>214</v>
      </c>
    </row>
    <row r="395" spans="1:47" x14ac:dyDescent="0.25">
      <c r="A395" s="63" t="s">
        <v>91</v>
      </c>
      <c r="B395" s="63" t="s">
        <v>41</v>
      </c>
      <c r="C395" s="63" t="s">
        <v>91</v>
      </c>
      <c r="D395" s="10" t="s">
        <v>22</v>
      </c>
      <c r="E395" s="62" t="str">
        <f t="shared" si="6"/>
        <v>GypcerosExhaust</v>
      </c>
      <c r="F395">
        <v>315</v>
      </c>
      <c r="G395">
        <v>446</v>
      </c>
      <c r="H395">
        <v>577</v>
      </c>
      <c r="I395">
        <v>708</v>
      </c>
      <c r="J395" s="29"/>
      <c r="K395" s="6"/>
      <c r="P395" s="6">
        <v>315</v>
      </c>
      <c r="Q395">
        <v>446</v>
      </c>
      <c r="R395">
        <v>577</v>
      </c>
      <c r="S395">
        <v>708</v>
      </c>
      <c r="U395" s="6"/>
      <c r="Z395" s="6">
        <v>324</v>
      </c>
      <c r="AA395">
        <v>459</v>
      </c>
      <c r="AB395">
        <v>594</v>
      </c>
      <c r="AC395">
        <v>729</v>
      </c>
      <c r="AE395" s="6"/>
      <c r="AJ395" s="6">
        <v>396</v>
      </c>
      <c r="AK395">
        <v>561</v>
      </c>
      <c r="AL395">
        <v>726</v>
      </c>
      <c r="AM395">
        <v>891</v>
      </c>
      <c r="AO395" s="6"/>
      <c r="AS395"/>
      <c r="AT395" t="s">
        <v>214</v>
      </c>
      <c r="AU395" t="s">
        <v>214</v>
      </c>
    </row>
    <row r="396" spans="1:47" x14ac:dyDescent="0.25">
      <c r="A396" s="63" t="s">
        <v>91</v>
      </c>
      <c r="B396" s="63" t="s">
        <v>41</v>
      </c>
      <c r="C396" s="63" t="s">
        <v>91</v>
      </c>
      <c r="D396" s="30" t="s">
        <v>35</v>
      </c>
      <c r="E396" s="62" t="str">
        <f t="shared" si="6"/>
        <v>GypcerosBlast</v>
      </c>
      <c r="F396">
        <v>70</v>
      </c>
      <c r="G396">
        <v>103</v>
      </c>
      <c r="H396">
        <v>136</v>
      </c>
      <c r="I396">
        <v>169</v>
      </c>
      <c r="K396" s="6"/>
      <c r="P396" s="6">
        <v>70</v>
      </c>
      <c r="Q396">
        <v>124</v>
      </c>
      <c r="R396" s="6">
        <v>178</v>
      </c>
      <c r="S396">
        <v>232</v>
      </c>
      <c r="U396" s="6"/>
      <c r="Z396" s="6">
        <v>70</v>
      </c>
      <c r="AA396">
        <v>127</v>
      </c>
      <c r="AB396" s="6">
        <v>184</v>
      </c>
      <c r="AC396">
        <v>241</v>
      </c>
      <c r="AE396" s="6"/>
      <c r="AG396" s="6"/>
      <c r="AJ396" s="6">
        <v>70</v>
      </c>
      <c r="AK396">
        <v>139</v>
      </c>
      <c r="AL396">
        <v>208</v>
      </c>
      <c r="AM396">
        <v>277</v>
      </c>
      <c r="AO396" s="6"/>
      <c r="AS396"/>
      <c r="AT396" t="s">
        <v>214</v>
      </c>
      <c r="AU396" t="s">
        <v>214</v>
      </c>
    </row>
    <row r="397" spans="1:47" x14ac:dyDescent="0.25">
      <c r="A397" s="63" t="s">
        <v>91</v>
      </c>
      <c r="B397" s="63" t="s">
        <v>41</v>
      </c>
      <c r="C397" s="63" t="s">
        <v>91</v>
      </c>
      <c r="D397" s="34" t="s">
        <v>14</v>
      </c>
      <c r="E397" s="62" t="str">
        <f t="shared" si="6"/>
        <v>GypcerosKO</v>
      </c>
      <c r="F397">
        <v>195</v>
      </c>
      <c r="G397">
        <v>292</v>
      </c>
      <c r="H397">
        <v>390</v>
      </c>
      <c r="I397">
        <v>487</v>
      </c>
      <c r="J397" s="29"/>
      <c r="K397" s="6"/>
      <c r="P397" s="6">
        <v>195</v>
      </c>
      <c r="Q397">
        <v>292</v>
      </c>
      <c r="R397">
        <v>389</v>
      </c>
      <c r="S397">
        <v>486</v>
      </c>
      <c r="U397" s="6"/>
      <c r="Z397" s="6">
        <v>210</v>
      </c>
      <c r="AA397">
        <v>315</v>
      </c>
      <c r="AB397">
        <v>420</v>
      </c>
      <c r="AC397">
        <v>525</v>
      </c>
      <c r="AE397" s="6"/>
      <c r="AJ397" s="6">
        <v>240</v>
      </c>
      <c r="AK397">
        <v>360</v>
      </c>
      <c r="AL397">
        <v>480</v>
      </c>
      <c r="AM397">
        <v>600</v>
      </c>
      <c r="AO397" s="6"/>
      <c r="AS397">
        <v>10</v>
      </c>
      <c r="AT397" t="s">
        <v>214</v>
      </c>
      <c r="AU397" t="s">
        <v>214</v>
      </c>
    </row>
    <row r="398" spans="1:47" x14ac:dyDescent="0.25">
      <c r="A398" s="63" t="s">
        <v>91</v>
      </c>
      <c r="B398" s="63" t="s">
        <v>41</v>
      </c>
      <c r="C398" s="63" t="s">
        <v>91</v>
      </c>
      <c r="D398" s="33" t="s">
        <v>34</v>
      </c>
      <c r="E398" s="62" t="str">
        <f t="shared" si="6"/>
        <v>GypcerosMount</v>
      </c>
      <c r="F398">
        <v>80</v>
      </c>
      <c r="G398">
        <v>208</v>
      </c>
      <c r="H398">
        <v>336</v>
      </c>
      <c r="I398">
        <v>464</v>
      </c>
      <c r="K398" s="6"/>
      <c r="P398" s="6">
        <v>85</v>
      </c>
      <c r="Q398">
        <v>221</v>
      </c>
      <c r="R398" s="6">
        <v>357</v>
      </c>
      <c r="S398">
        <v>493</v>
      </c>
      <c r="U398" s="6"/>
      <c r="Z398" s="6">
        <v>85</v>
      </c>
      <c r="AA398">
        <v>221</v>
      </c>
      <c r="AB398">
        <v>357</v>
      </c>
      <c r="AC398">
        <v>493</v>
      </c>
      <c r="AE398" s="6"/>
      <c r="AJ398" s="6">
        <v>100</v>
      </c>
      <c r="AK398">
        <v>260</v>
      </c>
      <c r="AL398">
        <v>420</v>
      </c>
      <c r="AM398">
        <v>580</v>
      </c>
      <c r="AO398" s="6"/>
      <c r="AS398"/>
      <c r="AT398" t="s">
        <v>214</v>
      </c>
      <c r="AU398" t="s">
        <v>214</v>
      </c>
    </row>
    <row r="399" spans="1:47" x14ac:dyDescent="0.25">
      <c r="A399" s="63" t="s">
        <v>91</v>
      </c>
      <c r="B399" s="63" t="s">
        <v>41</v>
      </c>
      <c r="C399" s="63" t="s">
        <v>91</v>
      </c>
      <c r="D399" s="77" t="s">
        <v>207</v>
      </c>
      <c r="E399" s="62" t="str">
        <f t="shared" si="6"/>
        <v>GypcerosShock Trap</v>
      </c>
      <c r="K399" s="6"/>
      <c r="P399" s="6"/>
      <c r="U399" s="6"/>
      <c r="AE399" s="6"/>
      <c r="AJ399" s="6"/>
      <c r="AO399" s="6"/>
      <c r="AS399">
        <v>0</v>
      </c>
      <c r="AT399">
        <v>0</v>
      </c>
      <c r="AU399">
        <v>0</v>
      </c>
    </row>
    <row r="400" spans="1:47" s="56" customFormat="1" x14ac:dyDescent="0.25">
      <c r="A400" s="63" t="s">
        <v>91</v>
      </c>
      <c r="B400" s="63" t="s">
        <v>41</v>
      </c>
      <c r="C400" s="63" t="s">
        <v>91</v>
      </c>
      <c r="D400" s="79" t="s">
        <v>213</v>
      </c>
      <c r="E400" s="62" t="str">
        <f t="shared" si="6"/>
        <v>GypcerosPitfall Trap</v>
      </c>
      <c r="K400" s="7"/>
      <c r="P400" s="7"/>
      <c r="U400" s="7"/>
      <c r="Z400" s="7"/>
      <c r="AE400" s="7"/>
      <c r="AJ400" s="7"/>
      <c r="AO400" s="7"/>
      <c r="AS400" s="56">
        <v>12</v>
      </c>
      <c r="AT400" s="56">
        <v>25</v>
      </c>
      <c r="AU400" s="56">
        <v>12</v>
      </c>
    </row>
    <row r="401" spans="1:47" s="36" customFormat="1" x14ac:dyDescent="0.25">
      <c r="A401" s="63" t="s">
        <v>171</v>
      </c>
      <c r="B401" s="63" t="s">
        <v>234</v>
      </c>
      <c r="C401" s="63" t="s">
        <v>171</v>
      </c>
      <c r="D401" s="37" t="s">
        <v>0</v>
      </c>
      <c r="E401" s="62" t="str">
        <f t="shared" si="6"/>
        <v>Hellblade GlavenusPara</v>
      </c>
      <c r="J401" s="61"/>
      <c r="K401" s="50"/>
      <c r="P401" s="6"/>
      <c r="Q401" s="46"/>
      <c r="R401" s="46"/>
      <c r="S401" s="46"/>
      <c r="U401" s="50"/>
      <c r="Z401" s="6"/>
      <c r="AA401" s="46"/>
      <c r="AB401" s="46"/>
      <c r="AC401" s="46"/>
      <c r="AE401" s="50"/>
      <c r="AJ401" s="6"/>
      <c r="AK401" s="46"/>
      <c r="AL401" s="46"/>
      <c r="AM401" s="46"/>
      <c r="AO401" s="50"/>
      <c r="AS401" s="36">
        <v>12</v>
      </c>
      <c r="AT401" s="36" t="s">
        <v>214</v>
      </c>
      <c r="AU401" s="36" t="s">
        <v>214</v>
      </c>
    </row>
    <row r="402" spans="1:47" x14ac:dyDescent="0.25">
      <c r="A402" s="63" t="s">
        <v>171</v>
      </c>
      <c r="B402" s="63" t="s">
        <v>234</v>
      </c>
      <c r="C402" s="63" t="s">
        <v>171</v>
      </c>
      <c r="D402" s="31" t="s">
        <v>32</v>
      </c>
      <c r="E402" s="62" t="str">
        <f t="shared" si="6"/>
        <v>Hellblade GlavenusSleep</v>
      </c>
      <c r="K402" s="6"/>
      <c r="P402" s="6"/>
      <c r="U402" s="6"/>
      <c r="AE402" s="6"/>
      <c r="AJ402" s="6"/>
      <c r="AO402" s="6"/>
      <c r="AS402">
        <v>60</v>
      </c>
      <c r="AT402" t="s">
        <v>214</v>
      </c>
      <c r="AU402" t="s">
        <v>214</v>
      </c>
    </row>
    <row r="403" spans="1:47" x14ac:dyDescent="0.25">
      <c r="A403" s="63" t="s">
        <v>171</v>
      </c>
      <c r="B403" s="63" t="s">
        <v>234</v>
      </c>
      <c r="C403" s="63" t="s">
        <v>171</v>
      </c>
      <c r="D403" s="32" t="s">
        <v>33</v>
      </c>
      <c r="E403" s="62" t="str">
        <f t="shared" si="6"/>
        <v>Hellblade GlavenusPoison</v>
      </c>
      <c r="J403" s="29"/>
      <c r="K403" s="6"/>
      <c r="P403" s="6"/>
      <c r="U403" s="6"/>
      <c r="AE403" s="6"/>
      <c r="AJ403" s="6"/>
      <c r="AO403" s="6"/>
      <c r="AS403">
        <v>50</v>
      </c>
      <c r="AT403" t="s">
        <v>214</v>
      </c>
      <c r="AU403" t="s">
        <v>214</v>
      </c>
    </row>
    <row r="404" spans="1:47" x14ac:dyDescent="0.25">
      <c r="A404" s="63" t="s">
        <v>171</v>
      </c>
      <c r="B404" s="63" t="s">
        <v>234</v>
      </c>
      <c r="C404" s="63" t="s">
        <v>171</v>
      </c>
      <c r="D404" s="10" t="s">
        <v>22</v>
      </c>
      <c r="E404" s="62" t="str">
        <f t="shared" si="6"/>
        <v>Hellblade GlavenusExhaust</v>
      </c>
      <c r="J404" s="29"/>
      <c r="K404" s="6"/>
      <c r="P404" s="6"/>
      <c r="U404" s="6"/>
      <c r="AE404" s="6"/>
      <c r="AJ404" s="6"/>
      <c r="AO404" s="6"/>
      <c r="AS404"/>
      <c r="AT404" t="s">
        <v>214</v>
      </c>
      <c r="AU404" t="s">
        <v>214</v>
      </c>
    </row>
    <row r="405" spans="1:47" x14ac:dyDescent="0.25">
      <c r="A405" s="63" t="s">
        <v>171</v>
      </c>
      <c r="B405" s="63" t="s">
        <v>234</v>
      </c>
      <c r="C405" s="63" t="s">
        <v>171</v>
      </c>
      <c r="D405" s="30" t="s">
        <v>35</v>
      </c>
      <c r="E405" s="62" t="str">
        <f t="shared" si="6"/>
        <v>Hellblade GlavenusBlast</v>
      </c>
      <c r="K405" s="6"/>
      <c r="P405" s="6"/>
      <c r="R405" s="6"/>
      <c r="U405" s="6"/>
      <c r="AB405" s="6"/>
      <c r="AE405" s="6"/>
      <c r="AG405" s="6"/>
      <c r="AJ405" s="6"/>
      <c r="AO405" s="6"/>
      <c r="AS405"/>
      <c r="AT405" t="s">
        <v>214</v>
      </c>
      <c r="AU405" t="s">
        <v>214</v>
      </c>
    </row>
    <row r="406" spans="1:47" x14ac:dyDescent="0.25">
      <c r="A406" s="63" t="s">
        <v>171</v>
      </c>
      <c r="B406" s="63" t="s">
        <v>234</v>
      </c>
      <c r="C406" s="63" t="s">
        <v>171</v>
      </c>
      <c r="D406" s="34" t="s">
        <v>14</v>
      </c>
      <c r="E406" s="62" t="str">
        <f t="shared" si="6"/>
        <v>Hellblade GlavenusKO</v>
      </c>
      <c r="J406" s="29"/>
      <c r="K406" s="6"/>
      <c r="P406" s="6"/>
      <c r="U406" s="6"/>
      <c r="AE406" s="6"/>
      <c r="AJ406" s="6"/>
      <c r="AO406" s="6"/>
      <c r="AS406">
        <v>10</v>
      </c>
      <c r="AT406" t="s">
        <v>214</v>
      </c>
      <c r="AU406" t="s">
        <v>214</v>
      </c>
    </row>
    <row r="407" spans="1:47" x14ac:dyDescent="0.25">
      <c r="A407" s="63" t="s">
        <v>171</v>
      </c>
      <c r="B407" s="63" t="s">
        <v>234</v>
      </c>
      <c r="C407" s="63" t="s">
        <v>171</v>
      </c>
      <c r="D407" s="33" t="s">
        <v>34</v>
      </c>
      <c r="E407" s="62" t="str">
        <f t="shared" si="6"/>
        <v>Hellblade GlavenusMount</v>
      </c>
      <c r="K407" s="6"/>
      <c r="P407" s="6"/>
      <c r="R407" s="6"/>
      <c r="U407" s="6"/>
      <c r="AE407" s="6"/>
      <c r="AJ407" s="6"/>
      <c r="AO407" s="6"/>
      <c r="AS407"/>
      <c r="AT407" t="s">
        <v>214</v>
      </c>
      <c r="AU407" t="s">
        <v>214</v>
      </c>
    </row>
    <row r="408" spans="1:47" x14ac:dyDescent="0.25">
      <c r="A408" s="63" t="s">
        <v>171</v>
      </c>
      <c r="B408" s="63" t="s">
        <v>234</v>
      </c>
      <c r="C408" s="63" t="s">
        <v>171</v>
      </c>
      <c r="D408" s="77" t="s">
        <v>207</v>
      </c>
      <c r="E408" s="62" t="str">
        <f t="shared" si="6"/>
        <v>Hellblade GlavenusShock Trap</v>
      </c>
      <c r="K408" s="6"/>
      <c r="P408" s="6"/>
      <c r="U408" s="6"/>
      <c r="AE408" s="6"/>
      <c r="AJ408" s="6"/>
      <c r="AO408" s="6"/>
      <c r="AS408">
        <v>10</v>
      </c>
      <c r="AT408">
        <v>25</v>
      </c>
      <c r="AU408">
        <v>12</v>
      </c>
    </row>
    <row r="409" spans="1:47" s="56" customFormat="1" x14ac:dyDescent="0.25">
      <c r="A409" s="63" t="s">
        <v>171</v>
      </c>
      <c r="B409" s="63" t="s">
        <v>234</v>
      </c>
      <c r="C409" s="63" t="s">
        <v>171</v>
      </c>
      <c r="D409" s="79" t="s">
        <v>213</v>
      </c>
      <c r="E409" s="62" t="str">
        <f t="shared" si="6"/>
        <v>Hellblade GlavenusPitfall Trap</v>
      </c>
      <c r="K409" s="7"/>
      <c r="P409" s="7"/>
      <c r="U409" s="7"/>
      <c r="Z409" s="7"/>
      <c r="AE409" s="7"/>
      <c r="AJ409" s="7"/>
      <c r="AO409" s="7"/>
      <c r="AS409" s="56">
        <v>10</v>
      </c>
      <c r="AT409" s="56">
        <v>20</v>
      </c>
      <c r="AU409" s="56">
        <v>12</v>
      </c>
    </row>
    <row r="410" spans="1:47" s="36" customFormat="1" x14ac:dyDescent="0.25">
      <c r="A410" s="63" t="s">
        <v>91</v>
      </c>
      <c r="B410" s="63" t="s">
        <v>59</v>
      </c>
      <c r="C410" s="63" t="s">
        <v>91</v>
      </c>
      <c r="D410" s="37" t="s">
        <v>0</v>
      </c>
      <c r="E410" s="62" t="str">
        <f t="shared" si="6"/>
        <v>IodromePara</v>
      </c>
      <c r="F410" s="36">
        <v>80</v>
      </c>
      <c r="G410" s="36">
        <v>152</v>
      </c>
      <c r="H410" s="36">
        <v>224</v>
      </c>
      <c r="I410" s="36">
        <v>296</v>
      </c>
      <c r="J410" s="61"/>
      <c r="K410" s="50">
        <v>80</v>
      </c>
      <c r="L410" s="36">
        <v>152</v>
      </c>
      <c r="M410" s="36">
        <v>224</v>
      </c>
      <c r="N410" s="36">
        <v>296</v>
      </c>
      <c r="P410" s="6"/>
      <c r="Q410" s="46"/>
      <c r="R410" s="46"/>
      <c r="S410" s="46"/>
      <c r="U410" s="50"/>
      <c r="Z410" s="6">
        <v>80</v>
      </c>
      <c r="AA410" s="46">
        <v>152</v>
      </c>
      <c r="AB410" s="46">
        <v>224</v>
      </c>
      <c r="AC410" s="46">
        <v>296</v>
      </c>
      <c r="AE410" s="50"/>
      <c r="AJ410" s="6"/>
      <c r="AK410" s="46"/>
      <c r="AL410" s="46"/>
      <c r="AM410" s="46"/>
      <c r="AO410" s="50"/>
      <c r="AS410" s="36">
        <v>10</v>
      </c>
      <c r="AT410" s="36" t="s">
        <v>214</v>
      </c>
      <c r="AU410" s="36" t="s">
        <v>214</v>
      </c>
    </row>
    <row r="411" spans="1:47" x14ac:dyDescent="0.25">
      <c r="A411" s="63" t="s">
        <v>91</v>
      </c>
      <c r="B411" s="63" t="s">
        <v>59</v>
      </c>
      <c r="C411" s="63" t="s">
        <v>91</v>
      </c>
      <c r="D411" s="31" t="s">
        <v>32</v>
      </c>
      <c r="E411" s="62" t="str">
        <f t="shared" si="6"/>
        <v>IodromeSleep</v>
      </c>
      <c r="F411">
        <v>120</v>
      </c>
      <c r="G411">
        <v>192</v>
      </c>
      <c r="H411">
        <v>264</v>
      </c>
      <c r="I411">
        <v>336</v>
      </c>
      <c r="K411" s="6">
        <v>120</v>
      </c>
      <c r="L411">
        <v>192</v>
      </c>
      <c r="M411">
        <v>264</v>
      </c>
      <c r="N411">
        <v>336</v>
      </c>
      <c r="P411" s="6"/>
      <c r="U411" s="6"/>
      <c r="Z411" s="6">
        <v>120</v>
      </c>
      <c r="AA411">
        <v>192</v>
      </c>
      <c r="AB411">
        <v>264</v>
      </c>
      <c r="AC411">
        <v>336</v>
      </c>
      <c r="AE411" s="6"/>
      <c r="AJ411" s="6"/>
      <c r="AO411" s="6"/>
      <c r="AS411">
        <v>40</v>
      </c>
      <c r="AT411" t="s">
        <v>214</v>
      </c>
      <c r="AU411" t="s">
        <v>214</v>
      </c>
    </row>
    <row r="412" spans="1:47" x14ac:dyDescent="0.25">
      <c r="A412" s="63" t="s">
        <v>91</v>
      </c>
      <c r="B412" s="63" t="s">
        <v>59</v>
      </c>
      <c r="C412" s="63" t="s">
        <v>91</v>
      </c>
      <c r="D412" s="32" t="s">
        <v>33</v>
      </c>
      <c r="E412" s="62" t="str">
        <f t="shared" si="6"/>
        <v>IodromePoison</v>
      </c>
      <c r="F412">
        <v>200</v>
      </c>
      <c r="G412">
        <v>320</v>
      </c>
      <c r="H412">
        <v>440</v>
      </c>
      <c r="I412">
        <v>560</v>
      </c>
      <c r="J412" s="29"/>
      <c r="K412" s="6">
        <v>120</v>
      </c>
      <c r="L412">
        <v>192</v>
      </c>
      <c r="M412">
        <v>264</v>
      </c>
      <c r="N412">
        <v>336</v>
      </c>
      <c r="P412" s="6"/>
      <c r="U412" s="6"/>
      <c r="Z412" s="6">
        <v>200</v>
      </c>
      <c r="AA412">
        <v>192</v>
      </c>
      <c r="AB412">
        <v>184</v>
      </c>
      <c r="AC412">
        <v>176</v>
      </c>
      <c r="AE412" s="6"/>
      <c r="AJ412" s="6"/>
      <c r="AO412" s="6"/>
      <c r="AS412">
        <v>20</v>
      </c>
      <c r="AT412" t="s">
        <v>214</v>
      </c>
      <c r="AU412" t="s">
        <v>214</v>
      </c>
    </row>
    <row r="413" spans="1:47" x14ac:dyDescent="0.25">
      <c r="A413" s="63" t="s">
        <v>91</v>
      </c>
      <c r="B413" s="63" t="s">
        <v>59</v>
      </c>
      <c r="C413" s="63" t="s">
        <v>91</v>
      </c>
      <c r="D413" s="10" t="s">
        <v>22</v>
      </c>
      <c r="E413" s="62" t="str">
        <f t="shared" si="6"/>
        <v>IodromeExhaust</v>
      </c>
      <c r="F413">
        <v>225</v>
      </c>
      <c r="G413">
        <v>337</v>
      </c>
      <c r="H413">
        <v>449</v>
      </c>
      <c r="I413">
        <v>450</v>
      </c>
      <c r="J413" s="29"/>
      <c r="K413" s="6">
        <v>225</v>
      </c>
      <c r="L413">
        <v>337</v>
      </c>
      <c r="M413">
        <v>449</v>
      </c>
      <c r="N413">
        <v>561</v>
      </c>
      <c r="P413" s="6"/>
      <c r="U413" s="6"/>
      <c r="Z413" s="6">
        <v>225</v>
      </c>
      <c r="AA413">
        <v>337</v>
      </c>
      <c r="AB413">
        <v>449</v>
      </c>
      <c r="AC413">
        <v>561</v>
      </c>
      <c r="AE413" s="6"/>
      <c r="AJ413" s="6"/>
      <c r="AO413" s="6"/>
      <c r="AS413"/>
      <c r="AT413" t="s">
        <v>214</v>
      </c>
      <c r="AU413" t="s">
        <v>214</v>
      </c>
    </row>
    <row r="414" spans="1:47" x14ac:dyDescent="0.25">
      <c r="A414" s="63" t="s">
        <v>91</v>
      </c>
      <c r="B414" s="63" t="s">
        <v>59</v>
      </c>
      <c r="C414" s="63" t="s">
        <v>91</v>
      </c>
      <c r="D414" s="30" t="s">
        <v>35</v>
      </c>
      <c r="E414" s="62" t="str">
        <f t="shared" si="6"/>
        <v>IodromeBlast</v>
      </c>
      <c r="F414">
        <v>55</v>
      </c>
      <c r="G414">
        <v>109</v>
      </c>
      <c r="H414">
        <v>163</v>
      </c>
      <c r="I414">
        <v>217</v>
      </c>
      <c r="K414" s="6">
        <v>55</v>
      </c>
      <c r="L414">
        <v>109</v>
      </c>
      <c r="M414">
        <v>163</v>
      </c>
      <c r="N414">
        <v>217</v>
      </c>
      <c r="P414" s="6"/>
      <c r="R414" s="6"/>
      <c r="U414" s="6"/>
      <c r="Z414" s="6">
        <v>55</v>
      </c>
      <c r="AB414" s="6"/>
      <c r="AE414" s="6"/>
      <c r="AG414" s="6"/>
      <c r="AJ414" s="6"/>
      <c r="AO414" s="6"/>
      <c r="AS414"/>
      <c r="AT414" t="s">
        <v>214</v>
      </c>
      <c r="AU414" t="s">
        <v>214</v>
      </c>
    </row>
    <row r="415" spans="1:47" x14ac:dyDescent="0.25">
      <c r="A415" s="63" t="s">
        <v>91</v>
      </c>
      <c r="B415" s="63" t="s">
        <v>59</v>
      </c>
      <c r="C415" s="63" t="s">
        <v>91</v>
      </c>
      <c r="D415" s="34" t="s">
        <v>14</v>
      </c>
      <c r="E415" s="62" t="str">
        <f t="shared" si="6"/>
        <v>IodromeKO</v>
      </c>
      <c r="F415">
        <v>156</v>
      </c>
      <c r="G415">
        <v>233</v>
      </c>
      <c r="H415">
        <v>312</v>
      </c>
      <c r="I415">
        <v>390</v>
      </c>
      <c r="J415" s="29"/>
      <c r="K415" s="6">
        <v>156</v>
      </c>
      <c r="L415">
        <v>217</v>
      </c>
      <c r="M415">
        <v>278</v>
      </c>
      <c r="N415">
        <v>339</v>
      </c>
      <c r="P415" s="6"/>
      <c r="U415" s="6"/>
      <c r="Z415" s="6">
        <v>156</v>
      </c>
      <c r="AA415">
        <v>233</v>
      </c>
      <c r="AB415">
        <v>310</v>
      </c>
      <c r="AC415">
        <v>387</v>
      </c>
      <c r="AE415" s="6"/>
      <c r="AJ415" s="6"/>
      <c r="AO415" s="6"/>
      <c r="AS415">
        <v>10</v>
      </c>
      <c r="AT415" t="s">
        <v>214</v>
      </c>
      <c r="AU415" t="s">
        <v>214</v>
      </c>
    </row>
    <row r="416" spans="1:47" x14ac:dyDescent="0.25">
      <c r="A416" s="63" t="s">
        <v>91</v>
      </c>
      <c r="B416" s="63" t="s">
        <v>59</v>
      </c>
      <c r="C416" s="63" t="s">
        <v>91</v>
      </c>
      <c r="D416" s="33" t="s">
        <v>34</v>
      </c>
      <c r="E416" s="62" t="str">
        <f t="shared" si="6"/>
        <v>IodromeMount</v>
      </c>
      <c r="F416">
        <v>80</v>
      </c>
      <c r="G416">
        <v>208</v>
      </c>
      <c r="H416">
        <v>336</v>
      </c>
      <c r="I416">
        <v>464</v>
      </c>
      <c r="K416" s="6">
        <v>80</v>
      </c>
      <c r="L416">
        <v>208</v>
      </c>
      <c r="M416">
        <v>336</v>
      </c>
      <c r="N416">
        <v>464</v>
      </c>
      <c r="P416" s="6"/>
      <c r="R416" s="6"/>
      <c r="U416" s="6"/>
      <c r="Z416" s="6">
        <v>80</v>
      </c>
      <c r="AA416">
        <v>208</v>
      </c>
      <c r="AB416">
        <v>336</v>
      </c>
      <c r="AC416">
        <v>464</v>
      </c>
      <c r="AE416" s="6"/>
      <c r="AJ416" s="6"/>
      <c r="AO416" s="6"/>
      <c r="AS416"/>
      <c r="AT416" t="s">
        <v>214</v>
      </c>
      <c r="AU416" t="s">
        <v>214</v>
      </c>
    </row>
    <row r="417" spans="1:47" x14ac:dyDescent="0.25">
      <c r="A417" s="63" t="s">
        <v>91</v>
      </c>
      <c r="B417" s="63" t="s">
        <v>59</v>
      </c>
      <c r="C417" s="63" t="s">
        <v>91</v>
      </c>
      <c r="D417" s="77" t="s">
        <v>207</v>
      </c>
      <c r="E417" s="62" t="str">
        <f t="shared" si="6"/>
        <v>IodromeShock Trap</v>
      </c>
      <c r="K417" s="6"/>
      <c r="P417" s="6"/>
      <c r="U417" s="6"/>
      <c r="AE417" s="6"/>
      <c r="AJ417" s="6"/>
      <c r="AO417" s="6"/>
      <c r="AS417">
        <v>15</v>
      </c>
      <c r="AT417">
        <v>18</v>
      </c>
      <c r="AU417">
        <v>15</v>
      </c>
    </row>
    <row r="418" spans="1:47" s="56" customFormat="1" x14ac:dyDescent="0.25">
      <c r="A418" s="63" t="s">
        <v>91</v>
      </c>
      <c r="B418" s="63" t="s">
        <v>59</v>
      </c>
      <c r="C418" s="63" t="s">
        <v>91</v>
      </c>
      <c r="D418" s="79" t="s">
        <v>213</v>
      </c>
      <c r="E418" s="62" t="str">
        <f t="shared" si="6"/>
        <v>IodromePitfall Trap</v>
      </c>
      <c r="K418" s="7"/>
      <c r="P418" s="7"/>
      <c r="U418" s="7"/>
      <c r="Z418" s="7"/>
      <c r="AE418" s="7"/>
      <c r="AJ418" s="7"/>
      <c r="AO418" s="7"/>
      <c r="AS418" s="56">
        <v>15</v>
      </c>
      <c r="AT418" s="56">
        <v>25</v>
      </c>
      <c r="AU418" s="56">
        <v>18</v>
      </c>
    </row>
    <row r="419" spans="1:47" s="36" customFormat="1" x14ac:dyDescent="0.25">
      <c r="A419" s="63" t="s">
        <v>91</v>
      </c>
      <c r="B419" s="63" t="s">
        <v>60</v>
      </c>
      <c r="C419" s="63" t="s">
        <v>91</v>
      </c>
      <c r="D419" s="37" t="s">
        <v>0</v>
      </c>
      <c r="E419" s="62" t="str">
        <f t="shared" si="6"/>
        <v>Kecha WachaPara</v>
      </c>
      <c r="F419" s="36">
        <v>150</v>
      </c>
      <c r="G419" s="36">
        <v>260</v>
      </c>
      <c r="H419" s="36">
        <v>370</v>
      </c>
      <c r="I419" s="36">
        <v>480</v>
      </c>
      <c r="J419" s="61"/>
      <c r="K419" s="50">
        <v>150</v>
      </c>
      <c r="L419" s="36">
        <v>270</v>
      </c>
      <c r="M419" s="36">
        <v>390</v>
      </c>
      <c r="N419" s="36">
        <v>510</v>
      </c>
      <c r="P419" s="6">
        <v>150</v>
      </c>
      <c r="Q419" s="46">
        <v>330</v>
      </c>
      <c r="R419" s="46">
        <v>510</v>
      </c>
      <c r="S419" s="46">
        <v>690</v>
      </c>
      <c r="U419" s="50"/>
      <c r="Z419" s="6">
        <v>150</v>
      </c>
      <c r="AA419" s="46">
        <v>340</v>
      </c>
      <c r="AB419" s="46">
        <v>530</v>
      </c>
      <c r="AC419" s="46">
        <v>720</v>
      </c>
      <c r="AE419" s="50">
        <v>150</v>
      </c>
      <c r="AF419" s="36">
        <v>340</v>
      </c>
      <c r="AG419" s="36">
        <v>530</v>
      </c>
      <c r="AH419" s="36">
        <v>720</v>
      </c>
      <c r="AJ419" s="6"/>
      <c r="AK419" s="46"/>
      <c r="AL419" s="46"/>
      <c r="AM419" s="46"/>
      <c r="AO419" s="50"/>
      <c r="AS419" s="36">
        <v>10</v>
      </c>
      <c r="AT419" s="36" t="s">
        <v>214</v>
      </c>
      <c r="AU419" s="36" t="s">
        <v>214</v>
      </c>
    </row>
    <row r="420" spans="1:47" x14ac:dyDescent="0.25">
      <c r="A420" s="63" t="s">
        <v>91</v>
      </c>
      <c r="B420" s="63" t="s">
        <v>60</v>
      </c>
      <c r="C420" s="63" t="s">
        <v>91</v>
      </c>
      <c r="D420" s="31" t="s">
        <v>32</v>
      </c>
      <c r="E420" s="62" t="str">
        <f t="shared" si="6"/>
        <v>Kecha WachaSleep</v>
      </c>
      <c r="F420">
        <v>150</v>
      </c>
      <c r="G420">
        <v>260</v>
      </c>
      <c r="H420">
        <v>370</v>
      </c>
      <c r="I420">
        <v>450</v>
      </c>
      <c r="K420" s="6">
        <v>150</v>
      </c>
      <c r="L420">
        <v>270</v>
      </c>
      <c r="M420">
        <v>390</v>
      </c>
      <c r="N420">
        <v>510</v>
      </c>
      <c r="P420" s="6">
        <v>150</v>
      </c>
      <c r="Q420">
        <v>330</v>
      </c>
      <c r="R420">
        <v>510</v>
      </c>
      <c r="S420">
        <v>690</v>
      </c>
      <c r="U420" s="6"/>
      <c r="Z420" s="6">
        <v>150</v>
      </c>
      <c r="AA420">
        <v>340</v>
      </c>
      <c r="AB420">
        <v>530</v>
      </c>
      <c r="AC420">
        <v>720</v>
      </c>
      <c r="AE420" s="6">
        <v>150</v>
      </c>
      <c r="AF420">
        <v>340</v>
      </c>
      <c r="AG420">
        <v>530</v>
      </c>
      <c r="AH420">
        <v>720</v>
      </c>
      <c r="AJ420" s="6"/>
      <c r="AO420" s="6"/>
      <c r="AS420">
        <v>30</v>
      </c>
      <c r="AT420" t="s">
        <v>214</v>
      </c>
      <c r="AU420" t="s">
        <v>214</v>
      </c>
    </row>
    <row r="421" spans="1:47" x14ac:dyDescent="0.25">
      <c r="A421" s="63" t="s">
        <v>91</v>
      </c>
      <c r="B421" s="63" t="s">
        <v>60</v>
      </c>
      <c r="C421" s="63" t="s">
        <v>91</v>
      </c>
      <c r="D421" s="32" t="s">
        <v>33</v>
      </c>
      <c r="E421" s="62" t="str">
        <f t="shared" si="6"/>
        <v>Kecha WachaPoison</v>
      </c>
      <c r="F421">
        <v>150</v>
      </c>
      <c r="G421">
        <v>260</v>
      </c>
      <c r="H421">
        <v>370</v>
      </c>
      <c r="I421">
        <v>480</v>
      </c>
      <c r="J421" s="29"/>
      <c r="K421" s="6">
        <v>150</v>
      </c>
      <c r="L421">
        <v>270</v>
      </c>
      <c r="M421">
        <v>390</v>
      </c>
      <c r="N421">
        <v>510</v>
      </c>
      <c r="P421" s="6">
        <v>150</v>
      </c>
      <c r="Q421">
        <v>330</v>
      </c>
      <c r="R421">
        <v>510</v>
      </c>
      <c r="S421">
        <v>690</v>
      </c>
      <c r="U421" s="6"/>
      <c r="Z421" s="6">
        <v>150</v>
      </c>
      <c r="AA421">
        <v>340</v>
      </c>
      <c r="AB421">
        <v>530</v>
      </c>
      <c r="AC421">
        <v>720</v>
      </c>
      <c r="AE421" s="6">
        <v>150</v>
      </c>
      <c r="AF421">
        <v>340</v>
      </c>
      <c r="AG421">
        <v>530</v>
      </c>
      <c r="AH421">
        <v>720</v>
      </c>
      <c r="AJ421" s="6"/>
      <c r="AO421" s="6"/>
      <c r="AS421">
        <v>40</v>
      </c>
      <c r="AT421" t="s">
        <v>214</v>
      </c>
      <c r="AU421" t="s">
        <v>214</v>
      </c>
    </row>
    <row r="422" spans="1:47" x14ac:dyDescent="0.25">
      <c r="A422" s="63" t="s">
        <v>91</v>
      </c>
      <c r="B422" s="63" t="s">
        <v>60</v>
      </c>
      <c r="C422" s="63" t="s">
        <v>91</v>
      </c>
      <c r="D422" s="10" t="s">
        <v>22</v>
      </c>
      <c r="E422" s="62" t="str">
        <f t="shared" si="6"/>
        <v>Kecha WachaExhaust</v>
      </c>
      <c r="F422">
        <v>225</v>
      </c>
      <c r="G422">
        <v>337</v>
      </c>
      <c r="H422">
        <v>449</v>
      </c>
      <c r="I422">
        <v>561</v>
      </c>
      <c r="J422" s="29"/>
      <c r="K422" s="6">
        <v>225</v>
      </c>
      <c r="L422">
        <v>337</v>
      </c>
      <c r="M422">
        <v>449</v>
      </c>
      <c r="N422">
        <v>561</v>
      </c>
      <c r="P422" s="6">
        <v>262</v>
      </c>
      <c r="Q422">
        <v>393</v>
      </c>
      <c r="R422">
        <v>524</v>
      </c>
      <c r="S422">
        <v>655</v>
      </c>
      <c r="U422" s="6"/>
      <c r="Z422" s="6">
        <v>270</v>
      </c>
      <c r="AA422">
        <v>405</v>
      </c>
      <c r="AB422">
        <v>540</v>
      </c>
      <c r="AC422">
        <v>675</v>
      </c>
      <c r="AE422" s="6">
        <v>270</v>
      </c>
      <c r="AF422">
        <v>405</v>
      </c>
      <c r="AG422">
        <v>540</v>
      </c>
      <c r="AH422">
        <v>675</v>
      </c>
      <c r="AJ422" s="6"/>
      <c r="AO422" s="6"/>
      <c r="AS422"/>
      <c r="AT422" t="s">
        <v>214</v>
      </c>
      <c r="AU422" t="s">
        <v>214</v>
      </c>
    </row>
    <row r="423" spans="1:47" x14ac:dyDescent="0.25">
      <c r="A423" s="63" t="s">
        <v>91</v>
      </c>
      <c r="B423" s="63" t="s">
        <v>60</v>
      </c>
      <c r="C423" s="63" t="s">
        <v>91</v>
      </c>
      <c r="D423" s="30" t="s">
        <v>35</v>
      </c>
      <c r="E423" s="62" t="str">
        <f t="shared" si="6"/>
        <v>Kecha WachaBlast</v>
      </c>
      <c r="F423">
        <v>70</v>
      </c>
      <c r="G423">
        <v>103</v>
      </c>
      <c r="H423">
        <v>136</v>
      </c>
      <c r="I423">
        <v>169</v>
      </c>
      <c r="K423" s="6">
        <v>70</v>
      </c>
      <c r="L423">
        <v>103</v>
      </c>
      <c r="M423">
        <v>136</v>
      </c>
      <c r="N423">
        <v>169</v>
      </c>
      <c r="P423" s="6">
        <v>70</v>
      </c>
      <c r="Q423">
        <v>124</v>
      </c>
      <c r="R423" s="6">
        <v>178</v>
      </c>
      <c r="S423">
        <v>232</v>
      </c>
      <c r="U423" s="6"/>
      <c r="Z423" s="6">
        <v>70</v>
      </c>
      <c r="AA423">
        <v>127</v>
      </c>
      <c r="AB423" s="6">
        <v>184</v>
      </c>
      <c r="AC423">
        <v>241</v>
      </c>
      <c r="AE423" s="6">
        <v>70</v>
      </c>
      <c r="AF423">
        <v>127</v>
      </c>
      <c r="AG423" s="6">
        <v>184</v>
      </c>
      <c r="AH423">
        <v>241</v>
      </c>
      <c r="AJ423" s="6"/>
      <c r="AO423" s="6"/>
      <c r="AS423"/>
      <c r="AT423" t="s">
        <v>214</v>
      </c>
      <c r="AU423" t="s">
        <v>214</v>
      </c>
    </row>
    <row r="424" spans="1:47" x14ac:dyDescent="0.25">
      <c r="A424" s="63" t="s">
        <v>91</v>
      </c>
      <c r="B424" s="63" t="s">
        <v>60</v>
      </c>
      <c r="C424" s="63" t="s">
        <v>91</v>
      </c>
      <c r="D424" s="34" t="s">
        <v>14</v>
      </c>
      <c r="E424" s="62" t="str">
        <f t="shared" si="6"/>
        <v>Kecha WachaKO</v>
      </c>
      <c r="F424">
        <v>195</v>
      </c>
      <c r="G424">
        <v>325</v>
      </c>
      <c r="H424">
        <v>454</v>
      </c>
      <c r="I424">
        <v>585</v>
      </c>
      <c r="J424" s="29"/>
      <c r="K424" s="6">
        <v>195</v>
      </c>
      <c r="L424">
        <v>325</v>
      </c>
      <c r="M424">
        <v>455</v>
      </c>
      <c r="N424">
        <v>585</v>
      </c>
      <c r="P424" s="6">
        <v>195</v>
      </c>
      <c r="Q424">
        <v>325</v>
      </c>
      <c r="R424">
        <v>455</v>
      </c>
      <c r="S424">
        <v>585</v>
      </c>
      <c r="U424" s="6"/>
      <c r="Z424" s="6">
        <v>210</v>
      </c>
      <c r="AA424">
        <v>340</v>
      </c>
      <c r="AB424">
        <v>470</v>
      </c>
      <c r="AC424">
        <v>600</v>
      </c>
      <c r="AE424" s="6">
        <v>210</v>
      </c>
      <c r="AF424">
        <v>340</v>
      </c>
      <c r="AG424">
        <v>470</v>
      </c>
      <c r="AH424">
        <v>600</v>
      </c>
      <c r="AJ424" s="6"/>
      <c r="AO424" s="6"/>
      <c r="AS424">
        <v>10</v>
      </c>
      <c r="AT424" t="s">
        <v>214</v>
      </c>
      <c r="AU424" t="s">
        <v>214</v>
      </c>
    </row>
    <row r="425" spans="1:47" x14ac:dyDescent="0.25">
      <c r="A425" s="63" t="s">
        <v>91</v>
      </c>
      <c r="B425" s="63" t="s">
        <v>60</v>
      </c>
      <c r="C425" s="63" t="s">
        <v>91</v>
      </c>
      <c r="D425" s="33" t="s">
        <v>34</v>
      </c>
      <c r="E425" s="62" t="str">
        <f t="shared" si="6"/>
        <v>Kecha WachaMount</v>
      </c>
      <c r="F425">
        <v>96</v>
      </c>
      <c r="G425">
        <v>240</v>
      </c>
      <c r="H425">
        <v>384</v>
      </c>
      <c r="I425">
        <v>528</v>
      </c>
      <c r="K425" s="6">
        <v>96</v>
      </c>
      <c r="L425">
        <v>240</v>
      </c>
      <c r="M425">
        <v>384</v>
      </c>
      <c r="N425">
        <v>528</v>
      </c>
      <c r="P425" s="6">
        <v>102</v>
      </c>
      <c r="Q425">
        <v>255</v>
      </c>
      <c r="R425" s="6">
        <v>408</v>
      </c>
      <c r="S425">
        <v>561</v>
      </c>
      <c r="U425" s="6"/>
      <c r="Z425" s="6">
        <v>102</v>
      </c>
      <c r="AA425">
        <v>255</v>
      </c>
      <c r="AB425">
        <v>408</v>
      </c>
      <c r="AC425">
        <v>561</v>
      </c>
      <c r="AE425" s="6">
        <v>102</v>
      </c>
      <c r="AF425">
        <v>255</v>
      </c>
      <c r="AG425">
        <v>408</v>
      </c>
      <c r="AH425">
        <v>561</v>
      </c>
      <c r="AJ425" s="6"/>
      <c r="AO425" s="6"/>
      <c r="AS425"/>
      <c r="AT425" t="s">
        <v>214</v>
      </c>
      <c r="AU425" t="s">
        <v>214</v>
      </c>
    </row>
    <row r="426" spans="1:47" x14ac:dyDescent="0.25">
      <c r="A426" s="63" t="s">
        <v>91</v>
      </c>
      <c r="B426" s="63" t="s">
        <v>60</v>
      </c>
      <c r="C426" s="63" t="s">
        <v>91</v>
      </c>
      <c r="D426" s="77" t="s">
        <v>207</v>
      </c>
      <c r="E426" s="62" t="str">
        <f t="shared" si="6"/>
        <v>Kecha WachaShock Trap</v>
      </c>
      <c r="K426" s="6"/>
      <c r="P426" s="6"/>
      <c r="U426" s="6"/>
      <c r="AE426" s="6"/>
      <c r="AJ426" s="6"/>
      <c r="AO426" s="6"/>
      <c r="AS426">
        <v>8</v>
      </c>
      <c r="AT426">
        <v>15</v>
      </c>
      <c r="AU426">
        <v>8</v>
      </c>
    </row>
    <row r="427" spans="1:47" s="56" customFormat="1" x14ac:dyDescent="0.25">
      <c r="A427" s="63" t="s">
        <v>91</v>
      </c>
      <c r="B427" s="63" t="s">
        <v>60</v>
      </c>
      <c r="C427" s="63" t="s">
        <v>91</v>
      </c>
      <c r="D427" s="79" t="s">
        <v>213</v>
      </c>
      <c r="E427" s="62" t="str">
        <f t="shared" si="6"/>
        <v>Kecha WachaPitfall Trap</v>
      </c>
      <c r="K427" s="7"/>
      <c r="P427" s="7"/>
      <c r="U427" s="7"/>
      <c r="Z427" s="7"/>
      <c r="AE427" s="7"/>
      <c r="AJ427" s="7"/>
      <c r="AO427" s="7"/>
      <c r="AS427" s="56">
        <v>12</v>
      </c>
      <c r="AT427" s="56">
        <v>25</v>
      </c>
      <c r="AU427" s="56">
        <v>12</v>
      </c>
    </row>
    <row r="428" spans="1:47" s="36" customFormat="1" x14ac:dyDescent="0.25">
      <c r="A428" s="63" t="s">
        <v>91</v>
      </c>
      <c r="B428" s="63" t="s">
        <v>61</v>
      </c>
      <c r="C428" s="63" t="s">
        <v>91</v>
      </c>
      <c r="D428" s="37" t="s">
        <v>0</v>
      </c>
      <c r="E428" s="62" t="str">
        <f t="shared" si="6"/>
        <v>KhezuPara</v>
      </c>
      <c r="F428" s="36">
        <v>200</v>
      </c>
      <c r="G428" s="36">
        <v>350</v>
      </c>
      <c r="H428" s="36">
        <v>500</v>
      </c>
      <c r="I428" s="36">
        <v>650</v>
      </c>
      <c r="J428" s="61"/>
      <c r="K428" s="50"/>
      <c r="P428" s="6">
        <v>200</v>
      </c>
      <c r="Q428" s="46">
        <v>470</v>
      </c>
      <c r="R428" s="46">
        <v>740</v>
      </c>
      <c r="S428" s="46">
        <v>1010</v>
      </c>
      <c r="U428" s="50"/>
      <c r="Z428" s="6">
        <v>200</v>
      </c>
      <c r="AA428" s="46">
        <v>500</v>
      </c>
      <c r="AB428" s="46">
        <v>800</v>
      </c>
      <c r="AC428" s="46">
        <v>1100</v>
      </c>
      <c r="AE428" s="50"/>
      <c r="AJ428" s="6"/>
      <c r="AK428" s="46"/>
      <c r="AL428" s="46"/>
      <c r="AM428" s="46"/>
      <c r="AO428" s="50"/>
      <c r="AS428" s="36">
        <v>10</v>
      </c>
      <c r="AT428" s="36" t="s">
        <v>214</v>
      </c>
      <c r="AU428" s="36" t="s">
        <v>214</v>
      </c>
    </row>
    <row r="429" spans="1:47" x14ac:dyDescent="0.25">
      <c r="A429" s="63" t="s">
        <v>91</v>
      </c>
      <c r="B429" s="63" t="s">
        <v>61</v>
      </c>
      <c r="C429" s="63" t="s">
        <v>91</v>
      </c>
      <c r="D429" s="31" t="s">
        <v>32</v>
      </c>
      <c r="E429" s="62" t="str">
        <f t="shared" si="6"/>
        <v>KhezuSleep</v>
      </c>
      <c r="F429">
        <v>200</v>
      </c>
      <c r="G429">
        <v>250</v>
      </c>
      <c r="H429">
        <v>300</v>
      </c>
      <c r="I429">
        <v>350</v>
      </c>
      <c r="K429" s="6"/>
      <c r="P429" s="6">
        <v>200</v>
      </c>
      <c r="Q429">
        <v>290</v>
      </c>
      <c r="R429">
        <v>380</v>
      </c>
      <c r="S429">
        <v>470</v>
      </c>
      <c r="U429" s="6"/>
      <c r="Z429" s="6">
        <v>200</v>
      </c>
      <c r="AA429">
        <v>300</v>
      </c>
      <c r="AB429">
        <v>400</v>
      </c>
      <c r="AC429">
        <v>500</v>
      </c>
      <c r="AE429" s="6"/>
      <c r="AJ429" s="6"/>
      <c r="AO429" s="6"/>
      <c r="AS429">
        <v>40</v>
      </c>
      <c r="AT429" t="s">
        <v>214</v>
      </c>
      <c r="AU429" t="s">
        <v>214</v>
      </c>
    </row>
    <row r="430" spans="1:47" x14ac:dyDescent="0.25">
      <c r="A430" s="63" t="s">
        <v>91</v>
      </c>
      <c r="B430" s="63" t="s">
        <v>61</v>
      </c>
      <c r="C430" s="63" t="s">
        <v>91</v>
      </c>
      <c r="D430" s="32" t="s">
        <v>33</v>
      </c>
      <c r="E430" s="62" t="str">
        <f t="shared" si="6"/>
        <v>KhezuPoison</v>
      </c>
      <c r="F430">
        <v>110</v>
      </c>
      <c r="G430">
        <v>185</v>
      </c>
      <c r="H430">
        <v>260</v>
      </c>
      <c r="I430">
        <v>335</v>
      </c>
      <c r="J430" s="29"/>
      <c r="K430" s="6"/>
      <c r="P430" s="6">
        <v>110</v>
      </c>
      <c r="Q430">
        <v>245</v>
      </c>
      <c r="R430">
        <v>380</v>
      </c>
      <c r="S430">
        <v>515</v>
      </c>
      <c r="U430" s="6"/>
      <c r="Z430" s="6">
        <v>110</v>
      </c>
      <c r="AA430">
        <v>260</v>
      </c>
      <c r="AB430">
        <v>410</v>
      </c>
      <c r="AC430">
        <v>560</v>
      </c>
      <c r="AE430" s="6"/>
      <c r="AJ430" s="6"/>
      <c r="AO430" s="6"/>
      <c r="AS430">
        <v>30</v>
      </c>
      <c r="AT430" t="s">
        <v>214</v>
      </c>
      <c r="AU430" t="s">
        <v>214</v>
      </c>
    </row>
    <row r="431" spans="1:47" x14ac:dyDescent="0.25">
      <c r="A431" s="63" t="s">
        <v>91</v>
      </c>
      <c r="B431" s="63" t="s">
        <v>61</v>
      </c>
      <c r="C431" s="63" t="s">
        <v>91</v>
      </c>
      <c r="D431" s="10" t="s">
        <v>22</v>
      </c>
      <c r="E431" s="62" t="str">
        <f t="shared" si="6"/>
        <v>KhezuExhaust</v>
      </c>
      <c r="F431">
        <v>240</v>
      </c>
      <c r="G431">
        <v>360</v>
      </c>
      <c r="H431">
        <v>480</v>
      </c>
      <c r="I431">
        <v>600</v>
      </c>
      <c r="J431" s="29"/>
      <c r="K431" s="6"/>
      <c r="P431" s="6">
        <v>350</v>
      </c>
      <c r="Q431">
        <v>525</v>
      </c>
      <c r="R431">
        <v>700</v>
      </c>
      <c r="S431">
        <v>875</v>
      </c>
      <c r="U431" s="6"/>
      <c r="Z431" s="6">
        <v>370</v>
      </c>
      <c r="AA431">
        <v>555</v>
      </c>
      <c r="AB431">
        <v>740</v>
      </c>
      <c r="AC431">
        <v>925</v>
      </c>
      <c r="AE431" s="6"/>
      <c r="AJ431" s="6"/>
      <c r="AO431" s="6"/>
      <c r="AS431"/>
      <c r="AT431" t="s">
        <v>214</v>
      </c>
      <c r="AU431" t="s">
        <v>214</v>
      </c>
    </row>
    <row r="432" spans="1:47" x14ac:dyDescent="0.25">
      <c r="A432" s="63" t="s">
        <v>91</v>
      </c>
      <c r="B432" s="63" t="s">
        <v>61</v>
      </c>
      <c r="C432" s="63" t="s">
        <v>91</v>
      </c>
      <c r="D432" s="30" t="s">
        <v>35</v>
      </c>
      <c r="E432" s="62" t="str">
        <f t="shared" si="6"/>
        <v>KhezuBlast</v>
      </c>
      <c r="F432">
        <v>70</v>
      </c>
      <c r="G432">
        <v>106</v>
      </c>
      <c r="H432">
        <v>142</v>
      </c>
      <c r="I432">
        <v>178</v>
      </c>
      <c r="K432" s="6"/>
      <c r="P432" s="6">
        <v>70</v>
      </c>
      <c r="Q432">
        <v>124</v>
      </c>
      <c r="R432" s="6">
        <v>178</v>
      </c>
      <c r="S432">
        <v>232</v>
      </c>
      <c r="U432" s="6"/>
      <c r="Z432" s="6">
        <v>70</v>
      </c>
      <c r="AA432">
        <v>130</v>
      </c>
      <c r="AB432" s="6">
        <v>190</v>
      </c>
      <c r="AC432">
        <v>250</v>
      </c>
      <c r="AE432" s="6"/>
      <c r="AG432" s="6"/>
      <c r="AJ432" s="6"/>
      <c r="AO432" s="6"/>
      <c r="AS432"/>
      <c r="AT432" t="s">
        <v>214</v>
      </c>
      <c r="AU432" t="s">
        <v>214</v>
      </c>
    </row>
    <row r="433" spans="1:47" x14ac:dyDescent="0.25">
      <c r="A433" s="63" t="s">
        <v>91</v>
      </c>
      <c r="B433" s="63" t="s">
        <v>61</v>
      </c>
      <c r="C433" s="63" t="s">
        <v>91</v>
      </c>
      <c r="D433" s="34" t="s">
        <v>14</v>
      </c>
      <c r="E433" s="62" t="str">
        <f t="shared" si="6"/>
        <v>KhezuKO</v>
      </c>
      <c r="F433">
        <v>220</v>
      </c>
      <c r="G433">
        <v>330</v>
      </c>
      <c r="H433">
        <v>440</v>
      </c>
      <c r="I433">
        <v>550</v>
      </c>
      <c r="J433" s="29"/>
      <c r="K433" s="6"/>
      <c r="P433" s="6">
        <v>260</v>
      </c>
      <c r="Q433">
        <v>390</v>
      </c>
      <c r="R433">
        <v>520</v>
      </c>
      <c r="S433">
        <v>650</v>
      </c>
      <c r="U433" s="6"/>
      <c r="Z433" s="6">
        <v>280</v>
      </c>
      <c r="AA433">
        <v>420</v>
      </c>
      <c r="AB433">
        <v>560</v>
      </c>
      <c r="AC433">
        <v>700</v>
      </c>
      <c r="AE433" s="6"/>
      <c r="AJ433" s="6"/>
      <c r="AO433" s="6"/>
      <c r="AS433">
        <v>10</v>
      </c>
      <c r="AT433" t="s">
        <v>214</v>
      </c>
      <c r="AU433" t="s">
        <v>214</v>
      </c>
    </row>
    <row r="434" spans="1:47" x14ac:dyDescent="0.25">
      <c r="A434" s="63" t="s">
        <v>91</v>
      </c>
      <c r="B434" s="63" t="s">
        <v>61</v>
      </c>
      <c r="C434" s="63" t="s">
        <v>91</v>
      </c>
      <c r="D434" s="33" t="s">
        <v>34</v>
      </c>
      <c r="E434" s="62" t="str">
        <f t="shared" si="6"/>
        <v>KhezuMount</v>
      </c>
      <c r="F434">
        <v>72</v>
      </c>
      <c r="G434">
        <v>256</v>
      </c>
      <c r="H434">
        <v>440</v>
      </c>
      <c r="I434">
        <v>624</v>
      </c>
      <c r="K434" s="6"/>
      <c r="P434" s="6">
        <v>102</v>
      </c>
      <c r="Q434">
        <v>272</v>
      </c>
      <c r="R434" s="6">
        <v>442</v>
      </c>
      <c r="S434">
        <v>612</v>
      </c>
      <c r="U434" s="6"/>
      <c r="Z434" s="6">
        <v>108</v>
      </c>
      <c r="AA434">
        <v>288</v>
      </c>
      <c r="AB434">
        <v>468</v>
      </c>
      <c r="AC434">
        <v>648</v>
      </c>
      <c r="AE434" s="6"/>
      <c r="AJ434" s="6"/>
      <c r="AO434" s="6"/>
      <c r="AS434"/>
      <c r="AT434" t="s">
        <v>214</v>
      </c>
      <c r="AU434" t="s">
        <v>214</v>
      </c>
    </row>
    <row r="435" spans="1:47" x14ac:dyDescent="0.25">
      <c r="A435" s="63" t="s">
        <v>91</v>
      </c>
      <c r="B435" s="63" t="s">
        <v>61</v>
      </c>
      <c r="C435" s="63" t="s">
        <v>91</v>
      </c>
      <c r="D435" s="77" t="s">
        <v>207</v>
      </c>
      <c r="E435" s="62" t="str">
        <f t="shared" si="6"/>
        <v>KhezuShock Trap</v>
      </c>
      <c r="K435" s="6"/>
      <c r="P435" s="6"/>
      <c r="U435" s="6"/>
      <c r="AE435" s="6"/>
      <c r="AJ435" s="6"/>
      <c r="AO435" s="6"/>
      <c r="AS435">
        <v>5</v>
      </c>
      <c r="AT435">
        <v>5</v>
      </c>
      <c r="AU435">
        <v>5</v>
      </c>
    </row>
    <row r="436" spans="1:47" s="56" customFormat="1" x14ac:dyDescent="0.25">
      <c r="A436" s="63" t="s">
        <v>91</v>
      </c>
      <c r="B436" s="63" t="s">
        <v>61</v>
      </c>
      <c r="C436" s="63" t="s">
        <v>91</v>
      </c>
      <c r="D436" s="79" t="s">
        <v>213</v>
      </c>
      <c r="E436" s="62" t="str">
        <f t="shared" si="6"/>
        <v>KhezuPitfall Trap</v>
      </c>
      <c r="K436" s="7"/>
      <c r="P436" s="7"/>
      <c r="U436" s="7"/>
      <c r="Z436" s="7"/>
      <c r="AE436" s="7"/>
      <c r="AJ436" s="7"/>
      <c r="AO436" s="7"/>
      <c r="AS436" s="56">
        <v>12</v>
      </c>
      <c r="AT436" s="56">
        <v>20</v>
      </c>
      <c r="AU436" s="56">
        <v>16</v>
      </c>
    </row>
    <row r="437" spans="1:47" s="36" customFormat="1" x14ac:dyDescent="0.25">
      <c r="A437" s="63" t="s">
        <v>91</v>
      </c>
      <c r="B437" s="63" t="s">
        <v>43</v>
      </c>
      <c r="C437" s="63" t="s">
        <v>91</v>
      </c>
      <c r="D437" s="37" t="s">
        <v>0</v>
      </c>
      <c r="E437" s="62" t="str">
        <f t="shared" si="6"/>
        <v>KirinPara</v>
      </c>
      <c r="F437" s="36">
        <v>0</v>
      </c>
      <c r="G437" s="36">
        <v>0</v>
      </c>
      <c r="H437" s="36">
        <v>0</v>
      </c>
      <c r="I437" s="36">
        <v>0</v>
      </c>
      <c r="J437" s="61"/>
      <c r="K437" s="50"/>
      <c r="P437" s="6"/>
      <c r="Q437" s="46"/>
      <c r="R437" s="46"/>
      <c r="S437" s="46"/>
      <c r="U437" s="50"/>
      <c r="Z437" s="6">
        <v>0</v>
      </c>
      <c r="AA437" s="46">
        <v>0</v>
      </c>
      <c r="AB437" s="46">
        <v>0</v>
      </c>
      <c r="AC437" s="46">
        <v>0</v>
      </c>
      <c r="AE437" s="50"/>
      <c r="AJ437" s="6"/>
      <c r="AK437" s="46"/>
      <c r="AL437" s="46"/>
      <c r="AM437" s="46"/>
      <c r="AO437" s="50"/>
      <c r="AS437" s="36">
        <v>0</v>
      </c>
      <c r="AT437" s="36" t="s">
        <v>214</v>
      </c>
      <c r="AU437" s="36" t="s">
        <v>214</v>
      </c>
    </row>
    <row r="438" spans="1:47" x14ac:dyDescent="0.25">
      <c r="A438" s="63" t="s">
        <v>91</v>
      </c>
      <c r="B438" s="63" t="s">
        <v>43</v>
      </c>
      <c r="C438" s="63" t="s">
        <v>91</v>
      </c>
      <c r="D438" s="31" t="s">
        <v>32</v>
      </c>
      <c r="E438" s="62" t="str">
        <f t="shared" si="6"/>
        <v>KirinSleep</v>
      </c>
      <c r="F438">
        <v>200</v>
      </c>
      <c r="G438">
        <v>265</v>
      </c>
      <c r="H438">
        <v>330</v>
      </c>
      <c r="I438">
        <v>395</v>
      </c>
      <c r="K438" s="6"/>
      <c r="P438" s="6"/>
      <c r="U438" s="6"/>
      <c r="Z438" s="6">
        <v>200</v>
      </c>
      <c r="AA438">
        <v>304</v>
      </c>
      <c r="AB438">
        <v>408</v>
      </c>
      <c r="AC438">
        <v>512</v>
      </c>
      <c r="AE438" s="6"/>
      <c r="AJ438" s="6"/>
      <c r="AO438" s="6"/>
      <c r="AS438">
        <v>40</v>
      </c>
      <c r="AT438" t="s">
        <v>214</v>
      </c>
      <c r="AU438" t="s">
        <v>214</v>
      </c>
    </row>
    <row r="439" spans="1:47" x14ac:dyDescent="0.25">
      <c r="A439" s="63" t="s">
        <v>91</v>
      </c>
      <c r="B439" s="63" t="s">
        <v>43</v>
      </c>
      <c r="C439" s="63" t="s">
        <v>91</v>
      </c>
      <c r="D439" s="32" t="s">
        <v>33</v>
      </c>
      <c r="E439" s="62" t="str">
        <f t="shared" si="6"/>
        <v>KirinPoison</v>
      </c>
      <c r="F439">
        <v>200</v>
      </c>
      <c r="G439">
        <v>316</v>
      </c>
      <c r="H439">
        <v>432</v>
      </c>
      <c r="I439">
        <v>548</v>
      </c>
      <c r="J439" s="29"/>
      <c r="K439" s="6"/>
      <c r="P439" s="6"/>
      <c r="U439" s="6"/>
      <c r="Z439" s="6">
        <v>200</v>
      </c>
      <c r="AA439">
        <v>388</v>
      </c>
      <c r="AB439">
        <v>576</v>
      </c>
      <c r="AC439">
        <v>764</v>
      </c>
      <c r="AE439" s="6"/>
      <c r="AJ439" s="6"/>
      <c r="AO439" s="6"/>
      <c r="AS439">
        <v>30</v>
      </c>
      <c r="AT439" t="s">
        <v>214</v>
      </c>
      <c r="AU439" t="s">
        <v>214</v>
      </c>
    </row>
    <row r="440" spans="1:47" x14ac:dyDescent="0.25">
      <c r="A440" s="63" t="s">
        <v>91</v>
      </c>
      <c r="B440" s="63" t="s">
        <v>43</v>
      </c>
      <c r="C440" s="63" t="s">
        <v>91</v>
      </c>
      <c r="D440" s="10" t="s">
        <v>22</v>
      </c>
      <c r="E440" s="62" t="str">
        <f t="shared" si="6"/>
        <v>KirinExhaust</v>
      </c>
      <c r="F440">
        <v>0</v>
      </c>
      <c r="G440">
        <v>0</v>
      </c>
      <c r="H440">
        <v>0</v>
      </c>
      <c r="I440">
        <v>0</v>
      </c>
      <c r="J440" s="29"/>
      <c r="K440" s="6"/>
      <c r="P440" s="6"/>
      <c r="U440" s="6"/>
      <c r="Z440" s="6">
        <v>0</v>
      </c>
      <c r="AA440">
        <v>0</v>
      </c>
      <c r="AB440">
        <v>0</v>
      </c>
      <c r="AC440">
        <v>0</v>
      </c>
      <c r="AE440" s="6"/>
      <c r="AJ440" s="6"/>
      <c r="AO440" s="6"/>
      <c r="AS440"/>
      <c r="AT440" t="s">
        <v>214</v>
      </c>
      <c r="AU440" t="s">
        <v>214</v>
      </c>
    </row>
    <row r="441" spans="1:47" x14ac:dyDescent="0.25">
      <c r="A441" s="63" t="s">
        <v>91</v>
      </c>
      <c r="B441" s="63" t="s">
        <v>43</v>
      </c>
      <c r="C441" s="63" t="s">
        <v>91</v>
      </c>
      <c r="D441" s="30" t="s">
        <v>35</v>
      </c>
      <c r="E441" s="62" t="str">
        <f t="shared" si="6"/>
        <v>KirinBlast</v>
      </c>
      <c r="F441">
        <v>70</v>
      </c>
      <c r="G441">
        <v>109</v>
      </c>
      <c r="H441">
        <v>148</v>
      </c>
      <c r="I441">
        <v>187</v>
      </c>
      <c r="K441" s="6"/>
      <c r="P441" s="6"/>
      <c r="R441" s="6"/>
      <c r="U441" s="6"/>
      <c r="Z441" s="6">
        <v>70</v>
      </c>
      <c r="AA441">
        <v>132</v>
      </c>
      <c r="AB441" s="6">
        <v>194</v>
      </c>
      <c r="AC441">
        <v>256</v>
      </c>
      <c r="AE441" s="6"/>
      <c r="AG441" s="6"/>
      <c r="AJ441" s="6"/>
      <c r="AO441" s="6"/>
      <c r="AS441"/>
      <c r="AT441" t="s">
        <v>214</v>
      </c>
      <c r="AU441" t="s">
        <v>214</v>
      </c>
    </row>
    <row r="442" spans="1:47" x14ac:dyDescent="0.25">
      <c r="A442" s="63" t="s">
        <v>91</v>
      </c>
      <c r="B442" s="63" t="s">
        <v>43</v>
      </c>
      <c r="C442" s="63" t="s">
        <v>91</v>
      </c>
      <c r="D442" s="34" t="s">
        <v>14</v>
      </c>
      <c r="E442" s="62" t="str">
        <f t="shared" si="6"/>
        <v>KirinKO</v>
      </c>
      <c r="F442">
        <v>195</v>
      </c>
      <c r="G442">
        <v>325</v>
      </c>
      <c r="H442">
        <v>455</v>
      </c>
      <c r="I442">
        <v>585</v>
      </c>
      <c r="J442" s="29"/>
      <c r="K442" s="6"/>
      <c r="P442" s="6"/>
      <c r="U442" s="6"/>
      <c r="Z442" s="6">
        <v>225</v>
      </c>
      <c r="AA442">
        <v>375</v>
      </c>
      <c r="AB442">
        <v>525</v>
      </c>
      <c r="AC442">
        <v>675</v>
      </c>
      <c r="AE442" s="6"/>
      <c r="AJ442" s="6"/>
      <c r="AO442" s="6"/>
      <c r="AS442">
        <v>10</v>
      </c>
      <c r="AT442" t="s">
        <v>214</v>
      </c>
      <c r="AU442" t="s">
        <v>214</v>
      </c>
    </row>
    <row r="443" spans="1:47" x14ac:dyDescent="0.25">
      <c r="A443" s="63" t="s">
        <v>91</v>
      </c>
      <c r="B443" s="63" t="s">
        <v>43</v>
      </c>
      <c r="C443" s="63" t="s">
        <v>91</v>
      </c>
      <c r="D443" s="33" t="s">
        <v>34</v>
      </c>
      <c r="E443" s="62" t="str">
        <f t="shared" si="6"/>
        <v>KirinMount</v>
      </c>
      <c r="F443">
        <v>80</v>
      </c>
      <c r="G443">
        <v>208</v>
      </c>
      <c r="H443">
        <v>336</v>
      </c>
      <c r="I443">
        <v>464</v>
      </c>
      <c r="K443" s="6"/>
      <c r="P443" s="6"/>
      <c r="R443" s="6"/>
      <c r="U443" s="6"/>
      <c r="Z443" s="6">
        <v>90</v>
      </c>
      <c r="AA443">
        <v>234</v>
      </c>
      <c r="AB443">
        <v>378</v>
      </c>
      <c r="AC443">
        <v>522</v>
      </c>
      <c r="AE443" s="6"/>
      <c r="AJ443" s="6"/>
      <c r="AO443" s="6"/>
      <c r="AS443"/>
      <c r="AT443" t="s">
        <v>214</v>
      </c>
      <c r="AU443" t="s">
        <v>214</v>
      </c>
    </row>
    <row r="444" spans="1:47" x14ac:dyDescent="0.25">
      <c r="A444" s="63" t="s">
        <v>91</v>
      </c>
      <c r="B444" s="63" t="s">
        <v>43</v>
      </c>
      <c r="C444" s="63" t="s">
        <v>91</v>
      </c>
      <c r="D444" s="77" t="s">
        <v>207</v>
      </c>
      <c r="E444" s="62" t="str">
        <f t="shared" si="6"/>
        <v>KirinShock Trap</v>
      </c>
      <c r="K444" s="6"/>
      <c r="P444" s="6"/>
      <c r="U444" s="6"/>
      <c r="AE444" s="6"/>
      <c r="AJ444" s="6"/>
      <c r="AO444" s="6"/>
      <c r="AS444">
        <v>0</v>
      </c>
      <c r="AT444">
        <v>0</v>
      </c>
      <c r="AU444">
        <v>0</v>
      </c>
    </row>
    <row r="445" spans="1:47" s="56" customFormat="1" x14ac:dyDescent="0.25">
      <c r="A445" s="63" t="s">
        <v>91</v>
      </c>
      <c r="B445" s="63" t="s">
        <v>43</v>
      </c>
      <c r="C445" s="63" t="s">
        <v>91</v>
      </c>
      <c r="D445" s="79" t="s">
        <v>213</v>
      </c>
      <c r="E445" s="62" t="str">
        <f t="shared" si="6"/>
        <v>KirinPitfall Trap</v>
      </c>
      <c r="K445" s="7"/>
      <c r="P445" s="7"/>
      <c r="U445" s="7"/>
      <c r="Z445" s="7"/>
      <c r="AE445" s="7"/>
      <c r="AJ445" s="7"/>
      <c r="AO445" s="7"/>
      <c r="AS445" s="56">
        <v>0</v>
      </c>
      <c r="AT445" s="56">
        <v>0</v>
      </c>
      <c r="AU445" s="56">
        <v>0</v>
      </c>
    </row>
    <row r="446" spans="1:47" s="36" customFormat="1" x14ac:dyDescent="0.25">
      <c r="A446" s="63" t="s">
        <v>91</v>
      </c>
      <c r="B446" s="63" t="s">
        <v>125</v>
      </c>
      <c r="C446" s="63" t="s">
        <v>91</v>
      </c>
      <c r="D446" s="37" t="s">
        <v>0</v>
      </c>
      <c r="E446" s="62" t="str">
        <f t="shared" si="6"/>
        <v>Kushala DoraPara</v>
      </c>
      <c r="F446" s="36">
        <v>200</v>
      </c>
      <c r="G446" s="36">
        <v>437</v>
      </c>
      <c r="H446" s="36">
        <v>675</v>
      </c>
      <c r="I446" s="36">
        <v>912</v>
      </c>
      <c r="J446" s="61"/>
      <c r="K446" s="50"/>
      <c r="P446" s="6"/>
      <c r="Q446" s="46"/>
      <c r="R446" s="46"/>
      <c r="S446" s="46"/>
      <c r="U446" s="50"/>
      <c r="Z446" s="6">
        <v>200</v>
      </c>
      <c r="AA446" s="46">
        <v>487</v>
      </c>
      <c r="AB446" s="46">
        <v>774</v>
      </c>
      <c r="AC446" s="46">
        <v>1061</v>
      </c>
      <c r="AE446" s="50"/>
      <c r="AJ446" s="6"/>
      <c r="AK446" s="46"/>
      <c r="AL446" s="46"/>
      <c r="AM446" s="46"/>
      <c r="AO446" s="50"/>
      <c r="AS446" s="36">
        <v>10</v>
      </c>
      <c r="AT446" s="36" t="s">
        <v>214</v>
      </c>
      <c r="AU446" s="36" t="s">
        <v>214</v>
      </c>
    </row>
    <row r="447" spans="1:47" x14ac:dyDescent="0.25">
      <c r="A447" s="63" t="s">
        <v>91</v>
      </c>
      <c r="B447" s="63" t="s">
        <v>125</v>
      </c>
      <c r="C447" s="63" t="s">
        <v>91</v>
      </c>
      <c r="D447" s="31" t="s">
        <v>32</v>
      </c>
      <c r="E447" s="62" t="str">
        <f t="shared" si="6"/>
        <v>Kushala DoraSleep</v>
      </c>
      <c r="F447">
        <v>200</v>
      </c>
      <c r="G447">
        <v>295</v>
      </c>
      <c r="H447">
        <v>390</v>
      </c>
      <c r="I447">
        <v>485</v>
      </c>
      <c r="K447" s="6"/>
      <c r="P447" s="6"/>
      <c r="U447" s="6"/>
      <c r="Z447" s="6">
        <v>200</v>
      </c>
      <c r="AA447">
        <v>265</v>
      </c>
      <c r="AB447">
        <v>330</v>
      </c>
      <c r="AC447">
        <v>395</v>
      </c>
      <c r="AE447" s="6"/>
      <c r="AJ447" s="6"/>
      <c r="AO447" s="6"/>
      <c r="AS447">
        <v>40</v>
      </c>
      <c r="AT447" t="s">
        <v>214</v>
      </c>
      <c r="AU447" t="s">
        <v>214</v>
      </c>
    </row>
    <row r="448" spans="1:47" x14ac:dyDescent="0.25">
      <c r="A448" s="63" t="s">
        <v>91</v>
      </c>
      <c r="B448" s="63" t="s">
        <v>125</v>
      </c>
      <c r="C448" s="63" t="s">
        <v>91</v>
      </c>
      <c r="D448" s="32" t="s">
        <v>33</v>
      </c>
      <c r="E448" s="62" t="str">
        <f t="shared" si="6"/>
        <v>Kushala DoraPoison</v>
      </c>
      <c r="F448">
        <v>150</v>
      </c>
      <c r="G448">
        <v>245</v>
      </c>
      <c r="H448">
        <v>340</v>
      </c>
      <c r="I448">
        <v>435</v>
      </c>
      <c r="J448" s="29"/>
      <c r="K448" s="6"/>
      <c r="P448" s="6"/>
      <c r="U448" s="6"/>
      <c r="Z448" s="6">
        <v>150</v>
      </c>
      <c r="AA448">
        <v>365</v>
      </c>
      <c r="AB448">
        <v>580</v>
      </c>
      <c r="AC448">
        <v>795</v>
      </c>
      <c r="AE448" s="6"/>
      <c r="AJ448" s="6"/>
      <c r="AO448" s="6"/>
      <c r="AS448">
        <v>120</v>
      </c>
      <c r="AT448" t="s">
        <v>214</v>
      </c>
      <c r="AU448" t="s">
        <v>214</v>
      </c>
    </row>
    <row r="449" spans="1:47" x14ac:dyDescent="0.25">
      <c r="A449" s="63" t="s">
        <v>91</v>
      </c>
      <c r="B449" s="63" t="s">
        <v>125</v>
      </c>
      <c r="C449" s="63" t="s">
        <v>91</v>
      </c>
      <c r="D449" s="10" t="s">
        <v>22</v>
      </c>
      <c r="E449" s="62" t="str">
        <f t="shared" si="6"/>
        <v>Kushala DoraExhaust</v>
      </c>
      <c r="F449">
        <v>324</v>
      </c>
      <c r="G449">
        <v>459</v>
      </c>
      <c r="H449">
        <v>594</v>
      </c>
      <c r="I449">
        <v>729</v>
      </c>
      <c r="J449" s="29"/>
      <c r="K449" s="6"/>
      <c r="P449" s="6"/>
      <c r="U449" s="6"/>
      <c r="Z449" s="6">
        <v>396</v>
      </c>
      <c r="AA449">
        <v>561</v>
      </c>
      <c r="AB449">
        <v>726</v>
      </c>
      <c r="AC449">
        <v>891</v>
      </c>
      <c r="AE449" s="6"/>
      <c r="AJ449" s="6"/>
      <c r="AO449" s="6"/>
      <c r="AS449"/>
      <c r="AT449" t="s">
        <v>214</v>
      </c>
      <c r="AU449" t="s">
        <v>214</v>
      </c>
    </row>
    <row r="450" spans="1:47" x14ac:dyDescent="0.25">
      <c r="A450" s="63" t="s">
        <v>91</v>
      </c>
      <c r="B450" s="63" t="s">
        <v>125</v>
      </c>
      <c r="C450" s="63" t="s">
        <v>91</v>
      </c>
      <c r="D450" s="30" t="s">
        <v>35</v>
      </c>
      <c r="E450" s="62" t="str">
        <f t="shared" si="6"/>
        <v>Kushala DoraBlast</v>
      </c>
      <c r="F450">
        <v>70</v>
      </c>
      <c r="G450">
        <v>184</v>
      </c>
      <c r="H450">
        <v>298</v>
      </c>
      <c r="I450">
        <v>412</v>
      </c>
      <c r="K450" s="6"/>
      <c r="P450" s="6"/>
      <c r="R450" s="6"/>
      <c r="U450" s="6"/>
      <c r="Z450" s="6">
        <v>70</v>
      </c>
      <c r="AA450">
        <v>208</v>
      </c>
      <c r="AB450" s="6">
        <v>346</v>
      </c>
      <c r="AC450">
        <v>484</v>
      </c>
      <c r="AE450" s="6"/>
      <c r="AG450" s="6"/>
      <c r="AJ450" s="6"/>
      <c r="AO450" s="6"/>
      <c r="AS450"/>
      <c r="AT450" t="s">
        <v>214</v>
      </c>
      <c r="AU450" t="s">
        <v>214</v>
      </c>
    </row>
    <row r="451" spans="1:47" x14ac:dyDescent="0.25">
      <c r="A451" s="63" t="s">
        <v>91</v>
      </c>
      <c r="B451" s="63" t="s">
        <v>125</v>
      </c>
      <c r="C451" s="63" t="s">
        <v>91</v>
      </c>
      <c r="D451" s="34" t="s">
        <v>14</v>
      </c>
      <c r="E451" s="62" t="str">
        <f t="shared" si="6"/>
        <v>Kushala DoraKO</v>
      </c>
      <c r="F451">
        <v>210</v>
      </c>
      <c r="G451">
        <v>315</v>
      </c>
      <c r="H451">
        <v>420</v>
      </c>
      <c r="I451">
        <v>525</v>
      </c>
      <c r="J451" s="29"/>
      <c r="K451" s="6"/>
      <c r="P451" s="6"/>
      <c r="U451" s="6"/>
      <c r="Z451" s="6">
        <v>240</v>
      </c>
      <c r="AA451">
        <v>360</v>
      </c>
      <c r="AB451">
        <v>480</v>
      </c>
      <c r="AC451">
        <v>600</v>
      </c>
      <c r="AE451" s="6"/>
      <c r="AJ451" s="6"/>
      <c r="AO451" s="6"/>
      <c r="AS451">
        <v>10</v>
      </c>
      <c r="AT451" t="s">
        <v>214</v>
      </c>
      <c r="AU451" t="s">
        <v>214</v>
      </c>
    </row>
    <row r="452" spans="1:47" x14ac:dyDescent="0.25">
      <c r="A452" s="63" t="s">
        <v>91</v>
      </c>
      <c r="B452" s="63" t="s">
        <v>125</v>
      </c>
      <c r="C452" s="63" t="s">
        <v>91</v>
      </c>
      <c r="D452" s="33" t="s">
        <v>34</v>
      </c>
      <c r="E452" s="62" t="str">
        <f t="shared" si="6"/>
        <v>Kushala DoraMount</v>
      </c>
      <c r="F452">
        <v>102</v>
      </c>
      <c r="G452">
        <v>255</v>
      </c>
      <c r="H452">
        <v>408</v>
      </c>
      <c r="I452">
        <v>561</v>
      </c>
      <c r="K452" s="6"/>
      <c r="P452" s="6"/>
      <c r="R452" s="6"/>
      <c r="U452" s="6"/>
      <c r="Z452" s="6">
        <v>120</v>
      </c>
      <c r="AA452">
        <v>300</v>
      </c>
      <c r="AB452">
        <v>480</v>
      </c>
      <c r="AC452">
        <v>660</v>
      </c>
      <c r="AE452" s="6"/>
      <c r="AJ452" s="6"/>
      <c r="AO452" s="6"/>
      <c r="AS452"/>
      <c r="AT452" t="s">
        <v>214</v>
      </c>
      <c r="AU452" t="s">
        <v>214</v>
      </c>
    </row>
    <row r="453" spans="1:47" x14ac:dyDescent="0.25">
      <c r="A453" s="63" t="s">
        <v>91</v>
      </c>
      <c r="B453" s="63" t="s">
        <v>125</v>
      </c>
      <c r="C453" s="63" t="s">
        <v>91</v>
      </c>
      <c r="D453" s="77" t="s">
        <v>207</v>
      </c>
      <c r="E453" s="62" t="str">
        <f t="shared" ref="E453:E516" si="7">B453&amp;D453</f>
        <v>Kushala DoraShock Trap</v>
      </c>
      <c r="K453" s="6"/>
      <c r="P453" s="6"/>
      <c r="U453" s="6"/>
      <c r="AE453" s="6"/>
      <c r="AJ453" s="6"/>
      <c r="AO453" s="6"/>
      <c r="AS453">
        <v>0</v>
      </c>
      <c r="AT453">
        <v>0</v>
      </c>
      <c r="AU453">
        <v>0</v>
      </c>
    </row>
    <row r="454" spans="1:47" s="56" customFormat="1" x14ac:dyDescent="0.25">
      <c r="A454" s="63" t="s">
        <v>91</v>
      </c>
      <c r="B454" s="63" t="s">
        <v>125</v>
      </c>
      <c r="C454" s="63" t="s">
        <v>91</v>
      </c>
      <c r="D454" s="79" t="s">
        <v>213</v>
      </c>
      <c r="E454" s="62" t="str">
        <f t="shared" si="7"/>
        <v>Kushala DoraPitfall Trap</v>
      </c>
      <c r="K454" s="7"/>
      <c r="P454" s="7"/>
      <c r="U454" s="7"/>
      <c r="Z454" s="7"/>
      <c r="AE454" s="7"/>
      <c r="AJ454" s="7"/>
      <c r="AO454" s="7"/>
      <c r="AS454" s="56">
        <v>0</v>
      </c>
      <c r="AT454" s="56">
        <v>0</v>
      </c>
      <c r="AU454" s="56">
        <v>0</v>
      </c>
    </row>
    <row r="455" spans="1:47" s="36" customFormat="1" x14ac:dyDescent="0.25">
      <c r="A455" s="63" t="s">
        <v>91</v>
      </c>
      <c r="B455" s="63" t="s">
        <v>233</v>
      </c>
      <c r="C455" s="63" t="s">
        <v>91</v>
      </c>
      <c r="D455" s="37" t="s">
        <v>0</v>
      </c>
      <c r="E455" s="62" t="str">
        <f t="shared" si="7"/>
        <v>LagiacrusPara</v>
      </c>
      <c r="F455" s="36">
        <v>150</v>
      </c>
      <c r="G455" s="36">
        <v>345</v>
      </c>
      <c r="H455" s="36">
        <v>540</v>
      </c>
      <c r="I455" s="36">
        <v>735</v>
      </c>
      <c r="J455" s="61"/>
      <c r="K455" s="50"/>
      <c r="P455" s="6">
        <v>150</v>
      </c>
      <c r="Q455" s="46">
        <v>450</v>
      </c>
      <c r="R455" s="46">
        <v>750</v>
      </c>
      <c r="S455" s="46">
        <v>1050</v>
      </c>
      <c r="U455" s="50"/>
      <c r="Z455" s="6">
        <v>150</v>
      </c>
      <c r="AA455" s="46">
        <v>510</v>
      </c>
      <c r="AB455" s="46">
        <v>870</v>
      </c>
      <c r="AC455" s="46">
        <v>1230</v>
      </c>
      <c r="AE455" s="50"/>
      <c r="AJ455" s="6">
        <v>150</v>
      </c>
      <c r="AK455" s="46">
        <v>555</v>
      </c>
      <c r="AL455" s="46">
        <v>960</v>
      </c>
      <c r="AM455" s="46">
        <v>1365</v>
      </c>
      <c r="AO455" s="50"/>
      <c r="AS455" s="36">
        <v>10</v>
      </c>
      <c r="AT455" s="36" t="s">
        <v>214</v>
      </c>
      <c r="AU455" s="36" t="s">
        <v>214</v>
      </c>
    </row>
    <row r="456" spans="1:47" x14ac:dyDescent="0.25">
      <c r="A456" s="63" t="s">
        <v>91</v>
      </c>
      <c r="B456" s="63" t="s">
        <v>233</v>
      </c>
      <c r="C456" s="63" t="s">
        <v>91</v>
      </c>
      <c r="D456" s="31" t="s">
        <v>32</v>
      </c>
      <c r="E456" s="62" t="str">
        <f t="shared" si="7"/>
        <v>LagiacrusSleep</v>
      </c>
      <c r="F456">
        <v>180</v>
      </c>
      <c r="G456">
        <v>349</v>
      </c>
      <c r="H456">
        <v>518</v>
      </c>
      <c r="I456">
        <v>856</v>
      </c>
      <c r="K456" s="6"/>
      <c r="P456" s="6">
        <v>180</v>
      </c>
      <c r="Q456">
        <v>440</v>
      </c>
      <c r="R456">
        <v>700</v>
      </c>
      <c r="S456">
        <v>960</v>
      </c>
      <c r="U456" s="6"/>
      <c r="Z456" s="6">
        <v>180</v>
      </c>
      <c r="AA456">
        <v>492</v>
      </c>
      <c r="AB456">
        <v>804</v>
      </c>
      <c r="AC456">
        <v>1116</v>
      </c>
      <c r="AE456" s="6"/>
      <c r="AJ456" s="6">
        <v>180</v>
      </c>
      <c r="AK456">
        <v>531</v>
      </c>
      <c r="AL456">
        <v>882</v>
      </c>
      <c r="AM456">
        <v>1233</v>
      </c>
      <c r="AO456" s="6"/>
      <c r="AS456">
        <v>30</v>
      </c>
      <c r="AT456" t="s">
        <v>214</v>
      </c>
      <c r="AU456" t="s">
        <v>214</v>
      </c>
    </row>
    <row r="457" spans="1:47" x14ac:dyDescent="0.25">
      <c r="A457" s="63" t="s">
        <v>91</v>
      </c>
      <c r="B457" s="63" t="s">
        <v>233</v>
      </c>
      <c r="C457" s="63" t="s">
        <v>91</v>
      </c>
      <c r="D457" s="32" t="s">
        <v>33</v>
      </c>
      <c r="E457" s="62" t="str">
        <f t="shared" si="7"/>
        <v>LagiacrusPoison</v>
      </c>
      <c r="F457">
        <v>180</v>
      </c>
      <c r="G457">
        <v>349</v>
      </c>
      <c r="H457">
        <v>518</v>
      </c>
      <c r="I457">
        <v>686</v>
      </c>
      <c r="J457" s="29"/>
      <c r="K457" s="6"/>
      <c r="P457" s="6">
        <v>180</v>
      </c>
      <c r="Q457">
        <v>440</v>
      </c>
      <c r="R457">
        <v>700</v>
      </c>
      <c r="S457">
        <v>960</v>
      </c>
      <c r="U457" s="6"/>
      <c r="Z457" s="6">
        <v>180</v>
      </c>
      <c r="AA457">
        <v>492</v>
      </c>
      <c r="AB457">
        <v>804</v>
      </c>
      <c r="AC457">
        <v>1116</v>
      </c>
      <c r="AE457" s="6"/>
      <c r="AJ457" s="6">
        <v>180</v>
      </c>
      <c r="AK457">
        <v>531</v>
      </c>
      <c r="AL457">
        <v>882</v>
      </c>
      <c r="AM457">
        <v>1233</v>
      </c>
      <c r="AO457" s="6"/>
      <c r="AS457">
        <v>30</v>
      </c>
      <c r="AT457" t="s">
        <v>214</v>
      </c>
      <c r="AU457" t="s">
        <v>214</v>
      </c>
    </row>
    <row r="458" spans="1:47" x14ac:dyDescent="0.25">
      <c r="A458" s="63" t="s">
        <v>91</v>
      </c>
      <c r="B458" s="63" t="s">
        <v>233</v>
      </c>
      <c r="C458" s="63" t="s">
        <v>91</v>
      </c>
      <c r="D458" s="10" t="s">
        <v>22</v>
      </c>
      <c r="E458" s="62" t="str">
        <f t="shared" si="7"/>
        <v>LagiacrusExhaust</v>
      </c>
      <c r="F458">
        <v>160</v>
      </c>
      <c r="G458">
        <v>320</v>
      </c>
      <c r="H458">
        <v>480</v>
      </c>
      <c r="I458">
        <v>640</v>
      </c>
      <c r="J458" s="29"/>
      <c r="K458" s="6"/>
      <c r="P458" s="6">
        <v>185</v>
      </c>
      <c r="Q458">
        <v>555</v>
      </c>
      <c r="R458">
        <v>925</v>
      </c>
      <c r="S458">
        <v>1295</v>
      </c>
      <c r="U458" s="6"/>
      <c r="Z458" s="6">
        <v>200</v>
      </c>
      <c r="AA458">
        <v>400</v>
      </c>
      <c r="AB458">
        <v>600</v>
      </c>
      <c r="AC458">
        <v>800</v>
      </c>
      <c r="AE458" s="6"/>
      <c r="AJ458" s="6">
        <v>250</v>
      </c>
      <c r="AK458">
        <v>500</v>
      </c>
      <c r="AL458">
        <v>750</v>
      </c>
      <c r="AM458">
        <v>1000</v>
      </c>
      <c r="AO458" s="6"/>
      <c r="AS458"/>
      <c r="AT458" t="s">
        <v>214</v>
      </c>
      <c r="AU458" t="s">
        <v>214</v>
      </c>
    </row>
    <row r="459" spans="1:47" x14ac:dyDescent="0.25">
      <c r="A459" s="63" t="s">
        <v>91</v>
      </c>
      <c r="B459" s="63" t="s">
        <v>233</v>
      </c>
      <c r="C459" s="63" t="s">
        <v>91</v>
      </c>
      <c r="D459" s="30" t="s">
        <v>35</v>
      </c>
      <c r="E459" s="62" t="str">
        <f t="shared" si="7"/>
        <v>LagiacrusBlast</v>
      </c>
      <c r="F459">
        <v>70</v>
      </c>
      <c r="G459">
        <v>109</v>
      </c>
      <c r="H459">
        <v>148</v>
      </c>
      <c r="I459">
        <v>187</v>
      </c>
      <c r="K459" s="6"/>
      <c r="P459" s="6">
        <v>70</v>
      </c>
      <c r="Q459">
        <v>130</v>
      </c>
      <c r="R459" s="6">
        <v>190</v>
      </c>
      <c r="S459">
        <v>250</v>
      </c>
      <c r="U459" s="6"/>
      <c r="Z459" s="6">
        <v>70</v>
      </c>
      <c r="AA459">
        <v>130</v>
      </c>
      <c r="AB459" s="6">
        <v>190</v>
      </c>
      <c r="AC459">
        <v>250</v>
      </c>
      <c r="AE459" s="6"/>
      <c r="AG459" s="6"/>
      <c r="AJ459" s="6">
        <v>70</v>
      </c>
      <c r="AK459">
        <v>151</v>
      </c>
      <c r="AL459">
        <v>232</v>
      </c>
      <c r="AM459">
        <v>313</v>
      </c>
      <c r="AO459" s="6"/>
      <c r="AS459"/>
      <c r="AT459" t="s">
        <v>214</v>
      </c>
      <c r="AU459" t="s">
        <v>214</v>
      </c>
    </row>
    <row r="460" spans="1:47" x14ac:dyDescent="0.25">
      <c r="A460" s="63" t="s">
        <v>91</v>
      </c>
      <c r="B460" s="63" t="s">
        <v>233</v>
      </c>
      <c r="C460" s="63" t="s">
        <v>91</v>
      </c>
      <c r="D460" s="34" t="s">
        <v>14</v>
      </c>
      <c r="E460" s="62" t="str">
        <f t="shared" si="7"/>
        <v>LagiacrusKO</v>
      </c>
      <c r="F460">
        <v>195</v>
      </c>
      <c r="G460">
        <v>390</v>
      </c>
      <c r="H460">
        <v>585</v>
      </c>
      <c r="I460">
        <v>715</v>
      </c>
      <c r="J460" s="29"/>
      <c r="K460" s="6"/>
      <c r="P460" s="6">
        <v>210</v>
      </c>
      <c r="Q460">
        <v>420</v>
      </c>
      <c r="R460">
        <v>630</v>
      </c>
      <c r="S460">
        <v>840</v>
      </c>
      <c r="U460" s="6"/>
      <c r="Z460" s="6">
        <v>225</v>
      </c>
      <c r="AA460">
        <v>450</v>
      </c>
      <c r="AB460">
        <v>675</v>
      </c>
      <c r="AC460">
        <v>900</v>
      </c>
      <c r="AE460" s="6"/>
      <c r="AJ460" s="6">
        <v>300</v>
      </c>
      <c r="AK460">
        <v>600</v>
      </c>
      <c r="AL460">
        <v>900</v>
      </c>
      <c r="AM460">
        <v>1200</v>
      </c>
      <c r="AO460" s="6"/>
      <c r="AS460">
        <v>10</v>
      </c>
      <c r="AT460" t="s">
        <v>214</v>
      </c>
      <c r="AU460" t="s">
        <v>214</v>
      </c>
    </row>
    <row r="461" spans="1:47" x14ac:dyDescent="0.25">
      <c r="A461" s="63" t="s">
        <v>91</v>
      </c>
      <c r="B461" s="63" t="s">
        <v>233</v>
      </c>
      <c r="C461" s="63" t="s">
        <v>91</v>
      </c>
      <c r="D461" s="33" t="s">
        <v>34</v>
      </c>
      <c r="E461" s="62" t="str">
        <f t="shared" si="7"/>
        <v>LagiacrusMount</v>
      </c>
      <c r="F461">
        <v>102</v>
      </c>
      <c r="G461">
        <v>312</v>
      </c>
      <c r="H461">
        <v>522</v>
      </c>
      <c r="I461">
        <v>732</v>
      </c>
      <c r="K461" s="6"/>
      <c r="P461" s="6">
        <v>135</v>
      </c>
      <c r="Q461">
        <v>351</v>
      </c>
      <c r="R461" s="6">
        <v>567</v>
      </c>
      <c r="S461">
        <v>783</v>
      </c>
      <c r="U461" s="6"/>
      <c r="Z461" s="6">
        <v>135</v>
      </c>
      <c r="AA461">
        <v>492</v>
      </c>
      <c r="AB461">
        <v>849</v>
      </c>
      <c r="AC461">
        <v>1206</v>
      </c>
      <c r="AE461" s="6"/>
      <c r="AJ461" s="6">
        <v>150</v>
      </c>
      <c r="AK461">
        <v>390</v>
      </c>
      <c r="AL461">
        <v>630</v>
      </c>
      <c r="AM461">
        <v>870</v>
      </c>
      <c r="AO461" s="6"/>
      <c r="AS461"/>
      <c r="AT461" t="s">
        <v>214</v>
      </c>
      <c r="AU461" t="s">
        <v>214</v>
      </c>
    </row>
    <row r="462" spans="1:47" x14ac:dyDescent="0.25">
      <c r="A462" s="63" t="s">
        <v>91</v>
      </c>
      <c r="B462" s="63" t="s">
        <v>233</v>
      </c>
      <c r="C462" s="63" t="s">
        <v>91</v>
      </c>
      <c r="D462" s="77" t="s">
        <v>207</v>
      </c>
      <c r="E462" s="62" t="str">
        <f t="shared" si="7"/>
        <v>LagiacrusShock Trap</v>
      </c>
      <c r="K462" s="6"/>
      <c r="P462" s="6"/>
      <c r="U462" s="6"/>
      <c r="AE462" s="6"/>
      <c r="AJ462" s="6"/>
      <c r="AO462" s="6"/>
      <c r="AS462">
        <v>4</v>
      </c>
      <c r="AT462">
        <v>12</v>
      </c>
      <c r="AU462">
        <v>8</v>
      </c>
    </row>
    <row r="463" spans="1:47" s="56" customFormat="1" x14ac:dyDescent="0.25">
      <c r="A463" s="63" t="s">
        <v>91</v>
      </c>
      <c r="B463" s="63" t="s">
        <v>233</v>
      </c>
      <c r="C463" s="63" t="s">
        <v>91</v>
      </c>
      <c r="D463" s="79" t="s">
        <v>213</v>
      </c>
      <c r="E463" s="62" t="str">
        <f t="shared" si="7"/>
        <v>LagiacrusPitfall Trap</v>
      </c>
      <c r="K463" s="7"/>
      <c r="P463" s="7"/>
      <c r="U463" s="7"/>
      <c r="Z463" s="7"/>
      <c r="AE463" s="7"/>
      <c r="AJ463" s="7"/>
      <c r="AO463" s="7"/>
      <c r="AS463" s="56">
        <v>5</v>
      </c>
      <c r="AT463" s="56">
        <v>20</v>
      </c>
      <c r="AU463" s="56">
        <v>13</v>
      </c>
    </row>
    <row r="464" spans="1:47" s="36" customFormat="1" x14ac:dyDescent="0.25">
      <c r="A464" s="63" t="s">
        <v>91</v>
      </c>
      <c r="B464" s="63" t="s">
        <v>62</v>
      </c>
      <c r="C464" s="63" t="s">
        <v>91</v>
      </c>
      <c r="D464" s="37" t="s">
        <v>0</v>
      </c>
      <c r="E464" s="62" t="str">
        <f t="shared" si="7"/>
        <v>LagombiPara</v>
      </c>
      <c r="F464" s="36">
        <v>100</v>
      </c>
      <c r="G464" s="36">
        <v>320</v>
      </c>
      <c r="H464" s="36">
        <v>540</v>
      </c>
      <c r="I464" s="36">
        <v>540</v>
      </c>
      <c r="J464" s="61"/>
      <c r="K464" s="50">
        <v>100</v>
      </c>
      <c r="L464" s="36">
        <v>340</v>
      </c>
      <c r="M464" s="36">
        <v>580</v>
      </c>
      <c r="N464" s="36">
        <v>580</v>
      </c>
      <c r="P464" s="6">
        <v>100</v>
      </c>
      <c r="Q464" s="46">
        <v>480</v>
      </c>
      <c r="R464" s="46">
        <v>860</v>
      </c>
      <c r="S464" s="46">
        <v>860</v>
      </c>
      <c r="U464" s="50"/>
      <c r="Z464" s="6">
        <v>100</v>
      </c>
      <c r="AA464" s="46">
        <v>480</v>
      </c>
      <c r="AB464" s="46">
        <v>860</v>
      </c>
      <c r="AC464" s="46">
        <v>860</v>
      </c>
      <c r="AE464" s="50"/>
      <c r="AJ464" s="6"/>
      <c r="AK464" s="46"/>
      <c r="AL464" s="46"/>
      <c r="AM464" s="46"/>
      <c r="AO464" s="50"/>
      <c r="AS464" s="36">
        <v>10</v>
      </c>
      <c r="AT464" s="36" t="s">
        <v>214</v>
      </c>
      <c r="AU464" s="36" t="s">
        <v>214</v>
      </c>
    </row>
    <row r="465" spans="1:47" x14ac:dyDescent="0.25">
      <c r="A465" s="63" t="s">
        <v>91</v>
      </c>
      <c r="B465" s="63" t="s">
        <v>62</v>
      </c>
      <c r="C465" s="63" t="s">
        <v>91</v>
      </c>
      <c r="D465" s="31" t="s">
        <v>32</v>
      </c>
      <c r="E465" s="62" t="str">
        <f t="shared" si="7"/>
        <v>LagombiSleep</v>
      </c>
      <c r="F465">
        <v>200</v>
      </c>
      <c r="G465">
        <v>365</v>
      </c>
      <c r="H465">
        <v>530</v>
      </c>
      <c r="I465">
        <v>640</v>
      </c>
      <c r="K465" s="6">
        <v>200</v>
      </c>
      <c r="L465">
        <v>380</v>
      </c>
      <c r="M465">
        <v>560</v>
      </c>
      <c r="N465">
        <v>740</v>
      </c>
      <c r="P465" s="6">
        <v>200</v>
      </c>
      <c r="Q465">
        <v>485</v>
      </c>
      <c r="R465">
        <v>770</v>
      </c>
      <c r="S465">
        <v>1055</v>
      </c>
      <c r="U465" s="6"/>
      <c r="Z465" s="6">
        <v>200</v>
      </c>
      <c r="AA465">
        <v>485</v>
      </c>
      <c r="AB465">
        <v>770</v>
      </c>
      <c r="AC465">
        <v>1055</v>
      </c>
      <c r="AE465" s="6"/>
      <c r="AJ465" s="6"/>
      <c r="AO465" s="6"/>
      <c r="AS465">
        <v>60</v>
      </c>
      <c r="AT465" t="s">
        <v>214</v>
      </c>
      <c r="AU465" t="s">
        <v>214</v>
      </c>
    </row>
    <row r="466" spans="1:47" x14ac:dyDescent="0.25">
      <c r="A466" s="63" t="s">
        <v>91</v>
      </c>
      <c r="B466" s="63" t="s">
        <v>62</v>
      </c>
      <c r="C466" s="63" t="s">
        <v>91</v>
      </c>
      <c r="D466" s="32" t="s">
        <v>33</v>
      </c>
      <c r="E466" s="62" t="str">
        <f t="shared" si="7"/>
        <v>LagombiPoison</v>
      </c>
      <c r="F466">
        <v>150</v>
      </c>
      <c r="G466">
        <v>216</v>
      </c>
      <c r="H466">
        <v>282</v>
      </c>
      <c r="I466">
        <v>315</v>
      </c>
      <c r="J466" s="29"/>
      <c r="K466" s="6">
        <v>200</v>
      </c>
      <c r="L466">
        <v>380</v>
      </c>
      <c r="M466">
        <v>560</v>
      </c>
      <c r="N466">
        <v>740</v>
      </c>
      <c r="P466" s="6">
        <v>150</v>
      </c>
      <c r="Q466">
        <v>264</v>
      </c>
      <c r="R466">
        <v>378</v>
      </c>
      <c r="S466">
        <v>492</v>
      </c>
      <c r="U466" s="6"/>
      <c r="Z466" s="6">
        <v>150</v>
      </c>
      <c r="AA466">
        <v>264</v>
      </c>
      <c r="AB466">
        <v>378</v>
      </c>
      <c r="AC466">
        <v>492</v>
      </c>
      <c r="AE466" s="6"/>
      <c r="AJ466" s="6"/>
      <c r="AO466" s="6"/>
      <c r="AS466">
        <v>60</v>
      </c>
      <c r="AT466" t="s">
        <v>214</v>
      </c>
      <c r="AU466" t="s">
        <v>214</v>
      </c>
    </row>
    <row r="467" spans="1:47" x14ac:dyDescent="0.25">
      <c r="A467" s="63" t="s">
        <v>91</v>
      </c>
      <c r="B467" s="63" t="s">
        <v>62</v>
      </c>
      <c r="C467" s="63" t="s">
        <v>91</v>
      </c>
      <c r="D467" s="10" t="s">
        <v>22</v>
      </c>
      <c r="E467" s="62" t="str">
        <f t="shared" si="7"/>
        <v>LagombiExhaust</v>
      </c>
      <c r="F467">
        <v>300</v>
      </c>
      <c r="G467">
        <v>525</v>
      </c>
      <c r="H467">
        <v>750</v>
      </c>
      <c r="I467">
        <v>750</v>
      </c>
      <c r="J467" s="29"/>
      <c r="K467" s="6">
        <v>300</v>
      </c>
      <c r="L467">
        <v>525</v>
      </c>
      <c r="M467">
        <v>750</v>
      </c>
      <c r="N467">
        <v>975</v>
      </c>
      <c r="P467" s="6">
        <v>360</v>
      </c>
      <c r="Q467">
        <v>630</v>
      </c>
      <c r="R467">
        <v>900</v>
      </c>
      <c r="S467">
        <v>1170</v>
      </c>
      <c r="U467" s="6"/>
      <c r="Z467" s="6">
        <v>360</v>
      </c>
      <c r="AA467">
        <v>630</v>
      </c>
      <c r="AB467">
        <v>900</v>
      </c>
      <c r="AC467">
        <v>1170</v>
      </c>
      <c r="AE467" s="6"/>
      <c r="AJ467" s="6"/>
      <c r="AO467" s="6"/>
      <c r="AS467"/>
      <c r="AT467" t="s">
        <v>214</v>
      </c>
      <c r="AU467" t="s">
        <v>214</v>
      </c>
    </row>
    <row r="468" spans="1:47" x14ac:dyDescent="0.25">
      <c r="A468" s="63" t="s">
        <v>91</v>
      </c>
      <c r="B468" s="63" t="s">
        <v>62</v>
      </c>
      <c r="C468" s="63" t="s">
        <v>91</v>
      </c>
      <c r="D468" s="30" t="s">
        <v>35</v>
      </c>
      <c r="E468" s="62" t="str">
        <f t="shared" si="7"/>
        <v>LagombiBlast</v>
      </c>
      <c r="F468">
        <v>70</v>
      </c>
      <c r="G468">
        <v>103</v>
      </c>
      <c r="H468">
        <v>136</v>
      </c>
      <c r="I468">
        <v>169</v>
      </c>
      <c r="K468" s="6">
        <v>70</v>
      </c>
      <c r="L468">
        <v>103</v>
      </c>
      <c r="M468">
        <v>136</v>
      </c>
      <c r="N468">
        <v>169</v>
      </c>
      <c r="P468" s="6">
        <v>70</v>
      </c>
      <c r="R468" s="6"/>
      <c r="U468" s="6"/>
      <c r="Z468" s="6">
        <v>70</v>
      </c>
      <c r="AA468">
        <v>127</v>
      </c>
      <c r="AB468" s="6">
        <v>184</v>
      </c>
      <c r="AC468">
        <v>241</v>
      </c>
      <c r="AE468" s="6"/>
      <c r="AG468" s="6"/>
      <c r="AJ468" s="6"/>
      <c r="AO468" s="6"/>
      <c r="AS468"/>
      <c r="AT468" t="s">
        <v>214</v>
      </c>
      <c r="AU468" t="s">
        <v>214</v>
      </c>
    </row>
    <row r="469" spans="1:47" x14ac:dyDescent="0.25">
      <c r="A469" s="63" t="s">
        <v>91</v>
      </c>
      <c r="B469" s="63" t="s">
        <v>62</v>
      </c>
      <c r="C469" s="63" t="s">
        <v>91</v>
      </c>
      <c r="D469" s="34" t="s">
        <v>14</v>
      </c>
      <c r="E469" s="62" t="str">
        <f t="shared" si="7"/>
        <v>LagombiKO</v>
      </c>
      <c r="F469">
        <v>130</v>
      </c>
      <c r="G469">
        <v>325</v>
      </c>
      <c r="H469">
        <v>520</v>
      </c>
      <c r="I469">
        <v>715</v>
      </c>
      <c r="J469" s="29"/>
      <c r="K469" s="6">
        <v>130</v>
      </c>
      <c r="L469">
        <v>325</v>
      </c>
      <c r="M469">
        <v>520</v>
      </c>
      <c r="N469">
        <v>715</v>
      </c>
      <c r="P469" s="6">
        <v>140</v>
      </c>
      <c r="Q469">
        <v>350</v>
      </c>
      <c r="R469">
        <v>560</v>
      </c>
      <c r="S469">
        <v>770</v>
      </c>
      <c r="U469" s="6"/>
      <c r="Z469" s="6">
        <v>140</v>
      </c>
      <c r="AA469">
        <v>344</v>
      </c>
      <c r="AB469">
        <v>548</v>
      </c>
      <c r="AC469">
        <v>752</v>
      </c>
      <c r="AE469" s="6"/>
      <c r="AJ469" s="6"/>
      <c r="AO469" s="6"/>
      <c r="AS469">
        <v>10</v>
      </c>
      <c r="AT469" t="s">
        <v>214</v>
      </c>
      <c r="AU469" t="s">
        <v>214</v>
      </c>
    </row>
    <row r="470" spans="1:47" x14ac:dyDescent="0.25">
      <c r="A470" s="63" t="s">
        <v>91</v>
      </c>
      <c r="B470" s="63" t="s">
        <v>62</v>
      </c>
      <c r="C470" s="63" t="s">
        <v>91</v>
      </c>
      <c r="D470" s="33" t="s">
        <v>34</v>
      </c>
      <c r="E470" s="62" t="str">
        <f t="shared" si="7"/>
        <v>LagombiMount</v>
      </c>
      <c r="F470">
        <v>80</v>
      </c>
      <c r="G470">
        <v>240</v>
      </c>
      <c r="H470">
        <v>400</v>
      </c>
      <c r="I470">
        <v>560</v>
      </c>
      <c r="K470" s="6">
        <v>80</v>
      </c>
      <c r="L470">
        <v>240</v>
      </c>
      <c r="M470">
        <v>400</v>
      </c>
      <c r="N470">
        <v>560</v>
      </c>
      <c r="P470" s="6">
        <v>85</v>
      </c>
      <c r="R470" s="6"/>
      <c r="U470" s="6"/>
      <c r="Z470" s="6">
        <v>85</v>
      </c>
      <c r="AA470">
        <v>255</v>
      </c>
      <c r="AB470">
        <v>425</v>
      </c>
      <c r="AC470">
        <v>595</v>
      </c>
      <c r="AE470" s="6"/>
      <c r="AJ470" s="6"/>
      <c r="AO470" s="6"/>
      <c r="AS470"/>
      <c r="AT470" t="s">
        <v>214</v>
      </c>
      <c r="AU470" t="s">
        <v>214</v>
      </c>
    </row>
    <row r="471" spans="1:47" x14ac:dyDescent="0.25">
      <c r="A471" s="63" t="s">
        <v>91</v>
      </c>
      <c r="B471" s="63" t="s">
        <v>62</v>
      </c>
      <c r="C471" s="63" t="s">
        <v>91</v>
      </c>
      <c r="D471" s="77" t="s">
        <v>207</v>
      </c>
      <c r="E471" s="62" t="str">
        <f t="shared" si="7"/>
        <v>LagombiShock Trap</v>
      </c>
      <c r="K471" s="6"/>
      <c r="P471" s="6"/>
      <c r="U471" s="6"/>
      <c r="AE471" s="6"/>
      <c r="AJ471" s="6"/>
      <c r="AO471" s="6"/>
      <c r="AS471">
        <v>15</v>
      </c>
      <c r="AT471">
        <v>20</v>
      </c>
      <c r="AU471">
        <v>15</v>
      </c>
    </row>
    <row r="472" spans="1:47" s="56" customFormat="1" x14ac:dyDescent="0.25">
      <c r="A472" s="63" t="s">
        <v>91</v>
      </c>
      <c r="B472" s="63" t="s">
        <v>62</v>
      </c>
      <c r="C472" s="63" t="s">
        <v>91</v>
      </c>
      <c r="D472" s="79" t="s">
        <v>213</v>
      </c>
      <c r="E472" s="62" t="str">
        <f t="shared" si="7"/>
        <v>LagombiPitfall Trap</v>
      </c>
      <c r="K472" s="7"/>
      <c r="P472" s="7"/>
      <c r="U472" s="7"/>
      <c r="Z472" s="7"/>
      <c r="AE472" s="7"/>
      <c r="AJ472" s="7"/>
      <c r="AO472" s="7"/>
      <c r="AS472" s="56">
        <v>20</v>
      </c>
      <c r="AT472" s="56">
        <v>25</v>
      </c>
      <c r="AU472" s="56">
        <v>20</v>
      </c>
    </row>
    <row r="473" spans="1:47" s="36" customFormat="1" x14ac:dyDescent="0.25">
      <c r="A473" s="63" t="s">
        <v>184</v>
      </c>
      <c r="B473" s="63" t="s">
        <v>183</v>
      </c>
      <c r="C473" s="63" t="s">
        <v>184</v>
      </c>
      <c r="D473" s="37" t="s">
        <v>0</v>
      </c>
      <c r="E473" s="62" t="str">
        <f t="shared" si="7"/>
        <v>Lao-Shan LongPara</v>
      </c>
      <c r="J473" s="61"/>
      <c r="K473" s="50"/>
      <c r="P473" s="6"/>
      <c r="Q473" s="46"/>
      <c r="R473" s="46"/>
      <c r="S473" s="46"/>
      <c r="U473" s="50"/>
      <c r="Z473" s="6">
        <v>0</v>
      </c>
      <c r="AA473" s="46">
        <v>0</v>
      </c>
      <c r="AB473" s="46">
        <v>0</v>
      </c>
      <c r="AC473" s="46">
        <v>0</v>
      </c>
      <c r="AE473" s="50"/>
      <c r="AJ473" s="6"/>
      <c r="AK473" s="46"/>
      <c r="AL473" s="46"/>
      <c r="AM473" s="46"/>
      <c r="AO473" s="50"/>
      <c r="AS473" s="36">
        <v>0</v>
      </c>
      <c r="AT473" s="36" t="s">
        <v>214</v>
      </c>
      <c r="AU473" s="36" t="s">
        <v>214</v>
      </c>
    </row>
    <row r="474" spans="1:47" x14ac:dyDescent="0.25">
      <c r="A474" s="63" t="s">
        <v>184</v>
      </c>
      <c r="B474" s="63" t="s">
        <v>183</v>
      </c>
      <c r="C474" s="63" t="s">
        <v>184</v>
      </c>
      <c r="D474" s="31" t="s">
        <v>32</v>
      </c>
      <c r="E474" s="62" t="str">
        <f t="shared" si="7"/>
        <v>Lao-Shan LongSleep</v>
      </c>
      <c r="K474" s="6"/>
      <c r="P474" s="6"/>
      <c r="U474" s="6"/>
      <c r="Z474" s="6">
        <v>0</v>
      </c>
      <c r="AA474">
        <v>0</v>
      </c>
      <c r="AB474">
        <v>0</v>
      </c>
      <c r="AC474">
        <v>0</v>
      </c>
      <c r="AE474" s="6"/>
      <c r="AJ474" s="6"/>
      <c r="AO474" s="6"/>
      <c r="AS474">
        <v>0</v>
      </c>
      <c r="AT474" t="s">
        <v>214</v>
      </c>
      <c r="AU474" t="s">
        <v>214</v>
      </c>
    </row>
    <row r="475" spans="1:47" x14ac:dyDescent="0.25">
      <c r="A475" s="63" t="s">
        <v>184</v>
      </c>
      <c r="B475" s="63" t="s">
        <v>183</v>
      </c>
      <c r="C475" s="63" t="s">
        <v>184</v>
      </c>
      <c r="D475" s="32" t="s">
        <v>33</v>
      </c>
      <c r="E475" s="62" t="str">
        <f t="shared" si="7"/>
        <v>Lao-Shan LongPoison</v>
      </c>
      <c r="J475" s="29"/>
      <c r="K475" s="6"/>
      <c r="P475" s="6"/>
      <c r="U475" s="6"/>
      <c r="Z475" s="6">
        <v>0</v>
      </c>
      <c r="AA475">
        <v>0</v>
      </c>
      <c r="AB475">
        <v>0</v>
      </c>
      <c r="AC475">
        <v>0</v>
      </c>
      <c r="AE475" s="6"/>
      <c r="AJ475" s="6"/>
      <c r="AO475" s="6"/>
      <c r="AS475">
        <v>0</v>
      </c>
      <c r="AT475" t="s">
        <v>214</v>
      </c>
      <c r="AU475" t="s">
        <v>214</v>
      </c>
    </row>
    <row r="476" spans="1:47" x14ac:dyDescent="0.25">
      <c r="A476" s="63" t="s">
        <v>184</v>
      </c>
      <c r="B476" s="63" t="s">
        <v>183</v>
      </c>
      <c r="C476" s="63" t="s">
        <v>184</v>
      </c>
      <c r="D476" s="10" t="s">
        <v>22</v>
      </c>
      <c r="E476" s="62" t="str">
        <f t="shared" si="7"/>
        <v>Lao-Shan LongExhaust</v>
      </c>
      <c r="J476" s="29"/>
      <c r="K476" s="6"/>
      <c r="P476" s="6"/>
      <c r="U476" s="6"/>
      <c r="Z476" s="6">
        <v>0</v>
      </c>
      <c r="AA476">
        <v>0</v>
      </c>
      <c r="AB476">
        <v>0</v>
      </c>
      <c r="AC476">
        <v>0</v>
      </c>
      <c r="AE476" s="6"/>
      <c r="AJ476" s="6"/>
      <c r="AO476" s="6"/>
      <c r="AS476"/>
      <c r="AT476" t="s">
        <v>214</v>
      </c>
      <c r="AU476" t="s">
        <v>214</v>
      </c>
    </row>
    <row r="477" spans="1:47" x14ac:dyDescent="0.25">
      <c r="A477" s="63" t="s">
        <v>184</v>
      </c>
      <c r="B477" s="63" t="s">
        <v>183</v>
      </c>
      <c r="C477" s="63" t="s">
        <v>184</v>
      </c>
      <c r="D477" s="30" t="s">
        <v>35</v>
      </c>
      <c r="E477" s="62" t="str">
        <f t="shared" si="7"/>
        <v>Lao-Shan LongBlast</v>
      </c>
      <c r="K477" s="6"/>
      <c r="P477" s="6"/>
      <c r="R477" s="6"/>
      <c r="U477" s="6"/>
      <c r="Z477" s="6">
        <v>70</v>
      </c>
      <c r="AA477">
        <v>105</v>
      </c>
      <c r="AB477" s="6">
        <v>140</v>
      </c>
      <c r="AC477">
        <v>175</v>
      </c>
      <c r="AE477" s="6"/>
      <c r="AG477" s="6"/>
      <c r="AJ477" s="6"/>
      <c r="AO477" s="6"/>
      <c r="AS477"/>
      <c r="AT477" t="s">
        <v>214</v>
      </c>
      <c r="AU477" t="s">
        <v>214</v>
      </c>
    </row>
    <row r="478" spans="1:47" x14ac:dyDescent="0.25">
      <c r="A478" s="63" t="s">
        <v>184</v>
      </c>
      <c r="B478" s="63" t="s">
        <v>183</v>
      </c>
      <c r="C478" s="63" t="s">
        <v>184</v>
      </c>
      <c r="D478" s="34" t="s">
        <v>14</v>
      </c>
      <c r="E478" s="62" t="str">
        <f t="shared" si="7"/>
        <v>Lao-Shan LongKO</v>
      </c>
      <c r="J478" s="29"/>
      <c r="K478" s="6"/>
      <c r="P478" s="6"/>
      <c r="U478" s="6"/>
      <c r="Z478" s="6">
        <v>0</v>
      </c>
      <c r="AA478">
        <v>0</v>
      </c>
      <c r="AB478">
        <v>0</v>
      </c>
      <c r="AC478">
        <v>0</v>
      </c>
      <c r="AE478" s="6"/>
      <c r="AJ478" s="6"/>
      <c r="AO478" s="6"/>
      <c r="AS478">
        <v>0</v>
      </c>
      <c r="AT478" t="s">
        <v>214</v>
      </c>
      <c r="AU478" t="s">
        <v>214</v>
      </c>
    </row>
    <row r="479" spans="1:47" x14ac:dyDescent="0.25">
      <c r="A479" s="63" t="s">
        <v>184</v>
      </c>
      <c r="B479" s="63" t="s">
        <v>183</v>
      </c>
      <c r="C479" s="63" t="s">
        <v>184</v>
      </c>
      <c r="D479" s="33" t="s">
        <v>34</v>
      </c>
      <c r="E479" s="62" t="str">
        <f t="shared" si="7"/>
        <v>Lao-Shan LongMount</v>
      </c>
      <c r="K479" s="6"/>
      <c r="P479" s="6"/>
      <c r="R479" s="6"/>
      <c r="U479" s="6"/>
      <c r="Z479" s="6">
        <v>0</v>
      </c>
      <c r="AA479">
        <v>0</v>
      </c>
      <c r="AB479">
        <v>0</v>
      </c>
      <c r="AC479">
        <v>0</v>
      </c>
      <c r="AE479" s="6"/>
      <c r="AJ479" s="6"/>
      <c r="AO479" s="6"/>
      <c r="AS479"/>
      <c r="AT479" t="s">
        <v>214</v>
      </c>
      <c r="AU479" t="s">
        <v>214</v>
      </c>
    </row>
    <row r="480" spans="1:47" x14ac:dyDescent="0.25">
      <c r="A480" s="63" t="s">
        <v>184</v>
      </c>
      <c r="B480" s="63" t="s">
        <v>183</v>
      </c>
      <c r="C480" s="63" t="s">
        <v>184</v>
      </c>
      <c r="D480" s="77" t="s">
        <v>207</v>
      </c>
      <c r="E480" s="62" t="str">
        <f t="shared" si="7"/>
        <v>Lao-Shan LongShock Trap</v>
      </c>
      <c r="K480" s="6"/>
      <c r="P480" s="6"/>
      <c r="U480" s="6"/>
      <c r="AE480" s="6"/>
      <c r="AJ480" s="6"/>
      <c r="AO480" s="6"/>
      <c r="AS480">
        <v>0</v>
      </c>
      <c r="AT480">
        <v>0</v>
      </c>
      <c r="AU480">
        <v>0</v>
      </c>
    </row>
    <row r="481" spans="1:47" s="56" customFormat="1" x14ac:dyDescent="0.25">
      <c r="A481" s="63" t="s">
        <v>184</v>
      </c>
      <c r="B481" s="63" t="s">
        <v>183</v>
      </c>
      <c r="C481" s="63" t="s">
        <v>184</v>
      </c>
      <c r="D481" s="79" t="s">
        <v>213</v>
      </c>
      <c r="E481" s="62" t="str">
        <f t="shared" si="7"/>
        <v>Lao-Shan LongPitfall Trap</v>
      </c>
      <c r="K481" s="7"/>
      <c r="P481" s="7"/>
      <c r="U481" s="7"/>
      <c r="Z481" s="7"/>
      <c r="AE481" s="7"/>
      <c r="AJ481" s="7"/>
      <c r="AO481" s="7"/>
      <c r="AS481" s="56">
        <v>0</v>
      </c>
      <c r="AT481" s="56">
        <v>0</v>
      </c>
      <c r="AU481" s="56">
        <v>0</v>
      </c>
    </row>
    <row r="482" spans="1:47" s="36" customFormat="1" x14ac:dyDescent="0.25">
      <c r="A482" s="63" t="s">
        <v>91</v>
      </c>
      <c r="B482" s="63" t="s">
        <v>63</v>
      </c>
      <c r="C482" s="63" t="s">
        <v>91</v>
      </c>
      <c r="D482" s="37" t="s">
        <v>0</v>
      </c>
      <c r="E482" s="62" t="str">
        <f t="shared" si="7"/>
        <v>LavasiothPara</v>
      </c>
      <c r="F482" s="36">
        <v>180</v>
      </c>
      <c r="G482" s="36">
        <v>312</v>
      </c>
      <c r="H482" s="36">
        <v>444</v>
      </c>
      <c r="I482" s="36">
        <v>576</v>
      </c>
      <c r="J482" s="61"/>
      <c r="K482" s="50">
        <v>180</v>
      </c>
      <c r="L482" s="36">
        <v>317</v>
      </c>
      <c r="M482" s="36">
        <v>455</v>
      </c>
      <c r="N482" s="36">
        <v>592</v>
      </c>
      <c r="P482" s="6">
        <v>180</v>
      </c>
      <c r="Q482" s="46">
        <v>378</v>
      </c>
      <c r="R482" s="46">
        <v>576</v>
      </c>
      <c r="S482" s="46">
        <v>774</v>
      </c>
      <c r="U482" s="50"/>
      <c r="Z482" s="6">
        <v>180</v>
      </c>
      <c r="AA482" s="46">
        <v>400</v>
      </c>
      <c r="AB482" s="46">
        <v>620</v>
      </c>
      <c r="AC482" s="46">
        <v>840</v>
      </c>
      <c r="AE482" s="50">
        <v>180</v>
      </c>
      <c r="AF482" s="36">
        <v>410</v>
      </c>
      <c r="AG482" s="36">
        <v>640</v>
      </c>
      <c r="AH482" s="36">
        <v>870</v>
      </c>
      <c r="AJ482" s="6">
        <v>180</v>
      </c>
      <c r="AK482" s="46">
        <v>466</v>
      </c>
      <c r="AL482" s="46">
        <v>752</v>
      </c>
      <c r="AM482" s="46">
        <v>1037</v>
      </c>
      <c r="AO482" s="50"/>
      <c r="AS482" s="36">
        <v>10</v>
      </c>
      <c r="AT482" s="36" t="s">
        <v>214</v>
      </c>
      <c r="AU482" s="36" t="s">
        <v>214</v>
      </c>
    </row>
    <row r="483" spans="1:47" x14ac:dyDescent="0.25">
      <c r="A483" s="63" t="s">
        <v>91</v>
      </c>
      <c r="B483" s="63" t="s">
        <v>63</v>
      </c>
      <c r="C483" s="63" t="s">
        <v>91</v>
      </c>
      <c r="D483" s="31" t="s">
        <v>32</v>
      </c>
      <c r="E483" s="62" t="str">
        <f t="shared" si="7"/>
        <v>LavasiothSleep</v>
      </c>
      <c r="F483">
        <v>180</v>
      </c>
      <c r="G483">
        <v>300</v>
      </c>
      <c r="H483">
        <v>420</v>
      </c>
      <c r="I483">
        <v>540</v>
      </c>
      <c r="K483" s="6">
        <v>180</v>
      </c>
      <c r="L483">
        <v>305</v>
      </c>
      <c r="M483">
        <v>430</v>
      </c>
      <c r="N483">
        <v>555</v>
      </c>
      <c r="P483" s="6">
        <v>180</v>
      </c>
      <c r="Q483">
        <v>360</v>
      </c>
      <c r="R483">
        <v>540</v>
      </c>
      <c r="S483">
        <v>720</v>
      </c>
      <c r="U483" s="6"/>
      <c r="Z483" s="6">
        <v>180</v>
      </c>
      <c r="AA483">
        <v>380</v>
      </c>
      <c r="AB483">
        <v>580</v>
      </c>
      <c r="AC483">
        <v>780</v>
      </c>
      <c r="AE483" s="6">
        <v>180</v>
      </c>
      <c r="AF483">
        <v>389</v>
      </c>
      <c r="AG483">
        <v>598</v>
      </c>
      <c r="AH483">
        <v>807</v>
      </c>
      <c r="AJ483" s="6">
        <v>180</v>
      </c>
      <c r="AK483">
        <v>440</v>
      </c>
      <c r="AL483">
        <v>700</v>
      </c>
      <c r="AM483">
        <v>960</v>
      </c>
      <c r="AO483" s="6"/>
      <c r="AS483">
        <v>50</v>
      </c>
      <c r="AT483" t="s">
        <v>214</v>
      </c>
      <c r="AU483" t="s">
        <v>214</v>
      </c>
    </row>
    <row r="484" spans="1:47" x14ac:dyDescent="0.25">
      <c r="A484" s="63" t="s">
        <v>91</v>
      </c>
      <c r="B484" s="63" t="s">
        <v>63</v>
      </c>
      <c r="C484" s="63" t="s">
        <v>91</v>
      </c>
      <c r="D484" s="32" t="s">
        <v>33</v>
      </c>
      <c r="E484" s="62" t="str">
        <f t="shared" si="7"/>
        <v>LavasiothPoison</v>
      </c>
      <c r="F484">
        <v>180</v>
      </c>
      <c r="G484">
        <v>300</v>
      </c>
      <c r="H484">
        <v>420</v>
      </c>
      <c r="I484">
        <v>540</v>
      </c>
      <c r="J484" s="29"/>
      <c r="K484" s="6">
        <v>180</v>
      </c>
      <c r="L484">
        <v>305</v>
      </c>
      <c r="M484">
        <v>430</v>
      </c>
      <c r="N484">
        <v>555</v>
      </c>
      <c r="P484" s="6">
        <v>180</v>
      </c>
      <c r="Q484">
        <v>360</v>
      </c>
      <c r="R484">
        <v>540</v>
      </c>
      <c r="S484">
        <v>720</v>
      </c>
      <c r="U484" s="6"/>
      <c r="Z484" s="6">
        <v>180</v>
      </c>
      <c r="AA484">
        <v>380</v>
      </c>
      <c r="AB484">
        <v>580</v>
      </c>
      <c r="AC484">
        <v>780</v>
      </c>
      <c r="AE484" s="6">
        <v>180</v>
      </c>
      <c r="AF484">
        <v>389</v>
      </c>
      <c r="AG484">
        <v>598</v>
      </c>
      <c r="AH484">
        <v>807</v>
      </c>
      <c r="AJ484" s="6">
        <v>180</v>
      </c>
      <c r="AK484">
        <v>440</v>
      </c>
      <c r="AL484">
        <v>700</v>
      </c>
      <c r="AM484">
        <v>960</v>
      </c>
      <c r="AO484" s="6"/>
      <c r="AS484">
        <v>60</v>
      </c>
      <c r="AT484" t="s">
        <v>214</v>
      </c>
      <c r="AU484" t="s">
        <v>214</v>
      </c>
    </row>
    <row r="485" spans="1:47" x14ac:dyDescent="0.25">
      <c r="A485" s="63" t="s">
        <v>91</v>
      </c>
      <c r="B485" s="63" t="s">
        <v>63</v>
      </c>
      <c r="C485" s="63" t="s">
        <v>91</v>
      </c>
      <c r="D485" s="10" t="s">
        <v>22</v>
      </c>
      <c r="E485" s="62" t="str">
        <f t="shared" si="7"/>
        <v>LavasiothExhaust</v>
      </c>
      <c r="F485">
        <v>270</v>
      </c>
      <c r="G485">
        <v>495</v>
      </c>
      <c r="H485">
        <v>607</v>
      </c>
      <c r="I485">
        <v>720</v>
      </c>
      <c r="J485" s="29"/>
      <c r="K485" s="6">
        <v>288</v>
      </c>
      <c r="L485">
        <v>388</v>
      </c>
      <c r="M485">
        <v>488</v>
      </c>
      <c r="N485">
        <v>588</v>
      </c>
      <c r="P485" s="6">
        <v>315</v>
      </c>
      <c r="Q485">
        <v>446</v>
      </c>
      <c r="R485">
        <v>577</v>
      </c>
      <c r="S485">
        <v>708</v>
      </c>
      <c r="U485" s="6"/>
      <c r="Z485" s="6">
        <v>333</v>
      </c>
      <c r="AA485">
        <v>471</v>
      </c>
      <c r="AB485">
        <v>609</v>
      </c>
      <c r="AC485">
        <v>747</v>
      </c>
      <c r="AE485" s="6">
        <v>342</v>
      </c>
      <c r="AF485">
        <v>484</v>
      </c>
      <c r="AG485">
        <v>626</v>
      </c>
      <c r="AH485">
        <v>768</v>
      </c>
      <c r="AJ485" s="6">
        <v>450</v>
      </c>
      <c r="AK485">
        <v>637</v>
      </c>
      <c r="AL485">
        <v>824</v>
      </c>
      <c r="AM485">
        <v>1011</v>
      </c>
      <c r="AO485" s="6"/>
      <c r="AS485"/>
      <c r="AT485" t="s">
        <v>214</v>
      </c>
      <c r="AU485" t="s">
        <v>214</v>
      </c>
    </row>
    <row r="486" spans="1:47" x14ac:dyDescent="0.25">
      <c r="A486" s="63" t="s">
        <v>91</v>
      </c>
      <c r="B486" s="63" t="s">
        <v>63</v>
      </c>
      <c r="C486" s="63" t="s">
        <v>91</v>
      </c>
      <c r="D486" s="30" t="s">
        <v>35</v>
      </c>
      <c r="E486" s="62" t="str">
        <f t="shared" si="7"/>
        <v>LavasiothBlast</v>
      </c>
      <c r="F486">
        <v>70</v>
      </c>
      <c r="G486">
        <v>130</v>
      </c>
      <c r="H486">
        <v>190</v>
      </c>
      <c r="I486">
        <v>250</v>
      </c>
      <c r="K486" s="6">
        <v>70</v>
      </c>
      <c r="L486">
        <v>130</v>
      </c>
      <c r="M486">
        <v>190</v>
      </c>
      <c r="N486">
        <v>250</v>
      </c>
      <c r="P486" s="6">
        <v>70</v>
      </c>
      <c r="Q486">
        <v>160</v>
      </c>
      <c r="R486" s="6">
        <v>250</v>
      </c>
      <c r="S486">
        <v>340</v>
      </c>
      <c r="U486" s="6"/>
      <c r="Z486" s="6">
        <v>70</v>
      </c>
      <c r="AA486">
        <v>170</v>
      </c>
      <c r="AB486" s="6">
        <v>270</v>
      </c>
      <c r="AC486">
        <v>370</v>
      </c>
      <c r="AE486" s="6">
        <v>70</v>
      </c>
      <c r="AF486">
        <v>170</v>
      </c>
      <c r="AG486" s="6">
        <v>270</v>
      </c>
      <c r="AH486">
        <v>370</v>
      </c>
      <c r="AJ486" s="6">
        <v>70</v>
      </c>
      <c r="AK486">
        <v>200</v>
      </c>
      <c r="AL486">
        <v>330</v>
      </c>
      <c r="AM486">
        <v>460</v>
      </c>
      <c r="AO486" s="6"/>
      <c r="AS486"/>
      <c r="AT486" t="s">
        <v>214</v>
      </c>
      <c r="AU486" t="s">
        <v>214</v>
      </c>
    </row>
    <row r="487" spans="1:47" x14ac:dyDescent="0.25">
      <c r="A487" s="63" t="s">
        <v>91</v>
      </c>
      <c r="B487" s="63" t="s">
        <v>63</v>
      </c>
      <c r="C487" s="63" t="s">
        <v>91</v>
      </c>
      <c r="D487" s="34" t="s">
        <v>14</v>
      </c>
      <c r="E487" s="62" t="str">
        <f t="shared" si="7"/>
        <v>LavasiothKO</v>
      </c>
      <c r="F487">
        <v>195</v>
      </c>
      <c r="G487">
        <v>390</v>
      </c>
      <c r="H487">
        <v>585</v>
      </c>
      <c r="I487">
        <v>780</v>
      </c>
      <c r="J487" s="29"/>
      <c r="K487" s="6">
        <v>195</v>
      </c>
      <c r="L487">
        <v>390</v>
      </c>
      <c r="M487">
        <v>585</v>
      </c>
      <c r="N487">
        <v>780</v>
      </c>
      <c r="P487" s="6">
        <v>195</v>
      </c>
      <c r="Q487">
        <v>390</v>
      </c>
      <c r="R487">
        <v>585</v>
      </c>
      <c r="S487">
        <v>780</v>
      </c>
      <c r="U487" s="6"/>
      <c r="Z487" s="6">
        <v>210</v>
      </c>
      <c r="AA487">
        <v>420</v>
      </c>
      <c r="AB487">
        <v>630</v>
      </c>
      <c r="AC487">
        <v>840</v>
      </c>
      <c r="AE487" s="6">
        <v>225</v>
      </c>
      <c r="AF487">
        <v>450</v>
      </c>
      <c r="AG487">
        <v>675</v>
      </c>
      <c r="AH487">
        <v>900</v>
      </c>
      <c r="AJ487" s="6">
        <v>300</v>
      </c>
      <c r="AK487">
        <v>600</v>
      </c>
      <c r="AL487">
        <v>900</v>
      </c>
      <c r="AM487">
        <v>1200</v>
      </c>
      <c r="AO487" s="6"/>
      <c r="AS487">
        <v>10</v>
      </c>
      <c r="AT487" t="s">
        <v>214</v>
      </c>
      <c r="AU487" t="s">
        <v>214</v>
      </c>
    </row>
    <row r="488" spans="1:47" x14ac:dyDescent="0.25">
      <c r="A488" s="63" t="s">
        <v>91</v>
      </c>
      <c r="B488" s="63" t="s">
        <v>63</v>
      </c>
      <c r="C488" s="63" t="s">
        <v>91</v>
      </c>
      <c r="D488" s="33" t="s">
        <v>34</v>
      </c>
      <c r="E488" s="62" t="str">
        <f t="shared" si="7"/>
        <v>LavasiothMount</v>
      </c>
      <c r="F488">
        <v>96</v>
      </c>
      <c r="G488">
        <v>240</v>
      </c>
      <c r="H488">
        <v>384</v>
      </c>
      <c r="I488">
        <v>528</v>
      </c>
      <c r="K488" s="6">
        <v>96</v>
      </c>
      <c r="L488">
        <v>240</v>
      </c>
      <c r="M488">
        <v>384</v>
      </c>
      <c r="N488">
        <v>528</v>
      </c>
      <c r="P488" s="6">
        <v>102</v>
      </c>
      <c r="Q488">
        <v>255</v>
      </c>
      <c r="R488" s="6">
        <v>408</v>
      </c>
      <c r="S488">
        <v>561</v>
      </c>
      <c r="U488" s="6"/>
      <c r="Z488" s="6">
        <v>108</v>
      </c>
      <c r="AA488">
        <v>270</v>
      </c>
      <c r="AB488">
        <v>432</v>
      </c>
      <c r="AC488">
        <v>594</v>
      </c>
      <c r="AE488" s="6">
        <v>108</v>
      </c>
      <c r="AF488">
        <v>270</v>
      </c>
      <c r="AG488">
        <v>432</v>
      </c>
      <c r="AH488">
        <v>594</v>
      </c>
      <c r="AJ488" s="6">
        <v>120</v>
      </c>
      <c r="AK488">
        <v>300</v>
      </c>
      <c r="AL488">
        <v>480</v>
      </c>
      <c r="AM488">
        <v>660</v>
      </c>
      <c r="AO488" s="6"/>
      <c r="AS488"/>
      <c r="AT488" t="s">
        <v>214</v>
      </c>
      <c r="AU488" t="s">
        <v>214</v>
      </c>
    </row>
    <row r="489" spans="1:47" x14ac:dyDescent="0.25">
      <c r="A489" s="63" t="s">
        <v>91</v>
      </c>
      <c r="B489" s="63" t="s">
        <v>63</v>
      </c>
      <c r="C489" s="63" t="s">
        <v>91</v>
      </c>
      <c r="D489" s="77" t="s">
        <v>207</v>
      </c>
      <c r="E489" s="62" t="str">
        <f t="shared" si="7"/>
        <v>LavasiothShock Trap</v>
      </c>
      <c r="K489" s="6"/>
      <c r="P489" s="6"/>
      <c r="U489" s="6"/>
      <c r="AE489" s="6"/>
      <c r="AJ489" s="6"/>
      <c r="AO489" s="6"/>
      <c r="AS489">
        <v>8</v>
      </c>
      <c r="AT489">
        <v>15</v>
      </c>
      <c r="AU489">
        <v>10</v>
      </c>
    </row>
    <row r="490" spans="1:47" s="56" customFormat="1" x14ac:dyDescent="0.25">
      <c r="A490" s="63" t="s">
        <v>91</v>
      </c>
      <c r="B490" s="63" t="s">
        <v>63</v>
      </c>
      <c r="C490" s="63" t="s">
        <v>91</v>
      </c>
      <c r="D490" s="79" t="s">
        <v>213</v>
      </c>
      <c r="E490" s="62" t="str">
        <f t="shared" si="7"/>
        <v>LavasiothPitfall Trap</v>
      </c>
      <c r="K490" s="7"/>
      <c r="P490" s="7"/>
      <c r="U490" s="7"/>
      <c r="Z490" s="7"/>
      <c r="AE490" s="7"/>
      <c r="AJ490" s="7"/>
      <c r="AO490" s="7"/>
      <c r="AS490" s="56">
        <v>12</v>
      </c>
      <c r="AT490" s="56">
        <v>20</v>
      </c>
      <c r="AU490" s="56">
        <v>16</v>
      </c>
    </row>
    <row r="491" spans="1:47" s="36" customFormat="1" x14ac:dyDescent="0.25">
      <c r="A491" s="63" t="s">
        <v>91</v>
      </c>
      <c r="B491" s="63" t="s">
        <v>58</v>
      </c>
      <c r="C491" s="63" t="s">
        <v>91</v>
      </c>
      <c r="D491" s="37" t="s">
        <v>0</v>
      </c>
      <c r="E491" s="62" t="str">
        <f t="shared" si="7"/>
        <v>MalfestioPara</v>
      </c>
      <c r="F491" s="36">
        <v>180</v>
      </c>
      <c r="G491" s="36">
        <v>312</v>
      </c>
      <c r="H491" s="36">
        <v>444</v>
      </c>
      <c r="I491" s="36">
        <v>576</v>
      </c>
      <c r="J491" s="61"/>
      <c r="K491" s="50">
        <v>180</v>
      </c>
      <c r="L491" s="36">
        <v>323</v>
      </c>
      <c r="M491" s="36">
        <v>466</v>
      </c>
      <c r="N491" s="36">
        <v>608</v>
      </c>
      <c r="P491" s="6">
        <v>180</v>
      </c>
      <c r="Q491" s="46">
        <v>378</v>
      </c>
      <c r="R491" s="46">
        <v>576</v>
      </c>
      <c r="S491" s="46">
        <v>774</v>
      </c>
      <c r="U491" s="50"/>
      <c r="Z491" s="6">
        <v>180</v>
      </c>
      <c r="AA491" s="46">
        <v>400</v>
      </c>
      <c r="AB491" s="46">
        <v>620</v>
      </c>
      <c r="AC491" s="46">
        <v>840</v>
      </c>
      <c r="AE491" s="50">
        <v>180</v>
      </c>
      <c r="AF491" s="36">
        <v>410</v>
      </c>
      <c r="AG491" s="36">
        <v>641</v>
      </c>
      <c r="AH491" s="36">
        <v>872</v>
      </c>
      <c r="AJ491" s="6"/>
      <c r="AK491" s="46"/>
      <c r="AL491" s="46"/>
      <c r="AM491" s="46"/>
      <c r="AO491" s="50"/>
      <c r="AS491" s="36">
        <v>10</v>
      </c>
      <c r="AT491" s="36" t="s">
        <v>214</v>
      </c>
      <c r="AU491" s="36" t="s">
        <v>214</v>
      </c>
    </row>
    <row r="492" spans="1:47" x14ac:dyDescent="0.25">
      <c r="A492" s="63" t="s">
        <v>91</v>
      </c>
      <c r="B492" s="63" t="s">
        <v>58</v>
      </c>
      <c r="C492" s="63" t="s">
        <v>91</v>
      </c>
      <c r="D492" s="31" t="s">
        <v>32</v>
      </c>
      <c r="E492" s="62" t="str">
        <f t="shared" si="7"/>
        <v>MalfestioSleep</v>
      </c>
      <c r="F492">
        <v>200</v>
      </c>
      <c r="G492">
        <v>380</v>
      </c>
      <c r="H492">
        <v>560</v>
      </c>
      <c r="I492">
        <v>740</v>
      </c>
      <c r="K492" s="6">
        <v>200</v>
      </c>
      <c r="L492">
        <v>395</v>
      </c>
      <c r="M492">
        <v>590</v>
      </c>
      <c r="N492">
        <v>785</v>
      </c>
      <c r="P492" s="6">
        <v>200</v>
      </c>
      <c r="Q492">
        <v>470</v>
      </c>
      <c r="R492">
        <v>740</v>
      </c>
      <c r="S492">
        <v>1010</v>
      </c>
      <c r="U492" s="6"/>
      <c r="Z492" s="6">
        <v>200</v>
      </c>
      <c r="AA492">
        <v>500</v>
      </c>
      <c r="AB492">
        <v>800</v>
      </c>
      <c r="AC492">
        <v>1100</v>
      </c>
      <c r="AE492" s="6">
        <v>200</v>
      </c>
      <c r="AF492">
        <v>515</v>
      </c>
      <c r="AG492">
        <v>830</v>
      </c>
      <c r="AH492">
        <v>1145</v>
      </c>
      <c r="AJ492" s="6"/>
      <c r="AO492" s="6"/>
      <c r="AS492">
        <v>40</v>
      </c>
      <c r="AT492" t="s">
        <v>214</v>
      </c>
      <c r="AU492" t="s">
        <v>214</v>
      </c>
    </row>
    <row r="493" spans="1:47" x14ac:dyDescent="0.25">
      <c r="A493" s="63" t="s">
        <v>91</v>
      </c>
      <c r="B493" s="63" t="s">
        <v>58</v>
      </c>
      <c r="C493" s="63" t="s">
        <v>91</v>
      </c>
      <c r="D493" s="32" t="s">
        <v>33</v>
      </c>
      <c r="E493" s="62" t="str">
        <f t="shared" si="7"/>
        <v>MalfestioPoison</v>
      </c>
      <c r="F493">
        <v>180</v>
      </c>
      <c r="G493">
        <v>300</v>
      </c>
      <c r="H493">
        <v>420</v>
      </c>
      <c r="I493">
        <v>540</v>
      </c>
      <c r="J493" s="29"/>
      <c r="K493" s="6">
        <v>200</v>
      </c>
      <c r="L493">
        <v>395</v>
      </c>
      <c r="M493">
        <v>590</v>
      </c>
      <c r="N493">
        <v>785</v>
      </c>
      <c r="P493" s="6">
        <v>180</v>
      </c>
      <c r="Q493">
        <v>360</v>
      </c>
      <c r="R493">
        <v>540</v>
      </c>
      <c r="S493">
        <v>720</v>
      </c>
      <c r="U493" s="6"/>
      <c r="Z493" s="6">
        <v>180</v>
      </c>
      <c r="AA493">
        <v>380</v>
      </c>
      <c r="AB493">
        <v>580</v>
      </c>
      <c r="AC493">
        <v>780</v>
      </c>
      <c r="AE493" s="6">
        <v>180</v>
      </c>
      <c r="AF493">
        <v>389</v>
      </c>
      <c r="AG493">
        <v>598</v>
      </c>
      <c r="AH493">
        <v>807</v>
      </c>
      <c r="AJ493" s="6"/>
      <c r="AO493" s="6"/>
      <c r="AS493">
        <v>60</v>
      </c>
      <c r="AT493" t="s">
        <v>214</v>
      </c>
      <c r="AU493" t="s">
        <v>214</v>
      </c>
    </row>
    <row r="494" spans="1:47" x14ac:dyDescent="0.25">
      <c r="A494" s="63" t="s">
        <v>91</v>
      </c>
      <c r="B494" s="63" t="s">
        <v>58</v>
      </c>
      <c r="C494" s="63" t="s">
        <v>91</v>
      </c>
      <c r="D494" s="10" t="s">
        <v>22</v>
      </c>
      <c r="E494" s="62" t="str">
        <f t="shared" si="7"/>
        <v>MalfestioExhaust</v>
      </c>
      <c r="F494">
        <v>270</v>
      </c>
      <c r="G494">
        <v>382</v>
      </c>
      <c r="H494">
        <v>495</v>
      </c>
      <c r="I494">
        <v>607</v>
      </c>
      <c r="J494" s="29"/>
      <c r="K494" s="6">
        <v>288</v>
      </c>
      <c r="L494">
        <v>408</v>
      </c>
      <c r="M494">
        <v>528</v>
      </c>
      <c r="N494">
        <v>648</v>
      </c>
      <c r="P494" s="6">
        <v>315</v>
      </c>
      <c r="Q494">
        <v>446</v>
      </c>
      <c r="R494">
        <v>577</v>
      </c>
      <c r="S494">
        <v>708</v>
      </c>
      <c r="U494" s="6"/>
      <c r="Z494" s="6">
        <v>333</v>
      </c>
      <c r="AA494">
        <v>471</v>
      </c>
      <c r="AB494">
        <v>609</v>
      </c>
      <c r="AC494">
        <v>747</v>
      </c>
      <c r="AE494" s="6">
        <v>342</v>
      </c>
      <c r="AF494">
        <v>484</v>
      </c>
      <c r="AG494">
        <v>626</v>
      </c>
      <c r="AH494">
        <v>768</v>
      </c>
      <c r="AJ494" s="6"/>
      <c r="AO494" s="6"/>
      <c r="AS494"/>
      <c r="AT494" t="s">
        <v>214</v>
      </c>
      <c r="AU494" t="s">
        <v>214</v>
      </c>
    </row>
    <row r="495" spans="1:47" x14ac:dyDescent="0.25">
      <c r="A495" s="63" t="s">
        <v>91</v>
      </c>
      <c r="B495" s="63" t="s">
        <v>58</v>
      </c>
      <c r="C495" s="63" t="s">
        <v>91</v>
      </c>
      <c r="D495" s="30" t="s">
        <v>35</v>
      </c>
      <c r="E495" s="62" t="str">
        <f t="shared" si="7"/>
        <v>MalfestioBlast</v>
      </c>
      <c r="F495">
        <v>70</v>
      </c>
      <c r="G495">
        <v>106</v>
      </c>
      <c r="H495">
        <v>142</v>
      </c>
      <c r="I495">
        <v>178</v>
      </c>
      <c r="K495" s="6">
        <v>70</v>
      </c>
      <c r="L495">
        <v>106</v>
      </c>
      <c r="M495">
        <v>142</v>
      </c>
      <c r="N495">
        <v>178</v>
      </c>
      <c r="P495" s="6">
        <v>70</v>
      </c>
      <c r="Q495">
        <v>124</v>
      </c>
      <c r="R495" s="6">
        <v>178</v>
      </c>
      <c r="S495">
        <v>232</v>
      </c>
      <c r="U495" s="6"/>
      <c r="Z495" s="6">
        <v>70</v>
      </c>
      <c r="AA495">
        <v>130</v>
      </c>
      <c r="AB495" s="6">
        <v>190</v>
      </c>
      <c r="AC495">
        <v>250</v>
      </c>
      <c r="AE495" s="6">
        <v>70</v>
      </c>
      <c r="AF495">
        <v>130</v>
      </c>
      <c r="AG495" s="6">
        <v>190</v>
      </c>
      <c r="AH495">
        <v>250</v>
      </c>
      <c r="AJ495" s="6"/>
      <c r="AO495" s="6"/>
      <c r="AS495"/>
      <c r="AT495" t="s">
        <v>214</v>
      </c>
      <c r="AU495" t="s">
        <v>214</v>
      </c>
    </row>
    <row r="496" spans="1:47" x14ac:dyDescent="0.25">
      <c r="A496" s="63" t="s">
        <v>91</v>
      </c>
      <c r="B496" s="63" t="s">
        <v>58</v>
      </c>
      <c r="C496" s="63" t="s">
        <v>91</v>
      </c>
      <c r="D496" s="34" t="s">
        <v>14</v>
      </c>
      <c r="E496" s="62" t="str">
        <f t="shared" si="7"/>
        <v>MalfestioKO</v>
      </c>
      <c r="F496">
        <v>195</v>
      </c>
      <c r="G496">
        <v>299</v>
      </c>
      <c r="H496">
        <v>403</v>
      </c>
      <c r="I496">
        <v>506</v>
      </c>
      <c r="J496" s="29"/>
      <c r="K496" s="6">
        <v>195</v>
      </c>
      <c r="L496">
        <v>299</v>
      </c>
      <c r="M496">
        <v>403</v>
      </c>
      <c r="N496">
        <v>507</v>
      </c>
      <c r="P496" s="6">
        <v>195</v>
      </c>
      <c r="Q496">
        <v>299</v>
      </c>
      <c r="R496">
        <v>403</v>
      </c>
      <c r="S496">
        <v>507</v>
      </c>
      <c r="U496" s="6"/>
      <c r="Z496" s="6">
        <v>210</v>
      </c>
      <c r="AA496">
        <v>322</v>
      </c>
      <c r="AB496">
        <v>434</v>
      </c>
      <c r="AC496">
        <v>546</v>
      </c>
      <c r="AE496" s="6">
        <v>225</v>
      </c>
      <c r="AF496">
        <v>345</v>
      </c>
      <c r="AG496">
        <v>465</v>
      </c>
      <c r="AH496">
        <v>585</v>
      </c>
      <c r="AJ496" s="6"/>
      <c r="AO496" s="6"/>
      <c r="AS496">
        <v>10</v>
      </c>
      <c r="AT496" t="s">
        <v>214</v>
      </c>
      <c r="AU496" t="s">
        <v>214</v>
      </c>
    </row>
    <row r="497" spans="1:47" x14ac:dyDescent="0.25">
      <c r="A497" s="63" t="s">
        <v>91</v>
      </c>
      <c r="B497" s="63" t="s">
        <v>58</v>
      </c>
      <c r="C497" s="63" t="s">
        <v>91</v>
      </c>
      <c r="D497" s="33" t="s">
        <v>34</v>
      </c>
      <c r="E497" s="62" t="str">
        <f t="shared" si="7"/>
        <v>MalfestioMount</v>
      </c>
      <c r="F497">
        <v>96</v>
      </c>
      <c r="G497">
        <v>256</v>
      </c>
      <c r="H497">
        <v>416</v>
      </c>
      <c r="I497">
        <v>576</v>
      </c>
      <c r="K497" s="6">
        <v>96</v>
      </c>
      <c r="L497">
        <v>256</v>
      </c>
      <c r="M497">
        <v>416</v>
      </c>
      <c r="N497">
        <v>576</v>
      </c>
      <c r="P497" s="6">
        <v>102</v>
      </c>
      <c r="Q497">
        <v>272</v>
      </c>
      <c r="R497" s="6">
        <v>442</v>
      </c>
      <c r="S497">
        <v>612</v>
      </c>
      <c r="U497" s="6"/>
      <c r="Z497" s="6">
        <v>108</v>
      </c>
      <c r="AA497">
        <v>288</v>
      </c>
      <c r="AB497">
        <v>468</v>
      </c>
      <c r="AC497">
        <v>648</v>
      </c>
      <c r="AE497" s="6">
        <v>108</v>
      </c>
      <c r="AF497">
        <v>288</v>
      </c>
      <c r="AG497">
        <v>468</v>
      </c>
      <c r="AH497">
        <v>648</v>
      </c>
      <c r="AJ497" s="6"/>
      <c r="AO497" s="6"/>
      <c r="AS497"/>
      <c r="AT497" t="s">
        <v>214</v>
      </c>
      <c r="AU497" t="s">
        <v>214</v>
      </c>
    </row>
    <row r="498" spans="1:47" x14ac:dyDescent="0.25">
      <c r="A498" s="63" t="s">
        <v>91</v>
      </c>
      <c r="B498" s="63" t="s">
        <v>58</v>
      </c>
      <c r="C498" s="63" t="s">
        <v>91</v>
      </c>
      <c r="D498" s="77" t="s">
        <v>207</v>
      </c>
      <c r="E498" s="62" t="str">
        <f t="shared" si="7"/>
        <v>MalfestioShock Trap</v>
      </c>
      <c r="K498" s="6"/>
      <c r="P498" s="6"/>
      <c r="U498" s="6"/>
      <c r="AE498" s="6"/>
      <c r="AJ498" s="6"/>
      <c r="AO498" s="6"/>
      <c r="AS498">
        <v>8</v>
      </c>
      <c r="AT498">
        <v>15</v>
      </c>
      <c r="AU498">
        <v>8</v>
      </c>
    </row>
    <row r="499" spans="1:47" s="56" customFormat="1" x14ac:dyDescent="0.25">
      <c r="A499" s="63" t="s">
        <v>91</v>
      </c>
      <c r="B499" s="63" t="s">
        <v>58</v>
      </c>
      <c r="C499" s="63" t="s">
        <v>91</v>
      </c>
      <c r="D499" s="79" t="s">
        <v>213</v>
      </c>
      <c r="E499" s="62" t="str">
        <f t="shared" si="7"/>
        <v>MalfestioPitfall Trap</v>
      </c>
      <c r="K499" s="7"/>
      <c r="P499" s="7"/>
      <c r="U499" s="7"/>
      <c r="Z499" s="7"/>
      <c r="AE499" s="7"/>
      <c r="AJ499" s="7"/>
      <c r="AO499" s="7"/>
      <c r="AS499" s="56">
        <v>12</v>
      </c>
      <c r="AT499" s="56">
        <v>25</v>
      </c>
      <c r="AU499" s="56">
        <v>12</v>
      </c>
    </row>
    <row r="500" spans="1:47" s="36" customFormat="1" x14ac:dyDescent="0.25">
      <c r="A500" s="63" t="s">
        <v>91</v>
      </c>
      <c r="B500" s="63" t="s">
        <v>64</v>
      </c>
      <c r="C500" s="63" t="s">
        <v>91</v>
      </c>
      <c r="D500" s="37" t="s">
        <v>0</v>
      </c>
      <c r="E500" s="62" t="str">
        <f t="shared" si="7"/>
        <v>MizutunePara</v>
      </c>
      <c r="F500" s="36">
        <v>200</v>
      </c>
      <c r="G500" s="36">
        <v>460</v>
      </c>
      <c r="H500" s="36">
        <v>720</v>
      </c>
      <c r="I500" s="36">
        <v>889</v>
      </c>
      <c r="J500" s="61"/>
      <c r="K500" s="50">
        <v>280</v>
      </c>
      <c r="L500" s="36">
        <v>460</v>
      </c>
      <c r="M500" s="36">
        <v>720</v>
      </c>
      <c r="N500" s="36">
        <v>889</v>
      </c>
      <c r="P500" s="6">
        <v>200</v>
      </c>
      <c r="Q500" s="46">
        <v>600</v>
      </c>
      <c r="R500" s="46">
        <v>1000</v>
      </c>
      <c r="S500" s="46">
        <v>1260</v>
      </c>
      <c r="U500" s="50"/>
      <c r="Z500" s="6">
        <v>200</v>
      </c>
      <c r="AA500" s="46">
        <v>619</v>
      </c>
      <c r="AB500" s="46">
        <v>1038</v>
      </c>
      <c r="AC500" s="46">
        <v>1457</v>
      </c>
      <c r="AE500" s="50"/>
      <c r="AJ500" s="6">
        <v>200</v>
      </c>
      <c r="AK500" s="46">
        <v>740</v>
      </c>
      <c r="AL500" s="46">
        <v>1280</v>
      </c>
      <c r="AM500" s="46">
        <v>1820</v>
      </c>
      <c r="AO500" s="50"/>
      <c r="AS500" s="36">
        <v>10</v>
      </c>
      <c r="AT500" s="36" t="s">
        <v>214</v>
      </c>
      <c r="AU500" s="36" t="s">
        <v>214</v>
      </c>
    </row>
    <row r="501" spans="1:47" x14ac:dyDescent="0.25">
      <c r="A501" s="63" t="s">
        <v>91</v>
      </c>
      <c r="B501" s="63" t="s">
        <v>64</v>
      </c>
      <c r="C501" s="63" t="s">
        <v>91</v>
      </c>
      <c r="D501" s="31" t="s">
        <v>32</v>
      </c>
      <c r="E501" s="62" t="str">
        <f t="shared" si="7"/>
        <v>MizutuneSleep</v>
      </c>
      <c r="F501">
        <v>180</v>
      </c>
      <c r="G501">
        <v>440</v>
      </c>
      <c r="H501">
        <v>700</v>
      </c>
      <c r="I501">
        <v>700</v>
      </c>
      <c r="K501" s="6">
        <v>180</v>
      </c>
      <c r="L501">
        <v>440</v>
      </c>
      <c r="M501">
        <v>700</v>
      </c>
      <c r="N501">
        <v>960</v>
      </c>
      <c r="P501" s="6">
        <v>180</v>
      </c>
      <c r="Q501">
        <v>580</v>
      </c>
      <c r="R501">
        <v>980</v>
      </c>
      <c r="S501">
        <v>1380</v>
      </c>
      <c r="U501" s="6"/>
      <c r="Z501" s="6">
        <v>180</v>
      </c>
      <c r="AA501">
        <v>599</v>
      </c>
      <c r="AB501">
        <v>1018</v>
      </c>
      <c r="AC501">
        <v>1437</v>
      </c>
      <c r="AE501" s="6"/>
      <c r="AJ501" s="6">
        <v>180</v>
      </c>
      <c r="AK501">
        <v>720</v>
      </c>
      <c r="AL501">
        <v>1260</v>
      </c>
      <c r="AM501">
        <v>1800</v>
      </c>
      <c r="AO501" s="6"/>
      <c r="AS501">
        <v>40</v>
      </c>
      <c r="AT501" t="s">
        <v>214</v>
      </c>
      <c r="AU501" t="s">
        <v>214</v>
      </c>
    </row>
    <row r="502" spans="1:47" x14ac:dyDescent="0.25">
      <c r="A502" s="63" t="s">
        <v>91</v>
      </c>
      <c r="B502" s="63" t="s">
        <v>64</v>
      </c>
      <c r="C502" s="63" t="s">
        <v>91</v>
      </c>
      <c r="D502" s="32" t="s">
        <v>33</v>
      </c>
      <c r="E502" s="62" t="str">
        <f t="shared" si="7"/>
        <v>MizutunePoison</v>
      </c>
      <c r="F502">
        <v>180</v>
      </c>
      <c r="G502">
        <v>310</v>
      </c>
      <c r="H502">
        <v>440</v>
      </c>
      <c r="I502">
        <v>570</v>
      </c>
      <c r="J502" s="29"/>
      <c r="K502" s="6">
        <v>180</v>
      </c>
      <c r="L502">
        <v>440</v>
      </c>
      <c r="M502">
        <v>700</v>
      </c>
      <c r="N502">
        <v>960</v>
      </c>
      <c r="P502" s="6">
        <v>180</v>
      </c>
      <c r="Q502">
        <v>380</v>
      </c>
      <c r="R502">
        <v>580</v>
      </c>
      <c r="S502">
        <v>780</v>
      </c>
      <c r="U502" s="6"/>
      <c r="Z502" s="6">
        <v>180</v>
      </c>
      <c r="AA502">
        <v>389</v>
      </c>
      <c r="AB502">
        <v>598</v>
      </c>
      <c r="AC502">
        <v>807</v>
      </c>
      <c r="AE502" s="6"/>
      <c r="AJ502" s="6">
        <v>180</v>
      </c>
      <c r="AK502">
        <v>450</v>
      </c>
      <c r="AL502">
        <v>720</v>
      </c>
      <c r="AM502">
        <v>990</v>
      </c>
      <c r="AO502" s="6"/>
      <c r="AS502">
        <v>60</v>
      </c>
      <c r="AT502" t="s">
        <v>214</v>
      </c>
      <c r="AU502" t="s">
        <v>214</v>
      </c>
    </row>
    <row r="503" spans="1:47" x14ac:dyDescent="0.25">
      <c r="A503" s="63" t="s">
        <v>91</v>
      </c>
      <c r="B503" s="63" t="s">
        <v>64</v>
      </c>
      <c r="C503" s="63" t="s">
        <v>91</v>
      </c>
      <c r="D503" s="10" t="s">
        <v>22</v>
      </c>
      <c r="E503" s="62" t="str">
        <f t="shared" si="7"/>
        <v>MizutuneExhaust</v>
      </c>
      <c r="F503">
        <v>288</v>
      </c>
      <c r="G503">
        <v>408</v>
      </c>
      <c r="H503">
        <v>528</v>
      </c>
      <c r="I503">
        <v>648</v>
      </c>
      <c r="J503" s="29"/>
      <c r="K503" s="6">
        <v>288</v>
      </c>
      <c r="L503">
        <v>408</v>
      </c>
      <c r="M503">
        <v>528</v>
      </c>
      <c r="N503">
        <v>648</v>
      </c>
      <c r="P503" s="6">
        <v>333</v>
      </c>
      <c r="Q503">
        <v>471</v>
      </c>
      <c r="R503">
        <v>609</v>
      </c>
      <c r="S503">
        <v>747</v>
      </c>
      <c r="U503" s="6"/>
      <c r="Z503" s="6">
        <v>342</v>
      </c>
      <c r="AA503">
        <v>484</v>
      </c>
      <c r="AB503">
        <v>626</v>
      </c>
      <c r="AC503">
        <v>768</v>
      </c>
      <c r="AE503" s="6"/>
      <c r="AJ503" s="6">
        <v>450</v>
      </c>
      <c r="AK503">
        <v>637</v>
      </c>
      <c r="AL503">
        <v>824</v>
      </c>
      <c r="AM503">
        <v>1011</v>
      </c>
      <c r="AO503" s="6"/>
      <c r="AS503"/>
      <c r="AT503" t="s">
        <v>214</v>
      </c>
      <c r="AU503" t="s">
        <v>214</v>
      </c>
    </row>
    <row r="504" spans="1:47" x14ac:dyDescent="0.25">
      <c r="A504" s="63" t="s">
        <v>91</v>
      </c>
      <c r="B504" s="63" t="s">
        <v>64</v>
      </c>
      <c r="C504" s="63" t="s">
        <v>91</v>
      </c>
      <c r="D504" s="30" t="s">
        <v>35</v>
      </c>
      <c r="E504" s="62" t="str">
        <f t="shared" si="7"/>
        <v>MizutuneBlast</v>
      </c>
      <c r="F504">
        <v>70</v>
      </c>
      <c r="G504">
        <v>135</v>
      </c>
      <c r="H504">
        <v>200</v>
      </c>
      <c r="I504">
        <v>265</v>
      </c>
      <c r="K504" s="6">
        <v>70</v>
      </c>
      <c r="L504">
        <v>135</v>
      </c>
      <c r="M504">
        <v>200</v>
      </c>
      <c r="N504">
        <v>265</v>
      </c>
      <c r="P504" s="6">
        <v>70</v>
      </c>
      <c r="Q504">
        <v>170</v>
      </c>
      <c r="R504" s="6">
        <v>270</v>
      </c>
      <c r="S504">
        <v>370</v>
      </c>
      <c r="U504" s="6"/>
      <c r="Z504" s="6">
        <v>70</v>
      </c>
      <c r="AA504">
        <v>174</v>
      </c>
      <c r="AB504" s="6">
        <v>278</v>
      </c>
      <c r="AC504">
        <v>382</v>
      </c>
      <c r="AE504" s="6"/>
      <c r="AG504" s="6"/>
      <c r="AJ504" s="6">
        <v>70</v>
      </c>
      <c r="AK504">
        <v>205</v>
      </c>
      <c r="AL504">
        <v>340</v>
      </c>
      <c r="AM504">
        <v>475</v>
      </c>
      <c r="AO504" s="6"/>
      <c r="AS504"/>
      <c r="AT504" t="s">
        <v>214</v>
      </c>
      <c r="AU504" t="s">
        <v>214</v>
      </c>
    </row>
    <row r="505" spans="1:47" x14ac:dyDescent="0.25">
      <c r="A505" s="63" t="s">
        <v>91</v>
      </c>
      <c r="B505" s="63" t="s">
        <v>64</v>
      </c>
      <c r="C505" s="63" t="s">
        <v>91</v>
      </c>
      <c r="D505" s="34" t="s">
        <v>14</v>
      </c>
      <c r="E505" s="62" t="str">
        <f t="shared" si="7"/>
        <v>MizutuneKO</v>
      </c>
      <c r="F505">
        <v>260</v>
      </c>
      <c r="G505">
        <v>520</v>
      </c>
      <c r="H505">
        <v>780</v>
      </c>
      <c r="I505">
        <v>974</v>
      </c>
      <c r="J505" s="29"/>
      <c r="K505" s="6">
        <v>260</v>
      </c>
      <c r="L505">
        <v>520</v>
      </c>
      <c r="M505">
        <v>780</v>
      </c>
      <c r="N505">
        <v>1040</v>
      </c>
      <c r="P505" s="6">
        <v>280</v>
      </c>
      <c r="Q505">
        <v>560</v>
      </c>
      <c r="R505">
        <v>840</v>
      </c>
      <c r="S505">
        <v>1120</v>
      </c>
      <c r="U505" s="6"/>
      <c r="Z505" s="6">
        <v>300</v>
      </c>
      <c r="AA505">
        <v>600</v>
      </c>
      <c r="AB505">
        <v>900</v>
      </c>
      <c r="AC505">
        <v>1200</v>
      </c>
      <c r="AE505" s="6"/>
      <c r="AJ505" s="6">
        <v>400</v>
      </c>
      <c r="AK505">
        <v>800</v>
      </c>
      <c r="AL505">
        <v>1200</v>
      </c>
      <c r="AM505">
        <v>1600</v>
      </c>
      <c r="AO505" s="6"/>
      <c r="AS505">
        <v>10</v>
      </c>
      <c r="AT505" t="s">
        <v>214</v>
      </c>
      <c r="AU505" t="s">
        <v>214</v>
      </c>
    </row>
    <row r="506" spans="1:47" x14ac:dyDescent="0.25">
      <c r="A506" s="63" t="s">
        <v>91</v>
      </c>
      <c r="B506" s="63" t="s">
        <v>64</v>
      </c>
      <c r="C506" s="63" t="s">
        <v>91</v>
      </c>
      <c r="D506" s="33" t="s">
        <v>34</v>
      </c>
      <c r="E506" s="62" t="str">
        <f t="shared" si="7"/>
        <v>MizutuneMount</v>
      </c>
      <c r="F506">
        <v>96</v>
      </c>
      <c r="G506">
        <v>272</v>
      </c>
      <c r="H506">
        <v>448</v>
      </c>
      <c r="I506">
        <v>624</v>
      </c>
      <c r="K506" s="6">
        <v>96</v>
      </c>
      <c r="L506">
        <v>272</v>
      </c>
      <c r="M506">
        <v>448</v>
      </c>
      <c r="N506">
        <v>624</v>
      </c>
      <c r="P506" s="6">
        <v>108</v>
      </c>
      <c r="Q506">
        <v>306</v>
      </c>
      <c r="R506" s="6">
        <v>504</v>
      </c>
      <c r="S506">
        <v>702</v>
      </c>
      <c r="U506" s="6"/>
      <c r="Z506" s="6">
        <v>108</v>
      </c>
      <c r="AA506">
        <v>306</v>
      </c>
      <c r="AB506">
        <v>504</v>
      </c>
      <c r="AC506">
        <v>702</v>
      </c>
      <c r="AE506" s="6"/>
      <c r="AJ506" s="6">
        <v>120</v>
      </c>
      <c r="AK506">
        <v>340</v>
      </c>
      <c r="AL506">
        <v>560</v>
      </c>
      <c r="AM506">
        <v>780</v>
      </c>
      <c r="AO506" s="6"/>
      <c r="AS506"/>
      <c r="AT506" t="s">
        <v>214</v>
      </c>
      <c r="AU506" t="s">
        <v>214</v>
      </c>
    </row>
    <row r="507" spans="1:47" x14ac:dyDescent="0.25">
      <c r="A507" s="63" t="s">
        <v>91</v>
      </c>
      <c r="B507" s="63" t="s">
        <v>64</v>
      </c>
      <c r="C507" s="63" t="s">
        <v>91</v>
      </c>
      <c r="D507" s="77" t="s">
        <v>207</v>
      </c>
      <c r="E507" s="62" t="str">
        <f t="shared" si="7"/>
        <v>MizutuneShock Trap</v>
      </c>
      <c r="K507" s="6"/>
      <c r="P507" s="6"/>
      <c r="U507" s="6"/>
      <c r="AE507" s="6"/>
      <c r="AJ507" s="6"/>
      <c r="AO507" s="6"/>
      <c r="AS507">
        <v>8</v>
      </c>
      <c r="AT507">
        <v>15</v>
      </c>
      <c r="AU507">
        <v>10</v>
      </c>
    </row>
    <row r="508" spans="1:47" s="56" customFormat="1" x14ac:dyDescent="0.25">
      <c r="A508" s="63" t="s">
        <v>91</v>
      </c>
      <c r="B508" s="63" t="s">
        <v>64</v>
      </c>
      <c r="C508" s="63" t="s">
        <v>91</v>
      </c>
      <c r="D508" s="79" t="s">
        <v>213</v>
      </c>
      <c r="E508" s="62" t="str">
        <f t="shared" si="7"/>
        <v>MizutunePitfall Trap</v>
      </c>
      <c r="K508" s="7"/>
      <c r="P508" s="7"/>
      <c r="U508" s="7"/>
      <c r="Z508" s="7"/>
      <c r="AE508" s="7"/>
      <c r="AJ508" s="7"/>
      <c r="AO508" s="7"/>
      <c r="AS508" s="56">
        <v>10</v>
      </c>
      <c r="AT508" s="56">
        <v>25</v>
      </c>
      <c r="AU508" s="56">
        <v>12</v>
      </c>
    </row>
    <row r="509" spans="1:47" s="36" customFormat="1" x14ac:dyDescent="0.25">
      <c r="A509" s="63" t="s">
        <v>91</v>
      </c>
      <c r="B509" s="63" t="s">
        <v>65</v>
      </c>
      <c r="C509" s="63" t="s">
        <v>91</v>
      </c>
      <c r="D509" s="37" t="s">
        <v>0</v>
      </c>
      <c r="E509" s="62" t="str">
        <f t="shared" si="7"/>
        <v>NajaralaPara</v>
      </c>
      <c r="F509" s="36">
        <v>400</v>
      </c>
      <c r="G509" s="36">
        <v>520</v>
      </c>
      <c r="H509" s="36">
        <v>640</v>
      </c>
      <c r="I509" s="36">
        <v>760</v>
      </c>
      <c r="J509" s="61"/>
      <c r="K509" s="50"/>
      <c r="P509" s="6">
        <v>400</v>
      </c>
      <c r="Q509" s="46">
        <v>580</v>
      </c>
      <c r="R509" s="46">
        <v>760</v>
      </c>
      <c r="S509" s="46">
        <v>940</v>
      </c>
      <c r="U509" s="50"/>
      <c r="Z509" s="6">
        <v>400</v>
      </c>
      <c r="AA509" s="46">
        <v>600</v>
      </c>
      <c r="AB509" s="46">
        <v>800</v>
      </c>
      <c r="AC509" s="46">
        <v>1000</v>
      </c>
      <c r="AE509" s="50"/>
      <c r="AJ509" s="6"/>
      <c r="AK509" s="46"/>
      <c r="AL509" s="46"/>
      <c r="AM509" s="46"/>
      <c r="AO509" s="50"/>
      <c r="AS509" s="36">
        <v>10</v>
      </c>
      <c r="AT509" s="36" t="s">
        <v>214</v>
      </c>
      <c r="AU509" s="36" t="s">
        <v>214</v>
      </c>
    </row>
    <row r="510" spans="1:47" x14ac:dyDescent="0.25">
      <c r="A510" s="63" t="s">
        <v>91</v>
      </c>
      <c r="B510" s="63" t="s">
        <v>65</v>
      </c>
      <c r="C510" s="63" t="s">
        <v>91</v>
      </c>
      <c r="D510" s="31" t="s">
        <v>32</v>
      </c>
      <c r="E510" s="62" t="str">
        <f t="shared" si="7"/>
        <v>NajaralaSleep</v>
      </c>
      <c r="F510">
        <v>180</v>
      </c>
      <c r="G510">
        <v>324</v>
      </c>
      <c r="H510">
        <v>468</v>
      </c>
      <c r="I510">
        <v>612</v>
      </c>
      <c r="K510" s="6"/>
      <c r="P510" s="6">
        <v>180</v>
      </c>
      <c r="Q510">
        <v>396</v>
      </c>
      <c r="R510">
        <v>612</v>
      </c>
      <c r="S510">
        <v>828</v>
      </c>
      <c r="U510" s="6"/>
      <c r="Z510" s="6">
        <v>180</v>
      </c>
      <c r="AA510">
        <v>420</v>
      </c>
      <c r="AB510">
        <v>660</v>
      </c>
      <c r="AC510">
        <v>900</v>
      </c>
      <c r="AE510" s="6"/>
      <c r="AJ510" s="6"/>
      <c r="AO510" s="6"/>
      <c r="AS510">
        <v>40</v>
      </c>
      <c r="AT510" t="s">
        <v>214</v>
      </c>
      <c r="AU510" t="s">
        <v>214</v>
      </c>
    </row>
    <row r="511" spans="1:47" x14ac:dyDescent="0.25">
      <c r="A511" s="63" t="s">
        <v>91</v>
      </c>
      <c r="B511" s="63" t="s">
        <v>65</v>
      </c>
      <c r="C511" s="63" t="s">
        <v>91</v>
      </c>
      <c r="D511" s="32" t="s">
        <v>33</v>
      </c>
      <c r="E511" s="62" t="str">
        <f t="shared" si="7"/>
        <v>NajaralaPoison</v>
      </c>
      <c r="F511">
        <v>230</v>
      </c>
      <c r="G511">
        <v>362</v>
      </c>
      <c r="H511">
        <v>494</v>
      </c>
      <c r="I511">
        <v>626</v>
      </c>
      <c r="J511" s="29"/>
      <c r="K511" s="6"/>
      <c r="P511" s="6">
        <v>230</v>
      </c>
      <c r="Q511">
        <v>428</v>
      </c>
      <c r="R511">
        <v>626</v>
      </c>
      <c r="S511">
        <v>824</v>
      </c>
      <c r="U511" s="6"/>
      <c r="Z511" s="6">
        <v>230</v>
      </c>
      <c r="AA511">
        <v>450</v>
      </c>
      <c r="AB511">
        <v>670</v>
      </c>
      <c r="AC511">
        <v>890</v>
      </c>
      <c r="AE511" s="6"/>
      <c r="AJ511" s="6"/>
      <c r="AO511" s="6"/>
      <c r="AS511">
        <v>60</v>
      </c>
      <c r="AT511" t="s">
        <v>214</v>
      </c>
      <c r="AU511" t="s">
        <v>214</v>
      </c>
    </row>
    <row r="512" spans="1:47" x14ac:dyDescent="0.25">
      <c r="A512" s="63" t="s">
        <v>91</v>
      </c>
      <c r="B512" s="63" t="s">
        <v>65</v>
      </c>
      <c r="C512" s="63" t="s">
        <v>91</v>
      </c>
      <c r="D512" s="10" t="s">
        <v>22</v>
      </c>
      <c r="E512" s="62" t="str">
        <f t="shared" si="7"/>
        <v>NajaralaExhaust</v>
      </c>
      <c r="F512">
        <v>270</v>
      </c>
      <c r="G512">
        <v>382</v>
      </c>
      <c r="H512">
        <v>494</v>
      </c>
      <c r="I512">
        <v>606</v>
      </c>
      <c r="J512" s="29"/>
      <c r="K512" s="6"/>
      <c r="P512" s="6">
        <v>315</v>
      </c>
      <c r="Q512">
        <v>446</v>
      </c>
      <c r="R512">
        <v>577</v>
      </c>
      <c r="S512">
        <v>708</v>
      </c>
      <c r="U512" s="6"/>
      <c r="Z512" s="6">
        <v>333</v>
      </c>
      <c r="AA512">
        <v>420</v>
      </c>
      <c r="AB512">
        <v>507</v>
      </c>
      <c r="AC512">
        <v>594</v>
      </c>
      <c r="AE512" s="6"/>
      <c r="AJ512" s="6"/>
      <c r="AO512" s="6"/>
      <c r="AS512"/>
      <c r="AT512" t="s">
        <v>214</v>
      </c>
      <c r="AU512" t="s">
        <v>214</v>
      </c>
    </row>
    <row r="513" spans="1:47" x14ac:dyDescent="0.25">
      <c r="A513" s="63" t="s">
        <v>91</v>
      </c>
      <c r="B513" s="63" t="s">
        <v>65</v>
      </c>
      <c r="C513" s="63" t="s">
        <v>91</v>
      </c>
      <c r="D513" s="30" t="s">
        <v>35</v>
      </c>
      <c r="E513" s="62" t="str">
        <f t="shared" si="7"/>
        <v>NajaralaBlast</v>
      </c>
      <c r="F513">
        <v>70</v>
      </c>
      <c r="G513">
        <v>106</v>
      </c>
      <c r="H513">
        <v>142</v>
      </c>
      <c r="I513">
        <v>178</v>
      </c>
      <c r="K513" s="6"/>
      <c r="P513" s="6">
        <v>70</v>
      </c>
      <c r="Q513">
        <v>124</v>
      </c>
      <c r="R513" s="6">
        <v>178</v>
      </c>
      <c r="S513">
        <v>232</v>
      </c>
      <c r="U513" s="6"/>
      <c r="Z513" s="6">
        <v>70</v>
      </c>
      <c r="AA513">
        <v>130</v>
      </c>
      <c r="AB513" s="6">
        <v>190</v>
      </c>
      <c r="AC513">
        <v>250</v>
      </c>
      <c r="AE513" s="6"/>
      <c r="AG513" s="6"/>
      <c r="AJ513" s="6"/>
      <c r="AO513" s="6"/>
      <c r="AS513"/>
      <c r="AT513" t="s">
        <v>214</v>
      </c>
      <c r="AU513" t="s">
        <v>214</v>
      </c>
    </row>
    <row r="514" spans="1:47" x14ac:dyDescent="0.25">
      <c r="A514" s="63" t="s">
        <v>91</v>
      </c>
      <c r="B514" s="63" t="s">
        <v>65</v>
      </c>
      <c r="C514" s="63" t="s">
        <v>91</v>
      </c>
      <c r="D514" s="34" t="s">
        <v>14</v>
      </c>
      <c r="E514" s="62" t="str">
        <f t="shared" si="7"/>
        <v>NajaralaKO</v>
      </c>
      <c r="F514">
        <v>143</v>
      </c>
      <c r="G514">
        <v>325</v>
      </c>
      <c r="H514">
        <v>506</v>
      </c>
      <c r="I514">
        <v>689</v>
      </c>
      <c r="J514" s="29"/>
      <c r="K514" s="6"/>
      <c r="P514" s="6">
        <v>143</v>
      </c>
      <c r="Q514">
        <v>325</v>
      </c>
      <c r="R514">
        <v>507</v>
      </c>
      <c r="S514">
        <v>689</v>
      </c>
      <c r="U514" s="6"/>
      <c r="Z514" s="6">
        <v>154</v>
      </c>
      <c r="AA514">
        <v>350</v>
      </c>
      <c r="AB514">
        <v>546</v>
      </c>
      <c r="AC514">
        <v>742</v>
      </c>
      <c r="AE514" s="6"/>
      <c r="AJ514" s="6"/>
      <c r="AO514" s="6"/>
      <c r="AS514">
        <v>10</v>
      </c>
      <c r="AT514" t="s">
        <v>214</v>
      </c>
      <c r="AU514" t="s">
        <v>214</v>
      </c>
    </row>
    <row r="515" spans="1:47" x14ac:dyDescent="0.25">
      <c r="A515" s="63" t="s">
        <v>91</v>
      </c>
      <c r="B515" s="63" t="s">
        <v>65</v>
      </c>
      <c r="C515" s="63" t="s">
        <v>91</v>
      </c>
      <c r="D515" s="33" t="s">
        <v>34</v>
      </c>
      <c r="E515" s="62" t="str">
        <f t="shared" si="7"/>
        <v>NajaralaMount</v>
      </c>
      <c r="F515">
        <v>80</v>
      </c>
      <c r="G515">
        <v>176</v>
      </c>
      <c r="H515">
        <v>272</v>
      </c>
      <c r="I515">
        <v>368</v>
      </c>
      <c r="K515" s="6"/>
      <c r="P515" s="6">
        <v>85</v>
      </c>
      <c r="Q515">
        <v>187</v>
      </c>
      <c r="R515" s="6">
        <v>289</v>
      </c>
      <c r="S515">
        <v>391</v>
      </c>
      <c r="U515" s="6"/>
      <c r="Z515" s="6">
        <v>90</v>
      </c>
      <c r="AA515">
        <v>198</v>
      </c>
      <c r="AB515">
        <v>306</v>
      </c>
      <c r="AC515">
        <v>414</v>
      </c>
      <c r="AE515" s="6"/>
      <c r="AJ515" s="6"/>
      <c r="AO515" s="6"/>
      <c r="AS515"/>
      <c r="AT515" t="s">
        <v>214</v>
      </c>
      <c r="AU515" t="s">
        <v>214</v>
      </c>
    </row>
    <row r="516" spans="1:47" x14ac:dyDescent="0.25">
      <c r="A516" s="63" t="s">
        <v>91</v>
      </c>
      <c r="B516" s="63" t="s">
        <v>65</v>
      </c>
      <c r="C516" s="63" t="s">
        <v>91</v>
      </c>
      <c r="D516" s="77" t="s">
        <v>207</v>
      </c>
      <c r="E516" s="62" t="str">
        <f t="shared" si="7"/>
        <v>NajaralaShock Trap</v>
      </c>
      <c r="K516" s="6"/>
      <c r="P516" s="6"/>
      <c r="U516" s="6"/>
      <c r="AE516" s="6"/>
      <c r="AJ516" s="6"/>
      <c r="AO516" s="6"/>
      <c r="AS516">
        <v>8</v>
      </c>
      <c r="AT516">
        <v>15</v>
      </c>
      <c r="AU516">
        <v>10</v>
      </c>
    </row>
    <row r="517" spans="1:47" s="56" customFormat="1" x14ac:dyDescent="0.25">
      <c r="A517" s="63" t="s">
        <v>91</v>
      </c>
      <c r="B517" s="63" t="s">
        <v>65</v>
      </c>
      <c r="C517" s="63" t="s">
        <v>91</v>
      </c>
      <c r="D517" s="79" t="s">
        <v>213</v>
      </c>
      <c r="E517" s="62" t="str">
        <f t="shared" ref="E517:E580" si="8">B517&amp;D517</f>
        <v>NajaralaPitfall Trap</v>
      </c>
      <c r="K517" s="7"/>
      <c r="P517" s="7"/>
      <c r="U517" s="7"/>
      <c r="Z517" s="7"/>
      <c r="AE517" s="7"/>
      <c r="AJ517" s="7"/>
      <c r="AO517" s="7"/>
      <c r="AS517" s="56">
        <v>12</v>
      </c>
      <c r="AT517" s="56">
        <v>20</v>
      </c>
      <c r="AU517" s="56">
        <v>16</v>
      </c>
    </row>
    <row r="518" spans="1:47" s="36" customFormat="1" x14ac:dyDescent="0.25">
      <c r="A518" s="63" t="s">
        <v>91</v>
      </c>
      <c r="B518" s="63" t="s">
        <v>66</v>
      </c>
      <c r="C518" s="63" t="s">
        <v>91</v>
      </c>
      <c r="D518" s="37" t="s">
        <v>0</v>
      </c>
      <c r="E518" s="62" t="str">
        <f t="shared" si="8"/>
        <v>NargacugaPara</v>
      </c>
      <c r="F518" s="36">
        <v>180</v>
      </c>
      <c r="G518" s="36">
        <v>360</v>
      </c>
      <c r="H518" s="36">
        <v>540</v>
      </c>
      <c r="I518" s="36">
        <v>720</v>
      </c>
      <c r="J518" s="61"/>
      <c r="K518" s="50"/>
      <c r="P518" s="6">
        <v>180</v>
      </c>
      <c r="Q518" s="46">
        <v>450</v>
      </c>
      <c r="R518" s="46">
        <v>720</v>
      </c>
      <c r="S518" s="46">
        <v>990</v>
      </c>
      <c r="U518" s="50"/>
      <c r="Z518" s="6">
        <v>180</v>
      </c>
      <c r="AA518" s="46">
        <v>480</v>
      </c>
      <c r="AB518" s="46">
        <v>780</v>
      </c>
      <c r="AC518" s="46">
        <v>1080</v>
      </c>
      <c r="AE518" s="50"/>
      <c r="AJ518" s="6">
        <v>180</v>
      </c>
      <c r="AK518" s="46">
        <v>570</v>
      </c>
      <c r="AL518" s="46">
        <v>960</v>
      </c>
      <c r="AM518" s="46">
        <v>1350</v>
      </c>
      <c r="AO518" s="50"/>
      <c r="AS518" s="36">
        <v>10</v>
      </c>
      <c r="AT518" s="36" t="s">
        <v>214</v>
      </c>
      <c r="AU518" s="36" t="s">
        <v>214</v>
      </c>
    </row>
    <row r="519" spans="1:47" x14ac:dyDescent="0.25">
      <c r="A519" s="63" t="s">
        <v>91</v>
      </c>
      <c r="B519" s="63" t="s">
        <v>66</v>
      </c>
      <c r="C519" s="63" t="s">
        <v>91</v>
      </c>
      <c r="D519" s="31" t="s">
        <v>32</v>
      </c>
      <c r="E519" s="62" t="str">
        <f t="shared" si="8"/>
        <v>NargacugaSleep</v>
      </c>
      <c r="F519">
        <v>180</v>
      </c>
      <c r="G519">
        <v>360</v>
      </c>
      <c r="H519">
        <v>540</v>
      </c>
      <c r="I519">
        <v>720</v>
      </c>
      <c r="K519" s="6"/>
      <c r="P519" s="6">
        <v>180</v>
      </c>
      <c r="Q519">
        <v>450</v>
      </c>
      <c r="R519">
        <v>720</v>
      </c>
      <c r="S519">
        <v>990</v>
      </c>
      <c r="U519" s="6"/>
      <c r="Z519" s="6">
        <v>180</v>
      </c>
      <c r="AA519">
        <v>480</v>
      </c>
      <c r="AB519">
        <v>780</v>
      </c>
      <c r="AC519">
        <v>1080</v>
      </c>
      <c r="AE519" s="6"/>
      <c r="AJ519" s="6">
        <v>180</v>
      </c>
      <c r="AK519">
        <v>570</v>
      </c>
      <c r="AL519">
        <v>960</v>
      </c>
      <c r="AM519">
        <v>1350</v>
      </c>
      <c r="AO519" s="6"/>
      <c r="AS519">
        <v>20</v>
      </c>
      <c r="AT519" t="s">
        <v>214</v>
      </c>
      <c r="AU519" t="s">
        <v>214</v>
      </c>
    </row>
    <row r="520" spans="1:47" x14ac:dyDescent="0.25">
      <c r="A520" s="63" t="s">
        <v>91</v>
      </c>
      <c r="B520" s="63" t="s">
        <v>66</v>
      </c>
      <c r="C520" s="63" t="s">
        <v>91</v>
      </c>
      <c r="D520" s="32" t="s">
        <v>33</v>
      </c>
      <c r="E520" s="62" t="str">
        <f t="shared" si="8"/>
        <v>NargacugaPoison</v>
      </c>
      <c r="F520">
        <v>180</v>
      </c>
      <c r="G520">
        <v>312</v>
      </c>
      <c r="H520">
        <v>444</v>
      </c>
      <c r="I520">
        <v>576</v>
      </c>
      <c r="J520" s="29"/>
      <c r="K520" s="6"/>
      <c r="P520" s="6">
        <v>180</v>
      </c>
      <c r="Q520">
        <v>378</v>
      </c>
      <c r="R520">
        <v>576</v>
      </c>
      <c r="S520">
        <v>774</v>
      </c>
      <c r="U520" s="6"/>
      <c r="Z520" s="6">
        <v>180</v>
      </c>
      <c r="AA520">
        <v>400</v>
      </c>
      <c r="AB520">
        <v>620</v>
      </c>
      <c r="AC520">
        <v>840</v>
      </c>
      <c r="AE520" s="6"/>
      <c r="AJ520" s="6">
        <v>180</v>
      </c>
      <c r="AK520">
        <v>466</v>
      </c>
      <c r="AL520">
        <v>752</v>
      </c>
      <c r="AM520">
        <v>1038</v>
      </c>
      <c r="AO520" s="6"/>
      <c r="AS520">
        <v>60</v>
      </c>
      <c r="AT520" t="s">
        <v>214</v>
      </c>
      <c r="AU520" t="s">
        <v>214</v>
      </c>
    </row>
    <row r="521" spans="1:47" x14ac:dyDescent="0.25">
      <c r="A521" s="63" t="s">
        <v>91</v>
      </c>
      <c r="B521" s="63" t="s">
        <v>66</v>
      </c>
      <c r="C521" s="63" t="s">
        <v>91</v>
      </c>
      <c r="D521" s="10" t="s">
        <v>22</v>
      </c>
      <c r="E521" s="62" t="str">
        <f t="shared" si="8"/>
        <v>NargacugaExhaust</v>
      </c>
      <c r="F521">
        <v>270</v>
      </c>
      <c r="G521">
        <v>382</v>
      </c>
      <c r="H521">
        <v>495</v>
      </c>
      <c r="I521">
        <v>607</v>
      </c>
      <c r="J521" s="29"/>
      <c r="K521" s="6"/>
      <c r="P521" s="6">
        <v>315</v>
      </c>
      <c r="Q521">
        <v>446</v>
      </c>
      <c r="R521">
        <v>577</v>
      </c>
      <c r="S521">
        <v>708</v>
      </c>
      <c r="U521" s="6"/>
      <c r="Z521" s="6">
        <v>333</v>
      </c>
      <c r="AA521">
        <v>471</v>
      </c>
      <c r="AB521">
        <v>609</v>
      </c>
      <c r="AC521">
        <v>747</v>
      </c>
      <c r="AE521" s="6"/>
      <c r="AJ521" s="6">
        <v>450</v>
      </c>
      <c r="AK521">
        <v>637</v>
      </c>
      <c r="AL521">
        <v>824</v>
      </c>
      <c r="AM521">
        <v>1011</v>
      </c>
      <c r="AO521" s="6"/>
      <c r="AS521"/>
      <c r="AT521" t="s">
        <v>214</v>
      </c>
      <c r="AU521" t="s">
        <v>214</v>
      </c>
    </row>
    <row r="522" spans="1:47" x14ac:dyDescent="0.25">
      <c r="A522" s="63" t="s">
        <v>91</v>
      </c>
      <c r="B522" s="63" t="s">
        <v>66</v>
      </c>
      <c r="C522" s="63" t="s">
        <v>91</v>
      </c>
      <c r="D522" s="30" t="s">
        <v>35</v>
      </c>
      <c r="E522" s="62" t="str">
        <f t="shared" si="8"/>
        <v>NargacugaBlast</v>
      </c>
      <c r="F522">
        <v>70</v>
      </c>
      <c r="G522">
        <v>106</v>
      </c>
      <c r="H522">
        <v>142</v>
      </c>
      <c r="I522">
        <v>178</v>
      </c>
      <c r="K522" s="6"/>
      <c r="P522" s="6">
        <v>70</v>
      </c>
      <c r="Q522">
        <v>124</v>
      </c>
      <c r="R522" s="6">
        <v>178</v>
      </c>
      <c r="S522">
        <v>232</v>
      </c>
      <c r="U522" s="6"/>
      <c r="Z522" s="6">
        <v>70</v>
      </c>
      <c r="AA522">
        <v>120</v>
      </c>
      <c r="AB522" s="6">
        <v>170</v>
      </c>
      <c r="AC522">
        <v>220</v>
      </c>
      <c r="AE522" s="6"/>
      <c r="AG522" s="6"/>
      <c r="AJ522" s="6">
        <v>70</v>
      </c>
      <c r="AK522">
        <v>148</v>
      </c>
      <c r="AL522">
        <v>226</v>
      </c>
      <c r="AM522">
        <v>304</v>
      </c>
      <c r="AO522" s="6"/>
      <c r="AS522"/>
      <c r="AT522" t="s">
        <v>214</v>
      </c>
      <c r="AU522" t="s">
        <v>214</v>
      </c>
    </row>
    <row r="523" spans="1:47" x14ac:dyDescent="0.25">
      <c r="A523" s="63" t="s">
        <v>91</v>
      </c>
      <c r="B523" s="63" t="s">
        <v>66</v>
      </c>
      <c r="C523" s="63" t="s">
        <v>91</v>
      </c>
      <c r="D523" s="34" t="s">
        <v>14</v>
      </c>
      <c r="E523" s="62" t="str">
        <f t="shared" si="8"/>
        <v>NargacugaKO</v>
      </c>
      <c r="F523">
        <v>260</v>
      </c>
      <c r="G523">
        <v>454</v>
      </c>
      <c r="H523">
        <v>650</v>
      </c>
      <c r="I523">
        <v>844</v>
      </c>
      <c r="J523" s="29"/>
      <c r="K523" s="6"/>
      <c r="P523" s="6">
        <v>260</v>
      </c>
      <c r="Q523">
        <v>454</v>
      </c>
      <c r="R523">
        <v>648</v>
      </c>
      <c r="S523">
        <v>842</v>
      </c>
      <c r="U523" s="6"/>
      <c r="Z523" s="6">
        <v>280</v>
      </c>
      <c r="AA523">
        <v>490</v>
      </c>
      <c r="AB523">
        <v>700</v>
      </c>
      <c r="AC523">
        <v>910</v>
      </c>
      <c r="AE523" s="6"/>
      <c r="AJ523" s="6">
        <v>400</v>
      </c>
      <c r="AK523">
        <v>700</v>
      </c>
      <c r="AL523">
        <v>1000</v>
      </c>
      <c r="AM523">
        <v>1300</v>
      </c>
      <c r="AO523" s="6"/>
      <c r="AS523">
        <v>10</v>
      </c>
      <c r="AT523" t="s">
        <v>214</v>
      </c>
      <c r="AU523" t="s">
        <v>214</v>
      </c>
    </row>
    <row r="524" spans="1:47" x14ac:dyDescent="0.25">
      <c r="A524" s="63" t="s">
        <v>91</v>
      </c>
      <c r="B524" s="63" t="s">
        <v>66</v>
      </c>
      <c r="C524" s="63" t="s">
        <v>91</v>
      </c>
      <c r="D524" s="33" t="s">
        <v>34</v>
      </c>
      <c r="E524" s="62" t="str">
        <f t="shared" si="8"/>
        <v>NargacugaMount</v>
      </c>
      <c r="F524">
        <v>96</v>
      </c>
      <c r="G524">
        <v>272</v>
      </c>
      <c r="H524">
        <v>448</v>
      </c>
      <c r="I524">
        <v>624</v>
      </c>
      <c r="K524" s="6"/>
      <c r="P524" s="6">
        <v>102</v>
      </c>
      <c r="Q524">
        <v>289</v>
      </c>
      <c r="R524" s="6">
        <v>476</v>
      </c>
      <c r="S524">
        <v>663</v>
      </c>
      <c r="U524" s="6"/>
      <c r="Z524" s="6">
        <v>108</v>
      </c>
      <c r="AA524">
        <v>306</v>
      </c>
      <c r="AB524">
        <v>504</v>
      </c>
      <c r="AC524">
        <v>702</v>
      </c>
      <c r="AE524" s="6"/>
      <c r="AJ524" s="6">
        <v>120</v>
      </c>
      <c r="AK524">
        <v>340</v>
      </c>
      <c r="AL524">
        <v>560</v>
      </c>
      <c r="AM524">
        <v>780</v>
      </c>
      <c r="AO524" s="6"/>
      <c r="AS524"/>
      <c r="AT524" t="s">
        <v>214</v>
      </c>
      <c r="AU524" t="s">
        <v>214</v>
      </c>
    </row>
    <row r="525" spans="1:47" x14ac:dyDescent="0.25">
      <c r="A525" s="63" t="s">
        <v>91</v>
      </c>
      <c r="B525" s="63" t="s">
        <v>66</v>
      </c>
      <c r="C525" s="63" t="s">
        <v>91</v>
      </c>
      <c r="D525" s="77" t="s">
        <v>207</v>
      </c>
      <c r="E525" s="62" t="str">
        <f t="shared" si="8"/>
        <v>NargacugaShock Trap</v>
      </c>
      <c r="K525" s="6"/>
      <c r="P525" s="6"/>
      <c r="U525" s="6"/>
      <c r="AE525" s="6"/>
      <c r="AJ525" s="6"/>
      <c r="AO525" s="6"/>
      <c r="AS525">
        <v>8</v>
      </c>
      <c r="AT525">
        <v>15</v>
      </c>
      <c r="AU525">
        <v>8</v>
      </c>
    </row>
    <row r="526" spans="1:47" s="56" customFormat="1" x14ac:dyDescent="0.25">
      <c r="A526" s="63" t="s">
        <v>91</v>
      </c>
      <c r="B526" s="63" t="s">
        <v>66</v>
      </c>
      <c r="C526" s="63" t="s">
        <v>91</v>
      </c>
      <c r="D526" s="79" t="s">
        <v>213</v>
      </c>
      <c r="E526" s="62" t="str">
        <f t="shared" si="8"/>
        <v>NargacugaPitfall Trap</v>
      </c>
      <c r="K526" s="7"/>
      <c r="P526" s="7"/>
      <c r="U526" s="7"/>
      <c r="Z526" s="7"/>
      <c r="AE526" s="7"/>
      <c r="AJ526" s="7"/>
      <c r="AO526" s="7"/>
      <c r="AS526" s="56">
        <v>20</v>
      </c>
      <c r="AT526" s="56">
        <v>25</v>
      </c>
      <c r="AU526" s="56">
        <v>20</v>
      </c>
    </row>
    <row r="527" spans="1:47" s="36" customFormat="1" x14ac:dyDescent="0.25">
      <c r="A527" s="63" t="s">
        <v>91</v>
      </c>
      <c r="B527" s="63" t="s">
        <v>88</v>
      </c>
      <c r="C527" s="63" t="s">
        <v>91</v>
      </c>
      <c r="D527" s="37" t="s">
        <v>0</v>
      </c>
      <c r="E527" s="62" t="str">
        <f t="shared" si="8"/>
        <v>NarkosPara</v>
      </c>
      <c r="F527" s="36">
        <v>0</v>
      </c>
      <c r="G527" s="36">
        <v>0</v>
      </c>
      <c r="H527" s="36">
        <v>0</v>
      </c>
      <c r="I527" s="36">
        <v>0</v>
      </c>
      <c r="J527" s="61"/>
      <c r="K527" s="50"/>
      <c r="P527" s="6"/>
      <c r="Q527" s="46"/>
      <c r="R527" s="46"/>
      <c r="S527" s="46"/>
      <c r="U527" s="50"/>
      <c r="Z527" s="6">
        <v>0</v>
      </c>
      <c r="AA527" s="46">
        <v>0</v>
      </c>
      <c r="AB527" s="46">
        <v>0</v>
      </c>
      <c r="AC527" s="46">
        <v>0</v>
      </c>
      <c r="AE527" s="50"/>
      <c r="AJ527" s="6"/>
      <c r="AK527" s="46"/>
      <c r="AL527" s="46"/>
      <c r="AM527" s="46"/>
      <c r="AO527" s="50"/>
      <c r="AS527" s="36">
        <v>0</v>
      </c>
      <c r="AT527" s="36" t="s">
        <v>214</v>
      </c>
      <c r="AU527" s="36" t="s">
        <v>214</v>
      </c>
    </row>
    <row r="528" spans="1:47" x14ac:dyDescent="0.25">
      <c r="A528" s="63" t="s">
        <v>91</v>
      </c>
      <c r="B528" s="63" t="s">
        <v>88</v>
      </c>
      <c r="C528" s="63" t="s">
        <v>91</v>
      </c>
      <c r="D528" s="31" t="s">
        <v>32</v>
      </c>
      <c r="E528" s="62" t="str">
        <f t="shared" si="8"/>
        <v>NarkosSleep</v>
      </c>
      <c r="F528">
        <v>0</v>
      </c>
      <c r="G528">
        <v>0</v>
      </c>
      <c r="H528">
        <v>0</v>
      </c>
      <c r="I528">
        <v>0</v>
      </c>
      <c r="K528" s="6"/>
      <c r="P528" s="6"/>
      <c r="U528" s="6"/>
      <c r="Z528" s="6">
        <v>0</v>
      </c>
      <c r="AA528">
        <v>0</v>
      </c>
      <c r="AB528">
        <v>0</v>
      </c>
      <c r="AC528">
        <v>0</v>
      </c>
      <c r="AE528" s="6"/>
      <c r="AJ528" s="6"/>
      <c r="AO528" s="6"/>
      <c r="AS528">
        <v>0</v>
      </c>
      <c r="AT528" t="s">
        <v>214</v>
      </c>
      <c r="AU528" t="s">
        <v>214</v>
      </c>
    </row>
    <row r="529" spans="1:47" x14ac:dyDescent="0.25">
      <c r="A529" s="63" t="s">
        <v>91</v>
      </c>
      <c r="B529" s="63" t="s">
        <v>88</v>
      </c>
      <c r="C529" s="63" t="s">
        <v>91</v>
      </c>
      <c r="D529" s="32" t="s">
        <v>33</v>
      </c>
      <c r="E529" s="62" t="str">
        <f t="shared" si="8"/>
        <v>NarkosPoison</v>
      </c>
      <c r="F529">
        <v>400</v>
      </c>
      <c r="G529">
        <v>550</v>
      </c>
      <c r="H529">
        <v>700</v>
      </c>
      <c r="I529">
        <v>850</v>
      </c>
      <c r="J529" s="29"/>
      <c r="K529" s="6"/>
      <c r="P529" s="6"/>
      <c r="U529" s="6"/>
      <c r="Z529" s="6">
        <v>400</v>
      </c>
      <c r="AA529">
        <v>630</v>
      </c>
      <c r="AB529">
        <v>860</v>
      </c>
      <c r="AC529">
        <v>1090</v>
      </c>
      <c r="AE529" s="6"/>
      <c r="AJ529" s="6"/>
      <c r="AO529" s="6"/>
      <c r="AS529">
        <v>60</v>
      </c>
      <c r="AT529" t="s">
        <v>214</v>
      </c>
      <c r="AU529" t="s">
        <v>214</v>
      </c>
    </row>
    <row r="530" spans="1:47" x14ac:dyDescent="0.25">
      <c r="A530" s="63" t="s">
        <v>91</v>
      </c>
      <c r="B530" s="63" t="s">
        <v>88</v>
      </c>
      <c r="C530" s="63" t="s">
        <v>91</v>
      </c>
      <c r="D530" s="10" t="s">
        <v>22</v>
      </c>
      <c r="E530" s="62" t="str">
        <f t="shared" si="8"/>
        <v>NarkosExhaust</v>
      </c>
      <c r="F530">
        <v>0</v>
      </c>
      <c r="G530">
        <v>0</v>
      </c>
      <c r="H530">
        <v>0</v>
      </c>
      <c r="I530">
        <v>0</v>
      </c>
      <c r="J530" s="29"/>
      <c r="K530" s="6"/>
      <c r="P530" s="6"/>
      <c r="U530" s="6"/>
      <c r="Z530" s="6">
        <v>0</v>
      </c>
      <c r="AA530">
        <v>0</v>
      </c>
      <c r="AB530">
        <v>0</v>
      </c>
      <c r="AC530">
        <v>0</v>
      </c>
      <c r="AE530" s="6"/>
      <c r="AJ530" s="6"/>
      <c r="AO530" s="6"/>
      <c r="AS530"/>
      <c r="AT530" t="s">
        <v>214</v>
      </c>
      <c r="AU530" t="s">
        <v>214</v>
      </c>
    </row>
    <row r="531" spans="1:47" x14ac:dyDescent="0.25">
      <c r="A531" s="63" t="s">
        <v>91</v>
      </c>
      <c r="B531" s="63" t="s">
        <v>88</v>
      </c>
      <c r="C531" s="63" t="s">
        <v>91</v>
      </c>
      <c r="D531" s="30" t="s">
        <v>35</v>
      </c>
      <c r="E531" s="62" t="str">
        <f t="shared" si="8"/>
        <v>NarkosBlast</v>
      </c>
      <c r="F531">
        <v>70</v>
      </c>
      <c r="G531">
        <v>152</v>
      </c>
      <c r="H531">
        <v>234</v>
      </c>
      <c r="I531">
        <v>316</v>
      </c>
      <c r="K531" s="6"/>
      <c r="P531" s="6"/>
      <c r="R531" s="6"/>
      <c r="U531" s="6"/>
      <c r="Z531" s="6">
        <v>70</v>
      </c>
      <c r="AA531">
        <v>196</v>
      </c>
      <c r="AB531" s="6">
        <v>322</v>
      </c>
      <c r="AC531">
        <v>448</v>
      </c>
      <c r="AE531" s="6"/>
      <c r="AG531" s="6"/>
      <c r="AJ531" s="6"/>
      <c r="AO531" s="6"/>
      <c r="AS531"/>
      <c r="AT531" t="s">
        <v>214</v>
      </c>
      <c r="AU531" t="s">
        <v>214</v>
      </c>
    </row>
    <row r="532" spans="1:47" x14ac:dyDescent="0.25">
      <c r="A532" s="63" t="s">
        <v>91</v>
      </c>
      <c r="B532" s="63" t="s">
        <v>88</v>
      </c>
      <c r="C532" s="63" t="s">
        <v>91</v>
      </c>
      <c r="D532" s="34" t="s">
        <v>14</v>
      </c>
      <c r="E532" s="62" t="str">
        <f t="shared" si="8"/>
        <v>NarkosKO</v>
      </c>
      <c r="F532">
        <v>0</v>
      </c>
      <c r="G532">
        <v>0</v>
      </c>
      <c r="H532">
        <v>0</v>
      </c>
      <c r="I532">
        <v>0</v>
      </c>
      <c r="J532" s="29"/>
      <c r="K532" s="6"/>
      <c r="P532" s="6"/>
      <c r="U532" s="6"/>
      <c r="Z532" s="6">
        <v>0</v>
      </c>
      <c r="AA532">
        <v>0</v>
      </c>
      <c r="AB532">
        <v>0</v>
      </c>
      <c r="AC532">
        <v>0</v>
      </c>
      <c r="AE532" s="6"/>
      <c r="AJ532" s="6"/>
      <c r="AO532" s="6"/>
      <c r="AS532">
        <v>0</v>
      </c>
      <c r="AT532" t="s">
        <v>214</v>
      </c>
      <c r="AU532" t="s">
        <v>214</v>
      </c>
    </row>
    <row r="533" spans="1:47" x14ac:dyDescent="0.25">
      <c r="A533" s="63" t="s">
        <v>91</v>
      </c>
      <c r="B533" s="63" t="s">
        <v>88</v>
      </c>
      <c r="C533" s="63" t="s">
        <v>91</v>
      </c>
      <c r="D533" s="33" t="s">
        <v>34</v>
      </c>
      <c r="E533" s="62" t="str">
        <f t="shared" si="8"/>
        <v>NarkosMount</v>
      </c>
      <c r="F533">
        <v>0</v>
      </c>
      <c r="G533">
        <v>0</v>
      </c>
      <c r="H533">
        <v>0</v>
      </c>
      <c r="I533">
        <v>0</v>
      </c>
      <c r="K533" s="6"/>
      <c r="P533" s="6"/>
      <c r="R533" s="6"/>
      <c r="U533" s="6"/>
      <c r="Z533" s="6">
        <v>0</v>
      </c>
      <c r="AA533">
        <v>0</v>
      </c>
      <c r="AB533">
        <v>0</v>
      </c>
      <c r="AC533">
        <v>0</v>
      </c>
      <c r="AE533" s="6"/>
      <c r="AJ533" s="6"/>
      <c r="AO533" s="6"/>
      <c r="AS533"/>
      <c r="AT533" t="s">
        <v>214</v>
      </c>
      <c r="AU533" t="s">
        <v>214</v>
      </c>
    </row>
    <row r="534" spans="1:47" x14ac:dyDescent="0.25">
      <c r="A534" s="63" t="s">
        <v>91</v>
      </c>
      <c r="B534" s="63" t="s">
        <v>88</v>
      </c>
      <c r="C534" s="63" t="s">
        <v>91</v>
      </c>
      <c r="D534" s="77" t="s">
        <v>207</v>
      </c>
      <c r="E534" s="62" t="str">
        <f t="shared" si="8"/>
        <v>NarkosShock Trap</v>
      </c>
      <c r="K534" s="6"/>
      <c r="P534" s="6"/>
      <c r="U534" s="6"/>
      <c r="AE534" s="6"/>
      <c r="AJ534" s="6"/>
      <c r="AO534" s="6"/>
      <c r="AS534">
        <v>0</v>
      </c>
      <c r="AT534">
        <v>0</v>
      </c>
      <c r="AU534">
        <v>0</v>
      </c>
    </row>
    <row r="535" spans="1:47" s="56" customFormat="1" x14ac:dyDescent="0.25">
      <c r="A535" s="63" t="s">
        <v>91</v>
      </c>
      <c r="B535" s="63" t="s">
        <v>88</v>
      </c>
      <c r="C535" s="63" t="s">
        <v>91</v>
      </c>
      <c r="D535" s="79" t="s">
        <v>213</v>
      </c>
      <c r="E535" s="62" t="str">
        <f t="shared" si="8"/>
        <v>NarkosPitfall Trap</v>
      </c>
      <c r="K535" s="7"/>
      <c r="P535" s="7"/>
      <c r="U535" s="7"/>
      <c r="Z535" s="7"/>
      <c r="AE535" s="7"/>
      <c r="AJ535" s="7"/>
      <c r="AO535" s="7"/>
      <c r="AS535" s="56">
        <v>0</v>
      </c>
      <c r="AT535" s="56">
        <v>0</v>
      </c>
      <c r="AU535" s="56">
        <v>0</v>
      </c>
    </row>
    <row r="536" spans="1:47" s="36" customFormat="1" x14ac:dyDescent="0.25">
      <c r="A536" s="63" t="s">
        <v>184</v>
      </c>
      <c r="B536" s="63" t="s">
        <v>181</v>
      </c>
      <c r="C536" s="63" t="s">
        <v>184</v>
      </c>
      <c r="D536" s="37" t="s">
        <v>0</v>
      </c>
      <c r="E536" s="62" t="str">
        <f t="shared" si="8"/>
        <v>NerscyllaPara</v>
      </c>
      <c r="F536" s="36">
        <v>110</v>
      </c>
      <c r="G536" s="36">
        <v>266</v>
      </c>
      <c r="H536" s="36">
        <v>422</v>
      </c>
      <c r="I536" s="36">
        <v>578</v>
      </c>
      <c r="J536" s="61"/>
      <c r="K536" s="50"/>
      <c r="P536" s="6"/>
      <c r="Q536" s="46"/>
      <c r="R536" s="46"/>
      <c r="S536" s="46"/>
      <c r="U536" s="50"/>
      <c r="Z536" s="6">
        <v>110</v>
      </c>
      <c r="AA536" s="46">
        <v>370</v>
      </c>
      <c r="AB536" s="46">
        <v>630</v>
      </c>
      <c r="AC536" s="46">
        <v>890</v>
      </c>
      <c r="AE536" s="50">
        <v>110</v>
      </c>
      <c r="AF536" s="36">
        <v>383</v>
      </c>
      <c r="AG536" s="36">
        <v>656</v>
      </c>
      <c r="AH536" s="36">
        <v>928</v>
      </c>
      <c r="AJ536" s="6">
        <v>110</v>
      </c>
      <c r="AK536" s="46">
        <v>448</v>
      </c>
      <c r="AL536" s="46">
        <v>786</v>
      </c>
      <c r="AM536" s="46">
        <v>1124</v>
      </c>
      <c r="AO536" s="50"/>
      <c r="AS536" s="36">
        <v>10</v>
      </c>
      <c r="AT536" s="36" t="s">
        <v>214</v>
      </c>
      <c r="AU536" s="36" t="s">
        <v>214</v>
      </c>
    </row>
    <row r="537" spans="1:47" x14ac:dyDescent="0.25">
      <c r="A537" s="63" t="s">
        <v>184</v>
      </c>
      <c r="B537" s="63" t="s">
        <v>181</v>
      </c>
      <c r="C537" s="63" t="s">
        <v>184</v>
      </c>
      <c r="D537" s="31" t="s">
        <v>32</v>
      </c>
      <c r="E537" s="62" t="str">
        <f t="shared" si="8"/>
        <v>NerscyllaSleep</v>
      </c>
      <c r="F537">
        <v>200</v>
      </c>
      <c r="G537">
        <v>380</v>
      </c>
      <c r="H537">
        <v>560</v>
      </c>
      <c r="I537">
        <v>740</v>
      </c>
      <c r="K537" s="6"/>
      <c r="P537" s="6"/>
      <c r="U537" s="6"/>
      <c r="Z537" s="6">
        <v>200</v>
      </c>
      <c r="AA537">
        <v>500</v>
      </c>
      <c r="AB537">
        <v>800</v>
      </c>
      <c r="AC537">
        <v>1100</v>
      </c>
      <c r="AE537" s="6">
        <v>200</v>
      </c>
      <c r="AF537">
        <v>515</v>
      </c>
      <c r="AG537">
        <v>830</v>
      </c>
      <c r="AH537">
        <v>1145</v>
      </c>
      <c r="AJ537" s="6">
        <v>200</v>
      </c>
      <c r="AK537">
        <v>590</v>
      </c>
      <c r="AL537">
        <v>980</v>
      </c>
      <c r="AM537">
        <v>1370</v>
      </c>
      <c r="AO537" s="6"/>
      <c r="AS537">
        <v>40</v>
      </c>
      <c r="AT537" t="s">
        <v>214</v>
      </c>
      <c r="AU537" t="s">
        <v>214</v>
      </c>
    </row>
    <row r="538" spans="1:47" x14ac:dyDescent="0.25">
      <c r="A538" s="63" t="s">
        <v>184</v>
      </c>
      <c r="B538" s="63" t="s">
        <v>181</v>
      </c>
      <c r="C538" s="63" t="s">
        <v>184</v>
      </c>
      <c r="D538" s="32" t="s">
        <v>33</v>
      </c>
      <c r="E538" s="62" t="str">
        <f t="shared" si="8"/>
        <v>NerscyllaPoison</v>
      </c>
      <c r="F538">
        <v>180</v>
      </c>
      <c r="G538">
        <v>300</v>
      </c>
      <c r="H538">
        <v>420</v>
      </c>
      <c r="I538">
        <v>540</v>
      </c>
      <c r="J538" s="29"/>
      <c r="K538" s="6"/>
      <c r="P538" s="6"/>
      <c r="U538" s="6"/>
      <c r="Z538" s="6">
        <v>180</v>
      </c>
      <c r="AA538">
        <v>380</v>
      </c>
      <c r="AB538">
        <v>580</v>
      </c>
      <c r="AC538">
        <v>780</v>
      </c>
      <c r="AE538" s="6">
        <v>180</v>
      </c>
      <c r="AF538">
        <v>389</v>
      </c>
      <c r="AG538">
        <v>598</v>
      </c>
      <c r="AH538">
        <v>807</v>
      </c>
      <c r="AJ538" s="6">
        <v>180</v>
      </c>
      <c r="AK538">
        <v>440</v>
      </c>
      <c r="AL538">
        <v>700</v>
      </c>
      <c r="AM538">
        <v>960</v>
      </c>
      <c r="AO538" s="6"/>
      <c r="AS538">
        <v>30</v>
      </c>
      <c r="AT538" t="s">
        <v>214</v>
      </c>
      <c r="AU538" t="s">
        <v>214</v>
      </c>
    </row>
    <row r="539" spans="1:47" x14ac:dyDescent="0.25">
      <c r="A539" s="63" t="s">
        <v>184</v>
      </c>
      <c r="B539" s="63" t="s">
        <v>181</v>
      </c>
      <c r="C539" s="63" t="s">
        <v>184</v>
      </c>
      <c r="D539" s="10" t="s">
        <v>22</v>
      </c>
      <c r="E539" s="62" t="str">
        <f t="shared" si="8"/>
        <v>NerscyllaExhaust</v>
      </c>
      <c r="F539">
        <v>270</v>
      </c>
      <c r="G539">
        <v>420</v>
      </c>
      <c r="H539">
        <v>570</v>
      </c>
      <c r="I539">
        <v>720</v>
      </c>
      <c r="J539" s="29"/>
      <c r="K539" s="6"/>
      <c r="P539" s="6"/>
      <c r="U539" s="6"/>
      <c r="Z539" s="6">
        <v>333</v>
      </c>
      <c r="AA539">
        <v>448</v>
      </c>
      <c r="AB539">
        <v>563</v>
      </c>
      <c r="AC539">
        <v>678</v>
      </c>
      <c r="AE539" s="6">
        <v>342</v>
      </c>
      <c r="AF539">
        <v>532</v>
      </c>
      <c r="AG539">
        <v>722</v>
      </c>
      <c r="AH539">
        <v>912</v>
      </c>
      <c r="AJ539" s="6">
        <v>450</v>
      </c>
      <c r="AK539">
        <v>700</v>
      </c>
      <c r="AL539">
        <v>950</v>
      </c>
      <c r="AM539">
        <v>1200</v>
      </c>
      <c r="AO539" s="6"/>
      <c r="AS539">
        <v>10</v>
      </c>
      <c r="AT539" t="s">
        <v>214</v>
      </c>
      <c r="AU539" t="s">
        <v>214</v>
      </c>
    </row>
    <row r="540" spans="1:47" x14ac:dyDescent="0.25">
      <c r="A540" s="63" t="s">
        <v>184</v>
      </c>
      <c r="B540" s="63" t="s">
        <v>181</v>
      </c>
      <c r="C540" s="63" t="s">
        <v>184</v>
      </c>
      <c r="D540" s="30" t="s">
        <v>35</v>
      </c>
      <c r="E540" s="62" t="str">
        <f t="shared" si="8"/>
        <v>NerscyllaBlast</v>
      </c>
      <c r="F540">
        <v>40</v>
      </c>
      <c r="G540">
        <v>64</v>
      </c>
      <c r="H540">
        <v>88</v>
      </c>
      <c r="I540">
        <v>112</v>
      </c>
      <c r="K540" s="6"/>
      <c r="P540" s="6"/>
      <c r="R540" s="6"/>
      <c r="U540" s="6"/>
      <c r="Z540" s="6">
        <v>40</v>
      </c>
      <c r="AA540">
        <v>80</v>
      </c>
      <c r="AB540" s="6">
        <v>120</v>
      </c>
      <c r="AC540">
        <v>160</v>
      </c>
      <c r="AE540" s="6">
        <v>40</v>
      </c>
      <c r="AF540">
        <v>80</v>
      </c>
      <c r="AG540" s="6">
        <v>120</v>
      </c>
      <c r="AH540">
        <v>160</v>
      </c>
      <c r="AJ540" s="6">
        <v>40</v>
      </c>
      <c r="AK540">
        <v>92</v>
      </c>
      <c r="AL540">
        <v>144</v>
      </c>
      <c r="AM540">
        <v>196</v>
      </c>
      <c r="AO540" s="6"/>
      <c r="AS540"/>
      <c r="AT540" t="s">
        <v>214</v>
      </c>
      <c r="AU540" t="s">
        <v>214</v>
      </c>
    </row>
    <row r="541" spans="1:47" x14ac:dyDescent="0.25">
      <c r="A541" s="63" t="s">
        <v>184</v>
      </c>
      <c r="B541" s="63" t="s">
        <v>181</v>
      </c>
      <c r="C541" s="63" t="s">
        <v>184</v>
      </c>
      <c r="D541" s="34" t="s">
        <v>14</v>
      </c>
      <c r="E541" s="62" t="str">
        <f t="shared" si="8"/>
        <v>NerscyllaKO</v>
      </c>
      <c r="F541">
        <v>156</v>
      </c>
      <c r="G541">
        <v>286</v>
      </c>
      <c r="H541">
        <v>416</v>
      </c>
      <c r="I541">
        <v>546</v>
      </c>
      <c r="J541" s="29"/>
      <c r="K541" s="6"/>
      <c r="P541" s="6"/>
      <c r="U541" s="6"/>
      <c r="Z541" s="6">
        <v>168</v>
      </c>
      <c r="AA541">
        <v>308</v>
      </c>
      <c r="AB541">
        <v>448</v>
      </c>
      <c r="AC541">
        <v>588</v>
      </c>
      <c r="AE541" s="6">
        <v>180</v>
      </c>
      <c r="AF541">
        <v>330</v>
      </c>
      <c r="AG541">
        <v>480</v>
      </c>
      <c r="AH541">
        <v>630</v>
      </c>
      <c r="AJ541" s="6">
        <v>240</v>
      </c>
      <c r="AK541">
        <v>440</v>
      </c>
      <c r="AL541">
        <v>640</v>
      </c>
      <c r="AM541">
        <v>840</v>
      </c>
      <c r="AO541" s="6"/>
      <c r="AS541">
        <v>14</v>
      </c>
      <c r="AT541" t="s">
        <v>214</v>
      </c>
      <c r="AU541" t="s">
        <v>214</v>
      </c>
    </row>
    <row r="542" spans="1:47" x14ac:dyDescent="0.25">
      <c r="A542" s="63" t="s">
        <v>184</v>
      </c>
      <c r="B542" s="63" t="s">
        <v>181</v>
      </c>
      <c r="C542" s="63" t="s">
        <v>184</v>
      </c>
      <c r="D542" s="33" t="s">
        <v>34</v>
      </c>
      <c r="E542" s="62" t="str">
        <f t="shared" si="8"/>
        <v>NerscyllaMount</v>
      </c>
      <c r="F542">
        <v>80</v>
      </c>
      <c r="G542">
        <v>240</v>
      </c>
      <c r="H542">
        <v>400</v>
      </c>
      <c r="I542">
        <v>560</v>
      </c>
      <c r="K542" s="6"/>
      <c r="P542" s="6"/>
      <c r="R542" s="6"/>
      <c r="U542" s="6"/>
      <c r="Z542" s="6">
        <v>90</v>
      </c>
      <c r="AA542">
        <v>270</v>
      </c>
      <c r="AB542">
        <v>450</v>
      </c>
      <c r="AC542">
        <v>630</v>
      </c>
      <c r="AE542" s="6">
        <v>90</v>
      </c>
      <c r="AF542">
        <v>270</v>
      </c>
      <c r="AG542">
        <v>450</v>
      </c>
      <c r="AH542">
        <v>630</v>
      </c>
      <c r="AJ542" s="6">
        <v>100</v>
      </c>
      <c r="AK542">
        <v>300</v>
      </c>
      <c r="AL542">
        <v>500</v>
      </c>
      <c r="AM542">
        <v>700</v>
      </c>
      <c r="AO542" s="6"/>
      <c r="AS542"/>
      <c r="AT542" t="s">
        <v>214</v>
      </c>
      <c r="AU542" t="s">
        <v>214</v>
      </c>
    </row>
    <row r="543" spans="1:47" x14ac:dyDescent="0.25">
      <c r="A543" s="63" t="s">
        <v>184</v>
      </c>
      <c r="B543" s="63" t="s">
        <v>181</v>
      </c>
      <c r="C543" s="63" t="s">
        <v>184</v>
      </c>
      <c r="D543" s="77" t="s">
        <v>207</v>
      </c>
      <c r="E543" s="62" t="str">
        <f t="shared" si="8"/>
        <v>NerscyllaShock Trap</v>
      </c>
      <c r="K543" s="6"/>
      <c r="P543" s="6"/>
      <c r="U543" s="6"/>
      <c r="AE543" s="6"/>
      <c r="AJ543" s="6"/>
      <c r="AO543" s="6"/>
      <c r="AS543">
        <v>8</v>
      </c>
      <c r="AT543">
        <v>12</v>
      </c>
      <c r="AU543">
        <v>10</v>
      </c>
    </row>
    <row r="544" spans="1:47" s="56" customFormat="1" x14ac:dyDescent="0.25">
      <c r="A544" s="63" t="s">
        <v>184</v>
      </c>
      <c r="B544" s="63" t="s">
        <v>181</v>
      </c>
      <c r="C544" s="63" t="s">
        <v>184</v>
      </c>
      <c r="D544" s="79" t="s">
        <v>213</v>
      </c>
      <c r="E544" s="62" t="str">
        <f t="shared" si="8"/>
        <v>NerscyllaPitfall Trap</v>
      </c>
      <c r="K544" s="7"/>
      <c r="P544" s="7"/>
      <c r="U544" s="7"/>
      <c r="Z544" s="7"/>
      <c r="AE544" s="7"/>
      <c r="AJ544" s="7"/>
      <c r="AO544" s="7"/>
      <c r="AS544" s="56">
        <v>12</v>
      </c>
      <c r="AT544" s="56">
        <v>20</v>
      </c>
      <c r="AU544" s="56">
        <v>15</v>
      </c>
    </row>
    <row r="545" spans="1:47" s="36" customFormat="1" x14ac:dyDescent="0.25">
      <c r="A545" s="63" t="s">
        <v>91</v>
      </c>
      <c r="B545" s="63" t="s">
        <v>67</v>
      </c>
      <c r="C545" s="63" t="s">
        <v>91</v>
      </c>
      <c r="D545" s="37" t="s">
        <v>0</v>
      </c>
      <c r="E545" s="62" t="str">
        <f t="shared" si="8"/>
        <v>NibelsnarfPara</v>
      </c>
      <c r="F545" s="36">
        <v>180</v>
      </c>
      <c r="G545" s="36">
        <v>396</v>
      </c>
      <c r="H545" s="36">
        <v>612</v>
      </c>
      <c r="I545" s="36">
        <v>828</v>
      </c>
      <c r="J545" s="61"/>
      <c r="K545" s="50"/>
      <c r="P545" s="6">
        <v>180</v>
      </c>
      <c r="Q545" s="46">
        <v>504</v>
      </c>
      <c r="R545" s="46">
        <v>828</v>
      </c>
      <c r="S545" s="46">
        <v>1152</v>
      </c>
      <c r="U545" s="50"/>
      <c r="Z545" s="6">
        <v>180</v>
      </c>
      <c r="AA545" s="46">
        <v>540</v>
      </c>
      <c r="AB545" s="46">
        <v>900</v>
      </c>
      <c r="AC545" s="46">
        <v>1260</v>
      </c>
      <c r="AE545" s="50"/>
      <c r="AJ545" s="6"/>
      <c r="AK545" s="46"/>
      <c r="AL545" s="46"/>
      <c r="AM545" s="46"/>
      <c r="AO545" s="50"/>
      <c r="AS545" s="36">
        <v>10</v>
      </c>
      <c r="AT545" s="36" t="s">
        <v>214</v>
      </c>
      <c r="AU545" s="36" t="s">
        <v>214</v>
      </c>
    </row>
    <row r="546" spans="1:47" x14ac:dyDescent="0.25">
      <c r="A546" s="63" t="s">
        <v>91</v>
      </c>
      <c r="B546" s="63" t="s">
        <v>67</v>
      </c>
      <c r="C546" s="63" t="s">
        <v>91</v>
      </c>
      <c r="D546" s="31" t="s">
        <v>32</v>
      </c>
      <c r="E546" s="62" t="str">
        <f t="shared" si="8"/>
        <v>NibelsnarfSleep</v>
      </c>
      <c r="F546">
        <v>180</v>
      </c>
      <c r="G546">
        <v>396</v>
      </c>
      <c r="H546">
        <v>612</v>
      </c>
      <c r="I546">
        <v>828</v>
      </c>
      <c r="K546" s="6"/>
      <c r="P546" s="6">
        <v>180</v>
      </c>
      <c r="Q546">
        <v>504</v>
      </c>
      <c r="R546">
        <v>828</v>
      </c>
      <c r="S546">
        <v>1152</v>
      </c>
      <c r="U546" s="6"/>
      <c r="Z546" s="6">
        <v>180</v>
      </c>
      <c r="AA546">
        <v>540</v>
      </c>
      <c r="AB546">
        <v>900</v>
      </c>
      <c r="AC546">
        <v>1260</v>
      </c>
      <c r="AE546" s="6"/>
      <c r="AJ546" s="6"/>
      <c r="AO546" s="6"/>
      <c r="AS546">
        <v>30</v>
      </c>
      <c r="AT546" t="s">
        <v>214</v>
      </c>
      <c r="AU546" t="s">
        <v>214</v>
      </c>
    </row>
    <row r="547" spans="1:47" x14ac:dyDescent="0.25">
      <c r="A547" s="63" t="s">
        <v>91</v>
      </c>
      <c r="B547" s="63" t="s">
        <v>67</v>
      </c>
      <c r="C547" s="63" t="s">
        <v>91</v>
      </c>
      <c r="D547" s="32" t="s">
        <v>33</v>
      </c>
      <c r="E547" s="62" t="str">
        <f t="shared" si="8"/>
        <v>NibelsnarfPoison</v>
      </c>
      <c r="F547">
        <v>180</v>
      </c>
      <c r="G547">
        <v>300</v>
      </c>
      <c r="H547">
        <v>420</v>
      </c>
      <c r="I547">
        <v>540</v>
      </c>
      <c r="J547" s="29"/>
      <c r="K547" s="6"/>
      <c r="P547" s="6">
        <v>180</v>
      </c>
      <c r="Q547">
        <v>360</v>
      </c>
      <c r="R547">
        <v>540</v>
      </c>
      <c r="S547">
        <v>720</v>
      </c>
      <c r="U547" s="6"/>
      <c r="Z547" s="6">
        <v>180</v>
      </c>
      <c r="AA547">
        <v>380</v>
      </c>
      <c r="AB547">
        <v>580</v>
      </c>
      <c r="AC547">
        <v>780</v>
      </c>
      <c r="AE547" s="6"/>
      <c r="AJ547" s="6"/>
      <c r="AO547" s="6"/>
      <c r="AS547">
        <v>30</v>
      </c>
      <c r="AT547" t="s">
        <v>214</v>
      </c>
      <c r="AU547" t="s">
        <v>214</v>
      </c>
    </row>
    <row r="548" spans="1:47" x14ac:dyDescent="0.25">
      <c r="A548" s="63" t="s">
        <v>91</v>
      </c>
      <c r="B548" s="63" t="s">
        <v>67</v>
      </c>
      <c r="C548" s="63" t="s">
        <v>91</v>
      </c>
      <c r="D548" s="10" t="s">
        <v>22</v>
      </c>
      <c r="E548" s="62" t="str">
        <f t="shared" si="8"/>
        <v>NibelsnarfExhaust</v>
      </c>
      <c r="F548">
        <v>270</v>
      </c>
      <c r="G548">
        <v>495</v>
      </c>
      <c r="H548">
        <v>720</v>
      </c>
      <c r="I548">
        <v>945</v>
      </c>
      <c r="J548" s="29"/>
      <c r="K548" s="6"/>
      <c r="P548" s="6">
        <v>315</v>
      </c>
      <c r="Q548">
        <v>577</v>
      </c>
      <c r="R548">
        <v>839</v>
      </c>
      <c r="S548">
        <v>1101</v>
      </c>
      <c r="U548" s="6"/>
      <c r="Z548" s="6">
        <v>333</v>
      </c>
      <c r="AA548">
        <v>610</v>
      </c>
      <c r="AB548">
        <v>887</v>
      </c>
      <c r="AC548">
        <v>1164</v>
      </c>
      <c r="AE548" s="6"/>
      <c r="AJ548" s="6"/>
      <c r="AO548" s="6"/>
      <c r="AS548"/>
      <c r="AT548" t="s">
        <v>214</v>
      </c>
      <c r="AU548" t="s">
        <v>214</v>
      </c>
    </row>
    <row r="549" spans="1:47" x14ac:dyDescent="0.25">
      <c r="A549" s="63" t="s">
        <v>91</v>
      </c>
      <c r="B549" s="63" t="s">
        <v>67</v>
      </c>
      <c r="C549" s="63" t="s">
        <v>91</v>
      </c>
      <c r="D549" s="30" t="s">
        <v>35</v>
      </c>
      <c r="E549" s="62" t="str">
        <f t="shared" si="8"/>
        <v>NibelsnarfBlast</v>
      </c>
      <c r="F549">
        <v>70</v>
      </c>
      <c r="G549">
        <v>106</v>
      </c>
      <c r="H549">
        <v>142</v>
      </c>
      <c r="I549">
        <v>178</v>
      </c>
      <c r="K549" s="6"/>
      <c r="P549" s="6">
        <v>70</v>
      </c>
      <c r="Q549">
        <v>124</v>
      </c>
      <c r="R549" s="6">
        <v>178</v>
      </c>
      <c r="S549">
        <v>232</v>
      </c>
      <c r="U549" s="6"/>
      <c r="Z549" s="6">
        <v>70</v>
      </c>
      <c r="AA549">
        <v>130</v>
      </c>
      <c r="AB549" s="6">
        <v>190</v>
      </c>
      <c r="AC549">
        <v>250</v>
      </c>
      <c r="AE549" s="6"/>
      <c r="AG549" s="6"/>
      <c r="AJ549" s="6"/>
      <c r="AO549" s="6"/>
      <c r="AS549"/>
      <c r="AT549" t="s">
        <v>214</v>
      </c>
      <c r="AU549" t="s">
        <v>214</v>
      </c>
    </row>
    <row r="550" spans="1:47" x14ac:dyDescent="0.25">
      <c r="A550" s="63" t="s">
        <v>91</v>
      </c>
      <c r="B550" s="63" t="s">
        <v>67</v>
      </c>
      <c r="C550" s="63" t="s">
        <v>91</v>
      </c>
      <c r="D550" s="34" t="s">
        <v>14</v>
      </c>
      <c r="E550" s="62" t="str">
        <f t="shared" si="8"/>
        <v>NibelsnarfKO</v>
      </c>
      <c r="F550">
        <v>195</v>
      </c>
      <c r="G550">
        <v>325</v>
      </c>
      <c r="H550">
        <v>454</v>
      </c>
      <c r="I550">
        <v>585</v>
      </c>
      <c r="J550" s="29"/>
      <c r="K550" s="6"/>
      <c r="P550" s="6">
        <v>195</v>
      </c>
      <c r="Q550">
        <v>325</v>
      </c>
      <c r="R550">
        <v>455</v>
      </c>
      <c r="S550">
        <v>585</v>
      </c>
      <c r="U550" s="6"/>
      <c r="Z550" s="6">
        <v>210</v>
      </c>
      <c r="AA550">
        <v>350</v>
      </c>
      <c r="AB550">
        <v>490</v>
      </c>
      <c r="AC550">
        <v>630</v>
      </c>
      <c r="AE550" s="6"/>
      <c r="AJ550" s="6"/>
      <c r="AO550" s="6"/>
      <c r="AS550">
        <v>10</v>
      </c>
      <c r="AT550" t="s">
        <v>214</v>
      </c>
      <c r="AU550" t="s">
        <v>214</v>
      </c>
    </row>
    <row r="551" spans="1:47" x14ac:dyDescent="0.25">
      <c r="A551" s="63" t="s">
        <v>91</v>
      </c>
      <c r="B551" s="63" t="s">
        <v>67</v>
      </c>
      <c r="C551" s="63" t="s">
        <v>91</v>
      </c>
      <c r="D551" s="33" t="s">
        <v>34</v>
      </c>
      <c r="E551" s="62" t="str">
        <f t="shared" si="8"/>
        <v>NibelsnarfMount</v>
      </c>
      <c r="F551">
        <v>96</v>
      </c>
      <c r="G551">
        <v>256</v>
      </c>
      <c r="H551">
        <v>416</v>
      </c>
      <c r="I551">
        <v>576</v>
      </c>
      <c r="K551" s="6"/>
      <c r="P551" s="6">
        <v>102</v>
      </c>
      <c r="Q551">
        <v>272</v>
      </c>
      <c r="R551" s="6">
        <v>442</v>
      </c>
      <c r="S551">
        <v>612</v>
      </c>
      <c r="U551" s="6"/>
      <c r="Z551" s="6">
        <v>108</v>
      </c>
      <c r="AA551">
        <v>288</v>
      </c>
      <c r="AB551">
        <v>468</v>
      </c>
      <c r="AC551">
        <v>648</v>
      </c>
      <c r="AE551" s="6"/>
      <c r="AJ551" s="6"/>
      <c r="AO551" s="6"/>
      <c r="AS551"/>
      <c r="AT551" t="s">
        <v>214</v>
      </c>
      <c r="AU551" t="s">
        <v>214</v>
      </c>
    </row>
    <row r="552" spans="1:47" x14ac:dyDescent="0.25">
      <c r="A552" s="63" t="s">
        <v>91</v>
      </c>
      <c r="B552" s="63" t="s">
        <v>67</v>
      </c>
      <c r="C552" s="63" t="s">
        <v>91</v>
      </c>
      <c r="D552" s="77" t="s">
        <v>207</v>
      </c>
      <c r="E552" s="62" t="str">
        <f t="shared" si="8"/>
        <v>NibelsnarfShock Trap</v>
      </c>
      <c r="K552" s="6"/>
      <c r="P552" s="6"/>
      <c r="U552" s="6"/>
      <c r="AE552" s="6"/>
      <c r="AJ552" s="6"/>
      <c r="AO552" s="6"/>
      <c r="AS552">
        <v>8</v>
      </c>
      <c r="AT552">
        <v>15</v>
      </c>
      <c r="AU552">
        <v>8</v>
      </c>
    </row>
    <row r="553" spans="1:47" s="56" customFormat="1" x14ac:dyDescent="0.25">
      <c r="A553" s="63" t="s">
        <v>91</v>
      </c>
      <c r="B553" s="63" t="s">
        <v>67</v>
      </c>
      <c r="C553" s="63" t="s">
        <v>91</v>
      </c>
      <c r="D553" s="79" t="s">
        <v>213</v>
      </c>
      <c r="E553" s="62" t="str">
        <f t="shared" si="8"/>
        <v>NibelsnarfPitfall Trap</v>
      </c>
      <c r="K553" s="7"/>
      <c r="P553" s="7"/>
      <c r="U553" s="7"/>
      <c r="Z553" s="7"/>
      <c r="AE553" s="7"/>
      <c r="AJ553" s="7"/>
      <c r="AO553" s="7"/>
      <c r="AS553" s="56">
        <v>0</v>
      </c>
      <c r="AT553" s="56">
        <v>0</v>
      </c>
      <c r="AU553" s="56">
        <v>0</v>
      </c>
    </row>
    <row r="554" spans="1:47" s="36" customFormat="1" x14ac:dyDescent="0.25">
      <c r="A554" s="63" t="s">
        <v>171</v>
      </c>
      <c r="B554" s="63" t="s">
        <v>180</v>
      </c>
      <c r="C554" s="63" t="s">
        <v>171</v>
      </c>
      <c r="D554" s="37" t="s">
        <v>0</v>
      </c>
      <c r="E554" s="62" t="str">
        <f t="shared" si="8"/>
        <v>Nightcloak MalfestioPara</v>
      </c>
      <c r="J554" s="61"/>
      <c r="K554" s="50"/>
      <c r="P554" s="6"/>
      <c r="Q554" s="46"/>
      <c r="R554" s="46"/>
      <c r="S554" s="46"/>
      <c r="U554" s="50"/>
      <c r="Z554" s="6"/>
      <c r="AA554" s="46"/>
      <c r="AB554" s="46"/>
      <c r="AC554" s="46"/>
      <c r="AE554" s="50"/>
      <c r="AJ554" s="6"/>
      <c r="AK554" s="46"/>
      <c r="AL554" s="46"/>
      <c r="AM554" s="46"/>
      <c r="AO554" s="50"/>
      <c r="AS554" s="36">
        <v>10</v>
      </c>
      <c r="AT554" s="36" t="s">
        <v>214</v>
      </c>
      <c r="AU554" s="36" t="s">
        <v>214</v>
      </c>
    </row>
    <row r="555" spans="1:47" x14ac:dyDescent="0.25">
      <c r="A555" s="63" t="s">
        <v>171</v>
      </c>
      <c r="B555" s="63" t="s">
        <v>180</v>
      </c>
      <c r="C555" s="63" t="s">
        <v>171</v>
      </c>
      <c r="D555" s="31" t="s">
        <v>32</v>
      </c>
      <c r="E555" s="62" t="str">
        <f t="shared" si="8"/>
        <v>Nightcloak MalfestioSleep</v>
      </c>
      <c r="K555" s="6"/>
      <c r="P555" s="6"/>
      <c r="U555" s="6"/>
      <c r="AE555" s="6"/>
      <c r="AJ555" s="6"/>
      <c r="AO555" s="6"/>
      <c r="AS555">
        <v>40</v>
      </c>
      <c r="AT555" t="s">
        <v>214</v>
      </c>
      <c r="AU555" t="s">
        <v>214</v>
      </c>
    </row>
    <row r="556" spans="1:47" x14ac:dyDescent="0.25">
      <c r="A556" s="63" t="s">
        <v>171</v>
      </c>
      <c r="B556" s="63" t="s">
        <v>180</v>
      </c>
      <c r="C556" s="63" t="s">
        <v>171</v>
      </c>
      <c r="D556" s="32" t="s">
        <v>33</v>
      </c>
      <c r="E556" s="62" t="str">
        <f t="shared" si="8"/>
        <v>Nightcloak MalfestioPoison</v>
      </c>
      <c r="J556" s="29"/>
      <c r="K556" s="6"/>
      <c r="P556" s="6"/>
      <c r="U556" s="6"/>
      <c r="AE556" s="6"/>
      <c r="AJ556" s="6"/>
      <c r="AO556" s="6"/>
      <c r="AS556">
        <v>60</v>
      </c>
      <c r="AT556" t="s">
        <v>214</v>
      </c>
      <c r="AU556" t="s">
        <v>214</v>
      </c>
    </row>
    <row r="557" spans="1:47" x14ac:dyDescent="0.25">
      <c r="A557" s="63" t="s">
        <v>171</v>
      </c>
      <c r="B557" s="63" t="s">
        <v>180</v>
      </c>
      <c r="C557" s="63" t="s">
        <v>171</v>
      </c>
      <c r="D557" s="10" t="s">
        <v>22</v>
      </c>
      <c r="E557" s="62" t="str">
        <f t="shared" si="8"/>
        <v>Nightcloak MalfestioExhaust</v>
      </c>
      <c r="J557" s="29"/>
      <c r="K557" s="6"/>
      <c r="P557" s="6"/>
      <c r="U557" s="6"/>
      <c r="AE557" s="6"/>
      <c r="AJ557" s="6"/>
      <c r="AO557" s="6"/>
      <c r="AS557"/>
      <c r="AT557" t="s">
        <v>214</v>
      </c>
      <c r="AU557" t="s">
        <v>214</v>
      </c>
    </row>
    <row r="558" spans="1:47" x14ac:dyDescent="0.25">
      <c r="A558" s="63" t="s">
        <v>171</v>
      </c>
      <c r="B558" s="63" t="s">
        <v>180</v>
      </c>
      <c r="C558" s="63" t="s">
        <v>171</v>
      </c>
      <c r="D558" s="30" t="s">
        <v>35</v>
      </c>
      <c r="E558" s="62" t="str">
        <f t="shared" si="8"/>
        <v>Nightcloak MalfestioBlast</v>
      </c>
      <c r="K558" s="6"/>
      <c r="P558" s="6"/>
      <c r="R558" s="6"/>
      <c r="U558" s="6"/>
      <c r="AB558" s="6"/>
      <c r="AE558" s="6"/>
      <c r="AG558" s="6"/>
      <c r="AJ558" s="6"/>
      <c r="AO558" s="6"/>
      <c r="AS558"/>
      <c r="AT558" t="s">
        <v>214</v>
      </c>
      <c r="AU558" t="s">
        <v>214</v>
      </c>
    </row>
    <row r="559" spans="1:47" x14ac:dyDescent="0.25">
      <c r="A559" s="63" t="s">
        <v>171</v>
      </c>
      <c r="B559" s="63" t="s">
        <v>180</v>
      </c>
      <c r="C559" s="63" t="s">
        <v>171</v>
      </c>
      <c r="D559" s="34" t="s">
        <v>14</v>
      </c>
      <c r="E559" s="62" t="str">
        <f t="shared" si="8"/>
        <v>Nightcloak MalfestioKO</v>
      </c>
      <c r="J559" s="29"/>
      <c r="K559" s="6"/>
      <c r="P559" s="6"/>
      <c r="U559" s="6"/>
      <c r="AE559" s="6"/>
      <c r="AJ559" s="6"/>
      <c r="AO559" s="6"/>
      <c r="AS559">
        <v>10</v>
      </c>
      <c r="AT559" t="s">
        <v>214</v>
      </c>
      <c r="AU559" t="s">
        <v>214</v>
      </c>
    </row>
    <row r="560" spans="1:47" x14ac:dyDescent="0.25">
      <c r="A560" s="63" t="s">
        <v>171</v>
      </c>
      <c r="B560" s="63" t="s">
        <v>180</v>
      </c>
      <c r="C560" s="63" t="s">
        <v>171</v>
      </c>
      <c r="D560" s="33" t="s">
        <v>34</v>
      </c>
      <c r="E560" s="62" t="str">
        <f t="shared" si="8"/>
        <v>Nightcloak MalfestioMount</v>
      </c>
      <c r="K560" s="6"/>
      <c r="P560" s="6"/>
      <c r="R560" s="6"/>
      <c r="U560" s="6"/>
      <c r="AE560" s="6"/>
      <c r="AJ560" s="6"/>
      <c r="AO560" s="6"/>
      <c r="AS560"/>
      <c r="AT560" t="s">
        <v>214</v>
      </c>
      <c r="AU560" t="s">
        <v>214</v>
      </c>
    </row>
    <row r="561" spans="1:47" x14ac:dyDescent="0.25">
      <c r="A561" s="63" t="s">
        <v>171</v>
      </c>
      <c r="B561" s="63" t="s">
        <v>180</v>
      </c>
      <c r="C561" s="63" t="s">
        <v>171</v>
      </c>
      <c r="D561" s="77" t="s">
        <v>207</v>
      </c>
      <c r="E561" s="62" t="str">
        <f t="shared" si="8"/>
        <v>Nightcloak MalfestioShock Trap</v>
      </c>
      <c r="K561" s="6"/>
      <c r="P561" s="6"/>
      <c r="U561" s="6"/>
      <c r="AE561" s="6"/>
      <c r="AJ561" s="6"/>
      <c r="AO561" s="6"/>
      <c r="AS561"/>
    </row>
    <row r="562" spans="1:47" s="56" customFormat="1" x14ac:dyDescent="0.25">
      <c r="A562" s="63" t="s">
        <v>171</v>
      </c>
      <c r="B562" s="63" t="s">
        <v>180</v>
      </c>
      <c r="C562" s="63" t="s">
        <v>171</v>
      </c>
      <c r="D562" s="79" t="s">
        <v>213</v>
      </c>
      <c r="E562" s="62" t="str">
        <f t="shared" si="8"/>
        <v>Nightcloak MalfestioPitfall Trap</v>
      </c>
      <c r="K562" s="7"/>
      <c r="P562" s="7"/>
      <c r="U562" s="7"/>
      <c r="Z562" s="7"/>
      <c r="AE562" s="7"/>
      <c r="AJ562" s="7"/>
      <c r="AO562" s="7"/>
    </row>
    <row r="563" spans="1:47" s="36" customFormat="1" x14ac:dyDescent="0.25">
      <c r="A563" s="63" t="s">
        <v>91</v>
      </c>
      <c r="B563" s="63" t="s">
        <v>68</v>
      </c>
      <c r="C563" s="63" t="s">
        <v>91</v>
      </c>
      <c r="D563" s="37" t="s">
        <v>0</v>
      </c>
      <c r="E563" s="62" t="str">
        <f t="shared" si="8"/>
        <v>PlesiothPara</v>
      </c>
      <c r="F563" s="36">
        <v>100</v>
      </c>
      <c r="G563" s="36">
        <v>190</v>
      </c>
      <c r="H563" s="36">
        <v>280</v>
      </c>
      <c r="I563" s="36">
        <v>370</v>
      </c>
      <c r="J563" s="61"/>
      <c r="K563" s="50"/>
      <c r="P563" s="6">
        <v>100</v>
      </c>
      <c r="Q563" s="46">
        <v>235</v>
      </c>
      <c r="R563" s="46">
        <v>505</v>
      </c>
      <c r="S563" s="46">
        <v>640</v>
      </c>
      <c r="U563" s="50"/>
      <c r="Z563" s="6">
        <v>100</v>
      </c>
      <c r="AA563" s="46">
        <v>250</v>
      </c>
      <c r="AB563" s="46">
        <v>400</v>
      </c>
      <c r="AC563" s="46">
        <v>550</v>
      </c>
      <c r="AE563" s="50"/>
      <c r="AJ563" s="6">
        <v>100</v>
      </c>
      <c r="AK563" s="46">
        <v>295</v>
      </c>
      <c r="AL563" s="46">
        <v>490</v>
      </c>
      <c r="AM563" s="46">
        <v>685</v>
      </c>
      <c r="AO563" s="50"/>
      <c r="AS563" s="36">
        <v>10</v>
      </c>
      <c r="AT563" s="36" t="s">
        <v>214</v>
      </c>
      <c r="AU563" s="36" t="s">
        <v>214</v>
      </c>
    </row>
    <row r="564" spans="1:47" x14ac:dyDescent="0.25">
      <c r="A564" s="63" t="s">
        <v>91</v>
      </c>
      <c r="B564" s="63" t="s">
        <v>68</v>
      </c>
      <c r="C564" s="63" t="s">
        <v>91</v>
      </c>
      <c r="D564" s="31" t="s">
        <v>32</v>
      </c>
      <c r="E564" s="62" t="str">
        <f t="shared" si="8"/>
        <v>PlesiothSleep</v>
      </c>
      <c r="F564">
        <v>100</v>
      </c>
      <c r="G564">
        <v>190</v>
      </c>
      <c r="H564">
        <v>220</v>
      </c>
      <c r="I564">
        <v>280</v>
      </c>
      <c r="K564" s="6"/>
      <c r="P564" s="6">
        <v>100</v>
      </c>
      <c r="Q564">
        <v>190</v>
      </c>
      <c r="R564">
        <v>280</v>
      </c>
      <c r="S564">
        <v>370</v>
      </c>
      <c r="U564" s="6"/>
      <c r="Z564" s="6">
        <v>100</v>
      </c>
      <c r="AA564">
        <v>200</v>
      </c>
      <c r="AB564">
        <v>300</v>
      </c>
      <c r="AC564">
        <v>400</v>
      </c>
      <c r="AE564" s="6"/>
      <c r="AJ564" s="6">
        <v>100</v>
      </c>
      <c r="AK564">
        <v>230</v>
      </c>
      <c r="AL564">
        <v>360</v>
      </c>
      <c r="AM564">
        <v>490</v>
      </c>
      <c r="AO564" s="6"/>
      <c r="AS564">
        <v>30</v>
      </c>
      <c r="AT564" t="s">
        <v>214</v>
      </c>
      <c r="AU564" t="s">
        <v>214</v>
      </c>
    </row>
    <row r="565" spans="1:47" x14ac:dyDescent="0.25">
      <c r="A565" s="63" t="s">
        <v>91</v>
      </c>
      <c r="B565" s="63" t="s">
        <v>68</v>
      </c>
      <c r="C565" s="63" t="s">
        <v>91</v>
      </c>
      <c r="D565" s="32" t="s">
        <v>33</v>
      </c>
      <c r="E565" s="62" t="str">
        <f t="shared" si="8"/>
        <v>PlesiothPoison</v>
      </c>
      <c r="F565">
        <v>100</v>
      </c>
      <c r="G565">
        <v>190</v>
      </c>
      <c r="H565">
        <v>280</v>
      </c>
      <c r="I565">
        <v>370</v>
      </c>
      <c r="J565" s="29"/>
      <c r="K565" s="6"/>
      <c r="P565" s="6">
        <v>100</v>
      </c>
      <c r="Q565">
        <v>235</v>
      </c>
      <c r="R565">
        <v>370</v>
      </c>
      <c r="S565">
        <v>505</v>
      </c>
      <c r="U565" s="6"/>
      <c r="Z565" s="6">
        <v>100</v>
      </c>
      <c r="AA565">
        <v>250</v>
      </c>
      <c r="AB565">
        <v>400</v>
      </c>
      <c r="AC565">
        <v>550</v>
      </c>
      <c r="AE565" s="6"/>
      <c r="AJ565" s="6">
        <v>100</v>
      </c>
      <c r="AK565">
        <v>295</v>
      </c>
      <c r="AL565">
        <v>490</v>
      </c>
      <c r="AM565">
        <v>685</v>
      </c>
      <c r="AO565" s="6"/>
      <c r="AS565">
        <v>30</v>
      </c>
      <c r="AT565" t="s">
        <v>214</v>
      </c>
      <c r="AU565" t="s">
        <v>214</v>
      </c>
    </row>
    <row r="566" spans="1:47" x14ac:dyDescent="0.25">
      <c r="A566" s="63" t="s">
        <v>91</v>
      </c>
      <c r="B566" s="63" t="s">
        <v>68</v>
      </c>
      <c r="C566" s="63" t="s">
        <v>91</v>
      </c>
      <c r="D566" s="10" t="s">
        <v>22</v>
      </c>
      <c r="E566" s="62" t="str">
        <f t="shared" si="8"/>
        <v>PlesiothExhaust</v>
      </c>
      <c r="F566">
        <v>270</v>
      </c>
      <c r="G566">
        <v>450</v>
      </c>
      <c r="H566">
        <v>630</v>
      </c>
      <c r="I566">
        <v>810</v>
      </c>
      <c r="J566" s="29"/>
      <c r="K566" s="6"/>
      <c r="P566" s="6">
        <v>315</v>
      </c>
      <c r="Q566">
        <v>525</v>
      </c>
      <c r="R566">
        <v>735</v>
      </c>
      <c r="S566">
        <v>945</v>
      </c>
      <c r="U566" s="6"/>
      <c r="Z566" s="6">
        <v>333</v>
      </c>
      <c r="AA566">
        <v>555</v>
      </c>
      <c r="AB566">
        <v>777</v>
      </c>
      <c r="AC566">
        <v>999</v>
      </c>
      <c r="AE566" s="6"/>
      <c r="AJ566" s="6">
        <v>450</v>
      </c>
      <c r="AK566">
        <v>750</v>
      </c>
      <c r="AL566">
        <v>1050</v>
      </c>
      <c r="AM566">
        <v>1350</v>
      </c>
      <c r="AO566" s="6"/>
      <c r="AS566"/>
      <c r="AT566" t="s">
        <v>214</v>
      </c>
      <c r="AU566" t="s">
        <v>214</v>
      </c>
    </row>
    <row r="567" spans="1:47" x14ac:dyDescent="0.25">
      <c r="A567" s="63" t="s">
        <v>91</v>
      </c>
      <c r="B567" s="63" t="s">
        <v>68</v>
      </c>
      <c r="C567" s="63" t="s">
        <v>91</v>
      </c>
      <c r="D567" s="30" t="s">
        <v>35</v>
      </c>
      <c r="E567" s="62" t="str">
        <f t="shared" si="8"/>
        <v>PlesiothBlast</v>
      </c>
      <c r="F567">
        <v>150</v>
      </c>
      <c r="G567">
        <v>330</v>
      </c>
      <c r="H567">
        <v>510</v>
      </c>
      <c r="I567">
        <v>690</v>
      </c>
      <c r="K567" s="6"/>
      <c r="P567" s="6">
        <v>150</v>
      </c>
      <c r="Q567">
        <v>420</v>
      </c>
      <c r="R567" s="6">
        <v>690</v>
      </c>
      <c r="S567">
        <v>960</v>
      </c>
      <c r="U567" s="6"/>
      <c r="Z567" s="6">
        <v>150</v>
      </c>
      <c r="AA567">
        <v>450</v>
      </c>
      <c r="AB567" s="6">
        <v>750</v>
      </c>
      <c r="AC567">
        <v>1050</v>
      </c>
      <c r="AE567" s="6"/>
      <c r="AG567" s="6"/>
      <c r="AJ567" s="6">
        <v>150</v>
      </c>
      <c r="AK567">
        <v>540</v>
      </c>
      <c r="AL567">
        <v>930</v>
      </c>
      <c r="AM567">
        <v>1320</v>
      </c>
      <c r="AO567" s="6"/>
      <c r="AS567"/>
      <c r="AT567" t="s">
        <v>214</v>
      </c>
      <c r="AU567" t="s">
        <v>214</v>
      </c>
    </row>
    <row r="568" spans="1:47" x14ac:dyDescent="0.25">
      <c r="A568" s="63" t="s">
        <v>91</v>
      </c>
      <c r="B568" s="63" t="s">
        <v>68</v>
      </c>
      <c r="C568" s="63" t="s">
        <v>91</v>
      </c>
      <c r="D568" s="34" t="s">
        <v>14</v>
      </c>
      <c r="E568" s="62" t="str">
        <f t="shared" si="8"/>
        <v>PlesiothKO</v>
      </c>
      <c r="F568">
        <v>169</v>
      </c>
      <c r="G568">
        <v>233</v>
      </c>
      <c r="H568">
        <v>297</v>
      </c>
      <c r="I568">
        <v>364</v>
      </c>
      <c r="J568" s="29"/>
      <c r="K568" s="6"/>
      <c r="P568" s="6">
        <v>169</v>
      </c>
      <c r="Q568">
        <v>233</v>
      </c>
      <c r="R568">
        <v>297</v>
      </c>
      <c r="S568">
        <v>361</v>
      </c>
      <c r="U568" s="6"/>
      <c r="Z568" s="6">
        <v>182</v>
      </c>
      <c r="AA568">
        <v>252</v>
      </c>
      <c r="AB568">
        <v>322</v>
      </c>
      <c r="AC568">
        <v>392</v>
      </c>
      <c r="AE568" s="6"/>
      <c r="AJ568" s="6">
        <v>260</v>
      </c>
      <c r="AK568">
        <v>360</v>
      </c>
      <c r="AL568">
        <v>460</v>
      </c>
      <c r="AM568">
        <v>560</v>
      </c>
      <c r="AO568" s="6"/>
      <c r="AS568">
        <v>10</v>
      </c>
      <c r="AT568" t="s">
        <v>214</v>
      </c>
      <c r="AU568" t="s">
        <v>214</v>
      </c>
    </row>
    <row r="569" spans="1:47" x14ac:dyDescent="0.25">
      <c r="A569" s="63" t="s">
        <v>91</v>
      </c>
      <c r="B569" s="63" t="s">
        <v>68</v>
      </c>
      <c r="C569" s="63" t="s">
        <v>91</v>
      </c>
      <c r="D569" s="33" t="s">
        <v>34</v>
      </c>
      <c r="E569" s="62" t="str">
        <f t="shared" si="8"/>
        <v>PlesiothMount</v>
      </c>
      <c r="F569">
        <v>80</v>
      </c>
      <c r="G569">
        <v>240</v>
      </c>
      <c r="H569">
        <v>400</v>
      </c>
      <c r="I569">
        <v>560</v>
      </c>
      <c r="K569" s="6"/>
      <c r="P569" s="6">
        <v>85</v>
      </c>
      <c r="Q569">
        <v>255</v>
      </c>
      <c r="R569" s="6">
        <v>425</v>
      </c>
      <c r="S569">
        <v>595</v>
      </c>
      <c r="U569" s="6"/>
      <c r="Z569" s="6">
        <v>90</v>
      </c>
      <c r="AA569">
        <v>270</v>
      </c>
      <c r="AB569">
        <v>450</v>
      </c>
      <c r="AC569">
        <v>630</v>
      </c>
      <c r="AE569" s="6"/>
      <c r="AJ569" s="6">
        <v>100</v>
      </c>
      <c r="AK569">
        <v>300</v>
      </c>
      <c r="AL569">
        <v>500</v>
      </c>
      <c r="AM569">
        <v>700</v>
      </c>
      <c r="AO569" s="6"/>
      <c r="AS569"/>
      <c r="AT569" t="s">
        <v>214</v>
      </c>
      <c r="AU569" t="s">
        <v>214</v>
      </c>
    </row>
    <row r="570" spans="1:47" x14ac:dyDescent="0.25">
      <c r="A570" s="63" t="s">
        <v>91</v>
      </c>
      <c r="B570" s="63" t="s">
        <v>68</v>
      </c>
      <c r="C570" s="63" t="s">
        <v>91</v>
      </c>
      <c r="D570" s="77" t="s">
        <v>207</v>
      </c>
      <c r="E570" s="62" t="str">
        <f t="shared" si="8"/>
        <v>PlesiothShock Trap</v>
      </c>
      <c r="K570" s="6"/>
      <c r="P570" s="6"/>
      <c r="U570" s="6"/>
      <c r="AE570" s="6"/>
      <c r="AJ570" s="6"/>
      <c r="AO570" s="6"/>
      <c r="AS570">
        <v>5</v>
      </c>
      <c r="AT570">
        <v>12</v>
      </c>
      <c r="AU570">
        <v>7</v>
      </c>
    </row>
    <row r="571" spans="1:47" s="56" customFormat="1" x14ac:dyDescent="0.25">
      <c r="A571" s="63" t="s">
        <v>91</v>
      </c>
      <c r="B571" s="63" t="s">
        <v>68</v>
      </c>
      <c r="C571" s="63" t="s">
        <v>91</v>
      </c>
      <c r="D571" s="79" t="s">
        <v>213</v>
      </c>
      <c r="E571" s="62" t="str">
        <f t="shared" si="8"/>
        <v>PlesiothPitfall Trap</v>
      </c>
      <c r="K571" s="7"/>
      <c r="P571" s="7"/>
      <c r="U571" s="7"/>
      <c r="Z571" s="7"/>
      <c r="AE571" s="7"/>
      <c r="AJ571" s="7"/>
      <c r="AO571" s="7"/>
      <c r="AS571" s="56">
        <v>7</v>
      </c>
      <c r="AT571" s="56">
        <v>15</v>
      </c>
      <c r="AU571" s="56">
        <v>10</v>
      </c>
    </row>
    <row r="572" spans="1:47" s="36" customFormat="1" x14ac:dyDescent="0.25">
      <c r="A572" s="63" t="s">
        <v>91</v>
      </c>
      <c r="B572" s="63" t="s">
        <v>69</v>
      </c>
      <c r="C572" s="63" t="s">
        <v>91</v>
      </c>
      <c r="D572" s="37" t="s">
        <v>0</v>
      </c>
      <c r="E572" s="62" t="str">
        <f t="shared" si="8"/>
        <v>RajangPara</v>
      </c>
      <c r="F572" s="36">
        <v>200</v>
      </c>
      <c r="G572" s="36">
        <v>395</v>
      </c>
      <c r="H572" s="36">
        <v>590</v>
      </c>
      <c r="I572" s="36">
        <v>785</v>
      </c>
      <c r="J572" s="61"/>
      <c r="K572" s="50">
        <v>200</v>
      </c>
      <c r="L572" s="36">
        <v>395</v>
      </c>
      <c r="M572" s="36">
        <v>590</v>
      </c>
      <c r="N572" s="36">
        <v>785</v>
      </c>
      <c r="P572" s="6">
        <v>200</v>
      </c>
      <c r="Q572" s="46">
        <v>530</v>
      </c>
      <c r="R572" s="46">
        <v>860</v>
      </c>
      <c r="S572" s="46">
        <v>1190</v>
      </c>
      <c r="U572" s="50"/>
      <c r="Z572" s="6">
        <v>200</v>
      </c>
      <c r="AA572" s="46">
        <v>530</v>
      </c>
      <c r="AB572" s="46">
        <v>860</v>
      </c>
      <c r="AC572" s="46">
        <v>1190</v>
      </c>
      <c r="AE572" s="50">
        <v>200</v>
      </c>
      <c r="AF572" s="36">
        <v>515</v>
      </c>
      <c r="AG572" s="36">
        <v>830</v>
      </c>
      <c r="AH572" s="36">
        <v>1145</v>
      </c>
      <c r="AJ572" s="6">
        <v>200</v>
      </c>
      <c r="AK572" s="46">
        <v>590</v>
      </c>
      <c r="AL572" s="46">
        <v>980</v>
      </c>
      <c r="AM572" s="46">
        <v>1370</v>
      </c>
      <c r="AO572" s="50"/>
      <c r="AS572" s="36">
        <v>10</v>
      </c>
      <c r="AT572" s="36" t="s">
        <v>214</v>
      </c>
      <c r="AU572" s="36" t="s">
        <v>214</v>
      </c>
    </row>
    <row r="573" spans="1:47" x14ac:dyDescent="0.25">
      <c r="A573" s="63" t="s">
        <v>91</v>
      </c>
      <c r="B573" s="63" t="s">
        <v>69</v>
      </c>
      <c r="C573" s="63" t="s">
        <v>91</v>
      </c>
      <c r="D573" s="31" t="s">
        <v>32</v>
      </c>
      <c r="E573" s="62" t="str">
        <f t="shared" si="8"/>
        <v>RajangSleep</v>
      </c>
      <c r="F573">
        <v>150</v>
      </c>
      <c r="G573">
        <v>280</v>
      </c>
      <c r="H573">
        <v>410</v>
      </c>
      <c r="I573">
        <v>540</v>
      </c>
      <c r="K573" s="6">
        <v>150</v>
      </c>
      <c r="L573">
        <v>280</v>
      </c>
      <c r="M573">
        <v>410</v>
      </c>
      <c r="N573">
        <v>540</v>
      </c>
      <c r="P573" s="6">
        <v>150</v>
      </c>
      <c r="Q573">
        <v>370</v>
      </c>
      <c r="R573">
        <v>590</v>
      </c>
      <c r="S573">
        <v>810</v>
      </c>
      <c r="U573" s="6"/>
      <c r="Z573" s="6">
        <v>150</v>
      </c>
      <c r="AA573">
        <v>370</v>
      </c>
      <c r="AB573">
        <v>590</v>
      </c>
      <c r="AC573">
        <v>810</v>
      </c>
      <c r="AE573" s="6">
        <v>150</v>
      </c>
      <c r="AF573">
        <v>150</v>
      </c>
      <c r="AG573">
        <v>150</v>
      </c>
      <c r="AH573">
        <v>150</v>
      </c>
      <c r="AJ573" s="6">
        <v>150</v>
      </c>
      <c r="AK573">
        <v>410</v>
      </c>
      <c r="AL573">
        <v>670</v>
      </c>
      <c r="AM573">
        <v>930</v>
      </c>
      <c r="AO573" s="6"/>
      <c r="AS573">
        <v>40</v>
      </c>
      <c r="AT573" t="s">
        <v>214</v>
      </c>
      <c r="AU573" t="s">
        <v>214</v>
      </c>
    </row>
    <row r="574" spans="1:47" x14ac:dyDescent="0.25">
      <c r="A574" s="63" t="s">
        <v>91</v>
      </c>
      <c r="B574" s="63" t="s">
        <v>69</v>
      </c>
      <c r="C574" s="63" t="s">
        <v>91</v>
      </c>
      <c r="D574" s="32" t="s">
        <v>33</v>
      </c>
      <c r="E574" s="62" t="str">
        <f t="shared" si="8"/>
        <v>RajangPoison</v>
      </c>
      <c r="F574">
        <v>180</v>
      </c>
      <c r="G574">
        <v>284</v>
      </c>
      <c r="H574">
        <v>388</v>
      </c>
      <c r="I574">
        <v>492</v>
      </c>
      <c r="J574" s="29"/>
      <c r="K574" s="6">
        <v>150</v>
      </c>
      <c r="L574">
        <v>280</v>
      </c>
      <c r="M574">
        <v>410</v>
      </c>
      <c r="N574">
        <v>540</v>
      </c>
      <c r="P574" s="6">
        <v>180</v>
      </c>
      <c r="Q574">
        <v>356</v>
      </c>
      <c r="R574">
        <v>532</v>
      </c>
      <c r="S574">
        <v>708</v>
      </c>
      <c r="U574" s="6"/>
      <c r="Z574" s="6">
        <v>180</v>
      </c>
      <c r="AA574">
        <v>356</v>
      </c>
      <c r="AB574">
        <v>532</v>
      </c>
      <c r="AC574">
        <v>708</v>
      </c>
      <c r="AE574" s="6">
        <v>180</v>
      </c>
      <c r="AF574">
        <v>204</v>
      </c>
      <c r="AG574">
        <v>228</v>
      </c>
      <c r="AH574">
        <v>252</v>
      </c>
      <c r="AJ574" s="6">
        <v>180</v>
      </c>
      <c r="AK574">
        <v>388</v>
      </c>
      <c r="AL574">
        <v>596</v>
      </c>
      <c r="AM574">
        <v>804</v>
      </c>
      <c r="AO574" s="6"/>
      <c r="AS574">
        <v>60</v>
      </c>
      <c r="AT574" t="s">
        <v>214</v>
      </c>
      <c r="AU574" t="s">
        <v>214</v>
      </c>
    </row>
    <row r="575" spans="1:47" x14ac:dyDescent="0.25">
      <c r="A575" s="63" t="s">
        <v>91</v>
      </c>
      <c r="B575" s="63" t="s">
        <v>69</v>
      </c>
      <c r="C575" s="63" t="s">
        <v>91</v>
      </c>
      <c r="D575" s="10" t="s">
        <v>22</v>
      </c>
      <c r="E575" s="62" t="str">
        <f t="shared" si="8"/>
        <v>RajangExhaust</v>
      </c>
      <c r="F575">
        <v>320</v>
      </c>
      <c r="G575">
        <v>480</v>
      </c>
      <c r="H575">
        <v>640</v>
      </c>
      <c r="I575">
        <v>800</v>
      </c>
      <c r="J575" s="29"/>
      <c r="K575" s="6">
        <v>320</v>
      </c>
      <c r="L575">
        <v>480</v>
      </c>
      <c r="M575">
        <v>640</v>
      </c>
      <c r="N575">
        <v>800</v>
      </c>
      <c r="P575" s="6">
        <v>400</v>
      </c>
      <c r="Q575">
        <v>600</v>
      </c>
      <c r="R575">
        <v>800</v>
      </c>
      <c r="S575">
        <v>1000</v>
      </c>
      <c r="U575" s="6"/>
      <c r="Z575" s="6">
        <v>400</v>
      </c>
      <c r="AA575">
        <v>600</v>
      </c>
      <c r="AB575">
        <v>800</v>
      </c>
      <c r="AC575">
        <v>1000</v>
      </c>
      <c r="AE575" s="6">
        <v>380</v>
      </c>
      <c r="AF575">
        <v>570</v>
      </c>
      <c r="AG575">
        <v>760</v>
      </c>
      <c r="AH575">
        <v>950</v>
      </c>
      <c r="AJ575" s="6">
        <v>500</v>
      </c>
      <c r="AK575">
        <v>750</v>
      </c>
      <c r="AL575">
        <v>1000</v>
      </c>
      <c r="AM575">
        <v>1250</v>
      </c>
      <c r="AO575" s="6"/>
      <c r="AS575"/>
      <c r="AT575" t="s">
        <v>214</v>
      </c>
      <c r="AU575" t="s">
        <v>214</v>
      </c>
    </row>
    <row r="576" spans="1:47" x14ac:dyDescent="0.25">
      <c r="A576" s="63" t="s">
        <v>91</v>
      </c>
      <c r="B576" s="63" t="s">
        <v>69</v>
      </c>
      <c r="C576" s="63" t="s">
        <v>91</v>
      </c>
      <c r="D576" s="30" t="s">
        <v>35</v>
      </c>
      <c r="E576" s="62" t="str">
        <f t="shared" si="8"/>
        <v>RajangBlast</v>
      </c>
      <c r="F576">
        <v>85</v>
      </c>
      <c r="G576">
        <v>156</v>
      </c>
      <c r="H576">
        <v>227</v>
      </c>
      <c r="I576">
        <v>298</v>
      </c>
      <c r="K576" s="6">
        <v>85</v>
      </c>
      <c r="L576">
        <v>156</v>
      </c>
      <c r="M576">
        <v>227</v>
      </c>
      <c r="N576">
        <v>298</v>
      </c>
      <c r="P576" s="6">
        <v>85</v>
      </c>
      <c r="Q576">
        <v>206</v>
      </c>
      <c r="R576" s="6">
        <v>327</v>
      </c>
      <c r="S576">
        <v>448</v>
      </c>
      <c r="U576" s="6"/>
      <c r="Z576" s="6">
        <v>85</v>
      </c>
      <c r="AA576">
        <v>206</v>
      </c>
      <c r="AB576" s="6">
        <v>327</v>
      </c>
      <c r="AC576">
        <v>448</v>
      </c>
      <c r="AE576" s="6">
        <v>85</v>
      </c>
      <c r="AF576">
        <v>206</v>
      </c>
      <c r="AG576" s="6">
        <v>327</v>
      </c>
      <c r="AH576">
        <v>448</v>
      </c>
      <c r="AJ576" s="6">
        <v>85</v>
      </c>
      <c r="AK576">
        <v>228</v>
      </c>
      <c r="AL576">
        <v>371</v>
      </c>
      <c r="AM576">
        <v>514</v>
      </c>
      <c r="AO576" s="6"/>
      <c r="AS576"/>
      <c r="AT576" t="s">
        <v>214</v>
      </c>
      <c r="AU576" t="s">
        <v>214</v>
      </c>
    </row>
    <row r="577" spans="1:47" x14ac:dyDescent="0.25">
      <c r="A577" s="63" t="s">
        <v>91</v>
      </c>
      <c r="B577" s="63" t="s">
        <v>69</v>
      </c>
      <c r="C577" s="63" t="s">
        <v>91</v>
      </c>
      <c r="D577" s="34" t="s">
        <v>14</v>
      </c>
      <c r="E577" s="62" t="str">
        <f t="shared" si="8"/>
        <v>RajangKO</v>
      </c>
      <c r="F577">
        <v>195</v>
      </c>
      <c r="G577">
        <v>325</v>
      </c>
      <c r="H577">
        <v>455</v>
      </c>
      <c r="I577">
        <v>585</v>
      </c>
      <c r="J577" s="29"/>
      <c r="K577" s="6">
        <v>195</v>
      </c>
      <c r="L577">
        <v>325</v>
      </c>
      <c r="M577">
        <v>455</v>
      </c>
      <c r="N577">
        <v>585</v>
      </c>
      <c r="P577" s="6">
        <v>225</v>
      </c>
      <c r="Q577">
        <v>375</v>
      </c>
      <c r="R577">
        <v>525</v>
      </c>
      <c r="S577">
        <v>675</v>
      </c>
      <c r="U577" s="6"/>
      <c r="Z577" s="6">
        <v>225</v>
      </c>
      <c r="AA577">
        <v>375</v>
      </c>
      <c r="AB577">
        <v>525</v>
      </c>
      <c r="AC577">
        <v>675</v>
      </c>
      <c r="AE577" s="6">
        <v>225</v>
      </c>
      <c r="AF577">
        <v>375</v>
      </c>
      <c r="AG577">
        <v>525</v>
      </c>
      <c r="AH577">
        <v>675</v>
      </c>
      <c r="AJ577" s="6">
        <v>300</v>
      </c>
      <c r="AK577">
        <v>500</v>
      </c>
      <c r="AL577">
        <v>700</v>
      </c>
      <c r="AM577">
        <v>900</v>
      </c>
      <c r="AO577" s="6"/>
      <c r="AS577">
        <v>10</v>
      </c>
      <c r="AT577" t="s">
        <v>214</v>
      </c>
      <c r="AU577" t="s">
        <v>214</v>
      </c>
    </row>
    <row r="578" spans="1:47" x14ac:dyDescent="0.25">
      <c r="A578" s="63" t="s">
        <v>91</v>
      </c>
      <c r="B578" s="63" t="s">
        <v>69</v>
      </c>
      <c r="C578" s="63" t="s">
        <v>91</v>
      </c>
      <c r="D578" s="33" t="s">
        <v>34</v>
      </c>
      <c r="E578" s="62" t="str">
        <f t="shared" si="8"/>
        <v>RajangMount</v>
      </c>
      <c r="F578">
        <v>96</v>
      </c>
      <c r="G578">
        <v>256</v>
      </c>
      <c r="H578">
        <v>416</v>
      </c>
      <c r="I578">
        <v>576</v>
      </c>
      <c r="K578" s="6">
        <v>96</v>
      </c>
      <c r="L578">
        <v>256</v>
      </c>
      <c r="M578">
        <v>416</v>
      </c>
      <c r="N578">
        <v>576</v>
      </c>
      <c r="P578" s="6">
        <v>108</v>
      </c>
      <c r="Q578">
        <v>288</v>
      </c>
      <c r="R578" s="6">
        <v>468</v>
      </c>
      <c r="S578">
        <v>648</v>
      </c>
      <c r="U578" s="6"/>
      <c r="Z578" s="6">
        <v>108</v>
      </c>
      <c r="AA578">
        <v>288</v>
      </c>
      <c r="AB578">
        <v>468</v>
      </c>
      <c r="AC578">
        <v>648</v>
      </c>
      <c r="AE578" s="6">
        <v>108</v>
      </c>
      <c r="AF578">
        <v>288</v>
      </c>
      <c r="AG578">
        <v>468</v>
      </c>
      <c r="AH578">
        <v>648</v>
      </c>
      <c r="AJ578" s="6">
        <v>120</v>
      </c>
      <c r="AK578">
        <v>320</v>
      </c>
      <c r="AL578">
        <v>520</v>
      </c>
      <c r="AM578">
        <v>720</v>
      </c>
      <c r="AO578" s="6"/>
      <c r="AS578"/>
      <c r="AT578" t="s">
        <v>214</v>
      </c>
      <c r="AU578" t="s">
        <v>214</v>
      </c>
    </row>
    <row r="579" spans="1:47" x14ac:dyDescent="0.25">
      <c r="A579" s="63" t="s">
        <v>91</v>
      </c>
      <c r="B579" s="63" t="s">
        <v>69</v>
      </c>
      <c r="C579" s="63" t="s">
        <v>91</v>
      </c>
      <c r="D579" s="77" t="s">
        <v>207</v>
      </c>
      <c r="E579" s="62" t="str">
        <f t="shared" si="8"/>
        <v>RajangShock Trap</v>
      </c>
      <c r="K579" s="6"/>
      <c r="P579" s="6"/>
      <c r="U579" s="6"/>
      <c r="AE579" s="6"/>
      <c r="AJ579" s="6"/>
      <c r="AO579" s="6"/>
      <c r="AS579">
        <v>8</v>
      </c>
      <c r="AT579">
        <v>15</v>
      </c>
      <c r="AU579">
        <v>8</v>
      </c>
    </row>
    <row r="580" spans="1:47" s="56" customFormat="1" x14ac:dyDescent="0.25">
      <c r="A580" s="63" t="s">
        <v>91</v>
      </c>
      <c r="B580" s="63" t="s">
        <v>69</v>
      </c>
      <c r="C580" s="63" t="s">
        <v>91</v>
      </c>
      <c r="D580" s="79" t="s">
        <v>213</v>
      </c>
      <c r="E580" s="62" t="str">
        <f t="shared" si="8"/>
        <v>RajangPitfall Trap</v>
      </c>
      <c r="K580" s="7"/>
      <c r="P580" s="7"/>
      <c r="U580" s="7"/>
      <c r="Z580" s="7"/>
      <c r="AE580" s="7"/>
      <c r="AJ580" s="7"/>
      <c r="AO580" s="7"/>
      <c r="AS580" s="56">
        <v>18</v>
      </c>
      <c r="AT580" s="56">
        <v>20</v>
      </c>
      <c r="AU580" s="56">
        <v>18</v>
      </c>
    </row>
    <row r="581" spans="1:47" s="36" customFormat="1" x14ac:dyDescent="0.25">
      <c r="A581" s="63" t="s">
        <v>91</v>
      </c>
      <c r="B581" s="63" t="s">
        <v>198</v>
      </c>
      <c r="C581" s="63" t="s">
        <v>91</v>
      </c>
      <c r="D581" s="37" t="s">
        <v>0</v>
      </c>
      <c r="E581" s="62" t="str">
        <f t="shared" ref="E581:E644" si="9">B581&amp;D581</f>
        <v>Rajang (Furious)Para</v>
      </c>
      <c r="F581" s="36">
        <v>200</v>
      </c>
      <c r="G581" s="36">
        <v>470</v>
      </c>
      <c r="H581" s="36">
        <v>740</v>
      </c>
      <c r="I581" s="36">
        <v>1010</v>
      </c>
      <c r="J581" s="61"/>
      <c r="K581" s="50">
        <v>200</v>
      </c>
      <c r="L581" s="36">
        <v>395</v>
      </c>
      <c r="M581" s="36">
        <v>590</v>
      </c>
      <c r="N581" s="36">
        <v>785</v>
      </c>
      <c r="P581" s="6"/>
      <c r="Q581" s="46"/>
      <c r="R581" s="46"/>
      <c r="S581" s="46"/>
      <c r="U581" s="50"/>
      <c r="Z581" s="6">
        <v>200</v>
      </c>
      <c r="AA581" s="46">
        <v>530</v>
      </c>
      <c r="AB581" s="46">
        <v>860</v>
      </c>
      <c r="AC581" s="46">
        <v>1190</v>
      </c>
      <c r="AE581" s="50"/>
      <c r="AJ581" s="6"/>
      <c r="AK581" s="46"/>
      <c r="AL581" s="46"/>
      <c r="AM581" s="46"/>
      <c r="AO581" s="50"/>
      <c r="AS581" s="36">
        <v>10</v>
      </c>
      <c r="AT581" s="36" t="s">
        <v>214</v>
      </c>
      <c r="AU581" s="36" t="s">
        <v>214</v>
      </c>
    </row>
    <row r="582" spans="1:47" x14ac:dyDescent="0.25">
      <c r="A582" s="63" t="s">
        <v>91</v>
      </c>
      <c r="B582" s="63" t="s">
        <v>198</v>
      </c>
      <c r="C582" s="63" t="s">
        <v>91</v>
      </c>
      <c r="D582" s="31" t="s">
        <v>32</v>
      </c>
      <c r="E582" s="62" t="str">
        <f t="shared" si="9"/>
        <v>Rajang (Furious)Sleep</v>
      </c>
      <c r="F582">
        <v>150</v>
      </c>
      <c r="G582">
        <v>330</v>
      </c>
      <c r="H582">
        <v>510</v>
      </c>
      <c r="I582">
        <v>690</v>
      </c>
      <c r="K582" s="6">
        <v>150</v>
      </c>
      <c r="L582">
        <v>280</v>
      </c>
      <c r="M582">
        <v>410</v>
      </c>
      <c r="N582">
        <v>540</v>
      </c>
      <c r="P582" s="6"/>
      <c r="U582" s="6"/>
      <c r="Z582" s="6">
        <v>150</v>
      </c>
      <c r="AA582">
        <v>370</v>
      </c>
      <c r="AB582">
        <v>590</v>
      </c>
      <c r="AC582">
        <v>810</v>
      </c>
      <c r="AE582" s="6"/>
      <c r="AJ582" s="6"/>
      <c r="AO582" s="6"/>
      <c r="AS582">
        <v>40</v>
      </c>
      <c r="AT582" t="s">
        <v>214</v>
      </c>
      <c r="AU582" t="s">
        <v>214</v>
      </c>
    </row>
    <row r="583" spans="1:47" x14ac:dyDescent="0.25">
      <c r="A583" s="63" t="s">
        <v>91</v>
      </c>
      <c r="B583" s="63" t="s">
        <v>198</v>
      </c>
      <c r="C583" s="63" t="s">
        <v>91</v>
      </c>
      <c r="D583" s="32" t="s">
        <v>33</v>
      </c>
      <c r="E583" s="62" t="str">
        <f t="shared" si="9"/>
        <v>Rajang (Furious)Poison</v>
      </c>
      <c r="F583">
        <v>180</v>
      </c>
      <c r="G583">
        <v>324</v>
      </c>
      <c r="H583">
        <v>468</v>
      </c>
      <c r="I583">
        <v>612</v>
      </c>
      <c r="J583" s="29"/>
      <c r="K583" s="6">
        <v>150</v>
      </c>
      <c r="L583">
        <v>280</v>
      </c>
      <c r="M583">
        <v>410</v>
      </c>
      <c r="N583">
        <v>540</v>
      </c>
      <c r="P583" s="6"/>
      <c r="U583" s="6"/>
      <c r="Z583" s="6">
        <v>180</v>
      </c>
      <c r="AA583">
        <v>356</v>
      </c>
      <c r="AB583">
        <v>532</v>
      </c>
      <c r="AC583">
        <v>708</v>
      </c>
      <c r="AE583" s="6"/>
      <c r="AJ583" s="6"/>
      <c r="AO583" s="6"/>
      <c r="AS583">
        <v>60</v>
      </c>
      <c r="AT583" t="s">
        <v>214</v>
      </c>
      <c r="AU583" t="s">
        <v>214</v>
      </c>
    </row>
    <row r="584" spans="1:47" x14ac:dyDescent="0.25">
      <c r="A584" s="63" t="s">
        <v>91</v>
      </c>
      <c r="B584" s="63" t="s">
        <v>198</v>
      </c>
      <c r="C584" s="63" t="s">
        <v>91</v>
      </c>
      <c r="D584" s="10" t="s">
        <v>22</v>
      </c>
      <c r="E584" s="62" t="str">
        <f t="shared" si="9"/>
        <v>Rajang (Furious)Exhaust</v>
      </c>
      <c r="F584">
        <v>0</v>
      </c>
      <c r="G584">
        <v>0</v>
      </c>
      <c r="H584">
        <v>0</v>
      </c>
      <c r="I584">
        <v>0</v>
      </c>
      <c r="J584" s="29"/>
      <c r="K584" s="6">
        <v>0</v>
      </c>
      <c r="L584">
        <v>0</v>
      </c>
      <c r="M584">
        <v>0</v>
      </c>
      <c r="N584">
        <v>0</v>
      </c>
      <c r="P584" s="6"/>
      <c r="U584" s="6"/>
      <c r="Z584" s="6">
        <v>0</v>
      </c>
      <c r="AA584">
        <v>0</v>
      </c>
      <c r="AB584">
        <v>0</v>
      </c>
      <c r="AC584">
        <v>0</v>
      </c>
      <c r="AE584" s="6"/>
      <c r="AJ584" s="6"/>
      <c r="AO584" s="6"/>
      <c r="AS584"/>
      <c r="AT584" t="s">
        <v>214</v>
      </c>
      <c r="AU584" t="s">
        <v>214</v>
      </c>
    </row>
    <row r="585" spans="1:47" x14ac:dyDescent="0.25">
      <c r="A585" s="63" t="s">
        <v>91</v>
      </c>
      <c r="B585" s="63" t="s">
        <v>198</v>
      </c>
      <c r="C585" s="63" t="s">
        <v>91</v>
      </c>
      <c r="D585" s="30" t="s">
        <v>35</v>
      </c>
      <c r="E585" s="62" t="str">
        <f t="shared" si="9"/>
        <v>Rajang (Furious)Blast</v>
      </c>
      <c r="F585">
        <v>85</v>
      </c>
      <c r="G585">
        <v>104</v>
      </c>
      <c r="H585">
        <v>123</v>
      </c>
      <c r="I585">
        <v>142</v>
      </c>
      <c r="K585" s="6">
        <v>85</v>
      </c>
      <c r="L585">
        <v>156</v>
      </c>
      <c r="M585">
        <v>227</v>
      </c>
      <c r="N585">
        <v>298</v>
      </c>
      <c r="P585" s="6"/>
      <c r="R585" s="6"/>
      <c r="U585" s="6"/>
      <c r="Z585" s="6">
        <v>85</v>
      </c>
      <c r="AA585">
        <v>206</v>
      </c>
      <c r="AB585" s="6">
        <v>327</v>
      </c>
      <c r="AC585">
        <v>448</v>
      </c>
      <c r="AE585" s="6"/>
      <c r="AG585" s="6"/>
      <c r="AJ585" s="6"/>
      <c r="AO585" s="6"/>
      <c r="AS585"/>
      <c r="AT585" t="s">
        <v>214</v>
      </c>
      <c r="AU585" t="s">
        <v>214</v>
      </c>
    </row>
    <row r="586" spans="1:47" x14ac:dyDescent="0.25">
      <c r="A586" s="63" t="s">
        <v>91</v>
      </c>
      <c r="B586" s="63" t="s">
        <v>198</v>
      </c>
      <c r="C586" s="63" t="s">
        <v>91</v>
      </c>
      <c r="D586" s="34" t="s">
        <v>14</v>
      </c>
      <c r="E586" s="62" t="str">
        <f t="shared" si="9"/>
        <v>Rajang (Furious)KO</v>
      </c>
      <c r="F586">
        <v>195</v>
      </c>
      <c r="G586">
        <v>195</v>
      </c>
      <c r="H586">
        <v>195</v>
      </c>
      <c r="I586">
        <v>195</v>
      </c>
      <c r="J586" s="29"/>
      <c r="K586" s="6">
        <v>195</v>
      </c>
      <c r="L586">
        <v>325</v>
      </c>
      <c r="M586">
        <v>455</v>
      </c>
      <c r="N586">
        <v>585</v>
      </c>
      <c r="P586" s="6"/>
      <c r="U586" s="6"/>
      <c r="Z586" s="6">
        <v>225</v>
      </c>
      <c r="AA586">
        <v>375</v>
      </c>
      <c r="AB586">
        <v>525</v>
      </c>
      <c r="AC586">
        <v>675</v>
      </c>
      <c r="AE586" s="6"/>
      <c r="AJ586" s="6"/>
      <c r="AO586" s="6"/>
      <c r="AS586">
        <v>10</v>
      </c>
      <c r="AT586" t="s">
        <v>214</v>
      </c>
      <c r="AU586" t="s">
        <v>214</v>
      </c>
    </row>
    <row r="587" spans="1:47" x14ac:dyDescent="0.25">
      <c r="A587" s="63" t="s">
        <v>91</v>
      </c>
      <c r="B587" s="63" t="s">
        <v>198</v>
      </c>
      <c r="C587" s="63" t="s">
        <v>91</v>
      </c>
      <c r="D587" s="33" t="s">
        <v>34</v>
      </c>
      <c r="E587" s="62" t="str">
        <f t="shared" si="9"/>
        <v>Rajang (Furious)Mount</v>
      </c>
      <c r="F587">
        <v>102</v>
      </c>
      <c r="G587">
        <v>272</v>
      </c>
      <c r="H587">
        <v>442</v>
      </c>
      <c r="I587">
        <v>612</v>
      </c>
      <c r="K587" s="6">
        <v>96</v>
      </c>
      <c r="L587">
        <v>256</v>
      </c>
      <c r="M587">
        <v>416</v>
      </c>
      <c r="N587">
        <v>576</v>
      </c>
      <c r="P587" s="6"/>
      <c r="R587" s="6"/>
      <c r="U587" s="6"/>
      <c r="Z587" s="6">
        <v>120</v>
      </c>
      <c r="AA587">
        <v>320</v>
      </c>
      <c r="AB587">
        <v>520</v>
      </c>
      <c r="AC587">
        <v>720</v>
      </c>
      <c r="AE587" s="6"/>
      <c r="AJ587" s="6"/>
      <c r="AO587" s="6"/>
      <c r="AS587"/>
      <c r="AT587" t="s">
        <v>214</v>
      </c>
      <c r="AU587" t="s">
        <v>214</v>
      </c>
    </row>
    <row r="588" spans="1:47" x14ac:dyDescent="0.25">
      <c r="A588" s="63" t="s">
        <v>91</v>
      </c>
      <c r="B588" s="63" t="s">
        <v>198</v>
      </c>
      <c r="C588" s="63" t="s">
        <v>91</v>
      </c>
      <c r="D588" s="77" t="s">
        <v>207</v>
      </c>
      <c r="E588" s="62" t="str">
        <f t="shared" si="9"/>
        <v>Rajang (Furious)Shock Trap</v>
      </c>
      <c r="K588" s="6"/>
      <c r="P588" s="6"/>
      <c r="U588" s="6"/>
      <c r="AE588" s="6"/>
      <c r="AJ588" s="6"/>
      <c r="AO588" s="6"/>
      <c r="AS588">
        <v>8</v>
      </c>
      <c r="AT588">
        <v>15</v>
      </c>
      <c r="AU588">
        <v>8</v>
      </c>
    </row>
    <row r="589" spans="1:47" s="56" customFormat="1" x14ac:dyDescent="0.25">
      <c r="A589" s="63" t="s">
        <v>91</v>
      </c>
      <c r="B589" s="63" t="s">
        <v>198</v>
      </c>
      <c r="C589" s="63" t="s">
        <v>91</v>
      </c>
      <c r="D589" s="79" t="s">
        <v>213</v>
      </c>
      <c r="E589" s="62" t="str">
        <f t="shared" si="9"/>
        <v>Rajang (Furious)Pitfall Trap</v>
      </c>
      <c r="K589" s="7"/>
      <c r="P589" s="7"/>
      <c r="U589" s="7"/>
      <c r="Z589" s="7"/>
      <c r="AE589" s="7"/>
      <c r="AJ589" s="7"/>
      <c r="AO589" s="7"/>
      <c r="AS589" s="56">
        <v>18</v>
      </c>
      <c r="AT589" s="56">
        <v>20</v>
      </c>
      <c r="AU589" s="56">
        <v>18</v>
      </c>
    </row>
    <row r="590" spans="1:47" s="36" customFormat="1" x14ac:dyDescent="0.25">
      <c r="A590" s="63" t="s">
        <v>91</v>
      </c>
      <c r="B590" s="63" t="s">
        <v>31</v>
      </c>
      <c r="C590" s="63" t="s">
        <v>91</v>
      </c>
      <c r="D590" s="37" t="s">
        <v>0</v>
      </c>
      <c r="E590" s="62" t="str">
        <f t="shared" si="9"/>
        <v>RathalosPara</v>
      </c>
      <c r="F590" s="36">
        <v>180</v>
      </c>
      <c r="G590" s="36">
        <v>323</v>
      </c>
      <c r="H590" s="36">
        <v>466</v>
      </c>
      <c r="I590" s="36">
        <v>609</v>
      </c>
      <c r="J590" s="61"/>
      <c r="K590" s="50">
        <v>180</v>
      </c>
      <c r="L590" s="36">
        <v>317</v>
      </c>
      <c r="M590" s="36">
        <v>455</v>
      </c>
      <c r="N590" s="36">
        <v>592</v>
      </c>
      <c r="P590" s="6">
        <v>180</v>
      </c>
      <c r="Q590" s="46">
        <v>378</v>
      </c>
      <c r="R590" s="46">
        <v>576</v>
      </c>
      <c r="S590" s="46">
        <v>774</v>
      </c>
      <c r="U590" s="50">
        <v>180</v>
      </c>
      <c r="V590" s="36">
        <v>323</v>
      </c>
      <c r="W590" s="36">
        <v>466</v>
      </c>
      <c r="X590" s="36">
        <v>608</v>
      </c>
      <c r="Z590" s="6">
        <v>180</v>
      </c>
      <c r="AA590" s="46">
        <v>410</v>
      </c>
      <c r="AB590" s="46">
        <v>640</v>
      </c>
      <c r="AC590" s="46">
        <v>870</v>
      </c>
      <c r="AE590" s="50">
        <v>180</v>
      </c>
      <c r="AF590" s="36">
        <v>410</v>
      </c>
      <c r="AG590" s="36">
        <v>640</v>
      </c>
      <c r="AH590" s="36">
        <v>870</v>
      </c>
      <c r="AJ590" s="6">
        <v>180</v>
      </c>
      <c r="AK590" s="46">
        <v>477</v>
      </c>
      <c r="AL590" s="46">
        <v>774</v>
      </c>
      <c r="AM590" s="46">
        <v>1071</v>
      </c>
      <c r="AO590" s="50"/>
      <c r="AS590" s="36">
        <v>10</v>
      </c>
      <c r="AT590" s="36" t="s">
        <v>214</v>
      </c>
      <c r="AU590" s="36" t="s">
        <v>214</v>
      </c>
    </row>
    <row r="591" spans="1:47" x14ac:dyDescent="0.25">
      <c r="A591" s="63" t="s">
        <v>91</v>
      </c>
      <c r="B591" s="63" t="s">
        <v>31</v>
      </c>
      <c r="C591" s="63" t="s">
        <v>91</v>
      </c>
      <c r="D591" s="31" t="s">
        <v>32</v>
      </c>
      <c r="E591" s="62" t="str">
        <f t="shared" si="9"/>
        <v>RathalosSleep</v>
      </c>
      <c r="F591">
        <v>180</v>
      </c>
      <c r="G591">
        <v>310</v>
      </c>
      <c r="H591">
        <v>570</v>
      </c>
      <c r="I591">
        <v>700</v>
      </c>
      <c r="K591" s="6">
        <v>180</v>
      </c>
      <c r="L591">
        <v>305</v>
      </c>
      <c r="M591">
        <v>430</v>
      </c>
      <c r="N591">
        <v>555</v>
      </c>
      <c r="P591" s="6">
        <v>180</v>
      </c>
      <c r="Q591">
        <v>360</v>
      </c>
      <c r="R591">
        <v>540</v>
      </c>
      <c r="S591">
        <v>720</v>
      </c>
      <c r="U591" s="6">
        <v>180</v>
      </c>
      <c r="V591">
        <v>310</v>
      </c>
      <c r="W591">
        <v>440</v>
      </c>
      <c r="X591">
        <v>570</v>
      </c>
      <c r="Z591" s="6">
        <v>180</v>
      </c>
      <c r="AA591">
        <v>389</v>
      </c>
      <c r="AB591">
        <v>598</v>
      </c>
      <c r="AC591">
        <v>807</v>
      </c>
      <c r="AE591" s="6">
        <v>180</v>
      </c>
      <c r="AF591">
        <v>389</v>
      </c>
      <c r="AG591">
        <v>598</v>
      </c>
      <c r="AH591">
        <v>807</v>
      </c>
      <c r="AJ591" s="6">
        <v>180</v>
      </c>
      <c r="AK591">
        <v>450</v>
      </c>
      <c r="AL591">
        <v>720</v>
      </c>
      <c r="AM591">
        <v>990</v>
      </c>
      <c r="AO591" s="6"/>
      <c r="AS591">
        <v>40</v>
      </c>
      <c r="AT591" t="s">
        <v>214</v>
      </c>
      <c r="AU591" t="s">
        <v>214</v>
      </c>
    </row>
    <row r="592" spans="1:47" x14ac:dyDescent="0.25">
      <c r="A592" s="63" t="s">
        <v>91</v>
      </c>
      <c r="B592" s="63" t="s">
        <v>31</v>
      </c>
      <c r="C592" s="63" t="s">
        <v>91</v>
      </c>
      <c r="D592" s="32" t="s">
        <v>33</v>
      </c>
      <c r="E592" s="62" t="str">
        <f t="shared" si="9"/>
        <v>RathalosPoison</v>
      </c>
      <c r="F592">
        <v>180</v>
      </c>
      <c r="G592">
        <v>310</v>
      </c>
      <c r="H592">
        <v>440</v>
      </c>
      <c r="I592">
        <v>570</v>
      </c>
      <c r="J592" s="29"/>
      <c r="K592" s="6">
        <v>180</v>
      </c>
      <c r="L592">
        <v>305</v>
      </c>
      <c r="M592">
        <v>430</v>
      </c>
      <c r="N592">
        <v>555</v>
      </c>
      <c r="P592" s="6">
        <v>180</v>
      </c>
      <c r="Q592">
        <v>360</v>
      </c>
      <c r="R592">
        <v>540</v>
      </c>
      <c r="S592">
        <v>720</v>
      </c>
      <c r="U592" s="6">
        <v>180</v>
      </c>
      <c r="V592">
        <v>310</v>
      </c>
      <c r="W592">
        <v>440</v>
      </c>
      <c r="X592">
        <v>570</v>
      </c>
      <c r="Z592" s="6">
        <v>180</v>
      </c>
      <c r="AA592">
        <v>389</v>
      </c>
      <c r="AB592">
        <v>598</v>
      </c>
      <c r="AC592">
        <v>807</v>
      </c>
      <c r="AE592" s="6">
        <v>180</v>
      </c>
      <c r="AF592">
        <v>389</v>
      </c>
      <c r="AG592">
        <v>598</v>
      </c>
      <c r="AH592">
        <v>807</v>
      </c>
      <c r="AJ592" s="6">
        <v>180</v>
      </c>
      <c r="AK592">
        <v>450</v>
      </c>
      <c r="AL592">
        <v>720</v>
      </c>
      <c r="AM592">
        <v>990</v>
      </c>
      <c r="AO592" s="6"/>
      <c r="AS592">
        <v>60</v>
      </c>
      <c r="AT592" t="s">
        <v>214</v>
      </c>
      <c r="AU592" t="s">
        <v>214</v>
      </c>
    </row>
    <row r="593" spans="1:47" x14ac:dyDescent="0.25">
      <c r="A593" s="63" t="s">
        <v>91</v>
      </c>
      <c r="B593" s="63" t="s">
        <v>31</v>
      </c>
      <c r="C593" s="63" t="s">
        <v>91</v>
      </c>
      <c r="D593" s="10" t="s">
        <v>22</v>
      </c>
      <c r="E593" s="62" t="str">
        <f t="shared" si="9"/>
        <v>RathalosExhaust</v>
      </c>
      <c r="F593">
        <v>288</v>
      </c>
      <c r="G593">
        <v>408</v>
      </c>
      <c r="H593">
        <v>528</v>
      </c>
      <c r="I593">
        <v>648</v>
      </c>
      <c r="J593" s="29"/>
      <c r="K593" s="6">
        <v>288</v>
      </c>
      <c r="L593">
        <v>408</v>
      </c>
      <c r="M593">
        <v>528</v>
      </c>
      <c r="N593">
        <v>648</v>
      </c>
      <c r="P593" s="6">
        <v>315</v>
      </c>
      <c r="Q593">
        <v>446</v>
      </c>
      <c r="R593">
        <v>577</v>
      </c>
      <c r="S593">
        <v>708</v>
      </c>
      <c r="U593" s="6">
        <v>288</v>
      </c>
      <c r="V593">
        <v>408</v>
      </c>
      <c r="W593">
        <v>528</v>
      </c>
      <c r="X593">
        <v>648</v>
      </c>
      <c r="Z593" s="6">
        <v>342</v>
      </c>
      <c r="AA593">
        <v>484</v>
      </c>
      <c r="AB593">
        <v>626</v>
      </c>
      <c r="AC593">
        <v>768</v>
      </c>
      <c r="AE593" s="6">
        <v>342</v>
      </c>
      <c r="AF593">
        <v>484</v>
      </c>
      <c r="AG593">
        <v>626</v>
      </c>
      <c r="AH593">
        <v>768</v>
      </c>
      <c r="AJ593" s="6">
        <v>450</v>
      </c>
      <c r="AK593">
        <v>637</v>
      </c>
      <c r="AL593">
        <v>824</v>
      </c>
      <c r="AM593">
        <v>1011</v>
      </c>
      <c r="AO593" s="6"/>
      <c r="AS593"/>
      <c r="AT593" t="s">
        <v>214</v>
      </c>
      <c r="AU593" t="s">
        <v>214</v>
      </c>
    </row>
    <row r="594" spans="1:47" x14ac:dyDescent="0.25">
      <c r="A594" s="63" t="s">
        <v>91</v>
      </c>
      <c r="B594" s="63" t="s">
        <v>31</v>
      </c>
      <c r="C594" s="63" t="s">
        <v>91</v>
      </c>
      <c r="D594" s="30" t="s">
        <v>35</v>
      </c>
      <c r="E594" s="62" t="str">
        <f t="shared" si="9"/>
        <v>RathalosBlast</v>
      </c>
      <c r="F594">
        <v>70</v>
      </c>
      <c r="G594">
        <v>109</v>
      </c>
      <c r="H594">
        <v>148</v>
      </c>
      <c r="I594">
        <v>187</v>
      </c>
      <c r="K594" s="6">
        <v>70</v>
      </c>
      <c r="L594">
        <v>109</v>
      </c>
      <c r="M594">
        <v>148</v>
      </c>
      <c r="N594">
        <v>187</v>
      </c>
      <c r="P594" s="6">
        <v>70</v>
      </c>
      <c r="Q594">
        <v>124</v>
      </c>
      <c r="R594" s="6">
        <v>178</v>
      </c>
      <c r="S594">
        <v>232</v>
      </c>
      <c r="U594" s="6">
        <v>70</v>
      </c>
      <c r="V594">
        <v>109</v>
      </c>
      <c r="W594">
        <v>148</v>
      </c>
      <c r="X594">
        <v>187</v>
      </c>
      <c r="Z594" s="6">
        <v>70</v>
      </c>
      <c r="AA594">
        <v>132</v>
      </c>
      <c r="AB594" s="6">
        <v>194</v>
      </c>
      <c r="AC594">
        <v>256</v>
      </c>
      <c r="AE594" s="6">
        <v>70</v>
      </c>
      <c r="AF594">
        <v>132</v>
      </c>
      <c r="AG594" s="6">
        <v>194</v>
      </c>
      <c r="AH594">
        <v>256</v>
      </c>
      <c r="AJ594" s="6">
        <v>70</v>
      </c>
      <c r="AK594">
        <v>151</v>
      </c>
      <c r="AL594">
        <v>232</v>
      </c>
      <c r="AM594">
        <v>313</v>
      </c>
      <c r="AO594" s="6"/>
      <c r="AS594"/>
      <c r="AT594" t="s">
        <v>214</v>
      </c>
      <c r="AU594" t="s">
        <v>214</v>
      </c>
    </row>
    <row r="595" spans="1:47" x14ac:dyDescent="0.25">
      <c r="A595" s="63" t="s">
        <v>91</v>
      </c>
      <c r="B595" s="63" t="s">
        <v>31</v>
      </c>
      <c r="C595" s="63" t="s">
        <v>91</v>
      </c>
      <c r="D595" s="34" t="s">
        <v>14</v>
      </c>
      <c r="E595" s="62" t="str">
        <f t="shared" si="9"/>
        <v>RathalosKO</v>
      </c>
      <c r="F595">
        <v>195</v>
      </c>
      <c r="G595">
        <v>390</v>
      </c>
      <c r="H595">
        <v>585</v>
      </c>
      <c r="I595">
        <v>780</v>
      </c>
      <c r="J595" s="29"/>
      <c r="K595" s="6">
        <v>195</v>
      </c>
      <c r="L595">
        <v>390</v>
      </c>
      <c r="M595">
        <v>585</v>
      </c>
      <c r="N595">
        <v>780</v>
      </c>
      <c r="P595" s="6">
        <v>195</v>
      </c>
      <c r="Q595">
        <v>390</v>
      </c>
      <c r="R595">
        <v>585</v>
      </c>
      <c r="S595">
        <v>780</v>
      </c>
      <c r="U595" s="6">
        <v>195</v>
      </c>
      <c r="V595">
        <v>390</v>
      </c>
      <c r="W595">
        <v>585</v>
      </c>
      <c r="X595">
        <v>780</v>
      </c>
      <c r="Z595" s="6">
        <v>225</v>
      </c>
      <c r="AA595">
        <v>450</v>
      </c>
      <c r="AB595">
        <v>675</v>
      </c>
      <c r="AC595">
        <v>900</v>
      </c>
      <c r="AE595" s="6">
        <v>225</v>
      </c>
      <c r="AF595">
        <v>450</v>
      </c>
      <c r="AG595">
        <v>675</v>
      </c>
      <c r="AH595">
        <v>900</v>
      </c>
      <c r="AJ595" s="6">
        <v>300</v>
      </c>
      <c r="AK595">
        <v>600</v>
      </c>
      <c r="AL595">
        <v>900</v>
      </c>
      <c r="AM595">
        <v>1200</v>
      </c>
      <c r="AO595" s="6"/>
      <c r="AS595">
        <v>10</v>
      </c>
      <c r="AT595" t="s">
        <v>214</v>
      </c>
      <c r="AU595" t="s">
        <v>214</v>
      </c>
    </row>
    <row r="596" spans="1:47" x14ac:dyDescent="0.25">
      <c r="A596" s="63" t="s">
        <v>91</v>
      </c>
      <c r="B596" s="63" t="s">
        <v>31</v>
      </c>
      <c r="C596" s="63" t="s">
        <v>91</v>
      </c>
      <c r="D596" s="33" t="s">
        <v>34</v>
      </c>
      <c r="E596" s="62" t="str">
        <f t="shared" si="9"/>
        <v>RathalosMount</v>
      </c>
      <c r="F596">
        <v>80</v>
      </c>
      <c r="G596">
        <v>208</v>
      </c>
      <c r="H596">
        <v>336</v>
      </c>
      <c r="I596">
        <v>464</v>
      </c>
      <c r="K596" s="6">
        <v>80</v>
      </c>
      <c r="L596">
        <v>208</v>
      </c>
      <c r="M596">
        <v>336</v>
      </c>
      <c r="N596">
        <v>464</v>
      </c>
      <c r="P596" s="6">
        <v>85</v>
      </c>
      <c r="Q596">
        <v>221</v>
      </c>
      <c r="R596" s="6">
        <v>357</v>
      </c>
      <c r="S596">
        <v>493</v>
      </c>
      <c r="U596" s="6">
        <v>80</v>
      </c>
      <c r="V596">
        <v>256</v>
      </c>
      <c r="W596">
        <v>432</v>
      </c>
      <c r="X596">
        <v>608</v>
      </c>
      <c r="Z596" s="6">
        <v>90</v>
      </c>
      <c r="AA596">
        <v>234</v>
      </c>
      <c r="AB596">
        <v>378</v>
      </c>
      <c r="AC596">
        <v>522</v>
      </c>
      <c r="AE596" s="6">
        <v>90</v>
      </c>
      <c r="AF596">
        <v>234</v>
      </c>
      <c r="AG596">
        <v>378</v>
      </c>
      <c r="AH596">
        <v>522</v>
      </c>
      <c r="AJ596" s="6">
        <v>100</v>
      </c>
      <c r="AK596">
        <v>260</v>
      </c>
      <c r="AL596">
        <v>420</v>
      </c>
      <c r="AM596">
        <v>580</v>
      </c>
      <c r="AO596" s="6"/>
      <c r="AS596"/>
      <c r="AT596" t="s">
        <v>214</v>
      </c>
      <c r="AU596" t="s">
        <v>214</v>
      </c>
    </row>
    <row r="597" spans="1:47" x14ac:dyDescent="0.25">
      <c r="A597" s="63" t="s">
        <v>91</v>
      </c>
      <c r="B597" s="63" t="s">
        <v>31</v>
      </c>
      <c r="C597" s="63" t="s">
        <v>91</v>
      </c>
      <c r="D597" s="77" t="s">
        <v>207</v>
      </c>
      <c r="E597" s="62" t="str">
        <f t="shared" si="9"/>
        <v>RathalosShock Trap</v>
      </c>
      <c r="K597" s="6"/>
      <c r="P597" s="6"/>
      <c r="U597" s="6"/>
      <c r="AE597" s="6"/>
      <c r="AJ597" s="6"/>
      <c r="AO597" s="6"/>
      <c r="AS597">
        <v>8</v>
      </c>
      <c r="AT597">
        <v>15</v>
      </c>
      <c r="AU597">
        <v>8</v>
      </c>
    </row>
    <row r="598" spans="1:47" s="56" customFormat="1" x14ac:dyDescent="0.25">
      <c r="A598" s="63" t="s">
        <v>91</v>
      </c>
      <c r="B598" s="63" t="s">
        <v>31</v>
      </c>
      <c r="C598" s="63" t="s">
        <v>91</v>
      </c>
      <c r="D598" s="79" t="s">
        <v>213</v>
      </c>
      <c r="E598" s="62" t="str">
        <f t="shared" si="9"/>
        <v>RathalosPitfall Trap</v>
      </c>
      <c r="K598" s="7"/>
      <c r="P598" s="7"/>
      <c r="U598" s="7"/>
      <c r="Z598" s="7"/>
      <c r="AE598" s="7"/>
      <c r="AJ598" s="7"/>
      <c r="AO598" s="7"/>
      <c r="AS598" s="56">
        <v>12</v>
      </c>
      <c r="AT598" s="56">
        <v>25</v>
      </c>
      <c r="AU598" s="56">
        <v>12</v>
      </c>
    </row>
    <row r="599" spans="1:47" s="36" customFormat="1" x14ac:dyDescent="0.25">
      <c r="A599" s="63" t="s">
        <v>91</v>
      </c>
      <c r="B599" s="63" t="s">
        <v>188</v>
      </c>
      <c r="C599" s="63" t="s">
        <v>91</v>
      </c>
      <c r="D599" s="37" t="s">
        <v>0</v>
      </c>
      <c r="E599" s="62" t="str">
        <f t="shared" si="9"/>
        <v>Rathalos (Silver)Para</v>
      </c>
      <c r="F599" s="36">
        <v>180</v>
      </c>
      <c r="G599" s="36">
        <v>378</v>
      </c>
      <c r="H599" s="36">
        <v>576</v>
      </c>
      <c r="I599" s="36">
        <v>774</v>
      </c>
      <c r="J599" s="61"/>
      <c r="K599" s="50">
        <v>180</v>
      </c>
      <c r="L599" s="36">
        <v>323</v>
      </c>
      <c r="M599" s="36">
        <v>466</v>
      </c>
      <c r="N599" s="36">
        <v>608</v>
      </c>
      <c r="P599" s="6">
        <v>180</v>
      </c>
      <c r="Q599" s="46">
        <v>422</v>
      </c>
      <c r="R599" s="46">
        <v>664</v>
      </c>
      <c r="S599" s="46">
        <v>906</v>
      </c>
      <c r="U599" s="50">
        <v>180</v>
      </c>
      <c r="V599" s="36">
        <v>389</v>
      </c>
      <c r="W599" s="36">
        <v>598</v>
      </c>
      <c r="X599" s="36">
        <v>1016</v>
      </c>
      <c r="Z599" s="6">
        <v>180</v>
      </c>
      <c r="AA599" s="46">
        <v>422</v>
      </c>
      <c r="AB599" s="46">
        <v>664</v>
      </c>
      <c r="AC599" s="46">
        <v>906</v>
      </c>
      <c r="AE599" s="50">
        <v>180</v>
      </c>
      <c r="AF599" s="36">
        <v>422</v>
      </c>
      <c r="AG599" s="36">
        <v>664</v>
      </c>
      <c r="AH599" s="36">
        <v>906</v>
      </c>
      <c r="AJ599" s="6">
        <v>180</v>
      </c>
      <c r="AK599" s="46">
        <v>477</v>
      </c>
      <c r="AL599" s="46">
        <v>774</v>
      </c>
      <c r="AM599" s="46">
        <v>1071</v>
      </c>
      <c r="AO599" s="50"/>
      <c r="AS599" s="36">
        <v>10</v>
      </c>
      <c r="AT599" s="36" t="s">
        <v>214</v>
      </c>
      <c r="AU599" s="36" t="s">
        <v>214</v>
      </c>
    </row>
    <row r="600" spans="1:47" x14ac:dyDescent="0.25">
      <c r="A600" s="63" t="s">
        <v>91</v>
      </c>
      <c r="B600" s="63" t="s">
        <v>188</v>
      </c>
      <c r="C600" s="63" t="s">
        <v>91</v>
      </c>
      <c r="D600" s="31" t="s">
        <v>32</v>
      </c>
      <c r="E600" s="62" t="str">
        <f t="shared" si="9"/>
        <v>Rathalos (Silver)Sleep</v>
      </c>
      <c r="F600">
        <v>180</v>
      </c>
      <c r="G600">
        <v>360</v>
      </c>
      <c r="H600">
        <v>540</v>
      </c>
      <c r="I600">
        <v>720</v>
      </c>
      <c r="K600" s="6">
        <v>180</v>
      </c>
      <c r="L600">
        <v>310</v>
      </c>
      <c r="M600">
        <v>440</v>
      </c>
      <c r="N600">
        <v>570</v>
      </c>
      <c r="P600" s="6">
        <v>180</v>
      </c>
      <c r="Q600">
        <v>400</v>
      </c>
      <c r="R600">
        <v>620</v>
      </c>
      <c r="S600">
        <v>840</v>
      </c>
      <c r="U600" s="6">
        <v>180</v>
      </c>
      <c r="V600">
        <v>370</v>
      </c>
      <c r="W600">
        <v>560</v>
      </c>
      <c r="X600">
        <v>750</v>
      </c>
      <c r="Z600" s="6">
        <v>180</v>
      </c>
      <c r="AA600">
        <v>400</v>
      </c>
      <c r="AB600">
        <v>620</v>
      </c>
      <c r="AC600">
        <v>840</v>
      </c>
      <c r="AE600" s="6">
        <v>180</v>
      </c>
      <c r="AF600">
        <v>400</v>
      </c>
      <c r="AG600">
        <v>620</v>
      </c>
      <c r="AH600">
        <v>840</v>
      </c>
      <c r="AJ600" s="6">
        <v>180</v>
      </c>
      <c r="AK600">
        <v>450</v>
      </c>
      <c r="AL600">
        <v>720</v>
      </c>
      <c r="AM600">
        <v>990</v>
      </c>
      <c r="AO600" s="6"/>
      <c r="AS600">
        <v>40</v>
      </c>
      <c r="AT600" t="s">
        <v>214</v>
      </c>
      <c r="AU600" t="s">
        <v>214</v>
      </c>
    </row>
    <row r="601" spans="1:47" x14ac:dyDescent="0.25">
      <c r="A601" s="63" t="s">
        <v>91</v>
      </c>
      <c r="B601" s="63" t="s">
        <v>188</v>
      </c>
      <c r="C601" s="63" t="s">
        <v>91</v>
      </c>
      <c r="D601" s="32" t="s">
        <v>33</v>
      </c>
      <c r="E601" s="62" t="str">
        <f t="shared" si="9"/>
        <v>Rathalos (Silver)Poison</v>
      </c>
      <c r="F601">
        <v>180</v>
      </c>
      <c r="G601">
        <v>360</v>
      </c>
      <c r="H601">
        <v>540</v>
      </c>
      <c r="I601">
        <v>720</v>
      </c>
      <c r="J601" s="29"/>
      <c r="K601" s="6">
        <v>180</v>
      </c>
      <c r="L601">
        <v>310</v>
      </c>
      <c r="M601">
        <v>440</v>
      </c>
      <c r="N601">
        <v>570</v>
      </c>
      <c r="P601" s="6">
        <v>180</v>
      </c>
      <c r="Q601">
        <v>400</v>
      </c>
      <c r="R601">
        <v>620</v>
      </c>
      <c r="S601">
        <v>840</v>
      </c>
      <c r="U601" s="6">
        <v>180</v>
      </c>
      <c r="V601">
        <v>370</v>
      </c>
      <c r="W601">
        <v>560</v>
      </c>
      <c r="X601">
        <v>750</v>
      </c>
      <c r="Z601" s="6">
        <v>180</v>
      </c>
      <c r="AA601">
        <v>400</v>
      </c>
      <c r="AB601">
        <v>620</v>
      </c>
      <c r="AC601">
        <v>840</v>
      </c>
      <c r="AE601" s="6">
        <v>180</v>
      </c>
      <c r="AF601">
        <v>400</v>
      </c>
      <c r="AG601">
        <v>620</v>
      </c>
      <c r="AH601">
        <v>840</v>
      </c>
      <c r="AJ601" s="6">
        <v>180</v>
      </c>
      <c r="AK601">
        <v>450</v>
      </c>
      <c r="AL601">
        <v>720</v>
      </c>
      <c r="AM601">
        <v>990</v>
      </c>
      <c r="AO601" s="6"/>
      <c r="AS601">
        <v>60</v>
      </c>
      <c r="AT601" t="s">
        <v>214</v>
      </c>
      <c r="AU601" t="s">
        <v>214</v>
      </c>
    </row>
    <row r="602" spans="1:47" x14ac:dyDescent="0.25">
      <c r="A602" s="63" t="s">
        <v>91</v>
      </c>
      <c r="B602" s="63" t="s">
        <v>188</v>
      </c>
      <c r="C602" s="63" t="s">
        <v>91</v>
      </c>
      <c r="D602" s="10" t="s">
        <v>22</v>
      </c>
      <c r="E602" s="62" t="str">
        <f t="shared" si="9"/>
        <v>Rathalos (Silver)Exhaust</v>
      </c>
      <c r="F602">
        <v>315</v>
      </c>
      <c r="G602">
        <v>446</v>
      </c>
      <c r="H602">
        <v>577</v>
      </c>
      <c r="I602">
        <v>708</v>
      </c>
      <c r="J602" s="29"/>
      <c r="K602" s="6">
        <v>288</v>
      </c>
      <c r="L602">
        <v>408</v>
      </c>
      <c r="M602">
        <v>528</v>
      </c>
      <c r="N602">
        <v>648</v>
      </c>
      <c r="P602" s="6">
        <v>360</v>
      </c>
      <c r="Q602">
        <v>510</v>
      </c>
      <c r="R602">
        <v>660</v>
      </c>
      <c r="S602">
        <v>810</v>
      </c>
      <c r="U602" s="6">
        <v>324</v>
      </c>
      <c r="V602">
        <v>459</v>
      </c>
      <c r="W602">
        <v>594</v>
      </c>
      <c r="X602">
        <v>729</v>
      </c>
      <c r="Z602" s="6">
        <v>377</v>
      </c>
      <c r="AA602">
        <v>535</v>
      </c>
      <c r="AB602">
        <v>693</v>
      </c>
      <c r="AC602">
        <v>851</v>
      </c>
      <c r="AE602" s="6">
        <v>377</v>
      </c>
      <c r="AF602">
        <v>535</v>
      </c>
      <c r="AG602">
        <v>693</v>
      </c>
      <c r="AH602">
        <v>851</v>
      </c>
      <c r="AJ602" s="6">
        <v>450</v>
      </c>
      <c r="AK602">
        <v>637</v>
      </c>
      <c r="AL602">
        <v>824</v>
      </c>
      <c r="AM602">
        <v>1011</v>
      </c>
      <c r="AO602" s="6"/>
      <c r="AS602"/>
      <c r="AT602" t="s">
        <v>214</v>
      </c>
      <c r="AU602" t="s">
        <v>214</v>
      </c>
    </row>
    <row r="603" spans="1:47" x14ac:dyDescent="0.25">
      <c r="A603" s="63" t="s">
        <v>91</v>
      </c>
      <c r="B603" s="63" t="s">
        <v>188</v>
      </c>
      <c r="C603" s="63" t="s">
        <v>91</v>
      </c>
      <c r="D603" s="30" t="s">
        <v>35</v>
      </c>
      <c r="E603" s="62" t="str">
        <f t="shared" si="9"/>
        <v>Rathalos (Silver)Blast</v>
      </c>
      <c r="F603">
        <v>70</v>
      </c>
      <c r="G603">
        <v>106</v>
      </c>
      <c r="H603">
        <v>142</v>
      </c>
      <c r="I603">
        <v>178</v>
      </c>
      <c r="K603" s="6">
        <v>70</v>
      </c>
      <c r="L603">
        <v>96</v>
      </c>
      <c r="M603">
        <v>122</v>
      </c>
      <c r="N603">
        <v>148</v>
      </c>
      <c r="P603" s="6">
        <v>70</v>
      </c>
      <c r="Q603">
        <v>114</v>
      </c>
      <c r="R603" s="6">
        <v>158</v>
      </c>
      <c r="S603">
        <v>202</v>
      </c>
      <c r="U603" s="6">
        <v>70</v>
      </c>
      <c r="V603">
        <v>108</v>
      </c>
      <c r="W603">
        <v>146</v>
      </c>
      <c r="X603">
        <v>184</v>
      </c>
      <c r="Z603" s="6">
        <v>70</v>
      </c>
      <c r="AA603">
        <v>114</v>
      </c>
      <c r="AB603" s="6">
        <v>158</v>
      </c>
      <c r="AC603">
        <v>202</v>
      </c>
      <c r="AE603" s="6">
        <v>70</v>
      </c>
      <c r="AF603">
        <v>114</v>
      </c>
      <c r="AG603" s="6">
        <v>158</v>
      </c>
      <c r="AH603">
        <v>202</v>
      </c>
      <c r="AJ603" s="6">
        <v>70</v>
      </c>
      <c r="AK603">
        <v>124</v>
      </c>
      <c r="AL603">
        <v>178</v>
      </c>
      <c r="AM603">
        <v>232</v>
      </c>
      <c r="AO603" s="6"/>
      <c r="AS603"/>
      <c r="AT603" t="s">
        <v>214</v>
      </c>
      <c r="AU603" t="s">
        <v>214</v>
      </c>
    </row>
    <row r="604" spans="1:47" x14ac:dyDescent="0.25">
      <c r="A604" s="63" t="s">
        <v>91</v>
      </c>
      <c r="B604" s="63" t="s">
        <v>188</v>
      </c>
      <c r="C604" s="63" t="s">
        <v>91</v>
      </c>
      <c r="D604" s="34" t="s">
        <v>14</v>
      </c>
      <c r="E604" s="62" t="str">
        <f t="shared" si="9"/>
        <v>Rathalos (Silver)KO</v>
      </c>
      <c r="F604">
        <v>130</v>
      </c>
      <c r="G604">
        <v>325</v>
      </c>
      <c r="H604">
        <v>520</v>
      </c>
      <c r="I604">
        <v>715</v>
      </c>
      <c r="J604" s="29"/>
      <c r="K604" s="6">
        <v>130</v>
      </c>
      <c r="L604">
        <v>325</v>
      </c>
      <c r="M604">
        <v>520</v>
      </c>
      <c r="N604">
        <v>715</v>
      </c>
      <c r="P604" s="6">
        <v>150</v>
      </c>
      <c r="Q604">
        <v>375</v>
      </c>
      <c r="R604">
        <v>600</v>
      </c>
      <c r="S604">
        <v>825</v>
      </c>
      <c r="U604" s="6">
        <v>140</v>
      </c>
      <c r="V604">
        <v>350</v>
      </c>
      <c r="W604">
        <v>560</v>
      </c>
      <c r="X604">
        <v>770</v>
      </c>
      <c r="Z604" s="6">
        <v>150</v>
      </c>
      <c r="AA604">
        <v>375</v>
      </c>
      <c r="AB604">
        <v>600</v>
      </c>
      <c r="AC604">
        <v>825</v>
      </c>
      <c r="AE604" s="6">
        <v>195</v>
      </c>
      <c r="AF604">
        <v>420</v>
      </c>
      <c r="AG604">
        <v>645</v>
      </c>
      <c r="AH604">
        <v>870</v>
      </c>
      <c r="AJ604" s="6">
        <v>200</v>
      </c>
      <c r="AK604">
        <v>500</v>
      </c>
      <c r="AL604">
        <v>800</v>
      </c>
      <c r="AM604">
        <v>1100</v>
      </c>
      <c r="AO604" s="6"/>
      <c r="AS604">
        <v>10</v>
      </c>
      <c r="AT604" t="s">
        <v>214</v>
      </c>
      <c r="AU604" t="s">
        <v>214</v>
      </c>
    </row>
    <row r="605" spans="1:47" x14ac:dyDescent="0.25">
      <c r="A605" s="63" t="s">
        <v>91</v>
      </c>
      <c r="B605" s="63" t="s">
        <v>188</v>
      </c>
      <c r="C605" s="63" t="s">
        <v>91</v>
      </c>
      <c r="D605" s="33" t="s">
        <v>34</v>
      </c>
      <c r="E605" s="62" t="str">
        <f t="shared" si="9"/>
        <v>Rathalos (Silver)Mount</v>
      </c>
      <c r="F605">
        <v>119</v>
      </c>
      <c r="G605">
        <v>289</v>
      </c>
      <c r="H605">
        <v>459</v>
      </c>
      <c r="I605">
        <v>629</v>
      </c>
      <c r="K605" s="6">
        <v>112</v>
      </c>
      <c r="L605">
        <v>272</v>
      </c>
      <c r="M605">
        <v>432</v>
      </c>
      <c r="N605">
        <v>592</v>
      </c>
      <c r="P605" s="6">
        <v>126</v>
      </c>
      <c r="Q605">
        <v>306</v>
      </c>
      <c r="R605" s="6">
        <v>486</v>
      </c>
      <c r="S605">
        <v>666</v>
      </c>
      <c r="U605" s="6">
        <v>119</v>
      </c>
      <c r="V605">
        <v>289</v>
      </c>
      <c r="W605">
        <v>459</v>
      </c>
      <c r="X605">
        <v>629</v>
      </c>
      <c r="Z605" s="6">
        <v>140</v>
      </c>
      <c r="AA605">
        <v>340</v>
      </c>
      <c r="AB605">
        <v>540</v>
      </c>
      <c r="AC605">
        <v>740</v>
      </c>
      <c r="AE605" s="6">
        <v>140</v>
      </c>
      <c r="AF605">
        <v>340</v>
      </c>
      <c r="AG605">
        <v>540</v>
      </c>
      <c r="AH605">
        <v>740</v>
      </c>
      <c r="AJ605" s="6">
        <v>140</v>
      </c>
      <c r="AK605">
        <v>340</v>
      </c>
      <c r="AL605">
        <v>540</v>
      </c>
      <c r="AM605">
        <v>740</v>
      </c>
      <c r="AO605" s="6"/>
      <c r="AS605"/>
      <c r="AT605" t="s">
        <v>214</v>
      </c>
      <c r="AU605" t="s">
        <v>214</v>
      </c>
    </row>
    <row r="606" spans="1:47" x14ac:dyDescent="0.25">
      <c r="A606" s="63" t="s">
        <v>91</v>
      </c>
      <c r="B606" s="63" t="s">
        <v>188</v>
      </c>
      <c r="C606" s="63" t="s">
        <v>91</v>
      </c>
      <c r="D606" s="77" t="s">
        <v>207</v>
      </c>
      <c r="E606" s="62" t="str">
        <f t="shared" si="9"/>
        <v>Rathalos (Silver)Shock Trap</v>
      </c>
      <c r="K606" s="6"/>
      <c r="P606" s="6"/>
      <c r="U606" s="6"/>
      <c r="AE606" s="6"/>
      <c r="AJ606" s="6"/>
      <c r="AO606" s="6"/>
      <c r="AS606">
        <v>8</v>
      </c>
      <c r="AT606">
        <v>15</v>
      </c>
      <c r="AU606">
        <v>8</v>
      </c>
    </row>
    <row r="607" spans="1:47" s="56" customFormat="1" x14ac:dyDescent="0.25">
      <c r="A607" s="63" t="s">
        <v>91</v>
      </c>
      <c r="B607" s="63" t="s">
        <v>188</v>
      </c>
      <c r="C607" s="63" t="s">
        <v>91</v>
      </c>
      <c r="D607" s="79" t="s">
        <v>213</v>
      </c>
      <c r="E607" s="62" t="str">
        <f t="shared" si="9"/>
        <v>Rathalos (Silver)Pitfall Trap</v>
      </c>
      <c r="K607" s="7"/>
      <c r="P607" s="7"/>
      <c r="U607" s="7"/>
      <c r="Z607" s="7"/>
      <c r="AE607" s="7"/>
      <c r="AJ607" s="7"/>
      <c r="AO607" s="7"/>
      <c r="AS607" s="56">
        <v>12</v>
      </c>
      <c r="AT607" s="56">
        <v>25</v>
      </c>
      <c r="AU607" s="56">
        <v>12</v>
      </c>
    </row>
    <row r="608" spans="1:47" s="36" customFormat="1" x14ac:dyDescent="0.25">
      <c r="A608" s="63" t="s">
        <v>91</v>
      </c>
      <c r="B608" s="63" t="s">
        <v>70</v>
      </c>
      <c r="C608" s="63" t="s">
        <v>91</v>
      </c>
      <c r="D608" s="37" t="s">
        <v>0</v>
      </c>
      <c r="E608" s="62" t="str">
        <f t="shared" si="9"/>
        <v>RathianPara</v>
      </c>
      <c r="F608" s="36">
        <v>180</v>
      </c>
      <c r="G608" s="36">
        <v>312</v>
      </c>
      <c r="H608" s="36">
        <v>576</v>
      </c>
      <c r="I608" s="36">
        <v>840</v>
      </c>
      <c r="J608" s="61"/>
      <c r="K608" s="50">
        <v>180</v>
      </c>
      <c r="L608" s="36">
        <v>317</v>
      </c>
      <c r="M608" s="36">
        <v>455</v>
      </c>
      <c r="N608" s="36">
        <v>592</v>
      </c>
      <c r="P608" s="6">
        <v>180</v>
      </c>
      <c r="Q608" s="46">
        <v>378</v>
      </c>
      <c r="R608" s="46">
        <v>576</v>
      </c>
      <c r="S608" s="46">
        <v>774</v>
      </c>
      <c r="U608" s="50">
        <v>180</v>
      </c>
      <c r="V608" s="36">
        <v>323</v>
      </c>
      <c r="W608" s="36">
        <v>466</v>
      </c>
      <c r="X608" s="36">
        <v>608</v>
      </c>
      <c r="Z608" s="6">
        <v>180</v>
      </c>
      <c r="AA608" s="46">
        <v>400</v>
      </c>
      <c r="AB608" s="46">
        <v>620</v>
      </c>
      <c r="AC608" s="46">
        <v>840</v>
      </c>
      <c r="AE608" s="50">
        <v>180</v>
      </c>
      <c r="AF608" s="36">
        <v>410</v>
      </c>
      <c r="AG608" s="36">
        <v>640</v>
      </c>
      <c r="AH608" s="36">
        <v>870</v>
      </c>
      <c r="AJ608" s="6">
        <v>180</v>
      </c>
      <c r="AK608" s="46">
        <v>466</v>
      </c>
      <c r="AL608" s="46">
        <v>752</v>
      </c>
      <c r="AM608" s="46">
        <v>1037</v>
      </c>
      <c r="AO608" s="50"/>
      <c r="AS608" s="36">
        <v>10</v>
      </c>
      <c r="AT608" s="36" t="s">
        <v>214</v>
      </c>
      <c r="AU608" s="36" t="s">
        <v>214</v>
      </c>
    </row>
    <row r="609" spans="1:47" x14ac:dyDescent="0.25">
      <c r="A609" s="63" t="s">
        <v>91</v>
      </c>
      <c r="B609" s="63" t="s">
        <v>70</v>
      </c>
      <c r="C609" s="63" t="s">
        <v>91</v>
      </c>
      <c r="D609" s="31" t="s">
        <v>32</v>
      </c>
      <c r="E609" s="62" t="str">
        <f t="shared" si="9"/>
        <v>RathianSleep</v>
      </c>
      <c r="F609">
        <v>180</v>
      </c>
      <c r="G609">
        <v>300</v>
      </c>
      <c r="H609">
        <v>420</v>
      </c>
      <c r="I609">
        <v>540</v>
      </c>
      <c r="K609" s="6">
        <v>180</v>
      </c>
      <c r="L609">
        <v>305</v>
      </c>
      <c r="M609">
        <v>430</v>
      </c>
      <c r="N609">
        <v>555</v>
      </c>
      <c r="P609" s="6">
        <v>180</v>
      </c>
      <c r="Q609">
        <v>360</v>
      </c>
      <c r="R609">
        <v>540</v>
      </c>
      <c r="S609">
        <v>720</v>
      </c>
      <c r="U609" s="6">
        <v>180</v>
      </c>
      <c r="V609">
        <v>310</v>
      </c>
      <c r="W609">
        <v>440</v>
      </c>
      <c r="X609">
        <v>570</v>
      </c>
      <c r="Z609" s="6">
        <v>180</v>
      </c>
      <c r="AA609">
        <v>380</v>
      </c>
      <c r="AB609">
        <v>580</v>
      </c>
      <c r="AC609">
        <v>780</v>
      </c>
      <c r="AE609" s="6">
        <v>180</v>
      </c>
      <c r="AF609">
        <v>389</v>
      </c>
      <c r="AG609">
        <v>598</v>
      </c>
      <c r="AH609">
        <v>807</v>
      </c>
      <c r="AJ609" s="6">
        <v>180</v>
      </c>
      <c r="AK609">
        <v>440</v>
      </c>
      <c r="AL609">
        <v>700</v>
      </c>
      <c r="AM609">
        <v>960</v>
      </c>
      <c r="AO609" s="6"/>
      <c r="AS609">
        <v>40</v>
      </c>
      <c r="AT609" t="s">
        <v>214</v>
      </c>
      <c r="AU609" t="s">
        <v>214</v>
      </c>
    </row>
    <row r="610" spans="1:47" x14ac:dyDescent="0.25">
      <c r="A610" s="63" t="s">
        <v>91</v>
      </c>
      <c r="B610" s="63" t="s">
        <v>70</v>
      </c>
      <c r="C610" s="63" t="s">
        <v>91</v>
      </c>
      <c r="D610" s="32" t="s">
        <v>33</v>
      </c>
      <c r="E610" s="62" t="str">
        <f t="shared" si="9"/>
        <v>RathianPoison</v>
      </c>
      <c r="F610">
        <v>180</v>
      </c>
      <c r="G610">
        <v>300</v>
      </c>
      <c r="H610">
        <v>420</v>
      </c>
      <c r="I610">
        <v>540</v>
      </c>
      <c r="J610" s="29"/>
      <c r="K610" s="6">
        <v>180</v>
      </c>
      <c r="L610">
        <v>305</v>
      </c>
      <c r="M610">
        <v>430</v>
      </c>
      <c r="N610">
        <v>555</v>
      </c>
      <c r="P610" s="6">
        <v>180</v>
      </c>
      <c r="Q610">
        <v>360</v>
      </c>
      <c r="R610">
        <v>540</v>
      </c>
      <c r="S610">
        <v>720</v>
      </c>
      <c r="U610" s="6">
        <v>180</v>
      </c>
      <c r="V610">
        <v>310</v>
      </c>
      <c r="W610">
        <v>440</v>
      </c>
      <c r="X610">
        <v>570</v>
      </c>
      <c r="Z610" s="6">
        <v>180</v>
      </c>
      <c r="AA610">
        <v>380</v>
      </c>
      <c r="AB610">
        <v>580</v>
      </c>
      <c r="AC610">
        <v>780</v>
      </c>
      <c r="AE610" s="6">
        <v>180</v>
      </c>
      <c r="AF610">
        <v>389</v>
      </c>
      <c r="AG610">
        <v>598</v>
      </c>
      <c r="AH610">
        <v>807</v>
      </c>
      <c r="AJ610" s="6">
        <v>180</v>
      </c>
      <c r="AK610">
        <v>440</v>
      </c>
      <c r="AL610">
        <v>700</v>
      </c>
      <c r="AM610">
        <v>960</v>
      </c>
      <c r="AO610" s="6"/>
      <c r="AS610">
        <v>60</v>
      </c>
      <c r="AT610" t="s">
        <v>214</v>
      </c>
      <c r="AU610" t="s">
        <v>214</v>
      </c>
    </row>
    <row r="611" spans="1:47" x14ac:dyDescent="0.25">
      <c r="A611" s="63" t="s">
        <v>91</v>
      </c>
      <c r="B611" s="63" t="s">
        <v>70</v>
      </c>
      <c r="C611" s="63" t="s">
        <v>91</v>
      </c>
      <c r="D611" s="10" t="s">
        <v>22</v>
      </c>
      <c r="E611" s="62" t="str">
        <f t="shared" si="9"/>
        <v>RathianExhaust</v>
      </c>
      <c r="F611">
        <v>270</v>
      </c>
      <c r="G611">
        <v>382</v>
      </c>
      <c r="H611">
        <v>607</v>
      </c>
      <c r="I611">
        <v>720</v>
      </c>
      <c r="J611" s="29"/>
      <c r="K611" s="6">
        <v>288</v>
      </c>
      <c r="L611">
        <v>408</v>
      </c>
      <c r="M611">
        <v>528</v>
      </c>
      <c r="N611">
        <v>648</v>
      </c>
      <c r="P611" s="6">
        <v>315</v>
      </c>
      <c r="Q611">
        <v>446</v>
      </c>
      <c r="R611">
        <v>577</v>
      </c>
      <c r="S611">
        <v>708</v>
      </c>
      <c r="U611" s="6">
        <v>288</v>
      </c>
      <c r="V611">
        <v>408</v>
      </c>
      <c r="W611">
        <v>528</v>
      </c>
      <c r="X611">
        <v>648</v>
      </c>
      <c r="Z611" s="6">
        <v>333</v>
      </c>
      <c r="AA611">
        <v>471</v>
      </c>
      <c r="AB611">
        <v>609</v>
      </c>
      <c r="AC611">
        <v>747</v>
      </c>
      <c r="AE611" s="6">
        <v>342</v>
      </c>
      <c r="AF611">
        <v>484</v>
      </c>
      <c r="AG611">
        <v>626</v>
      </c>
      <c r="AH611">
        <v>768</v>
      </c>
      <c r="AJ611" s="6">
        <v>450</v>
      </c>
      <c r="AK611">
        <v>637</v>
      </c>
      <c r="AL611">
        <v>824</v>
      </c>
      <c r="AM611">
        <v>1011</v>
      </c>
      <c r="AO611" s="6"/>
      <c r="AS611"/>
      <c r="AT611" t="s">
        <v>214</v>
      </c>
      <c r="AU611" t="s">
        <v>214</v>
      </c>
    </row>
    <row r="612" spans="1:47" x14ac:dyDescent="0.25">
      <c r="A612" s="63" t="s">
        <v>91</v>
      </c>
      <c r="B612" s="63" t="s">
        <v>70</v>
      </c>
      <c r="C612" s="63" t="s">
        <v>91</v>
      </c>
      <c r="D612" s="30" t="s">
        <v>35</v>
      </c>
      <c r="E612" s="62" t="str">
        <f t="shared" si="9"/>
        <v>RathianBlast</v>
      </c>
      <c r="F612">
        <v>70</v>
      </c>
      <c r="G612">
        <v>106</v>
      </c>
      <c r="H612">
        <v>142</v>
      </c>
      <c r="I612">
        <v>720</v>
      </c>
      <c r="K612" s="6">
        <v>70</v>
      </c>
      <c r="L612">
        <v>106</v>
      </c>
      <c r="M612">
        <v>142</v>
      </c>
      <c r="N612">
        <v>178</v>
      </c>
      <c r="P612" s="6">
        <v>70</v>
      </c>
      <c r="Q612">
        <v>124</v>
      </c>
      <c r="R612" s="6">
        <v>178</v>
      </c>
      <c r="S612">
        <v>232</v>
      </c>
      <c r="U612" s="6">
        <v>70</v>
      </c>
      <c r="V612">
        <v>109</v>
      </c>
      <c r="W612">
        <v>148</v>
      </c>
      <c r="X612">
        <v>187</v>
      </c>
      <c r="Z612" s="6">
        <v>70</v>
      </c>
      <c r="AA612">
        <v>130</v>
      </c>
      <c r="AB612" s="6">
        <v>190</v>
      </c>
      <c r="AC612">
        <v>250</v>
      </c>
      <c r="AE612" s="6">
        <v>70</v>
      </c>
      <c r="AF612">
        <v>130</v>
      </c>
      <c r="AG612" s="6">
        <v>190</v>
      </c>
      <c r="AH612">
        <v>250</v>
      </c>
      <c r="AJ612" s="6">
        <v>70</v>
      </c>
      <c r="AK612">
        <v>148</v>
      </c>
      <c r="AL612">
        <v>226</v>
      </c>
      <c r="AM612">
        <v>304</v>
      </c>
      <c r="AO612" s="6"/>
      <c r="AS612"/>
      <c r="AT612" t="s">
        <v>214</v>
      </c>
      <c r="AU612" t="s">
        <v>214</v>
      </c>
    </row>
    <row r="613" spans="1:47" x14ac:dyDescent="0.25">
      <c r="A613" s="63" t="s">
        <v>91</v>
      </c>
      <c r="B613" s="63" t="s">
        <v>70</v>
      </c>
      <c r="C613" s="63" t="s">
        <v>91</v>
      </c>
      <c r="D613" s="34" t="s">
        <v>14</v>
      </c>
      <c r="E613" s="62" t="str">
        <f t="shared" si="9"/>
        <v>RathianKO</v>
      </c>
      <c r="F613">
        <v>195</v>
      </c>
      <c r="G613">
        <v>390</v>
      </c>
      <c r="H613">
        <v>585</v>
      </c>
      <c r="I613">
        <v>758</v>
      </c>
      <c r="J613" s="29"/>
      <c r="K613" s="6">
        <v>195</v>
      </c>
      <c r="L613">
        <v>390</v>
      </c>
      <c r="M613">
        <v>585</v>
      </c>
      <c r="N613">
        <v>780</v>
      </c>
      <c r="P613" s="6">
        <v>195</v>
      </c>
      <c r="Q613">
        <v>390</v>
      </c>
      <c r="R613">
        <v>585</v>
      </c>
      <c r="S613">
        <v>780</v>
      </c>
      <c r="U613" s="6">
        <v>195</v>
      </c>
      <c r="V613">
        <v>390</v>
      </c>
      <c r="W613">
        <v>585</v>
      </c>
      <c r="X613">
        <v>780</v>
      </c>
      <c r="Z613" s="6">
        <v>210</v>
      </c>
      <c r="AA613">
        <v>420</v>
      </c>
      <c r="AB613">
        <v>630</v>
      </c>
      <c r="AC613">
        <v>840</v>
      </c>
      <c r="AE613" s="6">
        <v>225</v>
      </c>
      <c r="AF613">
        <v>450</v>
      </c>
      <c r="AG613">
        <v>675</v>
      </c>
      <c r="AH613">
        <v>900</v>
      </c>
      <c r="AJ613" s="6">
        <v>300</v>
      </c>
      <c r="AK613">
        <v>600</v>
      </c>
      <c r="AL613">
        <v>900</v>
      </c>
      <c r="AM613">
        <v>1200</v>
      </c>
      <c r="AO613" s="6"/>
      <c r="AS613">
        <v>10</v>
      </c>
      <c r="AT613" t="s">
        <v>214</v>
      </c>
      <c r="AU613" t="s">
        <v>214</v>
      </c>
    </row>
    <row r="614" spans="1:47" x14ac:dyDescent="0.25">
      <c r="A614" s="63" t="s">
        <v>91</v>
      </c>
      <c r="B614" s="63" t="s">
        <v>70</v>
      </c>
      <c r="C614" s="63" t="s">
        <v>91</v>
      </c>
      <c r="D614" s="33" t="s">
        <v>34</v>
      </c>
      <c r="E614" s="62" t="str">
        <f t="shared" si="9"/>
        <v>RathianMount</v>
      </c>
      <c r="F614">
        <v>96</v>
      </c>
      <c r="G614">
        <v>256</v>
      </c>
      <c r="H614">
        <v>416</v>
      </c>
      <c r="I614">
        <v>576</v>
      </c>
      <c r="K614" s="6">
        <v>96</v>
      </c>
      <c r="L614">
        <v>256</v>
      </c>
      <c r="M614">
        <v>416</v>
      </c>
      <c r="N614">
        <v>576</v>
      </c>
      <c r="P614" s="6">
        <v>102</v>
      </c>
      <c r="Q614">
        <v>272</v>
      </c>
      <c r="R614" s="6">
        <v>442</v>
      </c>
      <c r="S614">
        <v>612</v>
      </c>
      <c r="U614" s="6">
        <v>96</v>
      </c>
      <c r="V614">
        <v>256</v>
      </c>
      <c r="W614">
        <v>416</v>
      </c>
      <c r="X614">
        <v>576</v>
      </c>
      <c r="Z614" s="6">
        <v>108</v>
      </c>
      <c r="AA614">
        <v>288</v>
      </c>
      <c r="AB614">
        <v>468</v>
      </c>
      <c r="AC614">
        <v>648</v>
      </c>
      <c r="AE614" s="6">
        <v>108</v>
      </c>
      <c r="AF614">
        <v>288</v>
      </c>
      <c r="AG614">
        <v>468</v>
      </c>
      <c r="AH614">
        <v>648</v>
      </c>
      <c r="AJ614" s="6">
        <v>120</v>
      </c>
      <c r="AK614">
        <v>320</v>
      </c>
      <c r="AL614">
        <v>520</v>
      </c>
      <c r="AM614">
        <v>720</v>
      </c>
      <c r="AO614" s="6"/>
      <c r="AS614"/>
      <c r="AT614" t="s">
        <v>214</v>
      </c>
      <c r="AU614" t="s">
        <v>214</v>
      </c>
    </row>
    <row r="615" spans="1:47" x14ac:dyDescent="0.25">
      <c r="A615" s="63" t="s">
        <v>91</v>
      </c>
      <c r="B615" s="63" t="s">
        <v>70</v>
      </c>
      <c r="C615" s="63" t="s">
        <v>91</v>
      </c>
      <c r="D615" s="77" t="s">
        <v>207</v>
      </c>
      <c r="E615" s="62" t="str">
        <f t="shared" si="9"/>
        <v>RathianShock Trap</v>
      </c>
      <c r="K615" s="6"/>
      <c r="P615" s="6"/>
      <c r="U615" s="6"/>
      <c r="AE615" s="6"/>
      <c r="AJ615" s="6"/>
      <c r="AO615" s="6"/>
      <c r="AS615">
        <v>8</v>
      </c>
      <c r="AT615">
        <v>15</v>
      </c>
      <c r="AU615">
        <v>8</v>
      </c>
    </row>
    <row r="616" spans="1:47" s="56" customFormat="1" x14ac:dyDescent="0.25">
      <c r="A616" s="63" t="s">
        <v>91</v>
      </c>
      <c r="B616" s="63" t="s">
        <v>70</v>
      </c>
      <c r="C616" s="63" t="s">
        <v>91</v>
      </c>
      <c r="D616" s="79" t="s">
        <v>213</v>
      </c>
      <c r="E616" s="62" t="str">
        <f t="shared" si="9"/>
        <v>RathianPitfall Trap</v>
      </c>
      <c r="K616" s="7"/>
      <c r="P616" s="7"/>
      <c r="U616" s="7"/>
      <c r="Z616" s="7"/>
      <c r="AE616" s="7"/>
      <c r="AJ616" s="7"/>
      <c r="AO616" s="7"/>
      <c r="AS616" s="56">
        <v>12</v>
      </c>
      <c r="AT616" s="56">
        <v>25</v>
      </c>
      <c r="AU616" s="56">
        <v>12</v>
      </c>
    </row>
    <row r="617" spans="1:47" s="36" customFormat="1" x14ac:dyDescent="0.25">
      <c r="A617" s="63" t="s">
        <v>91</v>
      </c>
      <c r="B617" s="63" t="s">
        <v>187</v>
      </c>
      <c r="C617" s="63" t="s">
        <v>91</v>
      </c>
      <c r="D617" s="37" t="s">
        <v>0</v>
      </c>
      <c r="E617" s="62" t="str">
        <f t="shared" si="9"/>
        <v>Rathian (Gold)Para</v>
      </c>
      <c r="F617" s="36">
        <v>180</v>
      </c>
      <c r="G617" s="36">
        <v>378</v>
      </c>
      <c r="H617" s="36">
        <v>576</v>
      </c>
      <c r="I617" s="36">
        <v>1170</v>
      </c>
      <c r="J617" s="61"/>
      <c r="K617" s="50">
        <v>180</v>
      </c>
      <c r="L617" s="36">
        <v>323</v>
      </c>
      <c r="M617" s="36">
        <v>466</v>
      </c>
      <c r="N617" s="36">
        <v>608</v>
      </c>
      <c r="P617" s="6">
        <v>181</v>
      </c>
      <c r="Q617" s="46">
        <v>422</v>
      </c>
      <c r="R617" s="46">
        <v>664</v>
      </c>
      <c r="S617" s="46">
        <v>906</v>
      </c>
      <c r="U617" s="50">
        <v>180</v>
      </c>
      <c r="V617" s="36">
        <v>400</v>
      </c>
      <c r="W617" s="36">
        <v>620</v>
      </c>
      <c r="X617" s="36">
        <v>1060</v>
      </c>
      <c r="Z617" s="6">
        <v>180</v>
      </c>
      <c r="AA617" s="46">
        <v>422</v>
      </c>
      <c r="AB617" s="46">
        <v>664</v>
      </c>
      <c r="AC617" s="46">
        <v>906</v>
      </c>
      <c r="AE617" s="50">
        <v>180</v>
      </c>
      <c r="AF617" s="36">
        <v>422</v>
      </c>
      <c r="AG617" s="36">
        <v>664</v>
      </c>
      <c r="AH617" s="36">
        <v>906</v>
      </c>
      <c r="AJ617" s="6">
        <v>180</v>
      </c>
      <c r="AK617" s="46">
        <v>477</v>
      </c>
      <c r="AL617" s="46">
        <v>1071</v>
      </c>
      <c r="AM617" s="46">
        <v>1467</v>
      </c>
      <c r="AO617" s="50"/>
      <c r="AS617" s="36">
        <v>10</v>
      </c>
      <c r="AT617" s="36" t="s">
        <v>214</v>
      </c>
      <c r="AU617" s="36" t="s">
        <v>214</v>
      </c>
    </row>
    <row r="618" spans="1:47" x14ac:dyDescent="0.25">
      <c r="A618" s="63" t="s">
        <v>91</v>
      </c>
      <c r="B618" s="63" t="s">
        <v>187</v>
      </c>
      <c r="C618" s="63" t="s">
        <v>91</v>
      </c>
      <c r="D618" s="31" t="s">
        <v>32</v>
      </c>
      <c r="E618" s="62" t="str">
        <f t="shared" si="9"/>
        <v>Rathian (Gold)Sleep</v>
      </c>
      <c r="F618">
        <v>180</v>
      </c>
      <c r="G618">
        <v>360</v>
      </c>
      <c r="H618">
        <v>540</v>
      </c>
      <c r="I618">
        <v>720</v>
      </c>
      <c r="K618" s="6">
        <v>180</v>
      </c>
      <c r="L618">
        <v>310</v>
      </c>
      <c r="M618">
        <v>440</v>
      </c>
      <c r="N618">
        <v>570</v>
      </c>
      <c r="P618" s="6">
        <v>180</v>
      </c>
      <c r="Q618">
        <v>400</v>
      </c>
      <c r="R618">
        <v>620</v>
      </c>
      <c r="S618">
        <v>840</v>
      </c>
      <c r="U618" s="6">
        <v>180</v>
      </c>
      <c r="V618">
        <v>380</v>
      </c>
      <c r="W618">
        <v>580</v>
      </c>
      <c r="X618">
        <v>780</v>
      </c>
      <c r="Z618" s="6">
        <v>180</v>
      </c>
      <c r="AA618">
        <v>400</v>
      </c>
      <c r="AB618">
        <v>620</v>
      </c>
      <c r="AC618">
        <v>840</v>
      </c>
      <c r="AE618" s="6">
        <v>180</v>
      </c>
      <c r="AF618">
        <v>400</v>
      </c>
      <c r="AG618">
        <v>620</v>
      </c>
      <c r="AH618">
        <v>840</v>
      </c>
      <c r="AJ618" s="6">
        <v>180</v>
      </c>
      <c r="AK618">
        <v>450</v>
      </c>
      <c r="AL618">
        <v>720</v>
      </c>
      <c r="AM618">
        <v>990</v>
      </c>
      <c r="AO618" s="6"/>
      <c r="AS618">
        <v>40</v>
      </c>
      <c r="AT618" t="s">
        <v>214</v>
      </c>
      <c r="AU618" t="s">
        <v>214</v>
      </c>
    </row>
    <row r="619" spans="1:47" x14ac:dyDescent="0.25">
      <c r="A619" s="63" t="s">
        <v>91</v>
      </c>
      <c r="B619" s="63" t="s">
        <v>187</v>
      </c>
      <c r="C619" s="63" t="s">
        <v>91</v>
      </c>
      <c r="D619" s="32" t="s">
        <v>33</v>
      </c>
      <c r="E619" s="62" t="str">
        <f t="shared" si="9"/>
        <v>Rathian (Gold)Poison</v>
      </c>
      <c r="F619">
        <v>180</v>
      </c>
      <c r="G619">
        <v>360</v>
      </c>
      <c r="H619">
        <v>540</v>
      </c>
      <c r="I619">
        <v>720</v>
      </c>
      <c r="J619" s="29"/>
      <c r="K619" s="6">
        <v>180</v>
      </c>
      <c r="L619">
        <v>310</v>
      </c>
      <c r="M619">
        <v>440</v>
      </c>
      <c r="N619">
        <v>570</v>
      </c>
      <c r="P619" s="6">
        <v>180</v>
      </c>
      <c r="Q619">
        <v>400</v>
      </c>
      <c r="R619">
        <v>620</v>
      </c>
      <c r="S619">
        <v>840</v>
      </c>
      <c r="U619" s="6">
        <v>180</v>
      </c>
      <c r="V619">
        <v>380</v>
      </c>
      <c r="W619">
        <v>580</v>
      </c>
      <c r="X619">
        <v>780</v>
      </c>
      <c r="Z619" s="6">
        <v>180</v>
      </c>
      <c r="AA619">
        <v>400</v>
      </c>
      <c r="AB619">
        <v>620</v>
      </c>
      <c r="AC619">
        <v>840</v>
      </c>
      <c r="AE619" s="6">
        <v>180</v>
      </c>
      <c r="AF619">
        <v>400</v>
      </c>
      <c r="AG619">
        <v>620</v>
      </c>
      <c r="AH619">
        <v>840</v>
      </c>
      <c r="AJ619" s="6">
        <v>180</v>
      </c>
      <c r="AK619">
        <v>450</v>
      </c>
      <c r="AL619">
        <v>720</v>
      </c>
      <c r="AM619">
        <v>990</v>
      </c>
      <c r="AO619" s="6"/>
      <c r="AS619">
        <v>60</v>
      </c>
      <c r="AT619" t="s">
        <v>214</v>
      </c>
      <c r="AU619" t="s">
        <v>214</v>
      </c>
    </row>
    <row r="620" spans="1:47" x14ac:dyDescent="0.25">
      <c r="A620" s="63" t="s">
        <v>91</v>
      </c>
      <c r="B620" s="63" t="s">
        <v>187</v>
      </c>
      <c r="C620" s="63" t="s">
        <v>91</v>
      </c>
      <c r="D620" s="10" t="s">
        <v>22</v>
      </c>
      <c r="E620" s="62" t="str">
        <f t="shared" si="9"/>
        <v>Rathian (Gold)Exhaust</v>
      </c>
      <c r="F620">
        <v>315</v>
      </c>
      <c r="G620">
        <v>446</v>
      </c>
      <c r="H620">
        <v>577</v>
      </c>
      <c r="I620">
        <v>708</v>
      </c>
      <c r="J620" s="29"/>
      <c r="K620" s="6">
        <v>288</v>
      </c>
      <c r="L620">
        <v>408</v>
      </c>
      <c r="M620">
        <v>528</v>
      </c>
      <c r="N620">
        <v>648</v>
      </c>
      <c r="P620" s="6">
        <v>360</v>
      </c>
      <c r="Q620">
        <v>510</v>
      </c>
      <c r="R620">
        <v>660</v>
      </c>
      <c r="S620">
        <v>810</v>
      </c>
      <c r="U620" s="6">
        <v>333</v>
      </c>
      <c r="V620">
        <v>471</v>
      </c>
      <c r="W620">
        <v>609</v>
      </c>
      <c r="X620">
        <v>747</v>
      </c>
      <c r="Z620" s="6">
        <v>377</v>
      </c>
      <c r="AA620">
        <v>535</v>
      </c>
      <c r="AB620">
        <v>693</v>
      </c>
      <c r="AC620">
        <v>851</v>
      </c>
      <c r="AE620" s="6">
        <v>377</v>
      </c>
      <c r="AF620">
        <v>535</v>
      </c>
      <c r="AG620">
        <v>693</v>
      </c>
      <c r="AH620">
        <v>851</v>
      </c>
      <c r="AJ620" s="6">
        <v>450</v>
      </c>
      <c r="AK620">
        <v>637</v>
      </c>
      <c r="AL620">
        <v>824</v>
      </c>
      <c r="AM620">
        <v>1011</v>
      </c>
      <c r="AO620" s="6"/>
      <c r="AS620"/>
      <c r="AT620" t="s">
        <v>214</v>
      </c>
      <c r="AU620" t="s">
        <v>214</v>
      </c>
    </row>
    <row r="621" spans="1:47" x14ac:dyDescent="0.25">
      <c r="A621" s="63" t="s">
        <v>91</v>
      </c>
      <c r="B621" s="63" t="s">
        <v>187</v>
      </c>
      <c r="C621" s="63" t="s">
        <v>91</v>
      </c>
      <c r="D621" s="30" t="s">
        <v>35</v>
      </c>
      <c r="E621" s="62" t="str">
        <f t="shared" si="9"/>
        <v>Rathian (Gold)Blast</v>
      </c>
      <c r="F621">
        <v>70</v>
      </c>
      <c r="G621">
        <v>106</v>
      </c>
      <c r="H621">
        <v>142</v>
      </c>
      <c r="I621">
        <v>178</v>
      </c>
      <c r="K621" s="6">
        <v>70</v>
      </c>
      <c r="L621">
        <v>96</v>
      </c>
      <c r="M621">
        <v>122</v>
      </c>
      <c r="N621">
        <v>148</v>
      </c>
      <c r="P621" s="6">
        <v>70</v>
      </c>
      <c r="Q621">
        <v>114</v>
      </c>
      <c r="R621" s="6">
        <v>158</v>
      </c>
      <c r="S621">
        <v>202</v>
      </c>
      <c r="U621" s="6">
        <v>70</v>
      </c>
      <c r="V621">
        <v>110</v>
      </c>
      <c r="W621">
        <v>150</v>
      </c>
      <c r="X621">
        <v>190</v>
      </c>
      <c r="Z621" s="6">
        <v>70</v>
      </c>
      <c r="AA621">
        <v>114</v>
      </c>
      <c r="AB621" s="6">
        <v>158</v>
      </c>
      <c r="AC621">
        <v>202</v>
      </c>
      <c r="AE621" s="6">
        <v>70</v>
      </c>
      <c r="AF621">
        <v>114</v>
      </c>
      <c r="AG621" s="6">
        <v>158</v>
      </c>
      <c r="AH621">
        <v>202</v>
      </c>
      <c r="AJ621" s="6">
        <v>70</v>
      </c>
      <c r="AK621">
        <v>124</v>
      </c>
      <c r="AL621">
        <v>178</v>
      </c>
      <c r="AM621">
        <v>232</v>
      </c>
      <c r="AO621" s="6"/>
      <c r="AS621"/>
      <c r="AT621" t="s">
        <v>214</v>
      </c>
      <c r="AU621" t="s">
        <v>214</v>
      </c>
    </row>
    <row r="622" spans="1:47" x14ac:dyDescent="0.25">
      <c r="A622" s="63" t="s">
        <v>91</v>
      </c>
      <c r="B622" s="63" t="s">
        <v>187</v>
      </c>
      <c r="C622" s="63" t="s">
        <v>91</v>
      </c>
      <c r="D622" s="34" t="s">
        <v>14</v>
      </c>
      <c r="E622" s="62" t="str">
        <f t="shared" si="9"/>
        <v>Rathian (Gold)KO</v>
      </c>
      <c r="F622">
        <v>169</v>
      </c>
      <c r="G622">
        <v>364</v>
      </c>
      <c r="H622">
        <v>559</v>
      </c>
      <c r="I622">
        <v>754</v>
      </c>
      <c r="J622" s="29"/>
      <c r="K622" s="6">
        <v>169</v>
      </c>
      <c r="L622">
        <v>364</v>
      </c>
      <c r="M622">
        <v>559</v>
      </c>
      <c r="N622">
        <v>754</v>
      </c>
      <c r="P622" s="6">
        <v>195</v>
      </c>
      <c r="Q622">
        <v>420</v>
      </c>
      <c r="R622">
        <v>645</v>
      </c>
      <c r="S622">
        <v>870</v>
      </c>
      <c r="U622" s="6">
        <v>182</v>
      </c>
      <c r="V622">
        <v>385</v>
      </c>
      <c r="W622">
        <v>588</v>
      </c>
      <c r="X622">
        <v>791</v>
      </c>
      <c r="Z622" s="6">
        <v>195</v>
      </c>
      <c r="AA622">
        <v>420</v>
      </c>
      <c r="AB622">
        <v>645</v>
      </c>
      <c r="AC622">
        <v>870</v>
      </c>
      <c r="AE622" s="6">
        <v>195</v>
      </c>
      <c r="AF622">
        <v>420</v>
      </c>
      <c r="AG622">
        <v>645</v>
      </c>
      <c r="AH622">
        <v>870</v>
      </c>
      <c r="AJ622" s="6">
        <v>260</v>
      </c>
      <c r="AK622">
        <v>560</v>
      </c>
      <c r="AL622">
        <v>860</v>
      </c>
      <c r="AM622">
        <v>1160</v>
      </c>
      <c r="AO622" s="6"/>
      <c r="AS622">
        <v>10</v>
      </c>
      <c r="AT622" t="s">
        <v>214</v>
      </c>
      <c r="AU622" t="s">
        <v>214</v>
      </c>
    </row>
    <row r="623" spans="1:47" x14ac:dyDescent="0.25">
      <c r="A623" s="63" t="s">
        <v>91</v>
      </c>
      <c r="B623" s="63" t="s">
        <v>187</v>
      </c>
      <c r="C623" s="63" t="s">
        <v>91</v>
      </c>
      <c r="D623" s="33" t="s">
        <v>34</v>
      </c>
      <c r="E623" s="62" t="str">
        <f t="shared" si="9"/>
        <v>Rathian (Gold)Mount</v>
      </c>
      <c r="F623">
        <v>136</v>
      </c>
      <c r="G623">
        <v>323</v>
      </c>
      <c r="H623">
        <v>510</v>
      </c>
      <c r="I623">
        <v>697</v>
      </c>
      <c r="K623" s="6">
        <v>128</v>
      </c>
      <c r="L623">
        <v>304</v>
      </c>
      <c r="M623">
        <v>480</v>
      </c>
      <c r="N623">
        <v>656</v>
      </c>
      <c r="P623" s="6">
        <v>144</v>
      </c>
      <c r="Q623">
        <v>342</v>
      </c>
      <c r="R623" s="6">
        <v>540</v>
      </c>
      <c r="S623">
        <v>738</v>
      </c>
      <c r="U623" s="6">
        <v>144</v>
      </c>
      <c r="V623">
        <v>342</v>
      </c>
      <c r="W623">
        <v>540</v>
      </c>
      <c r="X623">
        <v>738</v>
      </c>
      <c r="Z623" s="6">
        <v>160</v>
      </c>
      <c r="AA623">
        <v>380</v>
      </c>
      <c r="AB623">
        <v>600</v>
      </c>
      <c r="AC623">
        <v>820</v>
      </c>
      <c r="AE623" s="6">
        <v>160</v>
      </c>
      <c r="AF623">
        <v>380</v>
      </c>
      <c r="AG623">
        <v>600</v>
      </c>
      <c r="AH623">
        <v>820</v>
      </c>
      <c r="AJ623" s="6">
        <v>160</v>
      </c>
      <c r="AK623">
        <v>380</v>
      </c>
      <c r="AL623">
        <v>600</v>
      </c>
      <c r="AM623">
        <v>820</v>
      </c>
      <c r="AO623" s="6"/>
      <c r="AS623"/>
      <c r="AT623" t="s">
        <v>214</v>
      </c>
      <c r="AU623" t="s">
        <v>214</v>
      </c>
    </row>
    <row r="624" spans="1:47" x14ac:dyDescent="0.25">
      <c r="A624" s="63" t="s">
        <v>91</v>
      </c>
      <c r="B624" s="63" t="s">
        <v>187</v>
      </c>
      <c r="C624" s="63" t="s">
        <v>91</v>
      </c>
      <c r="D624" s="77" t="s">
        <v>207</v>
      </c>
      <c r="E624" s="62" t="str">
        <f t="shared" si="9"/>
        <v>Rathian (Gold)Shock Trap</v>
      </c>
      <c r="K624" s="6"/>
      <c r="P624" s="6"/>
      <c r="U624" s="6"/>
      <c r="AE624" s="6"/>
      <c r="AJ624" s="6"/>
      <c r="AO624" s="6"/>
      <c r="AS624">
        <v>8</v>
      </c>
      <c r="AT624">
        <v>15</v>
      </c>
      <c r="AU624">
        <v>8</v>
      </c>
    </row>
    <row r="625" spans="1:47" s="56" customFormat="1" x14ac:dyDescent="0.25">
      <c r="A625" s="63" t="s">
        <v>91</v>
      </c>
      <c r="B625" s="63" t="s">
        <v>187</v>
      </c>
      <c r="C625" s="63" t="s">
        <v>91</v>
      </c>
      <c r="D625" s="79" t="s">
        <v>213</v>
      </c>
      <c r="E625" s="62" t="str">
        <f t="shared" si="9"/>
        <v>Rathian (Gold)Pitfall Trap</v>
      </c>
      <c r="K625" s="7"/>
      <c r="P625" s="7"/>
      <c r="U625" s="7"/>
      <c r="Z625" s="7"/>
      <c r="AE625" s="7"/>
      <c r="AJ625" s="7"/>
      <c r="AO625" s="7"/>
      <c r="AS625" s="56">
        <v>12</v>
      </c>
      <c r="AT625" s="56">
        <v>25</v>
      </c>
      <c r="AU625" s="56">
        <v>12</v>
      </c>
    </row>
    <row r="626" spans="1:47" s="36" customFormat="1" x14ac:dyDescent="0.25">
      <c r="A626" s="63" t="s">
        <v>171</v>
      </c>
      <c r="B626" s="63" t="s">
        <v>232</v>
      </c>
      <c r="C626" s="63" t="s">
        <v>171</v>
      </c>
      <c r="D626" s="37" t="s">
        <v>0</v>
      </c>
      <c r="E626" s="62" t="str">
        <f t="shared" si="9"/>
        <v>Redhelm ArzurosPara</v>
      </c>
      <c r="J626" s="61"/>
      <c r="K626" s="50"/>
      <c r="P626" s="6"/>
      <c r="Q626" s="46"/>
      <c r="R626" s="46"/>
      <c r="S626" s="46"/>
      <c r="U626" s="50"/>
      <c r="Z626" s="6"/>
      <c r="AA626" s="46"/>
      <c r="AB626" s="46"/>
      <c r="AC626" s="46"/>
      <c r="AE626" s="50"/>
      <c r="AJ626" s="6"/>
      <c r="AK626" s="46"/>
      <c r="AL626" s="46"/>
      <c r="AM626" s="46"/>
      <c r="AO626" s="50"/>
      <c r="AS626" s="36">
        <v>12</v>
      </c>
      <c r="AT626" s="36" t="s">
        <v>214</v>
      </c>
      <c r="AU626" s="36" t="s">
        <v>214</v>
      </c>
    </row>
    <row r="627" spans="1:47" x14ac:dyDescent="0.25">
      <c r="A627" s="63" t="s">
        <v>171</v>
      </c>
      <c r="B627" s="63" t="s">
        <v>232</v>
      </c>
      <c r="C627" s="63" t="s">
        <v>171</v>
      </c>
      <c r="D627" s="31" t="s">
        <v>32</v>
      </c>
      <c r="E627" s="62" t="str">
        <f t="shared" si="9"/>
        <v>Redhelm ArzurosSleep</v>
      </c>
      <c r="K627" s="6"/>
      <c r="P627" s="6"/>
      <c r="U627" s="6"/>
      <c r="AE627" s="6"/>
      <c r="AJ627" s="6"/>
      <c r="AO627" s="6"/>
      <c r="AS627">
        <v>60</v>
      </c>
      <c r="AT627" t="s">
        <v>214</v>
      </c>
      <c r="AU627" t="s">
        <v>214</v>
      </c>
    </row>
    <row r="628" spans="1:47" x14ac:dyDescent="0.25">
      <c r="A628" s="63" t="s">
        <v>171</v>
      </c>
      <c r="B628" s="63" t="s">
        <v>232</v>
      </c>
      <c r="C628" s="63" t="s">
        <v>171</v>
      </c>
      <c r="D628" s="32" t="s">
        <v>33</v>
      </c>
      <c r="E628" s="62" t="str">
        <f t="shared" si="9"/>
        <v>Redhelm ArzurosPoison</v>
      </c>
      <c r="J628" s="29"/>
      <c r="K628" s="6"/>
      <c r="P628" s="6"/>
      <c r="U628" s="6"/>
      <c r="AE628" s="6"/>
      <c r="AJ628" s="6"/>
      <c r="AO628" s="6"/>
      <c r="AS628">
        <v>60</v>
      </c>
      <c r="AT628" t="s">
        <v>214</v>
      </c>
      <c r="AU628" t="s">
        <v>214</v>
      </c>
    </row>
    <row r="629" spans="1:47" x14ac:dyDescent="0.25">
      <c r="A629" s="63" t="s">
        <v>171</v>
      </c>
      <c r="B629" s="63" t="s">
        <v>232</v>
      </c>
      <c r="C629" s="63" t="s">
        <v>171</v>
      </c>
      <c r="D629" s="10" t="s">
        <v>22</v>
      </c>
      <c r="E629" s="62" t="str">
        <f t="shared" si="9"/>
        <v>Redhelm ArzurosExhaust</v>
      </c>
      <c r="J629" s="29"/>
      <c r="K629" s="6"/>
      <c r="P629" s="6"/>
      <c r="U629" s="6"/>
      <c r="AE629" s="6"/>
      <c r="AJ629" s="6"/>
      <c r="AO629" s="6"/>
      <c r="AS629"/>
      <c r="AT629" t="s">
        <v>214</v>
      </c>
      <c r="AU629" t="s">
        <v>214</v>
      </c>
    </row>
    <row r="630" spans="1:47" x14ac:dyDescent="0.25">
      <c r="A630" s="63" t="s">
        <v>171</v>
      </c>
      <c r="B630" s="63" t="s">
        <v>232</v>
      </c>
      <c r="C630" s="63" t="s">
        <v>171</v>
      </c>
      <c r="D630" s="30" t="s">
        <v>35</v>
      </c>
      <c r="E630" s="62" t="str">
        <f t="shared" si="9"/>
        <v>Redhelm ArzurosBlast</v>
      </c>
      <c r="K630" s="6"/>
      <c r="P630" s="6"/>
      <c r="R630" s="6"/>
      <c r="U630" s="6"/>
      <c r="AB630" s="6"/>
      <c r="AE630" s="6"/>
      <c r="AG630" s="6"/>
      <c r="AJ630" s="6"/>
      <c r="AO630" s="6"/>
      <c r="AS630"/>
      <c r="AT630" t="s">
        <v>214</v>
      </c>
      <c r="AU630" t="s">
        <v>214</v>
      </c>
    </row>
    <row r="631" spans="1:47" x14ac:dyDescent="0.25">
      <c r="A631" s="63" t="s">
        <v>171</v>
      </c>
      <c r="B631" s="63" t="s">
        <v>232</v>
      </c>
      <c r="C631" s="63" t="s">
        <v>171</v>
      </c>
      <c r="D631" s="34" t="s">
        <v>14</v>
      </c>
      <c r="E631" s="62" t="str">
        <f t="shared" si="9"/>
        <v>Redhelm ArzurosKO</v>
      </c>
      <c r="J631" s="29"/>
      <c r="K631" s="6"/>
      <c r="P631" s="6"/>
      <c r="U631" s="6"/>
      <c r="AE631" s="6"/>
      <c r="AJ631" s="6"/>
      <c r="AO631" s="6"/>
      <c r="AS631">
        <v>7</v>
      </c>
      <c r="AT631" t="s">
        <v>214</v>
      </c>
      <c r="AU631" t="s">
        <v>214</v>
      </c>
    </row>
    <row r="632" spans="1:47" x14ac:dyDescent="0.25">
      <c r="A632" s="63" t="s">
        <v>171</v>
      </c>
      <c r="B632" s="63" t="s">
        <v>232</v>
      </c>
      <c r="C632" s="63" t="s">
        <v>171</v>
      </c>
      <c r="D632" s="33" t="s">
        <v>34</v>
      </c>
      <c r="E632" s="62" t="str">
        <f t="shared" si="9"/>
        <v>Redhelm ArzurosMount</v>
      </c>
      <c r="K632" s="6"/>
      <c r="P632" s="6"/>
      <c r="R632" s="6"/>
      <c r="U632" s="6"/>
      <c r="AE632" s="6"/>
      <c r="AJ632" s="6"/>
      <c r="AO632" s="6"/>
      <c r="AS632"/>
      <c r="AT632" t="s">
        <v>214</v>
      </c>
      <c r="AU632" t="s">
        <v>214</v>
      </c>
    </row>
    <row r="633" spans="1:47" x14ac:dyDescent="0.25">
      <c r="A633" s="63" t="s">
        <v>171</v>
      </c>
      <c r="B633" s="63" t="s">
        <v>232</v>
      </c>
      <c r="C633" s="63" t="s">
        <v>171</v>
      </c>
      <c r="D633" s="77" t="s">
        <v>207</v>
      </c>
      <c r="E633" s="62" t="str">
        <f t="shared" si="9"/>
        <v>Redhelm ArzurosShock Trap</v>
      </c>
      <c r="K633" s="6"/>
      <c r="P633" s="6"/>
      <c r="U633" s="6"/>
      <c r="AE633" s="6"/>
      <c r="AJ633" s="6"/>
      <c r="AO633" s="6"/>
      <c r="AS633">
        <v>12</v>
      </c>
      <c r="AT633">
        <v>20</v>
      </c>
      <c r="AU633">
        <v>12</v>
      </c>
    </row>
    <row r="634" spans="1:47" s="56" customFormat="1" x14ac:dyDescent="0.25">
      <c r="A634" s="63" t="s">
        <v>171</v>
      </c>
      <c r="B634" s="63" t="s">
        <v>232</v>
      </c>
      <c r="C634" s="63" t="s">
        <v>171</v>
      </c>
      <c r="D634" s="79" t="s">
        <v>213</v>
      </c>
      <c r="E634" s="62" t="str">
        <f t="shared" si="9"/>
        <v>Redhelm ArzurosPitfall Trap</v>
      </c>
      <c r="K634" s="7"/>
      <c r="P634" s="7"/>
      <c r="U634" s="7"/>
      <c r="Z634" s="7"/>
      <c r="AE634" s="7"/>
      <c r="AJ634" s="7"/>
      <c r="AO634" s="7"/>
      <c r="AS634" s="56">
        <v>15</v>
      </c>
      <c r="AT634" s="56">
        <v>20</v>
      </c>
      <c r="AU634" s="56">
        <v>15</v>
      </c>
    </row>
    <row r="635" spans="1:47" s="36" customFormat="1" x14ac:dyDescent="0.25">
      <c r="A635" s="63" t="s">
        <v>91</v>
      </c>
      <c r="B635" s="63" t="s">
        <v>71</v>
      </c>
      <c r="C635" s="63" t="s">
        <v>91</v>
      </c>
      <c r="D635" s="37" t="s">
        <v>0</v>
      </c>
      <c r="E635" s="62" t="str">
        <f t="shared" si="9"/>
        <v>Royal LudrothPara</v>
      </c>
      <c r="F635" s="36">
        <v>180</v>
      </c>
      <c r="G635" s="36">
        <v>312</v>
      </c>
      <c r="H635" s="36">
        <v>444</v>
      </c>
      <c r="I635" s="36">
        <v>576</v>
      </c>
      <c r="J635" s="61"/>
      <c r="K635" s="50"/>
      <c r="P635" s="6">
        <v>180</v>
      </c>
      <c r="Q635" s="46">
        <v>396</v>
      </c>
      <c r="R635" s="46">
        <v>612</v>
      </c>
      <c r="S635" s="46">
        <v>828</v>
      </c>
      <c r="U635" s="50"/>
      <c r="Z635" s="6">
        <v>180</v>
      </c>
      <c r="AA635" s="46">
        <v>408</v>
      </c>
      <c r="AB635" s="46">
        <v>636</v>
      </c>
      <c r="AC635" s="46">
        <v>864</v>
      </c>
      <c r="AE635" s="50">
        <v>180</v>
      </c>
      <c r="AF635" s="36">
        <v>408</v>
      </c>
      <c r="AG635" s="36">
        <v>636</v>
      </c>
      <c r="AH635" s="36">
        <v>864</v>
      </c>
      <c r="AJ635" s="6">
        <v>180</v>
      </c>
      <c r="AK635" s="46">
        <v>456</v>
      </c>
      <c r="AL635" s="46">
        <v>732</v>
      </c>
      <c r="AM635" s="46">
        <v>1008</v>
      </c>
      <c r="AO635" s="50"/>
      <c r="AS635" s="36">
        <v>10</v>
      </c>
      <c r="AT635" s="36" t="s">
        <v>214</v>
      </c>
      <c r="AU635" s="36" t="s">
        <v>214</v>
      </c>
    </row>
    <row r="636" spans="1:47" x14ac:dyDescent="0.25">
      <c r="A636" s="63" t="s">
        <v>91</v>
      </c>
      <c r="B636" s="63" t="s">
        <v>71</v>
      </c>
      <c r="C636" s="63" t="s">
        <v>91</v>
      </c>
      <c r="D636" s="31" t="s">
        <v>32</v>
      </c>
      <c r="E636" s="62" t="str">
        <f t="shared" si="9"/>
        <v>Royal LudrothSleep</v>
      </c>
      <c r="F636">
        <v>180</v>
      </c>
      <c r="G636">
        <v>312</v>
      </c>
      <c r="H636">
        <v>444</v>
      </c>
      <c r="I636">
        <v>576</v>
      </c>
      <c r="K636" s="6"/>
      <c r="P636" s="6">
        <v>180</v>
      </c>
      <c r="Q636">
        <v>396</v>
      </c>
      <c r="R636">
        <v>612</v>
      </c>
      <c r="S636">
        <v>828</v>
      </c>
      <c r="U636" s="6"/>
      <c r="Z636" s="6">
        <v>180</v>
      </c>
      <c r="AA636">
        <v>408</v>
      </c>
      <c r="AB636">
        <v>636</v>
      </c>
      <c r="AC636">
        <v>864</v>
      </c>
      <c r="AE636" s="6">
        <v>180</v>
      </c>
      <c r="AF636">
        <v>408</v>
      </c>
      <c r="AG636">
        <v>636</v>
      </c>
      <c r="AH636">
        <v>864</v>
      </c>
      <c r="AJ636" s="6">
        <v>180</v>
      </c>
      <c r="AK636">
        <v>456</v>
      </c>
      <c r="AL636">
        <v>732</v>
      </c>
      <c r="AM636">
        <v>1008</v>
      </c>
      <c r="AO636" s="6"/>
      <c r="AS636">
        <v>30</v>
      </c>
      <c r="AT636" t="s">
        <v>214</v>
      </c>
      <c r="AU636" t="s">
        <v>214</v>
      </c>
    </row>
    <row r="637" spans="1:47" x14ac:dyDescent="0.25">
      <c r="A637" s="63" t="s">
        <v>91</v>
      </c>
      <c r="B637" s="63" t="s">
        <v>71</v>
      </c>
      <c r="C637" s="63" t="s">
        <v>91</v>
      </c>
      <c r="D637" s="32" t="s">
        <v>33</v>
      </c>
      <c r="E637" s="62" t="str">
        <f t="shared" si="9"/>
        <v>Royal LudrothPoison</v>
      </c>
      <c r="F637">
        <v>180</v>
      </c>
      <c r="G637">
        <v>312</v>
      </c>
      <c r="H637">
        <v>444</v>
      </c>
      <c r="I637">
        <v>576</v>
      </c>
      <c r="J637" s="29"/>
      <c r="K637" s="6"/>
      <c r="P637" s="6">
        <v>180</v>
      </c>
      <c r="Q637">
        <v>396</v>
      </c>
      <c r="R637">
        <v>612</v>
      </c>
      <c r="S637">
        <v>828</v>
      </c>
      <c r="U637" s="6"/>
      <c r="Z637" s="6">
        <v>180</v>
      </c>
      <c r="AA637">
        <v>408</v>
      </c>
      <c r="AB637">
        <v>636</v>
      </c>
      <c r="AC637">
        <v>864</v>
      </c>
      <c r="AE637" s="6">
        <v>180</v>
      </c>
      <c r="AF637">
        <v>408</v>
      </c>
      <c r="AG637">
        <v>636</v>
      </c>
      <c r="AH637">
        <v>864</v>
      </c>
      <c r="AJ637" s="6">
        <v>180</v>
      </c>
      <c r="AK637">
        <v>456</v>
      </c>
      <c r="AL637">
        <v>732</v>
      </c>
      <c r="AM637">
        <v>1008</v>
      </c>
      <c r="AO637" s="6"/>
      <c r="AS637">
        <v>30</v>
      </c>
      <c r="AT637" t="s">
        <v>214</v>
      </c>
      <c r="AU637" t="s">
        <v>214</v>
      </c>
    </row>
    <row r="638" spans="1:47" x14ac:dyDescent="0.25">
      <c r="A638" s="63" t="s">
        <v>91</v>
      </c>
      <c r="B638" s="63" t="s">
        <v>71</v>
      </c>
      <c r="C638" s="63" t="s">
        <v>91</v>
      </c>
      <c r="D638" s="10" t="s">
        <v>22</v>
      </c>
      <c r="E638" s="62" t="str">
        <f t="shared" si="9"/>
        <v>Royal LudrothExhaust</v>
      </c>
      <c r="F638">
        <v>270</v>
      </c>
      <c r="G638">
        <v>495</v>
      </c>
      <c r="H638">
        <v>720</v>
      </c>
      <c r="I638">
        <v>945</v>
      </c>
      <c r="J638" s="29"/>
      <c r="K638" s="6"/>
      <c r="P638" s="6">
        <v>315</v>
      </c>
      <c r="Q638">
        <v>577</v>
      </c>
      <c r="R638">
        <v>839</v>
      </c>
      <c r="S638">
        <v>1101</v>
      </c>
      <c r="U638" s="6"/>
      <c r="Z638" s="6">
        <v>324</v>
      </c>
      <c r="AA638">
        <v>594</v>
      </c>
      <c r="AB638">
        <v>864</v>
      </c>
      <c r="AC638">
        <v>1134</v>
      </c>
      <c r="AE638" s="6">
        <v>324</v>
      </c>
      <c r="AF638">
        <v>594</v>
      </c>
      <c r="AG638">
        <v>864</v>
      </c>
      <c r="AH638">
        <v>1134</v>
      </c>
      <c r="AJ638" s="6">
        <v>396</v>
      </c>
      <c r="AK638">
        <v>726</v>
      </c>
      <c r="AL638">
        <v>1056</v>
      </c>
      <c r="AM638">
        <v>1386</v>
      </c>
      <c r="AO638" s="6"/>
      <c r="AS638"/>
      <c r="AT638" t="s">
        <v>214</v>
      </c>
      <c r="AU638" t="s">
        <v>214</v>
      </c>
    </row>
    <row r="639" spans="1:47" x14ac:dyDescent="0.25">
      <c r="A639" s="63" t="s">
        <v>91</v>
      </c>
      <c r="B639" s="63" t="s">
        <v>71</v>
      </c>
      <c r="C639" s="63" t="s">
        <v>91</v>
      </c>
      <c r="D639" s="30" t="s">
        <v>35</v>
      </c>
      <c r="E639" s="62" t="str">
        <f t="shared" si="9"/>
        <v>Royal LudrothBlast</v>
      </c>
      <c r="F639">
        <v>70</v>
      </c>
      <c r="G639">
        <v>103</v>
      </c>
      <c r="H639">
        <v>136</v>
      </c>
      <c r="I639">
        <v>169</v>
      </c>
      <c r="K639" s="6"/>
      <c r="P639" s="6">
        <v>70</v>
      </c>
      <c r="Q639">
        <v>124</v>
      </c>
      <c r="R639" s="6">
        <v>178</v>
      </c>
      <c r="S639">
        <v>232</v>
      </c>
      <c r="U639" s="6"/>
      <c r="Z639" s="6">
        <v>70</v>
      </c>
      <c r="AA639">
        <v>127</v>
      </c>
      <c r="AB639" s="6">
        <v>184</v>
      </c>
      <c r="AC639">
        <v>241</v>
      </c>
      <c r="AE639" s="6">
        <v>70</v>
      </c>
      <c r="AF639">
        <v>127</v>
      </c>
      <c r="AG639" s="6">
        <v>184</v>
      </c>
      <c r="AH639">
        <v>241</v>
      </c>
      <c r="AJ639" s="6">
        <v>70</v>
      </c>
      <c r="AK639">
        <v>139</v>
      </c>
      <c r="AL639">
        <v>208</v>
      </c>
      <c r="AM639">
        <v>277</v>
      </c>
      <c r="AO639" s="6"/>
      <c r="AS639"/>
      <c r="AT639" t="s">
        <v>214</v>
      </c>
      <c r="AU639" t="s">
        <v>214</v>
      </c>
    </row>
    <row r="640" spans="1:47" x14ac:dyDescent="0.25">
      <c r="A640" s="63" t="s">
        <v>91</v>
      </c>
      <c r="B640" s="63" t="s">
        <v>71</v>
      </c>
      <c r="C640" s="63" t="s">
        <v>91</v>
      </c>
      <c r="D640" s="34" t="s">
        <v>14</v>
      </c>
      <c r="E640" s="62" t="str">
        <f t="shared" si="9"/>
        <v>Royal LudrothKO</v>
      </c>
      <c r="F640">
        <v>260</v>
      </c>
      <c r="G640">
        <v>390</v>
      </c>
      <c r="H640">
        <v>520</v>
      </c>
      <c r="I640">
        <v>650</v>
      </c>
      <c r="J640" s="29"/>
      <c r="K640" s="6"/>
      <c r="P640" s="6">
        <v>260</v>
      </c>
      <c r="Q640">
        <v>390</v>
      </c>
      <c r="R640">
        <v>520</v>
      </c>
      <c r="S640">
        <v>650</v>
      </c>
      <c r="U640" s="6"/>
      <c r="Z640" s="6">
        <v>280</v>
      </c>
      <c r="AA640">
        <v>420</v>
      </c>
      <c r="AB640">
        <v>560</v>
      </c>
      <c r="AC640">
        <v>700</v>
      </c>
      <c r="AE640" s="6">
        <v>280</v>
      </c>
      <c r="AF640">
        <v>420</v>
      </c>
      <c r="AG640">
        <v>560</v>
      </c>
      <c r="AH640">
        <v>700</v>
      </c>
      <c r="AJ640" s="6">
        <v>320</v>
      </c>
      <c r="AK640">
        <v>480</v>
      </c>
      <c r="AL640">
        <v>640</v>
      </c>
      <c r="AM640">
        <v>800</v>
      </c>
      <c r="AO640" s="6"/>
      <c r="AS640">
        <v>10</v>
      </c>
      <c r="AT640" t="s">
        <v>214</v>
      </c>
      <c r="AU640" t="s">
        <v>214</v>
      </c>
    </row>
    <row r="641" spans="1:47" x14ac:dyDescent="0.25">
      <c r="A641" s="63" t="s">
        <v>91</v>
      </c>
      <c r="B641" s="63" t="s">
        <v>71</v>
      </c>
      <c r="C641" s="63" t="s">
        <v>91</v>
      </c>
      <c r="D641" s="33" t="s">
        <v>34</v>
      </c>
      <c r="E641" s="62" t="str">
        <f t="shared" si="9"/>
        <v>Royal LudrothMount</v>
      </c>
      <c r="F641">
        <v>96</v>
      </c>
      <c r="G641">
        <v>256</v>
      </c>
      <c r="H641">
        <v>416</v>
      </c>
      <c r="I641">
        <v>576</v>
      </c>
      <c r="K641" s="6"/>
      <c r="P641" s="6">
        <v>102</v>
      </c>
      <c r="Q641">
        <v>272</v>
      </c>
      <c r="R641" s="6">
        <v>442</v>
      </c>
      <c r="S641">
        <v>612</v>
      </c>
      <c r="U641" s="6"/>
      <c r="Z641" s="6">
        <v>102</v>
      </c>
      <c r="AA641">
        <v>272</v>
      </c>
      <c r="AB641">
        <v>442</v>
      </c>
      <c r="AC641">
        <v>612</v>
      </c>
      <c r="AE641" s="6">
        <v>102</v>
      </c>
      <c r="AF641">
        <v>272</v>
      </c>
      <c r="AG641">
        <v>442</v>
      </c>
      <c r="AH641">
        <v>612</v>
      </c>
      <c r="AJ641" s="6">
        <v>120</v>
      </c>
      <c r="AK641">
        <v>320</v>
      </c>
      <c r="AL641">
        <v>520</v>
      </c>
      <c r="AM641">
        <v>720</v>
      </c>
      <c r="AO641" s="6"/>
      <c r="AS641"/>
      <c r="AT641" t="s">
        <v>214</v>
      </c>
      <c r="AU641" t="s">
        <v>214</v>
      </c>
    </row>
    <row r="642" spans="1:47" x14ac:dyDescent="0.25">
      <c r="A642" s="63" t="s">
        <v>91</v>
      </c>
      <c r="B642" s="63" t="s">
        <v>71</v>
      </c>
      <c r="C642" s="63" t="s">
        <v>91</v>
      </c>
      <c r="D642" s="77" t="s">
        <v>207</v>
      </c>
      <c r="E642" s="62" t="str">
        <f t="shared" si="9"/>
        <v>Royal LudrothShock Trap</v>
      </c>
      <c r="K642" s="6"/>
      <c r="P642" s="6"/>
      <c r="U642" s="6"/>
      <c r="AE642" s="6"/>
      <c r="AJ642" s="6"/>
      <c r="AO642" s="6"/>
      <c r="AS642">
        <v>5</v>
      </c>
      <c r="AT642">
        <v>15</v>
      </c>
      <c r="AU642">
        <v>8</v>
      </c>
    </row>
    <row r="643" spans="1:47" s="56" customFormat="1" x14ac:dyDescent="0.25">
      <c r="A643" s="63" t="s">
        <v>91</v>
      </c>
      <c r="B643" s="63" t="s">
        <v>71</v>
      </c>
      <c r="C643" s="63" t="s">
        <v>91</v>
      </c>
      <c r="D643" s="79" t="s">
        <v>213</v>
      </c>
      <c r="E643" s="62" t="str">
        <f t="shared" si="9"/>
        <v>Royal LudrothPitfall Trap</v>
      </c>
      <c r="K643" s="7"/>
      <c r="P643" s="7"/>
      <c r="U643" s="7"/>
      <c r="Z643" s="7"/>
      <c r="AE643" s="7"/>
      <c r="AJ643" s="7"/>
      <c r="AO643" s="7"/>
      <c r="AS643" s="56">
        <v>10</v>
      </c>
      <c r="AT643" s="56">
        <v>25</v>
      </c>
      <c r="AU643" s="56">
        <v>13</v>
      </c>
    </row>
    <row r="644" spans="1:47" s="36" customFormat="1" x14ac:dyDescent="0.25">
      <c r="A644" s="63" t="s">
        <v>171</v>
      </c>
      <c r="B644" s="63" t="s">
        <v>182</v>
      </c>
      <c r="C644" s="63" t="s">
        <v>171</v>
      </c>
      <c r="D644" s="37" t="s">
        <v>0</v>
      </c>
      <c r="E644" s="62" t="str">
        <f t="shared" si="9"/>
        <v>Rustrazor CeanataurPara</v>
      </c>
      <c r="J644" s="61"/>
      <c r="K644" s="50"/>
      <c r="P644" s="6"/>
      <c r="Q644" s="46"/>
      <c r="R644" s="46"/>
      <c r="S644" s="46"/>
      <c r="U644" s="50"/>
      <c r="Z644" s="6"/>
      <c r="AA644" s="46"/>
      <c r="AB644" s="46"/>
      <c r="AC644" s="46"/>
      <c r="AE644" s="50"/>
      <c r="AJ644" s="6"/>
      <c r="AK644" s="46"/>
      <c r="AL644" s="46"/>
      <c r="AM644" s="46"/>
      <c r="AO644" s="50"/>
      <c r="AS644" s="36">
        <v>10</v>
      </c>
      <c r="AT644" s="36" t="s">
        <v>214</v>
      </c>
      <c r="AU644" s="36" t="s">
        <v>214</v>
      </c>
    </row>
    <row r="645" spans="1:47" x14ac:dyDescent="0.25">
      <c r="A645" s="63" t="s">
        <v>171</v>
      </c>
      <c r="B645" s="63" t="s">
        <v>182</v>
      </c>
      <c r="C645" s="63" t="s">
        <v>171</v>
      </c>
      <c r="D645" s="31" t="s">
        <v>32</v>
      </c>
      <c r="E645" s="62" t="str">
        <f t="shared" ref="E645:E708" si="10">B645&amp;D645</f>
        <v>Rustrazor CeanataurSleep</v>
      </c>
      <c r="K645" s="6"/>
      <c r="P645" s="6"/>
      <c r="U645" s="6"/>
      <c r="AE645" s="6"/>
      <c r="AJ645" s="6"/>
      <c r="AO645" s="6"/>
      <c r="AS645">
        <v>30</v>
      </c>
      <c r="AT645" t="s">
        <v>214</v>
      </c>
      <c r="AU645" t="s">
        <v>214</v>
      </c>
    </row>
    <row r="646" spans="1:47" x14ac:dyDescent="0.25">
      <c r="A646" s="63" t="s">
        <v>171</v>
      </c>
      <c r="B646" s="63" t="s">
        <v>182</v>
      </c>
      <c r="C646" s="63" t="s">
        <v>171</v>
      </c>
      <c r="D646" s="32" t="s">
        <v>33</v>
      </c>
      <c r="E646" s="62" t="str">
        <f t="shared" si="10"/>
        <v>Rustrazor CeanataurPoison</v>
      </c>
      <c r="J646" s="29"/>
      <c r="K646" s="6"/>
      <c r="P646" s="6"/>
      <c r="U646" s="6"/>
      <c r="AE646" s="6"/>
      <c r="AJ646" s="6"/>
      <c r="AO646" s="6"/>
      <c r="AS646">
        <v>60</v>
      </c>
      <c r="AT646" t="s">
        <v>214</v>
      </c>
      <c r="AU646" t="s">
        <v>214</v>
      </c>
    </row>
    <row r="647" spans="1:47" x14ac:dyDescent="0.25">
      <c r="A647" s="63" t="s">
        <v>171</v>
      </c>
      <c r="B647" s="63" t="s">
        <v>182</v>
      </c>
      <c r="C647" s="63" t="s">
        <v>171</v>
      </c>
      <c r="D647" s="10" t="s">
        <v>22</v>
      </c>
      <c r="E647" s="62" t="str">
        <f t="shared" si="10"/>
        <v>Rustrazor CeanataurExhaust</v>
      </c>
      <c r="J647" s="29"/>
      <c r="K647" s="6"/>
      <c r="P647" s="6"/>
      <c r="U647" s="6"/>
      <c r="AE647" s="6"/>
      <c r="AJ647" s="6"/>
      <c r="AO647" s="6"/>
      <c r="AS647"/>
      <c r="AT647" t="s">
        <v>214</v>
      </c>
      <c r="AU647" t="s">
        <v>214</v>
      </c>
    </row>
    <row r="648" spans="1:47" x14ac:dyDescent="0.25">
      <c r="A648" s="63" t="s">
        <v>171</v>
      </c>
      <c r="B648" s="63" t="s">
        <v>182</v>
      </c>
      <c r="C648" s="63" t="s">
        <v>171</v>
      </c>
      <c r="D648" s="30" t="s">
        <v>35</v>
      </c>
      <c r="E648" s="62" t="str">
        <f t="shared" si="10"/>
        <v>Rustrazor CeanataurBlast</v>
      </c>
      <c r="K648" s="6"/>
      <c r="P648" s="6"/>
      <c r="R648" s="6"/>
      <c r="U648" s="6"/>
      <c r="AB648" s="6"/>
      <c r="AE648" s="6"/>
      <c r="AG648" s="6"/>
      <c r="AJ648" s="6"/>
      <c r="AO648" s="6"/>
      <c r="AS648"/>
      <c r="AT648" t="s">
        <v>214</v>
      </c>
      <c r="AU648" t="s">
        <v>214</v>
      </c>
    </row>
    <row r="649" spans="1:47" x14ac:dyDescent="0.25">
      <c r="A649" s="63" t="s">
        <v>171</v>
      </c>
      <c r="B649" s="63" t="s">
        <v>182</v>
      </c>
      <c r="C649" s="63" t="s">
        <v>171</v>
      </c>
      <c r="D649" s="34" t="s">
        <v>14</v>
      </c>
      <c r="E649" s="62" t="str">
        <f t="shared" si="10"/>
        <v>Rustrazor CeanataurKO</v>
      </c>
      <c r="J649" s="29"/>
      <c r="K649" s="6"/>
      <c r="P649" s="6"/>
      <c r="U649" s="6"/>
      <c r="AE649" s="6"/>
      <c r="AJ649" s="6"/>
      <c r="AO649" s="6"/>
      <c r="AS649">
        <v>10</v>
      </c>
      <c r="AT649" t="s">
        <v>214</v>
      </c>
      <c r="AU649" t="s">
        <v>214</v>
      </c>
    </row>
    <row r="650" spans="1:47" x14ac:dyDescent="0.25">
      <c r="A650" s="63" t="s">
        <v>171</v>
      </c>
      <c r="B650" s="63" t="s">
        <v>182</v>
      </c>
      <c r="C650" s="63" t="s">
        <v>171</v>
      </c>
      <c r="D650" s="33" t="s">
        <v>34</v>
      </c>
      <c r="E650" s="62" t="str">
        <f t="shared" si="10"/>
        <v>Rustrazor CeanataurMount</v>
      </c>
      <c r="K650" s="6"/>
      <c r="P650" s="6"/>
      <c r="R650" s="6"/>
      <c r="U650" s="6"/>
      <c r="AE650" s="6"/>
      <c r="AJ650" s="6"/>
      <c r="AO650" s="6"/>
      <c r="AS650"/>
      <c r="AT650" t="s">
        <v>214</v>
      </c>
      <c r="AU650" t="s">
        <v>214</v>
      </c>
    </row>
    <row r="651" spans="1:47" x14ac:dyDescent="0.25">
      <c r="A651" s="63" t="s">
        <v>171</v>
      </c>
      <c r="B651" s="63" t="s">
        <v>182</v>
      </c>
      <c r="C651" s="63" t="s">
        <v>171</v>
      </c>
      <c r="D651" s="77" t="s">
        <v>207</v>
      </c>
      <c r="E651" s="62" t="str">
        <f t="shared" si="10"/>
        <v>Rustrazor CeanataurShock Trap</v>
      </c>
      <c r="K651" s="6"/>
      <c r="P651" s="6"/>
      <c r="U651" s="6"/>
      <c r="AE651" s="6"/>
      <c r="AJ651" s="6"/>
      <c r="AO651" s="6"/>
      <c r="AS651"/>
    </row>
    <row r="652" spans="1:47" s="56" customFormat="1" x14ac:dyDescent="0.25">
      <c r="A652" s="63" t="s">
        <v>171</v>
      </c>
      <c r="B652" s="63" t="s">
        <v>182</v>
      </c>
      <c r="C652" s="63" t="s">
        <v>171</v>
      </c>
      <c r="D652" s="79" t="s">
        <v>213</v>
      </c>
      <c r="E652" s="62" t="str">
        <f t="shared" si="10"/>
        <v>Rustrazor CeanataurPitfall Trap</v>
      </c>
      <c r="K652" s="7"/>
      <c r="P652" s="7"/>
      <c r="U652" s="7"/>
      <c r="Z652" s="7"/>
      <c r="AE652" s="7"/>
      <c r="AJ652" s="7"/>
      <c r="AO652" s="7"/>
    </row>
    <row r="653" spans="1:47" s="36" customFormat="1" x14ac:dyDescent="0.25">
      <c r="A653" s="63" t="s">
        <v>91</v>
      </c>
      <c r="B653" s="63" t="s">
        <v>72</v>
      </c>
      <c r="C653" s="63" t="s">
        <v>91</v>
      </c>
      <c r="D653" s="37" t="s">
        <v>0</v>
      </c>
      <c r="E653" s="62" t="str">
        <f t="shared" si="10"/>
        <v>SeltasPara</v>
      </c>
      <c r="F653" s="36">
        <v>200</v>
      </c>
      <c r="G653" s="36">
        <v>189</v>
      </c>
      <c r="H653" s="36">
        <v>266</v>
      </c>
      <c r="I653" s="36">
        <v>297.33333333333297</v>
      </c>
      <c r="J653" s="61"/>
      <c r="K653" s="50"/>
      <c r="P653" s="6">
        <v>150</v>
      </c>
      <c r="Q653" s="46">
        <v>189</v>
      </c>
      <c r="R653" s="46">
        <v>266</v>
      </c>
      <c r="S653" s="46">
        <v>266</v>
      </c>
      <c r="U653" s="50"/>
      <c r="Z653" s="6">
        <v>150</v>
      </c>
      <c r="AA653" s="46">
        <v>207</v>
      </c>
      <c r="AB653" s="46">
        <v>264</v>
      </c>
      <c r="AC653" s="46">
        <v>321</v>
      </c>
      <c r="AE653" s="50">
        <v>150</v>
      </c>
      <c r="AF653" s="36">
        <v>207</v>
      </c>
      <c r="AG653" s="36">
        <v>264</v>
      </c>
      <c r="AH653" s="36">
        <v>321</v>
      </c>
      <c r="AJ653" s="6">
        <v>150</v>
      </c>
      <c r="AK653" s="46">
        <v>216</v>
      </c>
      <c r="AL653" s="46">
        <v>282</v>
      </c>
      <c r="AM653" s="46">
        <v>348</v>
      </c>
      <c r="AO653" s="50"/>
      <c r="AS653" s="36">
        <v>10</v>
      </c>
      <c r="AT653" s="36" t="s">
        <v>214</v>
      </c>
      <c r="AU653" s="36" t="s">
        <v>214</v>
      </c>
    </row>
    <row r="654" spans="1:47" x14ac:dyDescent="0.25">
      <c r="A654" s="63" t="s">
        <v>91</v>
      </c>
      <c r="B654" s="63" t="s">
        <v>72</v>
      </c>
      <c r="C654" s="63" t="s">
        <v>91</v>
      </c>
      <c r="D654" s="31" t="s">
        <v>32</v>
      </c>
      <c r="E654" s="62" t="str">
        <f t="shared" si="10"/>
        <v>SeltasSleep</v>
      </c>
      <c r="F654">
        <v>150</v>
      </c>
      <c r="G654">
        <v>202</v>
      </c>
      <c r="H654">
        <v>254</v>
      </c>
      <c r="I654">
        <v>306</v>
      </c>
      <c r="K654" s="6"/>
      <c r="P654" s="6">
        <v>150</v>
      </c>
      <c r="Q654">
        <v>254</v>
      </c>
      <c r="R654">
        <v>358</v>
      </c>
      <c r="S654">
        <v>462</v>
      </c>
      <c r="U654" s="6"/>
      <c r="Z654" s="6">
        <v>150</v>
      </c>
      <c r="AA654">
        <v>234</v>
      </c>
      <c r="AB654">
        <v>318</v>
      </c>
      <c r="AC654">
        <v>402</v>
      </c>
      <c r="AE654" s="6">
        <v>150</v>
      </c>
      <c r="AF654">
        <v>234</v>
      </c>
      <c r="AG654">
        <v>318</v>
      </c>
      <c r="AH654">
        <v>402</v>
      </c>
      <c r="AJ654" s="6">
        <v>150</v>
      </c>
      <c r="AK654">
        <v>238</v>
      </c>
      <c r="AL654">
        <v>326</v>
      </c>
      <c r="AM654">
        <v>414</v>
      </c>
      <c r="AO654" s="6"/>
      <c r="AS654">
        <v>40</v>
      </c>
      <c r="AT654" t="s">
        <v>214</v>
      </c>
      <c r="AU654" t="s">
        <v>214</v>
      </c>
    </row>
    <row r="655" spans="1:47" x14ac:dyDescent="0.25">
      <c r="A655" s="63" t="s">
        <v>91</v>
      </c>
      <c r="B655" s="63" t="s">
        <v>72</v>
      </c>
      <c r="C655" s="63" t="s">
        <v>91</v>
      </c>
      <c r="D655" s="32" t="s">
        <v>33</v>
      </c>
      <c r="E655" s="62" t="str">
        <f t="shared" si="10"/>
        <v>SeltasPoison</v>
      </c>
      <c r="F655">
        <v>180</v>
      </c>
      <c r="G655">
        <v>165</v>
      </c>
      <c r="H655">
        <v>150</v>
      </c>
      <c r="I655">
        <v>135</v>
      </c>
      <c r="J655" s="29"/>
      <c r="K655" s="6"/>
      <c r="P655" s="6">
        <v>100</v>
      </c>
      <c r="Q655">
        <v>165</v>
      </c>
      <c r="R655">
        <v>230</v>
      </c>
      <c r="S655">
        <v>295</v>
      </c>
      <c r="U655" s="6"/>
      <c r="Z655" s="6">
        <v>100</v>
      </c>
      <c r="AA655">
        <v>204</v>
      </c>
      <c r="AB655">
        <v>308</v>
      </c>
      <c r="AC655">
        <v>412</v>
      </c>
      <c r="AE655" s="6">
        <v>100</v>
      </c>
      <c r="AF655">
        <v>204</v>
      </c>
      <c r="AG655">
        <v>308</v>
      </c>
      <c r="AH655">
        <v>412</v>
      </c>
      <c r="AJ655" s="6">
        <v>100</v>
      </c>
      <c r="AK655">
        <v>210</v>
      </c>
      <c r="AL655">
        <v>320</v>
      </c>
      <c r="AM655">
        <v>430</v>
      </c>
      <c r="AO655" s="6"/>
      <c r="AS655">
        <v>60</v>
      </c>
      <c r="AT655" t="s">
        <v>214</v>
      </c>
      <c r="AU655" t="s">
        <v>214</v>
      </c>
    </row>
    <row r="656" spans="1:47" x14ac:dyDescent="0.25">
      <c r="A656" s="63" t="s">
        <v>91</v>
      </c>
      <c r="B656" s="63" t="s">
        <v>72</v>
      </c>
      <c r="C656" s="63" t="s">
        <v>91</v>
      </c>
      <c r="D656" s="10" t="s">
        <v>22</v>
      </c>
      <c r="E656" s="62" t="str">
        <f t="shared" si="10"/>
        <v>SeltasExhaust</v>
      </c>
      <c r="F656">
        <v>288</v>
      </c>
      <c r="G656">
        <v>408</v>
      </c>
      <c r="H656">
        <v>528</v>
      </c>
      <c r="I656">
        <v>648</v>
      </c>
      <c r="J656" s="29"/>
      <c r="K656" s="6"/>
      <c r="P656" s="6">
        <v>288</v>
      </c>
      <c r="Q656">
        <v>408</v>
      </c>
      <c r="R656">
        <v>528</v>
      </c>
      <c r="S656">
        <v>648</v>
      </c>
      <c r="U656" s="6"/>
      <c r="Z656" s="6">
        <v>324</v>
      </c>
      <c r="AA656">
        <v>484</v>
      </c>
      <c r="AB656">
        <v>644</v>
      </c>
      <c r="AC656">
        <v>804</v>
      </c>
      <c r="AE656" s="6">
        <v>324</v>
      </c>
      <c r="AF656">
        <v>484</v>
      </c>
      <c r="AG656">
        <v>644</v>
      </c>
      <c r="AH656">
        <v>804</v>
      </c>
      <c r="AJ656" s="6">
        <v>377</v>
      </c>
      <c r="AK656">
        <v>535</v>
      </c>
      <c r="AL656">
        <v>693</v>
      </c>
      <c r="AM656">
        <v>851</v>
      </c>
      <c r="AO656" s="6"/>
      <c r="AS656"/>
      <c r="AT656" t="s">
        <v>214</v>
      </c>
      <c r="AU656" t="s">
        <v>214</v>
      </c>
    </row>
    <row r="657" spans="1:47" x14ac:dyDescent="0.25">
      <c r="A657" s="63" t="s">
        <v>91</v>
      </c>
      <c r="B657" s="63" t="s">
        <v>72</v>
      </c>
      <c r="C657" s="63" t="s">
        <v>91</v>
      </c>
      <c r="D657" s="30" t="s">
        <v>35</v>
      </c>
      <c r="E657" s="62" t="str">
        <f t="shared" si="10"/>
        <v>SeltasBlast</v>
      </c>
      <c r="F657">
        <v>40</v>
      </c>
      <c r="G657">
        <v>102</v>
      </c>
      <c r="H657">
        <v>164</v>
      </c>
      <c r="I657">
        <v>226</v>
      </c>
      <c r="K657" s="6"/>
      <c r="P657" s="6">
        <v>50</v>
      </c>
      <c r="Q657">
        <v>80</v>
      </c>
      <c r="R657" s="6">
        <v>120</v>
      </c>
      <c r="S657">
        <v>160</v>
      </c>
      <c r="U657" s="6"/>
      <c r="Z657" s="6">
        <v>50</v>
      </c>
      <c r="AA657">
        <v>126</v>
      </c>
      <c r="AB657" s="6">
        <v>202</v>
      </c>
      <c r="AC657">
        <v>278</v>
      </c>
      <c r="AE657" s="6">
        <v>50</v>
      </c>
      <c r="AF657">
        <v>126</v>
      </c>
      <c r="AG657" s="6">
        <v>202</v>
      </c>
      <c r="AH657">
        <v>278</v>
      </c>
      <c r="AJ657" s="6">
        <v>50</v>
      </c>
      <c r="AK657">
        <v>138</v>
      </c>
      <c r="AL657">
        <v>226</v>
      </c>
      <c r="AM657">
        <v>314</v>
      </c>
      <c r="AO657" s="6"/>
      <c r="AS657"/>
      <c r="AT657" t="s">
        <v>214</v>
      </c>
      <c r="AU657" t="s">
        <v>214</v>
      </c>
    </row>
    <row r="658" spans="1:47" x14ac:dyDescent="0.25">
      <c r="A658" s="63" t="s">
        <v>91</v>
      </c>
      <c r="B658" s="63" t="s">
        <v>72</v>
      </c>
      <c r="C658" s="63" t="s">
        <v>91</v>
      </c>
      <c r="D658" s="34" t="s">
        <v>14</v>
      </c>
      <c r="E658" s="62" t="str">
        <f t="shared" si="10"/>
        <v>SeltasKO</v>
      </c>
      <c r="F658">
        <v>183</v>
      </c>
      <c r="G658">
        <v>208</v>
      </c>
      <c r="H658">
        <v>233</v>
      </c>
      <c r="I658">
        <v>258</v>
      </c>
      <c r="J658" s="29"/>
      <c r="K658" s="6"/>
      <c r="P658" s="6">
        <v>156</v>
      </c>
      <c r="Q658">
        <v>183</v>
      </c>
      <c r="R658">
        <v>210</v>
      </c>
      <c r="S658">
        <v>237</v>
      </c>
      <c r="U658" s="6"/>
      <c r="Z658" s="6">
        <v>168</v>
      </c>
      <c r="AA658">
        <v>210</v>
      </c>
      <c r="AB658">
        <v>252</v>
      </c>
      <c r="AC658">
        <v>294</v>
      </c>
      <c r="AE658" s="6">
        <v>168</v>
      </c>
      <c r="AF658">
        <v>210</v>
      </c>
      <c r="AG658">
        <v>252</v>
      </c>
      <c r="AH658">
        <v>294</v>
      </c>
      <c r="AJ658" s="6">
        <v>180</v>
      </c>
      <c r="AK658">
        <v>205</v>
      </c>
      <c r="AL658">
        <v>230</v>
      </c>
      <c r="AM658">
        <v>255</v>
      </c>
      <c r="AO658" s="6"/>
      <c r="AS658">
        <v>8</v>
      </c>
      <c r="AT658" t="s">
        <v>214</v>
      </c>
      <c r="AU658" t="s">
        <v>214</v>
      </c>
    </row>
    <row r="659" spans="1:47" x14ac:dyDescent="0.25">
      <c r="A659" s="63" t="s">
        <v>91</v>
      </c>
      <c r="B659" s="63" t="s">
        <v>72</v>
      </c>
      <c r="C659" s="63" t="s">
        <v>91</v>
      </c>
      <c r="D659" s="33" t="s">
        <v>34</v>
      </c>
      <c r="E659" s="62" t="str">
        <f t="shared" si="10"/>
        <v>SeltasMount</v>
      </c>
      <c r="F659">
        <v>80</v>
      </c>
      <c r="G659">
        <v>208</v>
      </c>
      <c r="H659">
        <v>336</v>
      </c>
      <c r="I659">
        <v>464</v>
      </c>
      <c r="K659" s="6"/>
      <c r="P659" s="6">
        <v>80</v>
      </c>
      <c r="Q659">
        <v>270</v>
      </c>
      <c r="R659" s="6">
        <v>450</v>
      </c>
      <c r="S659">
        <v>630</v>
      </c>
      <c r="U659" s="6"/>
      <c r="Z659" s="6">
        <v>85</v>
      </c>
      <c r="AA659">
        <v>221</v>
      </c>
      <c r="AB659">
        <v>357</v>
      </c>
      <c r="AC659">
        <v>493</v>
      </c>
      <c r="AE659" s="6">
        <v>85</v>
      </c>
      <c r="AF659">
        <v>221</v>
      </c>
      <c r="AG659">
        <v>357</v>
      </c>
      <c r="AH659">
        <v>493</v>
      </c>
      <c r="AJ659" s="6">
        <v>100</v>
      </c>
      <c r="AK659">
        <v>260</v>
      </c>
      <c r="AL659">
        <v>420</v>
      </c>
      <c r="AM659">
        <v>580</v>
      </c>
      <c r="AO659" s="6"/>
      <c r="AS659"/>
      <c r="AT659" t="s">
        <v>214</v>
      </c>
      <c r="AU659" t="s">
        <v>214</v>
      </c>
    </row>
    <row r="660" spans="1:47" x14ac:dyDescent="0.25">
      <c r="A660" s="63" t="s">
        <v>91</v>
      </c>
      <c r="B660" s="63" t="s">
        <v>72</v>
      </c>
      <c r="C660" s="63" t="s">
        <v>91</v>
      </c>
      <c r="D660" s="77" t="s">
        <v>207</v>
      </c>
      <c r="E660" s="62" t="str">
        <f t="shared" si="10"/>
        <v>SeltasShock Trap</v>
      </c>
      <c r="K660" s="6"/>
      <c r="P660" s="6"/>
      <c r="U660" s="6"/>
      <c r="AE660" s="6"/>
      <c r="AJ660" s="6"/>
      <c r="AO660" s="6"/>
      <c r="AS660">
        <v>12</v>
      </c>
      <c r="AT660">
        <v>20</v>
      </c>
      <c r="AU660">
        <v>12</v>
      </c>
    </row>
    <row r="661" spans="1:47" s="56" customFormat="1" x14ac:dyDescent="0.25">
      <c r="A661" s="63" t="s">
        <v>91</v>
      </c>
      <c r="B661" s="63" t="s">
        <v>72</v>
      </c>
      <c r="C661" s="63" t="s">
        <v>91</v>
      </c>
      <c r="D661" s="79" t="s">
        <v>213</v>
      </c>
      <c r="E661" s="62" t="str">
        <f t="shared" si="10"/>
        <v>SeltasPitfall Trap</v>
      </c>
      <c r="K661" s="7"/>
      <c r="P661" s="7"/>
      <c r="U661" s="7"/>
      <c r="Z661" s="7"/>
      <c r="AE661" s="7"/>
      <c r="AJ661" s="7"/>
      <c r="AO661" s="7"/>
      <c r="AS661" s="56">
        <v>15</v>
      </c>
      <c r="AT661" s="56">
        <v>25</v>
      </c>
      <c r="AU661" s="56">
        <v>15</v>
      </c>
    </row>
    <row r="662" spans="1:47" s="36" customFormat="1" x14ac:dyDescent="0.25">
      <c r="A662" s="63" t="s">
        <v>91</v>
      </c>
      <c r="B662" s="63" t="s">
        <v>73</v>
      </c>
      <c r="C662" s="63" t="s">
        <v>91</v>
      </c>
      <c r="D662" s="37" t="s">
        <v>0</v>
      </c>
      <c r="E662" s="62" t="str">
        <f t="shared" si="10"/>
        <v>Seltas QueenPara</v>
      </c>
      <c r="F662" s="36">
        <v>150</v>
      </c>
      <c r="G662" s="36">
        <v>387</v>
      </c>
      <c r="H662" s="36">
        <v>575</v>
      </c>
      <c r="I662" s="36">
        <v>762</v>
      </c>
      <c r="J662" s="61"/>
      <c r="K662" s="50"/>
      <c r="P662" s="6">
        <v>200</v>
      </c>
      <c r="Q662" s="46">
        <v>500</v>
      </c>
      <c r="R662" s="46">
        <v>800</v>
      </c>
      <c r="S662" s="46">
        <v>1100</v>
      </c>
      <c r="U662" s="50"/>
      <c r="Z662" s="6">
        <v>200</v>
      </c>
      <c r="AA662" s="46">
        <v>515</v>
      </c>
      <c r="AB662" s="46">
        <v>830</v>
      </c>
      <c r="AC662" s="46">
        <v>1145</v>
      </c>
      <c r="AE662" s="50"/>
      <c r="AJ662" s="6">
        <v>200</v>
      </c>
      <c r="AK662" s="46">
        <v>605</v>
      </c>
      <c r="AL662" s="46">
        <v>1010</v>
      </c>
      <c r="AM662" s="46">
        <v>1415</v>
      </c>
      <c r="AO662" s="50"/>
      <c r="AS662" s="36">
        <v>10</v>
      </c>
      <c r="AT662" s="36" t="s">
        <v>214</v>
      </c>
      <c r="AU662" s="36" t="s">
        <v>214</v>
      </c>
    </row>
    <row r="663" spans="1:47" x14ac:dyDescent="0.25">
      <c r="A663" s="63" t="s">
        <v>91</v>
      </c>
      <c r="B663" s="63" t="s">
        <v>73</v>
      </c>
      <c r="C663" s="63" t="s">
        <v>91</v>
      </c>
      <c r="D663" s="31" t="s">
        <v>32</v>
      </c>
      <c r="E663" s="62" t="str">
        <f t="shared" si="10"/>
        <v>Seltas QueenSleep</v>
      </c>
      <c r="F663">
        <v>150</v>
      </c>
      <c r="G663">
        <v>387</v>
      </c>
      <c r="H663">
        <v>624</v>
      </c>
      <c r="I663">
        <v>861</v>
      </c>
      <c r="K663" s="6"/>
      <c r="P663" s="6">
        <v>200</v>
      </c>
      <c r="Q663">
        <v>500</v>
      </c>
      <c r="R663">
        <v>800</v>
      </c>
      <c r="S663">
        <v>1100</v>
      </c>
      <c r="U663" s="6"/>
      <c r="Z663" s="6">
        <v>200</v>
      </c>
      <c r="AA663">
        <v>515</v>
      </c>
      <c r="AB663">
        <v>830</v>
      </c>
      <c r="AC663">
        <v>1145</v>
      </c>
      <c r="AE663" s="6"/>
      <c r="AJ663" s="6">
        <v>200</v>
      </c>
      <c r="AK663">
        <v>605</v>
      </c>
      <c r="AL663">
        <v>1010</v>
      </c>
      <c r="AM663">
        <v>1415</v>
      </c>
      <c r="AO663" s="6"/>
      <c r="AS663">
        <v>40</v>
      </c>
      <c r="AT663" t="s">
        <v>214</v>
      </c>
      <c r="AU663" t="s">
        <v>214</v>
      </c>
    </row>
    <row r="664" spans="1:47" x14ac:dyDescent="0.25">
      <c r="A664" s="63" t="s">
        <v>91</v>
      </c>
      <c r="B664" s="63" t="s">
        <v>73</v>
      </c>
      <c r="C664" s="63" t="s">
        <v>91</v>
      </c>
      <c r="D664" s="32" t="s">
        <v>33</v>
      </c>
      <c r="E664" s="62" t="str">
        <f t="shared" si="10"/>
        <v>Seltas QueenPoison</v>
      </c>
      <c r="F664">
        <v>100</v>
      </c>
      <c r="G664">
        <v>330</v>
      </c>
      <c r="H664">
        <v>560</v>
      </c>
      <c r="I664">
        <v>790</v>
      </c>
      <c r="J664" s="29"/>
      <c r="K664" s="6"/>
      <c r="P664" s="6">
        <v>180</v>
      </c>
      <c r="Q664">
        <v>420</v>
      </c>
      <c r="R664">
        <v>660</v>
      </c>
      <c r="S664">
        <v>900</v>
      </c>
      <c r="U664" s="6"/>
      <c r="Z664" s="6">
        <v>180</v>
      </c>
      <c r="AA664">
        <v>431</v>
      </c>
      <c r="AB664">
        <v>682</v>
      </c>
      <c r="AC664">
        <v>933</v>
      </c>
      <c r="AE664" s="6"/>
      <c r="AJ664" s="6">
        <v>180</v>
      </c>
      <c r="AK664">
        <v>504</v>
      </c>
      <c r="AL664">
        <v>828</v>
      </c>
      <c r="AM664">
        <v>1152</v>
      </c>
      <c r="AO664" s="6"/>
      <c r="AS664">
        <v>60</v>
      </c>
      <c r="AT664" t="s">
        <v>214</v>
      </c>
      <c r="AU664" t="s">
        <v>214</v>
      </c>
    </row>
    <row r="665" spans="1:47" x14ac:dyDescent="0.25">
      <c r="A665" s="63" t="s">
        <v>91</v>
      </c>
      <c r="B665" s="63" t="s">
        <v>73</v>
      </c>
      <c r="C665" s="63" t="s">
        <v>91</v>
      </c>
      <c r="D665" s="10" t="s">
        <v>22</v>
      </c>
      <c r="E665" s="62" t="str">
        <f t="shared" si="10"/>
        <v>Seltas QueenExhaust</v>
      </c>
      <c r="F665">
        <v>288</v>
      </c>
      <c r="G665">
        <v>448</v>
      </c>
      <c r="H665">
        <v>608</v>
      </c>
      <c r="I665">
        <v>768</v>
      </c>
      <c r="J665" s="29"/>
      <c r="K665" s="6"/>
      <c r="P665" s="6">
        <v>333</v>
      </c>
      <c r="Q665">
        <v>518</v>
      </c>
      <c r="R665">
        <v>703</v>
      </c>
      <c r="S665">
        <v>888</v>
      </c>
      <c r="U665" s="6"/>
      <c r="Z665" s="6">
        <v>342</v>
      </c>
      <c r="AA665">
        <v>532</v>
      </c>
      <c r="AB665">
        <v>722</v>
      </c>
      <c r="AC665">
        <v>912</v>
      </c>
      <c r="AE665" s="6"/>
      <c r="AJ665" s="6">
        <v>450</v>
      </c>
      <c r="AK665">
        <v>700</v>
      </c>
      <c r="AL665">
        <v>950</v>
      </c>
      <c r="AM665">
        <v>1200</v>
      </c>
      <c r="AO665" s="6"/>
      <c r="AS665"/>
      <c r="AT665" t="s">
        <v>214</v>
      </c>
      <c r="AU665" t="s">
        <v>214</v>
      </c>
    </row>
    <row r="666" spans="1:47" x14ac:dyDescent="0.25">
      <c r="A666" s="63" t="s">
        <v>91</v>
      </c>
      <c r="B666" s="63" t="s">
        <v>73</v>
      </c>
      <c r="C666" s="63" t="s">
        <v>91</v>
      </c>
      <c r="D666" s="30" t="s">
        <v>35</v>
      </c>
      <c r="E666" s="62" t="str">
        <f t="shared" si="10"/>
        <v>Seltas QueenBlast</v>
      </c>
      <c r="F666">
        <v>50</v>
      </c>
      <c r="G666">
        <v>65</v>
      </c>
      <c r="H666">
        <v>80</v>
      </c>
      <c r="I666">
        <v>95</v>
      </c>
      <c r="K666" s="6"/>
      <c r="P666" s="6">
        <v>40</v>
      </c>
      <c r="Q666">
        <v>80</v>
      </c>
      <c r="R666" s="6">
        <v>120</v>
      </c>
      <c r="S666">
        <v>160</v>
      </c>
      <c r="U666" s="6"/>
      <c r="Z666" s="6">
        <v>40</v>
      </c>
      <c r="AA666">
        <v>82</v>
      </c>
      <c r="AB666" s="6">
        <v>124</v>
      </c>
      <c r="AC666">
        <v>166</v>
      </c>
      <c r="AE666" s="6"/>
      <c r="AG666" s="6"/>
      <c r="AJ666" s="6">
        <v>40</v>
      </c>
      <c r="AK666">
        <v>94</v>
      </c>
      <c r="AL666">
        <v>148</v>
      </c>
      <c r="AM666">
        <v>202</v>
      </c>
      <c r="AO666" s="6"/>
      <c r="AS666"/>
      <c r="AT666" t="s">
        <v>214</v>
      </c>
      <c r="AU666" t="s">
        <v>214</v>
      </c>
    </row>
    <row r="667" spans="1:47" x14ac:dyDescent="0.25">
      <c r="A667" s="63" t="s">
        <v>91</v>
      </c>
      <c r="B667" s="63" t="s">
        <v>73</v>
      </c>
      <c r="C667" s="63" t="s">
        <v>91</v>
      </c>
      <c r="D667" s="34" t="s">
        <v>14</v>
      </c>
      <c r="E667" s="62" t="str">
        <f t="shared" si="10"/>
        <v>Seltas QueenKO</v>
      </c>
      <c r="F667">
        <v>156</v>
      </c>
      <c r="G667">
        <v>260</v>
      </c>
      <c r="H667">
        <v>364</v>
      </c>
      <c r="I667">
        <v>468</v>
      </c>
      <c r="J667" s="29"/>
      <c r="K667" s="6"/>
      <c r="P667" s="6">
        <v>280</v>
      </c>
      <c r="Q667">
        <v>490</v>
      </c>
      <c r="R667">
        <v>700</v>
      </c>
      <c r="S667">
        <v>910</v>
      </c>
      <c r="U667" s="6"/>
      <c r="Z667" s="6">
        <v>300</v>
      </c>
      <c r="AA667">
        <v>525</v>
      </c>
      <c r="AB667">
        <v>750</v>
      </c>
      <c r="AC667">
        <v>975</v>
      </c>
      <c r="AE667" s="6"/>
      <c r="AJ667" s="6">
        <v>400</v>
      </c>
      <c r="AK667">
        <v>700</v>
      </c>
      <c r="AL667">
        <v>1000</v>
      </c>
      <c r="AM667">
        <v>1300</v>
      </c>
      <c r="AO667" s="6"/>
      <c r="AS667">
        <v>7</v>
      </c>
      <c r="AT667" t="s">
        <v>214</v>
      </c>
      <c r="AU667" t="s">
        <v>214</v>
      </c>
    </row>
    <row r="668" spans="1:47" x14ac:dyDescent="0.25">
      <c r="A668" s="63" t="s">
        <v>91</v>
      </c>
      <c r="B668" s="63" t="s">
        <v>73</v>
      </c>
      <c r="C668" s="63" t="s">
        <v>91</v>
      </c>
      <c r="D668" s="33" t="s">
        <v>34</v>
      </c>
      <c r="E668" s="62" t="str">
        <f t="shared" si="10"/>
        <v>Seltas QueenMount</v>
      </c>
      <c r="F668">
        <v>80</v>
      </c>
      <c r="G668">
        <v>240</v>
      </c>
      <c r="H668">
        <v>400</v>
      </c>
      <c r="I668">
        <v>560</v>
      </c>
      <c r="K668" s="6"/>
      <c r="P668" s="6">
        <v>90</v>
      </c>
      <c r="Q668">
        <v>270</v>
      </c>
      <c r="R668" s="6">
        <v>450</v>
      </c>
      <c r="S668">
        <v>630</v>
      </c>
      <c r="U668" s="6"/>
      <c r="Z668" s="6">
        <v>90</v>
      </c>
      <c r="AA668">
        <v>270</v>
      </c>
      <c r="AB668">
        <v>450</v>
      </c>
      <c r="AC668">
        <v>630</v>
      </c>
      <c r="AE668" s="6"/>
      <c r="AJ668" s="6">
        <v>100</v>
      </c>
      <c r="AK668">
        <v>300</v>
      </c>
      <c r="AL668">
        <v>500</v>
      </c>
      <c r="AM668">
        <v>700</v>
      </c>
      <c r="AO668" s="6"/>
      <c r="AS668"/>
      <c r="AT668" t="s">
        <v>214</v>
      </c>
      <c r="AU668" t="s">
        <v>214</v>
      </c>
    </row>
    <row r="669" spans="1:47" x14ac:dyDescent="0.25">
      <c r="A669" s="63" t="s">
        <v>91</v>
      </c>
      <c r="B669" s="63" t="s">
        <v>73</v>
      </c>
      <c r="C669" s="63" t="s">
        <v>91</v>
      </c>
      <c r="D669" s="77" t="s">
        <v>207</v>
      </c>
      <c r="E669" s="62" t="str">
        <f t="shared" si="10"/>
        <v>Seltas QueenShock Trap</v>
      </c>
      <c r="K669" s="6"/>
      <c r="P669" s="6"/>
      <c r="U669" s="6"/>
      <c r="AE669" s="6"/>
      <c r="AJ669" s="6"/>
      <c r="AO669" s="6"/>
      <c r="AS669">
        <v>8</v>
      </c>
      <c r="AT669">
        <v>15</v>
      </c>
      <c r="AU669">
        <v>8</v>
      </c>
    </row>
    <row r="670" spans="1:47" s="56" customFormat="1" x14ac:dyDescent="0.25">
      <c r="A670" s="63" t="s">
        <v>91</v>
      </c>
      <c r="B670" s="63" t="s">
        <v>73</v>
      </c>
      <c r="C670" s="63" t="s">
        <v>91</v>
      </c>
      <c r="D670" s="79" t="s">
        <v>213</v>
      </c>
      <c r="E670" s="62" t="str">
        <f t="shared" si="10"/>
        <v>Seltas QueenPitfall Trap</v>
      </c>
      <c r="K670" s="7"/>
      <c r="P670" s="7"/>
      <c r="U670" s="7"/>
      <c r="Z670" s="7"/>
      <c r="AE670" s="7"/>
      <c r="AJ670" s="7"/>
      <c r="AO670" s="7"/>
      <c r="AS670" s="56">
        <v>15</v>
      </c>
      <c r="AT670" s="56">
        <v>30</v>
      </c>
      <c r="AU670" s="56">
        <v>15</v>
      </c>
    </row>
    <row r="671" spans="1:47" s="36" customFormat="1" x14ac:dyDescent="0.25">
      <c r="A671" s="63" t="s">
        <v>91</v>
      </c>
      <c r="B671" s="63" t="s">
        <v>74</v>
      </c>
      <c r="C671" s="63" t="s">
        <v>91</v>
      </c>
      <c r="D671" s="37" t="s">
        <v>0</v>
      </c>
      <c r="E671" s="62" t="str">
        <f t="shared" si="10"/>
        <v>SeregiosPara</v>
      </c>
      <c r="F671" s="36">
        <v>180</v>
      </c>
      <c r="G671" s="36">
        <v>345</v>
      </c>
      <c r="H671" s="36">
        <v>510</v>
      </c>
      <c r="I671" s="36">
        <v>675</v>
      </c>
      <c r="J671" s="61"/>
      <c r="K671" s="50"/>
      <c r="P671" s="6">
        <v>180</v>
      </c>
      <c r="Q671" s="46">
        <v>400</v>
      </c>
      <c r="R671" s="46">
        <v>620</v>
      </c>
      <c r="S671" s="46">
        <v>840</v>
      </c>
      <c r="U671" s="50">
        <v>180</v>
      </c>
      <c r="V671" s="36">
        <v>323</v>
      </c>
      <c r="W671" s="36">
        <v>466</v>
      </c>
      <c r="X671" s="36">
        <v>608</v>
      </c>
      <c r="Z671" s="6">
        <v>180</v>
      </c>
      <c r="AA671" s="46">
        <v>422</v>
      </c>
      <c r="AB671" s="46">
        <v>664</v>
      </c>
      <c r="AC671" s="46">
        <v>906</v>
      </c>
      <c r="AE671" s="50"/>
      <c r="AJ671" s="6"/>
      <c r="AK671" s="46"/>
      <c r="AL671" s="46"/>
      <c r="AM671" s="46"/>
      <c r="AO671" s="50"/>
      <c r="AS671" s="36">
        <v>10</v>
      </c>
      <c r="AT671" s="36" t="s">
        <v>214</v>
      </c>
      <c r="AU671" s="36" t="s">
        <v>214</v>
      </c>
    </row>
    <row r="672" spans="1:47" x14ac:dyDescent="0.25">
      <c r="A672" s="63" t="s">
        <v>91</v>
      </c>
      <c r="B672" s="63" t="s">
        <v>74</v>
      </c>
      <c r="C672" s="63" t="s">
        <v>91</v>
      </c>
      <c r="D672" s="31" t="s">
        <v>32</v>
      </c>
      <c r="E672" s="62" t="str">
        <f t="shared" si="10"/>
        <v>SeregiosSleep</v>
      </c>
      <c r="F672">
        <v>180</v>
      </c>
      <c r="G672">
        <v>330</v>
      </c>
      <c r="H672">
        <v>480</v>
      </c>
      <c r="I672">
        <v>630</v>
      </c>
      <c r="K672" s="6"/>
      <c r="P672" s="6">
        <v>180</v>
      </c>
      <c r="Q672">
        <v>380</v>
      </c>
      <c r="R672">
        <v>580</v>
      </c>
      <c r="S672">
        <v>780</v>
      </c>
      <c r="U672" s="6">
        <v>180</v>
      </c>
      <c r="V672">
        <v>310</v>
      </c>
      <c r="W672">
        <v>440</v>
      </c>
      <c r="X672">
        <v>570</v>
      </c>
      <c r="Z672" s="6">
        <v>180</v>
      </c>
      <c r="AA672">
        <v>400</v>
      </c>
      <c r="AB672">
        <v>620</v>
      </c>
      <c r="AC672">
        <v>840</v>
      </c>
      <c r="AE672" s="6"/>
      <c r="AJ672" s="6"/>
      <c r="AO672" s="6"/>
      <c r="AS672">
        <v>40</v>
      </c>
      <c r="AT672" t="s">
        <v>214</v>
      </c>
      <c r="AU672" t="s">
        <v>214</v>
      </c>
    </row>
    <row r="673" spans="1:47" x14ac:dyDescent="0.25">
      <c r="A673" s="63" t="s">
        <v>91</v>
      </c>
      <c r="B673" s="63" t="s">
        <v>74</v>
      </c>
      <c r="C673" s="63" t="s">
        <v>91</v>
      </c>
      <c r="D673" s="32" t="s">
        <v>33</v>
      </c>
      <c r="E673" s="62" t="str">
        <f t="shared" si="10"/>
        <v>SeregiosPoison</v>
      </c>
      <c r="F673">
        <v>180</v>
      </c>
      <c r="G673">
        <v>330</v>
      </c>
      <c r="H673">
        <v>480</v>
      </c>
      <c r="I673">
        <v>630</v>
      </c>
      <c r="J673" s="29"/>
      <c r="K673" s="6"/>
      <c r="P673" s="6">
        <v>180</v>
      </c>
      <c r="Q673">
        <v>380</v>
      </c>
      <c r="R673">
        <v>580</v>
      </c>
      <c r="S673">
        <v>780</v>
      </c>
      <c r="U673" s="6">
        <v>180</v>
      </c>
      <c r="V673">
        <v>310</v>
      </c>
      <c r="W673">
        <v>440</v>
      </c>
      <c r="X673">
        <v>570</v>
      </c>
      <c r="Z673" s="6">
        <v>180</v>
      </c>
      <c r="AA673">
        <v>400</v>
      </c>
      <c r="AB673">
        <v>620</v>
      </c>
      <c r="AC673">
        <v>840</v>
      </c>
      <c r="AE673" s="6"/>
      <c r="AJ673" s="6"/>
      <c r="AO673" s="6"/>
      <c r="AS673">
        <v>60</v>
      </c>
      <c r="AT673" t="s">
        <v>214</v>
      </c>
      <c r="AU673" t="s">
        <v>214</v>
      </c>
    </row>
    <row r="674" spans="1:47" x14ac:dyDescent="0.25">
      <c r="A674" s="63" t="s">
        <v>91</v>
      </c>
      <c r="B674" s="63" t="s">
        <v>74</v>
      </c>
      <c r="C674" s="63" t="s">
        <v>91</v>
      </c>
      <c r="D674" s="10" t="s">
        <v>22</v>
      </c>
      <c r="E674" s="62" t="str">
        <f t="shared" si="10"/>
        <v>SeregiosExhaust</v>
      </c>
      <c r="F674">
        <v>288</v>
      </c>
      <c r="G674">
        <v>408</v>
      </c>
      <c r="H674">
        <v>528</v>
      </c>
      <c r="I674">
        <v>648</v>
      </c>
      <c r="J674" s="29"/>
      <c r="K674" s="6"/>
      <c r="P674" s="6">
        <v>333</v>
      </c>
      <c r="Q674">
        <v>471</v>
      </c>
      <c r="R674">
        <v>609</v>
      </c>
      <c r="S674">
        <v>747</v>
      </c>
      <c r="U674" s="6">
        <v>288</v>
      </c>
      <c r="V674">
        <v>408</v>
      </c>
      <c r="W674">
        <v>528</v>
      </c>
      <c r="X674">
        <v>648</v>
      </c>
      <c r="Z674" s="6">
        <v>360</v>
      </c>
      <c r="AA674">
        <v>510</v>
      </c>
      <c r="AB674">
        <v>660</v>
      </c>
      <c r="AC674">
        <v>810</v>
      </c>
      <c r="AE674" s="6"/>
      <c r="AJ674" s="6"/>
      <c r="AO674" s="6"/>
      <c r="AS674"/>
      <c r="AT674" t="s">
        <v>214</v>
      </c>
      <c r="AU674" t="s">
        <v>214</v>
      </c>
    </row>
    <row r="675" spans="1:47" x14ac:dyDescent="0.25">
      <c r="A675" s="63" t="s">
        <v>91</v>
      </c>
      <c r="B675" s="63" t="s">
        <v>74</v>
      </c>
      <c r="C675" s="63" t="s">
        <v>91</v>
      </c>
      <c r="D675" s="30" t="s">
        <v>35</v>
      </c>
      <c r="E675" s="62" t="str">
        <f t="shared" si="10"/>
        <v>SeregiosBlast</v>
      </c>
      <c r="F675">
        <v>70</v>
      </c>
      <c r="G675">
        <v>115</v>
      </c>
      <c r="H675">
        <v>160</v>
      </c>
      <c r="I675">
        <v>205</v>
      </c>
      <c r="K675" s="6"/>
      <c r="P675" s="6">
        <v>70</v>
      </c>
      <c r="Q675">
        <v>130</v>
      </c>
      <c r="R675" s="6">
        <v>190</v>
      </c>
      <c r="S675">
        <v>250</v>
      </c>
      <c r="U675" s="6">
        <v>70</v>
      </c>
      <c r="V675">
        <v>109</v>
      </c>
      <c r="W675">
        <v>148</v>
      </c>
      <c r="X675">
        <v>187</v>
      </c>
      <c r="Z675" s="6">
        <v>70</v>
      </c>
      <c r="AA675">
        <v>136</v>
      </c>
      <c r="AB675" s="6">
        <v>202</v>
      </c>
      <c r="AC675">
        <v>268</v>
      </c>
      <c r="AE675" s="6"/>
      <c r="AG675" s="6"/>
      <c r="AJ675" s="6"/>
      <c r="AO675" s="6"/>
      <c r="AS675"/>
      <c r="AT675" t="s">
        <v>214</v>
      </c>
      <c r="AU675" t="s">
        <v>214</v>
      </c>
    </row>
    <row r="676" spans="1:47" x14ac:dyDescent="0.25">
      <c r="A676" s="63" t="s">
        <v>91</v>
      </c>
      <c r="B676" s="63" t="s">
        <v>74</v>
      </c>
      <c r="C676" s="63" t="s">
        <v>91</v>
      </c>
      <c r="D676" s="34" t="s">
        <v>14</v>
      </c>
      <c r="E676" s="62" t="str">
        <f t="shared" si="10"/>
        <v>SeregiosKO</v>
      </c>
      <c r="F676">
        <v>195</v>
      </c>
      <c r="G676">
        <v>390</v>
      </c>
      <c r="H676">
        <v>585</v>
      </c>
      <c r="I676">
        <v>780</v>
      </c>
      <c r="J676" s="29"/>
      <c r="K676" s="6"/>
      <c r="P676" s="6">
        <v>210</v>
      </c>
      <c r="Q676">
        <v>420</v>
      </c>
      <c r="R676">
        <v>630</v>
      </c>
      <c r="S676">
        <v>840</v>
      </c>
      <c r="U676" s="6">
        <v>195</v>
      </c>
      <c r="V676">
        <v>390</v>
      </c>
      <c r="W676">
        <v>585</v>
      </c>
      <c r="X676">
        <v>780</v>
      </c>
      <c r="Z676" s="6">
        <v>225</v>
      </c>
      <c r="AA676">
        <v>450</v>
      </c>
      <c r="AB676">
        <v>675</v>
      </c>
      <c r="AC676">
        <v>900</v>
      </c>
      <c r="AE676" s="6"/>
      <c r="AJ676" s="6"/>
      <c r="AO676" s="6"/>
      <c r="AS676">
        <v>10</v>
      </c>
      <c r="AT676" t="s">
        <v>214</v>
      </c>
      <c r="AU676" t="s">
        <v>214</v>
      </c>
    </row>
    <row r="677" spans="1:47" x14ac:dyDescent="0.25">
      <c r="A677" s="63" t="s">
        <v>91</v>
      </c>
      <c r="B677" s="63" t="s">
        <v>74</v>
      </c>
      <c r="C677" s="63" t="s">
        <v>91</v>
      </c>
      <c r="D677" s="33" t="s">
        <v>34</v>
      </c>
      <c r="E677" s="62" t="str">
        <f t="shared" si="10"/>
        <v>SeregiosMount</v>
      </c>
      <c r="F677">
        <v>112</v>
      </c>
      <c r="G677">
        <v>272</v>
      </c>
      <c r="H677">
        <v>432</v>
      </c>
      <c r="I677">
        <v>592</v>
      </c>
      <c r="K677" s="6"/>
      <c r="P677" s="6">
        <v>126</v>
      </c>
      <c r="Q677">
        <v>306</v>
      </c>
      <c r="R677" s="6">
        <v>486</v>
      </c>
      <c r="S677">
        <v>666</v>
      </c>
      <c r="U677" s="6">
        <v>112</v>
      </c>
      <c r="V677">
        <v>272</v>
      </c>
      <c r="W677">
        <v>432</v>
      </c>
      <c r="X677">
        <v>592</v>
      </c>
      <c r="Z677" s="6">
        <v>126</v>
      </c>
      <c r="AA677">
        <v>306</v>
      </c>
      <c r="AB677">
        <v>486</v>
      </c>
      <c r="AC677">
        <v>666</v>
      </c>
      <c r="AE677" s="6"/>
      <c r="AJ677" s="6"/>
      <c r="AO677" s="6"/>
      <c r="AS677"/>
      <c r="AT677" t="s">
        <v>214</v>
      </c>
      <c r="AU677" t="s">
        <v>214</v>
      </c>
    </row>
    <row r="678" spans="1:47" x14ac:dyDescent="0.25">
      <c r="A678" s="63" t="s">
        <v>91</v>
      </c>
      <c r="B678" s="63" t="s">
        <v>74</v>
      </c>
      <c r="C678" s="63" t="s">
        <v>91</v>
      </c>
      <c r="D678" s="77" t="s">
        <v>207</v>
      </c>
      <c r="E678" s="62" t="str">
        <f t="shared" si="10"/>
        <v>SeregiosShock Trap</v>
      </c>
      <c r="K678" s="6"/>
      <c r="P678" s="6"/>
      <c r="U678" s="6"/>
      <c r="AE678" s="6"/>
      <c r="AJ678" s="6"/>
      <c r="AO678" s="6"/>
      <c r="AS678">
        <v>8</v>
      </c>
      <c r="AT678">
        <v>15</v>
      </c>
      <c r="AU678">
        <v>0</v>
      </c>
    </row>
    <row r="679" spans="1:47" s="56" customFormat="1" x14ac:dyDescent="0.25">
      <c r="A679" s="63" t="s">
        <v>91</v>
      </c>
      <c r="B679" s="63" t="s">
        <v>74</v>
      </c>
      <c r="C679" s="63" t="s">
        <v>91</v>
      </c>
      <c r="D679" s="79" t="s">
        <v>213</v>
      </c>
      <c r="E679" s="62" t="str">
        <f t="shared" si="10"/>
        <v>SeregiosPitfall Trap</v>
      </c>
      <c r="K679" s="7"/>
      <c r="P679" s="7"/>
      <c r="U679" s="7"/>
      <c r="Z679" s="7"/>
      <c r="AE679" s="7"/>
      <c r="AJ679" s="7"/>
      <c r="AO679" s="7"/>
      <c r="AS679" s="56">
        <v>12</v>
      </c>
      <c r="AT679" s="56">
        <v>25</v>
      </c>
      <c r="AU679" s="56">
        <v>12</v>
      </c>
    </row>
    <row r="680" spans="1:47" s="36" customFormat="1" x14ac:dyDescent="0.25">
      <c r="A680" s="63" t="s">
        <v>91</v>
      </c>
      <c r="B680" s="63" t="s">
        <v>123</v>
      </c>
      <c r="C680" s="63" t="s">
        <v>91</v>
      </c>
      <c r="D680" s="37" t="s">
        <v>0</v>
      </c>
      <c r="E680" s="62" t="str">
        <f t="shared" si="10"/>
        <v>Shogun CeanataurPara</v>
      </c>
      <c r="F680" s="36">
        <v>125</v>
      </c>
      <c r="G680" s="36">
        <v>245</v>
      </c>
      <c r="H680" s="36">
        <v>365</v>
      </c>
      <c r="I680" s="36">
        <v>485</v>
      </c>
      <c r="J680" s="61"/>
      <c r="K680" s="50">
        <v>125</v>
      </c>
      <c r="L680" s="36">
        <v>375</v>
      </c>
      <c r="M680" s="36">
        <v>500</v>
      </c>
      <c r="N680" s="36">
        <v>625</v>
      </c>
      <c r="P680" s="6">
        <v>125</v>
      </c>
      <c r="Q680" s="46">
        <v>305</v>
      </c>
      <c r="R680" s="46">
        <v>485</v>
      </c>
      <c r="S680" s="46">
        <v>665</v>
      </c>
      <c r="U680" s="50">
        <v>125</v>
      </c>
      <c r="V680" s="36">
        <v>255</v>
      </c>
      <c r="W680" s="36">
        <v>385</v>
      </c>
      <c r="X680" s="36">
        <v>515</v>
      </c>
      <c r="Z680" s="6">
        <v>125</v>
      </c>
      <c r="AA680" s="46">
        <v>325</v>
      </c>
      <c r="AB680" s="46">
        <v>525</v>
      </c>
      <c r="AC680" s="46">
        <v>725</v>
      </c>
      <c r="AE680" s="50"/>
      <c r="AJ680" s="6">
        <v>125</v>
      </c>
      <c r="AK680" s="46">
        <v>385</v>
      </c>
      <c r="AL680" s="46">
        <v>645</v>
      </c>
      <c r="AM680" s="46">
        <v>905</v>
      </c>
      <c r="AO680" s="50"/>
      <c r="AS680" s="36">
        <v>10</v>
      </c>
      <c r="AT680" s="36" t="s">
        <v>214</v>
      </c>
      <c r="AU680" s="36" t="s">
        <v>214</v>
      </c>
    </row>
    <row r="681" spans="1:47" x14ac:dyDescent="0.25">
      <c r="A681" s="63" t="s">
        <v>91</v>
      </c>
      <c r="B681" s="63" t="s">
        <v>123</v>
      </c>
      <c r="C681" s="63" t="s">
        <v>91</v>
      </c>
      <c r="D681" s="31" t="s">
        <v>32</v>
      </c>
      <c r="E681" s="62" t="str">
        <f t="shared" si="10"/>
        <v>Shogun CeanataurSleep</v>
      </c>
      <c r="F681">
        <v>150</v>
      </c>
      <c r="G681">
        <v>270</v>
      </c>
      <c r="H681">
        <v>390</v>
      </c>
      <c r="I681">
        <v>510</v>
      </c>
      <c r="K681" s="6">
        <v>150</v>
      </c>
      <c r="L681">
        <v>275</v>
      </c>
      <c r="M681">
        <v>400</v>
      </c>
      <c r="N681">
        <v>525</v>
      </c>
      <c r="P681" s="6">
        <v>150</v>
      </c>
      <c r="Q681">
        <v>330</v>
      </c>
      <c r="R681">
        <v>510</v>
      </c>
      <c r="S681">
        <v>690</v>
      </c>
      <c r="U681" s="6">
        <v>150</v>
      </c>
      <c r="V681">
        <v>280</v>
      </c>
      <c r="W681">
        <v>410</v>
      </c>
      <c r="X681">
        <v>540</v>
      </c>
      <c r="Z681" s="6">
        <v>150</v>
      </c>
      <c r="AA681">
        <v>350</v>
      </c>
      <c r="AB681">
        <v>550</v>
      </c>
      <c r="AC681">
        <v>750</v>
      </c>
      <c r="AE681" s="6"/>
      <c r="AJ681" s="6">
        <v>150</v>
      </c>
      <c r="AK681">
        <v>410</v>
      </c>
      <c r="AL681">
        <v>670</v>
      </c>
      <c r="AM681">
        <v>930</v>
      </c>
      <c r="AO681" s="6"/>
      <c r="AS681">
        <v>30</v>
      </c>
      <c r="AT681" t="s">
        <v>214</v>
      </c>
      <c r="AU681" t="s">
        <v>214</v>
      </c>
    </row>
    <row r="682" spans="1:47" x14ac:dyDescent="0.25">
      <c r="A682" s="63" t="s">
        <v>91</v>
      </c>
      <c r="B682" s="63" t="s">
        <v>123</v>
      </c>
      <c r="C682" s="63" t="s">
        <v>91</v>
      </c>
      <c r="D682" s="32" t="s">
        <v>33</v>
      </c>
      <c r="E682" s="62" t="str">
        <f t="shared" si="10"/>
        <v>Shogun CeanataurPoison</v>
      </c>
      <c r="F682">
        <v>200</v>
      </c>
      <c r="G682">
        <v>380</v>
      </c>
      <c r="H682">
        <v>560</v>
      </c>
      <c r="I682">
        <v>740</v>
      </c>
      <c r="J682" s="29"/>
      <c r="K682" s="6">
        <v>200</v>
      </c>
      <c r="L682">
        <v>293</v>
      </c>
      <c r="M682">
        <v>386</v>
      </c>
      <c r="N682">
        <v>479</v>
      </c>
      <c r="P682" s="6">
        <v>200</v>
      </c>
      <c r="Q682">
        <v>335</v>
      </c>
      <c r="R682">
        <v>470</v>
      </c>
      <c r="S682">
        <v>605</v>
      </c>
      <c r="U682" s="6">
        <v>150</v>
      </c>
      <c r="V682">
        <v>280</v>
      </c>
      <c r="W682">
        <v>410</v>
      </c>
      <c r="X682">
        <v>540</v>
      </c>
      <c r="Z682" s="6">
        <v>200</v>
      </c>
      <c r="AA682">
        <v>350</v>
      </c>
      <c r="AB682">
        <v>500</v>
      </c>
      <c r="AC682">
        <v>650</v>
      </c>
      <c r="AE682" s="6"/>
      <c r="AJ682" s="6">
        <v>200</v>
      </c>
      <c r="AK682">
        <v>395</v>
      </c>
      <c r="AL682">
        <v>590</v>
      </c>
      <c r="AM682">
        <v>785</v>
      </c>
      <c r="AO682" s="6"/>
      <c r="AS682">
        <v>60</v>
      </c>
      <c r="AT682" t="s">
        <v>214</v>
      </c>
      <c r="AU682" t="s">
        <v>214</v>
      </c>
    </row>
    <row r="683" spans="1:47" x14ac:dyDescent="0.25">
      <c r="A683" s="63" t="s">
        <v>91</v>
      </c>
      <c r="B683" s="63" t="s">
        <v>123</v>
      </c>
      <c r="C683" s="63" t="s">
        <v>91</v>
      </c>
      <c r="D683" s="10" t="s">
        <v>22</v>
      </c>
      <c r="E683" s="62" t="str">
        <f t="shared" si="10"/>
        <v>Shogun CeanataurExhaust</v>
      </c>
      <c r="F683">
        <v>270</v>
      </c>
      <c r="G683">
        <v>382</v>
      </c>
      <c r="H683">
        <v>495</v>
      </c>
      <c r="I683">
        <v>307</v>
      </c>
      <c r="J683" s="29"/>
      <c r="K683" s="6">
        <v>288</v>
      </c>
      <c r="L683">
        <v>408</v>
      </c>
      <c r="M683">
        <v>528</v>
      </c>
      <c r="N683">
        <v>648</v>
      </c>
      <c r="P683" s="6">
        <v>315</v>
      </c>
      <c r="Q683">
        <v>446</v>
      </c>
      <c r="R683">
        <v>577</v>
      </c>
      <c r="S683">
        <v>708</v>
      </c>
      <c r="U683" s="6">
        <v>288</v>
      </c>
      <c r="V683">
        <v>408</v>
      </c>
      <c r="W683">
        <v>528</v>
      </c>
      <c r="X683">
        <v>648</v>
      </c>
      <c r="Z683" s="6">
        <v>333</v>
      </c>
      <c r="AA683">
        <v>471</v>
      </c>
      <c r="AB683">
        <v>609</v>
      </c>
      <c r="AC683">
        <v>747</v>
      </c>
      <c r="AE683" s="6"/>
      <c r="AJ683" s="6">
        <v>450</v>
      </c>
      <c r="AK683">
        <v>637</v>
      </c>
      <c r="AL683">
        <v>824</v>
      </c>
      <c r="AM683">
        <v>1011</v>
      </c>
      <c r="AO683" s="6"/>
      <c r="AS683"/>
      <c r="AT683" t="s">
        <v>214</v>
      </c>
      <c r="AU683" t="s">
        <v>214</v>
      </c>
    </row>
    <row r="684" spans="1:47" x14ac:dyDescent="0.25">
      <c r="A684" s="63" t="s">
        <v>91</v>
      </c>
      <c r="B684" s="63" t="s">
        <v>123</v>
      </c>
      <c r="C684" s="63" t="s">
        <v>91</v>
      </c>
      <c r="D684" s="30" t="s">
        <v>35</v>
      </c>
      <c r="E684" s="62" t="str">
        <f t="shared" si="10"/>
        <v>Shogun CeanataurBlast</v>
      </c>
      <c r="F684">
        <v>70</v>
      </c>
      <c r="G684">
        <v>106</v>
      </c>
      <c r="H684">
        <v>142</v>
      </c>
      <c r="I684">
        <v>178</v>
      </c>
      <c r="K684" s="6">
        <v>70</v>
      </c>
      <c r="L684">
        <v>106</v>
      </c>
      <c r="M684">
        <v>142</v>
      </c>
      <c r="N684">
        <v>178</v>
      </c>
      <c r="P684" s="6">
        <v>70</v>
      </c>
      <c r="Q684">
        <v>124</v>
      </c>
      <c r="R684" s="6">
        <v>178</v>
      </c>
      <c r="S684">
        <v>232</v>
      </c>
      <c r="U684" s="6">
        <v>70</v>
      </c>
      <c r="V684">
        <v>109</v>
      </c>
      <c r="W684">
        <v>148</v>
      </c>
      <c r="X684">
        <v>187</v>
      </c>
      <c r="Z684" s="6">
        <v>70</v>
      </c>
      <c r="AA684">
        <v>130</v>
      </c>
      <c r="AB684" s="6">
        <v>190</v>
      </c>
      <c r="AC684">
        <v>250</v>
      </c>
      <c r="AE684" s="6"/>
      <c r="AG684" s="6"/>
      <c r="AJ684" s="6">
        <v>70</v>
      </c>
      <c r="AK684">
        <v>148</v>
      </c>
      <c r="AL684">
        <v>226</v>
      </c>
      <c r="AM684">
        <v>304</v>
      </c>
      <c r="AO684" s="6"/>
      <c r="AS684"/>
      <c r="AT684" t="s">
        <v>214</v>
      </c>
      <c r="AU684" t="s">
        <v>214</v>
      </c>
    </row>
    <row r="685" spans="1:47" x14ac:dyDescent="0.25">
      <c r="A685" s="63" t="s">
        <v>91</v>
      </c>
      <c r="B685" s="63" t="s">
        <v>123</v>
      </c>
      <c r="C685" s="63" t="s">
        <v>91</v>
      </c>
      <c r="D685" s="34" t="s">
        <v>14</v>
      </c>
      <c r="E685" s="62" t="str">
        <f t="shared" si="10"/>
        <v>Shogun CeanataurKO</v>
      </c>
      <c r="F685">
        <v>156</v>
      </c>
      <c r="G685">
        <v>253</v>
      </c>
      <c r="H685">
        <v>351</v>
      </c>
      <c r="I685">
        <v>448</v>
      </c>
      <c r="J685" s="29"/>
      <c r="K685" s="6">
        <v>156</v>
      </c>
      <c r="L685">
        <v>253</v>
      </c>
      <c r="M685">
        <v>351</v>
      </c>
      <c r="N685">
        <v>448</v>
      </c>
      <c r="P685" s="6">
        <v>156</v>
      </c>
      <c r="Q685">
        <v>253</v>
      </c>
      <c r="R685">
        <v>350</v>
      </c>
      <c r="S685">
        <v>447</v>
      </c>
      <c r="U685" s="6">
        <v>156</v>
      </c>
      <c r="V685">
        <v>253</v>
      </c>
      <c r="W685">
        <v>350</v>
      </c>
      <c r="X685">
        <v>447</v>
      </c>
      <c r="Z685" s="6">
        <v>168</v>
      </c>
      <c r="AA685">
        <v>273</v>
      </c>
      <c r="AB685">
        <v>378</v>
      </c>
      <c r="AC685">
        <v>483</v>
      </c>
      <c r="AE685" s="6"/>
      <c r="AJ685" s="6">
        <v>240</v>
      </c>
      <c r="AK685">
        <v>390</v>
      </c>
      <c r="AL685">
        <v>540</v>
      </c>
      <c r="AM685">
        <v>690</v>
      </c>
      <c r="AO685" s="6"/>
      <c r="AS685">
        <v>10</v>
      </c>
      <c r="AT685" t="s">
        <v>214</v>
      </c>
      <c r="AU685" t="s">
        <v>214</v>
      </c>
    </row>
    <row r="686" spans="1:47" x14ac:dyDescent="0.25">
      <c r="A686" s="63" t="s">
        <v>91</v>
      </c>
      <c r="B686" s="63" t="s">
        <v>123</v>
      </c>
      <c r="C686" s="63" t="s">
        <v>91</v>
      </c>
      <c r="D686" s="33" t="s">
        <v>34</v>
      </c>
      <c r="E686" s="62" t="str">
        <f t="shared" si="10"/>
        <v>Shogun CeanataurMount</v>
      </c>
      <c r="F686">
        <v>112</v>
      </c>
      <c r="G686">
        <v>200</v>
      </c>
      <c r="H686">
        <v>288</v>
      </c>
      <c r="I686">
        <v>376</v>
      </c>
      <c r="K686" s="6">
        <v>112</v>
      </c>
      <c r="L686">
        <v>200</v>
      </c>
      <c r="M686">
        <v>288</v>
      </c>
      <c r="N686">
        <v>376</v>
      </c>
      <c r="P686" s="6">
        <v>119</v>
      </c>
      <c r="Q686">
        <v>306</v>
      </c>
      <c r="R686" s="6">
        <v>493</v>
      </c>
      <c r="S686">
        <v>680</v>
      </c>
      <c r="U686" s="6">
        <v>112</v>
      </c>
      <c r="V686">
        <v>288</v>
      </c>
      <c r="W686">
        <v>464</v>
      </c>
      <c r="X686">
        <v>640</v>
      </c>
      <c r="Z686" s="6">
        <v>126</v>
      </c>
      <c r="AA686">
        <v>324</v>
      </c>
      <c r="AB686">
        <v>522</v>
      </c>
      <c r="AC686">
        <v>720</v>
      </c>
      <c r="AE686" s="6"/>
      <c r="AJ686" s="6">
        <v>140</v>
      </c>
      <c r="AK686">
        <v>360</v>
      </c>
      <c r="AL686">
        <v>580</v>
      </c>
      <c r="AM686">
        <v>800</v>
      </c>
      <c r="AO686" s="6"/>
      <c r="AS686"/>
      <c r="AT686" t="s">
        <v>214</v>
      </c>
      <c r="AU686" t="s">
        <v>214</v>
      </c>
    </row>
    <row r="687" spans="1:47" x14ac:dyDescent="0.25">
      <c r="A687" s="63" t="s">
        <v>91</v>
      </c>
      <c r="B687" s="63" t="s">
        <v>123</v>
      </c>
      <c r="C687" s="63" t="s">
        <v>91</v>
      </c>
      <c r="D687" s="77" t="s">
        <v>207</v>
      </c>
      <c r="E687" s="62" t="str">
        <f t="shared" si="10"/>
        <v>Shogun CeanataurShock Trap</v>
      </c>
      <c r="K687" s="6"/>
      <c r="P687" s="6"/>
      <c r="U687" s="6"/>
      <c r="AE687" s="6"/>
      <c r="AJ687" s="6"/>
      <c r="AO687" s="6"/>
      <c r="AS687">
        <v>10</v>
      </c>
      <c r="AT687">
        <v>15</v>
      </c>
      <c r="AU687">
        <v>12</v>
      </c>
    </row>
    <row r="688" spans="1:47" s="56" customFormat="1" x14ac:dyDescent="0.25">
      <c r="A688" s="63" t="s">
        <v>91</v>
      </c>
      <c r="B688" s="63" t="s">
        <v>123</v>
      </c>
      <c r="C688" s="63" t="s">
        <v>91</v>
      </c>
      <c r="D688" s="79" t="s">
        <v>213</v>
      </c>
      <c r="E688" s="62" t="str">
        <f t="shared" si="10"/>
        <v>Shogun CeanataurPitfall Trap</v>
      </c>
      <c r="K688" s="7"/>
      <c r="P688" s="7"/>
      <c r="U688" s="7"/>
      <c r="Z688" s="7"/>
      <c r="AE688" s="7"/>
      <c r="AJ688" s="7"/>
      <c r="AO688" s="7"/>
      <c r="AS688" s="56">
        <v>12</v>
      </c>
      <c r="AT688" s="56">
        <v>25</v>
      </c>
      <c r="AU688" s="56">
        <v>12</v>
      </c>
    </row>
    <row r="689" spans="1:47" s="36" customFormat="1" x14ac:dyDescent="0.25">
      <c r="A689" s="63" t="s">
        <v>171</v>
      </c>
      <c r="B689" s="63" t="s">
        <v>231</v>
      </c>
      <c r="C689" s="63" t="s">
        <v>171</v>
      </c>
      <c r="D689" s="37" t="s">
        <v>0</v>
      </c>
      <c r="E689" s="62" t="str">
        <f t="shared" si="10"/>
        <v>Silverwind NargacugaPara</v>
      </c>
      <c r="J689" s="61"/>
      <c r="K689" s="50"/>
      <c r="P689" s="6"/>
      <c r="Q689" s="46"/>
      <c r="R689" s="46"/>
      <c r="S689" s="46"/>
      <c r="U689" s="50"/>
      <c r="Z689" s="6"/>
      <c r="AA689" s="46"/>
      <c r="AB689" s="46"/>
      <c r="AC689" s="46"/>
      <c r="AE689" s="50"/>
      <c r="AJ689" s="6"/>
      <c r="AK689" s="46"/>
      <c r="AL689" s="46"/>
      <c r="AM689" s="46"/>
      <c r="AO689" s="50"/>
      <c r="AS689" s="36">
        <v>10</v>
      </c>
      <c r="AT689" s="36" t="s">
        <v>214</v>
      </c>
      <c r="AU689" s="36" t="s">
        <v>214</v>
      </c>
    </row>
    <row r="690" spans="1:47" x14ac:dyDescent="0.25">
      <c r="A690" s="63" t="s">
        <v>171</v>
      </c>
      <c r="B690" s="63" t="s">
        <v>231</v>
      </c>
      <c r="C690" s="63" t="s">
        <v>171</v>
      </c>
      <c r="D690" s="31" t="s">
        <v>32</v>
      </c>
      <c r="E690" s="62" t="str">
        <f t="shared" si="10"/>
        <v>Silverwind NargacugaSleep</v>
      </c>
      <c r="K690" s="6"/>
      <c r="P690" s="6"/>
      <c r="U690" s="6"/>
      <c r="AE690" s="6"/>
      <c r="AJ690" s="6"/>
      <c r="AO690" s="6"/>
      <c r="AS690">
        <v>20</v>
      </c>
      <c r="AT690" t="s">
        <v>214</v>
      </c>
      <c r="AU690" t="s">
        <v>214</v>
      </c>
    </row>
    <row r="691" spans="1:47" x14ac:dyDescent="0.25">
      <c r="A691" s="63" t="s">
        <v>171</v>
      </c>
      <c r="B691" s="63" t="s">
        <v>231</v>
      </c>
      <c r="C691" s="63" t="s">
        <v>171</v>
      </c>
      <c r="D691" s="32" t="s">
        <v>33</v>
      </c>
      <c r="E691" s="62" t="str">
        <f t="shared" si="10"/>
        <v>Silverwind NargacugaPoison</v>
      </c>
      <c r="J691" s="29"/>
      <c r="K691" s="6"/>
      <c r="P691" s="6"/>
      <c r="U691" s="6"/>
      <c r="AE691" s="6"/>
      <c r="AJ691" s="6"/>
      <c r="AO691" s="6"/>
      <c r="AS691">
        <v>60</v>
      </c>
      <c r="AT691" t="s">
        <v>214</v>
      </c>
      <c r="AU691" t="s">
        <v>214</v>
      </c>
    </row>
    <row r="692" spans="1:47" x14ac:dyDescent="0.25">
      <c r="A692" s="63" t="s">
        <v>171</v>
      </c>
      <c r="B692" s="63" t="s">
        <v>231</v>
      </c>
      <c r="C692" s="63" t="s">
        <v>171</v>
      </c>
      <c r="D692" s="10" t="s">
        <v>22</v>
      </c>
      <c r="E692" s="62" t="str">
        <f t="shared" si="10"/>
        <v>Silverwind NargacugaExhaust</v>
      </c>
      <c r="J692" s="29"/>
      <c r="K692" s="6"/>
      <c r="P692" s="6"/>
      <c r="U692" s="6"/>
      <c r="AE692" s="6"/>
      <c r="AJ692" s="6"/>
      <c r="AO692" s="6"/>
      <c r="AS692"/>
      <c r="AT692" t="s">
        <v>214</v>
      </c>
      <c r="AU692" t="s">
        <v>214</v>
      </c>
    </row>
    <row r="693" spans="1:47" x14ac:dyDescent="0.25">
      <c r="A693" s="63" t="s">
        <v>171</v>
      </c>
      <c r="B693" s="63" t="s">
        <v>231</v>
      </c>
      <c r="C693" s="63" t="s">
        <v>171</v>
      </c>
      <c r="D693" s="30" t="s">
        <v>35</v>
      </c>
      <c r="E693" s="62" t="str">
        <f t="shared" si="10"/>
        <v>Silverwind NargacugaBlast</v>
      </c>
      <c r="K693" s="6"/>
      <c r="P693" s="6"/>
      <c r="R693" s="6"/>
      <c r="U693" s="6"/>
      <c r="AB693" s="6"/>
      <c r="AE693" s="6"/>
      <c r="AG693" s="6"/>
      <c r="AJ693" s="6"/>
      <c r="AO693" s="6"/>
      <c r="AS693"/>
      <c r="AT693" t="s">
        <v>214</v>
      </c>
      <c r="AU693" t="s">
        <v>214</v>
      </c>
    </row>
    <row r="694" spans="1:47" x14ac:dyDescent="0.25">
      <c r="A694" s="63" t="s">
        <v>171</v>
      </c>
      <c r="B694" s="63" t="s">
        <v>231</v>
      </c>
      <c r="C694" s="63" t="s">
        <v>171</v>
      </c>
      <c r="D694" s="34" t="s">
        <v>14</v>
      </c>
      <c r="E694" s="62" t="str">
        <f t="shared" si="10"/>
        <v>Silverwind NargacugaKO</v>
      </c>
      <c r="J694" s="29"/>
      <c r="K694" s="6"/>
      <c r="P694" s="6"/>
      <c r="U694" s="6"/>
      <c r="AE694" s="6"/>
      <c r="AJ694" s="6"/>
      <c r="AO694" s="6"/>
      <c r="AS694">
        <v>10</v>
      </c>
      <c r="AT694" t="s">
        <v>214</v>
      </c>
      <c r="AU694" t="s">
        <v>214</v>
      </c>
    </row>
    <row r="695" spans="1:47" x14ac:dyDescent="0.25">
      <c r="A695" s="63" t="s">
        <v>171</v>
      </c>
      <c r="B695" s="63" t="s">
        <v>231</v>
      </c>
      <c r="C695" s="63" t="s">
        <v>171</v>
      </c>
      <c r="D695" s="33" t="s">
        <v>34</v>
      </c>
      <c r="E695" s="62" t="str">
        <f t="shared" si="10"/>
        <v>Silverwind NargacugaMount</v>
      </c>
      <c r="K695" s="6"/>
      <c r="P695" s="6"/>
      <c r="R695" s="6"/>
      <c r="U695" s="6"/>
      <c r="AE695" s="6"/>
      <c r="AJ695" s="6"/>
      <c r="AO695" s="6"/>
      <c r="AS695"/>
      <c r="AT695" t="s">
        <v>214</v>
      </c>
      <c r="AU695" t="s">
        <v>214</v>
      </c>
    </row>
    <row r="696" spans="1:47" x14ac:dyDescent="0.25">
      <c r="A696" s="63" t="s">
        <v>171</v>
      </c>
      <c r="B696" s="63" t="s">
        <v>231</v>
      </c>
      <c r="C696" s="63" t="s">
        <v>171</v>
      </c>
      <c r="D696" s="77" t="s">
        <v>207</v>
      </c>
      <c r="E696" s="62" t="str">
        <f t="shared" si="10"/>
        <v>Silverwind NargacugaShock Trap</v>
      </c>
      <c r="K696" s="6"/>
      <c r="P696" s="6"/>
      <c r="U696" s="6"/>
      <c r="AE696" s="6"/>
      <c r="AJ696" s="6"/>
      <c r="AO696" s="6"/>
      <c r="AS696">
        <v>8</v>
      </c>
      <c r="AT696">
        <v>15</v>
      </c>
      <c r="AU696">
        <v>8</v>
      </c>
    </row>
    <row r="697" spans="1:47" s="56" customFormat="1" x14ac:dyDescent="0.25">
      <c r="A697" s="63" t="s">
        <v>171</v>
      </c>
      <c r="B697" s="63" t="s">
        <v>231</v>
      </c>
      <c r="C697" s="63" t="s">
        <v>171</v>
      </c>
      <c r="D697" s="79" t="s">
        <v>213</v>
      </c>
      <c r="E697" s="62" t="str">
        <f t="shared" si="10"/>
        <v>Silverwind NargacugaPitfall Trap</v>
      </c>
      <c r="K697" s="7"/>
      <c r="P697" s="7"/>
      <c r="U697" s="7"/>
      <c r="Z697" s="7"/>
      <c r="AE697" s="7"/>
      <c r="AJ697" s="7"/>
      <c r="AO697" s="7"/>
      <c r="AS697" s="56">
        <v>20</v>
      </c>
      <c r="AT697" s="56">
        <v>25</v>
      </c>
      <c r="AU697" s="56">
        <v>20</v>
      </c>
    </row>
    <row r="698" spans="1:47" s="36" customFormat="1" x14ac:dyDescent="0.25">
      <c r="A698" s="63" t="s">
        <v>171</v>
      </c>
      <c r="B698" s="63" t="s">
        <v>228</v>
      </c>
      <c r="C698" s="63" t="s">
        <v>171</v>
      </c>
      <c r="D698" s="37" t="s">
        <v>0</v>
      </c>
      <c r="E698" s="62" t="str">
        <f t="shared" si="10"/>
        <v>Snowbaron LagombiPara</v>
      </c>
      <c r="J698" s="61"/>
      <c r="K698" s="50"/>
      <c r="P698" s="6"/>
      <c r="Q698" s="46"/>
      <c r="R698" s="46"/>
      <c r="S698" s="46"/>
      <c r="U698" s="50"/>
      <c r="Z698" s="6"/>
      <c r="AA698" s="46"/>
      <c r="AB698" s="46"/>
      <c r="AC698" s="46"/>
      <c r="AE698" s="50"/>
      <c r="AJ698" s="6"/>
      <c r="AK698" s="46"/>
      <c r="AL698" s="46"/>
      <c r="AM698" s="46"/>
      <c r="AO698" s="50"/>
      <c r="AS698" s="36">
        <v>10</v>
      </c>
      <c r="AT698" s="36" t="s">
        <v>214</v>
      </c>
      <c r="AU698" s="36" t="s">
        <v>214</v>
      </c>
    </row>
    <row r="699" spans="1:47" x14ac:dyDescent="0.25">
      <c r="A699" s="63" t="s">
        <v>171</v>
      </c>
      <c r="B699" s="63" t="s">
        <v>228</v>
      </c>
      <c r="C699" s="63" t="s">
        <v>171</v>
      </c>
      <c r="D699" s="31" t="s">
        <v>32</v>
      </c>
      <c r="E699" s="62" t="str">
        <f t="shared" si="10"/>
        <v>Snowbaron LagombiSleep</v>
      </c>
      <c r="K699" s="6"/>
      <c r="P699" s="6"/>
      <c r="U699" s="6"/>
      <c r="AE699" s="6"/>
      <c r="AJ699" s="6"/>
      <c r="AO699" s="6"/>
      <c r="AS699">
        <v>60</v>
      </c>
      <c r="AT699" t="s">
        <v>214</v>
      </c>
      <c r="AU699" t="s">
        <v>214</v>
      </c>
    </row>
    <row r="700" spans="1:47" x14ac:dyDescent="0.25">
      <c r="A700" s="63" t="s">
        <v>171</v>
      </c>
      <c r="B700" s="63" t="s">
        <v>228</v>
      </c>
      <c r="C700" s="63" t="s">
        <v>171</v>
      </c>
      <c r="D700" s="32" t="s">
        <v>33</v>
      </c>
      <c r="E700" s="62" t="str">
        <f t="shared" si="10"/>
        <v>Snowbaron LagombiPoison</v>
      </c>
      <c r="J700" s="29"/>
      <c r="K700" s="6"/>
      <c r="P700" s="6"/>
      <c r="U700" s="6"/>
      <c r="AE700" s="6"/>
      <c r="AJ700" s="6"/>
      <c r="AO700" s="6"/>
      <c r="AS700">
        <v>60</v>
      </c>
      <c r="AT700" t="s">
        <v>214</v>
      </c>
      <c r="AU700" t="s">
        <v>214</v>
      </c>
    </row>
    <row r="701" spans="1:47" x14ac:dyDescent="0.25">
      <c r="A701" s="63" t="s">
        <v>171</v>
      </c>
      <c r="B701" s="63" t="s">
        <v>228</v>
      </c>
      <c r="C701" s="63" t="s">
        <v>171</v>
      </c>
      <c r="D701" s="10" t="s">
        <v>22</v>
      </c>
      <c r="E701" s="62" t="str">
        <f t="shared" si="10"/>
        <v>Snowbaron LagombiExhaust</v>
      </c>
      <c r="J701" s="29"/>
      <c r="K701" s="6"/>
      <c r="P701" s="6"/>
      <c r="U701" s="6"/>
      <c r="AE701" s="6"/>
      <c r="AJ701" s="6"/>
      <c r="AO701" s="6"/>
      <c r="AS701"/>
      <c r="AT701" t="s">
        <v>214</v>
      </c>
      <c r="AU701" t="s">
        <v>214</v>
      </c>
    </row>
    <row r="702" spans="1:47" x14ac:dyDescent="0.25">
      <c r="A702" s="63" t="s">
        <v>171</v>
      </c>
      <c r="B702" s="63" t="s">
        <v>228</v>
      </c>
      <c r="C702" s="63" t="s">
        <v>171</v>
      </c>
      <c r="D702" s="30" t="s">
        <v>35</v>
      </c>
      <c r="E702" s="62" t="str">
        <f t="shared" si="10"/>
        <v>Snowbaron LagombiBlast</v>
      </c>
      <c r="K702" s="6"/>
      <c r="P702" s="6"/>
      <c r="R702" s="6"/>
      <c r="U702" s="6"/>
      <c r="AB702" s="6"/>
      <c r="AE702" s="6"/>
      <c r="AG702" s="6"/>
      <c r="AJ702" s="6"/>
      <c r="AO702" s="6"/>
      <c r="AS702"/>
      <c r="AT702" t="s">
        <v>214</v>
      </c>
      <c r="AU702" t="s">
        <v>214</v>
      </c>
    </row>
    <row r="703" spans="1:47" x14ac:dyDescent="0.25">
      <c r="A703" s="63" t="s">
        <v>171</v>
      </c>
      <c r="B703" s="63" t="s">
        <v>228</v>
      </c>
      <c r="C703" s="63" t="s">
        <v>171</v>
      </c>
      <c r="D703" s="34" t="s">
        <v>14</v>
      </c>
      <c r="E703" s="62" t="str">
        <f t="shared" si="10"/>
        <v>Snowbaron LagombiKO</v>
      </c>
      <c r="J703" s="29"/>
      <c r="K703" s="6"/>
      <c r="P703" s="6"/>
      <c r="U703" s="6"/>
      <c r="AE703" s="6"/>
      <c r="AJ703" s="6"/>
      <c r="AO703" s="6"/>
      <c r="AS703">
        <v>10</v>
      </c>
      <c r="AT703" t="s">
        <v>214</v>
      </c>
      <c r="AU703" t="s">
        <v>214</v>
      </c>
    </row>
    <row r="704" spans="1:47" x14ac:dyDescent="0.25">
      <c r="A704" s="63" t="s">
        <v>171</v>
      </c>
      <c r="B704" s="63" t="s">
        <v>228</v>
      </c>
      <c r="C704" s="63" t="s">
        <v>171</v>
      </c>
      <c r="D704" s="33" t="s">
        <v>34</v>
      </c>
      <c r="E704" s="62" t="str">
        <f t="shared" si="10"/>
        <v>Snowbaron LagombiMount</v>
      </c>
      <c r="K704" s="6"/>
      <c r="P704" s="6"/>
      <c r="R704" s="6"/>
      <c r="U704" s="6"/>
      <c r="AE704" s="6"/>
      <c r="AJ704" s="6"/>
      <c r="AO704" s="6"/>
      <c r="AS704"/>
      <c r="AT704" t="s">
        <v>214</v>
      </c>
      <c r="AU704" t="s">
        <v>214</v>
      </c>
    </row>
    <row r="705" spans="1:47" x14ac:dyDescent="0.25">
      <c r="A705" s="63" t="s">
        <v>171</v>
      </c>
      <c r="B705" s="63" t="s">
        <v>228</v>
      </c>
      <c r="C705" s="63" t="s">
        <v>171</v>
      </c>
      <c r="D705" s="77" t="s">
        <v>207</v>
      </c>
      <c r="E705" s="62" t="str">
        <f t="shared" si="10"/>
        <v>Snowbaron LagombiShock Trap</v>
      </c>
      <c r="K705" s="6"/>
      <c r="P705" s="6"/>
      <c r="U705" s="6"/>
      <c r="AE705" s="6"/>
      <c r="AJ705" s="6"/>
      <c r="AO705" s="6"/>
      <c r="AS705">
        <v>15</v>
      </c>
      <c r="AT705">
        <v>20</v>
      </c>
      <c r="AU705">
        <v>15</v>
      </c>
    </row>
    <row r="706" spans="1:47" s="56" customFormat="1" x14ac:dyDescent="0.25">
      <c r="A706" s="63" t="s">
        <v>171</v>
      </c>
      <c r="B706" s="63" t="s">
        <v>228</v>
      </c>
      <c r="C706" s="63" t="s">
        <v>171</v>
      </c>
      <c r="D706" s="79" t="s">
        <v>213</v>
      </c>
      <c r="E706" s="62" t="str">
        <f t="shared" si="10"/>
        <v>Snowbaron LagombiPitfall Trap</v>
      </c>
      <c r="K706" s="7"/>
      <c r="P706" s="7"/>
      <c r="U706" s="7"/>
      <c r="Z706" s="7"/>
      <c r="AE706" s="7"/>
      <c r="AJ706" s="7"/>
      <c r="AO706" s="7"/>
      <c r="AS706" s="56">
        <v>20</v>
      </c>
      <c r="AT706" s="56">
        <v>25</v>
      </c>
      <c r="AU706" s="56">
        <v>20</v>
      </c>
    </row>
    <row r="707" spans="1:47" s="36" customFormat="1" x14ac:dyDescent="0.25">
      <c r="A707" s="63" t="s">
        <v>171</v>
      </c>
      <c r="B707" s="63" t="s">
        <v>227</v>
      </c>
      <c r="C707" s="63" t="s">
        <v>171</v>
      </c>
      <c r="D707" s="37" t="s">
        <v>0</v>
      </c>
      <c r="E707" s="62" t="str">
        <f t="shared" si="10"/>
        <v>Soulseer MizutsunePara</v>
      </c>
      <c r="J707" s="61"/>
      <c r="K707" s="50"/>
      <c r="P707" s="6"/>
      <c r="Q707" s="46"/>
      <c r="R707" s="46"/>
      <c r="S707" s="46"/>
      <c r="U707" s="50"/>
      <c r="Z707" s="6"/>
      <c r="AA707" s="46"/>
      <c r="AB707" s="46"/>
      <c r="AC707" s="46"/>
      <c r="AE707" s="50"/>
      <c r="AJ707" s="6"/>
      <c r="AK707" s="46"/>
      <c r="AL707" s="46"/>
      <c r="AM707" s="46"/>
      <c r="AO707" s="50"/>
      <c r="AS707" s="36">
        <v>10</v>
      </c>
      <c r="AT707" s="36" t="s">
        <v>214</v>
      </c>
      <c r="AU707" s="36" t="s">
        <v>214</v>
      </c>
    </row>
    <row r="708" spans="1:47" x14ac:dyDescent="0.25">
      <c r="A708" s="63" t="s">
        <v>171</v>
      </c>
      <c r="B708" s="63" t="s">
        <v>227</v>
      </c>
      <c r="C708" s="63" t="s">
        <v>171</v>
      </c>
      <c r="D708" s="31" t="s">
        <v>32</v>
      </c>
      <c r="E708" s="62" t="str">
        <f t="shared" si="10"/>
        <v>Soulseer MizutsuneSleep</v>
      </c>
      <c r="K708" s="6"/>
      <c r="P708" s="6"/>
      <c r="U708" s="6"/>
      <c r="AE708" s="6"/>
      <c r="AJ708" s="6"/>
      <c r="AO708" s="6"/>
      <c r="AS708">
        <v>40</v>
      </c>
      <c r="AT708" t="s">
        <v>214</v>
      </c>
      <c r="AU708" t="s">
        <v>214</v>
      </c>
    </row>
    <row r="709" spans="1:47" x14ac:dyDescent="0.25">
      <c r="A709" s="63" t="s">
        <v>171</v>
      </c>
      <c r="B709" s="63" t="s">
        <v>227</v>
      </c>
      <c r="C709" s="63" t="s">
        <v>171</v>
      </c>
      <c r="D709" s="32" t="s">
        <v>33</v>
      </c>
      <c r="E709" s="62" t="str">
        <f t="shared" ref="E709:E772" si="11">B709&amp;D709</f>
        <v>Soulseer MizutsunePoison</v>
      </c>
      <c r="J709" s="29"/>
      <c r="K709" s="6"/>
      <c r="P709" s="6"/>
      <c r="U709" s="6"/>
      <c r="AE709" s="6"/>
      <c r="AJ709" s="6"/>
      <c r="AO709" s="6"/>
      <c r="AS709">
        <v>60</v>
      </c>
      <c r="AT709" t="s">
        <v>214</v>
      </c>
      <c r="AU709" t="s">
        <v>214</v>
      </c>
    </row>
    <row r="710" spans="1:47" x14ac:dyDescent="0.25">
      <c r="A710" s="63" t="s">
        <v>171</v>
      </c>
      <c r="B710" s="63" t="s">
        <v>227</v>
      </c>
      <c r="C710" s="63" t="s">
        <v>171</v>
      </c>
      <c r="D710" s="10" t="s">
        <v>22</v>
      </c>
      <c r="E710" s="62" t="str">
        <f t="shared" si="11"/>
        <v>Soulseer MizutsuneExhaust</v>
      </c>
      <c r="J710" s="29"/>
      <c r="K710" s="6"/>
      <c r="P710" s="6"/>
      <c r="U710" s="6"/>
      <c r="AE710" s="6"/>
      <c r="AJ710" s="6"/>
      <c r="AO710" s="6"/>
      <c r="AS710"/>
      <c r="AT710" t="s">
        <v>214</v>
      </c>
      <c r="AU710" t="s">
        <v>214</v>
      </c>
    </row>
    <row r="711" spans="1:47" x14ac:dyDescent="0.25">
      <c r="A711" s="63" t="s">
        <v>171</v>
      </c>
      <c r="B711" s="63" t="s">
        <v>227</v>
      </c>
      <c r="C711" s="63" t="s">
        <v>171</v>
      </c>
      <c r="D711" s="30" t="s">
        <v>35</v>
      </c>
      <c r="E711" s="62" t="str">
        <f t="shared" si="11"/>
        <v>Soulseer MizutsuneBlast</v>
      </c>
      <c r="K711" s="6"/>
      <c r="P711" s="6"/>
      <c r="R711" s="6"/>
      <c r="U711" s="6"/>
      <c r="AB711" s="6"/>
      <c r="AE711" s="6"/>
      <c r="AG711" s="6"/>
      <c r="AJ711" s="6"/>
      <c r="AO711" s="6"/>
      <c r="AS711"/>
      <c r="AT711" t="s">
        <v>214</v>
      </c>
      <c r="AU711" t="s">
        <v>214</v>
      </c>
    </row>
    <row r="712" spans="1:47" x14ac:dyDescent="0.25">
      <c r="A712" s="63" t="s">
        <v>171</v>
      </c>
      <c r="B712" s="63" t="s">
        <v>227</v>
      </c>
      <c r="C712" s="63" t="s">
        <v>171</v>
      </c>
      <c r="D712" s="34" t="s">
        <v>14</v>
      </c>
      <c r="E712" s="62" t="str">
        <f t="shared" si="11"/>
        <v>Soulseer MizutsuneKO</v>
      </c>
      <c r="J712" s="29"/>
      <c r="K712" s="6"/>
      <c r="P712" s="6"/>
      <c r="U712" s="6"/>
      <c r="AE712" s="6"/>
      <c r="AJ712" s="6"/>
      <c r="AO712" s="6"/>
      <c r="AS712">
        <v>10</v>
      </c>
      <c r="AT712" t="s">
        <v>214</v>
      </c>
      <c r="AU712" t="s">
        <v>214</v>
      </c>
    </row>
    <row r="713" spans="1:47" x14ac:dyDescent="0.25">
      <c r="A713" s="63" t="s">
        <v>171</v>
      </c>
      <c r="B713" s="63" t="s">
        <v>227</v>
      </c>
      <c r="C713" s="63" t="s">
        <v>171</v>
      </c>
      <c r="D713" s="33" t="s">
        <v>34</v>
      </c>
      <c r="E713" s="62" t="str">
        <f t="shared" si="11"/>
        <v>Soulseer MizutsuneMount</v>
      </c>
      <c r="K713" s="6"/>
      <c r="P713" s="6"/>
      <c r="R713" s="6"/>
      <c r="U713" s="6"/>
      <c r="AE713" s="6"/>
      <c r="AJ713" s="6"/>
      <c r="AO713" s="6"/>
      <c r="AS713"/>
      <c r="AT713" t="s">
        <v>214</v>
      </c>
      <c r="AU713" t="s">
        <v>214</v>
      </c>
    </row>
    <row r="714" spans="1:47" x14ac:dyDescent="0.25">
      <c r="A714" s="63" t="s">
        <v>171</v>
      </c>
      <c r="B714" s="63" t="s">
        <v>227</v>
      </c>
      <c r="C714" s="63" t="s">
        <v>171</v>
      </c>
      <c r="D714" s="77" t="s">
        <v>207</v>
      </c>
      <c r="E714" s="62" t="str">
        <f t="shared" si="11"/>
        <v>Soulseer MizutsuneShock Trap</v>
      </c>
      <c r="K714" s="6"/>
      <c r="P714" s="6"/>
      <c r="U714" s="6"/>
      <c r="AE714" s="6"/>
      <c r="AJ714" s="6"/>
      <c r="AO714" s="6"/>
      <c r="AS714"/>
    </row>
    <row r="715" spans="1:47" s="56" customFormat="1" x14ac:dyDescent="0.25">
      <c r="A715" s="63" t="s">
        <v>171</v>
      </c>
      <c r="B715" s="63" t="s">
        <v>227</v>
      </c>
      <c r="C715" s="63" t="s">
        <v>171</v>
      </c>
      <c r="D715" s="79" t="s">
        <v>213</v>
      </c>
      <c r="E715" s="62" t="str">
        <f t="shared" si="11"/>
        <v>Soulseer MizutsunePitfall Trap</v>
      </c>
      <c r="K715" s="7"/>
      <c r="P715" s="7"/>
      <c r="U715" s="7"/>
      <c r="Z715" s="7"/>
      <c r="AE715" s="7"/>
      <c r="AJ715" s="7"/>
      <c r="AO715" s="7"/>
    </row>
    <row r="716" spans="1:47" s="36" customFormat="1" x14ac:dyDescent="0.25">
      <c r="A716" s="63" t="s">
        <v>171</v>
      </c>
      <c r="B716" s="63" t="s">
        <v>229</v>
      </c>
      <c r="C716" s="63" t="s">
        <v>171</v>
      </c>
      <c r="D716" s="37" t="s">
        <v>0</v>
      </c>
      <c r="E716" s="62" t="str">
        <f t="shared" si="11"/>
        <v>Stonefist HermitaurPara</v>
      </c>
      <c r="J716" s="61"/>
      <c r="K716" s="50"/>
      <c r="P716" s="6"/>
      <c r="Q716" s="46"/>
      <c r="R716" s="46"/>
      <c r="S716" s="46"/>
      <c r="U716" s="50"/>
      <c r="Z716" s="6"/>
      <c r="AA716" s="46"/>
      <c r="AB716" s="46"/>
      <c r="AC716" s="46"/>
      <c r="AE716" s="50"/>
      <c r="AJ716" s="6"/>
      <c r="AK716" s="46"/>
      <c r="AL716" s="46"/>
      <c r="AM716" s="46"/>
      <c r="AO716" s="50"/>
      <c r="AS716" s="36">
        <v>10</v>
      </c>
      <c r="AT716" s="36" t="s">
        <v>214</v>
      </c>
      <c r="AU716" s="36" t="s">
        <v>214</v>
      </c>
    </row>
    <row r="717" spans="1:47" x14ac:dyDescent="0.25">
      <c r="A717" s="63" t="s">
        <v>171</v>
      </c>
      <c r="B717" s="63" t="s">
        <v>229</v>
      </c>
      <c r="C717" s="63" t="s">
        <v>171</v>
      </c>
      <c r="D717" s="31" t="s">
        <v>32</v>
      </c>
      <c r="E717" s="62" t="str">
        <f t="shared" si="11"/>
        <v>Stonefist HermitaurSleep</v>
      </c>
      <c r="K717" s="6"/>
      <c r="P717" s="6"/>
      <c r="U717" s="6"/>
      <c r="AE717" s="6"/>
      <c r="AJ717" s="6"/>
      <c r="AO717" s="6"/>
      <c r="AS717">
        <v>30</v>
      </c>
      <c r="AT717" t="s">
        <v>214</v>
      </c>
      <c r="AU717" t="s">
        <v>214</v>
      </c>
    </row>
    <row r="718" spans="1:47" x14ac:dyDescent="0.25">
      <c r="A718" s="63" t="s">
        <v>171</v>
      </c>
      <c r="B718" s="63" t="s">
        <v>229</v>
      </c>
      <c r="C718" s="63" t="s">
        <v>171</v>
      </c>
      <c r="D718" s="32" t="s">
        <v>33</v>
      </c>
      <c r="E718" s="62" t="str">
        <f t="shared" si="11"/>
        <v>Stonefist HermitaurPoison</v>
      </c>
      <c r="J718" s="29"/>
      <c r="K718" s="6"/>
      <c r="P718" s="6"/>
      <c r="U718" s="6"/>
      <c r="AE718" s="6"/>
      <c r="AJ718" s="6"/>
      <c r="AO718" s="6"/>
      <c r="AS718">
        <v>60</v>
      </c>
      <c r="AT718" t="s">
        <v>214</v>
      </c>
      <c r="AU718" t="s">
        <v>214</v>
      </c>
    </row>
    <row r="719" spans="1:47" x14ac:dyDescent="0.25">
      <c r="A719" s="63" t="s">
        <v>171</v>
      </c>
      <c r="B719" s="63" t="s">
        <v>229</v>
      </c>
      <c r="C719" s="63" t="s">
        <v>171</v>
      </c>
      <c r="D719" s="10" t="s">
        <v>22</v>
      </c>
      <c r="E719" s="62" t="str">
        <f t="shared" si="11"/>
        <v>Stonefist HermitaurExhaust</v>
      </c>
      <c r="J719" s="29"/>
      <c r="K719" s="6"/>
      <c r="P719" s="6"/>
      <c r="U719" s="6"/>
      <c r="AE719" s="6"/>
      <c r="AJ719" s="6"/>
      <c r="AO719" s="6"/>
      <c r="AS719"/>
      <c r="AT719" t="s">
        <v>214</v>
      </c>
      <c r="AU719" t="s">
        <v>214</v>
      </c>
    </row>
    <row r="720" spans="1:47" x14ac:dyDescent="0.25">
      <c r="A720" s="63" t="s">
        <v>171</v>
      </c>
      <c r="B720" s="63" t="s">
        <v>229</v>
      </c>
      <c r="C720" s="63" t="s">
        <v>171</v>
      </c>
      <c r="D720" s="30" t="s">
        <v>35</v>
      </c>
      <c r="E720" s="62" t="str">
        <f t="shared" si="11"/>
        <v>Stonefist HermitaurBlast</v>
      </c>
      <c r="K720" s="6"/>
      <c r="P720" s="6"/>
      <c r="R720" s="6"/>
      <c r="U720" s="6"/>
      <c r="AB720" s="6"/>
      <c r="AE720" s="6"/>
      <c r="AG720" s="6"/>
      <c r="AJ720" s="6"/>
      <c r="AO720" s="6"/>
      <c r="AS720"/>
      <c r="AT720" t="s">
        <v>214</v>
      </c>
      <c r="AU720" t="s">
        <v>214</v>
      </c>
    </row>
    <row r="721" spans="1:47" x14ac:dyDescent="0.25">
      <c r="A721" s="63" t="s">
        <v>171</v>
      </c>
      <c r="B721" s="63" t="s">
        <v>229</v>
      </c>
      <c r="C721" s="63" t="s">
        <v>171</v>
      </c>
      <c r="D721" s="34" t="s">
        <v>14</v>
      </c>
      <c r="E721" s="62" t="str">
        <f t="shared" si="11"/>
        <v>Stonefist HermitaurKO</v>
      </c>
      <c r="J721" s="29"/>
      <c r="K721" s="6"/>
      <c r="P721" s="6"/>
      <c r="U721" s="6"/>
      <c r="AE721" s="6"/>
      <c r="AJ721" s="6"/>
      <c r="AO721" s="6"/>
      <c r="AS721">
        <v>10</v>
      </c>
      <c r="AT721" t="s">
        <v>214</v>
      </c>
      <c r="AU721" t="s">
        <v>214</v>
      </c>
    </row>
    <row r="722" spans="1:47" x14ac:dyDescent="0.25">
      <c r="A722" s="63" t="s">
        <v>171</v>
      </c>
      <c r="B722" s="63" t="s">
        <v>229</v>
      </c>
      <c r="C722" s="63" t="s">
        <v>171</v>
      </c>
      <c r="D722" s="33" t="s">
        <v>34</v>
      </c>
      <c r="E722" s="62" t="str">
        <f t="shared" si="11"/>
        <v>Stonefist HermitaurMount</v>
      </c>
      <c r="K722" s="6"/>
      <c r="P722" s="6"/>
      <c r="R722" s="6"/>
      <c r="U722" s="6"/>
      <c r="AE722" s="6"/>
      <c r="AJ722" s="6"/>
      <c r="AO722" s="6"/>
      <c r="AS722"/>
      <c r="AT722" t="s">
        <v>214</v>
      </c>
      <c r="AU722" t="s">
        <v>214</v>
      </c>
    </row>
    <row r="723" spans="1:47" x14ac:dyDescent="0.25">
      <c r="A723" s="63" t="s">
        <v>171</v>
      </c>
      <c r="B723" s="63" t="s">
        <v>229</v>
      </c>
      <c r="C723" s="63" t="s">
        <v>171</v>
      </c>
      <c r="D723" s="77" t="s">
        <v>207</v>
      </c>
      <c r="E723" s="62" t="str">
        <f t="shared" si="11"/>
        <v>Stonefist HermitaurShock Trap</v>
      </c>
      <c r="K723" s="6"/>
      <c r="P723" s="6"/>
      <c r="U723" s="6"/>
      <c r="AE723" s="6"/>
      <c r="AJ723" s="6"/>
      <c r="AO723" s="6"/>
      <c r="AS723">
        <v>10</v>
      </c>
      <c r="AT723">
        <v>15</v>
      </c>
      <c r="AU723">
        <v>12</v>
      </c>
    </row>
    <row r="724" spans="1:47" s="56" customFormat="1" x14ac:dyDescent="0.25">
      <c r="A724" s="63" t="s">
        <v>171</v>
      </c>
      <c r="B724" s="63" t="s">
        <v>229</v>
      </c>
      <c r="C724" s="63" t="s">
        <v>171</v>
      </c>
      <c r="D724" s="79" t="s">
        <v>213</v>
      </c>
      <c r="E724" s="62" t="str">
        <f t="shared" si="11"/>
        <v>Stonefist HermitaurPitfall Trap</v>
      </c>
      <c r="K724" s="7"/>
      <c r="P724" s="7"/>
      <c r="U724" s="7"/>
      <c r="Z724" s="7"/>
      <c r="AE724" s="7"/>
      <c r="AJ724" s="7"/>
      <c r="AO724" s="7"/>
      <c r="AS724" s="56">
        <v>2</v>
      </c>
      <c r="AT724" s="56">
        <v>25</v>
      </c>
      <c r="AU724" s="56">
        <v>12</v>
      </c>
    </row>
    <row r="725" spans="1:47" s="36" customFormat="1" x14ac:dyDescent="0.25">
      <c r="A725" s="63" t="s">
        <v>91</v>
      </c>
      <c r="B725" s="63" t="s">
        <v>205</v>
      </c>
      <c r="C725" s="63" t="s">
        <v>91</v>
      </c>
      <c r="D725" s="37" t="s">
        <v>0</v>
      </c>
      <c r="E725" s="62" t="str">
        <f t="shared" si="11"/>
        <v>TeostraPara</v>
      </c>
      <c r="F725" s="36">
        <v>200</v>
      </c>
      <c r="G725" s="36">
        <v>580</v>
      </c>
      <c r="H725" s="36">
        <v>960</v>
      </c>
      <c r="I725" s="36">
        <v>1340</v>
      </c>
      <c r="J725" s="61"/>
      <c r="K725" s="50"/>
      <c r="P725" s="6"/>
      <c r="Q725" s="46"/>
      <c r="R725" s="46"/>
      <c r="S725" s="46"/>
      <c r="U725" s="50"/>
      <c r="Z725" s="6">
        <v>200</v>
      </c>
      <c r="AA725" s="46">
        <v>660</v>
      </c>
      <c r="AB725" s="46">
        <v>1120</v>
      </c>
      <c r="AC725" s="46">
        <v>1580</v>
      </c>
      <c r="AE725" s="50"/>
      <c r="AJ725" s="6"/>
      <c r="AK725" s="46"/>
      <c r="AL725" s="46"/>
      <c r="AM725" s="46"/>
      <c r="AO725" s="50"/>
      <c r="AS725" s="36">
        <v>10</v>
      </c>
      <c r="AT725" s="36" t="s">
        <v>214</v>
      </c>
      <c r="AU725" s="36" t="s">
        <v>214</v>
      </c>
    </row>
    <row r="726" spans="1:47" x14ac:dyDescent="0.25">
      <c r="A726" s="63" t="s">
        <v>91</v>
      </c>
      <c r="B726" s="63" t="s">
        <v>205</v>
      </c>
      <c r="C726" s="63" t="s">
        <v>91</v>
      </c>
      <c r="D726" s="31" t="s">
        <v>32</v>
      </c>
      <c r="E726" s="62" t="str">
        <f t="shared" si="11"/>
        <v>TeostraSleep</v>
      </c>
      <c r="F726">
        <v>200</v>
      </c>
      <c r="G726">
        <v>390</v>
      </c>
      <c r="H726">
        <v>580</v>
      </c>
      <c r="I726">
        <v>770</v>
      </c>
      <c r="K726" s="6"/>
      <c r="P726" s="6"/>
      <c r="U726" s="6"/>
      <c r="Z726" s="6">
        <v>200</v>
      </c>
      <c r="AA726">
        <v>430</v>
      </c>
      <c r="AB726">
        <v>660</v>
      </c>
      <c r="AC726">
        <v>890</v>
      </c>
      <c r="AE726" s="6"/>
      <c r="AJ726" s="6"/>
      <c r="AO726" s="6"/>
      <c r="AS726">
        <v>40</v>
      </c>
      <c r="AT726" t="s">
        <v>214</v>
      </c>
      <c r="AU726" t="s">
        <v>214</v>
      </c>
    </row>
    <row r="727" spans="1:47" x14ac:dyDescent="0.25">
      <c r="A727" s="63" t="s">
        <v>91</v>
      </c>
      <c r="B727" s="63" t="s">
        <v>205</v>
      </c>
      <c r="C727" s="63" t="s">
        <v>91</v>
      </c>
      <c r="D727" s="32" t="s">
        <v>33</v>
      </c>
      <c r="E727" s="62" t="str">
        <f t="shared" si="11"/>
        <v>TeostraPoison</v>
      </c>
      <c r="F727">
        <v>180</v>
      </c>
      <c r="G727">
        <v>370</v>
      </c>
      <c r="H727">
        <v>560</v>
      </c>
      <c r="I727">
        <v>750</v>
      </c>
      <c r="J727" s="29"/>
      <c r="K727" s="6"/>
      <c r="P727" s="6"/>
      <c r="U727" s="6"/>
      <c r="Z727" s="6">
        <v>180</v>
      </c>
      <c r="AA727">
        <v>410</v>
      </c>
      <c r="AB727">
        <v>640</v>
      </c>
      <c r="AC727">
        <v>870</v>
      </c>
      <c r="AE727" s="6"/>
      <c r="AJ727" s="6"/>
      <c r="AO727" s="6"/>
      <c r="AS727">
        <v>40</v>
      </c>
      <c r="AT727" t="s">
        <v>214</v>
      </c>
      <c r="AU727" t="s">
        <v>214</v>
      </c>
    </row>
    <row r="728" spans="1:47" x14ac:dyDescent="0.25">
      <c r="A728" s="63" t="s">
        <v>91</v>
      </c>
      <c r="B728" s="63" t="s">
        <v>205</v>
      </c>
      <c r="C728" s="63" t="s">
        <v>91</v>
      </c>
      <c r="D728" s="10" t="s">
        <v>22</v>
      </c>
      <c r="E728" s="62" t="str">
        <f t="shared" si="11"/>
        <v>TeostraExhaust</v>
      </c>
      <c r="F728">
        <v>0</v>
      </c>
      <c r="G728">
        <v>0</v>
      </c>
      <c r="H728">
        <v>0</v>
      </c>
      <c r="I728">
        <v>0</v>
      </c>
      <c r="J728" s="29"/>
      <c r="K728" s="6"/>
      <c r="P728" s="6"/>
      <c r="U728" s="6"/>
      <c r="Z728" s="6">
        <v>0</v>
      </c>
      <c r="AA728">
        <v>0</v>
      </c>
      <c r="AB728">
        <v>0</v>
      </c>
      <c r="AC728">
        <v>0</v>
      </c>
      <c r="AE728" s="6"/>
      <c r="AJ728" s="6"/>
      <c r="AO728" s="6"/>
      <c r="AS728"/>
      <c r="AT728" t="s">
        <v>214</v>
      </c>
      <c r="AU728" t="s">
        <v>214</v>
      </c>
    </row>
    <row r="729" spans="1:47" x14ac:dyDescent="0.25">
      <c r="A729" s="63" t="s">
        <v>91</v>
      </c>
      <c r="B729" s="63" t="s">
        <v>205</v>
      </c>
      <c r="C729" s="63" t="s">
        <v>91</v>
      </c>
      <c r="D729" s="30" t="s">
        <v>35</v>
      </c>
      <c r="E729" s="62" t="str">
        <f t="shared" si="11"/>
        <v>TeostraBlast</v>
      </c>
      <c r="F729">
        <v>180</v>
      </c>
      <c r="G729">
        <v>370</v>
      </c>
      <c r="H729">
        <v>560</v>
      </c>
      <c r="I729">
        <v>750</v>
      </c>
      <c r="K729" s="6"/>
      <c r="P729" s="6"/>
      <c r="R729" s="6"/>
      <c r="U729" s="6"/>
      <c r="Z729" s="6">
        <v>180</v>
      </c>
      <c r="AA729">
        <v>410</v>
      </c>
      <c r="AB729" s="6">
        <v>640</v>
      </c>
      <c r="AC729">
        <v>870</v>
      </c>
      <c r="AE729" s="6"/>
      <c r="AG729" s="6"/>
      <c r="AJ729" s="6"/>
      <c r="AO729" s="6"/>
      <c r="AS729"/>
      <c r="AT729" t="s">
        <v>214</v>
      </c>
      <c r="AU729" t="s">
        <v>214</v>
      </c>
    </row>
    <row r="730" spans="1:47" x14ac:dyDescent="0.25">
      <c r="A730" s="63" t="s">
        <v>91</v>
      </c>
      <c r="B730" s="63" t="s">
        <v>205</v>
      </c>
      <c r="C730" s="63" t="s">
        <v>91</v>
      </c>
      <c r="D730" s="34" t="s">
        <v>14</v>
      </c>
      <c r="E730" s="62" t="str">
        <f t="shared" si="11"/>
        <v>TeostraKO</v>
      </c>
      <c r="F730">
        <v>210</v>
      </c>
      <c r="G730">
        <v>350</v>
      </c>
      <c r="H730">
        <v>490</v>
      </c>
      <c r="I730">
        <v>630</v>
      </c>
      <c r="J730" s="29"/>
      <c r="K730" s="6"/>
      <c r="P730" s="6"/>
      <c r="U730" s="6"/>
      <c r="Z730" s="6">
        <v>240</v>
      </c>
      <c r="AA730">
        <v>400</v>
      </c>
      <c r="AB730">
        <v>560</v>
      </c>
      <c r="AC730">
        <v>720</v>
      </c>
      <c r="AE730" s="6"/>
      <c r="AJ730" s="6"/>
      <c r="AO730" s="6"/>
      <c r="AS730">
        <v>10</v>
      </c>
      <c r="AT730" t="s">
        <v>214</v>
      </c>
      <c r="AU730" t="s">
        <v>214</v>
      </c>
    </row>
    <row r="731" spans="1:47" x14ac:dyDescent="0.25">
      <c r="A731" s="63" t="s">
        <v>91</v>
      </c>
      <c r="B731" s="63" t="s">
        <v>205</v>
      </c>
      <c r="C731" s="63" t="s">
        <v>91</v>
      </c>
      <c r="D731" s="33" t="s">
        <v>34</v>
      </c>
      <c r="E731" s="62" t="str">
        <f t="shared" si="11"/>
        <v>TeostraMount</v>
      </c>
      <c r="F731">
        <v>136</v>
      </c>
      <c r="G731">
        <v>323</v>
      </c>
      <c r="H731">
        <v>510</v>
      </c>
      <c r="I731">
        <v>697</v>
      </c>
      <c r="K731" s="6"/>
      <c r="P731" s="6"/>
      <c r="R731" s="6"/>
      <c r="U731" s="6"/>
      <c r="Z731" s="6">
        <v>160</v>
      </c>
      <c r="AA731">
        <v>380</v>
      </c>
      <c r="AB731">
        <v>600</v>
      </c>
      <c r="AC731">
        <v>820</v>
      </c>
      <c r="AE731" s="6"/>
      <c r="AJ731" s="6"/>
      <c r="AO731" s="6"/>
      <c r="AS731"/>
      <c r="AT731" t="s">
        <v>214</v>
      </c>
      <c r="AU731" t="s">
        <v>214</v>
      </c>
    </row>
    <row r="732" spans="1:47" x14ac:dyDescent="0.25">
      <c r="A732" s="63" t="s">
        <v>91</v>
      </c>
      <c r="B732" s="63" t="s">
        <v>205</v>
      </c>
      <c r="C732" s="63" t="s">
        <v>91</v>
      </c>
      <c r="D732" s="77" t="s">
        <v>207</v>
      </c>
      <c r="E732" s="62" t="str">
        <f t="shared" si="11"/>
        <v>TeostraShock Trap</v>
      </c>
      <c r="K732" s="6"/>
      <c r="P732" s="6"/>
      <c r="U732" s="6"/>
      <c r="AE732" s="6"/>
      <c r="AJ732" s="6"/>
      <c r="AO732" s="6"/>
      <c r="AS732">
        <v>0</v>
      </c>
      <c r="AT732">
        <v>0</v>
      </c>
      <c r="AU732">
        <v>0</v>
      </c>
    </row>
    <row r="733" spans="1:47" s="56" customFormat="1" x14ac:dyDescent="0.25">
      <c r="A733" s="63" t="s">
        <v>91</v>
      </c>
      <c r="B733" s="63" t="s">
        <v>205</v>
      </c>
      <c r="C733" s="63" t="s">
        <v>91</v>
      </c>
      <c r="D733" s="79" t="s">
        <v>213</v>
      </c>
      <c r="E733" s="62" t="str">
        <f t="shared" si="11"/>
        <v>TeostraPitfall Trap</v>
      </c>
      <c r="K733" s="7"/>
      <c r="P733" s="7"/>
      <c r="U733" s="7"/>
      <c r="Z733" s="7"/>
      <c r="AE733" s="7"/>
      <c r="AJ733" s="7"/>
      <c r="AO733" s="7"/>
      <c r="AS733" s="56">
        <v>0</v>
      </c>
      <c r="AT733" s="56">
        <v>0</v>
      </c>
      <c r="AU733" s="56">
        <v>0</v>
      </c>
    </row>
    <row r="734" spans="1:47" s="36" customFormat="1" x14ac:dyDescent="0.25">
      <c r="A734" s="63" t="s">
        <v>91</v>
      </c>
      <c r="B734" s="63" t="s">
        <v>75</v>
      </c>
      <c r="C734" s="63" t="s">
        <v>91</v>
      </c>
      <c r="D734" s="37" t="s">
        <v>0</v>
      </c>
      <c r="E734" s="62" t="str">
        <f t="shared" si="11"/>
        <v>TetsucabraPara</v>
      </c>
      <c r="F734" s="36">
        <v>200</v>
      </c>
      <c r="G734" s="36">
        <v>290</v>
      </c>
      <c r="H734" s="36">
        <v>380</v>
      </c>
      <c r="I734" s="36">
        <v>470</v>
      </c>
      <c r="J734" s="61"/>
      <c r="K734" s="50"/>
      <c r="P734" s="6">
        <v>200</v>
      </c>
      <c r="Q734" s="46">
        <v>335</v>
      </c>
      <c r="R734" s="46">
        <v>470</v>
      </c>
      <c r="S734" s="46">
        <v>605</v>
      </c>
      <c r="U734" s="50"/>
      <c r="Z734" s="6">
        <v>200</v>
      </c>
      <c r="AA734" s="46">
        <v>342</v>
      </c>
      <c r="AB734" s="46">
        <v>485</v>
      </c>
      <c r="AC734" s="46">
        <v>627</v>
      </c>
      <c r="AE734" s="50"/>
      <c r="AJ734" s="6">
        <v>200</v>
      </c>
      <c r="AK734" s="46">
        <v>372</v>
      </c>
      <c r="AL734" s="46">
        <v>544</v>
      </c>
      <c r="AM734" s="46">
        <v>716</v>
      </c>
      <c r="AO734" s="50"/>
      <c r="AS734" s="36">
        <v>10</v>
      </c>
      <c r="AT734" s="36" t="s">
        <v>214</v>
      </c>
      <c r="AU734" s="36" t="s">
        <v>214</v>
      </c>
    </row>
    <row r="735" spans="1:47" x14ac:dyDescent="0.25">
      <c r="A735" s="63" t="s">
        <v>91</v>
      </c>
      <c r="B735" s="63" t="s">
        <v>75</v>
      </c>
      <c r="C735" s="63" t="s">
        <v>91</v>
      </c>
      <c r="D735" s="31" t="s">
        <v>32</v>
      </c>
      <c r="E735" s="62" t="str">
        <f t="shared" si="11"/>
        <v>TetsucabraSleep</v>
      </c>
      <c r="F735">
        <v>150</v>
      </c>
      <c r="G735">
        <v>270</v>
      </c>
      <c r="H735">
        <v>390</v>
      </c>
      <c r="I735">
        <v>510</v>
      </c>
      <c r="K735" s="6"/>
      <c r="P735" s="6">
        <v>150</v>
      </c>
      <c r="Q735">
        <v>150</v>
      </c>
      <c r="R735">
        <v>150</v>
      </c>
      <c r="S735">
        <v>150</v>
      </c>
      <c r="U735" s="6"/>
      <c r="Z735" s="6">
        <v>150</v>
      </c>
      <c r="AA735">
        <v>340</v>
      </c>
      <c r="AB735">
        <v>530</v>
      </c>
      <c r="AC735">
        <v>720</v>
      </c>
      <c r="AE735" s="6"/>
      <c r="AJ735" s="6">
        <v>150</v>
      </c>
      <c r="AK735">
        <v>380</v>
      </c>
      <c r="AL735">
        <v>610</v>
      </c>
      <c r="AM735">
        <v>840</v>
      </c>
      <c r="AO735" s="6"/>
      <c r="AS735">
        <v>40</v>
      </c>
      <c r="AT735" t="s">
        <v>214</v>
      </c>
      <c r="AU735" t="s">
        <v>214</v>
      </c>
    </row>
    <row r="736" spans="1:47" x14ac:dyDescent="0.25">
      <c r="A736" s="63" t="s">
        <v>91</v>
      </c>
      <c r="B736" s="63" t="s">
        <v>75</v>
      </c>
      <c r="C736" s="63" t="s">
        <v>91</v>
      </c>
      <c r="D736" s="32" t="s">
        <v>33</v>
      </c>
      <c r="E736" s="62" t="str">
        <f t="shared" si="11"/>
        <v>TetsucabraPoison</v>
      </c>
      <c r="F736">
        <v>100</v>
      </c>
      <c r="G736">
        <v>220</v>
      </c>
      <c r="H736">
        <v>340</v>
      </c>
      <c r="I736">
        <v>460</v>
      </c>
      <c r="J736" s="29"/>
      <c r="K736" s="6"/>
      <c r="P736" s="6">
        <v>100</v>
      </c>
      <c r="Q736">
        <v>280</v>
      </c>
      <c r="R736">
        <v>460</v>
      </c>
      <c r="S736">
        <v>640</v>
      </c>
      <c r="U736" s="6"/>
      <c r="Z736" s="6">
        <v>100</v>
      </c>
      <c r="AA736">
        <v>290</v>
      </c>
      <c r="AB736">
        <v>480</v>
      </c>
      <c r="AC736">
        <v>670</v>
      </c>
      <c r="AE736" s="6"/>
      <c r="AJ736" s="6">
        <v>100</v>
      </c>
      <c r="AK736">
        <v>330</v>
      </c>
      <c r="AL736">
        <v>560</v>
      </c>
      <c r="AM736">
        <v>790</v>
      </c>
      <c r="AO736" s="6"/>
      <c r="AS736">
        <v>60</v>
      </c>
      <c r="AT736" t="s">
        <v>214</v>
      </c>
      <c r="AU736" t="s">
        <v>214</v>
      </c>
    </row>
    <row r="737" spans="1:47" x14ac:dyDescent="0.25">
      <c r="A737" s="63" t="s">
        <v>91</v>
      </c>
      <c r="B737" s="63" t="s">
        <v>75</v>
      </c>
      <c r="C737" s="63" t="s">
        <v>91</v>
      </c>
      <c r="D737" s="10" t="s">
        <v>22</v>
      </c>
      <c r="E737" s="62" t="str">
        <f t="shared" si="11"/>
        <v>TetsucabraExhaust</v>
      </c>
      <c r="F737">
        <v>270</v>
      </c>
      <c r="G737">
        <v>382</v>
      </c>
      <c r="H737">
        <v>494</v>
      </c>
      <c r="I737">
        <v>606</v>
      </c>
      <c r="J737" s="29"/>
      <c r="K737" s="6"/>
      <c r="P737" s="6">
        <v>315</v>
      </c>
      <c r="Q737">
        <v>446</v>
      </c>
      <c r="R737">
        <v>577</v>
      </c>
      <c r="S737">
        <v>708</v>
      </c>
      <c r="U737" s="6"/>
      <c r="Z737" s="6">
        <v>324</v>
      </c>
      <c r="AA737">
        <v>459</v>
      </c>
      <c r="AB737">
        <v>594</v>
      </c>
      <c r="AC737">
        <v>729</v>
      </c>
      <c r="AE737" s="6"/>
      <c r="AJ737" s="6">
        <v>396</v>
      </c>
      <c r="AK737">
        <v>561</v>
      </c>
      <c r="AL737">
        <v>726</v>
      </c>
      <c r="AM737">
        <v>891</v>
      </c>
      <c r="AO737" s="6"/>
      <c r="AS737"/>
      <c r="AT737" t="s">
        <v>214</v>
      </c>
      <c r="AU737" t="s">
        <v>214</v>
      </c>
    </row>
    <row r="738" spans="1:47" x14ac:dyDescent="0.25">
      <c r="A738" s="63" t="s">
        <v>91</v>
      </c>
      <c r="B738" s="63" t="s">
        <v>75</v>
      </c>
      <c r="C738" s="63" t="s">
        <v>91</v>
      </c>
      <c r="D738" s="30" t="s">
        <v>35</v>
      </c>
      <c r="E738" s="62" t="str">
        <f t="shared" si="11"/>
        <v>TetsucabraBlast</v>
      </c>
      <c r="F738">
        <v>55</v>
      </c>
      <c r="G738">
        <v>104</v>
      </c>
      <c r="H738">
        <v>153</v>
      </c>
      <c r="I738">
        <v>202</v>
      </c>
      <c r="K738" s="6"/>
      <c r="P738" s="6">
        <v>55</v>
      </c>
      <c r="Q738">
        <v>136</v>
      </c>
      <c r="R738" s="6">
        <v>217</v>
      </c>
      <c r="S738">
        <v>298</v>
      </c>
      <c r="U738" s="6"/>
      <c r="Z738" s="6">
        <v>55</v>
      </c>
      <c r="AA738">
        <v>140</v>
      </c>
      <c r="AB738" s="6">
        <v>225</v>
      </c>
      <c r="AC738">
        <v>310</v>
      </c>
      <c r="AE738" s="6"/>
      <c r="AG738" s="6"/>
      <c r="AJ738" s="6">
        <v>55</v>
      </c>
      <c r="AK738">
        <v>150</v>
      </c>
      <c r="AL738">
        <v>245</v>
      </c>
      <c r="AM738">
        <v>340</v>
      </c>
      <c r="AO738" s="6"/>
      <c r="AS738"/>
      <c r="AT738" t="s">
        <v>214</v>
      </c>
      <c r="AU738" t="s">
        <v>214</v>
      </c>
    </row>
    <row r="739" spans="1:47" x14ac:dyDescent="0.25">
      <c r="A739" s="63" t="s">
        <v>91</v>
      </c>
      <c r="B739" s="63" t="s">
        <v>75</v>
      </c>
      <c r="C739" s="63" t="s">
        <v>91</v>
      </c>
      <c r="D739" s="34" t="s">
        <v>14</v>
      </c>
      <c r="E739" s="62" t="str">
        <f t="shared" si="11"/>
        <v>TetsucabraKO</v>
      </c>
      <c r="F739">
        <v>260</v>
      </c>
      <c r="G739">
        <v>390</v>
      </c>
      <c r="H739">
        <v>520</v>
      </c>
      <c r="I739">
        <v>650</v>
      </c>
      <c r="J739" s="29"/>
      <c r="K739" s="6"/>
      <c r="P739" s="6">
        <v>260</v>
      </c>
      <c r="Q739">
        <v>390</v>
      </c>
      <c r="R739">
        <v>520</v>
      </c>
      <c r="S739">
        <v>650</v>
      </c>
      <c r="U739" s="6"/>
      <c r="Z739" s="6">
        <v>280</v>
      </c>
      <c r="AA739">
        <v>420</v>
      </c>
      <c r="AB739">
        <v>560</v>
      </c>
      <c r="AC739">
        <v>700</v>
      </c>
      <c r="AE739" s="6"/>
      <c r="AJ739" s="6">
        <v>320</v>
      </c>
      <c r="AK739">
        <v>464</v>
      </c>
      <c r="AL739">
        <v>608</v>
      </c>
      <c r="AM739">
        <v>752</v>
      </c>
      <c r="AO739" s="6"/>
      <c r="AS739">
        <v>10</v>
      </c>
      <c r="AT739" t="s">
        <v>214</v>
      </c>
      <c r="AU739" t="s">
        <v>214</v>
      </c>
    </row>
    <row r="740" spans="1:47" x14ac:dyDescent="0.25">
      <c r="A740" s="63" t="s">
        <v>91</v>
      </c>
      <c r="B740" s="63" t="s">
        <v>75</v>
      </c>
      <c r="C740" s="63" t="s">
        <v>91</v>
      </c>
      <c r="D740" s="33" t="s">
        <v>34</v>
      </c>
      <c r="E740" s="62" t="str">
        <f t="shared" si="11"/>
        <v>TetsucabraMount</v>
      </c>
      <c r="F740">
        <v>96</v>
      </c>
      <c r="G740">
        <v>256</v>
      </c>
      <c r="H740">
        <v>416</v>
      </c>
      <c r="I740">
        <v>576</v>
      </c>
      <c r="K740" s="6"/>
      <c r="P740" s="6">
        <v>102</v>
      </c>
      <c r="Q740">
        <v>272</v>
      </c>
      <c r="R740" s="6">
        <v>442</v>
      </c>
      <c r="S740">
        <v>612</v>
      </c>
      <c r="U740" s="6"/>
      <c r="Z740" s="6">
        <v>102</v>
      </c>
      <c r="AA740">
        <v>272</v>
      </c>
      <c r="AB740">
        <v>442</v>
      </c>
      <c r="AC740">
        <v>612</v>
      </c>
      <c r="AE740" s="6"/>
      <c r="AJ740" s="6">
        <v>120</v>
      </c>
      <c r="AK740">
        <v>320</v>
      </c>
      <c r="AL740">
        <v>520</v>
      </c>
      <c r="AM740">
        <v>720</v>
      </c>
      <c r="AO740" s="6"/>
      <c r="AS740"/>
      <c r="AT740" t="s">
        <v>214</v>
      </c>
      <c r="AU740" t="s">
        <v>214</v>
      </c>
    </row>
    <row r="741" spans="1:47" x14ac:dyDescent="0.25">
      <c r="A741" s="63" t="s">
        <v>91</v>
      </c>
      <c r="B741" s="63" t="s">
        <v>75</v>
      </c>
      <c r="C741" s="63" t="s">
        <v>91</v>
      </c>
      <c r="D741" s="77" t="s">
        <v>207</v>
      </c>
      <c r="E741" s="62" t="str">
        <f t="shared" si="11"/>
        <v>TetsucabraShock Trap</v>
      </c>
      <c r="K741" s="6"/>
      <c r="P741" s="6"/>
      <c r="U741" s="6"/>
      <c r="AE741" s="6"/>
      <c r="AJ741" s="6"/>
      <c r="AO741" s="6"/>
      <c r="AS741">
        <v>8</v>
      </c>
      <c r="AT741">
        <v>12</v>
      </c>
      <c r="AU741">
        <v>10</v>
      </c>
    </row>
    <row r="742" spans="1:47" s="56" customFormat="1" x14ac:dyDescent="0.25">
      <c r="A742" s="63" t="s">
        <v>91</v>
      </c>
      <c r="B742" s="63" t="s">
        <v>75</v>
      </c>
      <c r="C742" s="63" t="s">
        <v>91</v>
      </c>
      <c r="D742" s="79" t="s">
        <v>213</v>
      </c>
      <c r="E742" s="62" t="str">
        <f t="shared" si="11"/>
        <v>TetsucabraPitfall Trap</v>
      </c>
      <c r="K742" s="7"/>
      <c r="P742" s="7"/>
      <c r="U742" s="7"/>
      <c r="Z742" s="7"/>
      <c r="AE742" s="7"/>
      <c r="AJ742" s="7"/>
      <c r="AO742" s="7"/>
      <c r="AS742" s="56">
        <v>12</v>
      </c>
      <c r="AT742" s="56">
        <v>20</v>
      </c>
      <c r="AU742" s="56">
        <v>15</v>
      </c>
    </row>
    <row r="743" spans="1:47" s="36" customFormat="1" x14ac:dyDescent="0.25">
      <c r="A743" s="63" t="s">
        <v>171</v>
      </c>
      <c r="B743" s="63" t="s">
        <v>84</v>
      </c>
      <c r="C743" s="63" t="s">
        <v>171</v>
      </c>
      <c r="D743" s="37" t="s">
        <v>0</v>
      </c>
      <c r="E743" s="62" t="str">
        <f t="shared" si="11"/>
        <v>ThunderlordPara</v>
      </c>
      <c r="J743" s="61"/>
      <c r="K743" s="50"/>
      <c r="P743" s="6"/>
      <c r="Q743" s="46"/>
      <c r="R743" s="46"/>
      <c r="S743" s="46"/>
      <c r="U743" s="50"/>
      <c r="Z743" s="6"/>
      <c r="AA743" s="46"/>
      <c r="AB743" s="46"/>
      <c r="AC743" s="46"/>
      <c r="AE743" s="50"/>
      <c r="AJ743" s="6"/>
      <c r="AK743" s="46"/>
      <c r="AL743" s="46"/>
      <c r="AM743" s="46"/>
      <c r="AO743" s="50"/>
      <c r="AS743" s="36">
        <v>10</v>
      </c>
      <c r="AT743" s="36" t="s">
        <v>214</v>
      </c>
      <c r="AU743" s="36" t="s">
        <v>214</v>
      </c>
    </row>
    <row r="744" spans="1:47" x14ac:dyDescent="0.25">
      <c r="A744" s="63" t="s">
        <v>171</v>
      </c>
      <c r="B744" s="63" t="s">
        <v>84</v>
      </c>
      <c r="C744" s="63" t="s">
        <v>171</v>
      </c>
      <c r="D744" s="31" t="s">
        <v>32</v>
      </c>
      <c r="E744" s="62" t="str">
        <f t="shared" si="11"/>
        <v>ThunderlordSleep</v>
      </c>
      <c r="K744" s="6"/>
      <c r="P744" s="6"/>
      <c r="U744" s="6"/>
      <c r="AE744" s="6"/>
      <c r="AJ744" s="6"/>
      <c r="AO744" s="6"/>
      <c r="AS744">
        <v>40</v>
      </c>
      <c r="AT744" t="s">
        <v>214</v>
      </c>
      <c r="AU744" t="s">
        <v>214</v>
      </c>
    </row>
    <row r="745" spans="1:47" x14ac:dyDescent="0.25">
      <c r="A745" s="63" t="s">
        <v>171</v>
      </c>
      <c r="B745" s="63" t="s">
        <v>84</v>
      </c>
      <c r="C745" s="63" t="s">
        <v>171</v>
      </c>
      <c r="D745" s="32" t="s">
        <v>33</v>
      </c>
      <c r="E745" s="62" t="str">
        <f t="shared" si="11"/>
        <v>ThunderlordPoison</v>
      </c>
      <c r="J745" s="29"/>
      <c r="K745" s="6"/>
      <c r="P745" s="6"/>
      <c r="U745" s="6"/>
      <c r="AE745" s="6"/>
      <c r="AJ745" s="6"/>
      <c r="AO745" s="6"/>
      <c r="AS745">
        <v>40</v>
      </c>
      <c r="AT745" t="s">
        <v>214</v>
      </c>
      <c r="AU745" t="s">
        <v>214</v>
      </c>
    </row>
    <row r="746" spans="1:47" x14ac:dyDescent="0.25">
      <c r="A746" s="63" t="s">
        <v>171</v>
      </c>
      <c r="B746" s="63" t="s">
        <v>84</v>
      </c>
      <c r="C746" s="63" t="s">
        <v>171</v>
      </c>
      <c r="D746" s="10" t="s">
        <v>22</v>
      </c>
      <c r="E746" s="62" t="str">
        <f t="shared" si="11"/>
        <v>ThunderlordExhaust</v>
      </c>
      <c r="J746" s="29"/>
      <c r="K746" s="6"/>
      <c r="P746" s="6"/>
      <c r="U746" s="6"/>
      <c r="AE746" s="6"/>
      <c r="AJ746" s="6"/>
      <c r="AO746" s="6"/>
      <c r="AS746"/>
      <c r="AT746" t="s">
        <v>214</v>
      </c>
      <c r="AU746" t="s">
        <v>214</v>
      </c>
    </row>
    <row r="747" spans="1:47" x14ac:dyDescent="0.25">
      <c r="A747" s="63" t="s">
        <v>171</v>
      </c>
      <c r="B747" s="63" t="s">
        <v>84</v>
      </c>
      <c r="C747" s="63" t="s">
        <v>171</v>
      </c>
      <c r="D747" s="30" t="s">
        <v>35</v>
      </c>
      <c r="E747" s="62" t="str">
        <f t="shared" si="11"/>
        <v>ThunderlordBlast</v>
      </c>
      <c r="K747" s="6"/>
      <c r="P747" s="6"/>
      <c r="R747" s="6"/>
      <c r="U747" s="6"/>
      <c r="AB747" s="6"/>
      <c r="AE747" s="6"/>
      <c r="AG747" s="6"/>
      <c r="AJ747" s="6"/>
      <c r="AO747" s="6"/>
      <c r="AS747"/>
      <c r="AT747" t="s">
        <v>214</v>
      </c>
      <c r="AU747" t="s">
        <v>214</v>
      </c>
    </row>
    <row r="748" spans="1:47" x14ac:dyDescent="0.25">
      <c r="A748" s="63" t="s">
        <v>171</v>
      </c>
      <c r="B748" s="63" t="s">
        <v>84</v>
      </c>
      <c r="C748" s="63" t="s">
        <v>171</v>
      </c>
      <c r="D748" s="34" t="s">
        <v>14</v>
      </c>
      <c r="E748" s="62" t="str">
        <f t="shared" si="11"/>
        <v>ThunderlordKO</v>
      </c>
      <c r="J748" s="29"/>
      <c r="K748" s="6"/>
      <c r="P748" s="6"/>
      <c r="U748" s="6"/>
      <c r="AE748" s="6"/>
      <c r="AJ748" s="6"/>
      <c r="AO748" s="6"/>
      <c r="AS748">
        <v>10</v>
      </c>
      <c r="AT748" t="s">
        <v>214</v>
      </c>
      <c r="AU748" t="s">
        <v>214</v>
      </c>
    </row>
    <row r="749" spans="1:47" x14ac:dyDescent="0.25">
      <c r="A749" s="63" t="s">
        <v>171</v>
      </c>
      <c r="B749" s="63" t="s">
        <v>84</v>
      </c>
      <c r="C749" s="63" t="s">
        <v>171</v>
      </c>
      <c r="D749" s="33" t="s">
        <v>34</v>
      </c>
      <c r="E749" s="62" t="str">
        <f t="shared" si="11"/>
        <v>ThunderlordMount</v>
      </c>
      <c r="K749" s="6"/>
      <c r="P749" s="6"/>
      <c r="R749" s="6"/>
      <c r="U749" s="6"/>
      <c r="AE749" s="6"/>
      <c r="AJ749" s="6"/>
      <c r="AO749" s="6"/>
      <c r="AS749"/>
      <c r="AT749" t="s">
        <v>214</v>
      </c>
      <c r="AU749" t="s">
        <v>214</v>
      </c>
    </row>
    <row r="750" spans="1:47" x14ac:dyDescent="0.25">
      <c r="A750" s="63" t="s">
        <v>171</v>
      </c>
      <c r="B750" s="63" t="s">
        <v>84</v>
      </c>
      <c r="C750" s="63" t="s">
        <v>171</v>
      </c>
      <c r="D750" s="77" t="s">
        <v>207</v>
      </c>
      <c r="E750" s="62" t="str">
        <f t="shared" si="11"/>
        <v>ThunderlordShock Trap</v>
      </c>
      <c r="K750" s="6"/>
      <c r="P750" s="6"/>
      <c r="U750" s="6"/>
      <c r="AE750" s="6"/>
      <c r="AJ750" s="6"/>
      <c r="AO750" s="6"/>
      <c r="AS750">
        <v>8</v>
      </c>
      <c r="AT750">
        <v>15</v>
      </c>
      <c r="AU750">
        <v>12</v>
      </c>
    </row>
    <row r="751" spans="1:47" s="56" customFormat="1" x14ac:dyDescent="0.25">
      <c r="A751" s="63" t="s">
        <v>171</v>
      </c>
      <c r="B751" s="63" t="s">
        <v>84</v>
      </c>
      <c r="C751" s="63" t="s">
        <v>171</v>
      </c>
      <c r="D751" s="79" t="s">
        <v>213</v>
      </c>
      <c r="E751" s="62" t="str">
        <f t="shared" si="11"/>
        <v>ThunderlordPitfall Trap</v>
      </c>
      <c r="K751" s="7"/>
      <c r="P751" s="7"/>
      <c r="U751" s="7"/>
      <c r="Z751" s="7"/>
      <c r="AE751" s="7"/>
      <c r="AJ751" s="7"/>
      <c r="AO751" s="7"/>
      <c r="AS751" s="56">
        <v>12</v>
      </c>
      <c r="AT751" s="56">
        <v>25</v>
      </c>
      <c r="AU751" s="56">
        <v>12</v>
      </c>
    </row>
    <row r="752" spans="1:47" s="36" customFormat="1" x14ac:dyDescent="0.25">
      <c r="A752" s="63" t="s">
        <v>91</v>
      </c>
      <c r="B752" s="63" t="s">
        <v>76</v>
      </c>
      <c r="C752" s="63" t="s">
        <v>91</v>
      </c>
      <c r="D752" s="37" t="s">
        <v>0</v>
      </c>
      <c r="E752" s="62" t="str">
        <f t="shared" si="11"/>
        <v>TigrexPara</v>
      </c>
      <c r="F752" s="36">
        <v>200</v>
      </c>
      <c r="G752" s="36">
        <v>382</v>
      </c>
      <c r="H752" s="36">
        <v>564</v>
      </c>
      <c r="I752" s="36">
        <v>746</v>
      </c>
      <c r="J752" s="61"/>
      <c r="K752" s="50">
        <v>200</v>
      </c>
      <c r="L752" s="36">
        <v>382</v>
      </c>
      <c r="M752" s="36">
        <v>564</v>
      </c>
      <c r="N752" s="36">
        <v>746</v>
      </c>
      <c r="P752" s="6">
        <v>200</v>
      </c>
      <c r="Q752" s="46">
        <v>452</v>
      </c>
      <c r="R752" s="46">
        <v>704</v>
      </c>
      <c r="S752" s="46">
        <v>956</v>
      </c>
      <c r="U752" s="50">
        <v>200</v>
      </c>
      <c r="V752" s="36">
        <v>382</v>
      </c>
      <c r="W752" s="36">
        <v>564</v>
      </c>
      <c r="X752" s="36">
        <v>746</v>
      </c>
      <c r="Z752" s="6">
        <v>200</v>
      </c>
      <c r="AA752" s="46">
        <v>508</v>
      </c>
      <c r="AB752" s="46">
        <v>816</v>
      </c>
      <c r="AC752" s="46">
        <v>1124</v>
      </c>
      <c r="AE752" s="50"/>
      <c r="AJ752" s="6">
        <v>200</v>
      </c>
      <c r="AK752" s="46">
        <v>578</v>
      </c>
      <c r="AL752" s="46">
        <v>956</v>
      </c>
      <c r="AM752" s="46">
        <v>1334</v>
      </c>
      <c r="AO752" s="50"/>
      <c r="AS752" s="36">
        <v>10</v>
      </c>
      <c r="AT752" s="36" t="s">
        <v>214</v>
      </c>
      <c r="AU752" s="36" t="s">
        <v>214</v>
      </c>
    </row>
    <row r="753" spans="1:47" x14ac:dyDescent="0.25">
      <c r="A753" s="63" t="s">
        <v>91</v>
      </c>
      <c r="B753" s="63" t="s">
        <v>76</v>
      </c>
      <c r="C753" s="63" t="s">
        <v>91</v>
      </c>
      <c r="D753" s="31" t="s">
        <v>32</v>
      </c>
      <c r="E753" s="62" t="str">
        <f t="shared" si="11"/>
        <v>TigrexSleep</v>
      </c>
      <c r="F753">
        <v>180</v>
      </c>
      <c r="G753">
        <v>336</v>
      </c>
      <c r="H753">
        <v>492</v>
      </c>
      <c r="I753">
        <v>648</v>
      </c>
      <c r="K753" s="6">
        <v>180</v>
      </c>
      <c r="L753">
        <v>336</v>
      </c>
      <c r="M753">
        <v>492</v>
      </c>
      <c r="N753">
        <v>648</v>
      </c>
      <c r="P753" s="6">
        <v>180</v>
      </c>
      <c r="Q753">
        <v>396</v>
      </c>
      <c r="R753">
        <v>612</v>
      </c>
      <c r="S753">
        <v>828</v>
      </c>
      <c r="U753" s="6">
        <v>180</v>
      </c>
      <c r="V753">
        <v>336</v>
      </c>
      <c r="W753">
        <v>492</v>
      </c>
      <c r="X753">
        <v>648</v>
      </c>
      <c r="Z753" s="6">
        <v>180</v>
      </c>
      <c r="AA753">
        <v>444</v>
      </c>
      <c r="AB753">
        <v>708</v>
      </c>
      <c r="AC753">
        <v>972</v>
      </c>
      <c r="AE753" s="6"/>
      <c r="AJ753" s="6">
        <v>180</v>
      </c>
      <c r="AK753">
        <v>504</v>
      </c>
      <c r="AL753">
        <v>828</v>
      </c>
      <c r="AM753">
        <v>1152</v>
      </c>
      <c r="AO753" s="6"/>
      <c r="AS753">
        <v>40</v>
      </c>
      <c r="AT753" t="s">
        <v>214</v>
      </c>
      <c r="AU753" t="s">
        <v>214</v>
      </c>
    </row>
    <row r="754" spans="1:47" x14ac:dyDescent="0.25">
      <c r="A754" s="63" t="s">
        <v>91</v>
      </c>
      <c r="B754" s="63" t="s">
        <v>76</v>
      </c>
      <c r="C754" s="63" t="s">
        <v>91</v>
      </c>
      <c r="D754" s="32" t="s">
        <v>33</v>
      </c>
      <c r="E754" s="62" t="str">
        <f t="shared" si="11"/>
        <v>TigrexPoison</v>
      </c>
      <c r="F754">
        <v>180</v>
      </c>
      <c r="G754">
        <v>323</v>
      </c>
      <c r="H754">
        <v>466</v>
      </c>
      <c r="I754">
        <v>609</v>
      </c>
      <c r="J754" s="29"/>
      <c r="K754" s="6">
        <v>180</v>
      </c>
      <c r="L754">
        <v>336</v>
      </c>
      <c r="M754">
        <v>492</v>
      </c>
      <c r="N754">
        <v>648</v>
      </c>
      <c r="P754" s="6">
        <v>180</v>
      </c>
      <c r="Q754">
        <v>378</v>
      </c>
      <c r="R754">
        <v>576</v>
      </c>
      <c r="S754">
        <v>774</v>
      </c>
      <c r="U754" s="6">
        <v>180</v>
      </c>
      <c r="V754">
        <v>336</v>
      </c>
      <c r="W754">
        <v>492</v>
      </c>
      <c r="X754">
        <v>648</v>
      </c>
      <c r="Z754" s="6">
        <v>180</v>
      </c>
      <c r="AA754">
        <v>422</v>
      </c>
      <c r="AB754">
        <v>664</v>
      </c>
      <c r="AC754">
        <v>906</v>
      </c>
      <c r="AE754" s="6"/>
      <c r="AJ754" s="6">
        <v>180</v>
      </c>
      <c r="AK754">
        <v>477</v>
      </c>
      <c r="AL754">
        <v>774</v>
      </c>
      <c r="AM754">
        <v>1071</v>
      </c>
      <c r="AO754" s="6"/>
      <c r="AS754">
        <v>60</v>
      </c>
      <c r="AT754" t="s">
        <v>214</v>
      </c>
      <c r="AU754" t="s">
        <v>214</v>
      </c>
    </row>
    <row r="755" spans="1:47" x14ac:dyDescent="0.25">
      <c r="A755" s="63" t="s">
        <v>91</v>
      </c>
      <c r="B755" s="63" t="s">
        <v>76</v>
      </c>
      <c r="C755" s="63" t="s">
        <v>91</v>
      </c>
      <c r="D755" s="10" t="s">
        <v>22</v>
      </c>
      <c r="E755" s="62" t="str">
        <f t="shared" si="11"/>
        <v>TigrexExhaust</v>
      </c>
      <c r="F755">
        <v>288</v>
      </c>
      <c r="G755">
        <v>408</v>
      </c>
      <c r="H755">
        <v>528</v>
      </c>
      <c r="I755">
        <v>648</v>
      </c>
      <c r="J755" s="29"/>
      <c r="K755" s="6">
        <v>288</v>
      </c>
      <c r="L755">
        <v>408</v>
      </c>
      <c r="M755">
        <v>528</v>
      </c>
      <c r="N755">
        <v>648</v>
      </c>
      <c r="P755" s="6">
        <v>315</v>
      </c>
      <c r="Q755">
        <v>446</v>
      </c>
      <c r="R755">
        <v>577</v>
      </c>
      <c r="S755">
        <v>708</v>
      </c>
      <c r="U755" s="6">
        <v>288</v>
      </c>
      <c r="V755">
        <v>408</v>
      </c>
      <c r="W755">
        <v>528</v>
      </c>
      <c r="X755">
        <v>648</v>
      </c>
      <c r="Z755" s="6">
        <v>360</v>
      </c>
      <c r="AA755">
        <v>510</v>
      </c>
      <c r="AB755">
        <v>660</v>
      </c>
      <c r="AC755">
        <v>810</v>
      </c>
      <c r="AE755" s="6"/>
      <c r="AJ755" s="6">
        <v>450</v>
      </c>
      <c r="AK755">
        <v>637</v>
      </c>
      <c r="AL755">
        <v>824</v>
      </c>
      <c r="AM755">
        <v>1011</v>
      </c>
      <c r="AO755" s="6"/>
      <c r="AS755"/>
      <c r="AT755" t="s">
        <v>214</v>
      </c>
      <c r="AU755" t="s">
        <v>214</v>
      </c>
    </row>
    <row r="756" spans="1:47" x14ac:dyDescent="0.25">
      <c r="A756" s="63" t="s">
        <v>91</v>
      </c>
      <c r="B756" s="63" t="s">
        <v>76</v>
      </c>
      <c r="C756" s="63" t="s">
        <v>91</v>
      </c>
      <c r="D756" s="30" t="s">
        <v>35</v>
      </c>
      <c r="E756" s="62" t="str">
        <f t="shared" si="11"/>
        <v>TigrexBlast</v>
      </c>
      <c r="F756">
        <v>70</v>
      </c>
      <c r="G756">
        <v>109</v>
      </c>
      <c r="H756">
        <v>148</v>
      </c>
      <c r="I756">
        <v>187</v>
      </c>
      <c r="K756" s="6">
        <v>70</v>
      </c>
      <c r="L756">
        <v>109</v>
      </c>
      <c r="M756">
        <v>148</v>
      </c>
      <c r="N756">
        <v>187</v>
      </c>
      <c r="P756" s="6">
        <v>70</v>
      </c>
      <c r="Q756">
        <v>124</v>
      </c>
      <c r="R756" s="6">
        <v>178</v>
      </c>
      <c r="S756">
        <v>232</v>
      </c>
      <c r="U756" s="6">
        <v>70</v>
      </c>
      <c r="V756">
        <v>109</v>
      </c>
      <c r="W756">
        <v>148</v>
      </c>
      <c r="X756">
        <v>187</v>
      </c>
      <c r="Z756" s="6">
        <v>70</v>
      </c>
      <c r="AA756">
        <v>136</v>
      </c>
      <c r="AB756" s="6">
        <v>202</v>
      </c>
      <c r="AC756">
        <v>268</v>
      </c>
      <c r="AE756" s="6"/>
      <c r="AG756" s="6"/>
      <c r="AJ756" s="6">
        <v>70</v>
      </c>
      <c r="AK756">
        <v>151</v>
      </c>
      <c r="AL756">
        <v>232</v>
      </c>
      <c r="AM756">
        <v>313</v>
      </c>
      <c r="AO756" s="6"/>
      <c r="AS756"/>
      <c r="AT756" t="s">
        <v>214</v>
      </c>
      <c r="AU756" t="s">
        <v>214</v>
      </c>
    </row>
    <row r="757" spans="1:47" x14ac:dyDescent="0.25">
      <c r="A757" s="63" t="s">
        <v>91</v>
      </c>
      <c r="B757" s="63" t="s">
        <v>76</v>
      </c>
      <c r="C757" s="63" t="s">
        <v>91</v>
      </c>
      <c r="D757" s="34" t="s">
        <v>14</v>
      </c>
      <c r="E757" s="62" t="str">
        <f t="shared" si="11"/>
        <v>TigrexKO</v>
      </c>
      <c r="F757">
        <v>260</v>
      </c>
      <c r="G757">
        <v>441</v>
      </c>
      <c r="H757">
        <v>622</v>
      </c>
      <c r="I757">
        <v>803</v>
      </c>
      <c r="J757" s="29"/>
      <c r="K757" s="6">
        <v>260</v>
      </c>
      <c r="L757">
        <v>441</v>
      </c>
      <c r="M757">
        <v>622</v>
      </c>
      <c r="N757">
        <v>803</v>
      </c>
      <c r="P757" s="6">
        <v>260</v>
      </c>
      <c r="Q757">
        <v>441</v>
      </c>
      <c r="R757">
        <v>622</v>
      </c>
      <c r="S757">
        <v>803</v>
      </c>
      <c r="U757" s="6">
        <v>260</v>
      </c>
      <c r="V757">
        <v>430</v>
      </c>
      <c r="W757">
        <v>600</v>
      </c>
      <c r="X757">
        <v>770</v>
      </c>
      <c r="Z757" s="6">
        <v>300</v>
      </c>
      <c r="AA757">
        <v>510</v>
      </c>
      <c r="AB757">
        <v>720</v>
      </c>
      <c r="AC757">
        <v>930</v>
      </c>
      <c r="AE757" s="6"/>
      <c r="AJ757" s="6">
        <v>400</v>
      </c>
      <c r="AK757">
        <v>680</v>
      </c>
      <c r="AL757">
        <v>960</v>
      </c>
      <c r="AM757">
        <v>1240</v>
      </c>
      <c r="AO757" s="6"/>
      <c r="AS757">
        <v>10</v>
      </c>
      <c r="AT757" t="s">
        <v>214</v>
      </c>
      <c r="AU757" t="s">
        <v>214</v>
      </c>
    </row>
    <row r="758" spans="1:47" x14ac:dyDescent="0.25">
      <c r="A758" s="63" t="s">
        <v>91</v>
      </c>
      <c r="B758" s="63" t="s">
        <v>76</v>
      </c>
      <c r="C758" s="63" t="s">
        <v>91</v>
      </c>
      <c r="D758" s="33" t="s">
        <v>34</v>
      </c>
      <c r="E758" s="62" t="str">
        <f t="shared" si="11"/>
        <v>TigrexMount</v>
      </c>
      <c r="F758">
        <v>96</v>
      </c>
      <c r="G758">
        <v>240</v>
      </c>
      <c r="H758">
        <v>384</v>
      </c>
      <c r="I758">
        <v>528</v>
      </c>
      <c r="K758" s="6">
        <v>96</v>
      </c>
      <c r="L758">
        <v>240</v>
      </c>
      <c r="M758">
        <v>384</v>
      </c>
      <c r="N758">
        <v>528</v>
      </c>
      <c r="P758" s="6">
        <v>102</v>
      </c>
      <c r="Q758">
        <v>255</v>
      </c>
      <c r="R758" s="6">
        <v>408</v>
      </c>
      <c r="S758">
        <v>561</v>
      </c>
      <c r="U758" s="6">
        <v>96</v>
      </c>
      <c r="V758">
        <v>240</v>
      </c>
      <c r="W758">
        <v>384</v>
      </c>
      <c r="X758">
        <v>528</v>
      </c>
      <c r="Z758" s="6">
        <v>108</v>
      </c>
      <c r="AA758">
        <v>270</v>
      </c>
      <c r="AB758">
        <v>432</v>
      </c>
      <c r="AC758">
        <v>594</v>
      </c>
      <c r="AE758" s="6"/>
      <c r="AJ758" s="6">
        <v>120</v>
      </c>
      <c r="AK758">
        <v>300</v>
      </c>
      <c r="AL758">
        <v>480</v>
      </c>
      <c r="AM758">
        <v>660</v>
      </c>
      <c r="AO758" s="6"/>
      <c r="AS758"/>
      <c r="AT758" t="s">
        <v>214</v>
      </c>
      <c r="AU758" t="s">
        <v>214</v>
      </c>
    </row>
    <row r="759" spans="1:47" x14ac:dyDescent="0.25">
      <c r="A759" s="63" t="s">
        <v>91</v>
      </c>
      <c r="B759" s="63" t="s">
        <v>76</v>
      </c>
      <c r="C759" s="63" t="s">
        <v>91</v>
      </c>
      <c r="D759" s="77" t="s">
        <v>207</v>
      </c>
      <c r="E759" s="62" t="str">
        <f t="shared" si="11"/>
        <v>TigrexShock Trap</v>
      </c>
      <c r="K759" s="6"/>
      <c r="P759" s="6"/>
      <c r="U759" s="6"/>
      <c r="AE759" s="6"/>
      <c r="AJ759" s="6"/>
      <c r="AO759" s="6"/>
      <c r="AS759">
        <v>8</v>
      </c>
      <c r="AT759">
        <v>15</v>
      </c>
      <c r="AU759">
        <v>10</v>
      </c>
    </row>
    <row r="760" spans="1:47" s="56" customFormat="1" x14ac:dyDescent="0.25">
      <c r="A760" s="63" t="s">
        <v>91</v>
      </c>
      <c r="B760" s="63" t="s">
        <v>76</v>
      </c>
      <c r="C760" s="63" t="s">
        <v>91</v>
      </c>
      <c r="D760" s="79" t="s">
        <v>213</v>
      </c>
      <c r="E760" s="62" t="str">
        <f t="shared" si="11"/>
        <v>TigrexPitfall Trap</v>
      </c>
      <c r="K760" s="7"/>
      <c r="P760" s="7"/>
      <c r="U760" s="7"/>
      <c r="Z760" s="7"/>
      <c r="AE760" s="7"/>
      <c r="AJ760" s="7"/>
      <c r="AO760" s="7"/>
      <c r="AS760" s="56">
        <v>12</v>
      </c>
      <c r="AT760" s="56">
        <v>20</v>
      </c>
      <c r="AU760" s="56">
        <v>16</v>
      </c>
    </row>
    <row r="761" spans="1:47" s="36" customFormat="1" x14ac:dyDescent="0.25">
      <c r="A761" s="63" t="s">
        <v>91</v>
      </c>
      <c r="B761" s="63" t="s">
        <v>77</v>
      </c>
      <c r="C761" s="63" t="s">
        <v>91</v>
      </c>
      <c r="D761" s="37" t="s">
        <v>0</v>
      </c>
      <c r="E761" s="62" t="str">
        <f t="shared" si="11"/>
        <v>UkanlosPara</v>
      </c>
      <c r="F761" s="36">
        <v>350</v>
      </c>
      <c r="G761" s="36">
        <v>635</v>
      </c>
      <c r="H761" s="36">
        <v>1205</v>
      </c>
      <c r="I761" s="36">
        <v>1490</v>
      </c>
      <c r="J761" s="61"/>
      <c r="K761" s="50"/>
      <c r="P761" s="6"/>
      <c r="Q761" s="46"/>
      <c r="R761" s="46"/>
      <c r="S761" s="46"/>
      <c r="U761" s="50"/>
      <c r="Z761" s="6">
        <v>350</v>
      </c>
      <c r="AA761" s="46">
        <v>695</v>
      </c>
      <c r="AB761" s="46">
        <v>1040</v>
      </c>
      <c r="AC761" s="46">
        <v>1385</v>
      </c>
      <c r="AE761" s="50"/>
      <c r="AJ761" s="6"/>
      <c r="AK761" s="46"/>
      <c r="AL761" s="46"/>
      <c r="AM761" s="46"/>
      <c r="AO761" s="50"/>
      <c r="AS761" s="36">
        <v>10</v>
      </c>
      <c r="AT761" s="36" t="s">
        <v>214</v>
      </c>
      <c r="AU761" s="36" t="s">
        <v>214</v>
      </c>
    </row>
    <row r="762" spans="1:47" x14ac:dyDescent="0.25">
      <c r="A762" s="63" t="s">
        <v>91</v>
      </c>
      <c r="B762" s="63" t="s">
        <v>77</v>
      </c>
      <c r="C762" s="63" t="s">
        <v>91</v>
      </c>
      <c r="D762" s="31" t="s">
        <v>32</v>
      </c>
      <c r="E762" s="62" t="str">
        <f t="shared" si="11"/>
        <v>UkanlosSleep</v>
      </c>
      <c r="F762">
        <v>350</v>
      </c>
      <c r="G762">
        <v>635</v>
      </c>
      <c r="H762">
        <v>920</v>
      </c>
      <c r="I762">
        <v>1205</v>
      </c>
      <c r="K762" s="6"/>
      <c r="P762" s="6"/>
      <c r="U762" s="6"/>
      <c r="Z762" s="6">
        <v>350</v>
      </c>
      <c r="AA762">
        <v>695</v>
      </c>
      <c r="AB762">
        <v>1040</v>
      </c>
      <c r="AC762">
        <v>1385</v>
      </c>
      <c r="AE762" s="6"/>
      <c r="AJ762" s="6"/>
      <c r="AO762" s="6"/>
      <c r="AS762">
        <v>30</v>
      </c>
      <c r="AT762" t="s">
        <v>214</v>
      </c>
      <c r="AU762" t="s">
        <v>214</v>
      </c>
    </row>
    <row r="763" spans="1:47" x14ac:dyDescent="0.25">
      <c r="A763" s="63" t="s">
        <v>91</v>
      </c>
      <c r="B763" s="63" t="s">
        <v>77</v>
      </c>
      <c r="C763" s="63" t="s">
        <v>91</v>
      </c>
      <c r="D763" s="32" t="s">
        <v>33</v>
      </c>
      <c r="E763" s="62" t="str">
        <f t="shared" si="11"/>
        <v>UkanlosPoison</v>
      </c>
      <c r="F763">
        <v>400</v>
      </c>
      <c r="G763">
        <v>685</v>
      </c>
      <c r="H763">
        <v>970</v>
      </c>
      <c r="I763">
        <v>1255</v>
      </c>
      <c r="J763" s="29"/>
      <c r="K763" s="6"/>
      <c r="P763" s="6"/>
      <c r="U763" s="6"/>
      <c r="Z763" s="6">
        <v>400</v>
      </c>
      <c r="AA763">
        <v>745</v>
      </c>
      <c r="AB763">
        <v>1090</v>
      </c>
      <c r="AC763">
        <v>1435</v>
      </c>
      <c r="AE763" s="6"/>
      <c r="AJ763" s="6"/>
      <c r="AO763" s="6"/>
      <c r="AS763">
        <v>60</v>
      </c>
      <c r="AT763" t="s">
        <v>214</v>
      </c>
      <c r="AU763" t="s">
        <v>214</v>
      </c>
    </row>
    <row r="764" spans="1:47" x14ac:dyDescent="0.25">
      <c r="A764" s="63" t="s">
        <v>91</v>
      </c>
      <c r="B764" s="63" t="s">
        <v>77</v>
      </c>
      <c r="C764" s="63" t="s">
        <v>91</v>
      </c>
      <c r="D764" s="10" t="s">
        <v>22</v>
      </c>
      <c r="E764" s="62" t="str">
        <f t="shared" si="11"/>
        <v>UkanlosExhaust</v>
      </c>
      <c r="F764">
        <v>0</v>
      </c>
      <c r="G764">
        <v>0</v>
      </c>
      <c r="H764">
        <v>0</v>
      </c>
      <c r="I764">
        <v>0</v>
      </c>
      <c r="J764" s="29"/>
      <c r="K764" s="6"/>
      <c r="P764" s="6"/>
      <c r="U764" s="6"/>
      <c r="Z764" s="6">
        <v>0</v>
      </c>
      <c r="AA764">
        <v>0</v>
      </c>
      <c r="AB764">
        <v>0</v>
      </c>
      <c r="AC764">
        <v>0</v>
      </c>
      <c r="AE764" s="6"/>
      <c r="AJ764" s="6"/>
      <c r="AO764" s="6"/>
      <c r="AS764"/>
      <c r="AT764" t="s">
        <v>214</v>
      </c>
      <c r="AU764" t="s">
        <v>214</v>
      </c>
    </row>
    <row r="765" spans="1:47" x14ac:dyDescent="0.25">
      <c r="A765" s="63" t="s">
        <v>91</v>
      </c>
      <c r="B765" s="63" t="s">
        <v>77</v>
      </c>
      <c r="C765" s="63" t="s">
        <v>91</v>
      </c>
      <c r="D765" s="30" t="s">
        <v>35</v>
      </c>
      <c r="E765" s="62" t="str">
        <f t="shared" si="11"/>
        <v>UkanlosBlast</v>
      </c>
      <c r="F765">
        <v>140</v>
      </c>
      <c r="G765">
        <v>272</v>
      </c>
      <c r="H765">
        <v>404</v>
      </c>
      <c r="I765">
        <v>536</v>
      </c>
      <c r="K765" s="6"/>
      <c r="P765" s="6"/>
      <c r="R765" s="6"/>
      <c r="U765" s="6"/>
      <c r="Z765" s="6">
        <v>140</v>
      </c>
      <c r="AA765">
        <v>312</v>
      </c>
      <c r="AB765" s="6">
        <v>484</v>
      </c>
      <c r="AC765">
        <v>656</v>
      </c>
      <c r="AE765" s="6"/>
      <c r="AG765" s="6"/>
      <c r="AJ765" s="6"/>
      <c r="AO765" s="6"/>
      <c r="AS765"/>
      <c r="AT765" t="s">
        <v>214</v>
      </c>
      <c r="AU765" t="s">
        <v>214</v>
      </c>
    </row>
    <row r="766" spans="1:47" x14ac:dyDescent="0.25">
      <c r="A766" s="63" t="s">
        <v>91</v>
      </c>
      <c r="B766" s="63" t="s">
        <v>77</v>
      </c>
      <c r="C766" s="63" t="s">
        <v>91</v>
      </c>
      <c r="D766" s="34" t="s">
        <v>14</v>
      </c>
      <c r="E766" s="62" t="str">
        <f t="shared" si="11"/>
        <v>UkanlosKO</v>
      </c>
      <c r="F766">
        <v>350</v>
      </c>
      <c r="G766">
        <v>560</v>
      </c>
      <c r="H766">
        <v>770</v>
      </c>
      <c r="I766">
        <v>980</v>
      </c>
      <c r="J766" s="29"/>
      <c r="K766" s="6"/>
      <c r="P766" s="6"/>
      <c r="U766" s="6"/>
      <c r="Z766" s="6">
        <v>400</v>
      </c>
      <c r="AA766">
        <v>640</v>
      </c>
      <c r="AB766">
        <v>880</v>
      </c>
      <c r="AC766">
        <v>1120</v>
      </c>
      <c r="AE766" s="6"/>
      <c r="AJ766" s="6"/>
      <c r="AO766" s="6"/>
      <c r="AS766">
        <v>10</v>
      </c>
      <c r="AT766" t="s">
        <v>214</v>
      </c>
      <c r="AU766" t="s">
        <v>214</v>
      </c>
    </row>
    <row r="767" spans="1:47" x14ac:dyDescent="0.25">
      <c r="A767" s="63" t="s">
        <v>91</v>
      </c>
      <c r="B767" s="63" t="s">
        <v>77</v>
      </c>
      <c r="C767" s="63" t="s">
        <v>91</v>
      </c>
      <c r="D767" s="33" t="s">
        <v>34</v>
      </c>
      <c r="E767" s="62" t="str">
        <f t="shared" si="11"/>
        <v>UkanlosMount</v>
      </c>
      <c r="F767">
        <v>102</v>
      </c>
      <c r="G767">
        <v>306</v>
      </c>
      <c r="H767">
        <v>510</v>
      </c>
      <c r="I767">
        <v>714</v>
      </c>
      <c r="K767" s="6"/>
      <c r="P767" s="6"/>
      <c r="R767" s="6"/>
      <c r="U767" s="6"/>
      <c r="Z767" s="6">
        <v>120</v>
      </c>
      <c r="AA767">
        <v>360</v>
      </c>
      <c r="AB767">
        <v>600</v>
      </c>
      <c r="AC767">
        <v>840</v>
      </c>
      <c r="AE767" s="6"/>
      <c r="AJ767" s="6"/>
      <c r="AO767" s="6"/>
      <c r="AS767"/>
      <c r="AT767" t="s">
        <v>214</v>
      </c>
      <c r="AU767" t="s">
        <v>214</v>
      </c>
    </row>
    <row r="768" spans="1:47" x14ac:dyDescent="0.25">
      <c r="A768" s="63" t="s">
        <v>91</v>
      </c>
      <c r="B768" s="63" t="s">
        <v>77</v>
      </c>
      <c r="C768" s="63" t="s">
        <v>91</v>
      </c>
      <c r="D768" s="77" t="s">
        <v>207</v>
      </c>
      <c r="E768" s="62" t="str">
        <f t="shared" si="11"/>
        <v>UkanlosShock Trap</v>
      </c>
      <c r="K768" s="6"/>
      <c r="P768" s="6"/>
      <c r="U768" s="6"/>
      <c r="AE768" s="6"/>
      <c r="AJ768" s="6"/>
      <c r="AO768" s="6"/>
      <c r="AS768">
        <v>0</v>
      </c>
      <c r="AT768">
        <v>0</v>
      </c>
      <c r="AU768">
        <v>0</v>
      </c>
    </row>
    <row r="769" spans="1:47" s="56" customFormat="1" x14ac:dyDescent="0.25">
      <c r="A769" s="63" t="s">
        <v>91</v>
      </c>
      <c r="B769" s="63" t="s">
        <v>77</v>
      </c>
      <c r="C769" s="63" t="s">
        <v>91</v>
      </c>
      <c r="D769" s="79" t="s">
        <v>213</v>
      </c>
      <c r="E769" s="62" t="str">
        <f t="shared" si="11"/>
        <v>UkanlosPitfall Trap</v>
      </c>
      <c r="K769" s="7"/>
      <c r="P769" s="7"/>
      <c r="U769" s="7"/>
      <c r="Z769" s="7"/>
      <c r="AE769" s="7"/>
      <c r="AJ769" s="7"/>
      <c r="AO769" s="7"/>
      <c r="AS769" s="56">
        <v>0</v>
      </c>
      <c r="AT769" s="56">
        <v>0</v>
      </c>
      <c r="AU769" s="56">
        <v>0</v>
      </c>
    </row>
    <row r="770" spans="1:47" s="36" customFormat="1" x14ac:dyDescent="0.25">
      <c r="A770" s="63" t="s">
        <v>91</v>
      </c>
      <c r="B770" s="63" t="s">
        <v>230</v>
      </c>
      <c r="C770" s="63" t="s">
        <v>91</v>
      </c>
      <c r="D770" s="37" t="s">
        <v>0</v>
      </c>
      <c r="E770" s="62" t="str">
        <f t="shared" si="11"/>
        <v>UragaanPara</v>
      </c>
      <c r="F770" s="36">
        <v>200</v>
      </c>
      <c r="G770" s="36">
        <v>320</v>
      </c>
      <c r="H770" s="36">
        <v>440</v>
      </c>
      <c r="I770" s="36">
        <v>560</v>
      </c>
      <c r="J770" s="61"/>
      <c r="K770" s="50">
        <v>200</v>
      </c>
      <c r="L770" s="36">
        <v>330</v>
      </c>
      <c r="M770" s="36">
        <v>460</v>
      </c>
      <c r="N770" s="36">
        <v>590</v>
      </c>
      <c r="P770" s="6">
        <v>200</v>
      </c>
      <c r="Q770" s="46">
        <v>380</v>
      </c>
      <c r="R770" s="46">
        <v>560</v>
      </c>
      <c r="S770" s="46">
        <v>740</v>
      </c>
      <c r="U770" s="50"/>
      <c r="Z770" s="6">
        <v>200</v>
      </c>
      <c r="AA770" s="46">
        <v>409</v>
      </c>
      <c r="AB770" s="46">
        <v>619</v>
      </c>
      <c r="AC770" s="46">
        <v>830</v>
      </c>
      <c r="AE770" s="50"/>
      <c r="AJ770" s="6">
        <v>200</v>
      </c>
      <c r="AK770" s="46">
        <v>470</v>
      </c>
      <c r="AL770" s="46">
        <v>740</v>
      </c>
      <c r="AM770" s="46">
        <v>1010</v>
      </c>
      <c r="AO770" s="50"/>
      <c r="AS770" s="36">
        <v>15</v>
      </c>
      <c r="AT770" s="36" t="s">
        <v>214</v>
      </c>
      <c r="AU770" s="36" t="s">
        <v>214</v>
      </c>
    </row>
    <row r="771" spans="1:47" x14ac:dyDescent="0.25">
      <c r="A771" s="63" t="s">
        <v>91</v>
      </c>
      <c r="B771" s="63" t="s">
        <v>230</v>
      </c>
      <c r="C771" s="63" t="s">
        <v>91</v>
      </c>
      <c r="D771" s="31" t="s">
        <v>32</v>
      </c>
      <c r="E771" s="62" t="str">
        <f t="shared" si="11"/>
        <v>UragaanSleep</v>
      </c>
      <c r="F771">
        <v>250</v>
      </c>
      <c r="G771">
        <v>310</v>
      </c>
      <c r="H771">
        <v>370</v>
      </c>
      <c r="I771">
        <v>430</v>
      </c>
      <c r="K771" s="6">
        <v>250</v>
      </c>
      <c r="L771">
        <v>315</v>
      </c>
      <c r="M771">
        <v>380</v>
      </c>
      <c r="N771">
        <v>445</v>
      </c>
      <c r="P771" s="6">
        <v>250</v>
      </c>
      <c r="Q771">
        <v>340</v>
      </c>
      <c r="R771">
        <v>430</v>
      </c>
      <c r="S771">
        <v>520</v>
      </c>
      <c r="U771" s="6"/>
      <c r="Z771" s="6">
        <v>250</v>
      </c>
      <c r="AA771">
        <v>354</v>
      </c>
      <c r="AB771">
        <v>458</v>
      </c>
      <c r="AC771">
        <v>562</v>
      </c>
      <c r="AE771" s="6"/>
      <c r="AJ771" s="6">
        <v>250</v>
      </c>
      <c r="AK771">
        <v>385</v>
      </c>
      <c r="AL771">
        <v>520</v>
      </c>
      <c r="AM771">
        <v>655</v>
      </c>
      <c r="AO771" s="6"/>
      <c r="AS771">
        <v>30</v>
      </c>
      <c r="AT771" t="s">
        <v>214</v>
      </c>
      <c r="AU771" t="s">
        <v>214</v>
      </c>
    </row>
    <row r="772" spans="1:47" x14ac:dyDescent="0.25">
      <c r="A772" s="63" t="s">
        <v>91</v>
      </c>
      <c r="B772" s="63" t="s">
        <v>230</v>
      </c>
      <c r="C772" s="63" t="s">
        <v>91</v>
      </c>
      <c r="D772" s="32" t="s">
        <v>33</v>
      </c>
      <c r="E772" s="62" t="str">
        <f t="shared" si="11"/>
        <v>UragaanPoison</v>
      </c>
      <c r="F772">
        <v>150</v>
      </c>
      <c r="G772">
        <v>240</v>
      </c>
      <c r="H772">
        <v>330</v>
      </c>
      <c r="I772">
        <v>420</v>
      </c>
      <c r="J772" s="29"/>
      <c r="K772" s="6">
        <v>250</v>
      </c>
      <c r="L772">
        <v>315</v>
      </c>
      <c r="M772">
        <v>380</v>
      </c>
      <c r="N772">
        <v>445</v>
      </c>
      <c r="P772" s="6">
        <v>150</v>
      </c>
      <c r="Q772">
        <v>285</v>
      </c>
      <c r="R772">
        <v>420</v>
      </c>
      <c r="S772">
        <v>555</v>
      </c>
      <c r="U772" s="6"/>
      <c r="Z772" s="6">
        <v>150</v>
      </c>
      <c r="AA772">
        <v>307</v>
      </c>
      <c r="AB772">
        <v>464</v>
      </c>
      <c r="AC772">
        <v>621</v>
      </c>
      <c r="AE772" s="6"/>
      <c r="AJ772" s="6">
        <v>150</v>
      </c>
      <c r="AK772">
        <v>352</v>
      </c>
      <c r="AL772">
        <v>554</v>
      </c>
      <c r="AM772">
        <v>756</v>
      </c>
      <c r="AO772" s="6"/>
      <c r="AS772">
        <v>30</v>
      </c>
      <c r="AT772" t="s">
        <v>214</v>
      </c>
      <c r="AU772" t="s">
        <v>214</v>
      </c>
    </row>
    <row r="773" spans="1:47" x14ac:dyDescent="0.25">
      <c r="A773" s="63" t="s">
        <v>91</v>
      </c>
      <c r="B773" s="63" t="s">
        <v>230</v>
      </c>
      <c r="C773" s="63" t="s">
        <v>91</v>
      </c>
      <c r="D773" s="10" t="s">
        <v>22</v>
      </c>
      <c r="E773" s="62" t="str">
        <f t="shared" ref="E773:E836" si="12">B773&amp;D773</f>
        <v>UragaanExhaust</v>
      </c>
      <c r="F773">
        <v>375</v>
      </c>
      <c r="G773">
        <v>525</v>
      </c>
      <c r="H773">
        <v>675</v>
      </c>
      <c r="I773">
        <v>825</v>
      </c>
      <c r="J773" s="29"/>
      <c r="K773" s="6">
        <v>400</v>
      </c>
      <c r="L773">
        <v>560</v>
      </c>
      <c r="M773">
        <v>720</v>
      </c>
      <c r="N773">
        <v>880</v>
      </c>
      <c r="P773" s="6">
        <v>437</v>
      </c>
      <c r="Q773">
        <v>612</v>
      </c>
      <c r="R773">
        <v>787</v>
      </c>
      <c r="S773">
        <v>962</v>
      </c>
      <c r="U773" s="6"/>
      <c r="Z773" s="6">
        <v>475</v>
      </c>
      <c r="AA773">
        <v>665</v>
      </c>
      <c r="AB773">
        <v>855</v>
      </c>
      <c r="AC773">
        <v>1045</v>
      </c>
      <c r="AE773" s="6"/>
      <c r="AJ773" s="6">
        <v>625</v>
      </c>
      <c r="AK773">
        <v>875</v>
      </c>
      <c r="AL773">
        <v>1125</v>
      </c>
      <c r="AM773">
        <v>1375</v>
      </c>
      <c r="AO773" s="6"/>
      <c r="AS773"/>
      <c r="AT773" t="s">
        <v>214</v>
      </c>
      <c r="AU773" t="s">
        <v>214</v>
      </c>
    </row>
    <row r="774" spans="1:47" x14ac:dyDescent="0.25">
      <c r="A774" s="63" t="s">
        <v>91</v>
      </c>
      <c r="B774" s="63" t="s">
        <v>230</v>
      </c>
      <c r="C774" s="63" t="s">
        <v>91</v>
      </c>
      <c r="D774" s="30" t="s">
        <v>35</v>
      </c>
      <c r="E774" s="62" t="str">
        <f t="shared" si="12"/>
        <v>UragaanBlast</v>
      </c>
      <c r="F774">
        <v>100</v>
      </c>
      <c r="G774">
        <v>172</v>
      </c>
      <c r="H774">
        <v>244</v>
      </c>
      <c r="I774">
        <v>316</v>
      </c>
      <c r="K774" s="6">
        <v>100</v>
      </c>
      <c r="L774">
        <v>172</v>
      </c>
      <c r="M774">
        <v>244</v>
      </c>
      <c r="N774">
        <v>316</v>
      </c>
      <c r="P774" s="6">
        <v>100</v>
      </c>
      <c r="Q774">
        <v>208</v>
      </c>
      <c r="R774" s="6">
        <v>316</v>
      </c>
      <c r="S774">
        <v>424</v>
      </c>
      <c r="U774" s="6"/>
      <c r="Z774" s="6">
        <v>100</v>
      </c>
      <c r="AA774">
        <v>225</v>
      </c>
      <c r="AB774" s="6">
        <v>350</v>
      </c>
      <c r="AC774">
        <v>475</v>
      </c>
      <c r="AE774" s="6"/>
      <c r="AG774" s="6"/>
      <c r="AJ774" s="6">
        <v>100</v>
      </c>
      <c r="AK774">
        <v>262</v>
      </c>
      <c r="AL774">
        <v>424</v>
      </c>
      <c r="AM774">
        <v>586</v>
      </c>
      <c r="AO774" s="6"/>
      <c r="AS774"/>
      <c r="AT774" t="s">
        <v>214</v>
      </c>
      <c r="AU774" t="s">
        <v>214</v>
      </c>
    </row>
    <row r="775" spans="1:47" x14ac:dyDescent="0.25">
      <c r="A775" s="63" t="s">
        <v>91</v>
      </c>
      <c r="B775" s="63" t="s">
        <v>230</v>
      </c>
      <c r="C775" s="63" t="s">
        <v>91</v>
      </c>
      <c r="D775" s="34" t="s">
        <v>14</v>
      </c>
      <c r="E775" s="62" t="str">
        <f t="shared" si="12"/>
        <v>UragaanKO</v>
      </c>
      <c r="F775">
        <v>233</v>
      </c>
      <c r="G775">
        <v>467</v>
      </c>
      <c r="H775">
        <v>701</v>
      </c>
      <c r="I775">
        <v>935</v>
      </c>
      <c r="J775" s="29"/>
      <c r="K775" s="6">
        <v>233</v>
      </c>
      <c r="L775">
        <v>467</v>
      </c>
      <c r="M775">
        <v>701</v>
      </c>
      <c r="N775">
        <v>935</v>
      </c>
      <c r="P775" s="6">
        <v>233</v>
      </c>
      <c r="Q775">
        <v>467</v>
      </c>
      <c r="R775">
        <v>701</v>
      </c>
      <c r="S775">
        <v>935</v>
      </c>
      <c r="U775" s="6"/>
      <c r="Z775" s="6">
        <v>270</v>
      </c>
      <c r="AA775">
        <v>540</v>
      </c>
      <c r="AB775">
        <v>810</v>
      </c>
      <c r="AC775">
        <v>1080</v>
      </c>
      <c r="AE775" s="6"/>
      <c r="AJ775" s="6">
        <v>360</v>
      </c>
      <c r="AK775">
        <v>730</v>
      </c>
      <c r="AL775">
        <v>1100</v>
      </c>
      <c r="AM775">
        <v>1470</v>
      </c>
      <c r="AO775" s="6"/>
      <c r="AS775">
        <v>15</v>
      </c>
      <c r="AT775" t="s">
        <v>214</v>
      </c>
      <c r="AU775" t="s">
        <v>214</v>
      </c>
    </row>
    <row r="776" spans="1:47" x14ac:dyDescent="0.25">
      <c r="A776" s="63" t="s">
        <v>91</v>
      </c>
      <c r="B776" s="63" t="s">
        <v>230</v>
      </c>
      <c r="C776" s="63" t="s">
        <v>91</v>
      </c>
      <c r="D776" s="33" t="s">
        <v>34</v>
      </c>
      <c r="E776" s="62" t="str">
        <f t="shared" si="12"/>
        <v>UragaanMount</v>
      </c>
      <c r="F776">
        <v>80</v>
      </c>
      <c r="G776">
        <v>224</v>
      </c>
      <c r="H776">
        <v>368</v>
      </c>
      <c r="I776">
        <v>512</v>
      </c>
      <c r="K776" s="6">
        <v>80</v>
      </c>
      <c r="L776">
        <v>224</v>
      </c>
      <c r="M776">
        <v>368</v>
      </c>
      <c r="N776">
        <v>512</v>
      </c>
      <c r="P776" s="6">
        <v>85</v>
      </c>
      <c r="Q776">
        <v>230</v>
      </c>
      <c r="R776" s="6">
        <v>375</v>
      </c>
      <c r="S776">
        <v>520</v>
      </c>
      <c r="U776" s="6"/>
      <c r="Z776" s="6">
        <v>90</v>
      </c>
      <c r="AA776">
        <v>252</v>
      </c>
      <c r="AB776">
        <v>414</v>
      </c>
      <c r="AC776">
        <v>576</v>
      </c>
      <c r="AE776" s="6"/>
      <c r="AJ776" s="6">
        <v>100</v>
      </c>
      <c r="AK776">
        <v>280</v>
      </c>
      <c r="AL776">
        <v>460</v>
      </c>
      <c r="AM776">
        <v>640</v>
      </c>
      <c r="AO776" s="6"/>
      <c r="AS776"/>
      <c r="AT776" t="s">
        <v>214</v>
      </c>
      <c r="AU776" t="s">
        <v>214</v>
      </c>
    </row>
    <row r="777" spans="1:47" x14ac:dyDescent="0.25">
      <c r="A777" s="63" t="s">
        <v>91</v>
      </c>
      <c r="B777" s="63" t="s">
        <v>230</v>
      </c>
      <c r="C777" s="63" t="s">
        <v>91</v>
      </c>
      <c r="D777" s="77" t="s">
        <v>207</v>
      </c>
      <c r="E777" s="62" t="str">
        <f t="shared" si="12"/>
        <v>UragaanShock Trap</v>
      </c>
      <c r="K777" s="6"/>
      <c r="P777" s="6"/>
      <c r="U777" s="6"/>
      <c r="AE777" s="6"/>
      <c r="AJ777" s="6"/>
      <c r="AO777" s="6"/>
      <c r="AS777">
        <v>10</v>
      </c>
      <c r="AT777">
        <v>20</v>
      </c>
      <c r="AU777">
        <v>10</v>
      </c>
    </row>
    <row r="778" spans="1:47" s="56" customFormat="1" x14ac:dyDescent="0.25">
      <c r="A778" s="63" t="s">
        <v>91</v>
      </c>
      <c r="B778" s="63" t="s">
        <v>230</v>
      </c>
      <c r="C778" s="63" t="s">
        <v>91</v>
      </c>
      <c r="D778" s="79" t="s">
        <v>213</v>
      </c>
      <c r="E778" s="62" t="str">
        <f t="shared" si="12"/>
        <v>UragaanPitfall Trap</v>
      </c>
      <c r="K778" s="7"/>
      <c r="P778" s="7"/>
      <c r="U778" s="7"/>
      <c r="Z778" s="7"/>
      <c r="AE778" s="7"/>
      <c r="AJ778" s="7"/>
      <c r="AO778" s="7"/>
      <c r="AS778" s="56">
        <v>15</v>
      </c>
      <c r="AT778" s="56">
        <v>30</v>
      </c>
      <c r="AU778" s="56">
        <v>20</v>
      </c>
    </row>
    <row r="779" spans="1:47" s="36" customFormat="1" x14ac:dyDescent="0.25">
      <c r="A779" s="63" t="s">
        <v>184</v>
      </c>
      <c r="B779" s="63" t="s">
        <v>193</v>
      </c>
      <c r="C779" s="63" t="s">
        <v>184</v>
      </c>
      <c r="D779" s="37" t="s">
        <v>0</v>
      </c>
      <c r="E779" s="62" t="str">
        <f t="shared" si="12"/>
        <v>ValtraxPara</v>
      </c>
      <c r="J779" s="61"/>
      <c r="K779" s="50"/>
      <c r="P779" s="6"/>
      <c r="Q779" s="46"/>
      <c r="R779" s="46"/>
      <c r="S779" s="46"/>
      <c r="U779" s="50"/>
      <c r="Z779" s="6">
        <v>200</v>
      </c>
      <c r="AA779" s="46">
        <v>640</v>
      </c>
      <c r="AB779" s="46">
        <v>1080</v>
      </c>
      <c r="AC779" s="46">
        <v>1520</v>
      </c>
      <c r="AE779" s="50"/>
      <c r="AJ779" s="6"/>
      <c r="AK779" s="46"/>
      <c r="AL779" s="46"/>
      <c r="AM779" s="46"/>
      <c r="AO779" s="50"/>
      <c r="AS779" s="36">
        <v>9</v>
      </c>
      <c r="AT779" s="36" t="s">
        <v>214</v>
      </c>
      <c r="AU779" s="36" t="s">
        <v>214</v>
      </c>
    </row>
    <row r="780" spans="1:47" x14ac:dyDescent="0.25">
      <c r="A780" s="63" t="s">
        <v>184</v>
      </c>
      <c r="B780" s="63" t="s">
        <v>193</v>
      </c>
      <c r="C780" s="63" t="s">
        <v>184</v>
      </c>
      <c r="D780" s="31" t="s">
        <v>32</v>
      </c>
      <c r="E780" s="62" t="str">
        <f t="shared" si="12"/>
        <v>ValtraxSleep</v>
      </c>
      <c r="K780" s="6"/>
      <c r="P780" s="6"/>
      <c r="U780" s="6"/>
      <c r="Z780" s="6">
        <v>200</v>
      </c>
      <c r="AA780">
        <v>640</v>
      </c>
      <c r="AB780">
        <v>1080</v>
      </c>
      <c r="AC780">
        <v>1520</v>
      </c>
      <c r="AE780" s="6"/>
      <c r="AJ780" s="6"/>
      <c r="AO780" s="6"/>
      <c r="AS780">
        <v>30</v>
      </c>
      <c r="AT780" t="s">
        <v>214</v>
      </c>
      <c r="AU780" t="s">
        <v>214</v>
      </c>
    </row>
    <row r="781" spans="1:47" x14ac:dyDescent="0.25">
      <c r="A781" s="63" t="s">
        <v>184</v>
      </c>
      <c r="B781" s="63" t="s">
        <v>193</v>
      </c>
      <c r="C781" s="63" t="s">
        <v>184</v>
      </c>
      <c r="D781" s="32" t="s">
        <v>33</v>
      </c>
      <c r="E781" s="62" t="str">
        <f t="shared" si="12"/>
        <v>ValtraxPoison</v>
      </c>
      <c r="J781" s="29"/>
      <c r="K781" s="6"/>
      <c r="P781" s="6"/>
      <c r="U781" s="6"/>
      <c r="Z781" s="6">
        <v>150</v>
      </c>
      <c r="AA781">
        <v>370</v>
      </c>
      <c r="AB781">
        <v>590</v>
      </c>
      <c r="AC781">
        <v>810</v>
      </c>
      <c r="AE781" s="6"/>
      <c r="AJ781" s="6"/>
      <c r="AO781" s="6"/>
      <c r="AS781">
        <v>30</v>
      </c>
      <c r="AT781" t="s">
        <v>214</v>
      </c>
      <c r="AU781" t="s">
        <v>214</v>
      </c>
    </row>
    <row r="782" spans="1:47" x14ac:dyDescent="0.25">
      <c r="A782" s="63" t="s">
        <v>184</v>
      </c>
      <c r="B782" s="63" t="s">
        <v>193</v>
      </c>
      <c r="C782" s="63" t="s">
        <v>184</v>
      </c>
      <c r="D782" s="10" t="s">
        <v>22</v>
      </c>
      <c r="E782" s="62" t="str">
        <f t="shared" si="12"/>
        <v>ValtraxExhaust</v>
      </c>
      <c r="J782" s="29"/>
      <c r="K782" s="6"/>
      <c r="P782" s="6"/>
      <c r="U782" s="6"/>
      <c r="Z782" s="6">
        <v>0</v>
      </c>
      <c r="AA782">
        <v>0</v>
      </c>
      <c r="AB782">
        <v>0</v>
      </c>
      <c r="AC782">
        <v>0</v>
      </c>
      <c r="AE782" s="6"/>
      <c r="AJ782" s="6"/>
      <c r="AO782" s="6"/>
      <c r="AS782"/>
      <c r="AT782" t="s">
        <v>214</v>
      </c>
      <c r="AU782" t="s">
        <v>214</v>
      </c>
    </row>
    <row r="783" spans="1:47" x14ac:dyDescent="0.25">
      <c r="A783" s="63" t="s">
        <v>184</v>
      </c>
      <c r="B783" s="63" t="s">
        <v>193</v>
      </c>
      <c r="C783" s="63" t="s">
        <v>184</v>
      </c>
      <c r="D783" s="30" t="s">
        <v>35</v>
      </c>
      <c r="E783" s="62" t="str">
        <f t="shared" si="12"/>
        <v>ValtraxBlast</v>
      </c>
      <c r="K783" s="6"/>
      <c r="P783" s="6"/>
      <c r="R783" s="6"/>
      <c r="U783" s="6"/>
      <c r="Z783" s="6">
        <v>200</v>
      </c>
      <c r="AA783">
        <v>420</v>
      </c>
      <c r="AB783" s="6">
        <v>640</v>
      </c>
      <c r="AC783">
        <v>860</v>
      </c>
      <c r="AE783" s="6"/>
      <c r="AG783" s="6"/>
      <c r="AJ783" s="6"/>
      <c r="AO783" s="6"/>
      <c r="AS783"/>
      <c r="AT783" t="s">
        <v>214</v>
      </c>
      <c r="AU783" t="s">
        <v>214</v>
      </c>
    </row>
    <row r="784" spans="1:47" x14ac:dyDescent="0.25">
      <c r="A784" s="63" t="s">
        <v>184</v>
      </c>
      <c r="B784" s="63" t="s">
        <v>193</v>
      </c>
      <c r="C784" s="63" t="s">
        <v>184</v>
      </c>
      <c r="D784" s="34" t="s">
        <v>14</v>
      </c>
      <c r="E784" s="62" t="str">
        <f t="shared" si="12"/>
        <v>ValtraxKO</v>
      </c>
      <c r="J784" s="29"/>
      <c r="K784" s="6"/>
      <c r="P784" s="6"/>
      <c r="U784" s="6"/>
      <c r="Z784" s="6">
        <v>270</v>
      </c>
      <c r="AA784">
        <v>525</v>
      </c>
      <c r="AB784">
        <v>780</v>
      </c>
      <c r="AC784">
        <v>1035</v>
      </c>
      <c r="AE784" s="6"/>
      <c r="AJ784" s="6"/>
      <c r="AO784" s="6"/>
      <c r="AS784">
        <v>10</v>
      </c>
      <c r="AT784" t="s">
        <v>214</v>
      </c>
      <c r="AU784" t="s">
        <v>214</v>
      </c>
    </row>
    <row r="785" spans="1:47" x14ac:dyDescent="0.25">
      <c r="A785" s="63" t="s">
        <v>184</v>
      </c>
      <c r="B785" s="63" t="s">
        <v>193</v>
      </c>
      <c r="C785" s="63" t="s">
        <v>184</v>
      </c>
      <c r="D785" s="33" t="s">
        <v>34</v>
      </c>
      <c r="E785" s="62" t="str">
        <f t="shared" si="12"/>
        <v>ValtraxMount</v>
      </c>
      <c r="K785" s="6"/>
      <c r="P785" s="6"/>
      <c r="R785" s="6"/>
      <c r="U785" s="6"/>
      <c r="Z785" s="6">
        <v>108</v>
      </c>
      <c r="AA785">
        <v>288</v>
      </c>
      <c r="AB785">
        <v>468</v>
      </c>
      <c r="AC785">
        <v>648</v>
      </c>
      <c r="AE785" s="6"/>
      <c r="AJ785" s="6"/>
      <c r="AO785" s="6"/>
      <c r="AS785"/>
      <c r="AT785" t="s">
        <v>214</v>
      </c>
      <c r="AU785" t="s">
        <v>214</v>
      </c>
    </row>
    <row r="786" spans="1:47" x14ac:dyDescent="0.25">
      <c r="A786" s="63" t="s">
        <v>184</v>
      </c>
      <c r="B786" s="63" t="s">
        <v>193</v>
      </c>
      <c r="C786" s="63" t="s">
        <v>184</v>
      </c>
      <c r="D786" s="77" t="s">
        <v>207</v>
      </c>
      <c r="E786" s="62" t="str">
        <f t="shared" si="12"/>
        <v>ValtraxShock Trap</v>
      </c>
      <c r="K786" s="6"/>
      <c r="P786" s="6"/>
      <c r="U786" s="6"/>
      <c r="AE786" s="6"/>
      <c r="AJ786" s="6"/>
      <c r="AO786" s="6"/>
      <c r="AS786">
        <v>0</v>
      </c>
      <c r="AT786">
        <v>0</v>
      </c>
      <c r="AU786">
        <v>0</v>
      </c>
    </row>
    <row r="787" spans="1:47" s="56" customFormat="1" x14ac:dyDescent="0.25">
      <c r="A787" s="63" t="s">
        <v>184</v>
      </c>
      <c r="B787" s="63" t="s">
        <v>193</v>
      </c>
      <c r="C787" s="63" t="s">
        <v>184</v>
      </c>
      <c r="D787" s="79" t="s">
        <v>213</v>
      </c>
      <c r="E787" s="62" t="str">
        <f t="shared" si="12"/>
        <v>ValtraxPitfall Trap</v>
      </c>
      <c r="K787" s="7"/>
      <c r="P787" s="7"/>
      <c r="U787" s="7"/>
      <c r="Z787" s="7"/>
      <c r="AE787" s="7"/>
      <c r="AJ787" s="7"/>
      <c r="AO787" s="7"/>
      <c r="AS787" s="56">
        <v>0</v>
      </c>
      <c r="AT787" s="56">
        <v>0</v>
      </c>
      <c r="AU787" s="56">
        <v>0</v>
      </c>
    </row>
    <row r="788" spans="1:47" s="36" customFormat="1" x14ac:dyDescent="0.25">
      <c r="A788" s="63" t="s">
        <v>171</v>
      </c>
      <c r="B788" s="63" t="s">
        <v>78</v>
      </c>
      <c r="C788" s="63" t="s">
        <v>171</v>
      </c>
      <c r="D788" s="37" t="s">
        <v>0</v>
      </c>
      <c r="E788" s="62" t="str">
        <f t="shared" si="12"/>
        <v>VelocidromePara</v>
      </c>
      <c r="F788" s="36">
        <v>80</v>
      </c>
      <c r="G788" s="36">
        <v>124</v>
      </c>
      <c r="H788" s="36">
        <v>212</v>
      </c>
      <c r="I788" s="36">
        <v>256</v>
      </c>
      <c r="J788" s="61"/>
      <c r="K788" s="50">
        <v>80</v>
      </c>
      <c r="L788" s="36">
        <v>128</v>
      </c>
      <c r="M788" s="36">
        <v>176</v>
      </c>
      <c r="N788" s="36">
        <v>224</v>
      </c>
      <c r="O788" s="36">
        <v>10</v>
      </c>
      <c r="P788" s="6"/>
      <c r="Q788" s="46"/>
      <c r="R788" s="46"/>
      <c r="S788" s="46"/>
      <c r="U788" s="50"/>
      <c r="Z788" s="6"/>
      <c r="AA788" s="46"/>
      <c r="AB788" s="46"/>
      <c r="AC788" s="46"/>
      <c r="AE788" s="50"/>
      <c r="AJ788" s="6"/>
      <c r="AK788" s="46"/>
      <c r="AL788" s="46"/>
      <c r="AM788" s="46"/>
      <c r="AO788" s="50"/>
      <c r="AS788" s="36">
        <v>10</v>
      </c>
      <c r="AT788" s="36" t="s">
        <v>214</v>
      </c>
      <c r="AU788" s="36" t="s">
        <v>214</v>
      </c>
    </row>
    <row r="789" spans="1:47" x14ac:dyDescent="0.25">
      <c r="A789" s="63" t="s">
        <v>171</v>
      </c>
      <c r="B789" s="63" t="s">
        <v>78</v>
      </c>
      <c r="C789" s="63" t="s">
        <v>171</v>
      </c>
      <c r="D789" s="31" t="s">
        <v>32</v>
      </c>
      <c r="E789" s="62" t="str">
        <f t="shared" si="12"/>
        <v>VelocidromeSleep</v>
      </c>
      <c r="F789">
        <v>70</v>
      </c>
      <c r="G789">
        <v>114</v>
      </c>
      <c r="H789">
        <v>158</v>
      </c>
      <c r="I789">
        <v>202</v>
      </c>
      <c r="K789" s="6">
        <v>70</v>
      </c>
      <c r="L789">
        <v>118</v>
      </c>
      <c r="M789">
        <v>166</v>
      </c>
      <c r="N789">
        <v>214</v>
      </c>
      <c r="P789" s="6"/>
      <c r="U789" s="6"/>
      <c r="AE789" s="6"/>
      <c r="AJ789" s="6"/>
      <c r="AO789" s="6"/>
      <c r="AS789">
        <v>40</v>
      </c>
      <c r="AT789" t="s">
        <v>214</v>
      </c>
      <c r="AU789" t="s">
        <v>214</v>
      </c>
    </row>
    <row r="790" spans="1:47" x14ac:dyDescent="0.25">
      <c r="A790" s="63" t="s">
        <v>171</v>
      </c>
      <c r="B790" s="63" t="s">
        <v>78</v>
      </c>
      <c r="C790" s="63" t="s">
        <v>171</v>
      </c>
      <c r="D790" s="32" t="s">
        <v>33</v>
      </c>
      <c r="E790" s="62" t="str">
        <f t="shared" si="12"/>
        <v>VelocidromePoison</v>
      </c>
      <c r="F790">
        <v>80</v>
      </c>
      <c r="G790">
        <v>124</v>
      </c>
      <c r="H790">
        <v>168</v>
      </c>
      <c r="I790">
        <v>212</v>
      </c>
      <c r="J790" s="29"/>
      <c r="K790" s="6">
        <v>70</v>
      </c>
      <c r="L790">
        <v>118</v>
      </c>
      <c r="M790">
        <v>166</v>
      </c>
      <c r="N790">
        <v>214</v>
      </c>
      <c r="P790" s="6"/>
      <c r="U790" s="6"/>
      <c r="AE790" s="6"/>
      <c r="AJ790" s="6"/>
      <c r="AO790" s="6"/>
      <c r="AS790">
        <v>30</v>
      </c>
      <c r="AT790" t="s">
        <v>214</v>
      </c>
      <c r="AU790" t="s">
        <v>214</v>
      </c>
    </row>
    <row r="791" spans="1:47" x14ac:dyDescent="0.25">
      <c r="A791" s="63" t="s">
        <v>171</v>
      </c>
      <c r="B791" s="63" t="s">
        <v>78</v>
      </c>
      <c r="C791" s="63" t="s">
        <v>171</v>
      </c>
      <c r="D791" s="10" t="s">
        <v>22</v>
      </c>
      <c r="E791" s="62" t="str">
        <f t="shared" si="12"/>
        <v>VelocidromeExhaust</v>
      </c>
      <c r="F791">
        <v>225</v>
      </c>
      <c r="G791">
        <v>337</v>
      </c>
      <c r="H791">
        <v>449</v>
      </c>
      <c r="I791">
        <v>561</v>
      </c>
      <c r="J791" s="29"/>
      <c r="K791" s="6">
        <v>225</v>
      </c>
      <c r="L791">
        <v>337</v>
      </c>
      <c r="M791">
        <v>449</v>
      </c>
      <c r="N791">
        <v>561</v>
      </c>
      <c r="P791" s="6"/>
      <c r="U791" s="6"/>
      <c r="AE791" s="6"/>
      <c r="AJ791" s="6"/>
      <c r="AO791" s="6"/>
      <c r="AS791"/>
      <c r="AT791" t="s">
        <v>214</v>
      </c>
      <c r="AU791" t="s">
        <v>214</v>
      </c>
    </row>
    <row r="792" spans="1:47" x14ac:dyDescent="0.25">
      <c r="A792" s="63" t="s">
        <v>171</v>
      </c>
      <c r="B792" s="63" t="s">
        <v>78</v>
      </c>
      <c r="C792" s="63" t="s">
        <v>171</v>
      </c>
      <c r="D792" s="30" t="s">
        <v>35</v>
      </c>
      <c r="E792" s="62" t="str">
        <f t="shared" si="12"/>
        <v>VelocidromeBlast</v>
      </c>
      <c r="F792">
        <v>70</v>
      </c>
      <c r="G792">
        <v>103</v>
      </c>
      <c r="H792">
        <v>136</v>
      </c>
      <c r="I792">
        <v>169</v>
      </c>
      <c r="K792" s="6">
        <v>70</v>
      </c>
      <c r="L792">
        <v>103</v>
      </c>
      <c r="M792">
        <v>136</v>
      </c>
      <c r="N792">
        <v>169</v>
      </c>
      <c r="P792" s="6"/>
      <c r="R792" s="6"/>
      <c r="U792" s="6"/>
      <c r="AB792" s="6"/>
      <c r="AE792" s="6"/>
      <c r="AG792" s="6"/>
      <c r="AJ792" s="6"/>
      <c r="AO792" s="6"/>
      <c r="AS792"/>
      <c r="AT792" t="s">
        <v>214</v>
      </c>
      <c r="AU792" t="s">
        <v>214</v>
      </c>
    </row>
    <row r="793" spans="1:47" x14ac:dyDescent="0.25">
      <c r="A793" s="63" t="s">
        <v>171</v>
      </c>
      <c r="B793" s="63" t="s">
        <v>78</v>
      </c>
      <c r="C793" s="63" t="s">
        <v>171</v>
      </c>
      <c r="D793" s="34" t="s">
        <v>14</v>
      </c>
      <c r="E793" s="62" t="str">
        <f t="shared" si="12"/>
        <v>VelocidromeKO</v>
      </c>
      <c r="F793">
        <v>104</v>
      </c>
      <c r="G793">
        <v>156</v>
      </c>
      <c r="H793">
        <v>208</v>
      </c>
      <c r="I793">
        <v>260</v>
      </c>
      <c r="J793" s="29"/>
      <c r="K793" s="6">
        <v>104</v>
      </c>
      <c r="L793">
        <v>140</v>
      </c>
      <c r="M793">
        <v>176</v>
      </c>
      <c r="N793">
        <v>212</v>
      </c>
      <c r="P793" s="6"/>
      <c r="U793" s="6"/>
      <c r="AE793" s="6"/>
      <c r="AJ793" s="6"/>
      <c r="AO793" s="6"/>
      <c r="AS793">
        <v>10</v>
      </c>
      <c r="AT793" t="s">
        <v>214</v>
      </c>
      <c r="AU793" t="s">
        <v>214</v>
      </c>
    </row>
    <row r="794" spans="1:47" x14ac:dyDescent="0.25">
      <c r="A794" s="63" t="s">
        <v>171</v>
      </c>
      <c r="B794" s="63" t="s">
        <v>78</v>
      </c>
      <c r="C794" s="63" t="s">
        <v>171</v>
      </c>
      <c r="D794" s="33" t="s">
        <v>34</v>
      </c>
      <c r="E794" s="62" t="str">
        <f t="shared" si="12"/>
        <v>VelocidromeMount</v>
      </c>
      <c r="F794">
        <v>80</v>
      </c>
      <c r="G794">
        <v>208</v>
      </c>
      <c r="H794">
        <v>336</v>
      </c>
      <c r="I794">
        <v>464</v>
      </c>
      <c r="K794" s="6">
        <v>80</v>
      </c>
      <c r="L794">
        <v>208</v>
      </c>
      <c r="M794">
        <v>336</v>
      </c>
      <c r="N794">
        <v>464</v>
      </c>
      <c r="P794" s="6"/>
      <c r="R794" s="6"/>
      <c r="U794" s="6"/>
      <c r="AE794" s="6"/>
      <c r="AJ794" s="6"/>
      <c r="AO794" s="6"/>
      <c r="AS794"/>
      <c r="AT794" t="s">
        <v>214</v>
      </c>
      <c r="AU794" t="s">
        <v>214</v>
      </c>
    </row>
    <row r="795" spans="1:47" x14ac:dyDescent="0.25">
      <c r="A795" s="63" t="s">
        <v>171</v>
      </c>
      <c r="B795" s="63" t="s">
        <v>78</v>
      </c>
      <c r="C795" s="63" t="s">
        <v>171</v>
      </c>
      <c r="D795" s="77" t="s">
        <v>207</v>
      </c>
      <c r="E795" s="62" t="str">
        <f t="shared" si="12"/>
        <v>VelocidromeShock Trap</v>
      </c>
      <c r="K795" s="6"/>
      <c r="P795" s="6"/>
      <c r="U795" s="6"/>
      <c r="AE795" s="6"/>
      <c r="AJ795" s="6"/>
      <c r="AO795" s="6"/>
      <c r="AS795">
        <v>15</v>
      </c>
      <c r="AT795">
        <v>18</v>
      </c>
      <c r="AU795">
        <v>15</v>
      </c>
    </row>
    <row r="796" spans="1:47" s="56" customFormat="1" x14ac:dyDescent="0.25">
      <c r="A796" s="63" t="s">
        <v>171</v>
      </c>
      <c r="B796" s="63" t="s">
        <v>78</v>
      </c>
      <c r="C796" s="63" t="s">
        <v>171</v>
      </c>
      <c r="D796" s="79" t="s">
        <v>213</v>
      </c>
      <c r="E796" s="62" t="str">
        <f t="shared" si="12"/>
        <v>VelocidromePitfall Trap</v>
      </c>
      <c r="K796" s="7"/>
      <c r="P796" s="7"/>
      <c r="U796" s="7"/>
      <c r="Z796" s="7"/>
      <c r="AE796" s="7"/>
      <c r="AJ796" s="7"/>
      <c r="AO796" s="7"/>
      <c r="AS796" s="56">
        <v>15</v>
      </c>
      <c r="AT796" s="56">
        <v>25</v>
      </c>
      <c r="AU796" s="56">
        <v>18</v>
      </c>
    </row>
    <row r="797" spans="1:47" s="36" customFormat="1" x14ac:dyDescent="0.25">
      <c r="A797" s="63" t="s">
        <v>91</v>
      </c>
      <c r="B797" s="63" t="s">
        <v>79</v>
      </c>
      <c r="C797" s="63" t="s">
        <v>91</v>
      </c>
      <c r="D797" s="37" t="s">
        <v>0</v>
      </c>
      <c r="E797" s="62" t="str">
        <f t="shared" si="12"/>
        <v>VolvidonPara</v>
      </c>
      <c r="F797" s="36">
        <v>200</v>
      </c>
      <c r="G797" s="36">
        <v>320</v>
      </c>
      <c r="H797" s="36">
        <v>560</v>
      </c>
      <c r="I797" s="36">
        <v>560</v>
      </c>
      <c r="J797" s="61"/>
      <c r="K797" s="50"/>
      <c r="P797" s="6"/>
      <c r="Q797" s="46"/>
      <c r="R797" s="46"/>
      <c r="S797" s="46"/>
      <c r="U797" s="50"/>
      <c r="Z797" s="6">
        <v>200</v>
      </c>
      <c r="AA797" s="46">
        <v>400</v>
      </c>
      <c r="AB797" s="46">
        <v>600</v>
      </c>
      <c r="AC797" s="46">
        <v>800</v>
      </c>
      <c r="AE797" s="50">
        <v>200</v>
      </c>
      <c r="AF797" s="36">
        <v>400</v>
      </c>
      <c r="AG797" s="36">
        <v>600</v>
      </c>
      <c r="AH797" s="36">
        <v>800</v>
      </c>
      <c r="AJ797" s="6"/>
      <c r="AK797" s="46"/>
      <c r="AL797" s="46"/>
      <c r="AM797" s="46"/>
      <c r="AO797" s="50"/>
      <c r="AS797" s="36">
        <v>10</v>
      </c>
      <c r="AT797" s="36" t="s">
        <v>214</v>
      </c>
      <c r="AU797" s="36" t="s">
        <v>214</v>
      </c>
    </row>
    <row r="798" spans="1:47" x14ac:dyDescent="0.25">
      <c r="A798" s="63" t="s">
        <v>91</v>
      </c>
      <c r="B798" s="63" t="s">
        <v>79</v>
      </c>
      <c r="C798" s="63" t="s">
        <v>91</v>
      </c>
      <c r="D798" s="31" t="s">
        <v>32</v>
      </c>
      <c r="E798" s="62" t="str">
        <f t="shared" si="12"/>
        <v>VolvidonSleep</v>
      </c>
      <c r="F798">
        <v>200</v>
      </c>
      <c r="G798">
        <v>200</v>
      </c>
      <c r="H798">
        <v>200</v>
      </c>
      <c r="I798">
        <v>200</v>
      </c>
      <c r="K798" s="6"/>
      <c r="O798" t="s">
        <v>109</v>
      </c>
      <c r="P798" s="6"/>
      <c r="U798" s="6"/>
      <c r="Z798" s="6">
        <v>200</v>
      </c>
      <c r="AA798">
        <v>400</v>
      </c>
      <c r="AB798">
        <v>600</v>
      </c>
      <c r="AC798">
        <v>800</v>
      </c>
      <c r="AE798" s="6">
        <v>200</v>
      </c>
      <c r="AF798">
        <v>400</v>
      </c>
      <c r="AG798">
        <v>600</v>
      </c>
      <c r="AH798">
        <v>800</v>
      </c>
      <c r="AJ798" s="6"/>
      <c r="AO798" s="6"/>
      <c r="AS798">
        <v>60</v>
      </c>
      <c r="AT798" t="s">
        <v>214</v>
      </c>
      <c r="AU798" t="s">
        <v>214</v>
      </c>
    </row>
    <row r="799" spans="1:47" x14ac:dyDescent="0.25">
      <c r="A799" s="63" t="s">
        <v>91</v>
      </c>
      <c r="B799" s="63" t="s">
        <v>79</v>
      </c>
      <c r="C799" s="63" t="s">
        <v>91</v>
      </c>
      <c r="D799" s="32" t="s">
        <v>33</v>
      </c>
      <c r="E799" s="62" t="str">
        <f t="shared" si="12"/>
        <v>VolvidonPoison</v>
      </c>
      <c r="F799">
        <v>150</v>
      </c>
      <c r="G799">
        <v>222</v>
      </c>
      <c r="H799">
        <v>294</v>
      </c>
      <c r="I799">
        <v>366</v>
      </c>
      <c r="J799" s="29"/>
      <c r="K799" s="6"/>
      <c r="P799" s="6"/>
      <c r="U799" s="6"/>
      <c r="Z799" s="6">
        <v>150</v>
      </c>
      <c r="AA799">
        <v>270</v>
      </c>
      <c r="AB799">
        <v>390</v>
      </c>
      <c r="AC799">
        <v>510</v>
      </c>
      <c r="AE799" s="6">
        <v>150</v>
      </c>
      <c r="AF799">
        <v>270</v>
      </c>
      <c r="AG799">
        <v>390</v>
      </c>
      <c r="AH799">
        <v>510</v>
      </c>
      <c r="AJ799" s="6"/>
      <c r="AO799" s="6"/>
      <c r="AS799">
        <v>60</v>
      </c>
      <c r="AT799" t="s">
        <v>214</v>
      </c>
      <c r="AU799" t="s">
        <v>214</v>
      </c>
    </row>
    <row r="800" spans="1:47" x14ac:dyDescent="0.25">
      <c r="A800" s="63" t="s">
        <v>91</v>
      </c>
      <c r="B800" s="63" t="s">
        <v>79</v>
      </c>
      <c r="C800" s="63" t="s">
        <v>91</v>
      </c>
      <c r="D800" s="10" t="s">
        <v>22</v>
      </c>
      <c r="E800" s="62" t="str">
        <f t="shared" si="12"/>
        <v>VolvidonExhaust</v>
      </c>
      <c r="F800">
        <v>300</v>
      </c>
      <c r="G800">
        <v>450</v>
      </c>
      <c r="H800">
        <v>600</v>
      </c>
      <c r="I800">
        <v>750</v>
      </c>
      <c r="J800" s="29"/>
      <c r="K800" s="6"/>
      <c r="P800" s="6"/>
      <c r="U800" s="6"/>
      <c r="Z800" s="6">
        <v>370</v>
      </c>
      <c r="AA800">
        <v>555</v>
      </c>
      <c r="AB800">
        <v>740</v>
      </c>
      <c r="AC800">
        <v>925</v>
      </c>
      <c r="AE800" s="6">
        <v>370</v>
      </c>
      <c r="AF800">
        <v>555</v>
      </c>
      <c r="AG800">
        <v>740</v>
      </c>
      <c r="AH800">
        <v>925</v>
      </c>
      <c r="AJ800" s="6"/>
      <c r="AO800" s="6"/>
      <c r="AS800"/>
      <c r="AT800" t="s">
        <v>214</v>
      </c>
      <c r="AU800" t="s">
        <v>214</v>
      </c>
    </row>
    <row r="801" spans="1:47" x14ac:dyDescent="0.25">
      <c r="A801" s="63" t="s">
        <v>91</v>
      </c>
      <c r="B801" s="63" t="s">
        <v>79</v>
      </c>
      <c r="C801" s="63" t="s">
        <v>91</v>
      </c>
      <c r="D801" s="30" t="s">
        <v>35</v>
      </c>
      <c r="E801" s="62" t="str">
        <f t="shared" si="12"/>
        <v>VolvidonBlast</v>
      </c>
      <c r="F801">
        <v>70</v>
      </c>
      <c r="G801">
        <v>103</v>
      </c>
      <c r="H801">
        <v>136</v>
      </c>
      <c r="I801">
        <v>169</v>
      </c>
      <c r="K801" s="6"/>
      <c r="P801" s="6"/>
      <c r="R801" s="6"/>
      <c r="U801" s="6"/>
      <c r="Z801" s="6">
        <v>70</v>
      </c>
      <c r="AA801">
        <v>130</v>
      </c>
      <c r="AB801" s="6">
        <v>190</v>
      </c>
      <c r="AC801">
        <v>250</v>
      </c>
      <c r="AE801" s="6">
        <v>70</v>
      </c>
      <c r="AF801">
        <v>130</v>
      </c>
      <c r="AG801" s="6">
        <v>190</v>
      </c>
      <c r="AH801">
        <v>250</v>
      </c>
      <c r="AJ801" s="6"/>
      <c r="AO801" s="6"/>
      <c r="AS801"/>
      <c r="AT801" t="s">
        <v>214</v>
      </c>
      <c r="AU801" t="s">
        <v>214</v>
      </c>
    </row>
    <row r="802" spans="1:47" x14ac:dyDescent="0.25">
      <c r="A802" s="63" t="s">
        <v>91</v>
      </c>
      <c r="B802" s="63" t="s">
        <v>79</v>
      </c>
      <c r="C802" s="63" t="s">
        <v>91</v>
      </c>
      <c r="D802" s="34" t="s">
        <v>14</v>
      </c>
      <c r="E802" s="62" t="str">
        <f t="shared" si="12"/>
        <v>VolvidonKO</v>
      </c>
      <c r="F802">
        <v>130</v>
      </c>
      <c r="G802">
        <v>260</v>
      </c>
      <c r="H802">
        <v>390</v>
      </c>
      <c r="I802">
        <v>520</v>
      </c>
      <c r="J802" s="29"/>
      <c r="K802" s="6"/>
      <c r="P802" s="6"/>
      <c r="U802" s="6"/>
      <c r="Z802" s="6">
        <v>140</v>
      </c>
      <c r="AA802">
        <v>280</v>
      </c>
      <c r="AB802">
        <v>420</v>
      </c>
      <c r="AC802">
        <v>560</v>
      </c>
      <c r="AE802" s="6">
        <v>140</v>
      </c>
      <c r="AF802">
        <v>280</v>
      </c>
      <c r="AG802">
        <v>420</v>
      </c>
      <c r="AH802">
        <v>560</v>
      </c>
      <c r="AJ802" s="6"/>
      <c r="AO802" s="6"/>
      <c r="AS802">
        <v>10</v>
      </c>
      <c r="AT802" t="s">
        <v>214</v>
      </c>
      <c r="AU802" t="s">
        <v>214</v>
      </c>
    </row>
    <row r="803" spans="1:47" x14ac:dyDescent="0.25">
      <c r="A803" s="63" t="s">
        <v>91</v>
      </c>
      <c r="B803" s="63" t="s">
        <v>79</v>
      </c>
      <c r="C803" s="63" t="s">
        <v>91</v>
      </c>
      <c r="D803" s="33" t="s">
        <v>34</v>
      </c>
      <c r="E803" s="62" t="str">
        <f t="shared" si="12"/>
        <v>VolvidonMount</v>
      </c>
      <c r="F803">
        <v>80</v>
      </c>
      <c r="G803">
        <v>200</v>
      </c>
      <c r="H803">
        <v>320</v>
      </c>
      <c r="I803">
        <v>440</v>
      </c>
      <c r="K803" s="6"/>
      <c r="P803" s="6"/>
      <c r="R803" s="6"/>
      <c r="U803" s="6"/>
      <c r="Z803" s="6">
        <v>90</v>
      </c>
      <c r="AA803">
        <v>234</v>
      </c>
      <c r="AB803">
        <v>378</v>
      </c>
      <c r="AC803">
        <v>522</v>
      </c>
      <c r="AE803" s="6">
        <v>90</v>
      </c>
      <c r="AF803">
        <v>234</v>
      </c>
      <c r="AG803">
        <v>378</v>
      </c>
      <c r="AH803">
        <v>522</v>
      </c>
      <c r="AJ803" s="6"/>
      <c r="AO803" s="6"/>
      <c r="AS803"/>
      <c r="AT803" t="s">
        <v>214</v>
      </c>
      <c r="AU803" t="s">
        <v>214</v>
      </c>
    </row>
    <row r="804" spans="1:47" x14ac:dyDescent="0.25">
      <c r="A804" s="63" t="s">
        <v>91</v>
      </c>
      <c r="B804" s="63" t="s">
        <v>79</v>
      </c>
      <c r="C804" s="63" t="s">
        <v>91</v>
      </c>
      <c r="D804" s="77" t="s">
        <v>207</v>
      </c>
      <c r="E804" s="62" t="str">
        <f t="shared" si="12"/>
        <v>VolvidonShock Trap</v>
      </c>
      <c r="K804" s="6"/>
      <c r="P804" s="6"/>
      <c r="U804" s="6"/>
      <c r="AE804" s="6"/>
      <c r="AJ804" s="6"/>
      <c r="AO804" s="6"/>
      <c r="AS804">
        <v>15</v>
      </c>
      <c r="AT804">
        <v>20</v>
      </c>
      <c r="AU804">
        <v>15</v>
      </c>
    </row>
    <row r="805" spans="1:47" s="56" customFormat="1" x14ac:dyDescent="0.25">
      <c r="A805" s="63" t="s">
        <v>91</v>
      </c>
      <c r="B805" s="63" t="s">
        <v>79</v>
      </c>
      <c r="C805" s="63" t="s">
        <v>91</v>
      </c>
      <c r="D805" s="79" t="s">
        <v>213</v>
      </c>
      <c r="E805" s="62" t="str">
        <f t="shared" si="12"/>
        <v>VolvidonPitfall Trap</v>
      </c>
      <c r="K805" s="7"/>
      <c r="P805" s="7"/>
      <c r="U805" s="7"/>
      <c r="Z805" s="7"/>
      <c r="AE805" s="7"/>
      <c r="AJ805" s="7"/>
      <c r="AO805" s="7"/>
      <c r="AS805" s="56">
        <v>20</v>
      </c>
      <c r="AT805" s="56">
        <v>25</v>
      </c>
      <c r="AU805" s="56">
        <v>20</v>
      </c>
    </row>
    <row r="806" spans="1:47" s="36" customFormat="1" x14ac:dyDescent="0.25">
      <c r="A806" s="63" t="s">
        <v>91</v>
      </c>
      <c r="B806" s="63" t="s">
        <v>80</v>
      </c>
      <c r="C806" s="63" t="s">
        <v>91</v>
      </c>
      <c r="D806" s="37" t="s">
        <v>0</v>
      </c>
      <c r="E806" s="62" t="str">
        <f t="shared" si="12"/>
        <v>Yian  GarugaPara</v>
      </c>
      <c r="F806" s="36">
        <v>200</v>
      </c>
      <c r="G806" s="36">
        <v>320</v>
      </c>
      <c r="H806" s="36">
        <v>440</v>
      </c>
      <c r="I806" s="36">
        <v>560</v>
      </c>
      <c r="J806" s="61"/>
      <c r="K806" s="50">
        <v>200</v>
      </c>
      <c r="L806" s="36">
        <v>330</v>
      </c>
      <c r="M806" s="36">
        <v>460</v>
      </c>
      <c r="N806" s="36">
        <v>720</v>
      </c>
      <c r="P806" s="6">
        <v>200</v>
      </c>
      <c r="Q806" s="46">
        <v>380</v>
      </c>
      <c r="R806" s="46">
        <v>560</v>
      </c>
      <c r="S806" s="46">
        <v>740</v>
      </c>
      <c r="U806" s="50"/>
      <c r="Z806" s="6">
        <v>200</v>
      </c>
      <c r="AA806" s="46">
        <v>409</v>
      </c>
      <c r="AB806" s="46">
        <v>619</v>
      </c>
      <c r="AC806" s="46">
        <v>830</v>
      </c>
      <c r="AE806" s="50">
        <v>200</v>
      </c>
      <c r="AF806" s="36">
        <v>409</v>
      </c>
      <c r="AG806" s="36">
        <v>619</v>
      </c>
      <c r="AH806" s="36">
        <v>830</v>
      </c>
      <c r="AJ806" s="6">
        <v>200</v>
      </c>
      <c r="AK806" s="46">
        <v>470</v>
      </c>
      <c r="AL806" s="46">
        <v>740</v>
      </c>
      <c r="AM806" s="46">
        <v>1010</v>
      </c>
      <c r="AO806" s="50"/>
      <c r="AS806" s="36">
        <v>10</v>
      </c>
      <c r="AT806" s="36" t="s">
        <v>214</v>
      </c>
      <c r="AU806" s="36" t="s">
        <v>214</v>
      </c>
    </row>
    <row r="807" spans="1:47" x14ac:dyDescent="0.25">
      <c r="A807" s="63" t="s">
        <v>91</v>
      </c>
      <c r="B807" s="63" t="s">
        <v>80</v>
      </c>
      <c r="C807" s="63" t="s">
        <v>91</v>
      </c>
      <c r="D807" s="31" t="s">
        <v>32</v>
      </c>
      <c r="E807" s="62" t="str">
        <f t="shared" si="12"/>
        <v>Yian  GarugaSleep</v>
      </c>
      <c r="F807">
        <v>150</v>
      </c>
      <c r="G807">
        <v>240</v>
      </c>
      <c r="H807">
        <v>330</v>
      </c>
      <c r="I807">
        <v>420</v>
      </c>
      <c r="K807" s="6">
        <v>150</v>
      </c>
      <c r="L807">
        <v>247</v>
      </c>
      <c r="M807">
        <v>344</v>
      </c>
      <c r="N807">
        <v>441</v>
      </c>
      <c r="P807" s="6">
        <v>150</v>
      </c>
      <c r="Q807">
        <v>285</v>
      </c>
      <c r="R807">
        <v>420</v>
      </c>
      <c r="S807">
        <v>555</v>
      </c>
      <c r="U807" s="6"/>
      <c r="Z807" s="6">
        <v>150</v>
      </c>
      <c r="AA807">
        <v>307</v>
      </c>
      <c r="AB807">
        <v>464</v>
      </c>
      <c r="AC807">
        <v>621</v>
      </c>
      <c r="AE807" s="6">
        <v>150</v>
      </c>
      <c r="AF807">
        <v>307</v>
      </c>
      <c r="AG807">
        <v>464</v>
      </c>
      <c r="AH807">
        <v>621</v>
      </c>
      <c r="AJ807" s="6">
        <v>150</v>
      </c>
      <c r="AK807">
        <v>352</v>
      </c>
      <c r="AL807">
        <v>554</v>
      </c>
      <c r="AM807">
        <v>756</v>
      </c>
      <c r="AO807" s="6"/>
      <c r="AS807">
        <v>40</v>
      </c>
      <c r="AT807" t="s">
        <v>214</v>
      </c>
      <c r="AU807" t="s">
        <v>214</v>
      </c>
    </row>
    <row r="808" spans="1:47" x14ac:dyDescent="0.25">
      <c r="A808" s="63" t="s">
        <v>91</v>
      </c>
      <c r="B808" s="63" t="s">
        <v>80</v>
      </c>
      <c r="C808" s="63" t="s">
        <v>91</v>
      </c>
      <c r="D808" s="32" t="s">
        <v>33</v>
      </c>
      <c r="E808" s="62" t="str">
        <f t="shared" si="12"/>
        <v>Yian  GarugaPoison</v>
      </c>
      <c r="F808">
        <v>0</v>
      </c>
      <c r="G808">
        <v>0</v>
      </c>
      <c r="H808">
        <v>0</v>
      </c>
      <c r="I808">
        <v>0</v>
      </c>
      <c r="J808" s="29"/>
      <c r="K808" s="6">
        <v>0</v>
      </c>
      <c r="L808">
        <v>0</v>
      </c>
      <c r="M808">
        <v>0</v>
      </c>
      <c r="N808">
        <v>0</v>
      </c>
      <c r="P808" s="6">
        <v>0</v>
      </c>
      <c r="Q808">
        <v>0</v>
      </c>
      <c r="R808">
        <v>0</v>
      </c>
      <c r="S808">
        <v>0</v>
      </c>
      <c r="U808" s="6"/>
      <c r="Z808" s="6">
        <v>0</v>
      </c>
      <c r="AA808">
        <v>0</v>
      </c>
      <c r="AB808">
        <v>0</v>
      </c>
      <c r="AC808">
        <v>0</v>
      </c>
      <c r="AE808" s="6">
        <v>0</v>
      </c>
      <c r="AF808">
        <v>0</v>
      </c>
      <c r="AG808">
        <v>0</v>
      </c>
      <c r="AH808">
        <v>0</v>
      </c>
      <c r="AJ808" s="6">
        <v>0</v>
      </c>
      <c r="AK808">
        <v>0</v>
      </c>
      <c r="AL808">
        <v>0</v>
      </c>
      <c r="AM808">
        <v>0</v>
      </c>
      <c r="AO808" s="6"/>
      <c r="AS808">
        <v>0</v>
      </c>
      <c r="AT808" t="s">
        <v>214</v>
      </c>
      <c r="AU808" t="s">
        <v>214</v>
      </c>
    </row>
    <row r="809" spans="1:47" x14ac:dyDescent="0.25">
      <c r="A809" s="63" t="s">
        <v>91</v>
      </c>
      <c r="B809" s="63" t="s">
        <v>80</v>
      </c>
      <c r="C809" s="63" t="s">
        <v>91</v>
      </c>
      <c r="D809" s="10" t="s">
        <v>22</v>
      </c>
      <c r="E809" s="62" t="str">
        <f t="shared" si="12"/>
        <v>Yian  GarugaExhaust</v>
      </c>
      <c r="F809">
        <v>420</v>
      </c>
      <c r="G809">
        <v>720</v>
      </c>
      <c r="H809">
        <v>1020</v>
      </c>
      <c r="I809">
        <v>1320</v>
      </c>
      <c r="J809" s="29"/>
      <c r="K809" s="6">
        <v>448</v>
      </c>
      <c r="L809">
        <v>768</v>
      </c>
      <c r="M809">
        <v>1088</v>
      </c>
      <c r="N809">
        <v>1408</v>
      </c>
      <c r="P809" s="6">
        <v>490</v>
      </c>
      <c r="Q809">
        <v>840</v>
      </c>
      <c r="R809">
        <v>1190</v>
      </c>
      <c r="S809">
        <v>1540</v>
      </c>
      <c r="U809" s="6"/>
      <c r="Z809" s="6">
        <v>532</v>
      </c>
      <c r="AA809">
        <v>912</v>
      </c>
      <c r="AB809">
        <v>1292</v>
      </c>
      <c r="AC809">
        <v>1672</v>
      </c>
      <c r="AE809" s="6">
        <v>532</v>
      </c>
      <c r="AF809">
        <v>912</v>
      </c>
      <c r="AG809">
        <v>1292</v>
      </c>
      <c r="AH809">
        <v>1672</v>
      </c>
      <c r="AJ809" s="6">
        <v>700</v>
      </c>
      <c r="AK809">
        <v>1200</v>
      </c>
      <c r="AL809">
        <v>1700</v>
      </c>
      <c r="AM809">
        <v>2200</v>
      </c>
      <c r="AO809" s="6"/>
      <c r="AS809"/>
      <c r="AT809" t="s">
        <v>214</v>
      </c>
      <c r="AU809" t="s">
        <v>214</v>
      </c>
    </row>
    <row r="810" spans="1:47" x14ac:dyDescent="0.25">
      <c r="A810" s="63" t="s">
        <v>91</v>
      </c>
      <c r="B810" s="63" t="s">
        <v>80</v>
      </c>
      <c r="C810" s="63" t="s">
        <v>91</v>
      </c>
      <c r="D810" s="30" t="s">
        <v>35</v>
      </c>
      <c r="E810" s="62" t="str">
        <f t="shared" si="12"/>
        <v>Yian  GarugaBlast</v>
      </c>
      <c r="F810">
        <v>55</v>
      </c>
      <c r="G810">
        <v>109</v>
      </c>
      <c r="H810">
        <v>163</v>
      </c>
      <c r="I810">
        <v>217</v>
      </c>
      <c r="K810" s="6">
        <v>55</v>
      </c>
      <c r="L810">
        <v>109</v>
      </c>
      <c r="M810">
        <v>163</v>
      </c>
      <c r="N810">
        <v>217</v>
      </c>
      <c r="P810" s="6">
        <v>55</v>
      </c>
      <c r="Q810">
        <v>136</v>
      </c>
      <c r="R810" s="6">
        <v>217</v>
      </c>
      <c r="S810">
        <v>298</v>
      </c>
      <c r="U810" s="6"/>
      <c r="Z810" s="6">
        <v>55</v>
      </c>
      <c r="AA810">
        <v>149</v>
      </c>
      <c r="AB810" s="6">
        <v>243</v>
      </c>
      <c r="AC810">
        <v>337</v>
      </c>
      <c r="AE810" s="6">
        <v>55</v>
      </c>
      <c r="AF810">
        <v>149</v>
      </c>
      <c r="AG810" s="6">
        <v>243</v>
      </c>
      <c r="AH810">
        <v>337</v>
      </c>
      <c r="AJ810" s="6">
        <v>55</v>
      </c>
      <c r="AK810">
        <v>176</v>
      </c>
      <c r="AL810">
        <v>297</v>
      </c>
      <c r="AM810">
        <v>418</v>
      </c>
      <c r="AO810" s="6"/>
      <c r="AS810"/>
      <c r="AT810" t="s">
        <v>214</v>
      </c>
      <c r="AU810" t="s">
        <v>214</v>
      </c>
    </row>
    <row r="811" spans="1:47" x14ac:dyDescent="0.25">
      <c r="A811" s="63" t="s">
        <v>91</v>
      </c>
      <c r="B811" s="63" t="s">
        <v>80</v>
      </c>
      <c r="C811" s="63" t="s">
        <v>91</v>
      </c>
      <c r="D811" s="34" t="s">
        <v>14</v>
      </c>
      <c r="E811" s="62" t="str">
        <f t="shared" si="12"/>
        <v>Yian  GarugaKO</v>
      </c>
      <c r="F811">
        <v>195</v>
      </c>
      <c r="G811">
        <v>364</v>
      </c>
      <c r="H811">
        <v>533</v>
      </c>
      <c r="I811">
        <v>702</v>
      </c>
      <c r="J811" s="29"/>
      <c r="K811" s="6">
        <v>195</v>
      </c>
      <c r="L811">
        <v>364</v>
      </c>
      <c r="M811">
        <v>533</v>
      </c>
      <c r="N811">
        <v>702</v>
      </c>
      <c r="P811" s="6">
        <v>195</v>
      </c>
      <c r="Q811">
        <v>364</v>
      </c>
      <c r="R811">
        <v>533</v>
      </c>
      <c r="S811">
        <v>702</v>
      </c>
      <c r="U811" s="6"/>
      <c r="Z811" s="6">
        <v>225</v>
      </c>
      <c r="AA811">
        <v>420</v>
      </c>
      <c r="AB811">
        <v>615</v>
      </c>
      <c r="AC811">
        <v>810</v>
      </c>
      <c r="AE811" s="6">
        <v>225</v>
      </c>
      <c r="AF811">
        <v>420</v>
      </c>
      <c r="AG811">
        <v>615</v>
      </c>
      <c r="AH811">
        <v>810</v>
      </c>
      <c r="AJ811" s="6">
        <v>300</v>
      </c>
      <c r="AK811">
        <v>560</v>
      </c>
      <c r="AL811">
        <v>820</v>
      </c>
      <c r="AM811">
        <v>1080</v>
      </c>
      <c r="AO811" s="6"/>
      <c r="AS811">
        <v>10</v>
      </c>
      <c r="AT811" t="s">
        <v>214</v>
      </c>
      <c r="AU811" t="s">
        <v>214</v>
      </c>
    </row>
    <row r="812" spans="1:47" x14ac:dyDescent="0.25">
      <c r="A812" s="63" t="s">
        <v>91</v>
      </c>
      <c r="B812" s="63" t="s">
        <v>80</v>
      </c>
      <c r="C812" s="63" t="s">
        <v>91</v>
      </c>
      <c r="D812" s="33" t="s">
        <v>34</v>
      </c>
      <c r="E812" s="62" t="str">
        <f t="shared" si="12"/>
        <v>Yian  GarugaMount</v>
      </c>
      <c r="F812">
        <v>80</v>
      </c>
      <c r="G812">
        <v>208</v>
      </c>
      <c r="H812">
        <v>336</v>
      </c>
      <c r="I812">
        <v>464</v>
      </c>
      <c r="K812" s="6">
        <v>80</v>
      </c>
      <c r="L812">
        <v>208</v>
      </c>
      <c r="M812">
        <v>336</v>
      </c>
      <c r="N812">
        <v>464</v>
      </c>
      <c r="P812" s="6">
        <v>85</v>
      </c>
      <c r="Q812">
        <v>221</v>
      </c>
      <c r="R812" s="6">
        <v>357</v>
      </c>
      <c r="S812">
        <v>493</v>
      </c>
      <c r="U812" s="6"/>
      <c r="Z812" s="6">
        <v>90</v>
      </c>
      <c r="AA812">
        <v>234</v>
      </c>
      <c r="AB812">
        <v>378</v>
      </c>
      <c r="AC812">
        <v>522</v>
      </c>
      <c r="AE812" s="6">
        <v>90</v>
      </c>
      <c r="AF812">
        <v>234</v>
      </c>
      <c r="AG812">
        <v>378</v>
      </c>
      <c r="AH812">
        <v>522</v>
      </c>
      <c r="AJ812" s="6">
        <v>100</v>
      </c>
      <c r="AK812">
        <v>260</v>
      </c>
      <c r="AL812">
        <v>420</v>
      </c>
      <c r="AM812">
        <v>580</v>
      </c>
      <c r="AO812" s="6"/>
      <c r="AS812"/>
      <c r="AT812" t="s">
        <v>214</v>
      </c>
      <c r="AU812" t="s">
        <v>214</v>
      </c>
    </row>
    <row r="813" spans="1:47" x14ac:dyDescent="0.25">
      <c r="A813" s="63" t="s">
        <v>91</v>
      </c>
      <c r="B813" s="63" t="s">
        <v>80</v>
      </c>
      <c r="C813" s="63" t="s">
        <v>91</v>
      </c>
      <c r="D813" s="77" t="s">
        <v>207</v>
      </c>
      <c r="E813" s="62" t="str">
        <f t="shared" si="12"/>
        <v>Yian  GarugaShock Trap</v>
      </c>
      <c r="K813" s="6"/>
      <c r="P813" s="6"/>
      <c r="U813" s="6"/>
      <c r="AE813" s="6"/>
      <c r="AJ813" s="6"/>
      <c r="AO813" s="6"/>
      <c r="AS813">
        <v>8</v>
      </c>
      <c r="AT813">
        <v>15</v>
      </c>
      <c r="AU813">
        <v>8</v>
      </c>
    </row>
    <row r="814" spans="1:47" s="56" customFormat="1" x14ac:dyDescent="0.25">
      <c r="A814" s="63" t="s">
        <v>91</v>
      </c>
      <c r="B814" s="63" t="s">
        <v>80</v>
      </c>
      <c r="C814" s="63" t="s">
        <v>91</v>
      </c>
      <c r="D814" s="79" t="s">
        <v>213</v>
      </c>
      <c r="E814" s="62" t="str">
        <f t="shared" si="12"/>
        <v>Yian  GarugaPitfall Trap</v>
      </c>
      <c r="K814" s="7"/>
      <c r="P814" s="7"/>
      <c r="U814" s="7"/>
      <c r="Z814" s="7"/>
      <c r="AE814" s="7"/>
      <c r="AJ814" s="7"/>
      <c r="AO814" s="7"/>
      <c r="AS814" s="56">
        <v>17</v>
      </c>
      <c r="AT814" s="56">
        <v>25</v>
      </c>
      <c r="AU814" s="56">
        <v>17</v>
      </c>
    </row>
    <row r="815" spans="1:47" s="36" customFormat="1" x14ac:dyDescent="0.25">
      <c r="A815" s="63" t="s">
        <v>91</v>
      </c>
      <c r="B815" s="63" t="s">
        <v>81</v>
      </c>
      <c r="C815" s="63" t="s">
        <v>91</v>
      </c>
      <c r="D815" s="37" t="s">
        <v>0</v>
      </c>
      <c r="E815" s="62" t="str">
        <f t="shared" si="12"/>
        <v>Yian Kut-kuPara</v>
      </c>
      <c r="F815" s="36">
        <v>100</v>
      </c>
      <c r="G815" s="36">
        <v>210</v>
      </c>
      <c r="H815" s="36">
        <v>320</v>
      </c>
      <c r="I815" s="36">
        <v>430</v>
      </c>
      <c r="J815" s="61"/>
      <c r="K815" s="50"/>
      <c r="P815" s="6">
        <v>100</v>
      </c>
      <c r="Q815" s="46">
        <v>280</v>
      </c>
      <c r="R815" s="46">
        <v>460</v>
      </c>
      <c r="S815" s="46">
        <v>640</v>
      </c>
      <c r="U815" s="50">
        <v>100</v>
      </c>
      <c r="V815" s="36">
        <v>230</v>
      </c>
      <c r="W815" s="36">
        <v>360</v>
      </c>
      <c r="X815" s="36">
        <v>490</v>
      </c>
      <c r="Z815" s="6">
        <v>100</v>
      </c>
      <c r="AA815" s="46">
        <v>290</v>
      </c>
      <c r="AB815" s="46">
        <v>480</v>
      </c>
      <c r="AC815" s="46">
        <v>670</v>
      </c>
      <c r="AE815" s="50"/>
      <c r="AJ815" s="6">
        <v>100</v>
      </c>
      <c r="AK815" s="46"/>
      <c r="AL815" s="46"/>
      <c r="AM815" s="46"/>
      <c r="AO815" s="50"/>
      <c r="AS815" s="36">
        <v>10</v>
      </c>
      <c r="AT815" s="36" t="s">
        <v>214</v>
      </c>
      <c r="AU815" s="36" t="s">
        <v>214</v>
      </c>
    </row>
    <row r="816" spans="1:47" x14ac:dyDescent="0.25">
      <c r="A816" s="63" t="s">
        <v>91</v>
      </c>
      <c r="B816" s="63" t="s">
        <v>81</v>
      </c>
      <c r="C816" s="63" t="s">
        <v>91</v>
      </c>
      <c r="D816" s="31" t="s">
        <v>32</v>
      </c>
      <c r="E816" s="62" t="str">
        <f t="shared" si="12"/>
        <v>Yian Kut-kuSleep</v>
      </c>
      <c r="F816">
        <v>110</v>
      </c>
      <c r="G816">
        <v>220</v>
      </c>
      <c r="H816">
        <v>330</v>
      </c>
      <c r="I816">
        <v>440</v>
      </c>
      <c r="K816" s="6"/>
      <c r="P816" s="6">
        <v>110</v>
      </c>
      <c r="Q816">
        <v>234</v>
      </c>
      <c r="R816">
        <v>358</v>
      </c>
      <c r="S816">
        <v>482</v>
      </c>
      <c r="U816" s="6">
        <v>110</v>
      </c>
      <c r="V816">
        <v>240</v>
      </c>
      <c r="W816">
        <v>370</v>
      </c>
      <c r="X816">
        <v>500</v>
      </c>
      <c r="Z816" s="6">
        <v>110</v>
      </c>
      <c r="AA816">
        <v>300</v>
      </c>
      <c r="AB816">
        <v>490</v>
      </c>
      <c r="AC816">
        <v>680</v>
      </c>
      <c r="AE816" s="6"/>
      <c r="AJ816" s="6">
        <v>110</v>
      </c>
      <c r="AO816" s="6"/>
      <c r="AS816">
        <v>40</v>
      </c>
      <c r="AT816" t="s">
        <v>214</v>
      </c>
      <c r="AU816" t="s">
        <v>214</v>
      </c>
    </row>
    <row r="817" spans="1:47" x14ac:dyDescent="0.25">
      <c r="A817" s="63" t="s">
        <v>91</v>
      </c>
      <c r="B817" s="63" t="s">
        <v>81</v>
      </c>
      <c r="C817" s="63" t="s">
        <v>91</v>
      </c>
      <c r="D817" s="32" t="s">
        <v>33</v>
      </c>
      <c r="E817" s="62" t="str">
        <f t="shared" si="12"/>
        <v>Yian Kut-kuPoison</v>
      </c>
      <c r="F817">
        <v>100</v>
      </c>
      <c r="G817">
        <v>210</v>
      </c>
      <c r="H817">
        <v>320</v>
      </c>
      <c r="I817">
        <v>430</v>
      </c>
      <c r="J817" s="29"/>
      <c r="K817" s="6"/>
      <c r="P817" s="6">
        <v>100</v>
      </c>
      <c r="Q817">
        <v>280</v>
      </c>
      <c r="R817">
        <v>460</v>
      </c>
      <c r="S817">
        <v>640</v>
      </c>
      <c r="U817" s="6">
        <v>110</v>
      </c>
      <c r="V817">
        <v>240</v>
      </c>
      <c r="W817">
        <v>370</v>
      </c>
      <c r="X817">
        <v>500</v>
      </c>
      <c r="Z817" s="6">
        <v>100</v>
      </c>
      <c r="AA817">
        <v>290</v>
      </c>
      <c r="AB817">
        <v>480</v>
      </c>
      <c r="AC817">
        <v>670</v>
      </c>
      <c r="AE817" s="6"/>
      <c r="AJ817" s="6">
        <v>100</v>
      </c>
      <c r="AO817" s="6"/>
      <c r="AS817">
        <v>40</v>
      </c>
      <c r="AT817" t="s">
        <v>214</v>
      </c>
      <c r="AU817" t="s">
        <v>214</v>
      </c>
    </row>
    <row r="818" spans="1:47" x14ac:dyDescent="0.25">
      <c r="A818" s="63" t="s">
        <v>91</v>
      </c>
      <c r="B818" s="63" t="s">
        <v>81</v>
      </c>
      <c r="C818" s="63" t="s">
        <v>91</v>
      </c>
      <c r="D818" s="10" t="s">
        <v>22</v>
      </c>
      <c r="E818" s="62" t="str">
        <f t="shared" si="12"/>
        <v>Yian Kut-kuExhaust</v>
      </c>
      <c r="F818">
        <v>270</v>
      </c>
      <c r="G818">
        <v>382</v>
      </c>
      <c r="H818">
        <v>494</v>
      </c>
      <c r="I818">
        <v>606</v>
      </c>
      <c r="J818" s="29"/>
      <c r="K818" s="6"/>
      <c r="P818" s="6">
        <v>315</v>
      </c>
      <c r="Q818">
        <v>446</v>
      </c>
      <c r="R818">
        <v>577</v>
      </c>
      <c r="S818">
        <v>708</v>
      </c>
      <c r="U818" s="6">
        <v>288</v>
      </c>
      <c r="V818">
        <v>408</v>
      </c>
      <c r="W818">
        <v>528</v>
      </c>
      <c r="X818">
        <v>648</v>
      </c>
      <c r="Z818" s="6">
        <v>324</v>
      </c>
      <c r="AA818">
        <v>459</v>
      </c>
      <c r="AB818">
        <v>594</v>
      </c>
      <c r="AC818">
        <v>729</v>
      </c>
      <c r="AE818" s="6"/>
      <c r="AJ818" s="6">
        <v>396</v>
      </c>
      <c r="AO818" s="6"/>
      <c r="AS818"/>
      <c r="AT818" t="s">
        <v>214</v>
      </c>
      <c r="AU818" t="s">
        <v>214</v>
      </c>
    </row>
    <row r="819" spans="1:47" x14ac:dyDescent="0.25">
      <c r="A819" s="63" t="s">
        <v>91</v>
      </c>
      <c r="B819" s="63" t="s">
        <v>81</v>
      </c>
      <c r="C819" s="63" t="s">
        <v>91</v>
      </c>
      <c r="D819" s="30" t="s">
        <v>35</v>
      </c>
      <c r="E819" s="62" t="str">
        <f t="shared" si="12"/>
        <v>Yian Kut-kuBlast</v>
      </c>
      <c r="F819">
        <v>130</v>
      </c>
      <c r="G819">
        <v>179</v>
      </c>
      <c r="H819">
        <v>228</v>
      </c>
      <c r="I819">
        <v>277</v>
      </c>
      <c r="K819" s="6"/>
      <c r="P819" s="6">
        <v>130</v>
      </c>
      <c r="Q819">
        <v>211</v>
      </c>
      <c r="R819" s="6">
        <v>292</v>
      </c>
      <c r="S819">
        <v>373</v>
      </c>
      <c r="U819" s="6">
        <v>130</v>
      </c>
      <c r="V819">
        <v>188</v>
      </c>
      <c r="W819">
        <v>292</v>
      </c>
      <c r="X819">
        <v>373</v>
      </c>
      <c r="Z819" s="6">
        <v>130</v>
      </c>
      <c r="AA819">
        <v>215</v>
      </c>
      <c r="AB819" s="6">
        <v>300</v>
      </c>
      <c r="AC819">
        <v>385</v>
      </c>
      <c r="AE819" s="6"/>
      <c r="AG819" s="6"/>
      <c r="AJ819" s="6">
        <v>130</v>
      </c>
      <c r="AK819">
        <v>233</v>
      </c>
      <c r="AL819">
        <v>336</v>
      </c>
      <c r="AM819">
        <v>439</v>
      </c>
      <c r="AO819" s="6"/>
      <c r="AS819"/>
      <c r="AT819" t="s">
        <v>214</v>
      </c>
      <c r="AU819" t="s">
        <v>214</v>
      </c>
    </row>
    <row r="820" spans="1:47" x14ac:dyDescent="0.25">
      <c r="A820" s="63" t="s">
        <v>91</v>
      </c>
      <c r="B820" s="63" t="s">
        <v>81</v>
      </c>
      <c r="C820" s="63" t="s">
        <v>91</v>
      </c>
      <c r="D820" s="34" t="s">
        <v>14</v>
      </c>
      <c r="E820" s="62" t="str">
        <f t="shared" si="12"/>
        <v>Yian Kut-kuKO</v>
      </c>
      <c r="F820">
        <v>156</v>
      </c>
      <c r="G820">
        <v>286</v>
      </c>
      <c r="H820">
        <v>416</v>
      </c>
      <c r="I820">
        <v>546</v>
      </c>
      <c r="J820" s="29"/>
      <c r="K820" s="6"/>
      <c r="P820" s="6">
        <v>156</v>
      </c>
      <c r="Q820">
        <v>286</v>
      </c>
      <c r="R820">
        <v>416</v>
      </c>
      <c r="S820">
        <v>546</v>
      </c>
      <c r="U820" s="6">
        <v>156</v>
      </c>
      <c r="V820">
        <v>286</v>
      </c>
      <c r="W820">
        <v>416</v>
      </c>
      <c r="X820">
        <v>546</v>
      </c>
      <c r="Z820" s="6">
        <v>168</v>
      </c>
      <c r="AA820">
        <v>308</v>
      </c>
      <c r="AB820">
        <v>448</v>
      </c>
      <c r="AC820">
        <v>588</v>
      </c>
      <c r="AE820" s="6"/>
      <c r="AJ820" s="6">
        <v>192</v>
      </c>
      <c r="AO820" s="6"/>
      <c r="AS820">
        <v>10</v>
      </c>
      <c r="AT820" t="s">
        <v>214</v>
      </c>
      <c r="AU820" t="s">
        <v>214</v>
      </c>
    </row>
    <row r="821" spans="1:47" x14ac:dyDescent="0.25">
      <c r="A821" s="63" t="s">
        <v>91</v>
      </c>
      <c r="B821" s="63" t="s">
        <v>81</v>
      </c>
      <c r="C821" s="63" t="s">
        <v>91</v>
      </c>
      <c r="D821" s="33" t="s">
        <v>34</v>
      </c>
      <c r="E821" s="62" t="str">
        <f t="shared" si="12"/>
        <v>Yian Kut-kuMount</v>
      </c>
      <c r="F821">
        <v>96</v>
      </c>
      <c r="G821">
        <v>224</v>
      </c>
      <c r="H821">
        <v>352</v>
      </c>
      <c r="I821">
        <v>480</v>
      </c>
      <c r="K821" s="6"/>
      <c r="P821" s="6">
        <v>102</v>
      </c>
      <c r="Q821">
        <v>238</v>
      </c>
      <c r="R821" s="6">
        <v>374</v>
      </c>
      <c r="S821">
        <v>510</v>
      </c>
      <c r="U821" s="6">
        <v>96</v>
      </c>
      <c r="V821">
        <v>224</v>
      </c>
      <c r="W821">
        <v>352</v>
      </c>
      <c r="X821">
        <v>480</v>
      </c>
      <c r="Z821" s="6">
        <v>102</v>
      </c>
      <c r="AA821">
        <v>238</v>
      </c>
      <c r="AB821">
        <v>374</v>
      </c>
      <c r="AC821">
        <v>510</v>
      </c>
      <c r="AE821" s="6"/>
      <c r="AJ821" s="6">
        <v>120</v>
      </c>
      <c r="AO821" s="6"/>
      <c r="AS821"/>
      <c r="AT821" t="s">
        <v>214</v>
      </c>
      <c r="AU821" t="s">
        <v>214</v>
      </c>
    </row>
    <row r="822" spans="1:47" x14ac:dyDescent="0.25">
      <c r="A822" s="63" t="s">
        <v>91</v>
      </c>
      <c r="B822" s="63" t="s">
        <v>81</v>
      </c>
      <c r="C822" s="63" t="s">
        <v>91</v>
      </c>
      <c r="D822" s="77" t="s">
        <v>207</v>
      </c>
      <c r="E822" s="62" t="str">
        <f t="shared" si="12"/>
        <v>Yian Kut-kuShock Trap</v>
      </c>
      <c r="K822" s="6"/>
      <c r="P822" s="6"/>
      <c r="U822" s="6"/>
      <c r="AE822" s="6"/>
      <c r="AJ822" s="6"/>
      <c r="AO822" s="6"/>
      <c r="AS822">
        <v>10</v>
      </c>
      <c r="AT822">
        <v>15</v>
      </c>
      <c r="AU822">
        <v>12</v>
      </c>
    </row>
    <row r="823" spans="1:47" s="56" customFormat="1" x14ac:dyDescent="0.25">
      <c r="A823" s="63" t="s">
        <v>91</v>
      </c>
      <c r="B823" s="63" t="s">
        <v>81</v>
      </c>
      <c r="C823" s="63" t="s">
        <v>91</v>
      </c>
      <c r="D823" s="79" t="s">
        <v>213</v>
      </c>
      <c r="E823" s="62" t="str">
        <f t="shared" si="12"/>
        <v>Yian Kut-kuPitfall Trap</v>
      </c>
      <c r="K823" s="7"/>
      <c r="P823" s="7"/>
      <c r="U823" s="7"/>
      <c r="Z823" s="7"/>
      <c r="AE823" s="7"/>
      <c r="AJ823" s="7"/>
      <c r="AO823" s="7"/>
      <c r="AS823" s="56">
        <v>12</v>
      </c>
      <c r="AT823" s="56">
        <v>20</v>
      </c>
      <c r="AU823" s="56">
        <v>15</v>
      </c>
    </row>
    <row r="824" spans="1:47" s="36" customFormat="1" x14ac:dyDescent="0.25">
      <c r="A824" s="63" t="s">
        <v>91</v>
      </c>
      <c r="B824" s="63" t="s">
        <v>82</v>
      </c>
      <c r="C824" s="63" t="s">
        <v>91</v>
      </c>
      <c r="D824" s="37" t="s">
        <v>0</v>
      </c>
      <c r="E824" s="62" t="str">
        <f t="shared" si="12"/>
        <v>ZamtriosPara</v>
      </c>
      <c r="F824" s="36">
        <v>200</v>
      </c>
      <c r="G824" s="36">
        <v>290</v>
      </c>
      <c r="H824" s="36">
        <v>380</v>
      </c>
      <c r="I824" s="36">
        <v>560</v>
      </c>
      <c r="J824" s="61"/>
      <c r="K824" s="50">
        <v>200</v>
      </c>
      <c r="L824" s="36">
        <v>297</v>
      </c>
      <c r="M824" s="36">
        <v>395</v>
      </c>
      <c r="N824" s="36">
        <v>492</v>
      </c>
      <c r="P824" s="6">
        <v>200</v>
      </c>
      <c r="Q824" s="46">
        <v>335</v>
      </c>
      <c r="R824" s="46">
        <v>470</v>
      </c>
      <c r="S824" s="46">
        <v>605</v>
      </c>
      <c r="U824" s="50"/>
      <c r="Z824" s="6">
        <v>200</v>
      </c>
      <c r="AA824" s="46">
        <v>350</v>
      </c>
      <c r="AB824" s="46">
        <v>500</v>
      </c>
      <c r="AC824" s="46">
        <v>650</v>
      </c>
      <c r="AE824" s="50"/>
      <c r="AJ824" s="6">
        <v>200</v>
      </c>
      <c r="AK824" s="46">
        <v>395</v>
      </c>
      <c r="AL824" s="46">
        <v>590</v>
      </c>
      <c r="AM824" s="46">
        <v>785</v>
      </c>
      <c r="AO824" s="50"/>
      <c r="AS824" s="36">
        <v>10</v>
      </c>
      <c r="AT824" s="36" t="s">
        <v>214</v>
      </c>
      <c r="AU824" s="36" t="s">
        <v>214</v>
      </c>
    </row>
    <row r="825" spans="1:47" x14ac:dyDescent="0.25">
      <c r="A825" s="63" t="s">
        <v>91</v>
      </c>
      <c r="B825" s="63" t="s">
        <v>82</v>
      </c>
      <c r="C825" s="63" t="s">
        <v>91</v>
      </c>
      <c r="D825" s="31" t="s">
        <v>32</v>
      </c>
      <c r="E825" s="62" t="str">
        <f t="shared" si="12"/>
        <v>ZamtriosSleep</v>
      </c>
      <c r="F825">
        <v>150</v>
      </c>
      <c r="G825">
        <v>150</v>
      </c>
      <c r="H825">
        <v>150</v>
      </c>
      <c r="I825">
        <v>150</v>
      </c>
      <c r="K825" s="6">
        <v>150</v>
      </c>
      <c r="L825">
        <v>280</v>
      </c>
      <c r="M825">
        <v>410</v>
      </c>
      <c r="N825">
        <v>540</v>
      </c>
      <c r="P825" s="6">
        <v>150</v>
      </c>
      <c r="Q825">
        <v>330</v>
      </c>
      <c r="R825">
        <v>510</v>
      </c>
      <c r="S825">
        <v>690</v>
      </c>
      <c r="U825" s="6"/>
      <c r="Z825" s="6">
        <v>150</v>
      </c>
      <c r="AA825">
        <v>350</v>
      </c>
      <c r="AB825">
        <v>550</v>
      </c>
      <c r="AC825">
        <v>750</v>
      </c>
      <c r="AE825" s="6"/>
      <c r="AJ825" s="6">
        <v>150</v>
      </c>
      <c r="AK825">
        <v>410</v>
      </c>
      <c r="AL825">
        <v>670</v>
      </c>
      <c r="AM825">
        <v>930</v>
      </c>
      <c r="AO825" s="6"/>
      <c r="AS825">
        <v>40</v>
      </c>
      <c r="AT825" t="s">
        <v>214</v>
      </c>
      <c r="AU825" t="s">
        <v>214</v>
      </c>
    </row>
    <row r="826" spans="1:47" x14ac:dyDescent="0.25">
      <c r="A826" s="63" t="s">
        <v>91</v>
      </c>
      <c r="B826" s="63" t="s">
        <v>82</v>
      </c>
      <c r="C826" s="63" t="s">
        <v>91</v>
      </c>
      <c r="D826" s="32" t="s">
        <v>33</v>
      </c>
      <c r="E826" s="62" t="str">
        <f t="shared" si="12"/>
        <v>ZamtriosPoison</v>
      </c>
      <c r="F826">
        <v>150</v>
      </c>
      <c r="G826">
        <v>270</v>
      </c>
      <c r="H826">
        <v>390</v>
      </c>
      <c r="I826">
        <v>510</v>
      </c>
      <c r="J826" s="29"/>
      <c r="K826" s="6">
        <v>150</v>
      </c>
      <c r="L826">
        <v>280</v>
      </c>
      <c r="M826">
        <v>410</v>
      </c>
      <c r="N826">
        <v>540</v>
      </c>
      <c r="P826" s="6">
        <v>150</v>
      </c>
      <c r="Q826">
        <v>330</v>
      </c>
      <c r="R826">
        <v>510</v>
      </c>
      <c r="S826">
        <v>690</v>
      </c>
      <c r="U826" s="6"/>
      <c r="Z826" s="6">
        <v>150</v>
      </c>
      <c r="AA826">
        <v>350</v>
      </c>
      <c r="AB826">
        <v>550</v>
      </c>
      <c r="AC826">
        <v>750</v>
      </c>
      <c r="AE826" s="6"/>
      <c r="AJ826" s="6">
        <v>150</v>
      </c>
      <c r="AK826">
        <v>410</v>
      </c>
      <c r="AL826">
        <v>670</v>
      </c>
      <c r="AM826">
        <v>930</v>
      </c>
      <c r="AO826" s="6"/>
      <c r="AS826">
        <v>60</v>
      </c>
      <c r="AT826" t="s">
        <v>214</v>
      </c>
      <c r="AU826" t="s">
        <v>214</v>
      </c>
    </row>
    <row r="827" spans="1:47" x14ac:dyDescent="0.25">
      <c r="A827" s="63" t="s">
        <v>91</v>
      </c>
      <c r="B827" s="63" t="s">
        <v>82</v>
      </c>
      <c r="C827" s="63" t="s">
        <v>91</v>
      </c>
      <c r="D827" s="10" t="s">
        <v>22</v>
      </c>
      <c r="E827" s="62" t="str">
        <f t="shared" si="12"/>
        <v>ZamtriosExhaust</v>
      </c>
      <c r="F827">
        <v>270</v>
      </c>
      <c r="G827">
        <v>382</v>
      </c>
      <c r="H827">
        <v>494</v>
      </c>
      <c r="I827">
        <v>606</v>
      </c>
      <c r="J827" s="29"/>
      <c r="K827" s="6">
        <v>288</v>
      </c>
      <c r="L827">
        <v>408</v>
      </c>
      <c r="M827">
        <v>528</v>
      </c>
      <c r="N827">
        <v>648</v>
      </c>
      <c r="P827" s="6">
        <v>315</v>
      </c>
      <c r="Q827">
        <v>446</v>
      </c>
      <c r="R827">
        <v>577</v>
      </c>
      <c r="S827">
        <v>708</v>
      </c>
      <c r="U827" s="6"/>
      <c r="Z827" s="6">
        <v>333</v>
      </c>
      <c r="AA827">
        <v>471</v>
      </c>
      <c r="AB827">
        <v>609</v>
      </c>
      <c r="AC827">
        <v>747</v>
      </c>
      <c r="AE827" s="6"/>
      <c r="AJ827" s="6">
        <v>450</v>
      </c>
      <c r="AK827">
        <v>637</v>
      </c>
      <c r="AL827">
        <v>824</v>
      </c>
      <c r="AM827">
        <v>1011</v>
      </c>
      <c r="AO827" s="6"/>
      <c r="AS827"/>
      <c r="AT827" t="s">
        <v>214</v>
      </c>
      <c r="AU827" t="s">
        <v>214</v>
      </c>
    </row>
    <row r="828" spans="1:47" x14ac:dyDescent="0.25">
      <c r="A828" s="63" t="s">
        <v>91</v>
      </c>
      <c r="B828" s="63" t="s">
        <v>82</v>
      </c>
      <c r="C828" s="63" t="s">
        <v>91</v>
      </c>
      <c r="D828" s="30" t="s">
        <v>35</v>
      </c>
      <c r="E828" s="62" t="str">
        <f t="shared" si="12"/>
        <v>ZamtriosBlast</v>
      </c>
      <c r="F828">
        <v>130</v>
      </c>
      <c r="G828">
        <v>184</v>
      </c>
      <c r="H828">
        <v>238</v>
      </c>
      <c r="I828">
        <v>292</v>
      </c>
      <c r="K828" s="6">
        <v>130</v>
      </c>
      <c r="L828">
        <v>184</v>
      </c>
      <c r="M828">
        <v>238</v>
      </c>
      <c r="N828">
        <v>292</v>
      </c>
      <c r="P828" s="6">
        <v>130</v>
      </c>
      <c r="Q828">
        <v>211</v>
      </c>
      <c r="R828" s="6">
        <v>292</v>
      </c>
      <c r="S828">
        <v>373</v>
      </c>
      <c r="U828" s="6"/>
      <c r="Z828" s="6">
        <v>130</v>
      </c>
      <c r="AA828">
        <v>220</v>
      </c>
      <c r="AB828" s="6">
        <v>310</v>
      </c>
      <c r="AC828">
        <v>400</v>
      </c>
      <c r="AE828" s="6"/>
      <c r="AG828" s="6"/>
      <c r="AJ828" s="6">
        <v>130</v>
      </c>
      <c r="AK828">
        <v>246</v>
      </c>
      <c r="AL828">
        <v>362</v>
      </c>
      <c r="AM828">
        <v>478</v>
      </c>
      <c r="AO828" s="6"/>
      <c r="AS828"/>
      <c r="AT828" t="s">
        <v>214</v>
      </c>
      <c r="AU828" t="s">
        <v>214</v>
      </c>
    </row>
    <row r="829" spans="1:47" x14ac:dyDescent="0.25">
      <c r="A829" s="63" t="s">
        <v>91</v>
      </c>
      <c r="B829" s="63" t="s">
        <v>82</v>
      </c>
      <c r="C829" s="63" t="s">
        <v>91</v>
      </c>
      <c r="D829" s="34" t="s">
        <v>14</v>
      </c>
      <c r="E829" s="62" t="str">
        <f t="shared" si="12"/>
        <v>ZamtriosKO</v>
      </c>
      <c r="F829">
        <v>260</v>
      </c>
      <c r="G829">
        <v>390</v>
      </c>
      <c r="H829">
        <v>520</v>
      </c>
      <c r="I829">
        <v>650</v>
      </c>
      <c r="J829" s="29"/>
      <c r="K829" s="6">
        <v>260</v>
      </c>
      <c r="L829">
        <v>390</v>
      </c>
      <c r="M829">
        <v>520</v>
      </c>
      <c r="N829">
        <v>650</v>
      </c>
      <c r="P829" s="6">
        <v>260</v>
      </c>
      <c r="Q829">
        <v>390</v>
      </c>
      <c r="R829">
        <v>520</v>
      </c>
      <c r="S829">
        <v>650</v>
      </c>
      <c r="U829" s="6"/>
      <c r="Z829" s="6">
        <v>280</v>
      </c>
      <c r="AA829">
        <v>420</v>
      </c>
      <c r="AB829">
        <v>560</v>
      </c>
      <c r="AC829">
        <v>700</v>
      </c>
      <c r="AE829" s="6"/>
      <c r="AJ829" s="6">
        <v>400</v>
      </c>
      <c r="AK829">
        <v>600</v>
      </c>
      <c r="AL829">
        <v>800</v>
      </c>
      <c r="AM829">
        <v>1000</v>
      </c>
      <c r="AO829" s="6"/>
      <c r="AS829">
        <v>10</v>
      </c>
      <c r="AT829" t="s">
        <v>214</v>
      </c>
      <c r="AU829" t="s">
        <v>214</v>
      </c>
    </row>
    <row r="830" spans="1:47" x14ac:dyDescent="0.25">
      <c r="A830" s="63" t="s">
        <v>91</v>
      </c>
      <c r="B830" s="63" t="s">
        <v>82</v>
      </c>
      <c r="C830" s="63" t="s">
        <v>91</v>
      </c>
      <c r="D830" s="33" t="s">
        <v>34</v>
      </c>
      <c r="E830" s="62" t="str">
        <f t="shared" si="12"/>
        <v>ZamtriosMount</v>
      </c>
      <c r="F830">
        <v>112</v>
      </c>
      <c r="G830">
        <v>272</v>
      </c>
      <c r="H830">
        <v>432</v>
      </c>
      <c r="I830">
        <v>592</v>
      </c>
      <c r="K830" s="6">
        <v>112</v>
      </c>
      <c r="L830">
        <v>272</v>
      </c>
      <c r="M830">
        <v>432</v>
      </c>
      <c r="N830">
        <v>592</v>
      </c>
      <c r="P830" s="6">
        <v>119</v>
      </c>
      <c r="Q830">
        <v>289</v>
      </c>
      <c r="R830" s="6">
        <v>459</v>
      </c>
      <c r="S830">
        <v>629</v>
      </c>
      <c r="U830" s="6"/>
      <c r="Z830" s="6">
        <v>126</v>
      </c>
      <c r="AA830">
        <v>306</v>
      </c>
      <c r="AB830">
        <v>486</v>
      </c>
      <c r="AC830">
        <v>666</v>
      </c>
      <c r="AE830" s="6"/>
      <c r="AJ830" s="6">
        <v>140</v>
      </c>
      <c r="AK830">
        <v>340</v>
      </c>
      <c r="AL830">
        <v>540</v>
      </c>
      <c r="AM830">
        <v>740</v>
      </c>
      <c r="AO830" s="6"/>
      <c r="AS830"/>
      <c r="AT830" t="s">
        <v>214</v>
      </c>
      <c r="AU830" t="s">
        <v>214</v>
      </c>
    </row>
    <row r="831" spans="1:47" x14ac:dyDescent="0.25">
      <c r="A831" s="63" t="s">
        <v>91</v>
      </c>
      <c r="B831" s="63" t="s">
        <v>82</v>
      </c>
      <c r="C831" s="63" t="s">
        <v>91</v>
      </c>
      <c r="D831" s="77" t="s">
        <v>207</v>
      </c>
      <c r="E831" s="62" t="str">
        <f t="shared" si="12"/>
        <v>ZamtriosShock Trap</v>
      </c>
      <c r="K831" s="6"/>
      <c r="P831" s="6"/>
      <c r="U831" s="6"/>
      <c r="AE831" s="6"/>
      <c r="AJ831" s="6"/>
      <c r="AO831" s="6"/>
      <c r="AS831">
        <v>8</v>
      </c>
      <c r="AT831">
        <v>12</v>
      </c>
      <c r="AU831">
        <v>10</v>
      </c>
    </row>
    <row r="832" spans="1:47" s="56" customFormat="1" x14ac:dyDescent="0.25">
      <c r="A832" s="63" t="s">
        <v>91</v>
      </c>
      <c r="B832" s="63" t="s">
        <v>82</v>
      </c>
      <c r="C832" s="63" t="s">
        <v>91</v>
      </c>
      <c r="D832" s="79" t="s">
        <v>213</v>
      </c>
      <c r="E832" s="62" t="str">
        <f t="shared" si="12"/>
        <v>ZamtriosPitfall Trap</v>
      </c>
      <c r="K832" s="7"/>
      <c r="P832" s="7"/>
      <c r="U832" s="7"/>
      <c r="Z832" s="7"/>
      <c r="AE832" s="7"/>
      <c r="AJ832" s="7"/>
      <c r="AO832" s="7"/>
      <c r="AS832" s="56">
        <v>12</v>
      </c>
      <c r="AT832" s="56">
        <v>20</v>
      </c>
      <c r="AU832" s="56">
        <v>15</v>
      </c>
    </row>
    <row r="833" spans="1:47" s="36" customFormat="1" x14ac:dyDescent="0.25">
      <c r="A833" s="63" t="s">
        <v>91</v>
      </c>
      <c r="B833" s="63" t="s">
        <v>83</v>
      </c>
      <c r="C833" s="63" t="s">
        <v>91</v>
      </c>
      <c r="D833" s="37" t="s">
        <v>0</v>
      </c>
      <c r="E833" s="62" t="str">
        <f t="shared" si="12"/>
        <v>ZinogrePara</v>
      </c>
      <c r="F833" s="36">
        <v>180</v>
      </c>
      <c r="G833" s="36">
        <v>413</v>
      </c>
      <c r="H833" s="36">
        <v>647</v>
      </c>
      <c r="I833" s="36">
        <v>882</v>
      </c>
      <c r="J833" s="61"/>
      <c r="K833" s="50">
        <v>180</v>
      </c>
      <c r="L833" s="36">
        <v>413</v>
      </c>
      <c r="M833" s="36">
        <v>647</v>
      </c>
      <c r="N833" s="36">
        <v>882</v>
      </c>
      <c r="P833" s="6">
        <v>180</v>
      </c>
      <c r="Q833" s="46">
        <v>540</v>
      </c>
      <c r="R833" s="46">
        <v>900</v>
      </c>
      <c r="S833" s="46">
        <v>1260</v>
      </c>
      <c r="U833" s="50"/>
      <c r="Z833" s="6">
        <v>180</v>
      </c>
      <c r="AA833" s="46">
        <v>557</v>
      </c>
      <c r="AB833" s="46">
        <v>934</v>
      </c>
      <c r="AC833" s="46">
        <v>1311</v>
      </c>
      <c r="AE833" s="50"/>
      <c r="AJ833" s="6">
        <v>180</v>
      </c>
      <c r="AK833" s="46">
        <v>666</v>
      </c>
      <c r="AL833" s="46">
        <v>1152</v>
      </c>
      <c r="AM833" s="46">
        <v>1638</v>
      </c>
      <c r="AO833" s="50"/>
      <c r="AS833" s="36">
        <v>10</v>
      </c>
      <c r="AT833" s="36" t="s">
        <v>214</v>
      </c>
      <c r="AU833" s="36" t="s">
        <v>214</v>
      </c>
    </row>
    <row r="834" spans="1:47" x14ac:dyDescent="0.25">
      <c r="A834" s="63" t="s">
        <v>91</v>
      </c>
      <c r="B834" s="63" t="s">
        <v>83</v>
      </c>
      <c r="C834" s="63" t="s">
        <v>91</v>
      </c>
      <c r="D834" s="31" t="s">
        <v>32</v>
      </c>
      <c r="E834" s="62" t="str">
        <f t="shared" si="12"/>
        <v>ZinogreSleep</v>
      </c>
      <c r="F834">
        <v>180</v>
      </c>
      <c r="G834">
        <v>291</v>
      </c>
      <c r="H834">
        <v>402</v>
      </c>
      <c r="I834">
        <v>513</v>
      </c>
      <c r="K834" s="6">
        <v>180</v>
      </c>
      <c r="L834">
        <v>413</v>
      </c>
      <c r="M834">
        <v>646</v>
      </c>
      <c r="N834">
        <v>879</v>
      </c>
      <c r="P834" s="6">
        <v>180</v>
      </c>
      <c r="Q834">
        <v>540</v>
      </c>
      <c r="R834">
        <v>900</v>
      </c>
      <c r="S834">
        <v>1260</v>
      </c>
      <c r="U834" s="6"/>
      <c r="Z834" s="6">
        <v>180</v>
      </c>
      <c r="AA834">
        <v>557</v>
      </c>
      <c r="AB834">
        <v>934</v>
      </c>
      <c r="AC834">
        <v>1311</v>
      </c>
      <c r="AE834" s="6"/>
      <c r="AJ834" s="6">
        <v>180</v>
      </c>
      <c r="AK834">
        <v>666</v>
      </c>
      <c r="AL834">
        <v>1152</v>
      </c>
      <c r="AM834">
        <v>1638</v>
      </c>
      <c r="AO834" s="6"/>
      <c r="AS834">
        <v>40</v>
      </c>
      <c r="AT834" t="s">
        <v>214</v>
      </c>
      <c r="AU834" t="s">
        <v>214</v>
      </c>
    </row>
    <row r="835" spans="1:47" x14ac:dyDescent="0.25">
      <c r="A835" s="63" t="s">
        <v>91</v>
      </c>
      <c r="B835" s="63" t="s">
        <v>83</v>
      </c>
      <c r="C835" s="63" t="s">
        <v>91</v>
      </c>
      <c r="D835" s="32" t="s">
        <v>33</v>
      </c>
      <c r="E835" s="62" t="str">
        <f t="shared" si="12"/>
        <v>ZinogrePoison</v>
      </c>
      <c r="F835">
        <v>180</v>
      </c>
      <c r="G835">
        <v>310</v>
      </c>
      <c r="H835">
        <v>440</v>
      </c>
      <c r="I835">
        <v>570</v>
      </c>
      <c r="J835" s="29"/>
      <c r="K835" s="6">
        <v>180</v>
      </c>
      <c r="L835">
        <v>413</v>
      </c>
      <c r="M835">
        <v>646</v>
      </c>
      <c r="N835">
        <v>879</v>
      </c>
      <c r="P835" s="6">
        <v>180</v>
      </c>
      <c r="Q835">
        <v>380</v>
      </c>
      <c r="R835">
        <v>580</v>
      </c>
      <c r="S835">
        <v>780</v>
      </c>
      <c r="U835" s="6"/>
      <c r="Z835" s="6">
        <v>180</v>
      </c>
      <c r="AA835">
        <v>389</v>
      </c>
      <c r="AB835">
        <v>598</v>
      </c>
      <c r="AC835">
        <v>807</v>
      </c>
      <c r="AE835" s="6"/>
      <c r="AJ835" s="6">
        <v>180</v>
      </c>
      <c r="AK835">
        <v>450</v>
      </c>
      <c r="AL835">
        <v>720</v>
      </c>
      <c r="AM835">
        <v>990</v>
      </c>
      <c r="AO835" s="6"/>
      <c r="AS835">
        <v>40</v>
      </c>
      <c r="AT835" t="s">
        <v>214</v>
      </c>
      <c r="AU835" t="s">
        <v>214</v>
      </c>
    </row>
    <row r="836" spans="1:47" x14ac:dyDescent="0.25">
      <c r="A836" s="63" t="s">
        <v>91</v>
      </c>
      <c r="B836" s="63" t="s">
        <v>83</v>
      </c>
      <c r="C836" s="63" t="s">
        <v>91</v>
      </c>
      <c r="D836" s="10" t="s">
        <v>22</v>
      </c>
      <c r="E836" s="62" t="str">
        <f t="shared" si="12"/>
        <v>ZinogreExhaust</v>
      </c>
      <c r="F836">
        <v>400</v>
      </c>
      <c r="G836">
        <v>640</v>
      </c>
      <c r="H836">
        <v>880</v>
      </c>
      <c r="I836">
        <v>1120</v>
      </c>
      <c r="J836" s="29"/>
      <c r="K836" s="6">
        <v>400</v>
      </c>
      <c r="L836">
        <v>640</v>
      </c>
      <c r="M836">
        <v>880</v>
      </c>
      <c r="N836">
        <v>1120</v>
      </c>
      <c r="P836" s="6">
        <v>462</v>
      </c>
      <c r="Q836">
        <v>740</v>
      </c>
      <c r="R836">
        <v>1018</v>
      </c>
      <c r="S836">
        <v>1296</v>
      </c>
      <c r="U836" s="6"/>
      <c r="Z836" s="6">
        <v>475</v>
      </c>
      <c r="AA836">
        <v>760</v>
      </c>
      <c r="AB836">
        <v>1045</v>
      </c>
      <c r="AC836">
        <v>1330</v>
      </c>
      <c r="AE836" s="6"/>
      <c r="AJ836" s="6">
        <v>625</v>
      </c>
      <c r="AK836">
        <v>930</v>
      </c>
      <c r="AL836">
        <v>1235</v>
      </c>
      <c r="AM836">
        <v>1540</v>
      </c>
      <c r="AO836" s="6"/>
      <c r="AS836"/>
      <c r="AT836" t="s">
        <v>214</v>
      </c>
      <c r="AU836" t="s">
        <v>214</v>
      </c>
    </row>
    <row r="837" spans="1:47" x14ac:dyDescent="0.25">
      <c r="A837" s="63" t="s">
        <v>91</v>
      </c>
      <c r="B837" s="63" t="s">
        <v>83</v>
      </c>
      <c r="C837" s="63" t="s">
        <v>91</v>
      </c>
      <c r="D837" s="30" t="s">
        <v>35</v>
      </c>
      <c r="E837" s="62" t="str">
        <f t="shared" ref="E837:E841" si="13">B837&amp;D837</f>
        <v>ZinogreBlast</v>
      </c>
      <c r="F837">
        <v>85</v>
      </c>
      <c r="G837">
        <v>150</v>
      </c>
      <c r="H837">
        <v>215</v>
      </c>
      <c r="I837">
        <v>280</v>
      </c>
      <c r="K837" s="6">
        <v>85</v>
      </c>
      <c r="L837">
        <v>150</v>
      </c>
      <c r="M837">
        <v>215</v>
      </c>
      <c r="N837">
        <v>280</v>
      </c>
      <c r="P837" s="6">
        <v>85</v>
      </c>
      <c r="Q837">
        <v>185</v>
      </c>
      <c r="R837" s="6">
        <v>285</v>
      </c>
      <c r="S837">
        <v>385</v>
      </c>
      <c r="U837" s="6"/>
      <c r="Z837" s="6">
        <v>85</v>
      </c>
      <c r="AA837">
        <v>189</v>
      </c>
      <c r="AB837" s="6">
        <v>293</v>
      </c>
      <c r="AC837">
        <v>397</v>
      </c>
      <c r="AE837" s="6"/>
      <c r="AG837" s="6"/>
      <c r="AJ837" s="6">
        <v>85</v>
      </c>
      <c r="AK837">
        <v>220</v>
      </c>
      <c r="AL837">
        <v>355</v>
      </c>
      <c r="AM837">
        <v>490</v>
      </c>
      <c r="AO837" s="6"/>
      <c r="AS837"/>
      <c r="AT837" t="s">
        <v>214</v>
      </c>
      <c r="AU837" t="s">
        <v>214</v>
      </c>
    </row>
    <row r="838" spans="1:47" x14ac:dyDescent="0.25">
      <c r="A838" s="63" t="s">
        <v>91</v>
      </c>
      <c r="B838" s="63" t="s">
        <v>83</v>
      </c>
      <c r="C838" s="63" t="s">
        <v>91</v>
      </c>
      <c r="D838" s="34" t="s">
        <v>14</v>
      </c>
      <c r="E838" s="62" t="str">
        <f t="shared" si="13"/>
        <v>ZinogreKO</v>
      </c>
      <c r="F838">
        <v>195</v>
      </c>
      <c r="G838">
        <v>390</v>
      </c>
      <c r="H838">
        <v>585</v>
      </c>
      <c r="I838">
        <v>780</v>
      </c>
      <c r="J838" s="29"/>
      <c r="K838" s="6">
        <v>195</v>
      </c>
      <c r="L838">
        <v>390</v>
      </c>
      <c r="M838">
        <v>585</v>
      </c>
      <c r="N838">
        <v>780</v>
      </c>
      <c r="P838" s="6">
        <v>210</v>
      </c>
      <c r="Q838">
        <v>420</v>
      </c>
      <c r="R838">
        <v>630</v>
      </c>
      <c r="S838">
        <v>840</v>
      </c>
      <c r="U838" s="6"/>
      <c r="Z838" s="6">
        <v>225</v>
      </c>
      <c r="AA838">
        <v>450</v>
      </c>
      <c r="AB838">
        <v>675</v>
      </c>
      <c r="AC838">
        <v>900</v>
      </c>
      <c r="AE838" s="6"/>
      <c r="AJ838" s="6">
        <v>300</v>
      </c>
      <c r="AK838">
        <v>600</v>
      </c>
      <c r="AL838">
        <v>900</v>
      </c>
      <c r="AM838">
        <v>1200</v>
      </c>
      <c r="AO838" s="6"/>
      <c r="AS838">
        <v>10</v>
      </c>
      <c r="AT838" t="s">
        <v>214</v>
      </c>
      <c r="AU838" t="s">
        <v>214</v>
      </c>
    </row>
    <row r="839" spans="1:47" x14ac:dyDescent="0.25">
      <c r="A839" s="63" t="s">
        <v>91</v>
      </c>
      <c r="B839" s="63" t="s">
        <v>83</v>
      </c>
      <c r="C839" s="63" t="s">
        <v>91</v>
      </c>
      <c r="D839" s="33" t="s">
        <v>34</v>
      </c>
      <c r="E839" s="62" t="str">
        <f t="shared" si="13"/>
        <v>ZinogreMount</v>
      </c>
      <c r="F839">
        <v>96</v>
      </c>
      <c r="G839">
        <v>240</v>
      </c>
      <c r="H839">
        <v>384</v>
      </c>
      <c r="I839">
        <v>528</v>
      </c>
      <c r="K839" s="6">
        <v>96</v>
      </c>
      <c r="L839">
        <v>240</v>
      </c>
      <c r="M839">
        <v>384</v>
      </c>
      <c r="N839">
        <v>528</v>
      </c>
      <c r="P839" s="6">
        <v>108</v>
      </c>
      <c r="Q839">
        <v>270</v>
      </c>
      <c r="R839" s="6">
        <v>432</v>
      </c>
      <c r="S839">
        <v>594</v>
      </c>
      <c r="U839" s="6"/>
      <c r="Z839" s="6">
        <v>108</v>
      </c>
      <c r="AA839">
        <v>270</v>
      </c>
      <c r="AB839">
        <v>432</v>
      </c>
      <c r="AC839">
        <v>594</v>
      </c>
      <c r="AE839" s="6"/>
      <c r="AJ839" s="6">
        <v>120</v>
      </c>
      <c r="AK839">
        <v>300</v>
      </c>
      <c r="AL839">
        <v>480</v>
      </c>
      <c r="AM839">
        <v>660</v>
      </c>
      <c r="AO839" s="6"/>
      <c r="AS839"/>
      <c r="AT839" t="s">
        <v>214</v>
      </c>
      <c r="AU839" t="s">
        <v>214</v>
      </c>
    </row>
    <row r="840" spans="1:47" x14ac:dyDescent="0.25">
      <c r="A840" s="63" t="s">
        <v>91</v>
      </c>
      <c r="B840" s="63" t="s">
        <v>83</v>
      </c>
      <c r="C840" s="63" t="s">
        <v>91</v>
      </c>
      <c r="D840" s="77" t="s">
        <v>207</v>
      </c>
      <c r="E840" s="62" t="str">
        <f t="shared" si="13"/>
        <v>ZinogreShock Trap</v>
      </c>
      <c r="K840" s="6"/>
      <c r="P840" s="6"/>
      <c r="U840" s="6"/>
      <c r="AE840" s="6"/>
      <c r="AJ840" s="6"/>
      <c r="AO840" s="6"/>
      <c r="AS840">
        <v>8</v>
      </c>
      <c r="AT840">
        <v>15</v>
      </c>
      <c r="AU840">
        <v>12</v>
      </c>
    </row>
    <row r="841" spans="1:47" s="56" customFormat="1" x14ac:dyDescent="0.25">
      <c r="A841" s="63" t="s">
        <v>91</v>
      </c>
      <c r="B841" s="63" t="s">
        <v>83</v>
      </c>
      <c r="C841" s="63" t="s">
        <v>91</v>
      </c>
      <c r="D841" s="79" t="s">
        <v>213</v>
      </c>
      <c r="E841" s="62" t="str">
        <f t="shared" si="13"/>
        <v>ZinogrePitfall Trap</v>
      </c>
      <c r="K841" s="7"/>
      <c r="P841" s="7"/>
      <c r="U841" s="7"/>
      <c r="Z841" s="7"/>
      <c r="AE841" s="7"/>
      <c r="AJ841" s="7"/>
      <c r="AO841" s="7"/>
      <c r="AS841" s="56">
        <v>12</v>
      </c>
      <c r="AT841" s="56">
        <v>25</v>
      </c>
      <c r="AU841" s="56">
        <v>12</v>
      </c>
    </row>
  </sheetData>
  <autoFilter ref="A4:AT4">
    <sortState ref="A5:AS841">
      <sortCondition ref="B4"/>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P35"/>
  <sheetViews>
    <sheetView zoomScale="115" zoomScaleNormal="115" workbookViewId="0">
      <selection activeCell="D21" sqref="D21"/>
    </sheetView>
  </sheetViews>
  <sheetFormatPr defaultColWidth="8.85546875" defaultRowHeight="15" x14ac:dyDescent="0.25"/>
  <cols>
    <col min="1" max="1" width="8.85546875" style="2"/>
    <col min="2" max="2" width="11" bestFit="1" customWidth="1"/>
    <col min="3" max="3" width="9.140625"/>
    <col min="4" max="4" width="28.5703125" bestFit="1" customWidth="1"/>
    <col min="5" max="5" width="6.42578125" style="1" bestFit="1" customWidth="1"/>
    <col min="6" max="6" width="8.85546875" style="2"/>
    <col min="7" max="7" width="16.85546875" style="3" bestFit="1" customWidth="1"/>
    <col min="8" max="8" width="16.5703125" style="3" bestFit="1" customWidth="1"/>
    <col min="9" max="9" width="12.28515625" style="2" bestFit="1" customWidth="1"/>
    <col min="10" max="10" width="4.42578125" style="2" bestFit="1" customWidth="1"/>
    <col min="11" max="11" width="8.85546875" style="2"/>
    <col min="12" max="12" width="12.28515625" style="2" bestFit="1" customWidth="1"/>
    <col min="13" max="16384" width="8.85546875" style="2"/>
  </cols>
  <sheetData>
    <row r="2" spans="2:16" customFormat="1" x14ac:dyDescent="0.25">
      <c r="B2" s="84" t="s">
        <v>16</v>
      </c>
      <c r="C2" s="85"/>
      <c r="D2" s="85"/>
      <c r="E2" s="85"/>
      <c r="F2" s="85"/>
      <c r="G2" s="85"/>
      <c r="H2" s="86"/>
      <c r="J2" s="2"/>
      <c r="K2" s="2"/>
      <c r="L2" s="2"/>
      <c r="M2" s="2"/>
      <c r="N2" s="2"/>
      <c r="O2" s="2"/>
      <c r="P2" s="5"/>
    </row>
    <row r="3" spans="2:16" customFormat="1" x14ac:dyDescent="0.25">
      <c r="B3" s="21" t="s">
        <v>20</v>
      </c>
      <c r="C3" s="22" t="s">
        <v>25</v>
      </c>
      <c r="D3" s="23" t="s">
        <v>9</v>
      </c>
      <c r="E3" s="24" t="s">
        <v>19</v>
      </c>
      <c r="F3" s="22" t="s">
        <v>10</v>
      </c>
      <c r="G3" s="25" t="s">
        <v>27</v>
      </c>
      <c r="H3" s="26" t="s">
        <v>28</v>
      </c>
      <c r="J3" s="2"/>
      <c r="K3" s="2"/>
      <c r="L3" s="2"/>
      <c r="M3" s="2"/>
      <c r="N3" s="2"/>
      <c r="O3" s="2"/>
      <c r="P3" s="2"/>
    </row>
    <row r="4" spans="2:16" customFormat="1" x14ac:dyDescent="0.25">
      <c r="B4" s="6" t="s">
        <v>1</v>
      </c>
      <c r="C4" s="8">
        <v>25</v>
      </c>
      <c r="D4" s="8">
        <v>28</v>
      </c>
      <c r="E4" s="13">
        <f>(D4-C4)/D4</f>
        <v>0.10714285714285714</v>
      </c>
      <c r="F4" s="8">
        <v>31</v>
      </c>
      <c r="G4" s="14">
        <f t="shared" ref="G4:G9" si="0">(F4-C4)/F4</f>
        <v>0.19354838709677419</v>
      </c>
      <c r="H4" s="11">
        <f>(F4-D4)/F4</f>
        <v>9.6774193548387094E-2</v>
      </c>
      <c r="J4" s="2"/>
      <c r="K4" s="2"/>
      <c r="L4" s="2"/>
      <c r="M4" s="2"/>
      <c r="N4" s="2"/>
      <c r="O4" s="2"/>
      <c r="P4" s="2"/>
    </row>
    <row r="5" spans="2:16" customFormat="1" x14ac:dyDescent="0.25">
      <c r="B5" s="6" t="s">
        <v>2</v>
      </c>
      <c r="C5" s="8">
        <v>50</v>
      </c>
      <c r="D5" s="8">
        <v>56</v>
      </c>
      <c r="E5" s="13">
        <f>(D5-C5)/D5</f>
        <v>0.10714285714285714</v>
      </c>
      <c r="F5" s="8">
        <v>61</v>
      </c>
      <c r="G5" s="14">
        <f t="shared" si="0"/>
        <v>0.18032786885245902</v>
      </c>
      <c r="H5" s="11">
        <f>(F5-D5)/F5</f>
        <v>8.1967213114754092E-2</v>
      </c>
      <c r="J5" s="2"/>
      <c r="K5" s="2"/>
      <c r="L5" s="2"/>
      <c r="M5" s="2"/>
      <c r="N5" s="2"/>
      <c r="O5" s="2"/>
      <c r="P5" s="2"/>
    </row>
    <row r="6" spans="2:16" customFormat="1" x14ac:dyDescent="0.25">
      <c r="B6" s="6" t="s">
        <v>3</v>
      </c>
      <c r="C6" s="8">
        <v>25</v>
      </c>
      <c r="D6" s="8">
        <v>28</v>
      </c>
      <c r="E6" s="13">
        <f t="shared" ref="E6:E9" si="1">(D6-C6)/D6</f>
        <v>0.10714285714285714</v>
      </c>
      <c r="F6" s="8">
        <v>31</v>
      </c>
      <c r="G6" s="14">
        <f t="shared" si="0"/>
        <v>0.19354838709677419</v>
      </c>
      <c r="H6" s="11">
        <f t="shared" ref="H6:H9" si="2">(F6-D6)/F6</f>
        <v>9.6774193548387094E-2</v>
      </c>
      <c r="J6" s="2"/>
      <c r="K6" s="2"/>
      <c r="L6" s="2"/>
      <c r="M6" s="2"/>
      <c r="N6" s="2"/>
      <c r="O6" s="2"/>
      <c r="P6" s="2"/>
    </row>
    <row r="7" spans="2:16" customFormat="1" x14ac:dyDescent="0.25">
      <c r="B7" s="6" t="s">
        <v>5</v>
      </c>
      <c r="C7" s="8">
        <v>50</v>
      </c>
      <c r="D7" s="8">
        <v>56</v>
      </c>
      <c r="E7" s="13">
        <f t="shared" si="1"/>
        <v>0.10714285714285714</v>
      </c>
      <c r="F7" s="8">
        <v>61</v>
      </c>
      <c r="G7" s="14">
        <f t="shared" si="0"/>
        <v>0.18032786885245902</v>
      </c>
      <c r="H7" s="11">
        <f t="shared" si="2"/>
        <v>8.1967213114754092E-2</v>
      </c>
      <c r="J7" s="2"/>
      <c r="K7" s="2"/>
      <c r="L7" s="2"/>
      <c r="M7" s="2"/>
      <c r="N7" s="2"/>
      <c r="O7" s="2"/>
    </row>
    <row r="8" spans="2:16" customFormat="1" x14ac:dyDescent="0.25">
      <c r="B8" s="6" t="s">
        <v>4</v>
      </c>
      <c r="C8" s="8">
        <v>25</v>
      </c>
      <c r="D8" s="8">
        <v>28</v>
      </c>
      <c r="E8" s="13">
        <f t="shared" si="1"/>
        <v>0.10714285714285714</v>
      </c>
      <c r="F8" s="8">
        <v>31</v>
      </c>
      <c r="G8" s="14">
        <f t="shared" si="0"/>
        <v>0.19354838709677419</v>
      </c>
      <c r="H8" s="11">
        <f t="shared" si="2"/>
        <v>9.6774193548387094E-2</v>
      </c>
      <c r="J8" s="2"/>
      <c r="K8" s="2"/>
      <c r="L8" s="2"/>
      <c r="M8" s="2"/>
      <c r="N8" s="2"/>
      <c r="O8" s="2"/>
    </row>
    <row r="9" spans="2:16" customFormat="1" x14ac:dyDescent="0.25">
      <c r="B9" s="7" t="s">
        <v>6</v>
      </c>
      <c r="C9" s="9">
        <v>50</v>
      </c>
      <c r="D9" s="9">
        <v>56</v>
      </c>
      <c r="E9" s="15">
        <f t="shared" si="1"/>
        <v>0.10714285714285714</v>
      </c>
      <c r="F9" s="9">
        <v>61</v>
      </c>
      <c r="G9" s="16">
        <f t="shared" si="0"/>
        <v>0.18032786885245902</v>
      </c>
      <c r="H9" s="12">
        <f t="shared" si="2"/>
        <v>8.1967213114754092E-2</v>
      </c>
      <c r="J9" s="2"/>
      <c r="K9" s="2"/>
      <c r="L9" s="2"/>
      <c r="M9" s="2"/>
      <c r="N9" s="2"/>
      <c r="O9" s="2"/>
    </row>
    <row r="10" spans="2:16" customFormat="1" x14ac:dyDescent="0.25">
      <c r="E10" s="1"/>
      <c r="F10" s="2"/>
      <c r="G10" s="3"/>
      <c r="H10" s="3"/>
      <c r="J10" s="2"/>
      <c r="K10" s="2"/>
      <c r="L10" s="2"/>
      <c r="M10" s="2"/>
      <c r="N10" s="2"/>
      <c r="O10" s="2"/>
    </row>
    <row r="11" spans="2:16" customFormat="1" x14ac:dyDescent="0.25">
      <c r="B11" s="84" t="s">
        <v>15</v>
      </c>
      <c r="C11" s="85"/>
      <c r="D11" s="85"/>
      <c r="E11" s="86"/>
      <c r="F11" s="2"/>
      <c r="G11" s="84" t="s">
        <v>22</v>
      </c>
      <c r="H11" s="85"/>
      <c r="I11" s="85"/>
      <c r="J11" s="86"/>
      <c r="K11" s="2"/>
      <c r="L11" s="2"/>
      <c r="M11" s="2"/>
      <c r="N11" s="2"/>
      <c r="O11" s="2"/>
    </row>
    <row r="12" spans="2:16" customFormat="1" x14ac:dyDescent="0.25">
      <c r="B12" s="21" t="s">
        <v>20</v>
      </c>
      <c r="C12" s="22" t="s">
        <v>25</v>
      </c>
      <c r="D12" s="23" t="s">
        <v>23</v>
      </c>
      <c r="E12" s="27" t="s">
        <v>19</v>
      </c>
      <c r="F12" s="2"/>
      <c r="G12" s="18" t="s">
        <v>20</v>
      </c>
      <c r="H12" s="19" t="s">
        <v>25</v>
      </c>
      <c r="I12" s="19" t="s">
        <v>26</v>
      </c>
      <c r="J12" s="20" t="s">
        <v>19</v>
      </c>
      <c r="K12" s="2"/>
      <c r="L12" s="2"/>
      <c r="M12" s="2"/>
      <c r="N12" s="2"/>
      <c r="O12" s="2"/>
    </row>
    <row r="13" spans="2:16" customFormat="1" x14ac:dyDescent="0.25">
      <c r="B13" s="6" t="s">
        <v>11</v>
      </c>
      <c r="C13" s="8">
        <v>25</v>
      </c>
      <c r="D13" s="8">
        <v>27</v>
      </c>
      <c r="E13" s="11">
        <f t="shared" ref="E13:E19" si="3">(D13-C13)/D13</f>
        <v>7.407407407407407E-2</v>
      </c>
      <c r="F13" s="2"/>
      <c r="G13" s="6" t="s">
        <v>7</v>
      </c>
      <c r="H13" s="8">
        <v>35</v>
      </c>
      <c r="I13" s="8">
        <v>42</v>
      </c>
      <c r="J13" s="17">
        <f>IFERROR((I13-H13)/I13,0)</f>
        <v>0.16666666666666666</v>
      </c>
      <c r="K13" s="2"/>
      <c r="L13" s="2"/>
      <c r="M13" s="2"/>
      <c r="N13" s="2">
        <f>363+SUM(-81,-81,-44, -44,-44, -33, -((27*2)*0.7))</f>
        <v>-1.8000000000000114</v>
      </c>
      <c r="O13" s="2"/>
    </row>
    <row r="14" spans="2:16" customFormat="1" x14ac:dyDescent="0.25">
      <c r="B14" s="6" t="s">
        <v>12</v>
      </c>
      <c r="C14" s="8">
        <v>30</v>
      </c>
      <c r="D14" s="8">
        <v>33</v>
      </c>
      <c r="E14" s="11">
        <f t="shared" si="3"/>
        <v>9.0909090909090912E-2</v>
      </c>
      <c r="F14" s="2"/>
      <c r="G14" s="6" t="s">
        <v>8</v>
      </c>
      <c r="H14" s="8">
        <v>70</v>
      </c>
      <c r="I14" s="8">
        <v>84</v>
      </c>
      <c r="J14" s="17">
        <f t="shared" ref="J14:J19" si="4">IFERROR((I14-H14)/I14,0)</f>
        <v>0.16666666666666666</v>
      </c>
      <c r="K14" s="2"/>
      <c r="L14" s="2"/>
      <c r="M14" s="2"/>
      <c r="N14" s="2"/>
      <c r="O14" s="2"/>
    </row>
    <row r="15" spans="2:16" x14ac:dyDescent="0.25">
      <c r="B15" s="6" t="s">
        <v>13</v>
      </c>
      <c r="C15" s="8">
        <v>40</v>
      </c>
      <c r="D15" s="8">
        <v>44</v>
      </c>
      <c r="E15" s="11">
        <f t="shared" si="3"/>
        <v>9.0909090909090912E-2</v>
      </c>
      <c r="G15" s="6" t="s">
        <v>11</v>
      </c>
      <c r="H15" s="8">
        <v>10</v>
      </c>
      <c r="I15" s="8">
        <v>12</v>
      </c>
      <c r="J15" s="17">
        <f t="shared" si="4"/>
        <v>0.16666666666666666</v>
      </c>
    </row>
    <row r="16" spans="2:16" x14ac:dyDescent="0.25">
      <c r="B16" s="6" t="s">
        <v>7</v>
      </c>
      <c r="C16" s="8">
        <v>15</v>
      </c>
      <c r="D16" s="8">
        <v>16</v>
      </c>
      <c r="E16" s="11">
        <f t="shared" si="3"/>
        <v>6.25E-2</v>
      </c>
      <c r="G16" s="6" t="s">
        <v>12</v>
      </c>
      <c r="H16" s="8">
        <v>10</v>
      </c>
      <c r="I16" s="8">
        <v>12</v>
      </c>
      <c r="J16" s="17">
        <f t="shared" si="4"/>
        <v>0.16666666666666666</v>
      </c>
    </row>
    <row r="17" spans="2:10" x14ac:dyDescent="0.25">
      <c r="B17" s="6" t="s">
        <v>8</v>
      </c>
      <c r="C17" s="8">
        <v>20</v>
      </c>
      <c r="D17" s="8">
        <v>22</v>
      </c>
      <c r="E17" s="11">
        <f t="shared" si="3"/>
        <v>9.0909090909090912E-2</v>
      </c>
      <c r="G17" s="6" t="s">
        <v>13</v>
      </c>
      <c r="H17" s="8">
        <v>10</v>
      </c>
      <c r="I17" s="8">
        <v>12</v>
      </c>
      <c r="J17" s="17">
        <f t="shared" si="4"/>
        <v>0.16666666666666666</v>
      </c>
    </row>
    <row r="18" spans="2:10" x14ac:dyDescent="0.25">
      <c r="B18" s="6" t="s">
        <v>21</v>
      </c>
      <c r="C18" s="8">
        <v>75</v>
      </c>
      <c r="D18" s="8">
        <v>81</v>
      </c>
      <c r="E18" s="11">
        <f t="shared" si="3"/>
        <v>7.407407407407407E-2</v>
      </c>
      <c r="G18" s="6" t="s">
        <v>21</v>
      </c>
      <c r="H18" s="8">
        <v>30</v>
      </c>
      <c r="I18" s="8">
        <v>36</v>
      </c>
      <c r="J18" s="17">
        <f t="shared" si="4"/>
        <v>0.16666666666666666</v>
      </c>
    </row>
    <row r="19" spans="2:10" x14ac:dyDescent="0.25">
      <c r="B19" s="7" t="s">
        <v>18</v>
      </c>
      <c r="C19" s="9">
        <v>15</v>
      </c>
      <c r="D19" s="9">
        <v>16</v>
      </c>
      <c r="E19" s="12">
        <f t="shared" si="3"/>
        <v>6.25E-2</v>
      </c>
      <c r="G19" s="7" t="s">
        <v>18</v>
      </c>
      <c r="H19" s="9">
        <v>0</v>
      </c>
      <c r="I19" s="9">
        <v>0</v>
      </c>
      <c r="J19" s="28">
        <f t="shared" si="4"/>
        <v>0</v>
      </c>
    </row>
    <row r="22" spans="2:10" x14ac:dyDescent="0.25">
      <c r="B22" s="4" t="s">
        <v>17</v>
      </c>
    </row>
    <row r="23" spans="2:10" x14ac:dyDescent="0.25">
      <c r="B23" s="4" t="s">
        <v>29</v>
      </c>
    </row>
    <row r="24" spans="2:10" x14ac:dyDescent="0.25">
      <c r="B24" s="4" t="s">
        <v>42</v>
      </c>
    </row>
    <row r="25" spans="2:10" x14ac:dyDescent="0.25">
      <c r="B25" s="4" t="s">
        <v>30</v>
      </c>
    </row>
    <row r="26" spans="2:10" x14ac:dyDescent="0.25">
      <c r="B26" s="4" t="s">
        <v>24</v>
      </c>
    </row>
    <row r="28" spans="2:10" x14ac:dyDescent="0.25">
      <c r="B28" s="4"/>
    </row>
    <row r="35" spans="6:6" x14ac:dyDescent="0.25">
      <c r="F35" s="2">
        <v>44</v>
      </c>
    </row>
  </sheetData>
  <mergeCells count="3">
    <mergeCell ref="B11:E11"/>
    <mergeCell ref="B2:H2"/>
    <mergeCell ref="G11:J1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Y41"/>
  <sheetViews>
    <sheetView topLeftCell="A27" workbookViewId="0">
      <selection activeCell="B38" sqref="B38"/>
    </sheetView>
  </sheetViews>
  <sheetFormatPr defaultRowHeight="15" x14ac:dyDescent="0.25"/>
  <cols>
    <col min="1" max="1" width="29.28515625" bestFit="1" customWidth="1"/>
    <col min="2" max="4" width="18.85546875" customWidth="1"/>
    <col min="5" max="5" width="31.140625" bestFit="1" customWidth="1"/>
    <col min="6" max="6" width="31.140625" customWidth="1"/>
    <col min="7" max="7" width="23.140625" bestFit="1" customWidth="1"/>
    <col min="8" max="8" width="23.140625" customWidth="1"/>
  </cols>
  <sheetData>
    <row r="1" spans="1:19" x14ac:dyDescent="0.25">
      <c r="A1" t="s">
        <v>130</v>
      </c>
      <c r="B1" t="s">
        <v>144</v>
      </c>
      <c r="C1" t="s">
        <v>145</v>
      </c>
      <c r="D1" t="s">
        <v>161</v>
      </c>
      <c r="E1" t="s">
        <v>142</v>
      </c>
      <c r="G1" t="s">
        <v>143</v>
      </c>
      <c r="I1" t="s">
        <v>17</v>
      </c>
    </row>
    <row r="2" spans="1:19" x14ac:dyDescent="0.25">
      <c r="A2" t="s">
        <v>131</v>
      </c>
      <c r="B2">
        <v>30</v>
      </c>
      <c r="C2">
        <v>0</v>
      </c>
      <c r="D2">
        <v>0</v>
      </c>
      <c r="E2">
        <f>B2+C2+D2</f>
        <v>30</v>
      </c>
      <c r="F2">
        <f>ROUNDDOWN((E2*1.1),0)</f>
        <v>33</v>
      </c>
      <c r="G2">
        <v>1</v>
      </c>
      <c r="I2" t="s">
        <v>150</v>
      </c>
      <c r="S2" s="38" t="s">
        <v>151</v>
      </c>
    </row>
    <row r="3" spans="1:19" x14ac:dyDescent="0.25">
      <c r="A3" t="s">
        <v>132</v>
      </c>
      <c r="B3">
        <v>30</v>
      </c>
      <c r="C3">
        <v>0</v>
      </c>
      <c r="D3">
        <v>0</v>
      </c>
      <c r="E3">
        <f t="shared" ref="E3:E20" si="0">B3+C3+D3</f>
        <v>30</v>
      </c>
      <c r="F3">
        <f t="shared" ref="F3:F20" si="1">ROUNDDOWN((E3*1.1),0)</f>
        <v>33</v>
      </c>
      <c r="G3">
        <v>1</v>
      </c>
      <c r="I3" t="s">
        <v>150</v>
      </c>
      <c r="S3" t="s">
        <v>170</v>
      </c>
    </row>
    <row r="4" spans="1:19" x14ac:dyDescent="0.25">
      <c r="A4" t="s">
        <v>133</v>
      </c>
      <c r="B4">
        <v>10</v>
      </c>
      <c r="C4">
        <v>30</v>
      </c>
      <c r="D4">
        <v>0</v>
      </c>
      <c r="E4">
        <f t="shared" si="0"/>
        <v>40</v>
      </c>
      <c r="F4">
        <f t="shared" si="1"/>
        <v>44</v>
      </c>
      <c r="G4">
        <v>2</v>
      </c>
      <c r="I4" t="s">
        <v>146</v>
      </c>
      <c r="S4" t="s">
        <v>164</v>
      </c>
    </row>
    <row r="5" spans="1:19" x14ac:dyDescent="0.25">
      <c r="A5" t="s">
        <v>165</v>
      </c>
      <c r="B5">
        <v>18</v>
      </c>
      <c r="C5">
        <v>18</v>
      </c>
      <c r="D5">
        <v>0</v>
      </c>
      <c r="E5">
        <f t="shared" si="0"/>
        <v>36</v>
      </c>
      <c r="F5">
        <f t="shared" si="1"/>
        <v>39</v>
      </c>
      <c r="G5">
        <v>1</v>
      </c>
      <c r="I5" t="s">
        <v>158</v>
      </c>
      <c r="S5" t="s">
        <v>169</v>
      </c>
    </row>
    <row r="6" spans="1:19" x14ac:dyDescent="0.25">
      <c r="A6" t="s">
        <v>166</v>
      </c>
      <c r="B6">
        <v>30</v>
      </c>
      <c r="C6">
        <v>0</v>
      </c>
      <c r="D6">
        <v>0</v>
      </c>
      <c r="E6">
        <f t="shared" si="0"/>
        <v>30</v>
      </c>
      <c r="F6">
        <f t="shared" si="1"/>
        <v>33</v>
      </c>
    </row>
    <row r="7" spans="1:19" x14ac:dyDescent="0.25">
      <c r="A7" t="s">
        <v>134</v>
      </c>
      <c r="B7">
        <v>18</v>
      </c>
      <c r="C7">
        <v>18</v>
      </c>
      <c r="D7">
        <v>0</v>
      </c>
      <c r="E7">
        <f t="shared" si="0"/>
        <v>36</v>
      </c>
      <c r="F7">
        <f t="shared" si="1"/>
        <v>39</v>
      </c>
      <c r="G7">
        <v>2</v>
      </c>
      <c r="I7" t="s">
        <v>162</v>
      </c>
    </row>
    <row r="8" spans="1:19" x14ac:dyDescent="0.25">
      <c r="A8" t="s">
        <v>152</v>
      </c>
      <c r="B8">
        <v>18</v>
      </c>
      <c r="C8">
        <v>18</v>
      </c>
      <c r="D8">
        <v>0</v>
      </c>
      <c r="E8">
        <f t="shared" si="0"/>
        <v>36</v>
      </c>
      <c r="F8">
        <f t="shared" si="1"/>
        <v>39</v>
      </c>
      <c r="G8">
        <v>2</v>
      </c>
      <c r="I8" t="s">
        <v>146</v>
      </c>
      <c r="S8" t="s">
        <v>191</v>
      </c>
    </row>
    <row r="9" spans="1:19" x14ac:dyDescent="0.25">
      <c r="A9" t="s">
        <v>168</v>
      </c>
      <c r="B9">
        <v>6</v>
      </c>
      <c r="C9">
        <v>18</v>
      </c>
      <c r="D9">
        <v>0</v>
      </c>
      <c r="E9">
        <f t="shared" si="0"/>
        <v>24</v>
      </c>
      <c r="F9">
        <f t="shared" si="1"/>
        <v>26</v>
      </c>
      <c r="G9">
        <v>1</v>
      </c>
      <c r="I9" t="s">
        <v>150</v>
      </c>
      <c r="S9" t="s">
        <v>195</v>
      </c>
    </row>
    <row r="10" spans="1:19" x14ac:dyDescent="0.25">
      <c r="A10" t="s">
        <v>167</v>
      </c>
      <c r="B10">
        <v>30</v>
      </c>
      <c r="C10">
        <v>0</v>
      </c>
      <c r="D10">
        <v>0</v>
      </c>
      <c r="E10">
        <f t="shared" si="0"/>
        <v>30</v>
      </c>
      <c r="F10">
        <f t="shared" si="1"/>
        <v>33</v>
      </c>
      <c r="I10" t="s">
        <v>150</v>
      </c>
    </row>
    <row r="11" spans="1:19" x14ac:dyDescent="0.25">
      <c r="A11" t="s">
        <v>136</v>
      </c>
      <c r="B11">
        <v>18</v>
      </c>
      <c r="C11">
        <v>0</v>
      </c>
      <c r="D11">
        <v>0</v>
      </c>
      <c r="E11">
        <f t="shared" si="0"/>
        <v>18</v>
      </c>
      <c r="F11">
        <f t="shared" si="1"/>
        <v>19</v>
      </c>
      <c r="G11">
        <v>1</v>
      </c>
      <c r="I11" t="s">
        <v>147</v>
      </c>
      <c r="S11" t="s">
        <v>196</v>
      </c>
    </row>
    <row r="12" spans="1:19" x14ac:dyDescent="0.25">
      <c r="A12" t="s">
        <v>137</v>
      </c>
      <c r="B12">
        <v>18</v>
      </c>
      <c r="C12">
        <v>18</v>
      </c>
      <c r="D12">
        <v>0</v>
      </c>
      <c r="E12">
        <f t="shared" si="0"/>
        <v>36</v>
      </c>
      <c r="F12">
        <f t="shared" si="1"/>
        <v>39</v>
      </c>
      <c r="G12">
        <v>2</v>
      </c>
      <c r="I12" t="s">
        <v>146</v>
      </c>
      <c r="S12" t="s">
        <v>197</v>
      </c>
    </row>
    <row r="13" spans="1:19" x14ac:dyDescent="0.25">
      <c r="A13" t="s">
        <v>159</v>
      </c>
      <c r="B13">
        <v>12</v>
      </c>
      <c r="C13">
        <v>18</v>
      </c>
      <c r="D13">
        <v>0</v>
      </c>
      <c r="E13">
        <v>55</v>
      </c>
      <c r="F13">
        <f t="shared" si="1"/>
        <v>60</v>
      </c>
      <c r="G13">
        <v>2</v>
      </c>
      <c r="I13" t="s">
        <v>148</v>
      </c>
    </row>
    <row r="14" spans="1:19" x14ac:dyDescent="0.25">
      <c r="A14" t="s">
        <v>163</v>
      </c>
      <c r="B14">
        <v>23</v>
      </c>
      <c r="C14">
        <v>23</v>
      </c>
      <c r="D14">
        <v>0</v>
      </c>
      <c r="E14">
        <v>55</v>
      </c>
      <c r="F14">
        <f t="shared" si="1"/>
        <v>60</v>
      </c>
      <c r="G14">
        <v>2</v>
      </c>
    </row>
    <row r="15" spans="1:19" x14ac:dyDescent="0.25">
      <c r="A15" t="s">
        <v>149</v>
      </c>
      <c r="B15">
        <v>24</v>
      </c>
      <c r="C15">
        <v>24</v>
      </c>
      <c r="D15">
        <v>0</v>
      </c>
      <c r="E15">
        <v>60</v>
      </c>
      <c r="F15">
        <f t="shared" si="1"/>
        <v>66</v>
      </c>
      <c r="G15">
        <v>2</v>
      </c>
      <c r="I15" t="s">
        <v>148</v>
      </c>
    </row>
    <row r="16" spans="1:19" x14ac:dyDescent="0.25">
      <c r="A16" t="s">
        <v>138</v>
      </c>
      <c r="B16">
        <v>10</v>
      </c>
      <c r="C16">
        <v>10</v>
      </c>
      <c r="D16">
        <v>10</v>
      </c>
      <c r="E16">
        <f t="shared" si="0"/>
        <v>30</v>
      </c>
      <c r="F16">
        <f t="shared" si="1"/>
        <v>33</v>
      </c>
      <c r="G16">
        <v>3</v>
      </c>
      <c r="I16" t="s">
        <v>150</v>
      </c>
    </row>
    <row r="17" spans="1:25" x14ac:dyDescent="0.25">
      <c r="A17" t="s">
        <v>139</v>
      </c>
      <c r="B17">
        <v>30</v>
      </c>
      <c r="C17">
        <v>0</v>
      </c>
      <c r="D17">
        <v>0</v>
      </c>
      <c r="E17">
        <f t="shared" si="0"/>
        <v>30</v>
      </c>
      <c r="F17">
        <f t="shared" si="1"/>
        <v>33</v>
      </c>
      <c r="G17">
        <v>1</v>
      </c>
      <c r="I17" t="s">
        <v>150</v>
      </c>
      <c r="S17" s="50"/>
      <c r="T17" s="36"/>
      <c r="U17" s="36"/>
      <c r="V17" s="55"/>
    </row>
    <row r="18" spans="1:25" x14ac:dyDescent="0.25">
      <c r="A18" t="s">
        <v>140</v>
      </c>
      <c r="B18">
        <v>18</v>
      </c>
      <c r="C18">
        <v>0</v>
      </c>
      <c r="D18">
        <v>0</v>
      </c>
      <c r="E18">
        <f t="shared" si="0"/>
        <v>18</v>
      </c>
      <c r="F18">
        <f t="shared" si="1"/>
        <v>19</v>
      </c>
      <c r="S18" s="6"/>
      <c r="T18" s="46"/>
      <c r="U18" s="46"/>
      <c r="V18" s="47"/>
      <c r="Y18" t="s">
        <v>157</v>
      </c>
    </row>
    <row r="19" spans="1:25" x14ac:dyDescent="0.25">
      <c r="A19" t="s">
        <v>160</v>
      </c>
      <c r="B19">
        <v>18</v>
      </c>
      <c r="C19">
        <v>18</v>
      </c>
      <c r="D19">
        <v>0</v>
      </c>
      <c r="E19">
        <f t="shared" si="0"/>
        <v>36</v>
      </c>
      <c r="F19">
        <f t="shared" si="1"/>
        <v>39</v>
      </c>
      <c r="S19" s="6"/>
      <c r="T19" s="46"/>
      <c r="U19" s="46"/>
      <c r="V19" s="47"/>
    </row>
    <row r="20" spans="1:25" x14ac:dyDescent="0.25">
      <c r="A20" t="s">
        <v>141</v>
      </c>
      <c r="B20">
        <v>30</v>
      </c>
      <c r="C20">
        <v>0</v>
      </c>
      <c r="D20">
        <v>0</v>
      </c>
      <c r="E20">
        <f t="shared" si="0"/>
        <v>30</v>
      </c>
      <c r="F20">
        <f t="shared" si="1"/>
        <v>33</v>
      </c>
      <c r="I20" t="s">
        <v>150</v>
      </c>
      <c r="S20" s="6"/>
      <c r="T20" s="46"/>
      <c r="U20" s="46"/>
      <c r="V20" s="47"/>
      <c r="X20">
        <v>30</v>
      </c>
    </row>
    <row r="21" spans="1:25" x14ac:dyDescent="0.25">
      <c r="S21" s="6"/>
      <c r="T21" s="46"/>
      <c r="U21" s="46"/>
      <c r="V21" s="47"/>
    </row>
    <row r="22" spans="1:25" x14ac:dyDescent="0.25">
      <c r="E22" t="s">
        <v>202</v>
      </c>
      <c r="S22" s="6"/>
      <c r="T22" s="46"/>
      <c r="U22" s="46"/>
      <c r="V22" s="47"/>
    </row>
    <row r="23" spans="1:25" x14ac:dyDescent="0.25">
      <c r="B23" t="s">
        <v>242</v>
      </c>
      <c r="C23" t="s">
        <v>243</v>
      </c>
      <c r="S23" s="7"/>
      <c r="T23" s="56"/>
      <c r="U23" s="56"/>
      <c r="V23" s="48"/>
    </row>
    <row r="24" spans="1:25" x14ac:dyDescent="0.25">
      <c r="A24" t="s">
        <v>216</v>
      </c>
      <c r="B24">
        <v>18</v>
      </c>
      <c r="C24">
        <v>19</v>
      </c>
    </row>
    <row r="25" spans="1:25" x14ac:dyDescent="0.25">
      <c r="A25" t="s">
        <v>217</v>
      </c>
      <c r="B25">
        <v>36</v>
      </c>
      <c r="C25">
        <v>39</v>
      </c>
      <c r="I25" t="s">
        <v>206</v>
      </c>
    </row>
    <row r="26" spans="1:25" x14ac:dyDescent="0.25">
      <c r="A26" t="s">
        <v>133</v>
      </c>
      <c r="B26">
        <v>40</v>
      </c>
      <c r="C26">
        <v>44</v>
      </c>
    </row>
    <row r="27" spans="1:25" x14ac:dyDescent="0.25">
      <c r="A27" t="s">
        <v>218</v>
      </c>
      <c r="B27">
        <v>48</v>
      </c>
      <c r="C27">
        <v>52</v>
      </c>
    </row>
    <row r="28" spans="1:25" x14ac:dyDescent="0.25">
      <c r="A28" t="s">
        <v>135</v>
      </c>
      <c r="B28">
        <v>27</v>
      </c>
      <c r="C28">
        <v>29</v>
      </c>
    </row>
    <row r="29" spans="1:25" x14ac:dyDescent="0.25">
      <c r="A29" t="s">
        <v>219</v>
      </c>
      <c r="B29">
        <v>36</v>
      </c>
      <c r="C29">
        <v>39</v>
      </c>
    </row>
    <row r="30" spans="1:25" x14ac:dyDescent="0.25">
      <c r="A30" t="s">
        <v>138</v>
      </c>
      <c r="B30">
        <v>30</v>
      </c>
      <c r="C30">
        <v>33</v>
      </c>
    </row>
    <row r="31" spans="1:25" x14ac:dyDescent="0.25">
      <c r="A31" t="s">
        <v>220</v>
      </c>
      <c r="B31">
        <v>30</v>
      </c>
      <c r="C31">
        <v>33</v>
      </c>
    </row>
    <row r="32" spans="1:25" x14ac:dyDescent="0.25">
      <c r="A32" t="s">
        <v>221</v>
      </c>
      <c r="B32">
        <v>36</v>
      </c>
      <c r="C32">
        <v>39</v>
      </c>
    </row>
    <row r="33" spans="1:11" x14ac:dyDescent="0.25">
      <c r="A33" t="s">
        <v>222</v>
      </c>
      <c r="B33">
        <v>27</v>
      </c>
      <c r="C33">
        <v>29</v>
      </c>
    </row>
    <row r="34" spans="1:11" x14ac:dyDescent="0.25">
      <c r="A34" t="s">
        <v>223</v>
      </c>
      <c r="B34">
        <v>33</v>
      </c>
      <c r="C34">
        <v>36</v>
      </c>
    </row>
    <row r="35" spans="1:11" x14ac:dyDescent="0.25">
      <c r="A35" t="s">
        <v>224</v>
      </c>
      <c r="B35">
        <v>30</v>
      </c>
      <c r="C35">
        <v>33</v>
      </c>
      <c r="G35" s="71" t="s">
        <v>135</v>
      </c>
      <c r="H35" s="72"/>
      <c r="I35" s="72" t="s">
        <v>135</v>
      </c>
      <c r="J35" s="36"/>
      <c r="K35" s="55"/>
    </row>
    <row r="36" spans="1:11" x14ac:dyDescent="0.25">
      <c r="A36" t="s">
        <v>225</v>
      </c>
      <c r="B36">
        <v>30</v>
      </c>
      <c r="C36">
        <v>33</v>
      </c>
      <c r="G36" s="6"/>
      <c r="H36" s="46"/>
      <c r="I36" s="46"/>
      <c r="J36" s="46"/>
      <c r="K36" s="47"/>
    </row>
    <row r="37" spans="1:11" x14ac:dyDescent="0.25">
      <c r="A37" t="s">
        <v>141</v>
      </c>
      <c r="B37">
        <v>30</v>
      </c>
      <c r="C37">
        <v>33</v>
      </c>
      <c r="G37" s="6">
        <f>E36-E37</f>
        <v>0</v>
      </c>
      <c r="H37" s="46"/>
      <c r="I37" s="46" t="s">
        <v>153</v>
      </c>
      <c r="J37" s="46"/>
      <c r="K37" s="47"/>
    </row>
    <row r="38" spans="1:11" x14ac:dyDescent="0.25">
      <c r="A38" t="s">
        <v>294</v>
      </c>
      <c r="B38">
        <v>30</v>
      </c>
      <c r="C38">
        <v>33</v>
      </c>
      <c r="G38" s="6">
        <f t="shared" ref="G38:G39" si="2">E37-E38</f>
        <v>0</v>
      </c>
      <c r="H38" s="46"/>
      <c r="I38" s="46" t="s">
        <v>154</v>
      </c>
      <c r="J38" s="46"/>
      <c r="K38" s="47"/>
    </row>
    <row r="39" spans="1:11" x14ac:dyDescent="0.25">
      <c r="G39" s="6">
        <f t="shared" si="2"/>
        <v>0</v>
      </c>
      <c r="H39" s="46"/>
      <c r="I39" s="46" t="s">
        <v>155</v>
      </c>
      <c r="J39" s="46"/>
      <c r="K39" s="47"/>
    </row>
    <row r="40" spans="1:11" x14ac:dyDescent="0.25">
      <c r="G40" s="6" t="s">
        <v>156</v>
      </c>
      <c r="H40" s="46"/>
      <c r="I40" s="46"/>
      <c r="J40" s="46"/>
      <c r="K40" s="47"/>
    </row>
    <row r="41" spans="1:11" x14ac:dyDescent="0.25">
      <c r="G41" s="7"/>
      <c r="H41" s="56"/>
      <c r="I41" s="56"/>
      <c r="J41" s="56"/>
      <c r="K41" s="4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D862"/>
  <sheetViews>
    <sheetView zoomScale="85" zoomScaleNormal="85" workbookViewId="0">
      <selection activeCell="B1" sqref="B1"/>
    </sheetView>
  </sheetViews>
  <sheetFormatPr defaultRowHeight="15" x14ac:dyDescent="0.25"/>
  <cols>
    <col min="1" max="1" width="9.28515625" customWidth="1"/>
    <col min="3" max="3" width="19.5703125" bestFit="1" customWidth="1"/>
    <col min="6" max="6" width="21.28515625" bestFit="1" customWidth="1"/>
    <col min="7" max="7" width="10.7109375" bestFit="1" customWidth="1"/>
    <col min="8" max="8" width="16.85546875" style="47" customWidth="1"/>
    <col min="9" max="9" width="8.85546875" style="6"/>
    <col min="14" max="14" width="8.85546875" style="6"/>
    <col min="19" max="19" width="8.85546875" style="6"/>
    <col min="24" max="24" width="8.85546875" style="6"/>
    <col min="29" max="29" width="8.85546875" style="6"/>
    <col min="34" max="34" width="8.85546875" style="6"/>
    <col min="39" max="39" width="8.85546875" style="6"/>
    <col min="44" max="44" width="8.85546875" style="6"/>
    <col min="52" max="52" width="11.140625" bestFit="1" customWidth="1"/>
    <col min="54" max="54" width="27.28515625" bestFit="1" customWidth="1"/>
  </cols>
  <sheetData>
    <row r="1" spans="1:56" x14ac:dyDescent="0.25">
      <c r="H1" s="47">
        <v>1</v>
      </c>
      <c r="I1" s="6">
        <v>2</v>
      </c>
      <c r="J1" s="47">
        <v>3</v>
      </c>
      <c r="K1" s="6">
        <v>4</v>
      </c>
      <c r="L1" s="47">
        <v>5</v>
      </c>
      <c r="M1" s="6">
        <v>6</v>
      </c>
      <c r="N1" s="47">
        <v>7</v>
      </c>
      <c r="O1" s="6">
        <v>8</v>
      </c>
      <c r="P1" s="47">
        <v>9</v>
      </c>
      <c r="Q1" s="6">
        <v>10</v>
      </c>
      <c r="R1" s="47">
        <v>11</v>
      </c>
      <c r="S1" s="6">
        <v>12</v>
      </c>
      <c r="T1" s="47">
        <v>13</v>
      </c>
      <c r="U1" s="6">
        <v>14</v>
      </c>
      <c r="V1" s="47">
        <v>15</v>
      </c>
      <c r="W1" s="6">
        <v>16</v>
      </c>
      <c r="X1" s="47">
        <v>17</v>
      </c>
      <c r="Y1" s="6">
        <v>18</v>
      </c>
      <c r="Z1" s="47">
        <v>19</v>
      </c>
      <c r="AA1" s="6">
        <v>20</v>
      </c>
      <c r="AB1" s="47">
        <v>21</v>
      </c>
      <c r="AC1" s="6">
        <v>22</v>
      </c>
      <c r="AD1" s="47">
        <v>23</v>
      </c>
      <c r="AE1" s="6">
        <v>24</v>
      </c>
      <c r="AF1" s="47">
        <v>25</v>
      </c>
      <c r="AG1" s="6">
        <v>26</v>
      </c>
      <c r="AH1" s="47">
        <v>27</v>
      </c>
      <c r="AI1" s="6">
        <v>28</v>
      </c>
      <c r="AJ1" s="47">
        <v>29</v>
      </c>
      <c r="AK1" s="6">
        <v>30</v>
      </c>
      <c r="AL1" s="47">
        <v>31</v>
      </c>
      <c r="AM1" s="6">
        <v>32</v>
      </c>
      <c r="AN1" s="47">
        <v>33</v>
      </c>
      <c r="AO1" s="6">
        <v>34</v>
      </c>
      <c r="AP1" s="47">
        <v>35</v>
      </c>
      <c r="AQ1" s="6">
        <v>36</v>
      </c>
      <c r="AR1" s="47">
        <v>37</v>
      </c>
      <c r="AS1" s="6">
        <v>38</v>
      </c>
      <c r="AT1" s="47">
        <v>39</v>
      </c>
      <c r="AU1" s="6">
        <v>40</v>
      </c>
      <c r="AV1" s="47">
        <v>41</v>
      </c>
      <c r="AW1" s="47">
        <v>42</v>
      </c>
    </row>
    <row r="2" spans="1:56" ht="18.75" x14ac:dyDescent="0.3">
      <c r="E2" t="s">
        <v>127</v>
      </c>
      <c r="I2" s="69" t="s">
        <v>99</v>
      </c>
      <c r="J2" s="68"/>
      <c r="K2" s="68"/>
      <c r="L2" s="68"/>
      <c r="M2" s="68"/>
      <c r="N2" s="69"/>
      <c r="O2" s="68"/>
      <c r="P2" s="68"/>
      <c r="Q2" s="68"/>
      <c r="R2" s="68"/>
      <c r="S2" s="69"/>
      <c r="T2" s="68"/>
      <c r="U2" s="68"/>
      <c r="V2" s="68"/>
      <c r="W2" s="68"/>
      <c r="X2" s="69"/>
      <c r="Y2" s="68"/>
      <c r="Z2" s="68"/>
      <c r="AA2" s="68"/>
      <c r="AB2" s="68"/>
      <c r="AC2" s="69" t="s">
        <v>103</v>
      </c>
      <c r="AD2" s="68"/>
      <c r="AE2" s="68"/>
      <c r="AF2" s="68"/>
      <c r="AG2" s="68"/>
      <c r="AH2" s="69"/>
      <c r="AI2" s="68"/>
      <c r="AJ2" s="68"/>
      <c r="AK2" s="68"/>
      <c r="AL2" s="68"/>
      <c r="AM2" s="69"/>
      <c r="AN2" s="68"/>
      <c r="AO2" s="68"/>
      <c r="AP2" s="68"/>
      <c r="AQ2" s="68"/>
      <c r="AR2" s="69"/>
      <c r="AS2" s="68"/>
      <c r="AT2" s="68"/>
      <c r="AU2" s="68"/>
      <c r="AV2" s="68"/>
      <c r="AW2" s="68"/>
    </row>
    <row r="3" spans="1:56" x14ac:dyDescent="0.25">
      <c r="I3" s="6" t="s">
        <v>89</v>
      </c>
      <c r="N3" s="6" t="s">
        <v>90</v>
      </c>
      <c r="S3" s="6" t="s">
        <v>102</v>
      </c>
      <c r="X3" s="6" t="s">
        <v>101</v>
      </c>
      <c r="AC3" s="6" t="s">
        <v>104</v>
      </c>
      <c r="AH3" s="6" t="s">
        <v>105</v>
      </c>
      <c r="AM3" s="6" t="s">
        <v>106</v>
      </c>
      <c r="AR3" s="6" t="s">
        <v>107</v>
      </c>
    </row>
    <row r="4" spans="1:56" x14ac:dyDescent="0.25">
      <c r="C4" t="s">
        <v>93</v>
      </c>
      <c r="D4" t="s">
        <v>16</v>
      </c>
      <c r="E4" t="s">
        <v>117</v>
      </c>
      <c r="G4" t="s">
        <v>20</v>
      </c>
      <c r="I4" s="6" t="s">
        <v>36</v>
      </c>
      <c r="J4" t="s">
        <v>37</v>
      </c>
      <c r="K4" t="s">
        <v>38</v>
      </c>
      <c r="L4" t="s">
        <v>39</v>
      </c>
      <c r="M4" t="s">
        <v>40</v>
      </c>
      <c r="N4" s="6" t="s">
        <v>36</v>
      </c>
      <c r="O4" t="s">
        <v>37</v>
      </c>
      <c r="P4" t="s">
        <v>38</v>
      </c>
      <c r="Q4" t="s">
        <v>39</v>
      </c>
      <c r="R4" t="s">
        <v>40</v>
      </c>
      <c r="S4" s="6" t="s">
        <v>36</v>
      </c>
      <c r="T4" t="s">
        <v>37</v>
      </c>
      <c r="U4" t="s">
        <v>38</v>
      </c>
      <c r="V4" t="s">
        <v>39</v>
      </c>
      <c r="W4" t="s">
        <v>40</v>
      </c>
      <c r="X4" s="6" t="s">
        <v>36</v>
      </c>
      <c r="Y4" t="s">
        <v>37</v>
      </c>
      <c r="Z4" t="s">
        <v>38</v>
      </c>
      <c r="AA4" t="s">
        <v>39</v>
      </c>
      <c r="AB4" t="s">
        <v>40</v>
      </c>
      <c r="AC4" s="6" t="s">
        <v>36</v>
      </c>
      <c r="AD4" t="s">
        <v>37</v>
      </c>
      <c r="AE4" t="s">
        <v>38</v>
      </c>
      <c r="AF4" t="s">
        <v>39</v>
      </c>
      <c r="AG4" t="s">
        <v>40</v>
      </c>
      <c r="AH4" s="6" t="s">
        <v>36</v>
      </c>
      <c r="AI4" t="s">
        <v>37</v>
      </c>
      <c r="AJ4" t="s">
        <v>38</v>
      </c>
      <c r="AK4" t="s">
        <v>39</v>
      </c>
      <c r="AL4" t="s">
        <v>40</v>
      </c>
      <c r="AM4" s="6" t="s">
        <v>36</v>
      </c>
      <c r="AN4" t="s">
        <v>37</v>
      </c>
      <c r="AO4" t="s">
        <v>38</v>
      </c>
      <c r="AP4" t="s">
        <v>39</v>
      </c>
      <c r="AQ4" t="s">
        <v>40</v>
      </c>
      <c r="AR4" s="6" t="s">
        <v>36</v>
      </c>
      <c r="AS4" t="s">
        <v>37</v>
      </c>
      <c r="AT4" t="s">
        <v>38</v>
      </c>
      <c r="AU4" t="s">
        <v>39</v>
      </c>
      <c r="AV4" t="s">
        <v>40</v>
      </c>
      <c r="AZ4" s="84" t="s">
        <v>15</v>
      </c>
      <c r="BA4" s="85"/>
      <c r="BB4" s="85"/>
      <c r="BC4" s="86"/>
    </row>
    <row r="5" spans="1:56" s="36" customFormat="1" x14ac:dyDescent="0.25">
      <c r="B5" s="36" t="s">
        <v>121</v>
      </c>
      <c r="C5" s="36" t="str">
        <f>'Status Thresholds'!B5</f>
        <v>Agnaktor</v>
      </c>
      <c r="D5" s="36" t="s">
        <v>14</v>
      </c>
      <c r="E5" s="36" t="str">
        <f>C5&amp;D5</f>
        <v>AgnaktorKO</v>
      </c>
      <c r="F5" s="36" t="str">
        <f>IFERROR(VLOOKUP($E5,'Status Thresholds'!$E:$AS,1,FALSE),"")</f>
        <v>AgnaktorKO</v>
      </c>
      <c r="H5" s="55" t="str">
        <f>E5&amp;G5</f>
        <v>AgnaktorKO</v>
      </c>
      <c r="I5" s="50">
        <f>VLOOKUP($F5,'Status Thresholds'!$E:$AS,2,FALSE)</f>
        <v>260</v>
      </c>
      <c r="J5" s="36">
        <f>VLOOKUP($F5,'Status Thresholds'!$E:$AS,3,FALSE)</f>
        <v>390</v>
      </c>
      <c r="K5" s="36">
        <f>VLOOKUP($F5,'Status Thresholds'!$E:$AS,4,FALSE)</f>
        <v>520</v>
      </c>
      <c r="L5" s="36">
        <f>VLOOKUP($F5,'Status Thresholds'!$E:$AS,5,FALSE)</f>
        <v>650</v>
      </c>
      <c r="M5" s="36">
        <f>VLOOKUP($F5,'Status Thresholds'!$E:$AS,6,FALSE)</f>
        <v>0</v>
      </c>
      <c r="N5" s="50">
        <f>VLOOKUP($F5,'Status Thresholds'!$E:$AS,7,FALSE)</f>
        <v>0</v>
      </c>
      <c r="O5" s="36">
        <f>VLOOKUP($F5,'Status Thresholds'!$E:$AS,8,FALSE)</f>
        <v>0</v>
      </c>
      <c r="P5" s="36">
        <f>VLOOKUP($F5,'Status Thresholds'!$E:$AS,9,FALSE)</f>
        <v>0</v>
      </c>
      <c r="Q5" s="36">
        <f>VLOOKUP($F5,'Status Thresholds'!$E:$AS,10,FALSE)</f>
        <v>0</v>
      </c>
      <c r="R5" s="36">
        <f>VLOOKUP($F5,'Status Thresholds'!$E:$AS,11,FALSE)</f>
        <v>0</v>
      </c>
      <c r="S5" s="50">
        <f>VLOOKUP($F5,'Status Thresholds'!$E:$AS,12,FALSE)</f>
        <v>280</v>
      </c>
      <c r="T5" s="36">
        <f>VLOOKUP($F5,'Status Thresholds'!$E:$AS,13,FALSE)</f>
        <v>420</v>
      </c>
      <c r="U5" s="36">
        <f>VLOOKUP($F5,'Status Thresholds'!$E:$AS,14,FALSE)</f>
        <v>560</v>
      </c>
      <c r="V5" s="36">
        <f>VLOOKUP($F5,'Status Thresholds'!$E:$AS,15,FALSE)</f>
        <v>700</v>
      </c>
      <c r="W5" s="36">
        <f>VLOOKUP($F5,'Status Thresholds'!$E:$AS,16,FALSE)</f>
        <v>0</v>
      </c>
      <c r="X5" s="50">
        <f>VLOOKUP($F5,'Status Thresholds'!$E:$AS,17,FALSE)</f>
        <v>0</v>
      </c>
      <c r="Y5" s="36">
        <f>VLOOKUP($F5,'Status Thresholds'!$E:$AS,18,FALSE)</f>
        <v>0</v>
      </c>
      <c r="Z5" s="36">
        <f>VLOOKUP($F5,'Status Thresholds'!$E:$AS,19,FALSE)</f>
        <v>0</v>
      </c>
      <c r="AA5" s="36">
        <f>VLOOKUP($F5,'Status Thresholds'!$E:$AS,20,FALSE)</f>
        <v>0</v>
      </c>
      <c r="AB5" s="36">
        <f>VLOOKUP($F5,'Status Thresholds'!$E:$AS,21,FALSE)</f>
        <v>0</v>
      </c>
      <c r="AC5" s="50">
        <f>VLOOKUP($F5,'Status Thresholds'!$E:$AS,22,FALSE)</f>
        <v>300</v>
      </c>
      <c r="AD5" s="36">
        <f>VLOOKUP($F5,'Status Thresholds'!$E:$AS,23,FALSE)</f>
        <v>450</v>
      </c>
      <c r="AE5" s="36">
        <f>VLOOKUP($F5,'Status Thresholds'!$E:$AS,24,FALSE)</f>
        <v>600</v>
      </c>
      <c r="AF5" s="36">
        <f>VLOOKUP($F5,'Status Thresholds'!$E:$AS,25,FALSE)</f>
        <v>750</v>
      </c>
      <c r="AG5" s="36">
        <f>VLOOKUP($F5,'Status Thresholds'!$E:$AS,26,FALSE)</f>
        <v>0</v>
      </c>
      <c r="AH5" s="50">
        <f>VLOOKUP($F5,'Status Thresholds'!$E:$AS,27,FALSE)</f>
        <v>300</v>
      </c>
      <c r="AI5" s="36">
        <f>VLOOKUP($F5,'Status Thresholds'!$E:$AS,28,FALSE)</f>
        <v>450</v>
      </c>
      <c r="AJ5" s="36">
        <f>VLOOKUP($F5,'Status Thresholds'!$E:$AS,29,FALSE)</f>
        <v>600</v>
      </c>
      <c r="AK5" s="36">
        <f>VLOOKUP($F5,'Status Thresholds'!$E:$AS,30,FALSE)</f>
        <v>750</v>
      </c>
      <c r="AL5" s="36">
        <f>VLOOKUP($F5,'Status Thresholds'!$E:$AS,31,FALSE)</f>
        <v>0</v>
      </c>
      <c r="AM5" s="50">
        <f>VLOOKUP($F5,'Status Thresholds'!$E:$AS,32,FALSE)</f>
        <v>400</v>
      </c>
      <c r="AN5" s="36">
        <f>VLOOKUP($F5,'Status Thresholds'!$E:$AS,33,FALSE)</f>
        <v>600</v>
      </c>
      <c r="AO5" s="36">
        <f>VLOOKUP($F5,'Status Thresholds'!$E:$AS,34,FALSE)</f>
        <v>800</v>
      </c>
      <c r="AP5" s="36">
        <f>VLOOKUP($F5,'Status Thresholds'!$E:$AS,35,FALSE)</f>
        <v>1000</v>
      </c>
      <c r="AQ5" s="36">
        <f>VLOOKUP($F5,'Status Thresholds'!$E:$AS,36,FALSE)</f>
        <v>0</v>
      </c>
      <c r="AR5" s="50">
        <f>VLOOKUP($F5,'Status Thresholds'!$E:$AS,37,FALSE)</f>
        <v>0</v>
      </c>
      <c r="AS5" s="36">
        <f>VLOOKUP($F5,'Status Thresholds'!$E:$AS,38,FALSE)</f>
        <v>0</v>
      </c>
      <c r="AT5" s="36">
        <f>VLOOKUP($F5,'Status Thresholds'!$E:$AS,39,FALSE)</f>
        <v>0</v>
      </c>
      <c r="AU5" s="36">
        <f>VLOOKUP($F5,'Status Thresholds'!$E:$AS,40,FALSE)</f>
        <v>0</v>
      </c>
      <c r="AV5" s="36">
        <v>0</v>
      </c>
      <c r="AZ5" s="21" t="s">
        <v>20</v>
      </c>
      <c r="BA5" s="22" t="s">
        <v>25</v>
      </c>
      <c r="BB5" s="23" t="s">
        <v>23</v>
      </c>
      <c r="BC5" s="49" t="s">
        <v>44</v>
      </c>
      <c r="BD5" s="50"/>
    </row>
    <row r="6" spans="1:56" s="46" customFormat="1" x14ac:dyDescent="0.25">
      <c r="A6" s="36"/>
      <c r="B6" s="46" t="s">
        <v>120</v>
      </c>
      <c r="C6" s="36" t="str">
        <f>'Status Thresholds'!B6</f>
        <v>Agnaktor</v>
      </c>
      <c r="E6" s="36" t="str">
        <f t="shared" ref="E6:E69" si="0">C6&amp;D6</f>
        <v>Agnaktor</v>
      </c>
      <c r="F6" s="36" t="str">
        <f>IFERROR(VLOOKUP($E6,'Status Thresholds'!$E:$AS,1,FALSE),"")</f>
        <v/>
      </c>
      <c r="G6" s="46" t="s">
        <v>21</v>
      </c>
      <c r="H6" s="55" t="str">
        <f t="shared" ref="H6:H69" si="1">E6&amp;G6</f>
        <v>AgnaktorTriblast</v>
      </c>
      <c r="I6" s="50">
        <v>2</v>
      </c>
      <c r="J6" s="36">
        <v>2</v>
      </c>
      <c r="K6" s="36">
        <v>2</v>
      </c>
      <c r="L6" s="36">
        <v>2</v>
      </c>
      <c r="M6" s="36">
        <v>0</v>
      </c>
      <c r="N6" s="50">
        <v>0</v>
      </c>
      <c r="O6" s="36">
        <v>0</v>
      </c>
      <c r="P6" s="36">
        <v>0</v>
      </c>
      <c r="Q6" s="36">
        <v>0</v>
      </c>
      <c r="R6" s="36">
        <v>0</v>
      </c>
      <c r="S6" s="50">
        <v>2</v>
      </c>
      <c r="T6" s="36">
        <v>2</v>
      </c>
      <c r="U6" s="36">
        <v>2</v>
      </c>
      <c r="V6" s="36">
        <v>2</v>
      </c>
      <c r="W6" s="36">
        <v>0</v>
      </c>
      <c r="X6" s="50">
        <v>0</v>
      </c>
      <c r="Y6" s="36">
        <v>0</v>
      </c>
      <c r="Z6" s="36">
        <v>0</v>
      </c>
      <c r="AA6" s="36">
        <v>0</v>
      </c>
      <c r="AB6" s="36">
        <v>0</v>
      </c>
      <c r="AC6" s="50">
        <v>2</v>
      </c>
      <c r="AD6" s="36">
        <v>0</v>
      </c>
      <c r="AE6" s="36">
        <v>2</v>
      </c>
      <c r="AF6" s="36">
        <v>2</v>
      </c>
      <c r="AG6" s="36">
        <v>0</v>
      </c>
      <c r="AH6" s="50">
        <v>2</v>
      </c>
      <c r="AI6" s="36">
        <v>0</v>
      </c>
      <c r="AJ6" s="36">
        <v>2</v>
      </c>
      <c r="AK6" s="36">
        <v>2</v>
      </c>
      <c r="AL6" s="36">
        <v>0</v>
      </c>
      <c r="AM6" s="50">
        <v>2</v>
      </c>
      <c r="AN6" s="36">
        <v>2</v>
      </c>
      <c r="AO6" s="36">
        <v>2</v>
      </c>
      <c r="AP6" s="36">
        <v>2</v>
      </c>
      <c r="AQ6" s="36">
        <v>0</v>
      </c>
      <c r="AR6" s="50">
        <v>0</v>
      </c>
      <c r="AS6" s="36">
        <v>0</v>
      </c>
      <c r="AT6" s="36">
        <v>0</v>
      </c>
      <c r="AU6" s="36">
        <v>0</v>
      </c>
      <c r="AV6" s="36">
        <v>0</v>
      </c>
      <c r="AW6" s="46">
        <v>0</v>
      </c>
      <c r="AZ6" s="6" t="s">
        <v>11</v>
      </c>
      <c r="BA6" s="8">
        <v>25</v>
      </c>
      <c r="BB6" s="8">
        <v>27</v>
      </c>
      <c r="BC6" s="47">
        <v>8</v>
      </c>
      <c r="BD6"/>
    </row>
    <row r="7" spans="1:56" x14ac:dyDescent="0.25">
      <c r="A7" s="36"/>
      <c r="B7" t="s">
        <v>120</v>
      </c>
      <c r="C7" s="36" t="str">
        <f>'Status Thresholds'!B7</f>
        <v>Agnaktor</v>
      </c>
      <c r="E7" s="36" t="str">
        <f t="shared" si="0"/>
        <v>Agnaktor</v>
      </c>
      <c r="F7" s="36" t="str">
        <f>IFERROR(VLOOKUP($E7,'Status Thresholds'!$E:$AS,1,FALSE),"")</f>
        <v/>
      </c>
      <c r="G7" t="s">
        <v>13</v>
      </c>
      <c r="H7" s="55" t="str">
        <f t="shared" si="1"/>
        <v>AgnaktorCrag 3</v>
      </c>
      <c r="I7" s="50">
        <v>2</v>
      </c>
      <c r="J7" s="36">
        <v>4</v>
      </c>
      <c r="K7" s="36">
        <v>2</v>
      </c>
      <c r="L7" s="36">
        <v>4</v>
      </c>
      <c r="M7" s="36">
        <v>0</v>
      </c>
      <c r="N7" s="50">
        <v>0</v>
      </c>
      <c r="O7" s="36">
        <v>0</v>
      </c>
      <c r="P7" s="36">
        <v>0</v>
      </c>
      <c r="Q7" s="36">
        <v>0</v>
      </c>
      <c r="R7" s="36">
        <v>0</v>
      </c>
      <c r="S7" s="50">
        <v>2</v>
      </c>
      <c r="T7" s="36">
        <v>4</v>
      </c>
      <c r="U7" s="36">
        <v>3</v>
      </c>
      <c r="V7" s="36">
        <v>4</v>
      </c>
      <c r="W7" s="36">
        <v>0</v>
      </c>
      <c r="X7" s="50">
        <v>0</v>
      </c>
      <c r="Y7" s="36">
        <v>0</v>
      </c>
      <c r="Z7" s="36">
        <v>0</v>
      </c>
      <c r="AA7" s="36">
        <v>0</v>
      </c>
      <c r="AB7" s="36">
        <v>0</v>
      </c>
      <c r="AC7" s="50">
        <v>3</v>
      </c>
      <c r="AD7" s="36">
        <v>4</v>
      </c>
      <c r="AE7" s="36">
        <v>4</v>
      </c>
      <c r="AF7" s="36">
        <v>4</v>
      </c>
      <c r="AG7" s="36">
        <v>0</v>
      </c>
      <c r="AH7" s="50">
        <v>3</v>
      </c>
      <c r="AI7" s="36">
        <v>4</v>
      </c>
      <c r="AJ7" s="36">
        <v>4</v>
      </c>
      <c r="AK7" s="36">
        <v>4</v>
      </c>
      <c r="AL7" s="36">
        <v>0</v>
      </c>
      <c r="AM7" s="50">
        <v>4</v>
      </c>
      <c r="AN7" s="36">
        <v>4</v>
      </c>
      <c r="AO7" s="36">
        <v>4</v>
      </c>
      <c r="AP7" s="36">
        <v>4</v>
      </c>
      <c r="AQ7" s="36">
        <v>0</v>
      </c>
      <c r="AR7" s="50">
        <v>0</v>
      </c>
      <c r="AS7" s="36">
        <v>0</v>
      </c>
      <c r="AT7" s="36">
        <v>0</v>
      </c>
      <c r="AU7" s="36">
        <v>0</v>
      </c>
      <c r="AV7" s="36">
        <v>0</v>
      </c>
      <c r="AW7">
        <v>0</v>
      </c>
      <c r="AX7">
        <v>0</v>
      </c>
      <c r="AZ7" s="6" t="s">
        <v>12</v>
      </c>
      <c r="BA7" s="8">
        <v>30</v>
      </c>
      <c r="BB7" s="8">
        <v>33</v>
      </c>
      <c r="BC7" s="47">
        <v>4</v>
      </c>
    </row>
    <row r="8" spans="1:56" x14ac:dyDescent="0.25">
      <c r="A8" s="36"/>
      <c r="B8" t="s">
        <v>120</v>
      </c>
      <c r="C8" s="36" t="str">
        <f>'Status Thresholds'!B8</f>
        <v>Agnaktor</v>
      </c>
      <c r="E8" s="36" t="str">
        <f t="shared" si="0"/>
        <v>Agnaktor</v>
      </c>
      <c r="F8" s="36" t="str">
        <f>IFERROR(VLOOKUP($E8,'Status Thresholds'!$E:$AS,1,FALSE),"")</f>
        <v/>
      </c>
      <c r="G8" t="s">
        <v>12</v>
      </c>
      <c r="H8" s="55" t="str">
        <f t="shared" si="1"/>
        <v>AgnaktorCrag 2</v>
      </c>
      <c r="I8" s="50">
        <v>1</v>
      </c>
      <c r="J8" s="36">
        <v>1</v>
      </c>
      <c r="K8" s="36">
        <v>3</v>
      </c>
      <c r="L8" s="36">
        <v>4</v>
      </c>
      <c r="M8" s="36">
        <v>0</v>
      </c>
      <c r="N8" s="50">
        <v>0</v>
      </c>
      <c r="O8" s="36">
        <v>0</v>
      </c>
      <c r="P8" s="36">
        <v>0</v>
      </c>
      <c r="Q8" s="36">
        <v>0</v>
      </c>
      <c r="R8" s="36">
        <v>0</v>
      </c>
      <c r="S8" s="50">
        <v>0</v>
      </c>
      <c r="T8" s="36">
        <v>2</v>
      </c>
      <c r="U8" s="36">
        <v>3</v>
      </c>
      <c r="V8" s="36">
        <v>4</v>
      </c>
      <c r="W8" s="36">
        <v>0</v>
      </c>
      <c r="X8" s="50">
        <v>0</v>
      </c>
      <c r="Y8" s="36">
        <v>0</v>
      </c>
      <c r="Z8" s="36">
        <v>0</v>
      </c>
      <c r="AA8" s="36">
        <v>0</v>
      </c>
      <c r="AB8" s="36">
        <v>0</v>
      </c>
      <c r="AC8" s="50">
        <v>1</v>
      </c>
      <c r="AD8" s="36">
        <v>3</v>
      </c>
      <c r="AE8" s="36">
        <v>3</v>
      </c>
      <c r="AF8" s="36">
        <v>4</v>
      </c>
      <c r="AG8" s="36">
        <v>0</v>
      </c>
      <c r="AH8" s="50">
        <v>1</v>
      </c>
      <c r="AI8" s="36">
        <v>3</v>
      </c>
      <c r="AJ8" s="36">
        <v>3</v>
      </c>
      <c r="AK8" s="36">
        <v>4</v>
      </c>
      <c r="AL8" s="36">
        <v>0</v>
      </c>
      <c r="AM8" s="50">
        <v>3</v>
      </c>
      <c r="AN8" s="36">
        <v>3</v>
      </c>
      <c r="AO8" s="36">
        <v>4</v>
      </c>
      <c r="AP8" s="36">
        <v>4</v>
      </c>
      <c r="AQ8" s="36">
        <v>0</v>
      </c>
      <c r="AR8" s="50">
        <v>0</v>
      </c>
      <c r="AS8" s="36">
        <v>0</v>
      </c>
      <c r="AT8" s="36">
        <v>0</v>
      </c>
      <c r="AU8" s="36">
        <v>0</v>
      </c>
      <c r="AV8" s="36">
        <v>0</v>
      </c>
      <c r="AW8">
        <v>0</v>
      </c>
      <c r="AX8">
        <v>0</v>
      </c>
      <c r="AZ8" s="6" t="s">
        <v>13</v>
      </c>
      <c r="BA8" s="8">
        <v>40</v>
      </c>
      <c r="BB8" s="8">
        <v>44</v>
      </c>
      <c r="BC8" s="47">
        <v>4</v>
      </c>
    </row>
    <row r="9" spans="1:56" x14ac:dyDescent="0.25">
      <c r="A9" s="36"/>
      <c r="B9" t="s">
        <v>120</v>
      </c>
      <c r="C9" s="36" t="str">
        <f>'Status Thresholds'!B9</f>
        <v>Agnaktor</v>
      </c>
      <c r="E9" s="36" t="str">
        <f t="shared" si="0"/>
        <v>Agnaktor</v>
      </c>
      <c r="F9" s="36" t="str">
        <f>IFERROR(VLOOKUP($E9,'Status Thresholds'!$E:$AS,1,FALSE),"")</f>
        <v/>
      </c>
      <c r="G9" t="s">
        <v>11</v>
      </c>
      <c r="H9" s="55" t="str">
        <f t="shared" si="1"/>
        <v>AgnaktorCrag 1</v>
      </c>
      <c r="I9" s="50">
        <v>0</v>
      </c>
      <c r="J9" s="36">
        <v>2</v>
      </c>
      <c r="K9" s="36">
        <v>8</v>
      </c>
      <c r="L9" s="36">
        <v>8</v>
      </c>
      <c r="M9" s="36">
        <v>0</v>
      </c>
      <c r="N9" s="50">
        <v>0</v>
      </c>
      <c r="O9" s="36">
        <v>0</v>
      </c>
      <c r="P9" s="36">
        <v>0</v>
      </c>
      <c r="Q9" s="36">
        <v>0</v>
      </c>
      <c r="R9" s="36">
        <v>0</v>
      </c>
      <c r="S9" s="50">
        <v>2</v>
      </c>
      <c r="T9" s="36">
        <v>2</v>
      </c>
      <c r="U9" s="36">
        <v>8</v>
      </c>
      <c r="V9" s="36">
        <v>8</v>
      </c>
      <c r="W9" s="36">
        <v>0</v>
      </c>
      <c r="X9" s="50">
        <v>0</v>
      </c>
      <c r="Y9" s="36">
        <v>0</v>
      </c>
      <c r="Z9" s="36">
        <v>0</v>
      </c>
      <c r="AA9" s="36">
        <v>0</v>
      </c>
      <c r="AB9" s="36">
        <v>0</v>
      </c>
      <c r="AC9" s="50">
        <v>0</v>
      </c>
      <c r="AD9" s="36">
        <v>8</v>
      </c>
      <c r="AE9" s="36">
        <v>8</v>
      </c>
      <c r="AF9" s="36">
        <v>8</v>
      </c>
      <c r="AG9" s="36">
        <v>0</v>
      </c>
      <c r="AH9" s="50">
        <v>0</v>
      </c>
      <c r="AI9" s="36">
        <v>8</v>
      </c>
      <c r="AJ9" s="36">
        <v>8</v>
      </c>
      <c r="AK9" s="36">
        <v>8</v>
      </c>
      <c r="AL9" s="36">
        <v>0</v>
      </c>
      <c r="AM9" s="50">
        <v>0</v>
      </c>
      <c r="AN9" s="36">
        <v>8</v>
      </c>
      <c r="AO9" s="36">
        <v>8</v>
      </c>
      <c r="AP9" s="36">
        <v>8</v>
      </c>
      <c r="AQ9" s="36">
        <v>0</v>
      </c>
      <c r="AR9" s="50">
        <v>0</v>
      </c>
      <c r="AS9" s="36">
        <v>0</v>
      </c>
      <c r="AT9" s="36">
        <v>0</v>
      </c>
      <c r="AU9" s="36">
        <v>0</v>
      </c>
      <c r="AV9" s="36">
        <v>0</v>
      </c>
      <c r="AW9">
        <v>0</v>
      </c>
      <c r="AX9">
        <v>0</v>
      </c>
      <c r="AZ9" s="6" t="s">
        <v>7</v>
      </c>
      <c r="BA9" s="8">
        <v>15</v>
      </c>
      <c r="BB9" s="8">
        <v>16</v>
      </c>
      <c r="BC9" s="47">
        <v>4</v>
      </c>
    </row>
    <row r="10" spans="1:56" s="36" customFormat="1" x14ac:dyDescent="0.25">
      <c r="B10" s="36" t="s">
        <v>119</v>
      </c>
      <c r="C10" s="36" t="str">
        <f>'Status Thresholds'!B10</f>
        <v>Agnaktor</v>
      </c>
      <c r="E10" s="36" t="str">
        <f t="shared" si="0"/>
        <v>Agnaktor</v>
      </c>
      <c r="F10" s="36" t="str">
        <f>IFERROR(VLOOKUP($E10,'Status Thresholds'!$E:$AS,1,FALSE),"")</f>
        <v/>
      </c>
      <c r="G10" s="36" t="s">
        <v>21</v>
      </c>
      <c r="H10" s="55" t="str">
        <f t="shared" si="1"/>
        <v>AgnaktorTriblast</v>
      </c>
      <c r="I10" s="50">
        <v>2</v>
      </c>
      <c r="J10" s="36">
        <v>2</v>
      </c>
      <c r="K10" s="36">
        <v>2</v>
      </c>
      <c r="L10" s="36">
        <v>2</v>
      </c>
      <c r="M10" s="36">
        <v>0</v>
      </c>
      <c r="N10" s="50">
        <v>0</v>
      </c>
      <c r="O10" s="36">
        <v>0</v>
      </c>
      <c r="P10" s="36">
        <v>0</v>
      </c>
      <c r="Q10" s="36">
        <v>0</v>
      </c>
      <c r="R10" s="36">
        <v>0</v>
      </c>
      <c r="S10" s="50">
        <v>0</v>
      </c>
      <c r="T10" s="36">
        <v>0</v>
      </c>
      <c r="U10" s="36">
        <v>2</v>
      </c>
      <c r="V10" s="36">
        <v>2</v>
      </c>
      <c r="W10" s="36">
        <v>0</v>
      </c>
      <c r="X10" s="50">
        <v>0</v>
      </c>
      <c r="Y10" s="36">
        <v>0</v>
      </c>
      <c r="Z10" s="36">
        <v>0</v>
      </c>
      <c r="AA10" s="36">
        <v>0</v>
      </c>
      <c r="AB10" s="36">
        <v>0</v>
      </c>
      <c r="AC10" s="50">
        <v>1</v>
      </c>
      <c r="AD10" s="36">
        <v>2</v>
      </c>
      <c r="AE10" s="36">
        <v>2</v>
      </c>
      <c r="AF10" s="36">
        <v>2</v>
      </c>
      <c r="AG10" s="36">
        <v>0</v>
      </c>
      <c r="AH10" s="50">
        <v>1</v>
      </c>
      <c r="AI10" s="36">
        <v>2</v>
      </c>
      <c r="AJ10" s="36">
        <v>2</v>
      </c>
      <c r="AK10" s="36">
        <v>2</v>
      </c>
      <c r="AL10" s="36">
        <v>0</v>
      </c>
      <c r="AM10" s="50">
        <v>2</v>
      </c>
      <c r="AN10" s="36">
        <v>2</v>
      </c>
      <c r="AO10" s="36">
        <v>2</v>
      </c>
      <c r="AP10" s="36">
        <v>2</v>
      </c>
      <c r="AQ10" s="36">
        <v>0</v>
      </c>
      <c r="AR10" s="50">
        <v>0</v>
      </c>
      <c r="AS10" s="36">
        <v>0</v>
      </c>
      <c r="AT10" s="36">
        <v>0</v>
      </c>
      <c r="AU10" s="36">
        <v>0</v>
      </c>
      <c r="AV10" s="36">
        <v>0</v>
      </c>
      <c r="AW10" s="36">
        <v>0</v>
      </c>
      <c r="AX10" s="36">
        <v>0</v>
      </c>
      <c r="AZ10" s="6" t="s">
        <v>8</v>
      </c>
      <c r="BA10" s="8">
        <v>20</v>
      </c>
      <c r="BB10" s="8">
        <v>22</v>
      </c>
      <c r="BC10" s="47">
        <v>3</v>
      </c>
      <c r="BD10" s="50"/>
    </row>
    <row r="11" spans="1:56" x14ac:dyDescent="0.25">
      <c r="A11" s="36"/>
      <c r="B11" t="s">
        <v>119</v>
      </c>
      <c r="C11" s="36" t="str">
        <f>'Status Thresholds'!B11</f>
        <v>Agnaktor</v>
      </c>
      <c r="E11" s="36" t="str">
        <f t="shared" si="0"/>
        <v>Agnaktor</v>
      </c>
      <c r="F11" s="36" t="str">
        <f>IFERROR(VLOOKUP($E11,'Status Thresholds'!$E:$AS,1,FALSE),"")</f>
        <v/>
      </c>
      <c r="G11" t="s">
        <v>13</v>
      </c>
      <c r="H11" s="55" t="str">
        <f t="shared" si="1"/>
        <v>AgnaktorCrag 3</v>
      </c>
      <c r="I11" s="50">
        <v>1</v>
      </c>
      <c r="J11" s="36">
        <v>0</v>
      </c>
      <c r="K11" s="36">
        <v>1</v>
      </c>
      <c r="L11" s="36">
        <v>4</v>
      </c>
      <c r="M11" s="36">
        <v>0</v>
      </c>
      <c r="N11" s="50">
        <v>0</v>
      </c>
      <c r="O11" s="36">
        <v>0</v>
      </c>
      <c r="P11" s="36">
        <v>0</v>
      </c>
      <c r="Q11" s="36">
        <v>0</v>
      </c>
      <c r="R11" s="36">
        <v>0</v>
      </c>
      <c r="S11" s="50">
        <v>0</v>
      </c>
      <c r="T11" s="36">
        <v>3</v>
      </c>
      <c r="U11" s="36">
        <v>4</v>
      </c>
      <c r="V11" s="36">
        <v>4</v>
      </c>
      <c r="W11" s="36">
        <v>0</v>
      </c>
      <c r="X11" s="50">
        <v>0</v>
      </c>
      <c r="Y11" s="36">
        <v>0</v>
      </c>
      <c r="Z11" s="36">
        <v>0</v>
      </c>
      <c r="AA11" s="36">
        <v>0</v>
      </c>
      <c r="AB11" s="36">
        <v>0</v>
      </c>
      <c r="AC11" s="50">
        <v>3</v>
      </c>
      <c r="AD11" s="36">
        <v>0</v>
      </c>
      <c r="AE11" s="36">
        <v>4</v>
      </c>
      <c r="AF11" s="36">
        <v>4</v>
      </c>
      <c r="AG11" s="36">
        <v>0</v>
      </c>
      <c r="AH11" s="50">
        <v>3</v>
      </c>
      <c r="AI11" s="36">
        <v>0</v>
      </c>
      <c r="AJ11" s="36">
        <v>4</v>
      </c>
      <c r="AK11" s="36">
        <v>4</v>
      </c>
      <c r="AL11" s="36">
        <v>0</v>
      </c>
      <c r="AM11" s="50">
        <v>1</v>
      </c>
      <c r="AN11" s="36">
        <v>4</v>
      </c>
      <c r="AO11" s="36">
        <v>4</v>
      </c>
      <c r="AP11" s="36">
        <v>4</v>
      </c>
      <c r="AQ11" s="36">
        <v>0</v>
      </c>
      <c r="AR11" s="50">
        <v>0</v>
      </c>
      <c r="AS11" s="36">
        <v>0</v>
      </c>
      <c r="AT11" s="36">
        <v>0</v>
      </c>
      <c r="AU11" s="36">
        <v>0</v>
      </c>
      <c r="AV11" s="36">
        <v>0</v>
      </c>
      <c r="AW11">
        <v>0</v>
      </c>
      <c r="AX11">
        <v>0</v>
      </c>
      <c r="AZ11" s="6" t="s">
        <v>21</v>
      </c>
      <c r="BA11" s="8">
        <v>75</v>
      </c>
      <c r="BB11" s="8">
        <v>81</v>
      </c>
      <c r="BC11" s="47">
        <v>2</v>
      </c>
    </row>
    <row r="12" spans="1:56" x14ac:dyDescent="0.25">
      <c r="A12" s="36"/>
      <c r="B12" t="s">
        <v>119</v>
      </c>
      <c r="C12" s="36" t="str">
        <f>'Status Thresholds'!B12</f>
        <v>Agnaktor</v>
      </c>
      <c r="E12" s="36" t="str">
        <f t="shared" si="0"/>
        <v>Agnaktor</v>
      </c>
      <c r="F12" s="36" t="str">
        <f>IFERROR(VLOOKUP($E12,'Status Thresholds'!$E:$AS,1,FALSE),"")</f>
        <v/>
      </c>
      <c r="G12" t="s">
        <v>12</v>
      </c>
      <c r="H12" s="55" t="str">
        <f t="shared" si="1"/>
        <v>AgnaktorCrag 2</v>
      </c>
      <c r="I12" s="50">
        <v>0</v>
      </c>
      <c r="J12" s="36">
        <v>2</v>
      </c>
      <c r="K12" s="36">
        <v>3</v>
      </c>
      <c r="L12" s="36">
        <v>3</v>
      </c>
      <c r="M12" s="36">
        <v>0</v>
      </c>
      <c r="N12" s="50">
        <v>0</v>
      </c>
      <c r="O12" s="36">
        <v>0</v>
      </c>
      <c r="P12" s="36">
        <v>0</v>
      </c>
      <c r="Q12" s="36">
        <v>0</v>
      </c>
      <c r="R12" s="36">
        <v>0</v>
      </c>
      <c r="S12" s="50">
        <v>2</v>
      </c>
      <c r="T12" s="36">
        <v>3</v>
      </c>
      <c r="U12" s="36">
        <v>1</v>
      </c>
      <c r="V12" s="36">
        <v>4</v>
      </c>
      <c r="W12" s="36">
        <v>0</v>
      </c>
      <c r="X12" s="50">
        <v>0</v>
      </c>
      <c r="Y12" s="36">
        <v>0</v>
      </c>
      <c r="Z12" s="36">
        <v>0</v>
      </c>
      <c r="AA12" s="36">
        <v>0</v>
      </c>
      <c r="AB12" s="36">
        <v>0</v>
      </c>
      <c r="AC12" s="50">
        <v>1</v>
      </c>
      <c r="AD12" s="36">
        <v>3</v>
      </c>
      <c r="AE12" s="36">
        <v>4</v>
      </c>
      <c r="AF12" s="36">
        <v>4</v>
      </c>
      <c r="AG12" s="36">
        <v>0</v>
      </c>
      <c r="AH12" s="50">
        <v>1</v>
      </c>
      <c r="AI12" s="36">
        <v>3</v>
      </c>
      <c r="AJ12" s="36">
        <v>4</v>
      </c>
      <c r="AK12" s="36">
        <v>4</v>
      </c>
      <c r="AL12" s="36">
        <v>0</v>
      </c>
      <c r="AM12" s="50">
        <v>1</v>
      </c>
      <c r="AN12" s="36">
        <v>4</v>
      </c>
      <c r="AO12" s="36">
        <v>4</v>
      </c>
      <c r="AP12" s="36">
        <v>4</v>
      </c>
      <c r="AQ12" s="36">
        <v>0</v>
      </c>
      <c r="AR12" s="50">
        <v>0</v>
      </c>
      <c r="AS12" s="36">
        <v>0</v>
      </c>
      <c r="AT12" s="36">
        <v>0</v>
      </c>
      <c r="AU12" s="36">
        <v>0</v>
      </c>
      <c r="AV12" s="36">
        <v>0</v>
      </c>
      <c r="AW12">
        <v>0</v>
      </c>
      <c r="AX12">
        <v>0</v>
      </c>
      <c r="AZ12" s="7" t="s">
        <v>18</v>
      </c>
      <c r="BA12" s="9">
        <v>15</v>
      </c>
      <c r="BB12" s="9">
        <v>16</v>
      </c>
      <c r="BC12" s="48">
        <v>0</v>
      </c>
    </row>
    <row r="13" spans="1:56" x14ac:dyDescent="0.25">
      <c r="A13" s="36"/>
      <c r="B13" t="s">
        <v>119</v>
      </c>
      <c r="C13" s="36" t="str">
        <f>'Status Thresholds'!B13</f>
        <v>Agnaktor</v>
      </c>
      <c r="E13" s="36" t="str">
        <f t="shared" si="0"/>
        <v>Agnaktor</v>
      </c>
      <c r="F13" s="36" t="str">
        <f>IFERROR(VLOOKUP($E13,'Status Thresholds'!$E:$AS,1,FALSE),"")</f>
        <v/>
      </c>
      <c r="G13" t="s">
        <v>11</v>
      </c>
      <c r="H13" s="55" t="str">
        <f t="shared" si="1"/>
        <v>AgnaktorCrag 1</v>
      </c>
      <c r="I13" s="50">
        <v>2</v>
      </c>
      <c r="J13" s="36">
        <v>6</v>
      </c>
      <c r="K13" s="36">
        <v>8</v>
      </c>
      <c r="L13" s="36">
        <v>8</v>
      </c>
      <c r="M13" s="36">
        <v>0</v>
      </c>
      <c r="N13" s="50">
        <v>0</v>
      </c>
      <c r="O13" s="36">
        <v>0</v>
      </c>
      <c r="P13" s="36">
        <v>0</v>
      </c>
      <c r="Q13" s="36">
        <v>0</v>
      </c>
      <c r="R13" s="36">
        <v>0</v>
      </c>
      <c r="S13" s="50">
        <v>8</v>
      </c>
      <c r="T13" s="36">
        <v>7</v>
      </c>
      <c r="U13" s="36">
        <v>7</v>
      </c>
      <c r="V13" s="36">
        <v>8</v>
      </c>
      <c r="W13" s="36">
        <v>0</v>
      </c>
      <c r="X13" s="50">
        <v>0</v>
      </c>
      <c r="Y13" s="36">
        <v>0</v>
      </c>
      <c r="Z13" s="36">
        <v>0</v>
      </c>
      <c r="AA13" s="36">
        <v>0</v>
      </c>
      <c r="AB13" s="36">
        <v>0</v>
      </c>
      <c r="AC13" s="50">
        <v>2</v>
      </c>
      <c r="AD13" s="36">
        <v>7</v>
      </c>
      <c r="AE13" s="36">
        <v>5</v>
      </c>
      <c r="AF13" s="36">
        <v>8</v>
      </c>
      <c r="AG13" s="36">
        <v>0</v>
      </c>
      <c r="AH13" s="50">
        <v>2</v>
      </c>
      <c r="AI13" s="36">
        <v>7</v>
      </c>
      <c r="AJ13" s="36">
        <v>5</v>
      </c>
      <c r="AK13" s="36">
        <v>8</v>
      </c>
      <c r="AL13" s="36">
        <v>0</v>
      </c>
      <c r="AM13" s="50">
        <v>6</v>
      </c>
      <c r="AN13" s="36">
        <v>5</v>
      </c>
      <c r="AO13" s="36">
        <v>8</v>
      </c>
      <c r="AP13" s="36">
        <v>8</v>
      </c>
      <c r="AQ13" s="36">
        <v>0</v>
      </c>
      <c r="AR13" s="50">
        <v>0</v>
      </c>
      <c r="AS13" s="36">
        <v>0</v>
      </c>
      <c r="AT13" s="36">
        <v>0</v>
      </c>
      <c r="AU13" s="36">
        <v>0</v>
      </c>
      <c r="AV13" s="36">
        <v>0</v>
      </c>
      <c r="AW13">
        <v>0</v>
      </c>
      <c r="AX13">
        <v>0</v>
      </c>
      <c r="AZ13" s="46"/>
      <c r="BA13" s="23" t="s">
        <v>25</v>
      </c>
      <c r="BB13" s="23" t="s">
        <v>23</v>
      </c>
      <c r="BC13" s="46"/>
    </row>
    <row r="14" spans="1:56" x14ac:dyDescent="0.25">
      <c r="A14" s="36"/>
      <c r="B14" t="s">
        <v>121</v>
      </c>
      <c r="C14" s="36" t="str">
        <f>'Status Thresholds'!B14</f>
        <v>Ahtal-Ka</v>
      </c>
      <c r="D14" t="s">
        <v>14</v>
      </c>
      <c r="E14" s="36" t="str">
        <f t="shared" si="0"/>
        <v>Ahtal-KaKO</v>
      </c>
      <c r="F14" s="36" t="str">
        <f>IFERROR(VLOOKUP($E14,'Status Thresholds'!$E:$AS,1,FALSE),"")</f>
        <v>Ahtal-KaKO</v>
      </c>
      <c r="H14" s="55" t="str">
        <f t="shared" si="1"/>
        <v>Ahtal-KaKO</v>
      </c>
      <c r="I14" s="50">
        <f>VLOOKUP($F14,'Status Thresholds'!$E:$AS,2,FALSE)</f>
        <v>0</v>
      </c>
      <c r="J14" s="36">
        <f>VLOOKUP($F14,'Status Thresholds'!$E:$AS,3,FALSE)</f>
        <v>0</v>
      </c>
      <c r="K14" s="36">
        <f>VLOOKUP($F14,'Status Thresholds'!$E:$AS,4,FALSE)</f>
        <v>0</v>
      </c>
      <c r="L14" s="36">
        <f>VLOOKUP($F14,'Status Thresholds'!$E:$AS,5,FALSE)</f>
        <v>0</v>
      </c>
      <c r="M14" s="36">
        <f>VLOOKUP($F14,'Status Thresholds'!$E:$AS,6,FALSE)</f>
        <v>0</v>
      </c>
      <c r="N14" s="50">
        <f>VLOOKUP($F14,'Status Thresholds'!$E:$AS,7,FALSE)</f>
        <v>0</v>
      </c>
      <c r="O14" s="36">
        <f>VLOOKUP($F14,'Status Thresholds'!$E:$AS,8,FALSE)</f>
        <v>0</v>
      </c>
      <c r="P14" s="36">
        <f>VLOOKUP($F14,'Status Thresholds'!$E:$AS,9,FALSE)</f>
        <v>0</v>
      </c>
      <c r="Q14" s="36">
        <f>VLOOKUP($F14,'Status Thresholds'!$E:$AS,10,FALSE)</f>
        <v>0</v>
      </c>
      <c r="R14" s="36">
        <f>VLOOKUP($F14,'Status Thresholds'!$E:$AS,11,FALSE)</f>
        <v>0</v>
      </c>
      <c r="S14" s="50">
        <f>VLOOKUP($F14,'Status Thresholds'!$E:$AS,12,FALSE)</f>
        <v>0</v>
      </c>
      <c r="T14" s="36">
        <f>VLOOKUP($F14,'Status Thresholds'!$E:$AS,13,FALSE)</f>
        <v>0</v>
      </c>
      <c r="U14" s="36">
        <f>VLOOKUP($F14,'Status Thresholds'!$E:$AS,14,FALSE)</f>
        <v>0</v>
      </c>
      <c r="V14" s="36">
        <f>VLOOKUP($F14,'Status Thresholds'!$E:$AS,15,FALSE)</f>
        <v>0</v>
      </c>
      <c r="W14" s="36">
        <f>VLOOKUP($F14,'Status Thresholds'!$E:$AS,16,FALSE)</f>
        <v>0</v>
      </c>
      <c r="X14" s="50">
        <f>VLOOKUP($F14,'Status Thresholds'!$E:$AS,17,FALSE)</f>
        <v>0</v>
      </c>
      <c r="Y14" s="36">
        <f>VLOOKUP($F14,'Status Thresholds'!$E:$AS,18,FALSE)</f>
        <v>0</v>
      </c>
      <c r="Z14" s="36">
        <f>VLOOKUP($F14,'Status Thresholds'!$E:$AS,19,FALSE)</f>
        <v>0</v>
      </c>
      <c r="AA14" s="36">
        <f>VLOOKUP($F14,'Status Thresholds'!$E:$AS,20,FALSE)</f>
        <v>0</v>
      </c>
      <c r="AB14" s="36">
        <f>VLOOKUP($F14,'Status Thresholds'!$E:$AS,21,FALSE)</f>
        <v>0</v>
      </c>
      <c r="AC14" s="50">
        <f>VLOOKUP($F14,'Status Thresholds'!$E:$AS,22,FALSE)</f>
        <v>225</v>
      </c>
      <c r="AD14" s="36">
        <f>VLOOKUP($F14,'Status Thresholds'!$E:$AS,23,FALSE)</f>
        <v>584</v>
      </c>
      <c r="AE14" s="36">
        <f>VLOOKUP($F14,'Status Thresholds'!$E:$AS,24,FALSE)</f>
        <v>943</v>
      </c>
      <c r="AF14" s="36">
        <f>VLOOKUP($F14,'Status Thresholds'!$E:$AS,25,FALSE)</f>
        <v>1302</v>
      </c>
      <c r="AG14" s="36">
        <f>VLOOKUP($F14,'Status Thresholds'!$E:$AS,26,FALSE)</f>
        <v>0</v>
      </c>
      <c r="AH14" s="50">
        <f>VLOOKUP($F14,'Status Thresholds'!$E:$AS,27,FALSE)</f>
        <v>0</v>
      </c>
      <c r="AI14" s="36">
        <f>VLOOKUP($F14,'Status Thresholds'!$E:$AS,28,FALSE)</f>
        <v>0</v>
      </c>
      <c r="AJ14" s="36">
        <f>VLOOKUP($F14,'Status Thresholds'!$E:$AS,29,FALSE)</f>
        <v>0</v>
      </c>
      <c r="AK14" s="36">
        <f>VLOOKUP($F14,'Status Thresholds'!$E:$AS,30,FALSE)</f>
        <v>0</v>
      </c>
      <c r="AL14" s="36">
        <f>VLOOKUP($F14,'Status Thresholds'!$E:$AS,31,FALSE)</f>
        <v>0</v>
      </c>
      <c r="AM14" s="50">
        <f>VLOOKUP($F14,'Status Thresholds'!$E:$AS,32,FALSE)</f>
        <v>0</v>
      </c>
      <c r="AN14" s="36">
        <f>VLOOKUP($F14,'Status Thresholds'!$E:$AS,33,FALSE)</f>
        <v>0</v>
      </c>
      <c r="AO14" s="36">
        <f>VLOOKUP($F14,'Status Thresholds'!$E:$AS,34,FALSE)</f>
        <v>0</v>
      </c>
      <c r="AP14" s="36">
        <f>VLOOKUP($F14,'Status Thresholds'!$E:$AS,35,FALSE)</f>
        <v>0</v>
      </c>
      <c r="AQ14" s="36">
        <f>VLOOKUP($F14,'Status Thresholds'!$E:$AS,36,FALSE)</f>
        <v>0</v>
      </c>
      <c r="AR14" s="50">
        <f>VLOOKUP($F14,'Status Thresholds'!$E:$AS,37,FALSE)</f>
        <v>0</v>
      </c>
      <c r="AS14" s="36">
        <f>VLOOKUP($F14,'Status Thresholds'!$E:$AS,38,FALSE)</f>
        <v>0</v>
      </c>
      <c r="AT14" s="36">
        <f>VLOOKUP($F14,'Status Thresholds'!$E:$AS,39,FALSE)</f>
        <v>0</v>
      </c>
      <c r="AU14" s="36">
        <f>VLOOKUP($F14,'Status Thresholds'!$E:$AS,40,FALSE)</f>
        <v>0</v>
      </c>
      <c r="AV14" s="36">
        <f>VLOOKUP($F14,'Status Thresholds'!$E:$AS,41,FALSE)</f>
        <v>7</v>
      </c>
      <c r="AW14">
        <v>0</v>
      </c>
      <c r="AX14">
        <v>0</v>
      </c>
      <c r="AZ14" s="50" t="s">
        <v>11</v>
      </c>
      <c r="BA14" s="51">
        <v>100</v>
      </c>
      <c r="BB14" s="52">
        <f>BB6*BC6</f>
        <v>216</v>
      </c>
      <c r="BC14" s="84" t="s">
        <v>45</v>
      </c>
      <c r="BD14" s="86"/>
    </row>
    <row r="15" spans="1:56" x14ac:dyDescent="0.25">
      <c r="A15" s="36"/>
      <c r="B15" t="s">
        <v>120</v>
      </c>
      <c r="C15" s="36" t="str">
        <f>'Status Thresholds'!B15</f>
        <v>Ahtal-Ka</v>
      </c>
      <c r="E15" s="36" t="str">
        <f t="shared" si="0"/>
        <v>Ahtal-Ka</v>
      </c>
      <c r="F15" s="36" t="str">
        <f>IFERROR(VLOOKUP($E15,'Status Thresholds'!$E:$AS,1,FALSE),"")</f>
        <v/>
      </c>
      <c r="G15" t="s">
        <v>21</v>
      </c>
      <c r="H15" s="55" t="str">
        <f t="shared" si="1"/>
        <v>Ahtal-KaTriblast</v>
      </c>
      <c r="I15" s="50">
        <v>0</v>
      </c>
      <c r="J15" s="36">
        <v>0</v>
      </c>
      <c r="K15" s="36">
        <v>0</v>
      </c>
      <c r="L15" s="36">
        <v>0</v>
      </c>
      <c r="M15" s="36">
        <v>0</v>
      </c>
      <c r="N15" s="50">
        <v>0</v>
      </c>
      <c r="O15" s="36">
        <v>0</v>
      </c>
      <c r="P15" s="36">
        <v>0</v>
      </c>
      <c r="Q15" s="36">
        <v>0</v>
      </c>
      <c r="R15" s="36">
        <v>0</v>
      </c>
      <c r="S15" s="50">
        <v>0</v>
      </c>
      <c r="T15" s="36">
        <v>0</v>
      </c>
      <c r="U15" s="36">
        <v>0</v>
      </c>
      <c r="V15" s="36">
        <v>0</v>
      </c>
      <c r="W15" s="36">
        <v>0</v>
      </c>
      <c r="X15" s="50">
        <v>0</v>
      </c>
      <c r="Y15" s="36">
        <v>0</v>
      </c>
      <c r="Z15" s="36">
        <v>0</v>
      </c>
      <c r="AA15" s="36">
        <v>0</v>
      </c>
      <c r="AB15" s="36">
        <v>0</v>
      </c>
      <c r="AC15" s="50">
        <v>2</v>
      </c>
      <c r="AD15" s="36">
        <v>2</v>
      </c>
      <c r="AE15" s="36">
        <v>2</v>
      </c>
      <c r="AF15" s="36">
        <v>2</v>
      </c>
      <c r="AG15" s="36">
        <v>0</v>
      </c>
      <c r="AH15" s="50">
        <v>0</v>
      </c>
      <c r="AI15" s="36">
        <v>0</v>
      </c>
      <c r="AJ15" s="36">
        <v>0</v>
      </c>
      <c r="AK15" s="36">
        <v>0</v>
      </c>
      <c r="AL15" s="36">
        <v>0</v>
      </c>
      <c r="AM15" s="50">
        <v>0</v>
      </c>
      <c r="AN15" s="36">
        <v>0</v>
      </c>
      <c r="AO15" s="36">
        <v>0</v>
      </c>
      <c r="AP15" s="36">
        <v>0</v>
      </c>
      <c r="AQ15" s="36">
        <v>0</v>
      </c>
      <c r="AR15" s="50">
        <v>0</v>
      </c>
      <c r="AS15" s="36">
        <v>0</v>
      </c>
      <c r="AT15" s="36">
        <v>0</v>
      </c>
      <c r="AU15" s="36">
        <v>0</v>
      </c>
      <c r="AV15" s="36">
        <v>0</v>
      </c>
      <c r="AW15">
        <v>0</v>
      </c>
      <c r="AZ15" s="6" t="s">
        <v>12</v>
      </c>
      <c r="BA15" s="8">
        <v>120</v>
      </c>
      <c r="BB15" s="53">
        <f t="shared" ref="BB15:BB16" si="2">BB7*BC7</f>
        <v>132</v>
      </c>
      <c r="BC15" s="6" t="s">
        <v>11</v>
      </c>
      <c r="BD15" s="47">
        <v>8</v>
      </c>
    </row>
    <row r="16" spans="1:56" x14ac:dyDescent="0.25">
      <c r="A16" s="36"/>
      <c r="B16" t="s">
        <v>120</v>
      </c>
      <c r="C16" s="36" t="str">
        <f>'Status Thresholds'!B16</f>
        <v>Ahtal-Ka</v>
      </c>
      <c r="E16" s="36" t="str">
        <f t="shared" si="0"/>
        <v>Ahtal-Ka</v>
      </c>
      <c r="F16" s="36" t="str">
        <f>IFERROR(VLOOKUP($E16,'Status Thresholds'!$E:$AS,1,FALSE),"")</f>
        <v/>
      </c>
      <c r="G16" t="s">
        <v>13</v>
      </c>
      <c r="H16" s="55" t="str">
        <f t="shared" si="1"/>
        <v>Ahtal-KaCrag 3</v>
      </c>
      <c r="I16" s="50">
        <v>0</v>
      </c>
      <c r="J16" s="36">
        <v>0</v>
      </c>
      <c r="K16" s="36">
        <v>0</v>
      </c>
      <c r="L16" s="36">
        <v>0</v>
      </c>
      <c r="M16" s="36">
        <v>0</v>
      </c>
      <c r="N16" s="50">
        <v>0</v>
      </c>
      <c r="O16" s="36">
        <v>0</v>
      </c>
      <c r="P16" s="36">
        <v>0</v>
      </c>
      <c r="Q16" s="36">
        <v>0</v>
      </c>
      <c r="R16" s="36">
        <v>0</v>
      </c>
      <c r="S16" s="50">
        <v>0</v>
      </c>
      <c r="T16" s="36">
        <v>0</v>
      </c>
      <c r="U16" s="36">
        <v>0</v>
      </c>
      <c r="V16" s="36">
        <v>0</v>
      </c>
      <c r="W16" s="36">
        <v>0</v>
      </c>
      <c r="X16" s="50">
        <v>0</v>
      </c>
      <c r="Y16" s="36">
        <v>0</v>
      </c>
      <c r="Z16" s="36">
        <v>0</v>
      </c>
      <c r="AA16" s="36">
        <v>0</v>
      </c>
      <c r="AB16" s="36">
        <v>0</v>
      </c>
      <c r="AC16" s="50">
        <v>0</v>
      </c>
      <c r="AD16" s="36">
        <v>3</v>
      </c>
      <c r="AE16" s="36">
        <v>4</v>
      </c>
      <c r="AF16" s="36">
        <v>4</v>
      </c>
      <c r="AG16" s="36">
        <v>0</v>
      </c>
      <c r="AH16" s="50">
        <v>0</v>
      </c>
      <c r="AI16" s="36">
        <v>0</v>
      </c>
      <c r="AJ16" s="36">
        <v>0</v>
      </c>
      <c r="AK16" s="36">
        <v>0</v>
      </c>
      <c r="AL16" s="36">
        <v>0</v>
      </c>
      <c r="AM16" s="50">
        <v>0</v>
      </c>
      <c r="AN16" s="36">
        <v>0</v>
      </c>
      <c r="AO16" s="36">
        <v>0</v>
      </c>
      <c r="AP16" s="36">
        <v>0</v>
      </c>
      <c r="AQ16" s="36">
        <v>0</v>
      </c>
      <c r="AR16" s="50">
        <v>0</v>
      </c>
      <c r="AS16" s="36">
        <v>0</v>
      </c>
      <c r="AT16" s="36">
        <v>0</v>
      </c>
      <c r="AU16" s="36">
        <v>0</v>
      </c>
      <c r="AV16" s="36">
        <v>0</v>
      </c>
      <c r="AW16">
        <v>0</v>
      </c>
      <c r="AX16">
        <v>0</v>
      </c>
      <c r="AZ16" s="6" t="s">
        <v>13</v>
      </c>
      <c r="BA16" s="8">
        <v>160</v>
      </c>
      <c r="BB16" s="53">
        <f t="shared" si="2"/>
        <v>176</v>
      </c>
      <c r="BC16" s="6" t="s">
        <v>12</v>
      </c>
      <c r="BD16" s="47">
        <v>4</v>
      </c>
    </row>
    <row r="17" spans="1:56" x14ac:dyDescent="0.25">
      <c r="A17" s="36"/>
      <c r="B17" t="s">
        <v>120</v>
      </c>
      <c r="C17" s="36" t="str">
        <f>'Status Thresholds'!B17</f>
        <v>Ahtal-Ka</v>
      </c>
      <c r="E17" s="36" t="str">
        <f t="shared" si="0"/>
        <v>Ahtal-Ka</v>
      </c>
      <c r="F17" s="36" t="str">
        <f>IFERROR(VLOOKUP($E17,'Status Thresholds'!$E:$AS,1,FALSE),"")</f>
        <v/>
      </c>
      <c r="G17" t="s">
        <v>12</v>
      </c>
      <c r="H17" s="55" t="str">
        <f t="shared" si="1"/>
        <v>Ahtal-KaCrag 2</v>
      </c>
      <c r="I17" s="50">
        <v>0</v>
      </c>
      <c r="J17" s="36">
        <v>0</v>
      </c>
      <c r="K17" s="36">
        <v>0</v>
      </c>
      <c r="L17" s="36">
        <v>0</v>
      </c>
      <c r="M17" s="36">
        <v>0</v>
      </c>
      <c r="N17" s="50">
        <v>0</v>
      </c>
      <c r="O17" s="36">
        <v>0</v>
      </c>
      <c r="P17" s="36">
        <v>0</v>
      </c>
      <c r="Q17" s="36">
        <v>0</v>
      </c>
      <c r="R17" s="36">
        <v>0</v>
      </c>
      <c r="S17" s="50">
        <v>0</v>
      </c>
      <c r="T17" s="36">
        <v>0</v>
      </c>
      <c r="U17" s="36">
        <v>0</v>
      </c>
      <c r="V17" s="36">
        <v>0</v>
      </c>
      <c r="W17" s="36">
        <v>0</v>
      </c>
      <c r="X17" s="50">
        <v>0</v>
      </c>
      <c r="Y17" s="36">
        <v>0</v>
      </c>
      <c r="Z17" s="36">
        <v>0</v>
      </c>
      <c r="AA17" s="36">
        <v>0</v>
      </c>
      <c r="AB17" s="36">
        <v>0</v>
      </c>
      <c r="AC17" s="50">
        <v>0</v>
      </c>
      <c r="AD17" s="36">
        <v>4</v>
      </c>
      <c r="AE17" s="36">
        <v>4</v>
      </c>
      <c r="AF17" s="36">
        <v>4</v>
      </c>
      <c r="AG17" s="36">
        <v>0</v>
      </c>
      <c r="AH17" s="50">
        <v>0</v>
      </c>
      <c r="AI17" s="36">
        <v>0</v>
      </c>
      <c r="AJ17" s="36">
        <v>0</v>
      </c>
      <c r="AK17" s="36">
        <v>0</v>
      </c>
      <c r="AL17" s="36">
        <v>0</v>
      </c>
      <c r="AM17" s="50">
        <v>0</v>
      </c>
      <c r="AN17" s="36">
        <v>0</v>
      </c>
      <c r="AO17" s="36">
        <v>0</v>
      </c>
      <c r="AP17" s="36">
        <v>0</v>
      </c>
      <c r="AQ17" s="36">
        <v>0</v>
      </c>
      <c r="AR17" s="50">
        <v>0</v>
      </c>
      <c r="AS17" s="36">
        <v>0</v>
      </c>
      <c r="AT17" s="36">
        <v>0</v>
      </c>
      <c r="AU17" s="36">
        <v>0</v>
      </c>
      <c r="AV17" s="36">
        <v>0</v>
      </c>
      <c r="AW17">
        <v>0</v>
      </c>
      <c r="AX17">
        <v>0</v>
      </c>
      <c r="AZ17" s="6"/>
      <c r="BA17" s="8"/>
      <c r="BB17" s="53"/>
      <c r="BC17" s="6"/>
      <c r="BD17" s="47">
        <v>0</v>
      </c>
    </row>
    <row r="18" spans="1:56" x14ac:dyDescent="0.25">
      <c r="A18" s="36"/>
      <c r="B18" t="s">
        <v>120</v>
      </c>
      <c r="C18" s="36" t="str">
        <f>'Status Thresholds'!B18</f>
        <v>Ahtal-Ka</v>
      </c>
      <c r="E18" s="36" t="str">
        <f t="shared" si="0"/>
        <v>Ahtal-Ka</v>
      </c>
      <c r="F18" s="36" t="str">
        <f>IFERROR(VLOOKUP($E18,'Status Thresholds'!$E:$AS,1,FALSE),"")</f>
        <v/>
      </c>
      <c r="G18" t="s">
        <v>11</v>
      </c>
      <c r="H18" s="55" t="str">
        <f t="shared" si="1"/>
        <v>Ahtal-KaCrag 1</v>
      </c>
      <c r="I18" s="50">
        <v>0</v>
      </c>
      <c r="J18" s="36">
        <v>0</v>
      </c>
      <c r="K18" s="36">
        <v>0</v>
      </c>
      <c r="L18" s="36">
        <v>0</v>
      </c>
      <c r="M18" s="36">
        <v>0</v>
      </c>
      <c r="N18" s="50">
        <v>0</v>
      </c>
      <c r="O18" s="36">
        <v>0</v>
      </c>
      <c r="P18" s="36">
        <v>0</v>
      </c>
      <c r="Q18" s="36">
        <v>0</v>
      </c>
      <c r="R18" s="36">
        <v>0</v>
      </c>
      <c r="S18" s="50">
        <v>0</v>
      </c>
      <c r="T18" s="36">
        <v>0</v>
      </c>
      <c r="U18" s="36">
        <v>0</v>
      </c>
      <c r="V18" s="36">
        <v>0</v>
      </c>
      <c r="W18" s="36">
        <v>0</v>
      </c>
      <c r="X18" s="50">
        <v>0</v>
      </c>
      <c r="Y18" s="36">
        <v>0</v>
      </c>
      <c r="Z18" s="36">
        <v>0</v>
      </c>
      <c r="AA18" s="36">
        <v>0</v>
      </c>
      <c r="AB18" s="36">
        <v>0</v>
      </c>
      <c r="AC18" s="50">
        <v>3</v>
      </c>
      <c r="AD18" s="36">
        <v>8</v>
      </c>
      <c r="AE18" s="36">
        <v>8</v>
      </c>
      <c r="AF18" s="36">
        <v>8</v>
      </c>
      <c r="AG18" s="36">
        <v>0</v>
      </c>
      <c r="AH18" s="50">
        <v>0</v>
      </c>
      <c r="AI18" s="36">
        <v>0</v>
      </c>
      <c r="AJ18" s="36">
        <v>0</v>
      </c>
      <c r="AK18" s="36">
        <v>0</v>
      </c>
      <c r="AL18" s="36">
        <v>0</v>
      </c>
      <c r="AM18" s="50">
        <v>0</v>
      </c>
      <c r="AN18" s="36">
        <v>0</v>
      </c>
      <c r="AO18" s="36">
        <v>0</v>
      </c>
      <c r="AP18" s="36">
        <v>0</v>
      </c>
      <c r="AQ18" s="36">
        <v>0</v>
      </c>
      <c r="AR18" s="50">
        <v>0</v>
      </c>
      <c r="AS18" s="36">
        <v>0</v>
      </c>
      <c r="AT18" s="36">
        <v>0</v>
      </c>
      <c r="AU18" s="36">
        <v>0</v>
      </c>
      <c r="AV18" s="36">
        <v>1</v>
      </c>
      <c r="AW18">
        <v>0</v>
      </c>
      <c r="AX18">
        <v>0</v>
      </c>
      <c r="AZ18" s="6" t="s">
        <v>7</v>
      </c>
      <c r="BA18" s="8">
        <v>60</v>
      </c>
      <c r="BB18" s="53">
        <f>BB9*BC9</f>
        <v>64</v>
      </c>
      <c r="BC18" s="6" t="s">
        <v>13</v>
      </c>
      <c r="BD18" s="47">
        <v>4</v>
      </c>
    </row>
    <row r="19" spans="1:56" x14ac:dyDescent="0.25">
      <c r="A19" s="36"/>
      <c r="B19" t="s">
        <v>119</v>
      </c>
      <c r="C19" s="36" t="str">
        <f>'Status Thresholds'!B19</f>
        <v>Ahtal-Ka</v>
      </c>
      <c r="E19" s="36" t="str">
        <f t="shared" si="0"/>
        <v>Ahtal-Ka</v>
      </c>
      <c r="F19" s="36" t="str">
        <f>IFERROR(VLOOKUP($E19,'Status Thresholds'!$E:$AS,1,FALSE),"")</f>
        <v/>
      </c>
      <c r="G19" t="s">
        <v>21</v>
      </c>
      <c r="H19" s="55" t="str">
        <f t="shared" si="1"/>
        <v>Ahtal-KaTriblast</v>
      </c>
      <c r="I19" s="50">
        <v>0</v>
      </c>
      <c r="J19" s="36">
        <v>0</v>
      </c>
      <c r="K19" s="36">
        <v>0</v>
      </c>
      <c r="L19" s="36">
        <v>0</v>
      </c>
      <c r="M19" s="36">
        <v>0</v>
      </c>
      <c r="N19" s="50">
        <v>0</v>
      </c>
      <c r="O19" s="36">
        <v>0</v>
      </c>
      <c r="P19" s="36">
        <v>0</v>
      </c>
      <c r="Q19" s="36">
        <v>0</v>
      </c>
      <c r="R19" s="36">
        <v>0</v>
      </c>
      <c r="S19" s="50">
        <v>0</v>
      </c>
      <c r="T19" s="36">
        <v>0</v>
      </c>
      <c r="U19" s="36">
        <v>0</v>
      </c>
      <c r="V19" s="36">
        <v>0</v>
      </c>
      <c r="W19" s="36">
        <v>0</v>
      </c>
      <c r="X19" s="50">
        <v>0</v>
      </c>
      <c r="Y19" s="36">
        <v>0</v>
      </c>
      <c r="Z19" s="36">
        <v>0</v>
      </c>
      <c r="AA19" s="36">
        <v>0</v>
      </c>
      <c r="AB19" s="36">
        <v>0</v>
      </c>
      <c r="AC19" s="50">
        <v>0</v>
      </c>
      <c r="AD19" s="36">
        <v>2</v>
      </c>
      <c r="AE19" s="36">
        <v>2</v>
      </c>
      <c r="AF19" s="36">
        <v>2</v>
      </c>
      <c r="AG19" s="36">
        <v>0</v>
      </c>
      <c r="AH19" s="50">
        <v>0</v>
      </c>
      <c r="AI19" s="36">
        <v>0</v>
      </c>
      <c r="AJ19" s="36">
        <v>0</v>
      </c>
      <c r="AK19" s="36">
        <v>0</v>
      </c>
      <c r="AL19" s="36">
        <v>0</v>
      </c>
      <c r="AM19" s="50">
        <v>0</v>
      </c>
      <c r="AN19" s="36">
        <v>0</v>
      </c>
      <c r="AO19" s="36">
        <v>0</v>
      </c>
      <c r="AP19" s="36">
        <v>0</v>
      </c>
      <c r="AQ19" s="36">
        <v>0</v>
      </c>
      <c r="AR19" s="50">
        <v>0</v>
      </c>
      <c r="AS19" s="36">
        <v>0</v>
      </c>
      <c r="AT19" s="36">
        <v>0</v>
      </c>
      <c r="AU19" s="36">
        <v>0</v>
      </c>
      <c r="AV19" s="36">
        <v>0</v>
      </c>
      <c r="AW19">
        <v>0</v>
      </c>
      <c r="AX19">
        <v>0</v>
      </c>
      <c r="AZ19" s="6" t="s">
        <v>8</v>
      </c>
      <c r="BA19" s="8">
        <v>60</v>
      </c>
      <c r="BB19" s="53">
        <f>BB10*BC10</f>
        <v>66</v>
      </c>
      <c r="BC19" s="6" t="s">
        <v>7</v>
      </c>
      <c r="BD19" s="47">
        <v>4</v>
      </c>
    </row>
    <row r="20" spans="1:56" x14ac:dyDescent="0.25">
      <c r="A20" s="36"/>
      <c r="B20" t="s">
        <v>119</v>
      </c>
      <c r="C20" s="36" t="str">
        <f>'Status Thresholds'!B20</f>
        <v>Ahtal-Ka</v>
      </c>
      <c r="E20" s="36" t="str">
        <f t="shared" si="0"/>
        <v>Ahtal-Ka</v>
      </c>
      <c r="F20" s="36" t="str">
        <f>IFERROR(VLOOKUP($E20,'Status Thresholds'!$E:$AS,1,FALSE),"")</f>
        <v/>
      </c>
      <c r="G20" t="s">
        <v>13</v>
      </c>
      <c r="H20" s="55" t="str">
        <f t="shared" si="1"/>
        <v>Ahtal-KaCrag 3</v>
      </c>
      <c r="I20" s="50">
        <v>0</v>
      </c>
      <c r="J20" s="36">
        <v>0</v>
      </c>
      <c r="K20" s="36">
        <v>0</v>
      </c>
      <c r="L20" s="36">
        <v>0</v>
      </c>
      <c r="M20" s="36">
        <v>0</v>
      </c>
      <c r="N20" s="50">
        <v>0</v>
      </c>
      <c r="O20" s="36">
        <v>0</v>
      </c>
      <c r="P20" s="36">
        <v>0</v>
      </c>
      <c r="Q20" s="36">
        <v>0</v>
      </c>
      <c r="R20" s="36">
        <v>0</v>
      </c>
      <c r="S20" s="50">
        <v>0</v>
      </c>
      <c r="T20" s="36">
        <v>0</v>
      </c>
      <c r="U20" s="36">
        <v>0</v>
      </c>
      <c r="V20" s="36">
        <v>0</v>
      </c>
      <c r="W20" s="36">
        <v>0</v>
      </c>
      <c r="X20" s="50">
        <v>0</v>
      </c>
      <c r="Y20" s="36">
        <v>0</v>
      </c>
      <c r="Z20" s="36">
        <v>0</v>
      </c>
      <c r="AA20" s="36">
        <v>0</v>
      </c>
      <c r="AB20" s="36">
        <v>0</v>
      </c>
      <c r="AC20" s="50">
        <v>3</v>
      </c>
      <c r="AD20" s="36">
        <v>4</v>
      </c>
      <c r="AE20" s="36">
        <v>4</v>
      </c>
      <c r="AF20" s="36">
        <v>4</v>
      </c>
      <c r="AG20" s="36">
        <v>0</v>
      </c>
      <c r="AH20" s="50">
        <v>0</v>
      </c>
      <c r="AI20" s="36">
        <v>0</v>
      </c>
      <c r="AJ20" s="36">
        <v>0</v>
      </c>
      <c r="AK20" s="36">
        <v>0</v>
      </c>
      <c r="AL20" s="36">
        <v>0</v>
      </c>
      <c r="AM20" s="50">
        <v>0</v>
      </c>
      <c r="AN20" s="36">
        <v>0</v>
      </c>
      <c r="AO20" s="36">
        <v>0</v>
      </c>
      <c r="AP20" s="36">
        <v>0</v>
      </c>
      <c r="AQ20" s="36">
        <v>0</v>
      </c>
      <c r="AR20" s="50">
        <v>0</v>
      </c>
      <c r="AS20" s="36">
        <v>0</v>
      </c>
      <c r="AT20" s="36">
        <v>0</v>
      </c>
      <c r="AU20" s="36">
        <v>0</v>
      </c>
      <c r="AV20" s="36">
        <v>0</v>
      </c>
      <c r="AW20">
        <v>0</v>
      </c>
      <c r="AX20">
        <v>0</v>
      </c>
      <c r="AZ20" s="7" t="s">
        <v>21</v>
      </c>
      <c r="BA20" s="9">
        <v>150</v>
      </c>
      <c r="BB20" s="54">
        <f>BB11*BC11</f>
        <v>162</v>
      </c>
      <c r="BC20" s="6" t="s">
        <v>8</v>
      </c>
      <c r="BD20" s="47">
        <v>3</v>
      </c>
    </row>
    <row r="21" spans="1:56" x14ac:dyDescent="0.25">
      <c r="A21" s="36"/>
      <c r="B21" t="s">
        <v>119</v>
      </c>
      <c r="C21" s="36" t="str">
        <f>'Status Thresholds'!B21</f>
        <v>Ahtal-Ka</v>
      </c>
      <c r="E21" s="36" t="str">
        <f t="shared" si="0"/>
        <v>Ahtal-Ka</v>
      </c>
      <c r="F21" s="36" t="str">
        <f>IFERROR(VLOOKUP($E21,'Status Thresholds'!$E:$AS,1,FALSE),"")</f>
        <v/>
      </c>
      <c r="G21" t="s">
        <v>12</v>
      </c>
      <c r="H21" s="55" t="str">
        <f t="shared" si="1"/>
        <v>Ahtal-KaCrag 2</v>
      </c>
      <c r="I21" s="50">
        <v>0</v>
      </c>
      <c r="J21" s="36">
        <v>0</v>
      </c>
      <c r="K21" s="36">
        <v>0</v>
      </c>
      <c r="L21" s="36">
        <v>0</v>
      </c>
      <c r="M21" s="36">
        <v>0</v>
      </c>
      <c r="N21" s="50">
        <v>0</v>
      </c>
      <c r="O21" s="36">
        <v>0</v>
      </c>
      <c r="P21" s="36">
        <v>0</v>
      </c>
      <c r="Q21" s="36">
        <v>0</v>
      </c>
      <c r="R21" s="36">
        <v>0</v>
      </c>
      <c r="S21" s="50">
        <v>0</v>
      </c>
      <c r="T21" s="36">
        <v>0</v>
      </c>
      <c r="U21" s="36">
        <v>0</v>
      </c>
      <c r="V21" s="36">
        <v>0</v>
      </c>
      <c r="W21" s="36">
        <v>0</v>
      </c>
      <c r="X21" s="50">
        <v>0</v>
      </c>
      <c r="Y21" s="36">
        <v>0</v>
      </c>
      <c r="Z21" s="36">
        <v>0</v>
      </c>
      <c r="AA21" s="36">
        <v>0</v>
      </c>
      <c r="AB21" s="36">
        <v>0</v>
      </c>
      <c r="AC21" s="50">
        <v>2</v>
      </c>
      <c r="AD21" s="36">
        <v>1</v>
      </c>
      <c r="AE21" s="36">
        <v>4</v>
      </c>
      <c r="AF21" s="36">
        <v>4</v>
      </c>
      <c r="AG21" s="36">
        <v>0</v>
      </c>
      <c r="AH21" s="50">
        <v>0</v>
      </c>
      <c r="AI21" s="36">
        <v>0</v>
      </c>
      <c r="AJ21" s="36">
        <v>0</v>
      </c>
      <c r="AK21" s="36">
        <v>0</v>
      </c>
      <c r="AL21" s="36">
        <v>0</v>
      </c>
      <c r="AM21" s="50">
        <v>0</v>
      </c>
      <c r="AN21" s="36">
        <v>0</v>
      </c>
      <c r="AO21" s="36">
        <v>0</v>
      </c>
      <c r="AP21" s="36">
        <v>0</v>
      </c>
      <c r="AQ21" s="36">
        <v>0</v>
      </c>
      <c r="AR21" s="50">
        <v>0</v>
      </c>
      <c r="AS21" s="36">
        <v>0</v>
      </c>
      <c r="AT21" s="36">
        <v>0</v>
      </c>
      <c r="AU21" s="36">
        <v>0</v>
      </c>
      <c r="AV21" s="36">
        <v>0</v>
      </c>
      <c r="AW21">
        <v>0</v>
      </c>
      <c r="AX21">
        <v>0</v>
      </c>
      <c r="AZ21" s="74" t="s">
        <v>201</v>
      </c>
      <c r="BC21" s="6" t="s">
        <v>21</v>
      </c>
      <c r="BD21" s="47">
        <v>2</v>
      </c>
    </row>
    <row r="22" spans="1:56" x14ac:dyDescent="0.25">
      <c r="A22" s="36"/>
      <c r="B22" t="s">
        <v>119</v>
      </c>
      <c r="C22" s="36" t="str">
        <f>'Status Thresholds'!B22</f>
        <v>Ahtal-Ka</v>
      </c>
      <c r="E22" s="36" t="str">
        <f t="shared" si="0"/>
        <v>Ahtal-Ka</v>
      </c>
      <c r="F22" s="36" t="str">
        <f>IFERROR(VLOOKUP($E22,'Status Thresholds'!$E:$AS,1,FALSE),"")</f>
        <v/>
      </c>
      <c r="G22" t="s">
        <v>11</v>
      </c>
      <c r="H22" s="55" t="str">
        <f t="shared" si="1"/>
        <v>Ahtal-KaCrag 1</v>
      </c>
      <c r="I22" s="50">
        <v>0</v>
      </c>
      <c r="J22" s="36">
        <v>0</v>
      </c>
      <c r="K22" s="36">
        <v>0</v>
      </c>
      <c r="L22" s="36">
        <v>0</v>
      </c>
      <c r="M22" s="36">
        <v>0</v>
      </c>
      <c r="N22" s="50">
        <v>0</v>
      </c>
      <c r="O22" s="36">
        <v>0</v>
      </c>
      <c r="P22" s="36">
        <v>0</v>
      </c>
      <c r="Q22" s="36">
        <v>0</v>
      </c>
      <c r="R22" s="36">
        <v>0</v>
      </c>
      <c r="S22" s="50">
        <v>0</v>
      </c>
      <c r="T22" s="36">
        <v>0</v>
      </c>
      <c r="U22" s="36">
        <v>0</v>
      </c>
      <c r="V22" s="36">
        <v>0</v>
      </c>
      <c r="W22" s="36">
        <v>0</v>
      </c>
      <c r="X22" s="50">
        <v>0</v>
      </c>
      <c r="Y22" s="36">
        <v>0</v>
      </c>
      <c r="Z22" s="36">
        <v>0</v>
      </c>
      <c r="AA22" s="36">
        <v>0</v>
      </c>
      <c r="AB22" s="36">
        <v>0</v>
      </c>
      <c r="AC22" s="50">
        <v>1</v>
      </c>
      <c r="AD22" s="36">
        <v>8</v>
      </c>
      <c r="AE22" s="36">
        <v>8</v>
      </c>
      <c r="AF22" s="36">
        <v>8</v>
      </c>
      <c r="AG22" s="36">
        <v>0</v>
      </c>
      <c r="AH22" s="50">
        <v>0</v>
      </c>
      <c r="AI22" s="36">
        <v>0</v>
      </c>
      <c r="AJ22" s="36">
        <v>0</v>
      </c>
      <c r="AK22" s="36">
        <v>0</v>
      </c>
      <c r="AL22" s="36">
        <v>0</v>
      </c>
      <c r="AM22" s="50">
        <v>0</v>
      </c>
      <c r="AN22" s="36">
        <v>0</v>
      </c>
      <c r="AO22" s="36">
        <v>0</v>
      </c>
      <c r="AP22" s="36">
        <v>0</v>
      </c>
      <c r="AQ22" s="36">
        <v>0</v>
      </c>
      <c r="AR22" s="50">
        <v>0</v>
      </c>
      <c r="AS22" s="36">
        <v>0</v>
      </c>
      <c r="AT22" s="36">
        <v>0</v>
      </c>
      <c r="AU22" s="36">
        <v>0</v>
      </c>
      <c r="AV22" s="36">
        <v>1</v>
      </c>
      <c r="AW22">
        <v>0</v>
      </c>
      <c r="AX22">
        <v>0</v>
      </c>
      <c r="AZ22" s="74" t="s">
        <v>201</v>
      </c>
      <c r="BC22" s="7" t="s">
        <v>18</v>
      </c>
      <c r="BD22" s="48">
        <v>0</v>
      </c>
    </row>
    <row r="23" spans="1:56" x14ac:dyDescent="0.25">
      <c r="A23" s="36"/>
      <c r="B23" t="s">
        <v>121</v>
      </c>
      <c r="C23" s="36" t="str">
        <f>'Status Thresholds'!B23</f>
        <v>Ahtal-Ka ( Fortress)</v>
      </c>
      <c r="D23" t="s">
        <v>14</v>
      </c>
      <c r="E23" s="36" t="str">
        <f t="shared" si="0"/>
        <v>Ahtal-Ka ( Fortress)KO</v>
      </c>
      <c r="F23" s="36" t="str">
        <f>IFERROR(VLOOKUP($E23,'Status Thresholds'!$E:$AS,1,FALSE),"")</f>
        <v>Ahtal-Ka ( Fortress)KO</v>
      </c>
      <c r="H23" s="55" t="str">
        <f t="shared" si="1"/>
        <v>Ahtal-Ka ( Fortress)KO</v>
      </c>
      <c r="I23" s="50">
        <f>VLOOKUP($F23,'Status Thresholds'!$E:$AS,2,FALSE)</f>
        <v>0</v>
      </c>
      <c r="J23" s="36">
        <f>VLOOKUP($F23,'Status Thresholds'!$E:$AS,3,FALSE)</f>
        <v>0</v>
      </c>
      <c r="K23" s="36">
        <f>VLOOKUP($F23,'Status Thresholds'!$E:$AS,4,FALSE)</f>
        <v>0</v>
      </c>
      <c r="L23" s="36">
        <f>VLOOKUP($F23,'Status Thresholds'!$E:$AS,5,FALSE)</f>
        <v>0</v>
      </c>
      <c r="M23" s="36">
        <f>VLOOKUP($F23,'Status Thresholds'!$E:$AS,6,FALSE)</f>
        <v>0</v>
      </c>
      <c r="N23" s="50">
        <f>VLOOKUP($F23,'Status Thresholds'!$E:$AS,7,FALSE)</f>
        <v>0</v>
      </c>
      <c r="O23" s="36">
        <f>VLOOKUP($F23,'Status Thresholds'!$E:$AS,8,FALSE)</f>
        <v>0</v>
      </c>
      <c r="P23" s="36">
        <f>VLOOKUP($F23,'Status Thresholds'!$E:$AS,9,FALSE)</f>
        <v>0</v>
      </c>
      <c r="Q23" s="36">
        <f>VLOOKUP($F23,'Status Thresholds'!$E:$AS,10,FALSE)</f>
        <v>0</v>
      </c>
      <c r="R23" s="36">
        <f>VLOOKUP($F23,'Status Thresholds'!$E:$AS,11,FALSE)</f>
        <v>0</v>
      </c>
      <c r="S23" s="50">
        <f>VLOOKUP($F23,'Status Thresholds'!$E:$AS,12,FALSE)</f>
        <v>0</v>
      </c>
      <c r="T23" s="36">
        <f>VLOOKUP($F23,'Status Thresholds'!$E:$AS,13,FALSE)</f>
        <v>0</v>
      </c>
      <c r="U23" s="36">
        <f>VLOOKUP($F23,'Status Thresholds'!$E:$AS,14,FALSE)</f>
        <v>0</v>
      </c>
      <c r="V23" s="36">
        <f>VLOOKUP($F23,'Status Thresholds'!$E:$AS,15,FALSE)</f>
        <v>0</v>
      </c>
      <c r="W23" s="36">
        <f>VLOOKUP($F23,'Status Thresholds'!$E:$AS,16,FALSE)</f>
        <v>0</v>
      </c>
      <c r="X23" s="50">
        <f>VLOOKUP($F23,'Status Thresholds'!$E:$AS,17,FALSE)</f>
        <v>0</v>
      </c>
      <c r="Y23" s="36">
        <f>VLOOKUP($F23,'Status Thresholds'!$E:$AS,18,FALSE)</f>
        <v>0</v>
      </c>
      <c r="Z23" s="36">
        <f>VLOOKUP($F23,'Status Thresholds'!$E:$AS,19,FALSE)</f>
        <v>0</v>
      </c>
      <c r="AA23" s="36">
        <f>VLOOKUP($F23,'Status Thresholds'!$E:$AS,20,FALSE)</f>
        <v>0</v>
      </c>
      <c r="AB23" s="36">
        <f>VLOOKUP($F23,'Status Thresholds'!$E:$AS,21,FALSE)</f>
        <v>0</v>
      </c>
      <c r="AC23" s="50">
        <f>VLOOKUP($F23,'Status Thresholds'!$E:$AS,22,FALSE)</f>
        <v>0</v>
      </c>
      <c r="AD23" s="36">
        <f>VLOOKUP($F23,'Status Thresholds'!$E:$AS,23,FALSE)</f>
        <v>0</v>
      </c>
      <c r="AE23" s="36">
        <f>VLOOKUP($F23,'Status Thresholds'!$E:$AS,24,FALSE)</f>
        <v>0</v>
      </c>
      <c r="AF23" s="36">
        <f>VLOOKUP($F23,'Status Thresholds'!$E:$AS,25,FALSE)</f>
        <v>0</v>
      </c>
      <c r="AG23" s="36">
        <f>VLOOKUP($F23,'Status Thresholds'!$E:$AS,26,FALSE)</f>
        <v>0</v>
      </c>
      <c r="AH23" s="50">
        <f>VLOOKUP($F23,'Status Thresholds'!$E:$AS,27,FALSE)</f>
        <v>0</v>
      </c>
      <c r="AI23" s="36">
        <f>VLOOKUP($F23,'Status Thresholds'!$E:$AS,28,FALSE)</f>
        <v>0</v>
      </c>
      <c r="AJ23" s="36">
        <f>VLOOKUP($F23,'Status Thresholds'!$E:$AS,29,FALSE)</f>
        <v>0</v>
      </c>
      <c r="AK23" s="36">
        <f>VLOOKUP($F23,'Status Thresholds'!$E:$AS,30,FALSE)</f>
        <v>0</v>
      </c>
      <c r="AL23" s="36">
        <f>VLOOKUP($F23,'Status Thresholds'!$E:$AS,31,FALSE)</f>
        <v>0</v>
      </c>
      <c r="AM23" s="50">
        <f>VLOOKUP($F23,'Status Thresholds'!$E:$AS,32,FALSE)</f>
        <v>0</v>
      </c>
      <c r="AN23" s="36">
        <f>VLOOKUP($F23,'Status Thresholds'!$E:$AS,33,FALSE)</f>
        <v>0</v>
      </c>
      <c r="AO23" s="36">
        <f>VLOOKUP($F23,'Status Thresholds'!$E:$AS,34,FALSE)</f>
        <v>0</v>
      </c>
      <c r="AP23" s="36">
        <f>VLOOKUP($F23,'Status Thresholds'!$E:$AS,35,FALSE)</f>
        <v>0</v>
      </c>
      <c r="AQ23" s="36">
        <f>VLOOKUP($F23,'Status Thresholds'!$E:$AS,36,FALSE)</f>
        <v>0</v>
      </c>
      <c r="AR23" s="50">
        <f>VLOOKUP($F23,'Status Thresholds'!$E:$AS,37,FALSE)</f>
        <v>0</v>
      </c>
      <c r="AS23" s="36">
        <f>VLOOKUP($F23,'Status Thresholds'!$E:$AS,38,FALSE)</f>
        <v>0</v>
      </c>
      <c r="AT23" s="36">
        <f>VLOOKUP($F23,'Status Thresholds'!$E:$AS,39,FALSE)</f>
        <v>0</v>
      </c>
      <c r="AU23" s="36">
        <f>VLOOKUP($F23,'Status Thresholds'!$E:$AS,40,FALSE)</f>
        <v>0</v>
      </c>
      <c r="AV23" s="36" t="str">
        <f>VLOOKUP($F23,'Status Thresholds'!$E:$AS,41,FALSE)</f>
        <v>-</v>
      </c>
      <c r="AW23">
        <v>0</v>
      </c>
      <c r="AX23">
        <v>0</v>
      </c>
      <c r="AZ23" s="74" t="s">
        <v>201</v>
      </c>
    </row>
    <row r="24" spans="1:56" x14ac:dyDescent="0.25">
      <c r="A24" s="36"/>
      <c r="B24" t="s">
        <v>120</v>
      </c>
      <c r="C24" s="36" t="str">
        <f>'Status Thresholds'!B24</f>
        <v>Ahtal-Ka ( Fortress)</v>
      </c>
      <c r="E24" s="36" t="str">
        <f t="shared" si="0"/>
        <v>Ahtal-Ka ( Fortress)</v>
      </c>
      <c r="F24" s="36" t="str">
        <f>IFERROR(VLOOKUP($E24,'Status Thresholds'!$E:$AS,1,FALSE),"")</f>
        <v/>
      </c>
      <c r="G24" t="s">
        <v>21</v>
      </c>
      <c r="H24" s="55" t="str">
        <f t="shared" si="1"/>
        <v>Ahtal-Ka ( Fortress)Triblast</v>
      </c>
      <c r="I24" s="50">
        <v>0</v>
      </c>
      <c r="J24" s="36">
        <v>0</v>
      </c>
      <c r="K24" s="36">
        <v>0</v>
      </c>
      <c r="L24" s="36">
        <v>0</v>
      </c>
      <c r="M24" s="36">
        <v>0</v>
      </c>
      <c r="N24" s="50">
        <v>0</v>
      </c>
      <c r="O24" s="36">
        <v>0</v>
      </c>
      <c r="P24" s="36">
        <v>0</v>
      </c>
      <c r="Q24" s="36">
        <v>0</v>
      </c>
      <c r="R24" s="36">
        <v>0</v>
      </c>
      <c r="S24" s="50">
        <v>0</v>
      </c>
      <c r="T24" s="36">
        <v>0</v>
      </c>
      <c r="U24" s="36">
        <v>0</v>
      </c>
      <c r="V24" s="36">
        <v>0</v>
      </c>
      <c r="W24" s="36">
        <v>0</v>
      </c>
      <c r="X24" s="50">
        <v>0</v>
      </c>
      <c r="Y24" s="36">
        <v>0</v>
      </c>
      <c r="Z24" s="36">
        <v>0</v>
      </c>
      <c r="AA24" s="36">
        <v>0</v>
      </c>
      <c r="AB24" s="36">
        <v>0</v>
      </c>
      <c r="AC24" s="50">
        <v>0</v>
      </c>
      <c r="AD24" s="36">
        <v>0</v>
      </c>
      <c r="AE24" s="36">
        <v>0</v>
      </c>
      <c r="AF24" s="36">
        <v>0</v>
      </c>
      <c r="AG24" s="36">
        <v>0</v>
      </c>
      <c r="AH24" s="50">
        <v>0</v>
      </c>
      <c r="AI24" s="36">
        <v>0</v>
      </c>
      <c r="AJ24" s="36">
        <v>0</v>
      </c>
      <c r="AK24" s="36">
        <v>0</v>
      </c>
      <c r="AL24" s="36">
        <v>0</v>
      </c>
      <c r="AM24" s="50">
        <v>0</v>
      </c>
      <c r="AN24" s="36">
        <v>0</v>
      </c>
      <c r="AO24" s="36">
        <v>0</v>
      </c>
      <c r="AP24" s="36">
        <v>0</v>
      </c>
      <c r="AQ24" s="36">
        <v>0</v>
      </c>
      <c r="AR24" s="50">
        <v>0</v>
      </c>
      <c r="AS24" s="36">
        <v>0</v>
      </c>
      <c r="AT24" s="36">
        <v>0</v>
      </c>
      <c r="AU24" s="36">
        <v>0</v>
      </c>
      <c r="AV24" s="36">
        <v>0</v>
      </c>
      <c r="AW24">
        <v>0</v>
      </c>
      <c r="AZ24" s="70" t="s">
        <v>25</v>
      </c>
      <c r="BA24">
        <v>0</v>
      </c>
    </row>
    <row r="25" spans="1:56" x14ac:dyDescent="0.25">
      <c r="A25" s="36"/>
      <c r="B25" t="s">
        <v>120</v>
      </c>
      <c r="C25" s="36" t="str">
        <f>'Status Thresholds'!B25</f>
        <v>Ahtal-Ka ( Fortress)</v>
      </c>
      <c r="E25" s="36" t="str">
        <f t="shared" si="0"/>
        <v>Ahtal-Ka ( Fortress)</v>
      </c>
      <c r="F25" s="36" t="str">
        <f>IFERROR(VLOOKUP($E25,'Status Thresholds'!$E:$AS,1,FALSE),"")</f>
        <v/>
      </c>
      <c r="G25" t="s">
        <v>13</v>
      </c>
      <c r="H25" s="55" t="str">
        <f t="shared" si="1"/>
        <v>Ahtal-Ka ( Fortress)Crag 3</v>
      </c>
      <c r="I25" s="50">
        <v>0</v>
      </c>
      <c r="J25" s="36">
        <v>0</v>
      </c>
      <c r="K25" s="36">
        <v>0</v>
      </c>
      <c r="L25" s="36">
        <v>0</v>
      </c>
      <c r="M25" s="36">
        <v>0</v>
      </c>
      <c r="N25" s="50">
        <v>0</v>
      </c>
      <c r="O25" s="36">
        <v>0</v>
      </c>
      <c r="P25" s="36">
        <v>0</v>
      </c>
      <c r="Q25" s="36">
        <v>0</v>
      </c>
      <c r="R25" s="36">
        <v>0</v>
      </c>
      <c r="S25" s="50">
        <v>0</v>
      </c>
      <c r="T25" s="36">
        <v>0</v>
      </c>
      <c r="U25" s="36">
        <v>0</v>
      </c>
      <c r="V25" s="36">
        <v>0</v>
      </c>
      <c r="W25" s="36">
        <v>0</v>
      </c>
      <c r="X25" s="50">
        <v>0</v>
      </c>
      <c r="Y25" s="36">
        <v>0</v>
      </c>
      <c r="Z25" s="36">
        <v>0</v>
      </c>
      <c r="AA25" s="36">
        <v>0</v>
      </c>
      <c r="AB25" s="36">
        <v>0</v>
      </c>
      <c r="AC25" s="50">
        <v>0</v>
      </c>
      <c r="AD25" s="36">
        <v>0</v>
      </c>
      <c r="AE25" s="36">
        <v>0</v>
      </c>
      <c r="AF25" s="36">
        <v>0</v>
      </c>
      <c r="AG25" s="36">
        <v>0</v>
      </c>
      <c r="AH25" s="50">
        <v>0</v>
      </c>
      <c r="AI25" s="36">
        <v>0</v>
      </c>
      <c r="AJ25" s="36">
        <v>0</v>
      </c>
      <c r="AK25" s="36">
        <v>0</v>
      </c>
      <c r="AL25" s="36">
        <v>0</v>
      </c>
      <c r="AM25" s="50">
        <v>0</v>
      </c>
      <c r="AN25" s="36">
        <v>0</v>
      </c>
      <c r="AO25" s="36">
        <v>0</v>
      </c>
      <c r="AP25" s="36">
        <v>0</v>
      </c>
      <c r="AQ25" s="36">
        <v>0</v>
      </c>
      <c r="AR25" s="50">
        <v>0</v>
      </c>
      <c r="AS25" s="36">
        <v>0</v>
      </c>
      <c r="AT25" s="36">
        <v>0</v>
      </c>
      <c r="AU25" s="36">
        <v>0</v>
      </c>
      <c r="AV25" s="36">
        <v>0</v>
      </c>
      <c r="AW25">
        <v>0</v>
      </c>
      <c r="AX25">
        <v>0</v>
      </c>
      <c r="AZ25" s="6" t="s">
        <v>21</v>
      </c>
      <c r="BA25" s="36">
        <v>0</v>
      </c>
      <c r="BB25" s="36">
        <v>75</v>
      </c>
      <c r="BC25" s="55">
        <f>BB25*BA25</f>
        <v>0</v>
      </c>
    </row>
    <row r="26" spans="1:56" x14ac:dyDescent="0.25">
      <c r="A26" s="36"/>
      <c r="B26" t="s">
        <v>120</v>
      </c>
      <c r="C26" s="36" t="str">
        <f>'Status Thresholds'!B26</f>
        <v>Ahtal-Ka ( Fortress)</v>
      </c>
      <c r="E26" s="36" t="str">
        <f t="shared" si="0"/>
        <v>Ahtal-Ka ( Fortress)</v>
      </c>
      <c r="F26" s="36" t="str">
        <f>IFERROR(VLOOKUP($E26,'Status Thresholds'!$E:$AS,1,FALSE),"")</f>
        <v/>
      </c>
      <c r="G26" t="s">
        <v>12</v>
      </c>
      <c r="H26" s="55" t="str">
        <f t="shared" si="1"/>
        <v>Ahtal-Ka ( Fortress)Crag 2</v>
      </c>
      <c r="I26" s="50">
        <v>0</v>
      </c>
      <c r="J26" s="36">
        <v>0</v>
      </c>
      <c r="K26" s="36">
        <v>0</v>
      </c>
      <c r="L26" s="36">
        <v>0</v>
      </c>
      <c r="M26" s="36">
        <v>0</v>
      </c>
      <c r="N26" s="50">
        <v>0</v>
      </c>
      <c r="O26" s="36">
        <v>0</v>
      </c>
      <c r="P26" s="36">
        <v>0</v>
      </c>
      <c r="Q26" s="36">
        <v>0</v>
      </c>
      <c r="R26" s="36">
        <v>0</v>
      </c>
      <c r="S26" s="50">
        <v>0</v>
      </c>
      <c r="T26" s="36">
        <v>0</v>
      </c>
      <c r="U26" s="36">
        <v>0</v>
      </c>
      <c r="V26" s="36">
        <v>0</v>
      </c>
      <c r="W26" s="36">
        <v>0</v>
      </c>
      <c r="X26" s="50">
        <v>0</v>
      </c>
      <c r="Y26" s="36">
        <v>0</v>
      </c>
      <c r="Z26" s="36">
        <v>0</v>
      </c>
      <c r="AA26" s="36">
        <v>0</v>
      </c>
      <c r="AB26" s="36">
        <v>0</v>
      </c>
      <c r="AC26" s="50">
        <v>0</v>
      </c>
      <c r="AD26" s="36">
        <v>0</v>
      </c>
      <c r="AE26" s="36">
        <v>0</v>
      </c>
      <c r="AF26" s="36">
        <v>0</v>
      </c>
      <c r="AG26" s="36">
        <v>0</v>
      </c>
      <c r="AH26" s="50">
        <v>0</v>
      </c>
      <c r="AI26" s="36">
        <v>0</v>
      </c>
      <c r="AJ26" s="36">
        <v>0</v>
      </c>
      <c r="AK26" s="36">
        <v>0</v>
      </c>
      <c r="AL26" s="36">
        <v>0</v>
      </c>
      <c r="AM26" s="50">
        <v>0</v>
      </c>
      <c r="AN26" s="36">
        <v>0</v>
      </c>
      <c r="AO26" s="36">
        <v>0</v>
      </c>
      <c r="AP26" s="36">
        <v>0</v>
      </c>
      <c r="AQ26" s="36">
        <v>0</v>
      </c>
      <c r="AR26" s="50">
        <v>0</v>
      </c>
      <c r="AS26" s="36">
        <v>0</v>
      </c>
      <c r="AT26" s="36">
        <v>0</v>
      </c>
      <c r="AU26" s="36">
        <v>0</v>
      </c>
      <c r="AV26" s="36">
        <v>0</v>
      </c>
      <c r="AW26">
        <v>0</v>
      </c>
      <c r="AX26">
        <v>0</v>
      </c>
      <c r="AZ26" s="6" t="s">
        <v>13</v>
      </c>
      <c r="BA26" s="46">
        <v>0</v>
      </c>
      <c r="BB26" s="46">
        <v>40</v>
      </c>
      <c r="BC26" s="47">
        <f t="shared" ref="BC26:BC27" si="3">BB26*BA26</f>
        <v>0</v>
      </c>
    </row>
    <row r="27" spans="1:56" x14ac:dyDescent="0.25">
      <c r="A27" s="36"/>
      <c r="B27" t="s">
        <v>120</v>
      </c>
      <c r="C27" s="36" t="str">
        <f>'Status Thresholds'!B27</f>
        <v>Ahtal-Ka ( Fortress)</v>
      </c>
      <c r="E27" s="36" t="str">
        <f t="shared" si="0"/>
        <v>Ahtal-Ka ( Fortress)</v>
      </c>
      <c r="F27" s="36" t="str">
        <f>IFERROR(VLOOKUP($E27,'Status Thresholds'!$E:$AS,1,FALSE),"")</f>
        <v/>
      </c>
      <c r="G27" t="s">
        <v>11</v>
      </c>
      <c r="H27" s="55" t="str">
        <f t="shared" si="1"/>
        <v>Ahtal-Ka ( Fortress)Crag 1</v>
      </c>
      <c r="I27" s="50">
        <v>0</v>
      </c>
      <c r="J27" s="36">
        <v>0</v>
      </c>
      <c r="K27" s="36">
        <v>0</v>
      </c>
      <c r="L27" s="36">
        <v>0</v>
      </c>
      <c r="M27" s="36">
        <v>0</v>
      </c>
      <c r="N27" s="50">
        <v>0</v>
      </c>
      <c r="O27" s="36">
        <v>0</v>
      </c>
      <c r="P27" s="36">
        <v>0</v>
      </c>
      <c r="Q27" s="36">
        <v>0</v>
      </c>
      <c r="R27" s="36">
        <v>0</v>
      </c>
      <c r="S27" s="50">
        <v>0</v>
      </c>
      <c r="T27" s="36">
        <v>0</v>
      </c>
      <c r="U27" s="36">
        <v>0</v>
      </c>
      <c r="V27" s="36">
        <v>0</v>
      </c>
      <c r="W27" s="36">
        <v>0</v>
      </c>
      <c r="X27" s="50">
        <v>0</v>
      </c>
      <c r="Y27" s="36">
        <v>0</v>
      </c>
      <c r="Z27" s="36">
        <v>0</v>
      </c>
      <c r="AA27" s="36">
        <v>0</v>
      </c>
      <c r="AB27" s="36">
        <v>0</v>
      </c>
      <c r="AC27" s="50">
        <v>0</v>
      </c>
      <c r="AD27" s="36">
        <v>0</v>
      </c>
      <c r="AE27" s="36">
        <v>0</v>
      </c>
      <c r="AF27" s="36">
        <v>0</v>
      </c>
      <c r="AG27" s="36">
        <v>0</v>
      </c>
      <c r="AH27" s="50">
        <v>0</v>
      </c>
      <c r="AI27" s="36">
        <v>0</v>
      </c>
      <c r="AJ27" s="36">
        <v>0</v>
      </c>
      <c r="AK27" s="36">
        <v>0</v>
      </c>
      <c r="AL27" s="36">
        <v>0</v>
      </c>
      <c r="AM27" s="50">
        <v>0</v>
      </c>
      <c r="AN27" s="36">
        <v>0</v>
      </c>
      <c r="AO27" s="36">
        <v>0</v>
      </c>
      <c r="AP27" s="36">
        <v>0</v>
      </c>
      <c r="AQ27" s="36">
        <v>0</v>
      </c>
      <c r="AR27" s="50">
        <v>0</v>
      </c>
      <c r="AS27" s="36">
        <v>0</v>
      </c>
      <c r="AT27" s="36">
        <v>0</v>
      </c>
      <c r="AU27" s="36">
        <v>0</v>
      </c>
      <c r="AV27" s="36">
        <v>0</v>
      </c>
      <c r="AW27">
        <v>0</v>
      </c>
      <c r="AX27">
        <v>0</v>
      </c>
      <c r="AZ27" s="6" t="s">
        <v>12</v>
      </c>
      <c r="BA27" s="46">
        <v>0</v>
      </c>
      <c r="BB27" s="46">
        <v>30</v>
      </c>
      <c r="BC27" s="47">
        <f t="shared" si="3"/>
        <v>0</v>
      </c>
    </row>
    <row r="28" spans="1:56" x14ac:dyDescent="0.25">
      <c r="A28" s="36"/>
      <c r="B28" t="s">
        <v>119</v>
      </c>
      <c r="C28" s="36" t="str">
        <f>'Status Thresholds'!B28</f>
        <v>Ahtal-Ka ( Fortress)</v>
      </c>
      <c r="E28" s="36" t="str">
        <f t="shared" si="0"/>
        <v>Ahtal-Ka ( Fortress)</v>
      </c>
      <c r="F28" s="36" t="str">
        <f>IFERROR(VLOOKUP($E28,'Status Thresholds'!$E:$AS,1,FALSE),"")</f>
        <v/>
      </c>
      <c r="G28" t="s">
        <v>21</v>
      </c>
      <c r="H28" s="55" t="str">
        <f t="shared" si="1"/>
        <v>Ahtal-Ka ( Fortress)Triblast</v>
      </c>
      <c r="I28" s="50">
        <v>0</v>
      </c>
      <c r="J28" s="36">
        <v>0</v>
      </c>
      <c r="K28" s="36">
        <v>0</v>
      </c>
      <c r="L28" s="36">
        <v>0</v>
      </c>
      <c r="M28" s="36">
        <v>0</v>
      </c>
      <c r="N28" s="50">
        <v>0</v>
      </c>
      <c r="O28" s="36">
        <v>0</v>
      </c>
      <c r="P28" s="36">
        <v>0</v>
      </c>
      <c r="Q28" s="36">
        <v>0</v>
      </c>
      <c r="R28" s="36">
        <v>0</v>
      </c>
      <c r="S28" s="50">
        <v>0</v>
      </c>
      <c r="T28" s="36">
        <v>0</v>
      </c>
      <c r="U28" s="36">
        <v>0</v>
      </c>
      <c r="V28" s="36">
        <v>0</v>
      </c>
      <c r="W28" s="36">
        <v>0</v>
      </c>
      <c r="X28" s="50">
        <v>0</v>
      </c>
      <c r="Y28" s="36">
        <v>0</v>
      </c>
      <c r="Z28" s="36">
        <v>0</v>
      </c>
      <c r="AA28" s="36">
        <v>0</v>
      </c>
      <c r="AB28" s="36">
        <v>0</v>
      </c>
      <c r="AC28" s="50">
        <v>0</v>
      </c>
      <c r="AD28" s="36">
        <v>0</v>
      </c>
      <c r="AE28" s="36">
        <v>0</v>
      </c>
      <c r="AF28" s="36">
        <v>0</v>
      </c>
      <c r="AG28" s="36">
        <v>0</v>
      </c>
      <c r="AH28" s="50">
        <v>0</v>
      </c>
      <c r="AI28" s="36">
        <v>0</v>
      </c>
      <c r="AJ28" s="36">
        <v>0</v>
      </c>
      <c r="AK28" s="36">
        <v>0</v>
      </c>
      <c r="AL28" s="36">
        <v>0</v>
      </c>
      <c r="AM28" s="50">
        <v>0</v>
      </c>
      <c r="AN28" s="36">
        <v>0</v>
      </c>
      <c r="AO28" s="36">
        <v>0</v>
      </c>
      <c r="AP28" s="36">
        <v>0</v>
      </c>
      <c r="AQ28" s="36">
        <v>0</v>
      </c>
      <c r="AR28" s="50">
        <v>0</v>
      </c>
      <c r="AS28" s="36">
        <v>0</v>
      </c>
      <c r="AT28" s="36">
        <v>0</v>
      </c>
      <c r="AU28" s="36">
        <v>0</v>
      </c>
      <c r="AV28" s="36">
        <v>0</v>
      </c>
      <c r="AW28">
        <v>0</v>
      </c>
      <c r="AX28">
        <v>0</v>
      </c>
      <c r="AZ28" s="7" t="s">
        <v>11</v>
      </c>
      <c r="BA28" s="56">
        <v>1</v>
      </c>
      <c r="BB28" s="56">
        <v>25</v>
      </c>
      <c r="BC28" s="47">
        <f>BB28*BA28</f>
        <v>25</v>
      </c>
    </row>
    <row r="29" spans="1:56" x14ac:dyDescent="0.25">
      <c r="A29" s="36"/>
      <c r="B29" t="s">
        <v>119</v>
      </c>
      <c r="C29" s="36" t="str">
        <f>'Status Thresholds'!B29</f>
        <v>Ahtal-Ka ( Fortress)</v>
      </c>
      <c r="E29" s="36" t="str">
        <f t="shared" si="0"/>
        <v>Ahtal-Ka ( Fortress)</v>
      </c>
      <c r="F29" s="36" t="str">
        <f>IFERROR(VLOOKUP($E29,'Status Thresholds'!$E:$AS,1,FALSE),"")</f>
        <v/>
      </c>
      <c r="G29" t="s">
        <v>13</v>
      </c>
      <c r="H29" s="55" t="str">
        <f t="shared" si="1"/>
        <v>Ahtal-Ka ( Fortress)Crag 3</v>
      </c>
      <c r="I29" s="50">
        <v>0</v>
      </c>
      <c r="J29" s="36">
        <v>0</v>
      </c>
      <c r="K29" s="36">
        <v>0</v>
      </c>
      <c r="L29" s="36">
        <v>0</v>
      </c>
      <c r="M29" s="36">
        <v>0</v>
      </c>
      <c r="N29" s="50">
        <v>0</v>
      </c>
      <c r="O29" s="36">
        <v>0</v>
      </c>
      <c r="P29" s="36">
        <v>0</v>
      </c>
      <c r="Q29" s="36">
        <v>0</v>
      </c>
      <c r="R29" s="36">
        <v>0</v>
      </c>
      <c r="S29" s="50">
        <v>0</v>
      </c>
      <c r="T29" s="36">
        <v>0</v>
      </c>
      <c r="U29" s="36">
        <v>0</v>
      </c>
      <c r="V29" s="36">
        <v>0</v>
      </c>
      <c r="W29" s="36">
        <v>0</v>
      </c>
      <c r="X29" s="50">
        <v>0</v>
      </c>
      <c r="Y29" s="36">
        <v>0</v>
      </c>
      <c r="Z29" s="36">
        <v>0</v>
      </c>
      <c r="AA29" s="36">
        <v>0</v>
      </c>
      <c r="AB29" s="36">
        <v>0</v>
      </c>
      <c r="AC29" s="50">
        <v>0</v>
      </c>
      <c r="AD29" s="36">
        <v>0</v>
      </c>
      <c r="AE29" s="36">
        <v>0</v>
      </c>
      <c r="AF29" s="36">
        <v>0</v>
      </c>
      <c r="AG29" s="36">
        <v>0</v>
      </c>
      <c r="AH29" s="50">
        <v>0</v>
      </c>
      <c r="AI29" s="36">
        <v>0</v>
      </c>
      <c r="AJ29" s="36">
        <v>0</v>
      </c>
      <c r="AK29" s="36">
        <v>0</v>
      </c>
      <c r="AL29" s="36">
        <v>0</v>
      </c>
      <c r="AM29" s="50">
        <v>0</v>
      </c>
      <c r="AN29" s="36">
        <v>0</v>
      </c>
      <c r="AO29" s="36">
        <v>0</v>
      </c>
      <c r="AP29" s="36">
        <v>0</v>
      </c>
      <c r="AQ29" s="36">
        <v>0</v>
      </c>
      <c r="AR29" s="50">
        <v>0</v>
      </c>
      <c r="AS29" s="36">
        <v>0</v>
      </c>
      <c r="AT29" s="36">
        <v>0</v>
      </c>
      <c r="AU29" s="36">
        <v>0</v>
      </c>
      <c r="AV29" s="36">
        <v>0</v>
      </c>
      <c r="AW29">
        <v>0</v>
      </c>
      <c r="AX29">
        <v>0</v>
      </c>
      <c r="BB29">
        <v>0</v>
      </c>
      <c r="BC29" s="40" t="s">
        <v>128</v>
      </c>
    </row>
    <row r="30" spans="1:56" x14ac:dyDescent="0.25">
      <c r="A30" s="36"/>
      <c r="B30" t="s">
        <v>119</v>
      </c>
      <c r="C30" s="36" t="str">
        <f>'Status Thresholds'!B30</f>
        <v>Ahtal-Ka ( Fortress)</v>
      </c>
      <c r="E30" s="36" t="str">
        <f t="shared" si="0"/>
        <v>Ahtal-Ka ( Fortress)</v>
      </c>
      <c r="F30" s="36" t="str">
        <f>IFERROR(VLOOKUP($E30,'Status Thresholds'!$E:$AS,1,FALSE),"")</f>
        <v/>
      </c>
      <c r="G30" t="s">
        <v>12</v>
      </c>
      <c r="H30" s="55" t="str">
        <f t="shared" si="1"/>
        <v>Ahtal-Ka ( Fortress)Crag 2</v>
      </c>
      <c r="I30" s="50">
        <v>0</v>
      </c>
      <c r="J30" s="36">
        <v>0</v>
      </c>
      <c r="K30" s="36">
        <v>0</v>
      </c>
      <c r="L30" s="36">
        <v>0</v>
      </c>
      <c r="M30" s="36">
        <v>0</v>
      </c>
      <c r="N30" s="50">
        <v>0</v>
      </c>
      <c r="O30" s="36">
        <v>0</v>
      </c>
      <c r="P30" s="36">
        <v>0</v>
      </c>
      <c r="Q30" s="36">
        <v>0</v>
      </c>
      <c r="R30" s="36">
        <v>0</v>
      </c>
      <c r="S30" s="50">
        <v>0</v>
      </c>
      <c r="T30" s="36">
        <v>0</v>
      </c>
      <c r="U30" s="36">
        <v>0</v>
      </c>
      <c r="V30" s="36">
        <v>0</v>
      </c>
      <c r="W30" s="36">
        <v>0</v>
      </c>
      <c r="X30" s="50">
        <v>0</v>
      </c>
      <c r="Y30" s="36">
        <v>0</v>
      </c>
      <c r="Z30" s="36">
        <v>0</v>
      </c>
      <c r="AA30" s="36">
        <v>0</v>
      </c>
      <c r="AB30" s="36">
        <v>0</v>
      </c>
      <c r="AC30" s="50">
        <v>0</v>
      </c>
      <c r="AD30" s="36">
        <v>0</v>
      </c>
      <c r="AE30" s="36">
        <v>0</v>
      </c>
      <c r="AF30" s="36">
        <v>0</v>
      </c>
      <c r="AG30" s="36">
        <v>0</v>
      </c>
      <c r="AH30" s="50">
        <v>0</v>
      </c>
      <c r="AI30" s="36">
        <v>0</v>
      </c>
      <c r="AJ30" s="36">
        <v>0</v>
      </c>
      <c r="AK30" s="36">
        <v>0</v>
      </c>
      <c r="AL30" s="36">
        <v>0</v>
      </c>
      <c r="AM30" s="50">
        <v>0</v>
      </c>
      <c r="AN30" s="36">
        <v>0</v>
      </c>
      <c r="AO30" s="36">
        <v>0</v>
      </c>
      <c r="AP30" s="36">
        <v>0</v>
      </c>
      <c r="AQ30" s="36">
        <v>0</v>
      </c>
      <c r="AR30" s="50">
        <v>0</v>
      </c>
      <c r="AS30" s="36">
        <v>0</v>
      </c>
      <c r="AT30" s="36">
        <v>0</v>
      </c>
      <c r="AU30" s="36">
        <v>0</v>
      </c>
      <c r="AV30" s="36">
        <v>0</v>
      </c>
      <c r="AW30">
        <v>0</v>
      </c>
      <c r="AX30">
        <v>0</v>
      </c>
      <c r="BB30" s="31">
        <v>10</v>
      </c>
      <c r="BC30" s="45">
        <f>BB30-SUM($BC$25:$BC$28)</f>
        <v>-15</v>
      </c>
    </row>
    <row r="31" spans="1:56" x14ac:dyDescent="0.25">
      <c r="A31" s="36"/>
      <c r="B31" t="s">
        <v>119</v>
      </c>
      <c r="C31" s="36" t="str">
        <f>'Status Thresholds'!B31</f>
        <v>Ahtal-Ka ( Fortress)</v>
      </c>
      <c r="E31" s="36" t="str">
        <f t="shared" si="0"/>
        <v>Ahtal-Ka ( Fortress)</v>
      </c>
      <c r="F31" s="36" t="str">
        <f>IFERROR(VLOOKUP($E31,'Status Thresholds'!$E:$AS,1,FALSE),"")</f>
        <v/>
      </c>
      <c r="G31" t="s">
        <v>11</v>
      </c>
      <c r="H31" s="55" t="str">
        <f t="shared" si="1"/>
        <v>Ahtal-Ka ( Fortress)Crag 1</v>
      </c>
      <c r="I31" s="50">
        <v>0</v>
      </c>
      <c r="J31" s="36">
        <v>0</v>
      </c>
      <c r="K31" s="36">
        <v>0</v>
      </c>
      <c r="L31" s="36">
        <v>0</v>
      </c>
      <c r="M31" s="36">
        <v>0</v>
      </c>
      <c r="N31" s="50">
        <v>0</v>
      </c>
      <c r="O31" s="36">
        <v>0</v>
      </c>
      <c r="P31" s="36">
        <v>0</v>
      </c>
      <c r="Q31" s="36">
        <v>0</v>
      </c>
      <c r="R31" s="36">
        <v>0</v>
      </c>
      <c r="S31" s="50">
        <v>0</v>
      </c>
      <c r="T31" s="36">
        <v>0</v>
      </c>
      <c r="U31" s="36">
        <v>0</v>
      </c>
      <c r="V31" s="36">
        <v>0</v>
      </c>
      <c r="W31" s="36">
        <v>0</v>
      </c>
      <c r="X31" s="50">
        <v>0</v>
      </c>
      <c r="Y31" s="36">
        <v>0</v>
      </c>
      <c r="Z31" s="36">
        <v>0</v>
      </c>
      <c r="AA31" s="36">
        <v>0</v>
      </c>
      <c r="AB31" s="36">
        <v>0</v>
      </c>
      <c r="AC31" s="50">
        <v>0</v>
      </c>
      <c r="AD31" s="36">
        <v>0</v>
      </c>
      <c r="AE31" s="36">
        <v>0</v>
      </c>
      <c r="AF31" s="36">
        <v>0</v>
      </c>
      <c r="AG31" s="36">
        <v>0</v>
      </c>
      <c r="AH31" s="50">
        <v>0</v>
      </c>
      <c r="AI31" s="36">
        <v>0</v>
      </c>
      <c r="AJ31" s="36">
        <v>0</v>
      </c>
      <c r="AK31" s="36">
        <v>0</v>
      </c>
      <c r="AL31" s="36">
        <v>0</v>
      </c>
      <c r="AM31" s="50">
        <v>0</v>
      </c>
      <c r="AN31" s="36">
        <v>0</v>
      </c>
      <c r="AO31" s="36">
        <v>0</v>
      </c>
      <c r="AP31" s="36">
        <v>0</v>
      </c>
      <c r="AQ31" s="36">
        <v>0</v>
      </c>
      <c r="AR31" s="50">
        <v>0</v>
      </c>
      <c r="AS31" s="36">
        <v>0</v>
      </c>
      <c r="AT31" s="36">
        <v>0</v>
      </c>
      <c r="AU31" s="36">
        <v>0</v>
      </c>
      <c r="AV31" s="36">
        <v>0</v>
      </c>
      <c r="AW31">
        <v>0</v>
      </c>
      <c r="AX31">
        <v>0</v>
      </c>
    </row>
    <row r="32" spans="1:56" x14ac:dyDescent="0.25">
      <c r="A32" s="36"/>
      <c r="B32" t="s">
        <v>121</v>
      </c>
      <c r="C32" s="36" t="str">
        <f>'Status Thresholds'!B32</f>
        <v>Akantor</v>
      </c>
      <c r="D32" t="s">
        <v>14</v>
      </c>
      <c r="E32" s="36" t="str">
        <f t="shared" si="0"/>
        <v>AkantorKO</v>
      </c>
      <c r="F32" s="36" t="str">
        <f>IFERROR(VLOOKUP($E32,'Status Thresholds'!$E:$AS,1,FALSE),"")</f>
        <v>AkantorKO</v>
      </c>
      <c r="H32" s="55" t="str">
        <f t="shared" si="1"/>
        <v>AkantorKO</v>
      </c>
      <c r="I32" s="50">
        <f>VLOOKUP($F32,'Status Thresholds'!$E:$AS,2,FALSE)</f>
        <v>280</v>
      </c>
      <c r="J32" s="36">
        <f>VLOOKUP($F32,'Status Thresholds'!$E:$AS,3,FALSE)</f>
        <v>490</v>
      </c>
      <c r="K32" s="36">
        <f>VLOOKUP($F32,'Status Thresholds'!$E:$AS,4,FALSE)</f>
        <v>700</v>
      </c>
      <c r="L32" s="36">
        <f>VLOOKUP($F32,'Status Thresholds'!$E:$AS,5,FALSE)</f>
        <v>910</v>
      </c>
      <c r="M32" s="36">
        <f>VLOOKUP($F32,'Status Thresholds'!$E:$AS,6,FALSE)</f>
        <v>0</v>
      </c>
      <c r="N32" s="50">
        <f>VLOOKUP($F32,'Status Thresholds'!$E:$AS,7,FALSE)</f>
        <v>0</v>
      </c>
      <c r="O32" s="36">
        <f>VLOOKUP($F32,'Status Thresholds'!$E:$AS,8,FALSE)</f>
        <v>0</v>
      </c>
      <c r="P32" s="36">
        <f>VLOOKUP($F32,'Status Thresholds'!$E:$AS,9,FALSE)</f>
        <v>0</v>
      </c>
      <c r="Q32" s="36">
        <f>VLOOKUP($F32,'Status Thresholds'!$E:$AS,10,FALSE)</f>
        <v>0</v>
      </c>
      <c r="R32" s="36">
        <f>VLOOKUP($F32,'Status Thresholds'!$E:$AS,11,FALSE)</f>
        <v>0</v>
      </c>
      <c r="S32" s="50">
        <f>VLOOKUP($F32,'Status Thresholds'!$E:$AS,12,FALSE)</f>
        <v>0</v>
      </c>
      <c r="T32" s="36">
        <f>VLOOKUP($F32,'Status Thresholds'!$E:$AS,13,FALSE)</f>
        <v>0</v>
      </c>
      <c r="U32" s="36">
        <f>VLOOKUP($F32,'Status Thresholds'!$E:$AS,14,FALSE)</f>
        <v>0</v>
      </c>
      <c r="V32" s="36">
        <f>VLOOKUP($F32,'Status Thresholds'!$E:$AS,15,FALSE)</f>
        <v>0</v>
      </c>
      <c r="W32" s="36">
        <f>VLOOKUP($F32,'Status Thresholds'!$E:$AS,16,FALSE)</f>
        <v>0</v>
      </c>
      <c r="X32" s="50">
        <f>VLOOKUP($F32,'Status Thresholds'!$E:$AS,17,FALSE)</f>
        <v>0</v>
      </c>
      <c r="Y32" s="36">
        <f>VLOOKUP($F32,'Status Thresholds'!$E:$AS,18,FALSE)</f>
        <v>0</v>
      </c>
      <c r="Z32" s="36">
        <f>VLOOKUP($F32,'Status Thresholds'!$E:$AS,19,FALSE)</f>
        <v>0</v>
      </c>
      <c r="AA32" s="36">
        <f>VLOOKUP($F32,'Status Thresholds'!$E:$AS,20,FALSE)</f>
        <v>0</v>
      </c>
      <c r="AB32" s="36">
        <f>VLOOKUP($F32,'Status Thresholds'!$E:$AS,21,FALSE)</f>
        <v>0</v>
      </c>
      <c r="AC32" s="50">
        <f>VLOOKUP($F32,'Status Thresholds'!$E:$AS,22,FALSE)</f>
        <v>320</v>
      </c>
      <c r="AD32" s="36">
        <f>VLOOKUP($F32,'Status Thresholds'!$E:$AS,23,FALSE)</f>
        <v>560</v>
      </c>
      <c r="AE32" s="36">
        <f>VLOOKUP($F32,'Status Thresholds'!$E:$AS,24,FALSE)</f>
        <v>800</v>
      </c>
      <c r="AF32" s="36">
        <f>VLOOKUP($F32,'Status Thresholds'!$E:$AS,25,FALSE)</f>
        <v>1040</v>
      </c>
      <c r="AG32" s="36">
        <f>VLOOKUP($F32,'Status Thresholds'!$E:$AS,26,FALSE)</f>
        <v>0</v>
      </c>
      <c r="AH32" s="50">
        <f>VLOOKUP($F32,'Status Thresholds'!$E:$AS,27,FALSE)</f>
        <v>0</v>
      </c>
      <c r="AI32" s="36">
        <f>VLOOKUP($F32,'Status Thresholds'!$E:$AS,28,FALSE)</f>
        <v>0</v>
      </c>
      <c r="AJ32" s="36">
        <f>VLOOKUP($F32,'Status Thresholds'!$E:$AS,29,FALSE)</f>
        <v>0</v>
      </c>
      <c r="AK32" s="36">
        <f>VLOOKUP($F32,'Status Thresholds'!$E:$AS,30,FALSE)</f>
        <v>0</v>
      </c>
      <c r="AL32" s="36">
        <f>VLOOKUP($F32,'Status Thresholds'!$E:$AS,31,FALSE)</f>
        <v>0</v>
      </c>
      <c r="AM32" s="50">
        <f>VLOOKUP($F32,'Status Thresholds'!$E:$AS,32,FALSE)</f>
        <v>0</v>
      </c>
      <c r="AN32" s="36">
        <f>VLOOKUP($F32,'Status Thresholds'!$E:$AS,33,FALSE)</f>
        <v>0</v>
      </c>
      <c r="AO32" s="36">
        <f>VLOOKUP($F32,'Status Thresholds'!$E:$AS,34,FALSE)</f>
        <v>0</v>
      </c>
      <c r="AP32" s="36">
        <f>VLOOKUP($F32,'Status Thresholds'!$E:$AS,35,FALSE)</f>
        <v>0</v>
      </c>
      <c r="AQ32" s="36">
        <f>VLOOKUP($F32,'Status Thresholds'!$E:$AS,36,FALSE)</f>
        <v>0</v>
      </c>
      <c r="AR32" s="50">
        <f>VLOOKUP($F32,'Status Thresholds'!$E:$AS,37,FALSE)</f>
        <v>0</v>
      </c>
      <c r="AS32" s="36">
        <f>VLOOKUP($F32,'Status Thresholds'!$E:$AS,38,FALSE)</f>
        <v>0</v>
      </c>
      <c r="AT32" s="36">
        <f>VLOOKUP($F32,'Status Thresholds'!$E:$AS,39,FALSE)</f>
        <v>0</v>
      </c>
      <c r="AU32" s="36">
        <f>VLOOKUP($F32,'Status Thresholds'!$E:$AS,40,FALSE)</f>
        <v>0</v>
      </c>
      <c r="AV32" s="36">
        <f>VLOOKUP($F32,'Status Thresholds'!$E:$AS,41,FALSE)</f>
        <v>10</v>
      </c>
      <c r="AW32">
        <v>0</v>
      </c>
      <c r="AX32">
        <v>0</v>
      </c>
      <c r="AZ32" s="70" t="s">
        <v>95</v>
      </c>
      <c r="BA32">
        <v>0</v>
      </c>
    </row>
    <row r="33" spans="1:55" x14ac:dyDescent="0.25">
      <c r="A33" s="36"/>
      <c r="B33" t="s">
        <v>120</v>
      </c>
      <c r="C33" s="36" t="str">
        <f>'Status Thresholds'!B33</f>
        <v>Akantor</v>
      </c>
      <c r="E33" s="36" t="str">
        <f t="shared" si="0"/>
        <v>Akantor</v>
      </c>
      <c r="F33" s="36" t="str">
        <f>IFERROR(VLOOKUP($E33,'Status Thresholds'!$E:$AS,1,FALSE),"")</f>
        <v/>
      </c>
      <c r="G33" t="s">
        <v>21</v>
      </c>
      <c r="H33" s="55" t="str">
        <f t="shared" si="1"/>
        <v>AkantorTriblast</v>
      </c>
      <c r="I33" s="50">
        <v>2</v>
      </c>
      <c r="J33" s="36">
        <v>1</v>
      </c>
      <c r="K33" s="36">
        <v>2</v>
      </c>
      <c r="L33" s="36">
        <v>2</v>
      </c>
      <c r="M33" s="36">
        <v>0</v>
      </c>
      <c r="N33" s="50">
        <v>0</v>
      </c>
      <c r="O33" s="36">
        <v>0</v>
      </c>
      <c r="P33" s="36">
        <v>0</v>
      </c>
      <c r="Q33" s="36">
        <v>0</v>
      </c>
      <c r="R33" s="36">
        <v>0</v>
      </c>
      <c r="S33" s="50">
        <v>0</v>
      </c>
      <c r="T33" s="36">
        <v>0</v>
      </c>
      <c r="U33" s="36">
        <v>0</v>
      </c>
      <c r="V33" s="36">
        <v>0</v>
      </c>
      <c r="W33" s="36">
        <v>0</v>
      </c>
      <c r="X33" s="50">
        <v>0</v>
      </c>
      <c r="Y33" s="36">
        <v>0</v>
      </c>
      <c r="Z33" s="36">
        <v>0</v>
      </c>
      <c r="AA33" s="36">
        <v>0</v>
      </c>
      <c r="AB33" s="36">
        <v>0</v>
      </c>
      <c r="AC33" s="50">
        <v>0</v>
      </c>
      <c r="AD33" s="36">
        <v>2</v>
      </c>
      <c r="AE33" s="36">
        <v>2</v>
      </c>
      <c r="AF33" s="36">
        <v>2</v>
      </c>
      <c r="AG33" s="36">
        <v>0</v>
      </c>
      <c r="AH33" s="50">
        <v>0</v>
      </c>
      <c r="AI33" s="36">
        <v>0</v>
      </c>
      <c r="AJ33" s="36">
        <v>0</v>
      </c>
      <c r="AK33" s="36">
        <v>0</v>
      </c>
      <c r="AL33" s="36">
        <v>0</v>
      </c>
      <c r="AM33" s="50">
        <v>0</v>
      </c>
      <c r="AN33" s="36">
        <v>0</v>
      </c>
      <c r="AO33" s="36">
        <v>0</v>
      </c>
      <c r="AP33" s="36">
        <v>0</v>
      </c>
      <c r="AQ33" s="36">
        <v>0</v>
      </c>
      <c r="AR33" s="50">
        <v>0</v>
      </c>
      <c r="AS33" s="36">
        <v>0</v>
      </c>
      <c r="AT33" s="36">
        <v>0</v>
      </c>
      <c r="AU33" s="36">
        <v>0</v>
      </c>
      <c r="AV33" s="36">
        <v>0</v>
      </c>
      <c r="AW33">
        <v>0</v>
      </c>
      <c r="AZ33" s="6" t="s">
        <v>21</v>
      </c>
      <c r="BA33" s="36">
        <v>0</v>
      </c>
      <c r="BB33" s="36">
        <v>81</v>
      </c>
      <c r="BC33" s="55">
        <f>BB33*BA33</f>
        <v>0</v>
      </c>
    </row>
    <row r="34" spans="1:55" x14ac:dyDescent="0.25">
      <c r="A34" s="36"/>
      <c r="B34" t="s">
        <v>120</v>
      </c>
      <c r="C34" s="36" t="str">
        <f>'Status Thresholds'!B34</f>
        <v>Akantor</v>
      </c>
      <c r="E34" s="36" t="str">
        <f t="shared" si="0"/>
        <v>Akantor</v>
      </c>
      <c r="F34" s="36" t="str">
        <f>IFERROR(VLOOKUP($E34,'Status Thresholds'!$E:$AS,1,FALSE),"")</f>
        <v/>
      </c>
      <c r="G34" t="s">
        <v>13</v>
      </c>
      <c r="H34" s="55" t="str">
        <f t="shared" si="1"/>
        <v>AkantorCrag 3</v>
      </c>
      <c r="I34" s="50">
        <v>2</v>
      </c>
      <c r="J34" s="36">
        <v>3</v>
      </c>
      <c r="K34" s="36">
        <v>4</v>
      </c>
      <c r="L34" s="36">
        <v>4</v>
      </c>
      <c r="M34" s="36">
        <v>0</v>
      </c>
      <c r="N34" s="50">
        <v>0</v>
      </c>
      <c r="O34" s="36">
        <v>0</v>
      </c>
      <c r="P34" s="36">
        <v>0</v>
      </c>
      <c r="Q34" s="36">
        <v>0</v>
      </c>
      <c r="R34" s="36">
        <v>0</v>
      </c>
      <c r="S34" s="50">
        <v>0</v>
      </c>
      <c r="T34" s="36">
        <v>0</v>
      </c>
      <c r="U34" s="36">
        <v>0</v>
      </c>
      <c r="V34" s="36">
        <v>0</v>
      </c>
      <c r="W34" s="36">
        <v>0</v>
      </c>
      <c r="X34" s="50">
        <v>0</v>
      </c>
      <c r="Y34" s="36">
        <v>0</v>
      </c>
      <c r="Z34" s="36">
        <v>0</v>
      </c>
      <c r="AA34" s="36">
        <v>0</v>
      </c>
      <c r="AB34" s="36">
        <v>0</v>
      </c>
      <c r="AC34" s="50">
        <v>3</v>
      </c>
      <c r="AD34" s="36">
        <v>3</v>
      </c>
      <c r="AE34" s="36">
        <v>4</v>
      </c>
      <c r="AF34" s="36">
        <v>4</v>
      </c>
      <c r="AG34" s="36">
        <v>0</v>
      </c>
      <c r="AH34" s="50">
        <v>0</v>
      </c>
      <c r="AI34" s="36">
        <v>0</v>
      </c>
      <c r="AJ34" s="36">
        <v>0</v>
      </c>
      <c r="AK34" s="36">
        <v>0</v>
      </c>
      <c r="AL34" s="36">
        <v>0</v>
      </c>
      <c r="AM34" s="50">
        <v>0</v>
      </c>
      <c r="AN34" s="36">
        <v>0</v>
      </c>
      <c r="AO34" s="36">
        <v>0</v>
      </c>
      <c r="AP34" s="36">
        <v>0</v>
      </c>
      <c r="AQ34" s="36">
        <v>0</v>
      </c>
      <c r="AR34" s="50">
        <v>0</v>
      </c>
      <c r="AS34" s="36">
        <v>0</v>
      </c>
      <c r="AT34" s="36">
        <v>0</v>
      </c>
      <c r="AU34" s="36">
        <v>0</v>
      </c>
      <c r="AV34" s="36">
        <v>0</v>
      </c>
      <c r="AW34">
        <v>0</v>
      </c>
      <c r="AX34">
        <v>0</v>
      </c>
      <c r="AZ34" s="6" t="s">
        <v>13</v>
      </c>
      <c r="BA34" s="46">
        <v>0</v>
      </c>
      <c r="BB34" s="46">
        <v>44</v>
      </c>
      <c r="BC34" s="47">
        <f t="shared" ref="BC34:BC35" si="4">BB34*BA34</f>
        <v>0</v>
      </c>
    </row>
    <row r="35" spans="1:55" x14ac:dyDescent="0.25">
      <c r="A35" s="36"/>
      <c r="B35" t="s">
        <v>120</v>
      </c>
      <c r="C35" s="36" t="str">
        <f>'Status Thresholds'!B35</f>
        <v>Akantor</v>
      </c>
      <c r="E35" s="36" t="str">
        <f t="shared" si="0"/>
        <v>Akantor</v>
      </c>
      <c r="F35" s="36" t="str">
        <f>IFERROR(VLOOKUP($E35,'Status Thresholds'!$E:$AS,1,FALSE),"")</f>
        <v/>
      </c>
      <c r="G35" t="s">
        <v>12</v>
      </c>
      <c r="H35" s="55" t="str">
        <f t="shared" si="1"/>
        <v>AkantorCrag 2</v>
      </c>
      <c r="I35" s="50">
        <v>0</v>
      </c>
      <c r="J35" s="36">
        <v>4</v>
      </c>
      <c r="K35" s="36">
        <v>4</v>
      </c>
      <c r="L35" s="36">
        <v>4</v>
      </c>
      <c r="M35" s="36">
        <v>0</v>
      </c>
      <c r="N35" s="50">
        <v>0</v>
      </c>
      <c r="O35" s="36">
        <v>0</v>
      </c>
      <c r="P35" s="36">
        <v>0</v>
      </c>
      <c r="Q35" s="36">
        <v>0</v>
      </c>
      <c r="R35" s="36">
        <v>0</v>
      </c>
      <c r="S35" s="50">
        <v>0</v>
      </c>
      <c r="T35" s="36">
        <v>0</v>
      </c>
      <c r="U35" s="36">
        <v>0</v>
      </c>
      <c r="V35" s="36">
        <v>0</v>
      </c>
      <c r="W35" s="36">
        <v>0</v>
      </c>
      <c r="X35" s="50">
        <v>0</v>
      </c>
      <c r="Y35" s="36">
        <v>0</v>
      </c>
      <c r="Z35" s="36">
        <v>0</v>
      </c>
      <c r="AA35" s="36">
        <v>0</v>
      </c>
      <c r="AB35" s="36">
        <v>0</v>
      </c>
      <c r="AC35" s="50">
        <v>0</v>
      </c>
      <c r="AD35" s="36">
        <v>3</v>
      </c>
      <c r="AE35" s="36">
        <v>4</v>
      </c>
      <c r="AF35" s="36">
        <v>4</v>
      </c>
      <c r="AG35" s="36">
        <v>0</v>
      </c>
      <c r="AH35" s="50">
        <v>0</v>
      </c>
      <c r="AI35" s="36">
        <v>0</v>
      </c>
      <c r="AJ35" s="36">
        <v>0</v>
      </c>
      <c r="AK35" s="36">
        <v>0</v>
      </c>
      <c r="AL35" s="36">
        <v>0</v>
      </c>
      <c r="AM35" s="50">
        <v>0</v>
      </c>
      <c r="AN35" s="36">
        <v>0</v>
      </c>
      <c r="AO35" s="36">
        <v>0</v>
      </c>
      <c r="AP35" s="36">
        <v>0</v>
      </c>
      <c r="AQ35" s="36">
        <v>0</v>
      </c>
      <c r="AR35" s="50">
        <v>0</v>
      </c>
      <c r="AS35" s="36">
        <v>0</v>
      </c>
      <c r="AT35" s="36">
        <v>0</v>
      </c>
      <c r="AU35" s="36">
        <v>0</v>
      </c>
      <c r="AV35" s="36">
        <v>0</v>
      </c>
      <c r="AW35">
        <v>0</v>
      </c>
      <c r="AX35">
        <v>0</v>
      </c>
      <c r="AZ35" s="6" t="s">
        <v>12</v>
      </c>
      <c r="BA35" s="46">
        <v>0</v>
      </c>
      <c r="BB35" s="46">
        <v>33</v>
      </c>
      <c r="BC35" s="47">
        <f t="shared" si="4"/>
        <v>0</v>
      </c>
    </row>
    <row r="36" spans="1:55" x14ac:dyDescent="0.25">
      <c r="A36" s="36"/>
      <c r="B36" t="s">
        <v>120</v>
      </c>
      <c r="C36" s="36" t="str">
        <f>'Status Thresholds'!B36</f>
        <v>Akantor</v>
      </c>
      <c r="E36" s="36" t="str">
        <f t="shared" si="0"/>
        <v>Akantor</v>
      </c>
      <c r="F36" s="36" t="str">
        <f>IFERROR(VLOOKUP($E36,'Status Thresholds'!$E:$AS,1,FALSE),"")</f>
        <v/>
      </c>
      <c r="G36" t="s">
        <v>11</v>
      </c>
      <c r="H36" s="55" t="str">
        <f t="shared" si="1"/>
        <v>AkantorCrag 1</v>
      </c>
      <c r="I36" s="50">
        <v>2</v>
      </c>
      <c r="J36" s="36">
        <v>7</v>
      </c>
      <c r="K36" s="36">
        <v>8</v>
      </c>
      <c r="L36" s="36">
        <v>8</v>
      </c>
      <c r="M36" s="36">
        <v>0</v>
      </c>
      <c r="N36" s="50">
        <v>0</v>
      </c>
      <c r="O36" s="36">
        <v>0</v>
      </c>
      <c r="P36" s="36">
        <v>0</v>
      </c>
      <c r="Q36" s="36">
        <v>0</v>
      </c>
      <c r="R36" s="36">
        <v>0</v>
      </c>
      <c r="S36" s="50">
        <v>0</v>
      </c>
      <c r="T36" s="36">
        <v>0</v>
      </c>
      <c r="U36" s="36">
        <v>0</v>
      </c>
      <c r="V36" s="36">
        <v>0</v>
      </c>
      <c r="W36" s="36">
        <v>0</v>
      </c>
      <c r="X36" s="50">
        <v>0</v>
      </c>
      <c r="Y36" s="36">
        <v>0</v>
      </c>
      <c r="Z36" s="36">
        <v>0</v>
      </c>
      <c r="AA36" s="36">
        <v>0</v>
      </c>
      <c r="AB36" s="36">
        <v>0</v>
      </c>
      <c r="AC36" s="50">
        <v>8</v>
      </c>
      <c r="AD36" s="36">
        <v>8</v>
      </c>
      <c r="AE36" s="36">
        <v>8</v>
      </c>
      <c r="AF36" s="36">
        <v>8</v>
      </c>
      <c r="AG36" s="36">
        <v>0</v>
      </c>
      <c r="AH36" s="50">
        <v>0</v>
      </c>
      <c r="AI36" s="36">
        <v>0</v>
      </c>
      <c r="AJ36" s="36">
        <v>0</v>
      </c>
      <c r="AK36" s="36">
        <v>0</v>
      </c>
      <c r="AL36" s="36">
        <v>0</v>
      </c>
      <c r="AM36" s="50">
        <v>0</v>
      </c>
      <c r="AN36" s="36">
        <v>0</v>
      </c>
      <c r="AO36" s="36">
        <v>0</v>
      </c>
      <c r="AP36" s="36">
        <v>0</v>
      </c>
      <c r="AQ36" s="36">
        <v>0</v>
      </c>
      <c r="AR36" s="50">
        <v>0</v>
      </c>
      <c r="AS36" s="36">
        <v>0</v>
      </c>
      <c r="AT36" s="36">
        <v>0</v>
      </c>
      <c r="AU36" s="36">
        <v>0</v>
      </c>
      <c r="AV36" s="36">
        <v>1</v>
      </c>
      <c r="AW36">
        <v>0</v>
      </c>
      <c r="AX36">
        <v>0</v>
      </c>
      <c r="AZ36" s="7" t="s">
        <v>11</v>
      </c>
      <c r="BA36" s="56">
        <v>1</v>
      </c>
      <c r="BB36" s="56">
        <v>27</v>
      </c>
      <c r="BC36" s="47">
        <f>BB36*BA36</f>
        <v>27</v>
      </c>
    </row>
    <row r="37" spans="1:55" x14ac:dyDescent="0.25">
      <c r="A37" s="36"/>
      <c r="B37" t="s">
        <v>119</v>
      </c>
      <c r="C37" s="36" t="str">
        <f>'Status Thresholds'!B37</f>
        <v>Akantor</v>
      </c>
      <c r="E37" s="36" t="str">
        <f t="shared" si="0"/>
        <v>Akantor</v>
      </c>
      <c r="F37" s="36" t="str">
        <f>IFERROR(VLOOKUP($E37,'Status Thresholds'!$E:$AS,1,FALSE),"")</f>
        <v/>
      </c>
      <c r="G37" t="s">
        <v>21</v>
      </c>
      <c r="H37" s="55" t="str">
        <f t="shared" si="1"/>
        <v>AkantorTriblast</v>
      </c>
      <c r="I37" s="50">
        <v>0</v>
      </c>
      <c r="J37" s="36">
        <v>1</v>
      </c>
      <c r="K37" s="36">
        <v>2</v>
      </c>
      <c r="L37" s="36">
        <v>2</v>
      </c>
      <c r="M37" s="36">
        <v>0</v>
      </c>
      <c r="N37" s="50">
        <v>0</v>
      </c>
      <c r="O37" s="36">
        <v>0</v>
      </c>
      <c r="P37" s="36">
        <v>0</v>
      </c>
      <c r="Q37" s="36">
        <v>0</v>
      </c>
      <c r="R37" s="36">
        <v>0</v>
      </c>
      <c r="S37" s="50">
        <v>0</v>
      </c>
      <c r="T37" s="36">
        <v>0</v>
      </c>
      <c r="U37" s="36">
        <v>0</v>
      </c>
      <c r="V37" s="36">
        <v>0</v>
      </c>
      <c r="W37" s="36">
        <v>0</v>
      </c>
      <c r="X37" s="50">
        <v>0</v>
      </c>
      <c r="Y37" s="36">
        <v>0</v>
      </c>
      <c r="Z37" s="36">
        <v>0</v>
      </c>
      <c r="AA37" s="36">
        <v>0</v>
      </c>
      <c r="AB37" s="36">
        <v>0</v>
      </c>
      <c r="AC37" s="50">
        <v>2</v>
      </c>
      <c r="AD37" s="36">
        <v>2</v>
      </c>
      <c r="AE37" s="36">
        <v>2</v>
      </c>
      <c r="AF37" s="36">
        <v>2</v>
      </c>
      <c r="AG37" s="36">
        <v>0</v>
      </c>
      <c r="AH37" s="50">
        <v>0</v>
      </c>
      <c r="AI37" s="36">
        <v>0</v>
      </c>
      <c r="AJ37" s="36">
        <v>0</v>
      </c>
      <c r="AK37" s="36">
        <v>0</v>
      </c>
      <c r="AL37" s="36">
        <v>0</v>
      </c>
      <c r="AM37" s="50">
        <v>0</v>
      </c>
      <c r="AN37" s="36">
        <v>0</v>
      </c>
      <c r="AO37" s="36">
        <v>0</v>
      </c>
      <c r="AP37" s="36">
        <v>0</v>
      </c>
      <c r="AQ37" s="36">
        <v>0</v>
      </c>
      <c r="AR37" s="50">
        <v>0</v>
      </c>
      <c r="AS37" s="36">
        <v>0</v>
      </c>
      <c r="AT37" s="36">
        <v>0</v>
      </c>
      <c r="AU37" s="36">
        <v>0</v>
      </c>
      <c r="AV37" s="36">
        <v>0</v>
      </c>
      <c r="AW37">
        <v>0</v>
      </c>
      <c r="AX37">
        <v>0</v>
      </c>
      <c r="AZ37" s="46"/>
      <c r="BA37" s="46"/>
      <c r="BB37">
        <v>0</v>
      </c>
      <c r="BC37" s="40">
        <v>0</v>
      </c>
    </row>
    <row r="38" spans="1:55" x14ac:dyDescent="0.25">
      <c r="A38" s="36"/>
      <c r="B38" t="s">
        <v>119</v>
      </c>
      <c r="C38" s="36" t="str">
        <f>'Status Thresholds'!B38</f>
        <v>Akantor</v>
      </c>
      <c r="E38" s="36" t="str">
        <f t="shared" si="0"/>
        <v>Akantor</v>
      </c>
      <c r="F38" s="36" t="str">
        <f>IFERROR(VLOOKUP($E38,'Status Thresholds'!$E:$AS,1,FALSE),"")</f>
        <v/>
      </c>
      <c r="G38" t="s">
        <v>13</v>
      </c>
      <c r="H38" s="55" t="str">
        <f t="shared" si="1"/>
        <v>AkantorCrag 3</v>
      </c>
      <c r="I38" s="50">
        <v>0</v>
      </c>
      <c r="J38" s="36">
        <v>2</v>
      </c>
      <c r="K38" s="36">
        <v>4</v>
      </c>
      <c r="L38" s="36">
        <v>4</v>
      </c>
      <c r="M38" s="36">
        <v>0</v>
      </c>
      <c r="N38" s="50">
        <v>0</v>
      </c>
      <c r="O38" s="36">
        <v>0</v>
      </c>
      <c r="P38" s="36">
        <v>0</v>
      </c>
      <c r="Q38" s="36">
        <v>0</v>
      </c>
      <c r="R38" s="36">
        <v>0</v>
      </c>
      <c r="S38" s="50">
        <v>0</v>
      </c>
      <c r="T38" s="36">
        <v>0</v>
      </c>
      <c r="U38" s="36">
        <v>0</v>
      </c>
      <c r="V38" s="36">
        <v>0</v>
      </c>
      <c r="W38" s="36">
        <v>0</v>
      </c>
      <c r="X38" s="50">
        <v>0</v>
      </c>
      <c r="Y38" s="36">
        <v>0</v>
      </c>
      <c r="Z38" s="36">
        <v>0</v>
      </c>
      <c r="AA38" s="36">
        <v>0</v>
      </c>
      <c r="AB38" s="36">
        <v>0</v>
      </c>
      <c r="AC38" s="50">
        <v>1</v>
      </c>
      <c r="AD38" s="36">
        <v>4</v>
      </c>
      <c r="AE38" s="36">
        <v>4</v>
      </c>
      <c r="AF38" s="36">
        <v>4</v>
      </c>
      <c r="AG38" s="36">
        <v>0</v>
      </c>
      <c r="AH38" s="50">
        <v>0</v>
      </c>
      <c r="AI38" s="36">
        <v>0</v>
      </c>
      <c r="AJ38" s="36">
        <v>0</v>
      </c>
      <c r="AK38" s="36">
        <v>0</v>
      </c>
      <c r="AL38" s="36">
        <v>0</v>
      </c>
      <c r="AM38" s="50">
        <v>0</v>
      </c>
      <c r="AN38" s="36">
        <v>0</v>
      </c>
      <c r="AO38" s="36">
        <v>0</v>
      </c>
      <c r="AP38" s="36">
        <v>0</v>
      </c>
      <c r="AQ38" s="36">
        <v>0</v>
      </c>
      <c r="AR38" s="50">
        <v>0</v>
      </c>
      <c r="AS38" s="36">
        <v>0</v>
      </c>
      <c r="AT38" s="36">
        <v>0</v>
      </c>
      <c r="AU38" s="36">
        <v>0</v>
      </c>
      <c r="AV38" s="36">
        <v>0</v>
      </c>
      <c r="AW38">
        <v>0</v>
      </c>
      <c r="AX38">
        <v>0</v>
      </c>
      <c r="BB38" s="31"/>
      <c r="BC38" s="45">
        <f>BB38-SUM($BC$33:$BC$36)</f>
        <v>-27</v>
      </c>
    </row>
    <row r="39" spans="1:55" x14ac:dyDescent="0.25">
      <c r="A39" s="36"/>
      <c r="B39" t="s">
        <v>119</v>
      </c>
      <c r="C39" s="36" t="str">
        <f>'Status Thresholds'!B39</f>
        <v>Akantor</v>
      </c>
      <c r="E39" s="36" t="str">
        <f t="shared" si="0"/>
        <v>Akantor</v>
      </c>
      <c r="F39" s="36" t="str">
        <f>IFERROR(VLOOKUP($E39,'Status Thresholds'!$E:$AS,1,FALSE),"")</f>
        <v/>
      </c>
      <c r="G39" t="s">
        <v>12</v>
      </c>
      <c r="H39" s="55" t="str">
        <f t="shared" si="1"/>
        <v>AkantorCrag 2</v>
      </c>
      <c r="I39" s="50">
        <v>2</v>
      </c>
      <c r="J39" s="36">
        <v>4</v>
      </c>
      <c r="K39" s="36">
        <v>4</v>
      </c>
      <c r="L39" s="36">
        <v>4</v>
      </c>
      <c r="M39" s="36">
        <v>0</v>
      </c>
      <c r="N39" s="50">
        <v>0</v>
      </c>
      <c r="O39" s="36">
        <v>0</v>
      </c>
      <c r="P39" s="36">
        <v>0</v>
      </c>
      <c r="Q39" s="36">
        <v>0</v>
      </c>
      <c r="R39" s="36">
        <v>0</v>
      </c>
      <c r="S39" s="50">
        <v>0</v>
      </c>
      <c r="T39" s="36">
        <v>0</v>
      </c>
      <c r="U39" s="36">
        <v>0</v>
      </c>
      <c r="V39" s="36">
        <v>0</v>
      </c>
      <c r="W39" s="36">
        <v>0</v>
      </c>
      <c r="X39" s="50">
        <v>0</v>
      </c>
      <c r="Y39" s="36">
        <v>0</v>
      </c>
      <c r="Z39" s="36">
        <v>0</v>
      </c>
      <c r="AA39" s="36">
        <v>0</v>
      </c>
      <c r="AB39" s="36">
        <v>0</v>
      </c>
      <c r="AC39" s="50">
        <v>1</v>
      </c>
      <c r="AD39" s="36">
        <v>1</v>
      </c>
      <c r="AE39" s="36">
        <v>4</v>
      </c>
      <c r="AF39" s="36">
        <v>4</v>
      </c>
      <c r="AG39" s="36">
        <v>0</v>
      </c>
      <c r="AH39" s="50">
        <v>0</v>
      </c>
      <c r="AI39" s="36">
        <v>0</v>
      </c>
      <c r="AJ39" s="36">
        <v>0</v>
      </c>
      <c r="AK39" s="36">
        <v>0</v>
      </c>
      <c r="AL39" s="36">
        <v>0</v>
      </c>
      <c r="AM39" s="50">
        <v>0</v>
      </c>
      <c r="AN39" s="36">
        <v>0</v>
      </c>
      <c r="AO39" s="36">
        <v>0</v>
      </c>
      <c r="AP39" s="36">
        <v>0</v>
      </c>
      <c r="AQ39" s="36">
        <v>0</v>
      </c>
      <c r="AR39" s="50">
        <v>0</v>
      </c>
      <c r="AS39" s="36">
        <v>0</v>
      </c>
      <c r="AT39" s="36">
        <v>0</v>
      </c>
      <c r="AU39" s="36">
        <v>0</v>
      </c>
      <c r="AV39" s="36">
        <v>0</v>
      </c>
      <c r="AW39">
        <v>0</v>
      </c>
      <c r="AX39">
        <v>0</v>
      </c>
    </row>
    <row r="40" spans="1:55" x14ac:dyDescent="0.25">
      <c r="A40" s="36"/>
      <c r="B40" t="s">
        <v>119</v>
      </c>
      <c r="C40" s="36" t="str">
        <f>'Status Thresholds'!B40</f>
        <v>Akantor</v>
      </c>
      <c r="E40" s="36" t="str">
        <f t="shared" si="0"/>
        <v>Akantor</v>
      </c>
      <c r="F40" s="36" t="str">
        <f>IFERROR(VLOOKUP($E40,'Status Thresholds'!$E:$AS,1,FALSE),"")</f>
        <v/>
      </c>
      <c r="G40" t="s">
        <v>11</v>
      </c>
      <c r="H40" s="55" t="str">
        <f t="shared" si="1"/>
        <v>AkantorCrag 1</v>
      </c>
      <c r="I40" s="50">
        <v>8</v>
      </c>
      <c r="J40" s="36">
        <v>7</v>
      </c>
      <c r="K40" s="36">
        <v>8</v>
      </c>
      <c r="L40" s="36">
        <v>8</v>
      </c>
      <c r="M40" s="36">
        <v>0</v>
      </c>
      <c r="N40" s="50">
        <v>0</v>
      </c>
      <c r="O40" s="36">
        <v>0</v>
      </c>
      <c r="P40" s="36">
        <v>0</v>
      </c>
      <c r="Q40" s="36">
        <v>0</v>
      </c>
      <c r="R40" s="36">
        <v>0</v>
      </c>
      <c r="S40" s="50">
        <v>0</v>
      </c>
      <c r="T40" s="36">
        <v>0</v>
      </c>
      <c r="U40" s="36">
        <v>0</v>
      </c>
      <c r="V40" s="36">
        <v>0</v>
      </c>
      <c r="W40" s="36">
        <v>0</v>
      </c>
      <c r="X40" s="50">
        <v>0</v>
      </c>
      <c r="Y40" s="36">
        <v>0</v>
      </c>
      <c r="Z40" s="36">
        <v>0</v>
      </c>
      <c r="AA40" s="36">
        <v>0</v>
      </c>
      <c r="AB40" s="36">
        <v>0</v>
      </c>
      <c r="AC40" s="50">
        <v>3</v>
      </c>
      <c r="AD40" s="36">
        <v>7</v>
      </c>
      <c r="AE40" s="36">
        <v>8</v>
      </c>
      <c r="AF40" s="36">
        <v>8</v>
      </c>
      <c r="AG40" s="36">
        <v>0</v>
      </c>
      <c r="AH40" s="50">
        <v>0</v>
      </c>
      <c r="AI40" s="36">
        <v>0</v>
      </c>
      <c r="AJ40" s="36">
        <v>0</v>
      </c>
      <c r="AK40" s="36">
        <v>0</v>
      </c>
      <c r="AL40" s="36">
        <v>0</v>
      </c>
      <c r="AM40" s="50">
        <v>0</v>
      </c>
      <c r="AN40" s="36">
        <v>0</v>
      </c>
      <c r="AO40" s="36">
        <v>0</v>
      </c>
      <c r="AP40" s="36">
        <v>0</v>
      </c>
      <c r="AQ40" s="36">
        <v>0</v>
      </c>
      <c r="AR40" s="50">
        <v>0</v>
      </c>
      <c r="AS40" s="36">
        <v>0</v>
      </c>
      <c r="AT40" s="36">
        <v>0</v>
      </c>
      <c r="AU40" s="36">
        <v>0</v>
      </c>
      <c r="AV40" s="36">
        <v>1</v>
      </c>
      <c r="AW40">
        <v>0</v>
      </c>
      <c r="AX40">
        <v>0</v>
      </c>
    </row>
    <row r="41" spans="1:55" x14ac:dyDescent="0.25">
      <c r="A41" s="36"/>
      <c r="B41" t="s">
        <v>121</v>
      </c>
      <c r="C41" s="36" t="str">
        <f>'Status Thresholds'!B41</f>
        <v>Alatron</v>
      </c>
      <c r="D41" t="s">
        <v>14</v>
      </c>
      <c r="E41" s="36" t="str">
        <f t="shared" si="0"/>
        <v>AlatronKO</v>
      </c>
      <c r="F41" s="36" t="str">
        <f>IFERROR(VLOOKUP($E41,'Status Thresholds'!$E:$AS,1,FALSE),"")</f>
        <v>AlatronKO</v>
      </c>
      <c r="H41" s="55" t="str">
        <f t="shared" si="1"/>
        <v>AlatronKO</v>
      </c>
      <c r="I41" s="50">
        <f>VLOOKUP($F41,'Status Thresholds'!$E:$AS,2,FALSE)</f>
        <v>300</v>
      </c>
      <c r="J41" s="36">
        <f>VLOOKUP($F41,'Status Thresholds'!$E:$AS,3,FALSE)</f>
        <v>525</v>
      </c>
      <c r="K41" s="36">
        <f>VLOOKUP($F41,'Status Thresholds'!$E:$AS,4,FALSE)</f>
        <v>750</v>
      </c>
      <c r="L41" s="36">
        <f>VLOOKUP($F41,'Status Thresholds'!$E:$AS,5,FALSE)</f>
        <v>975</v>
      </c>
      <c r="M41" s="36">
        <f>VLOOKUP($F41,'Status Thresholds'!$E:$AS,6,FALSE)</f>
        <v>0</v>
      </c>
      <c r="N41" s="50">
        <f>VLOOKUP($F41,'Status Thresholds'!$E:$AS,7,FALSE)</f>
        <v>0</v>
      </c>
      <c r="O41" s="36">
        <f>VLOOKUP($F41,'Status Thresholds'!$E:$AS,8,FALSE)</f>
        <v>0</v>
      </c>
      <c r="P41" s="36">
        <f>VLOOKUP($F41,'Status Thresholds'!$E:$AS,9,FALSE)</f>
        <v>0</v>
      </c>
      <c r="Q41" s="36">
        <f>VLOOKUP($F41,'Status Thresholds'!$E:$AS,10,FALSE)</f>
        <v>0</v>
      </c>
      <c r="R41" s="36">
        <f>VLOOKUP($F41,'Status Thresholds'!$E:$AS,11,FALSE)</f>
        <v>0</v>
      </c>
      <c r="S41" s="50">
        <f>VLOOKUP($F41,'Status Thresholds'!$E:$AS,12,FALSE)</f>
        <v>0</v>
      </c>
      <c r="T41" s="36">
        <f>VLOOKUP($F41,'Status Thresholds'!$E:$AS,13,FALSE)</f>
        <v>0</v>
      </c>
      <c r="U41" s="36">
        <f>VLOOKUP($F41,'Status Thresholds'!$E:$AS,14,FALSE)</f>
        <v>0</v>
      </c>
      <c r="V41" s="36">
        <f>VLOOKUP($F41,'Status Thresholds'!$E:$AS,15,FALSE)</f>
        <v>0</v>
      </c>
      <c r="W41" s="36">
        <f>VLOOKUP($F41,'Status Thresholds'!$E:$AS,16,FALSE)</f>
        <v>0</v>
      </c>
      <c r="X41" s="50">
        <f>VLOOKUP($F41,'Status Thresholds'!$E:$AS,17,FALSE)</f>
        <v>0</v>
      </c>
      <c r="Y41" s="36">
        <f>VLOOKUP($F41,'Status Thresholds'!$E:$AS,18,FALSE)</f>
        <v>0</v>
      </c>
      <c r="Z41" s="36">
        <f>VLOOKUP($F41,'Status Thresholds'!$E:$AS,19,FALSE)</f>
        <v>0</v>
      </c>
      <c r="AA41" s="36">
        <f>VLOOKUP($F41,'Status Thresholds'!$E:$AS,20,FALSE)</f>
        <v>0</v>
      </c>
      <c r="AB41" s="36">
        <f>VLOOKUP($F41,'Status Thresholds'!$E:$AS,21,FALSE)</f>
        <v>0</v>
      </c>
      <c r="AC41" s="50">
        <f>VLOOKUP($F41,'Status Thresholds'!$E:$AS,22,FALSE)</f>
        <v>340</v>
      </c>
      <c r="AD41" s="36">
        <f>VLOOKUP($F41,'Status Thresholds'!$E:$AS,23,FALSE)</f>
        <v>595</v>
      </c>
      <c r="AE41" s="36">
        <f>VLOOKUP($F41,'Status Thresholds'!$E:$AS,24,FALSE)</f>
        <v>850</v>
      </c>
      <c r="AF41" s="36">
        <f>VLOOKUP($F41,'Status Thresholds'!$E:$AS,25,FALSE)</f>
        <v>1105</v>
      </c>
      <c r="AG41" s="36">
        <f>VLOOKUP($F41,'Status Thresholds'!$E:$AS,26,FALSE)</f>
        <v>0</v>
      </c>
      <c r="AH41" s="50">
        <f>VLOOKUP($F41,'Status Thresholds'!$E:$AS,27,FALSE)</f>
        <v>0</v>
      </c>
      <c r="AI41" s="36">
        <f>VLOOKUP($F41,'Status Thresholds'!$E:$AS,28,FALSE)</f>
        <v>0</v>
      </c>
      <c r="AJ41" s="36">
        <f>VLOOKUP($F41,'Status Thresholds'!$E:$AS,29,FALSE)</f>
        <v>0</v>
      </c>
      <c r="AK41" s="36">
        <f>VLOOKUP($F41,'Status Thresholds'!$E:$AS,30,FALSE)</f>
        <v>0</v>
      </c>
      <c r="AL41" s="36">
        <f>VLOOKUP($F41,'Status Thresholds'!$E:$AS,31,FALSE)</f>
        <v>0</v>
      </c>
      <c r="AM41" s="50">
        <f>VLOOKUP($F41,'Status Thresholds'!$E:$AS,32,FALSE)</f>
        <v>0</v>
      </c>
      <c r="AN41" s="36">
        <f>VLOOKUP($F41,'Status Thresholds'!$E:$AS,33,FALSE)</f>
        <v>0</v>
      </c>
      <c r="AO41" s="36">
        <f>VLOOKUP($F41,'Status Thresholds'!$E:$AS,34,FALSE)</f>
        <v>0</v>
      </c>
      <c r="AP41" s="36">
        <f>VLOOKUP($F41,'Status Thresholds'!$E:$AS,35,FALSE)</f>
        <v>0</v>
      </c>
      <c r="AQ41" s="36">
        <f>VLOOKUP($F41,'Status Thresholds'!$E:$AS,36,FALSE)</f>
        <v>0</v>
      </c>
      <c r="AR41" s="50">
        <f>VLOOKUP($F41,'Status Thresholds'!$E:$AS,37,FALSE)</f>
        <v>0</v>
      </c>
      <c r="AS41" s="36">
        <f>VLOOKUP($F41,'Status Thresholds'!$E:$AS,38,FALSE)</f>
        <v>0</v>
      </c>
      <c r="AT41" s="36">
        <f>VLOOKUP($F41,'Status Thresholds'!$E:$AS,39,FALSE)</f>
        <v>0</v>
      </c>
      <c r="AU41" s="36">
        <f>VLOOKUP($F41,'Status Thresholds'!$E:$AS,40,FALSE)</f>
        <v>0</v>
      </c>
      <c r="AV41" s="36">
        <f>VLOOKUP($F41,'Status Thresholds'!$E:$AS,41,FALSE)</f>
        <v>10</v>
      </c>
      <c r="AW41">
        <v>0</v>
      </c>
      <c r="AX41">
        <v>0</v>
      </c>
    </row>
    <row r="42" spans="1:55" x14ac:dyDescent="0.25">
      <c r="A42" s="36"/>
      <c r="B42" t="s">
        <v>120</v>
      </c>
      <c r="C42" s="36" t="str">
        <f>'Status Thresholds'!B42</f>
        <v>Alatron</v>
      </c>
      <c r="E42" s="36" t="str">
        <f t="shared" si="0"/>
        <v>Alatron</v>
      </c>
      <c r="F42" s="36" t="str">
        <f>IFERROR(VLOOKUP($E42,'Status Thresholds'!$E:$AS,1,FALSE),"")</f>
        <v/>
      </c>
      <c r="G42" t="s">
        <v>21</v>
      </c>
      <c r="H42" s="55" t="str">
        <f t="shared" si="1"/>
        <v>AlatronTriblast</v>
      </c>
      <c r="I42" s="50">
        <v>2</v>
      </c>
      <c r="J42" s="36">
        <v>1</v>
      </c>
      <c r="K42" s="36">
        <v>2</v>
      </c>
      <c r="L42" s="36">
        <v>2</v>
      </c>
      <c r="M42" s="36">
        <v>0</v>
      </c>
      <c r="N42" s="50">
        <v>0</v>
      </c>
      <c r="O42" s="36">
        <v>0</v>
      </c>
      <c r="P42" s="36">
        <v>0</v>
      </c>
      <c r="Q42" s="36">
        <v>0</v>
      </c>
      <c r="R42" s="36">
        <v>0</v>
      </c>
      <c r="S42" s="50">
        <v>0</v>
      </c>
      <c r="T42" s="36">
        <v>0</v>
      </c>
      <c r="U42" s="36">
        <v>0</v>
      </c>
      <c r="V42" s="36">
        <v>0</v>
      </c>
      <c r="W42" s="36">
        <v>0</v>
      </c>
      <c r="X42" s="50">
        <v>0</v>
      </c>
      <c r="Y42" s="36">
        <v>0</v>
      </c>
      <c r="Z42" s="36">
        <v>0</v>
      </c>
      <c r="AA42" s="36">
        <v>0</v>
      </c>
      <c r="AB42" s="36">
        <v>0</v>
      </c>
      <c r="AC42" s="50">
        <v>2</v>
      </c>
      <c r="AD42" s="36">
        <v>2</v>
      </c>
      <c r="AE42" s="36">
        <v>2</v>
      </c>
      <c r="AF42" s="36">
        <v>2</v>
      </c>
      <c r="AG42" s="36">
        <v>0</v>
      </c>
      <c r="AH42" s="50">
        <v>0</v>
      </c>
      <c r="AI42" s="36">
        <v>0</v>
      </c>
      <c r="AJ42" s="36">
        <v>0</v>
      </c>
      <c r="AK42" s="36">
        <v>0</v>
      </c>
      <c r="AL42" s="36">
        <v>0</v>
      </c>
      <c r="AM42" s="50">
        <v>0</v>
      </c>
      <c r="AN42" s="36">
        <v>0</v>
      </c>
      <c r="AO42" s="36">
        <v>0</v>
      </c>
      <c r="AP42" s="36">
        <v>0</v>
      </c>
      <c r="AQ42" s="36">
        <v>0</v>
      </c>
      <c r="AR42" s="50">
        <v>0</v>
      </c>
      <c r="AS42" s="36">
        <v>0</v>
      </c>
      <c r="AT42" s="36">
        <v>0</v>
      </c>
      <c r="AU42" s="36">
        <v>0</v>
      </c>
      <c r="AV42" s="36">
        <v>0</v>
      </c>
      <c r="AW42">
        <v>0</v>
      </c>
    </row>
    <row r="43" spans="1:55" x14ac:dyDescent="0.25">
      <c r="A43" s="36"/>
      <c r="B43" t="s">
        <v>120</v>
      </c>
      <c r="C43" s="36" t="str">
        <f>'Status Thresholds'!B43</f>
        <v>Alatron</v>
      </c>
      <c r="E43" s="36" t="str">
        <f t="shared" si="0"/>
        <v>Alatron</v>
      </c>
      <c r="F43" s="36" t="str">
        <f>IFERROR(VLOOKUP($E43,'Status Thresholds'!$E:$AS,1,FALSE),"")</f>
        <v/>
      </c>
      <c r="G43" t="s">
        <v>13</v>
      </c>
      <c r="H43" s="55" t="str">
        <f t="shared" si="1"/>
        <v>AlatronCrag 3</v>
      </c>
      <c r="I43" s="50">
        <v>3</v>
      </c>
      <c r="J43" s="36">
        <v>4</v>
      </c>
      <c r="K43" s="36">
        <v>4</v>
      </c>
      <c r="L43" s="36">
        <v>4</v>
      </c>
      <c r="M43" s="36">
        <v>0</v>
      </c>
      <c r="N43" s="50">
        <v>0</v>
      </c>
      <c r="O43" s="36">
        <v>0</v>
      </c>
      <c r="P43" s="36">
        <v>0</v>
      </c>
      <c r="Q43" s="36">
        <v>0</v>
      </c>
      <c r="R43" s="36">
        <v>0</v>
      </c>
      <c r="S43" s="50">
        <v>0</v>
      </c>
      <c r="T43" s="36">
        <v>0</v>
      </c>
      <c r="U43" s="36">
        <v>0</v>
      </c>
      <c r="V43" s="36">
        <v>0</v>
      </c>
      <c r="W43" s="36">
        <v>0</v>
      </c>
      <c r="X43" s="50">
        <v>0</v>
      </c>
      <c r="Y43" s="36">
        <v>0</v>
      </c>
      <c r="Z43" s="36">
        <v>0</v>
      </c>
      <c r="AA43" s="36">
        <v>0</v>
      </c>
      <c r="AB43" s="36">
        <v>0</v>
      </c>
      <c r="AC43" s="50">
        <v>4</v>
      </c>
      <c r="AD43" s="36">
        <v>4</v>
      </c>
      <c r="AE43" s="36">
        <v>4</v>
      </c>
      <c r="AF43" s="36">
        <v>4</v>
      </c>
      <c r="AG43" s="36">
        <v>0</v>
      </c>
      <c r="AH43" s="50">
        <v>0</v>
      </c>
      <c r="AI43" s="36">
        <v>0</v>
      </c>
      <c r="AJ43" s="36">
        <v>0</v>
      </c>
      <c r="AK43" s="36">
        <v>0</v>
      </c>
      <c r="AL43" s="36">
        <v>0</v>
      </c>
      <c r="AM43" s="50">
        <v>0</v>
      </c>
      <c r="AN43" s="36">
        <v>0</v>
      </c>
      <c r="AO43" s="36">
        <v>0</v>
      </c>
      <c r="AP43" s="36">
        <v>0</v>
      </c>
      <c r="AQ43" s="36">
        <v>0</v>
      </c>
      <c r="AR43" s="50">
        <v>0</v>
      </c>
      <c r="AS43" s="36">
        <v>0</v>
      </c>
      <c r="AT43" s="36">
        <v>0</v>
      </c>
      <c r="AU43" s="36">
        <v>0</v>
      </c>
      <c r="AV43" s="36">
        <v>0</v>
      </c>
      <c r="AW43">
        <v>0</v>
      </c>
      <c r="AX43">
        <v>0</v>
      </c>
    </row>
    <row r="44" spans="1:55" x14ac:dyDescent="0.25">
      <c r="A44" s="36"/>
      <c r="B44" t="s">
        <v>120</v>
      </c>
      <c r="C44" s="36" t="str">
        <f>'Status Thresholds'!B44</f>
        <v>Alatron</v>
      </c>
      <c r="E44" s="36" t="str">
        <f t="shared" si="0"/>
        <v>Alatron</v>
      </c>
      <c r="F44" s="36" t="str">
        <f>IFERROR(VLOOKUP($E44,'Status Thresholds'!$E:$AS,1,FALSE),"")</f>
        <v/>
      </c>
      <c r="G44" t="s">
        <v>12</v>
      </c>
      <c r="H44" s="55" t="str">
        <f t="shared" si="1"/>
        <v>AlatronCrag 2</v>
      </c>
      <c r="I44" s="50">
        <v>1</v>
      </c>
      <c r="J44" s="36">
        <v>3</v>
      </c>
      <c r="K44" s="36">
        <v>4</v>
      </c>
      <c r="L44" s="36">
        <v>4</v>
      </c>
      <c r="M44" s="36">
        <v>0</v>
      </c>
      <c r="N44" s="50">
        <v>0</v>
      </c>
      <c r="O44" s="36">
        <v>0</v>
      </c>
      <c r="P44" s="36">
        <v>0</v>
      </c>
      <c r="Q44" s="36">
        <v>0</v>
      </c>
      <c r="R44" s="36">
        <v>0</v>
      </c>
      <c r="S44" s="50">
        <v>0</v>
      </c>
      <c r="T44" s="36">
        <v>0</v>
      </c>
      <c r="U44" s="36">
        <v>0</v>
      </c>
      <c r="V44" s="36">
        <v>0</v>
      </c>
      <c r="W44" s="36">
        <v>0</v>
      </c>
      <c r="X44" s="50">
        <v>0</v>
      </c>
      <c r="Y44" s="36">
        <v>0</v>
      </c>
      <c r="Z44" s="36">
        <v>0</v>
      </c>
      <c r="AA44" s="36">
        <v>0</v>
      </c>
      <c r="AB44" s="36">
        <v>0</v>
      </c>
      <c r="AC44" s="50">
        <v>1</v>
      </c>
      <c r="AD44" s="36">
        <v>3</v>
      </c>
      <c r="AE44" s="36">
        <v>4</v>
      </c>
      <c r="AF44" s="36">
        <v>4</v>
      </c>
      <c r="AG44" s="36">
        <v>0</v>
      </c>
      <c r="AH44" s="50">
        <v>0</v>
      </c>
      <c r="AI44" s="36">
        <v>0</v>
      </c>
      <c r="AJ44" s="36">
        <v>0</v>
      </c>
      <c r="AK44" s="36">
        <v>0</v>
      </c>
      <c r="AL44" s="36">
        <v>0</v>
      </c>
      <c r="AM44" s="50">
        <v>0</v>
      </c>
      <c r="AN44" s="36">
        <v>0</v>
      </c>
      <c r="AO44" s="36">
        <v>0</v>
      </c>
      <c r="AP44" s="36">
        <v>0</v>
      </c>
      <c r="AQ44" s="36">
        <v>0</v>
      </c>
      <c r="AR44" s="50">
        <v>0</v>
      </c>
      <c r="AS44" s="36">
        <v>0</v>
      </c>
      <c r="AT44" s="36">
        <v>0</v>
      </c>
      <c r="AU44" s="36">
        <v>0</v>
      </c>
      <c r="AV44" s="36">
        <v>0</v>
      </c>
      <c r="AW44">
        <v>0</v>
      </c>
      <c r="AX44">
        <v>0</v>
      </c>
    </row>
    <row r="45" spans="1:55" x14ac:dyDescent="0.25">
      <c r="A45" s="36"/>
      <c r="B45" t="s">
        <v>120</v>
      </c>
      <c r="C45" s="36" t="str">
        <f>'Status Thresholds'!B45</f>
        <v>Alatron</v>
      </c>
      <c r="E45" s="36" t="str">
        <f t="shared" si="0"/>
        <v>Alatron</v>
      </c>
      <c r="F45" s="36" t="str">
        <f>IFERROR(VLOOKUP($E45,'Status Thresholds'!$E:$AS,1,FALSE),"")</f>
        <v/>
      </c>
      <c r="G45" t="s">
        <v>11</v>
      </c>
      <c r="H45" s="55" t="str">
        <f t="shared" si="1"/>
        <v>AlatronCrag 1</v>
      </c>
      <c r="I45" s="50">
        <v>0</v>
      </c>
      <c r="J45" s="36">
        <v>8</v>
      </c>
      <c r="K45" s="36">
        <v>8</v>
      </c>
      <c r="L45" s="36">
        <v>8</v>
      </c>
      <c r="M45" s="36">
        <v>0</v>
      </c>
      <c r="N45" s="50">
        <v>0</v>
      </c>
      <c r="O45" s="36">
        <v>0</v>
      </c>
      <c r="P45" s="36">
        <v>0</v>
      </c>
      <c r="Q45" s="36">
        <v>0</v>
      </c>
      <c r="R45" s="36">
        <v>0</v>
      </c>
      <c r="S45" s="50">
        <v>0</v>
      </c>
      <c r="T45" s="36">
        <v>0</v>
      </c>
      <c r="U45" s="36">
        <v>0</v>
      </c>
      <c r="V45" s="36">
        <v>0</v>
      </c>
      <c r="W45" s="36">
        <v>0</v>
      </c>
      <c r="X45" s="50">
        <v>0</v>
      </c>
      <c r="Y45" s="36">
        <v>0</v>
      </c>
      <c r="Z45" s="36">
        <v>0</v>
      </c>
      <c r="AA45" s="36">
        <v>0</v>
      </c>
      <c r="AB45" s="36">
        <v>0</v>
      </c>
      <c r="AC45" s="50">
        <v>0</v>
      </c>
      <c r="AD45" s="36">
        <v>8</v>
      </c>
      <c r="AE45" s="36">
        <v>8</v>
      </c>
      <c r="AF45" s="36">
        <v>8</v>
      </c>
      <c r="AG45" s="36">
        <v>0</v>
      </c>
      <c r="AH45" s="50">
        <v>0</v>
      </c>
      <c r="AI45" s="36">
        <v>0</v>
      </c>
      <c r="AJ45" s="36">
        <v>0</v>
      </c>
      <c r="AK45" s="36">
        <v>0</v>
      </c>
      <c r="AL45" s="36">
        <v>0</v>
      </c>
      <c r="AM45" s="50">
        <v>0</v>
      </c>
      <c r="AN45" s="36">
        <v>0</v>
      </c>
      <c r="AO45" s="36">
        <v>0</v>
      </c>
      <c r="AP45" s="36">
        <v>0</v>
      </c>
      <c r="AQ45" s="36">
        <v>0</v>
      </c>
      <c r="AR45" s="50">
        <v>0</v>
      </c>
      <c r="AS45" s="36">
        <v>0</v>
      </c>
      <c r="AT45" s="36">
        <v>0</v>
      </c>
      <c r="AU45" s="36">
        <v>0</v>
      </c>
      <c r="AV45" s="36">
        <v>1</v>
      </c>
      <c r="AW45">
        <v>0</v>
      </c>
      <c r="AX45">
        <v>0</v>
      </c>
    </row>
    <row r="46" spans="1:55" x14ac:dyDescent="0.25">
      <c r="A46" s="36"/>
      <c r="B46" t="s">
        <v>119</v>
      </c>
      <c r="C46" s="36" t="str">
        <f>'Status Thresholds'!B46</f>
        <v>Alatron</v>
      </c>
      <c r="E46" s="36" t="str">
        <f t="shared" si="0"/>
        <v>Alatron</v>
      </c>
      <c r="F46" s="36" t="str">
        <f>IFERROR(VLOOKUP($E46,'Status Thresholds'!$E:$AS,1,FALSE),"")</f>
        <v/>
      </c>
      <c r="G46" t="s">
        <v>21</v>
      </c>
      <c r="H46" s="55" t="str">
        <f t="shared" si="1"/>
        <v>AlatronTriblast</v>
      </c>
      <c r="I46" s="50">
        <v>1</v>
      </c>
      <c r="J46" s="36">
        <v>2</v>
      </c>
      <c r="K46" s="36">
        <v>2</v>
      </c>
      <c r="L46" s="36">
        <v>2</v>
      </c>
      <c r="M46" s="36">
        <v>0</v>
      </c>
      <c r="N46" s="50">
        <v>0</v>
      </c>
      <c r="O46" s="36">
        <v>0</v>
      </c>
      <c r="P46" s="36">
        <v>0</v>
      </c>
      <c r="Q46" s="36">
        <v>0</v>
      </c>
      <c r="R46" s="36">
        <v>0</v>
      </c>
      <c r="S46" s="50">
        <v>0</v>
      </c>
      <c r="T46" s="36">
        <v>0</v>
      </c>
      <c r="U46" s="36">
        <v>0</v>
      </c>
      <c r="V46" s="36">
        <v>0</v>
      </c>
      <c r="W46" s="36">
        <v>0</v>
      </c>
      <c r="X46" s="50">
        <v>0</v>
      </c>
      <c r="Y46" s="36">
        <v>0</v>
      </c>
      <c r="Z46" s="36">
        <v>0</v>
      </c>
      <c r="AA46" s="36">
        <v>0</v>
      </c>
      <c r="AB46" s="36">
        <v>0</v>
      </c>
      <c r="AC46" s="50">
        <v>2</v>
      </c>
      <c r="AD46" s="36">
        <v>2</v>
      </c>
      <c r="AE46" s="36">
        <v>2</v>
      </c>
      <c r="AF46" s="36">
        <v>2</v>
      </c>
      <c r="AG46" s="36">
        <v>0</v>
      </c>
      <c r="AH46" s="50">
        <v>0</v>
      </c>
      <c r="AI46" s="36">
        <v>0</v>
      </c>
      <c r="AJ46" s="36">
        <v>0</v>
      </c>
      <c r="AK46" s="36">
        <v>0</v>
      </c>
      <c r="AL46" s="36">
        <v>0</v>
      </c>
      <c r="AM46" s="50">
        <v>0</v>
      </c>
      <c r="AN46" s="36">
        <v>0</v>
      </c>
      <c r="AO46" s="36">
        <v>0</v>
      </c>
      <c r="AP46" s="36">
        <v>0</v>
      </c>
      <c r="AQ46" s="36">
        <v>0</v>
      </c>
      <c r="AR46" s="50">
        <v>0</v>
      </c>
      <c r="AS46" s="36">
        <v>0</v>
      </c>
      <c r="AT46" s="36">
        <v>0</v>
      </c>
      <c r="AU46" s="36">
        <v>0</v>
      </c>
      <c r="AV46" s="36">
        <v>0</v>
      </c>
      <c r="AW46">
        <v>0</v>
      </c>
      <c r="AX46">
        <v>0</v>
      </c>
    </row>
    <row r="47" spans="1:55" x14ac:dyDescent="0.25">
      <c r="A47" s="36"/>
      <c r="B47" t="s">
        <v>119</v>
      </c>
      <c r="C47" s="36" t="str">
        <f>'Status Thresholds'!B47</f>
        <v>Alatron</v>
      </c>
      <c r="E47" s="36" t="str">
        <f t="shared" si="0"/>
        <v>Alatron</v>
      </c>
      <c r="F47" s="36" t="str">
        <f>IFERROR(VLOOKUP($E47,'Status Thresholds'!$E:$AS,1,FALSE),"")</f>
        <v/>
      </c>
      <c r="G47" t="s">
        <v>13</v>
      </c>
      <c r="H47" s="55" t="str">
        <f t="shared" si="1"/>
        <v>AlatronCrag 3</v>
      </c>
      <c r="I47" s="50">
        <v>3</v>
      </c>
      <c r="J47" s="36">
        <v>4</v>
      </c>
      <c r="K47" s="36">
        <v>4</v>
      </c>
      <c r="L47" s="36">
        <v>4</v>
      </c>
      <c r="M47" s="36">
        <v>0</v>
      </c>
      <c r="N47" s="50">
        <v>0</v>
      </c>
      <c r="O47" s="36">
        <v>0</v>
      </c>
      <c r="P47" s="36">
        <v>0</v>
      </c>
      <c r="Q47" s="36">
        <v>0</v>
      </c>
      <c r="R47" s="36">
        <v>0</v>
      </c>
      <c r="S47" s="50">
        <v>0</v>
      </c>
      <c r="T47" s="36">
        <v>0</v>
      </c>
      <c r="U47" s="36">
        <v>0</v>
      </c>
      <c r="V47" s="36">
        <v>0</v>
      </c>
      <c r="W47" s="36">
        <v>0</v>
      </c>
      <c r="X47" s="50">
        <v>0</v>
      </c>
      <c r="Y47" s="36">
        <v>0</v>
      </c>
      <c r="Z47" s="36">
        <v>0</v>
      </c>
      <c r="AA47" s="36">
        <v>0</v>
      </c>
      <c r="AB47" s="36">
        <v>0</v>
      </c>
      <c r="AC47" s="50">
        <v>1</v>
      </c>
      <c r="AD47" s="36">
        <v>2</v>
      </c>
      <c r="AE47" s="36">
        <v>4</v>
      </c>
      <c r="AF47" s="36">
        <v>4</v>
      </c>
      <c r="AG47" s="36">
        <v>0</v>
      </c>
      <c r="AH47" s="50">
        <v>0</v>
      </c>
      <c r="AI47" s="36">
        <v>0</v>
      </c>
      <c r="AJ47" s="36">
        <v>0</v>
      </c>
      <c r="AK47" s="36">
        <v>0</v>
      </c>
      <c r="AL47" s="36">
        <v>0</v>
      </c>
      <c r="AM47" s="50">
        <v>0</v>
      </c>
      <c r="AN47" s="36">
        <v>0</v>
      </c>
      <c r="AO47" s="36">
        <v>0</v>
      </c>
      <c r="AP47" s="36">
        <v>0</v>
      </c>
      <c r="AQ47" s="36">
        <v>0</v>
      </c>
      <c r="AR47" s="50">
        <v>0</v>
      </c>
      <c r="AS47" s="36">
        <v>0</v>
      </c>
      <c r="AT47" s="36">
        <v>0</v>
      </c>
      <c r="AU47" s="36">
        <v>0</v>
      </c>
      <c r="AV47" s="36">
        <v>0</v>
      </c>
      <c r="AW47">
        <v>0</v>
      </c>
      <c r="AX47">
        <v>0</v>
      </c>
    </row>
    <row r="48" spans="1:55" x14ac:dyDescent="0.25">
      <c r="A48" s="36"/>
      <c r="B48" t="s">
        <v>119</v>
      </c>
      <c r="C48" s="36" t="str">
        <f>'Status Thresholds'!B48</f>
        <v>Alatron</v>
      </c>
      <c r="E48" s="36" t="str">
        <f t="shared" si="0"/>
        <v>Alatron</v>
      </c>
      <c r="F48" s="36" t="str">
        <f>IFERROR(VLOOKUP($E48,'Status Thresholds'!$E:$AS,1,FALSE),"")</f>
        <v/>
      </c>
      <c r="G48" t="s">
        <v>12</v>
      </c>
      <c r="H48" s="55" t="str">
        <f t="shared" si="1"/>
        <v>AlatronCrag 2</v>
      </c>
      <c r="I48" s="50">
        <v>1</v>
      </c>
      <c r="J48" s="36">
        <v>0</v>
      </c>
      <c r="K48" s="36">
        <v>4</v>
      </c>
      <c r="L48" s="36">
        <v>4</v>
      </c>
      <c r="M48" s="36">
        <v>0</v>
      </c>
      <c r="N48" s="50">
        <v>0</v>
      </c>
      <c r="O48" s="36">
        <v>0</v>
      </c>
      <c r="P48" s="36">
        <v>0</v>
      </c>
      <c r="Q48" s="36">
        <v>0</v>
      </c>
      <c r="R48" s="36">
        <v>0</v>
      </c>
      <c r="S48" s="50">
        <v>0</v>
      </c>
      <c r="T48" s="36">
        <v>0</v>
      </c>
      <c r="U48" s="36">
        <v>0</v>
      </c>
      <c r="V48" s="36">
        <v>0</v>
      </c>
      <c r="W48" s="36">
        <v>0</v>
      </c>
      <c r="X48" s="50">
        <v>0</v>
      </c>
      <c r="Y48" s="36">
        <v>0</v>
      </c>
      <c r="Z48" s="36">
        <v>0</v>
      </c>
      <c r="AA48" s="36">
        <v>0</v>
      </c>
      <c r="AB48" s="36">
        <v>0</v>
      </c>
      <c r="AC48" s="50">
        <v>0</v>
      </c>
      <c r="AD48" s="36">
        <v>4</v>
      </c>
      <c r="AE48" s="36">
        <v>4</v>
      </c>
      <c r="AF48" s="36">
        <v>4</v>
      </c>
      <c r="AG48" s="36">
        <v>0</v>
      </c>
      <c r="AH48" s="50">
        <v>0</v>
      </c>
      <c r="AI48" s="36">
        <v>0</v>
      </c>
      <c r="AJ48" s="36">
        <v>0</v>
      </c>
      <c r="AK48" s="36">
        <v>0</v>
      </c>
      <c r="AL48" s="36">
        <v>0</v>
      </c>
      <c r="AM48" s="50">
        <v>0</v>
      </c>
      <c r="AN48" s="36">
        <v>0</v>
      </c>
      <c r="AO48" s="36">
        <v>0</v>
      </c>
      <c r="AP48" s="36">
        <v>0</v>
      </c>
      <c r="AQ48" s="36">
        <v>0</v>
      </c>
      <c r="AR48" s="50">
        <v>0</v>
      </c>
      <c r="AS48" s="36">
        <v>0</v>
      </c>
      <c r="AT48" s="36">
        <v>0</v>
      </c>
      <c r="AU48" s="36">
        <v>0</v>
      </c>
      <c r="AV48" s="36">
        <v>0</v>
      </c>
      <c r="AW48">
        <v>0</v>
      </c>
      <c r="AX48">
        <v>0</v>
      </c>
    </row>
    <row r="49" spans="1:50" x14ac:dyDescent="0.25">
      <c r="A49" s="36"/>
      <c r="B49" t="s">
        <v>119</v>
      </c>
      <c r="C49" s="36" t="str">
        <f>'Status Thresholds'!B49</f>
        <v>Alatron</v>
      </c>
      <c r="E49" s="36" t="str">
        <f t="shared" si="0"/>
        <v>Alatron</v>
      </c>
      <c r="F49" s="36" t="str">
        <f>IFERROR(VLOOKUP($E49,'Status Thresholds'!$E:$AS,1,FALSE),"")</f>
        <v/>
      </c>
      <c r="G49" t="s">
        <v>11</v>
      </c>
      <c r="H49" s="55" t="str">
        <f t="shared" si="1"/>
        <v>AlatronCrag 1</v>
      </c>
      <c r="I49" s="50">
        <v>2</v>
      </c>
      <c r="J49" s="36">
        <v>7</v>
      </c>
      <c r="K49" s="36">
        <v>8</v>
      </c>
      <c r="L49" s="36">
        <v>8</v>
      </c>
      <c r="M49" s="36">
        <v>0</v>
      </c>
      <c r="N49" s="50">
        <v>0</v>
      </c>
      <c r="O49" s="36">
        <v>0</v>
      </c>
      <c r="P49" s="36">
        <v>0</v>
      </c>
      <c r="Q49" s="36">
        <v>0</v>
      </c>
      <c r="R49" s="36">
        <v>0</v>
      </c>
      <c r="S49" s="50">
        <v>0</v>
      </c>
      <c r="T49" s="36">
        <v>0</v>
      </c>
      <c r="U49" s="36">
        <v>0</v>
      </c>
      <c r="V49" s="36">
        <v>0</v>
      </c>
      <c r="W49" s="36">
        <v>0</v>
      </c>
      <c r="X49" s="50">
        <v>0</v>
      </c>
      <c r="Y49" s="36">
        <v>0</v>
      </c>
      <c r="Z49" s="36">
        <v>0</v>
      </c>
      <c r="AA49" s="36">
        <v>0</v>
      </c>
      <c r="AB49" s="36">
        <v>0</v>
      </c>
      <c r="AC49" s="50">
        <v>5</v>
      </c>
      <c r="AD49" s="36">
        <v>8</v>
      </c>
      <c r="AE49" s="36">
        <v>8</v>
      </c>
      <c r="AF49" s="36">
        <v>8</v>
      </c>
      <c r="AG49" s="36">
        <v>0</v>
      </c>
      <c r="AH49" s="50">
        <v>0</v>
      </c>
      <c r="AI49" s="36">
        <v>0</v>
      </c>
      <c r="AJ49" s="36">
        <v>0</v>
      </c>
      <c r="AK49" s="36">
        <v>0</v>
      </c>
      <c r="AL49" s="36">
        <v>0</v>
      </c>
      <c r="AM49" s="50">
        <v>0</v>
      </c>
      <c r="AN49" s="36">
        <v>0</v>
      </c>
      <c r="AO49" s="36">
        <v>0</v>
      </c>
      <c r="AP49" s="36">
        <v>0</v>
      </c>
      <c r="AQ49" s="36">
        <v>0</v>
      </c>
      <c r="AR49" s="50">
        <v>0</v>
      </c>
      <c r="AS49" s="36">
        <v>0</v>
      </c>
      <c r="AT49" s="36">
        <v>0</v>
      </c>
      <c r="AU49" s="36">
        <v>0</v>
      </c>
      <c r="AV49" s="36">
        <v>1</v>
      </c>
      <c r="AW49">
        <v>0</v>
      </c>
      <c r="AX49">
        <v>0</v>
      </c>
    </row>
    <row r="50" spans="1:50" x14ac:dyDescent="0.25">
      <c r="A50" s="36"/>
      <c r="B50" t="s">
        <v>121</v>
      </c>
      <c r="C50" s="36" t="str">
        <f>'Status Thresholds'!B50</f>
        <v>Amatsu</v>
      </c>
      <c r="D50" t="s">
        <v>14</v>
      </c>
      <c r="E50" s="36" t="str">
        <f t="shared" si="0"/>
        <v>AmatsuKO</v>
      </c>
      <c r="F50" s="36" t="str">
        <f>IFERROR(VLOOKUP($E50,'Status Thresholds'!$E:$AS,1,FALSE),"")</f>
        <v>AmatsuKO</v>
      </c>
      <c r="H50" s="55" t="str">
        <f t="shared" si="1"/>
        <v>AmatsuKO</v>
      </c>
      <c r="I50" s="50">
        <f>VLOOKUP($F50,'Status Thresholds'!$E:$AS,2,FALSE)</f>
        <v>322</v>
      </c>
      <c r="J50" s="36">
        <f>VLOOKUP($F50,'Status Thresholds'!$E:$AS,3,FALSE)</f>
        <v>602</v>
      </c>
      <c r="K50" s="36">
        <f>VLOOKUP($F50,'Status Thresholds'!$E:$AS,4,FALSE)</f>
        <v>882</v>
      </c>
      <c r="L50" s="36">
        <f>VLOOKUP($F50,'Status Thresholds'!$E:$AS,5,FALSE)</f>
        <v>1162</v>
      </c>
      <c r="M50" s="36">
        <f>VLOOKUP($F50,'Status Thresholds'!$E:$AS,6,FALSE)</f>
        <v>0</v>
      </c>
      <c r="N50" s="50">
        <f>VLOOKUP($F50,'Status Thresholds'!$E:$AS,7,FALSE)</f>
        <v>0</v>
      </c>
      <c r="O50" s="36">
        <f>VLOOKUP($F50,'Status Thresholds'!$E:$AS,8,FALSE)</f>
        <v>0</v>
      </c>
      <c r="P50" s="36">
        <f>VLOOKUP($F50,'Status Thresholds'!$E:$AS,9,FALSE)</f>
        <v>0</v>
      </c>
      <c r="Q50" s="36">
        <f>VLOOKUP($F50,'Status Thresholds'!$E:$AS,10,FALSE)</f>
        <v>0</v>
      </c>
      <c r="R50" s="36">
        <f>VLOOKUP($F50,'Status Thresholds'!$E:$AS,11,FALSE)</f>
        <v>0</v>
      </c>
      <c r="S50" s="50">
        <f>VLOOKUP($F50,'Status Thresholds'!$E:$AS,12,FALSE)</f>
        <v>0</v>
      </c>
      <c r="T50" s="36">
        <f>VLOOKUP($F50,'Status Thresholds'!$E:$AS,13,FALSE)</f>
        <v>0</v>
      </c>
      <c r="U50" s="36">
        <f>VLOOKUP($F50,'Status Thresholds'!$E:$AS,14,FALSE)</f>
        <v>0</v>
      </c>
      <c r="V50" s="36">
        <f>VLOOKUP($F50,'Status Thresholds'!$E:$AS,15,FALSE)</f>
        <v>0</v>
      </c>
      <c r="W50" s="36">
        <f>VLOOKUP($F50,'Status Thresholds'!$E:$AS,16,FALSE)</f>
        <v>0</v>
      </c>
      <c r="X50" s="50">
        <f>VLOOKUP($F50,'Status Thresholds'!$E:$AS,17,FALSE)</f>
        <v>0</v>
      </c>
      <c r="Y50" s="36">
        <f>VLOOKUP($F50,'Status Thresholds'!$E:$AS,18,FALSE)</f>
        <v>0</v>
      </c>
      <c r="Z50" s="36">
        <f>VLOOKUP($F50,'Status Thresholds'!$E:$AS,19,FALSE)</f>
        <v>0</v>
      </c>
      <c r="AA50" s="36">
        <f>VLOOKUP($F50,'Status Thresholds'!$E:$AS,20,FALSE)</f>
        <v>0</v>
      </c>
      <c r="AB50" s="36">
        <f>VLOOKUP($F50,'Status Thresholds'!$E:$AS,21,FALSE)</f>
        <v>0</v>
      </c>
      <c r="AC50" s="50">
        <f>VLOOKUP($F50,'Status Thresholds'!$E:$AS,22,FALSE)</f>
        <v>368</v>
      </c>
      <c r="AD50" s="36">
        <f>VLOOKUP($F50,'Status Thresholds'!$E:$AS,23,FALSE)</f>
        <v>688</v>
      </c>
      <c r="AE50" s="36">
        <f>VLOOKUP($F50,'Status Thresholds'!$E:$AS,24,FALSE)</f>
        <v>1008</v>
      </c>
      <c r="AF50" s="36">
        <f>VLOOKUP($F50,'Status Thresholds'!$E:$AS,25,FALSE)</f>
        <v>1328</v>
      </c>
      <c r="AG50" s="36">
        <f>VLOOKUP($F50,'Status Thresholds'!$E:$AS,26,FALSE)</f>
        <v>0</v>
      </c>
      <c r="AH50" s="50">
        <f>VLOOKUP($F50,'Status Thresholds'!$E:$AS,27,FALSE)</f>
        <v>0</v>
      </c>
      <c r="AI50" s="36">
        <f>VLOOKUP($F50,'Status Thresholds'!$E:$AS,28,FALSE)</f>
        <v>0</v>
      </c>
      <c r="AJ50" s="36">
        <f>VLOOKUP($F50,'Status Thresholds'!$E:$AS,29,FALSE)</f>
        <v>0</v>
      </c>
      <c r="AK50" s="36">
        <f>VLOOKUP($F50,'Status Thresholds'!$E:$AS,30,FALSE)</f>
        <v>0</v>
      </c>
      <c r="AL50" s="36">
        <f>VLOOKUP($F50,'Status Thresholds'!$E:$AS,31,FALSE)</f>
        <v>0</v>
      </c>
      <c r="AM50" s="50">
        <f>VLOOKUP($F50,'Status Thresholds'!$E:$AS,32,FALSE)</f>
        <v>0</v>
      </c>
      <c r="AN50" s="36">
        <f>VLOOKUP($F50,'Status Thresholds'!$E:$AS,33,FALSE)</f>
        <v>0</v>
      </c>
      <c r="AO50" s="36">
        <f>VLOOKUP($F50,'Status Thresholds'!$E:$AS,34,FALSE)</f>
        <v>0</v>
      </c>
      <c r="AP50" s="36">
        <f>VLOOKUP($F50,'Status Thresholds'!$E:$AS,35,FALSE)</f>
        <v>0</v>
      </c>
      <c r="AQ50" s="36">
        <f>VLOOKUP($F50,'Status Thresholds'!$E:$AS,36,FALSE)</f>
        <v>0</v>
      </c>
      <c r="AR50" s="50">
        <f>VLOOKUP($F50,'Status Thresholds'!$E:$AS,37,FALSE)</f>
        <v>0</v>
      </c>
      <c r="AS50" s="36">
        <f>VLOOKUP($F50,'Status Thresholds'!$E:$AS,38,FALSE)</f>
        <v>0</v>
      </c>
      <c r="AT50" s="36">
        <f>VLOOKUP($F50,'Status Thresholds'!$E:$AS,39,FALSE)</f>
        <v>0</v>
      </c>
      <c r="AU50" s="36">
        <f>VLOOKUP($F50,'Status Thresholds'!$E:$AS,40,FALSE)</f>
        <v>0</v>
      </c>
      <c r="AV50" s="36">
        <f>VLOOKUP($F50,'Status Thresholds'!$E:$AS,41,FALSE)</f>
        <v>8</v>
      </c>
      <c r="AW50">
        <v>0</v>
      </c>
      <c r="AX50">
        <v>0</v>
      </c>
    </row>
    <row r="51" spans="1:50" x14ac:dyDescent="0.25">
      <c r="A51" s="36"/>
      <c r="B51" t="s">
        <v>120</v>
      </c>
      <c r="C51" s="36" t="str">
        <f>'Status Thresholds'!B51</f>
        <v>Amatsu</v>
      </c>
      <c r="E51" s="36" t="str">
        <f t="shared" si="0"/>
        <v>Amatsu</v>
      </c>
      <c r="F51" s="36" t="str">
        <f>IFERROR(VLOOKUP($E51,'Status Thresholds'!$E:$AS,1,FALSE),"")</f>
        <v/>
      </c>
      <c r="G51" t="s">
        <v>21</v>
      </c>
      <c r="H51" s="55" t="str">
        <f t="shared" si="1"/>
        <v>AmatsuTriblast</v>
      </c>
      <c r="I51" s="50">
        <v>2</v>
      </c>
      <c r="J51" s="36">
        <v>2</v>
      </c>
      <c r="K51" s="36">
        <v>2</v>
      </c>
      <c r="L51" s="36">
        <v>2</v>
      </c>
      <c r="M51" s="36">
        <v>0</v>
      </c>
      <c r="N51" s="50">
        <v>0</v>
      </c>
      <c r="O51" s="36">
        <v>0</v>
      </c>
      <c r="P51" s="36">
        <v>0</v>
      </c>
      <c r="Q51" s="36">
        <v>0</v>
      </c>
      <c r="R51" s="36">
        <v>0</v>
      </c>
      <c r="S51" s="50">
        <v>0</v>
      </c>
      <c r="T51" s="36">
        <v>0</v>
      </c>
      <c r="U51" s="36">
        <v>0</v>
      </c>
      <c r="V51" s="36">
        <v>0</v>
      </c>
      <c r="W51" s="36">
        <v>0</v>
      </c>
      <c r="X51" s="50">
        <v>0</v>
      </c>
      <c r="Y51" s="36">
        <v>0</v>
      </c>
      <c r="Z51" s="36">
        <v>0</v>
      </c>
      <c r="AA51" s="36">
        <v>0</v>
      </c>
      <c r="AB51" s="36">
        <v>0</v>
      </c>
      <c r="AC51" s="50">
        <v>1</v>
      </c>
      <c r="AD51" s="36">
        <v>2</v>
      </c>
      <c r="AE51" s="36">
        <v>2</v>
      </c>
      <c r="AF51" s="36">
        <v>2</v>
      </c>
      <c r="AG51" s="36">
        <v>0</v>
      </c>
      <c r="AH51" s="50">
        <v>0</v>
      </c>
      <c r="AI51" s="36">
        <v>0</v>
      </c>
      <c r="AJ51" s="36">
        <v>0</v>
      </c>
      <c r="AK51" s="36">
        <v>0</v>
      </c>
      <c r="AL51" s="36">
        <v>0</v>
      </c>
      <c r="AM51" s="50">
        <v>0</v>
      </c>
      <c r="AN51" s="36">
        <v>0</v>
      </c>
      <c r="AO51" s="36">
        <v>0</v>
      </c>
      <c r="AP51" s="36">
        <v>0</v>
      </c>
      <c r="AQ51" s="36">
        <v>0</v>
      </c>
      <c r="AR51" s="50">
        <v>0</v>
      </c>
      <c r="AS51" s="36">
        <v>0</v>
      </c>
      <c r="AT51" s="36">
        <v>0</v>
      </c>
      <c r="AU51" s="36">
        <v>0</v>
      </c>
      <c r="AV51" s="36">
        <v>0</v>
      </c>
      <c r="AW51">
        <v>0</v>
      </c>
    </row>
    <row r="52" spans="1:50" x14ac:dyDescent="0.25">
      <c r="A52" s="36"/>
      <c r="B52" t="s">
        <v>120</v>
      </c>
      <c r="C52" s="36" t="str">
        <f>'Status Thresholds'!B52</f>
        <v>Amatsu</v>
      </c>
      <c r="E52" s="36" t="str">
        <f t="shared" si="0"/>
        <v>Amatsu</v>
      </c>
      <c r="F52" s="36" t="str">
        <f>IFERROR(VLOOKUP($E52,'Status Thresholds'!$E:$AS,1,FALSE),"")</f>
        <v/>
      </c>
      <c r="G52" t="s">
        <v>13</v>
      </c>
      <c r="H52" s="55" t="str">
        <f t="shared" si="1"/>
        <v>AmatsuCrag 3</v>
      </c>
      <c r="I52" s="50">
        <v>1</v>
      </c>
      <c r="J52" s="36">
        <v>4</v>
      </c>
      <c r="K52" s="36">
        <v>4</v>
      </c>
      <c r="L52" s="36">
        <v>4</v>
      </c>
      <c r="M52" s="36">
        <v>0</v>
      </c>
      <c r="N52" s="50">
        <v>0</v>
      </c>
      <c r="O52" s="36">
        <v>0</v>
      </c>
      <c r="P52" s="36">
        <v>0</v>
      </c>
      <c r="Q52" s="36">
        <v>0</v>
      </c>
      <c r="R52" s="36">
        <v>0</v>
      </c>
      <c r="S52" s="50">
        <v>0</v>
      </c>
      <c r="T52" s="36">
        <v>0</v>
      </c>
      <c r="U52" s="36">
        <v>0</v>
      </c>
      <c r="V52" s="36">
        <v>0</v>
      </c>
      <c r="W52" s="36">
        <v>0</v>
      </c>
      <c r="X52" s="50">
        <v>0</v>
      </c>
      <c r="Y52" s="36">
        <v>0</v>
      </c>
      <c r="Z52" s="36">
        <v>0</v>
      </c>
      <c r="AA52" s="36">
        <v>0</v>
      </c>
      <c r="AB52" s="36">
        <v>0</v>
      </c>
      <c r="AC52" s="50">
        <v>4</v>
      </c>
      <c r="AD52" s="36">
        <v>4</v>
      </c>
      <c r="AE52" s="36">
        <v>4</v>
      </c>
      <c r="AF52" s="36">
        <v>4</v>
      </c>
      <c r="AG52" s="36">
        <v>0</v>
      </c>
      <c r="AH52" s="50">
        <v>0</v>
      </c>
      <c r="AI52" s="36">
        <v>0</v>
      </c>
      <c r="AJ52" s="36">
        <v>0</v>
      </c>
      <c r="AK52" s="36">
        <v>0</v>
      </c>
      <c r="AL52" s="36">
        <v>0</v>
      </c>
      <c r="AM52" s="50">
        <v>0</v>
      </c>
      <c r="AN52" s="36">
        <v>0</v>
      </c>
      <c r="AO52" s="36">
        <v>0</v>
      </c>
      <c r="AP52" s="36">
        <v>0</v>
      </c>
      <c r="AQ52" s="36">
        <v>0</v>
      </c>
      <c r="AR52" s="50">
        <v>0</v>
      </c>
      <c r="AS52" s="36">
        <v>0</v>
      </c>
      <c r="AT52" s="36">
        <v>0</v>
      </c>
      <c r="AU52" s="36">
        <v>0</v>
      </c>
      <c r="AV52" s="36">
        <v>0</v>
      </c>
      <c r="AW52">
        <v>0</v>
      </c>
      <c r="AX52">
        <v>0</v>
      </c>
    </row>
    <row r="53" spans="1:50" x14ac:dyDescent="0.25">
      <c r="A53" s="36"/>
      <c r="B53" t="s">
        <v>120</v>
      </c>
      <c r="C53" s="36" t="str">
        <f>'Status Thresholds'!B53</f>
        <v>Amatsu</v>
      </c>
      <c r="E53" s="36" t="str">
        <f t="shared" si="0"/>
        <v>Amatsu</v>
      </c>
      <c r="F53" s="36" t="str">
        <f>IFERROR(VLOOKUP($E53,'Status Thresholds'!$E:$AS,1,FALSE),"")</f>
        <v/>
      </c>
      <c r="G53" t="s">
        <v>12</v>
      </c>
      <c r="H53" s="55" t="str">
        <f t="shared" si="1"/>
        <v>AmatsuCrag 2</v>
      </c>
      <c r="I53" s="50">
        <v>2</v>
      </c>
      <c r="J53" s="36">
        <v>4</v>
      </c>
      <c r="K53" s="36">
        <v>4</v>
      </c>
      <c r="L53" s="36">
        <v>4</v>
      </c>
      <c r="M53" s="36">
        <v>0</v>
      </c>
      <c r="N53" s="50">
        <v>0</v>
      </c>
      <c r="O53" s="36">
        <v>0</v>
      </c>
      <c r="P53" s="36">
        <v>0</v>
      </c>
      <c r="Q53" s="36">
        <v>0</v>
      </c>
      <c r="R53" s="36">
        <v>0</v>
      </c>
      <c r="S53" s="50">
        <v>0</v>
      </c>
      <c r="T53" s="36">
        <v>0</v>
      </c>
      <c r="U53" s="36">
        <v>0</v>
      </c>
      <c r="V53" s="36">
        <v>0</v>
      </c>
      <c r="W53" s="36">
        <v>0</v>
      </c>
      <c r="X53" s="50">
        <v>0</v>
      </c>
      <c r="Y53" s="36">
        <v>0</v>
      </c>
      <c r="Z53" s="36">
        <v>0</v>
      </c>
      <c r="AA53" s="36">
        <v>0</v>
      </c>
      <c r="AB53" s="36">
        <v>0</v>
      </c>
      <c r="AC53" s="50">
        <v>2</v>
      </c>
      <c r="AD53" s="36">
        <v>4</v>
      </c>
      <c r="AE53" s="36">
        <v>4</v>
      </c>
      <c r="AF53" s="36">
        <v>4</v>
      </c>
      <c r="AG53" s="36">
        <v>0</v>
      </c>
      <c r="AH53" s="50">
        <v>0</v>
      </c>
      <c r="AI53" s="36">
        <v>0</v>
      </c>
      <c r="AJ53" s="36">
        <v>0</v>
      </c>
      <c r="AK53" s="36">
        <v>0</v>
      </c>
      <c r="AL53" s="36">
        <v>0</v>
      </c>
      <c r="AM53" s="50">
        <v>0</v>
      </c>
      <c r="AN53" s="36">
        <v>0</v>
      </c>
      <c r="AO53" s="36">
        <v>0</v>
      </c>
      <c r="AP53" s="36">
        <v>0</v>
      </c>
      <c r="AQ53" s="36">
        <v>0</v>
      </c>
      <c r="AR53" s="50">
        <v>0</v>
      </c>
      <c r="AS53" s="36">
        <v>0</v>
      </c>
      <c r="AT53" s="36">
        <v>0</v>
      </c>
      <c r="AU53" s="36">
        <v>0</v>
      </c>
      <c r="AV53" s="36">
        <v>0</v>
      </c>
      <c r="AW53">
        <v>0</v>
      </c>
      <c r="AX53">
        <v>0</v>
      </c>
    </row>
    <row r="54" spans="1:50" x14ac:dyDescent="0.25">
      <c r="A54" s="36"/>
      <c r="B54" t="s">
        <v>120</v>
      </c>
      <c r="C54" s="36" t="str">
        <f>'Status Thresholds'!B54</f>
        <v>Amatsu</v>
      </c>
      <c r="E54" s="36" t="str">
        <f t="shared" si="0"/>
        <v>Amatsu</v>
      </c>
      <c r="F54" s="36" t="str">
        <f>IFERROR(VLOOKUP($E54,'Status Thresholds'!$E:$AS,1,FALSE),"")</f>
        <v/>
      </c>
      <c r="G54" t="s">
        <v>11</v>
      </c>
      <c r="H54" s="55" t="str">
        <f t="shared" si="1"/>
        <v>AmatsuCrag 1</v>
      </c>
      <c r="I54" s="50">
        <v>3</v>
      </c>
      <c r="J54" s="36">
        <v>7</v>
      </c>
      <c r="K54" s="36">
        <v>8</v>
      </c>
      <c r="L54" s="36">
        <v>8</v>
      </c>
      <c r="M54" s="36">
        <v>0</v>
      </c>
      <c r="N54" s="50">
        <v>0</v>
      </c>
      <c r="O54" s="36">
        <v>0</v>
      </c>
      <c r="P54" s="36">
        <v>0</v>
      </c>
      <c r="Q54" s="36">
        <v>0</v>
      </c>
      <c r="R54" s="36">
        <v>0</v>
      </c>
      <c r="S54" s="50">
        <v>0</v>
      </c>
      <c r="T54" s="36">
        <v>0</v>
      </c>
      <c r="U54" s="36">
        <v>0</v>
      </c>
      <c r="V54" s="36">
        <v>0</v>
      </c>
      <c r="W54" s="36">
        <v>0</v>
      </c>
      <c r="X54" s="50">
        <v>0</v>
      </c>
      <c r="Y54" s="36">
        <v>0</v>
      </c>
      <c r="Z54" s="36">
        <v>0</v>
      </c>
      <c r="AA54" s="36">
        <v>0</v>
      </c>
      <c r="AB54" s="36">
        <v>0</v>
      </c>
      <c r="AC54" s="50">
        <v>3</v>
      </c>
      <c r="AD54" s="36">
        <v>8</v>
      </c>
      <c r="AE54" s="36">
        <v>8</v>
      </c>
      <c r="AF54" s="36">
        <v>8</v>
      </c>
      <c r="AG54" s="36">
        <v>0</v>
      </c>
      <c r="AH54" s="50">
        <v>0</v>
      </c>
      <c r="AI54" s="36">
        <v>0</v>
      </c>
      <c r="AJ54" s="36">
        <v>0</v>
      </c>
      <c r="AK54" s="36">
        <v>0</v>
      </c>
      <c r="AL54" s="36">
        <v>0</v>
      </c>
      <c r="AM54" s="50">
        <v>0</v>
      </c>
      <c r="AN54" s="36">
        <v>0</v>
      </c>
      <c r="AO54" s="36">
        <v>0</v>
      </c>
      <c r="AP54" s="36">
        <v>0</v>
      </c>
      <c r="AQ54" s="36">
        <v>0</v>
      </c>
      <c r="AR54" s="50">
        <v>0</v>
      </c>
      <c r="AS54" s="36">
        <v>0</v>
      </c>
      <c r="AT54" s="36">
        <v>0</v>
      </c>
      <c r="AU54" s="36">
        <v>0</v>
      </c>
      <c r="AV54" s="36">
        <v>1</v>
      </c>
      <c r="AW54">
        <v>0</v>
      </c>
      <c r="AX54">
        <v>0</v>
      </c>
    </row>
    <row r="55" spans="1:50" x14ac:dyDescent="0.25">
      <c r="A55" s="36"/>
      <c r="B55" t="s">
        <v>119</v>
      </c>
      <c r="C55" s="36" t="str">
        <f>'Status Thresholds'!B55</f>
        <v>Amatsu</v>
      </c>
      <c r="E55" s="36" t="str">
        <f t="shared" si="0"/>
        <v>Amatsu</v>
      </c>
      <c r="F55" s="36" t="str">
        <f>IFERROR(VLOOKUP($E55,'Status Thresholds'!$E:$AS,1,FALSE),"")</f>
        <v/>
      </c>
      <c r="G55" t="s">
        <v>21</v>
      </c>
      <c r="H55" s="55" t="str">
        <f t="shared" si="1"/>
        <v>AmatsuTriblast</v>
      </c>
      <c r="I55" s="50">
        <v>1</v>
      </c>
      <c r="J55" s="36">
        <v>2</v>
      </c>
      <c r="K55" s="36">
        <v>2</v>
      </c>
      <c r="L55" s="36">
        <v>2</v>
      </c>
      <c r="M55" s="36">
        <v>0</v>
      </c>
      <c r="N55" s="50">
        <v>0</v>
      </c>
      <c r="O55" s="36">
        <v>0</v>
      </c>
      <c r="P55" s="36">
        <v>0</v>
      </c>
      <c r="Q55" s="36">
        <v>0</v>
      </c>
      <c r="R55" s="36">
        <v>0</v>
      </c>
      <c r="S55" s="50">
        <v>0</v>
      </c>
      <c r="T55" s="36">
        <v>0</v>
      </c>
      <c r="U55" s="36">
        <v>0</v>
      </c>
      <c r="V55" s="36">
        <v>0</v>
      </c>
      <c r="W55" s="36">
        <v>0</v>
      </c>
      <c r="X55" s="50">
        <v>0</v>
      </c>
      <c r="Y55" s="36">
        <v>0</v>
      </c>
      <c r="Z55" s="36">
        <v>0</v>
      </c>
      <c r="AA55" s="36">
        <v>0</v>
      </c>
      <c r="AB55" s="36">
        <v>0</v>
      </c>
      <c r="AC55" s="50">
        <v>2</v>
      </c>
      <c r="AD55" s="36">
        <v>2</v>
      </c>
      <c r="AE55" s="36">
        <v>2</v>
      </c>
      <c r="AF55" s="36">
        <v>2</v>
      </c>
      <c r="AG55" s="36">
        <v>0</v>
      </c>
      <c r="AH55" s="50">
        <v>0</v>
      </c>
      <c r="AI55" s="36">
        <v>0</v>
      </c>
      <c r="AJ55" s="36">
        <v>0</v>
      </c>
      <c r="AK55" s="36">
        <v>0</v>
      </c>
      <c r="AL55" s="36">
        <v>0</v>
      </c>
      <c r="AM55" s="50">
        <v>0</v>
      </c>
      <c r="AN55" s="36">
        <v>0</v>
      </c>
      <c r="AO55" s="36">
        <v>0</v>
      </c>
      <c r="AP55" s="36">
        <v>0</v>
      </c>
      <c r="AQ55" s="36">
        <v>0</v>
      </c>
      <c r="AR55" s="50">
        <v>0</v>
      </c>
      <c r="AS55" s="36">
        <v>0</v>
      </c>
      <c r="AT55" s="36">
        <v>0</v>
      </c>
      <c r="AU55" s="36">
        <v>0</v>
      </c>
      <c r="AV55" s="36">
        <v>0</v>
      </c>
      <c r="AW55">
        <v>0</v>
      </c>
      <c r="AX55">
        <v>0</v>
      </c>
    </row>
    <row r="56" spans="1:50" x14ac:dyDescent="0.25">
      <c r="A56" s="36"/>
      <c r="B56" t="s">
        <v>119</v>
      </c>
      <c r="C56" s="36" t="str">
        <f>'Status Thresholds'!B56</f>
        <v>Amatsu</v>
      </c>
      <c r="E56" s="36" t="str">
        <f t="shared" si="0"/>
        <v>Amatsu</v>
      </c>
      <c r="F56" s="36" t="str">
        <f>IFERROR(VLOOKUP($E56,'Status Thresholds'!$E:$AS,1,FALSE),"")</f>
        <v/>
      </c>
      <c r="G56" t="s">
        <v>13</v>
      </c>
      <c r="H56" s="55" t="str">
        <f t="shared" si="1"/>
        <v>AmatsuCrag 3</v>
      </c>
      <c r="I56" s="50">
        <v>2</v>
      </c>
      <c r="J56" s="36">
        <v>4</v>
      </c>
      <c r="K56" s="36">
        <v>4</v>
      </c>
      <c r="L56" s="36">
        <v>4</v>
      </c>
      <c r="M56" s="36">
        <v>0</v>
      </c>
      <c r="N56" s="50">
        <v>0</v>
      </c>
      <c r="O56" s="36">
        <v>0</v>
      </c>
      <c r="P56" s="36">
        <v>0</v>
      </c>
      <c r="Q56" s="36">
        <v>0</v>
      </c>
      <c r="R56" s="36">
        <v>0</v>
      </c>
      <c r="S56" s="50">
        <v>0</v>
      </c>
      <c r="T56" s="36">
        <v>0</v>
      </c>
      <c r="U56" s="36">
        <v>0</v>
      </c>
      <c r="V56" s="36">
        <v>0</v>
      </c>
      <c r="W56" s="36">
        <v>0</v>
      </c>
      <c r="X56" s="50">
        <v>0</v>
      </c>
      <c r="Y56" s="36">
        <v>0</v>
      </c>
      <c r="Z56" s="36">
        <v>0</v>
      </c>
      <c r="AA56" s="36">
        <v>0</v>
      </c>
      <c r="AB56" s="36">
        <v>0</v>
      </c>
      <c r="AC56" s="50">
        <v>1</v>
      </c>
      <c r="AD56" s="36">
        <v>4</v>
      </c>
      <c r="AE56" s="36">
        <v>4</v>
      </c>
      <c r="AF56" s="36">
        <v>4</v>
      </c>
      <c r="AG56" s="36">
        <v>0</v>
      </c>
      <c r="AH56" s="50">
        <v>0</v>
      </c>
      <c r="AI56" s="36">
        <v>0</v>
      </c>
      <c r="AJ56" s="36">
        <v>0</v>
      </c>
      <c r="AK56" s="36">
        <v>0</v>
      </c>
      <c r="AL56" s="36">
        <v>0</v>
      </c>
      <c r="AM56" s="50">
        <v>0</v>
      </c>
      <c r="AN56" s="36">
        <v>0</v>
      </c>
      <c r="AO56" s="36">
        <v>0</v>
      </c>
      <c r="AP56" s="36">
        <v>0</v>
      </c>
      <c r="AQ56" s="36">
        <v>0</v>
      </c>
      <c r="AR56" s="50">
        <v>0</v>
      </c>
      <c r="AS56" s="36">
        <v>0</v>
      </c>
      <c r="AT56" s="36">
        <v>0</v>
      </c>
      <c r="AU56" s="36">
        <v>0</v>
      </c>
      <c r="AV56" s="36">
        <v>0</v>
      </c>
      <c r="AW56">
        <v>0</v>
      </c>
      <c r="AX56">
        <v>0</v>
      </c>
    </row>
    <row r="57" spans="1:50" x14ac:dyDescent="0.25">
      <c r="A57" s="36"/>
      <c r="B57" t="s">
        <v>119</v>
      </c>
      <c r="C57" s="36" t="str">
        <f>'Status Thresholds'!B57</f>
        <v>Amatsu</v>
      </c>
      <c r="E57" s="36" t="str">
        <f t="shared" si="0"/>
        <v>Amatsu</v>
      </c>
      <c r="F57" s="36" t="str">
        <f>IFERROR(VLOOKUP($E57,'Status Thresholds'!$E:$AS,1,FALSE),"")</f>
        <v/>
      </c>
      <c r="G57" t="s">
        <v>12</v>
      </c>
      <c r="H57" s="55" t="str">
        <f t="shared" si="1"/>
        <v>AmatsuCrag 2</v>
      </c>
      <c r="I57" s="50">
        <v>3</v>
      </c>
      <c r="J57" s="36">
        <v>4</v>
      </c>
      <c r="K57" s="36">
        <v>4</v>
      </c>
      <c r="L57" s="36">
        <v>4</v>
      </c>
      <c r="M57" s="36">
        <v>0</v>
      </c>
      <c r="N57" s="50">
        <v>0</v>
      </c>
      <c r="O57" s="36">
        <v>0</v>
      </c>
      <c r="P57" s="36">
        <v>0</v>
      </c>
      <c r="Q57" s="36">
        <v>0</v>
      </c>
      <c r="R57" s="36">
        <v>0</v>
      </c>
      <c r="S57" s="50">
        <v>0</v>
      </c>
      <c r="T57" s="36">
        <v>0</v>
      </c>
      <c r="U57" s="36">
        <v>0</v>
      </c>
      <c r="V57" s="36">
        <v>0</v>
      </c>
      <c r="W57" s="36">
        <v>0</v>
      </c>
      <c r="X57" s="50">
        <v>0</v>
      </c>
      <c r="Y57" s="36">
        <v>0</v>
      </c>
      <c r="Z57" s="36">
        <v>0</v>
      </c>
      <c r="AA57" s="36">
        <v>0</v>
      </c>
      <c r="AB57" s="36">
        <v>0</v>
      </c>
      <c r="AC57" s="50">
        <v>0</v>
      </c>
      <c r="AD57" s="36">
        <v>4</v>
      </c>
      <c r="AE57" s="36">
        <v>4</v>
      </c>
      <c r="AF57" s="36">
        <v>4</v>
      </c>
      <c r="AG57" s="36">
        <v>0</v>
      </c>
      <c r="AH57" s="50">
        <v>0</v>
      </c>
      <c r="AI57" s="36">
        <v>0</v>
      </c>
      <c r="AJ57" s="36">
        <v>0</v>
      </c>
      <c r="AK57" s="36">
        <v>0</v>
      </c>
      <c r="AL57" s="36">
        <v>0</v>
      </c>
      <c r="AM57" s="50">
        <v>0</v>
      </c>
      <c r="AN57" s="36">
        <v>0</v>
      </c>
      <c r="AO57" s="36">
        <v>0</v>
      </c>
      <c r="AP57" s="36">
        <v>0</v>
      </c>
      <c r="AQ57" s="36">
        <v>0</v>
      </c>
      <c r="AR57" s="50">
        <v>0</v>
      </c>
      <c r="AS57" s="36">
        <v>0</v>
      </c>
      <c r="AT57" s="36">
        <v>0</v>
      </c>
      <c r="AU57" s="36">
        <v>0</v>
      </c>
      <c r="AV57" s="36">
        <v>0</v>
      </c>
      <c r="AW57">
        <v>0</v>
      </c>
      <c r="AX57">
        <v>0</v>
      </c>
    </row>
    <row r="58" spans="1:50" x14ac:dyDescent="0.25">
      <c r="A58" s="36"/>
      <c r="B58" t="s">
        <v>119</v>
      </c>
      <c r="C58" s="36" t="str">
        <f>'Status Thresholds'!B58</f>
        <v>Amatsu</v>
      </c>
      <c r="E58" s="36" t="str">
        <f t="shared" si="0"/>
        <v>Amatsu</v>
      </c>
      <c r="F58" s="36" t="str">
        <f>IFERROR(VLOOKUP($E58,'Status Thresholds'!$E:$AS,1,FALSE),"")</f>
        <v/>
      </c>
      <c r="G58" t="s">
        <v>11</v>
      </c>
      <c r="H58" s="55" t="str">
        <f t="shared" si="1"/>
        <v>AmatsuCrag 1</v>
      </c>
      <c r="I58" s="50">
        <v>2</v>
      </c>
      <c r="J58" s="36">
        <v>5</v>
      </c>
      <c r="K58" s="36">
        <v>8</v>
      </c>
      <c r="L58" s="36">
        <v>8</v>
      </c>
      <c r="M58" s="36">
        <v>0</v>
      </c>
      <c r="N58" s="50">
        <v>0</v>
      </c>
      <c r="O58" s="36">
        <v>0</v>
      </c>
      <c r="P58" s="36">
        <v>0</v>
      </c>
      <c r="Q58" s="36">
        <v>0</v>
      </c>
      <c r="R58" s="36">
        <v>0</v>
      </c>
      <c r="S58" s="50">
        <v>0</v>
      </c>
      <c r="T58" s="36">
        <v>0</v>
      </c>
      <c r="U58" s="36">
        <v>0</v>
      </c>
      <c r="V58" s="36">
        <v>0</v>
      </c>
      <c r="W58" s="36">
        <v>0</v>
      </c>
      <c r="X58" s="50">
        <v>0</v>
      </c>
      <c r="Y58" s="36">
        <v>0</v>
      </c>
      <c r="Z58" s="36">
        <v>0</v>
      </c>
      <c r="AA58" s="36">
        <v>0</v>
      </c>
      <c r="AB58" s="36">
        <v>0</v>
      </c>
      <c r="AC58" s="50">
        <v>6</v>
      </c>
      <c r="AD58" s="36">
        <v>8</v>
      </c>
      <c r="AE58" s="36">
        <v>8</v>
      </c>
      <c r="AF58" s="36">
        <v>8</v>
      </c>
      <c r="AG58" s="36">
        <v>0</v>
      </c>
      <c r="AH58" s="50">
        <v>0</v>
      </c>
      <c r="AI58" s="36">
        <v>0</v>
      </c>
      <c r="AJ58" s="36">
        <v>0</v>
      </c>
      <c r="AK58" s="36">
        <v>0</v>
      </c>
      <c r="AL58" s="36">
        <v>0</v>
      </c>
      <c r="AM58" s="50">
        <v>0</v>
      </c>
      <c r="AN58" s="36">
        <v>0</v>
      </c>
      <c r="AO58" s="36">
        <v>0</v>
      </c>
      <c r="AP58" s="36">
        <v>0</v>
      </c>
      <c r="AQ58" s="36">
        <v>0</v>
      </c>
      <c r="AR58" s="50">
        <v>0</v>
      </c>
      <c r="AS58" s="36">
        <v>0</v>
      </c>
      <c r="AT58" s="36">
        <v>0</v>
      </c>
      <c r="AU58" s="36">
        <v>0</v>
      </c>
      <c r="AV58" s="36">
        <v>1</v>
      </c>
      <c r="AW58">
        <v>0</v>
      </c>
      <c r="AX58">
        <v>0</v>
      </c>
    </row>
    <row r="59" spans="1:50" x14ac:dyDescent="0.25">
      <c r="A59" s="36"/>
      <c r="B59" t="s">
        <v>121</v>
      </c>
      <c r="C59" s="36" t="str">
        <f>'Status Thresholds'!B59</f>
        <v>Arzuros</v>
      </c>
      <c r="D59" t="s">
        <v>14</v>
      </c>
      <c r="E59" s="36" t="str">
        <f t="shared" si="0"/>
        <v>ArzurosKO</v>
      </c>
      <c r="F59" s="36" t="str">
        <f>IFERROR(VLOOKUP($E59,'Status Thresholds'!$E:$AS,1,FALSE),"")</f>
        <v>ArzurosKO</v>
      </c>
      <c r="H59" s="55" t="str">
        <f t="shared" si="1"/>
        <v>ArzurosKO</v>
      </c>
      <c r="I59" s="50">
        <f>VLOOKUP($F59,'Status Thresholds'!$E:$AS,2,FALSE)</f>
        <v>130</v>
      </c>
      <c r="J59" s="36">
        <f>VLOOKUP($F59,'Status Thresholds'!$E:$AS,3,FALSE)</f>
        <v>233</v>
      </c>
      <c r="K59" s="36">
        <f>VLOOKUP($F59,'Status Thresholds'!$E:$AS,4,FALSE)</f>
        <v>338</v>
      </c>
      <c r="L59" s="36">
        <f>VLOOKUP($F59,'Status Thresholds'!$E:$AS,5,FALSE)</f>
        <v>390</v>
      </c>
      <c r="M59" s="36">
        <f>VLOOKUP($F59,'Status Thresholds'!$E:$AS,6,FALSE)</f>
        <v>0</v>
      </c>
      <c r="N59" s="50">
        <f>VLOOKUP($F59,'Status Thresholds'!$E:$AS,7,FALSE)</f>
        <v>0</v>
      </c>
      <c r="O59" s="36">
        <f>VLOOKUP($F59,'Status Thresholds'!$E:$AS,8,FALSE)</f>
        <v>0</v>
      </c>
      <c r="P59" s="36">
        <f>VLOOKUP($F59,'Status Thresholds'!$E:$AS,9,FALSE)</f>
        <v>0</v>
      </c>
      <c r="Q59" s="36">
        <f>VLOOKUP($F59,'Status Thresholds'!$E:$AS,10,FALSE)</f>
        <v>0</v>
      </c>
      <c r="R59" s="36">
        <f>VLOOKUP($F59,'Status Thresholds'!$E:$AS,11,FALSE)</f>
        <v>0</v>
      </c>
      <c r="S59" s="50">
        <f>VLOOKUP($F59,'Status Thresholds'!$E:$AS,12,FALSE)</f>
        <v>0</v>
      </c>
      <c r="T59" s="36">
        <f>VLOOKUP($F59,'Status Thresholds'!$E:$AS,13,FALSE)</f>
        <v>0</v>
      </c>
      <c r="U59" s="36">
        <f>VLOOKUP($F59,'Status Thresholds'!$E:$AS,14,FALSE)</f>
        <v>0</v>
      </c>
      <c r="V59" s="36">
        <f>VLOOKUP($F59,'Status Thresholds'!$E:$AS,15,FALSE)</f>
        <v>0</v>
      </c>
      <c r="W59" s="36">
        <f>VLOOKUP($F59,'Status Thresholds'!$E:$AS,16,FALSE)</f>
        <v>0</v>
      </c>
      <c r="X59" s="50">
        <f>VLOOKUP($F59,'Status Thresholds'!$E:$AS,17,FALSE)</f>
        <v>0</v>
      </c>
      <c r="Y59" s="36">
        <f>VLOOKUP($F59,'Status Thresholds'!$E:$AS,18,FALSE)</f>
        <v>0</v>
      </c>
      <c r="Z59" s="36">
        <f>VLOOKUP($F59,'Status Thresholds'!$E:$AS,19,FALSE)</f>
        <v>0</v>
      </c>
      <c r="AA59" s="36">
        <f>VLOOKUP($F59,'Status Thresholds'!$E:$AS,20,FALSE)</f>
        <v>0</v>
      </c>
      <c r="AB59" s="36">
        <f>VLOOKUP($F59,'Status Thresholds'!$E:$AS,21,FALSE)</f>
        <v>0</v>
      </c>
      <c r="AC59" s="50">
        <f>VLOOKUP($F59,'Status Thresholds'!$E:$AS,22,FALSE)</f>
        <v>140</v>
      </c>
      <c r="AD59" s="36">
        <f>VLOOKUP($F59,'Status Thresholds'!$E:$AS,23,FALSE)</f>
        <v>252</v>
      </c>
      <c r="AE59" s="36">
        <f>VLOOKUP($F59,'Status Thresholds'!$E:$AS,24,FALSE)</f>
        <v>364</v>
      </c>
      <c r="AF59" s="36">
        <f>VLOOKUP($F59,'Status Thresholds'!$E:$AS,25,FALSE)</f>
        <v>476</v>
      </c>
      <c r="AG59" s="36">
        <f>VLOOKUP($F59,'Status Thresholds'!$E:$AS,26,FALSE)</f>
        <v>0</v>
      </c>
      <c r="AH59" s="50">
        <f>VLOOKUP($F59,'Status Thresholds'!$E:$AS,27,FALSE)</f>
        <v>140</v>
      </c>
      <c r="AI59" s="36">
        <f>VLOOKUP($F59,'Status Thresholds'!$E:$AS,28,FALSE)</f>
        <v>252</v>
      </c>
      <c r="AJ59" s="36">
        <f>VLOOKUP($F59,'Status Thresholds'!$E:$AS,29,FALSE)</f>
        <v>364</v>
      </c>
      <c r="AK59" s="36">
        <f>VLOOKUP($F59,'Status Thresholds'!$E:$AS,30,FALSE)</f>
        <v>476</v>
      </c>
      <c r="AL59" s="36">
        <f>VLOOKUP($F59,'Status Thresholds'!$E:$AS,31,FALSE)</f>
        <v>0</v>
      </c>
      <c r="AM59" s="50">
        <f>VLOOKUP($F59,'Status Thresholds'!$E:$AS,32,FALSE)</f>
        <v>0</v>
      </c>
      <c r="AN59" s="36">
        <f>VLOOKUP($F59,'Status Thresholds'!$E:$AS,33,FALSE)</f>
        <v>0</v>
      </c>
      <c r="AO59" s="36">
        <f>VLOOKUP($F59,'Status Thresholds'!$E:$AS,34,FALSE)</f>
        <v>0</v>
      </c>
      <c r="AP59" s="36">
        <f>VLOOKUP($F59,'Status Thresholds'!$E:$AS,35,FALSE)</f>
        <v>0</v>
      </c>
      <c r="AQ59" s="36">
        <f>VLOOKUP($F59,'Status Thresholds'!$E:$AS,36,FALSE)</f>
        <v>0</v>
      </c>
      <c r="AR59" s="50">
        <f>VLOOKUP($F59,'Status Thresholds'!$E:$AS,37,FALSE)</f>
        <v>0</v>
      </c>
      <c r="AS59" s="36">
        <f>VLOOKUP($F59,'Status Thresholds'!$E:$AS,38,FALSE)</f>
        <v>0</v>
      </c>
      <c r="AT59" s="36">
        <f>VLOOKUP($F59,'Status Thresholds'!$E:$AS,39,FALSE)</f>
        <v>0</v>
      </c>
      <c r="AU59" s="36">
        <f>VLOOKUP($F59,'Status Thresholds'!$E:$AS,40,FALSE)</f>
        <v>0</v>
      </c>
      <c r="AV59" s="36">
        <f>VLOOKUP($F59,'Status Thresholds'!$E:$AS,41,FALSE)</f>
        <v>10</v>
      </c>
      <c r="AW59">
        <v>0</v>
      </c>
      <c r="AX59">
        <v>0</v>
      </c>
    </row>
    <row r="60" spans="1:50" x14ac:dyDescent="0.25">
      <c r="A60" s="36"/>
      <c r="B60" t="s">
        <v>120</v>
      </c>
      <c r="C60" s="36" t="str">
        <f>'Status Thresholds'!B60</f>
        <v>Arzuros</v>
      </c>
      <c r="E60" s="36" t="str">
        <f t="shared" si="0"/>
        <v>Arzuros</v>
      </c>
      <c r="F60" s="36" t="str">
        <f>IFERROR(VLOOKUP($E60,'Status Thresholds'!$E:$AS,1,FALSE),"")</f>
        <v/>
      </c>
      <c r="G60" t="s">
        <v>21</v>
      </c>
      <c r="H60" s="55" t="str">
        <f t="shared" si="1"/>
        <v>ArzurosTriblast</v>
      </c>
      <c r="I60" s="50">
        <v>1</v>
      </c>
      <c r="J60" s="36">
        <v>0</v>
      </c>
      <c r="K60" s="36">
        <v>1</v>
      </c>
      <c r="L60" s="36">
        <v>2</v>
      </c>
      <c r="M60" s="36">
        <v>0</v>
      </c>
      <c r="N60" s="50">
        <v>0</v>
      </c>
      <c r="O60" s="36">
        <v>0</v>
      </c>
      <c r="P60" s="36">
        <v>0</v>
      </c>
      <c r="Q60" s="36">
        <v>0</v>
      </c>
      <c r="R60" s="36">
        <v>0</v>
      </c>
      <c r="S60" s="50">
        <v>0</v>
      </c>
      <c r="T60" s="36">
        <v>0</v>
      </c>
      <c r="U60" s="36">
        <v>0</v>
      </c>
      <c r="V60" s="36">
        <v>0</v>
      </c>
      <c r="W60" s="36">
        <v>0</v>
      </c>
      <c r="X60" s="50">
        <v>0</v>
      </c>
      <c r="Y60" s="36">
        <v>0</v>
      </c>
      <c r="Z60" s="36">
        <v>0</v>
      </c>
      <c r="AA60" s="36">
        <v>0</v>
      </c>
      <c r="AB60" s="36">
        <v>0</v>
      </c>
      <c r="AC60" s="50">
        <v>1</v>
      </c>
      <c r="AD60" s="36">
        <v>0</v>
      </c>
      <c r="AE60" s="36">
        <v>2</v>
      </c>
      <c r="AF60" s="36">
        <v>2</v>
      </c>
      <c r="AG60" s="36">
        <v>0</v>
      </c>
      <c r="AH60" s="50">
        <v>1</v>
      </c>
      <c r="AI60" s="36">
        <v>0</v>
      </c>
      <c r="AJ60" s="36">
        <v>2</v>
      </c>
      <c r="AK60" s="36">
        <v>2</v>
      </c>
      <c r="AL60" s="36">
        <v>0</v>
      </c>
      <c r="AM60" s="50">
        <v>0</v>
      </c>
      <c r="AN60" s="36">
        <v>0</v>
      </c>
      <c r="AO60" s="36">
        <v>0</v>
      </c>
      <c r="AP60" s="36">
        <v>0</v>
      </c>
      <c r="AQ60" s="36">
        <v>0</v>
      </c>
      <c r="AR60" s="50">
        <v>0</v>
      </c>
      <c r="AS60" s="36">
        <v>0</v>
      </c>
      <c r="AT60" s="36">
        <v>0</v>
      </c>
      <c r="AU60" s="36">
        <v>0</v>
      </c>
      <c r="AV60" s="36">
        <v>0</v>
      </c>
      <c r="AW60">
        <v>0</v>
      </c>
    </row>
    <row r="61" spans="1:50" x14ac:dyDescent="0.25">
      <c r="A61" s="36"/>
      <c r="B61" t="s">
        <v>120</v>
      </c>
      <c r="C61" s="36" t="str">
        <f>'Status Thresholds'!B61</f>
        <v>Arzuros</v>
      </c>
      <c r="E61" s="36" t="str">
        <f t="shared" si="0"/>
        <v>Arzuros</v>
      </c>
      <c r="F61" s="36" t="str">
        <f>IFERROR(VLOOKUP($E61,'Status Thresholds'!$E:$AS,1,FALSE),"")</f>
        <v/>
      </c>
      <c r="G61" t="s">
        <v>13</v>
      </c>
      <c r="H61" s="55" t="str">
        <f t="shared" si="1"/>
        <v>ArzurosCrag 3</v>
      </c>
      <c r="I61" s="50">
        <v>0</v>
      </c>
      <c r="J61" s="36">
        <v>4</v>
      </c>
      <c r="K61" s="36">
        <v>4</v>
      </c>
      <c r="L61" s="36">
        <v>4</v>
      </c>
      <c r="M61" s="36">
        <v>0</v>
      </c>
      <c r="N61" s="50">
        <v>0</v>
      </c>
      <c r="O61" s="36">
        <v>0</v>
      </c>
      <c r="P61" s="36">
        <v>0</v>
      </c>
      <c r="Q61" s="36">
        <v>0</v>
      </c>
      <c r="R61" s="36">
        <v>0</v>
      </c>
      <c r="S61" s="50">
        <v>0</v>
      </c>
      <c r="T61" s="36">
        <v>0</v>
      </c>
      <c r="U61" s="36">
        <v>0</v>
      </c>
      <c r="V61" s="36">
        <v>0</v>
      </c>
      <c r="W61" s="36">
        <v>0</v>
      </c>
      <c r="X61" s="50">
        <v>0</v>
      </c>
      <c r="Y61" s="36">
        <v>0</v>
      </c>
      <c r="Z61" s="36">
        <v>0</v>
      </c>
      <c r="AA61" s="36">
        <v>0</v>
      </c>
      <c r="AB61" s="36">
        <v>0</v>
      </c>
      <c r="AC61" s="50">
        <v>1</v>
      </c>
      <c r="AD61" s="36">
        <v>3</v>
      </c>
      <c r="AE61" s="36">
        <v>2</v>
      </c>
      <c r="AF61" s="36">
        <v>1</v>
      </c>
      <c r="AG61" s="36">
        <v>0</v>
      </c>
      <c r="AH61" s="50">
        <v>1</v>
      </c>
      <c r="AI61" s="36">
        <v>3</v>
      </c>
      <c r="AJ61" s="36">
        <v>2</v>
      </c>
      <c r="AK61" s="36">
        <v>1</v>
      </c>
      <c r="AL61" s="36">
        <v>0</v>
      </c>
      <c r="AM61" s="50">
        <v>0</v>
      </c>
      <c r="AN61" s="36">
        <v>0</v>
      </c>
      <c r="AO61" s="36">
        <v>0</v>
      </c>
      <c r="AP61" s="36">
        <v>0</v>
      </c>
      <c r="AQ61" s="36">
        <v>0</v>
      </c>
      <c r="AR61" s="50">
        <v>0</v>
      </c>
      <c r="AS61" s="36">
        <v>0</v>
      </c>
      <c r="AT61" s="36">
        <v>0</v>
      </c>
      <c r="AU61" s="36">
        <v>0</v>
      </c>
      <c r="AV61" s="36">
        <v>0</v>
      </c>
      <c r="AW61">
        <v>0</v>
      </c>
      <c r="AX61">
        <v>0</v>
      </c>
    </row>
    <row r="62" spans="1:50" x14ac:dyDescent="0.25">
      <c r="A62" s="36"/>
      <c r="B62" t="s">
        <v>120</v>
      </c>
      <c r="C62" s="36" t="str">
        <f>'Status Thresholds'!B62</f>
        <v>Arzuros</v>
      </c>
      <c r="E62" s="36" t="str">
        <f t="shared" si="0"/>
        <v>Arzuros</v>
      </c>
      <c r="F62" s="36" t="str">
        <f>IFERROR(VLOOKUP($E62,'Status Thresholds'!$E:$AS,1,FALSE),"")</f>
        <v/>
      </c>
      <c r="G62" t="s">
        <v>12</v>
      </c>
      <c r="H62" s="55" t="str">
        <f t="shared" si="1"/>
        <v>ArzurosCrag 2</v>
      </c>
      <c r="I62" s="50">
        <v>1</v>
      </c>
      <c r="J62" s="36">
        <v>0</v>
      </c>
      <c r="K62" s="36">
        <v>1</v>
      </c>
      <c r="L62" s="36">
        <v>1</v>
      </c>
      <c r="M62" s="36">
        <v>0</v>
      </c>
      <c r="N62" s="50">
        <v>0</v>
      </c>
      <c r="O62" s="36">
        <v>0</v>
      </c>
      <c r="P62" s="36">
        <v>0</v>
      </c>
      <c r="Q62" s="36">
        <v>0</v>
      </c>
      <c r="R62" s="36">
        <v>0</v>
      </c>
      <c r="S62" s="50">
        <v>0</v>
      </c>
      <c r="T62" s="36">
        <v>0</v>
      </c>
      <c r="U62" s="36">
        <v>0</v>
      </c>
      <c r="V62" s="36">
        <v>0</v>
      </c>
      <c r="W62" s="36">
        <v>0</v>
      </c>
      <c r="X62" s="50">
        <v>0</v>
      </c>
      <c r="Y62" s="36">
        <v>0</v>
      </c>
      <c r="Z62" s="36">
        <v>0</v>
      </c>
      <c r="AA62" s="36">
        <v>0</v>
      </c>
      <c r="AB62" s="36">
        <v>0</v>
      </c>
      <c r="AC62" s="50">
        <v>0</v>
      </c>
      <c r="AD62" s="36">
        <v>2</v>
      </c>
      <c r="AE62" s="36">
        <v>2</v>
      </c>
      <c r="AF62" s="36">
        <v>3</v>
      </c>
      <c r="AG62" s="36">
        <v>0</v>
      </c>
      <c r="AH62" s="50">
        <v>0</v>
      </c>
      <c r="AI62" s="36">
        <v>2</v>
      </c>
      <c r="AJ62" s="36">
        <v>2</v>
      </c>
      <c r="AK62" s="36">
        <v>3</v>
      </c>
      <c r="AL62" s="36">
        <v>0</v>
      </c>
      <c r="AM62" s="50">
        <v>0</v>
      </c>
      <c r="AN62" s="36">
        <v>0</v>
      </c>
      <c r="AO62" s="36">
        <v>0</v>
      </c>
      <c r="AP62" s="36">
        <v>0</v>
      </c>
      <c r="AQ62" s="36">
        <v>0</v>
      </c>
      <c r="AR62" s="50">
        <v>0</v>
      </c>
      <c r="AS62" s="36">
        <v>0</v>
      </c>
      <c r="AT62" s="36">
        <v>0</v>
      </c>
      <c r="AU62" s="36">
        <v>0</v>
      </c>
      <c r="AV62" s="36">
        <v>0</v>
      </c>
      <c r="AW62">
        <v>0</v>
      </c>
      <c r="AX62">
        <v>0</v>
      </c>
    </row>
    <row r="63" spans="1:50" x14ac:dyDescent="0.25">
      <c r="A63" s="36"/>
      <c r="B63" t="s">
        <v>120</v>
      </c>
      <c r="C63" s="36" t="str">
        <f>'Status Thresholds'!B63</f>
        <v>Arzuros</v>
      </c>
      <c r="E63" s="36" t="str">
        <f t="shared" si="0"/>
        <v>Arzuros</v>
      </c>
      <c r="F63" s="36" t="str">
        <f>IFERROR(VLOOKUP($E63,'Status Thresholds'!$E:$AS,1,FALSE),"")</f>
        <v/>
      </c>
      <c r="G63" t="s">
        <v>11</v>
      </c>
      <c r="H63" s="55" t="str">
        <f t="shared" si="1"/>
        <v>ArzurosCrag 1</v>
      </c>
      <c r="I63" s="50">
        <v>1</v>
      </c>
      <c r="J63" s="36">
        <v>3</v>
      </c>
      <c r="K63" s="36">
        <v>3</v>
      </c>
      <c r="L63" s="36">
        <v>2</v>
      </c>
      <c r="M63" s="36">
        <v>0</v>
      </c>
      <c r="N63" s="50">
        <v>0</v>
      </c>
      <c r="O63" s="36">
        <v>0</v>
      </c>
      <c r="P63" s="36">
        <v>0</v>
      </c>
      <c r="Q63" s="36">
        <v>0</v>
      </c>
      <c r="R63" s="36">
        <v>0</v>
      </c>
      <c r="S63" s="50">
        <v>0</v>
      </c>
      <c r="T63" s="36">
        <v>0</v>
      </c>
      <c r="U63" s="36">
        <v>0</v>
      </c>
      <c r="V63" s="36">
        <v>0</v>
      </c>
      <c r="W63" s="36">
        <v>0</v>
      </c>
      <c r="X63" s="50">
        <v>0</v>
      </c>
      <c r="Y63" s="36">
        <v>0</v>
      </c>
      <c r="Z63" s="36">
        <v>0</v>
      </c>
      <c r="AA63" s="36">
        <v>0</v>
      </c>
      <c r="AB63" s="36">
        <v>0</v>
      </c>
      <c r="AC63" s="50">
        <v>1</v>
      </c>
      <c r="AD63" s="36">
        <v>3</v>
      </c>
      <c r="AE63" s="36">
        <v>3</v>
      </c>
      <c r="AF63" s="36">
        <v>8</v>
      </c>
      <c r="AG63" s="36">
        <v>0</v>
      </c>
      <c r="AH63" s="50">
        <v>1</v>
      </c>
      <c r="AI63" s="36">
        <v>3</v>
      </c>
      <c r="AJ63" s="36">
        <v>3</v>
      </c>
      <c r="AK63" s="36">
        <v>8</v>
      </c>
      <c r="AL63" s="36">
        <v>0</v>
      </c>
      <c r="AM63" s="50">
        <v>0</v>
      </c>
      <c r="AN63" s="36">
        <v>0</v>
      </c>
      <c r="AO63" s="36">
        <v>0</v>
      </c>
      <c r="AP63" s="36">
        <v>0</v>
      </c>
      <c r="AQ63" s="36">
        <v>0</v>
      </c>
      <c r="AR63" s="50">
        <v>0</v>
      </c>
      <c r="AS63" s="36">
        <v>0</v>
      </c>
      <c r="AT63" s="36">
        <v>0</v>
      </c>
      <c r="AU63" s="36">
        <v>0</v>
      </c>
      <c r="AV63" s="36">
        <v>1</v>
      </c>
      <c r="AW63">
        <v>0</v>
      </c>
      <c r="AX63">
        <v>0</v>
      </c>
    </row>
    <row r="64" spans="1:50" x14ac:dyDescent="0.25">
      <c r="A64" s="36"/>
      <c r="B64" t="s">
        <v>119</v>
      </c>
      <c r="C64" s="36" t="str">
        <f>'Status Thresholds'!B64</f>
        <v>Arzuros</v>
      </c>
      <c r="E64" s="36" t="str">
        <f t="shared" si="0"/>
        <v>Arzuros</v>
      </c>
      <c r="F64" s="36" t="str">
        <f>IFERROR(VLOOKUP($E64,'Status Thresholds'!$E:$AS,1,FALSE),"")</f>
        <v/>
      </c>
      <c r="G64" t="s">
        <v>21</v>
      </c>
      <c r="H64" s="55" t="str">
        <f t="shared" si="1"/>
        <v>ArzurosTriblast</v>
      </c>
      <c r="I64" s="50">
        <v>0</v>
      </c>
      <c r="J64" s="36">
        <v>2</v>
      </c>
      <c r="K64" s="36">
        <v>2</v>
      </c>
      <c r="L64" s="36">
        <v>2</v>
      </c>
      <c r="M64" s="36">
        <v>0</v>
      </c>
      <c r="N64" s="50">
        <v>0</v>
      </c>
      <c r="O64" s="36">
        <v>0</v>
      </c>
      <c r="P64" s="36">
        <v>0</v>
      </c>
      <c r="Q64" s="36">
        <v>0</v>
      </c>
      <c r="R64" s="36">
        <v>0</v>
      </c>
      <c r="S64" s="50">
        <v>0</v>
      </c>
      <c r="T64" s="36">
        <v>0</v>
      </c>
      <c r="U64" s="36">
        <v>0</v>
      </c>
      <c r="V64" s="36">
        <v>0</v>
      </c>
      <c r="W64" s="36">
        <v>0</v>
      </c>
      <c r="X64" s="50">
        <v>0</v>
      </c>
      <c r="Y64" s="36">
        <v>0</v>
      </c>
      <c r="Z64" s="36">
        <v>0</v>
      </c>
      <c r="AA64" s="36">
        <v>0</v>
      </c>
      <c r="AB64" s="36">
        <v>0</v>
      </c>
      <c r="AC64" s="50">
        <v>0</v>
      </c>
      <c r="AD64" s="36">
        <v>0</v>
      </c>
      <c r="AE64" s="36">
        <v>1</v>
      </c>
      <c r="AF64" s="36">
        <v>2</v>
      </c>
      <c r="AG64" s="36">
        <v>0</v>
      </c>
      <c r="AH64" s="50">
        <v>0</v>
      </c>
      <c r="AI64" s="36">
        <v>0</v>
      </c>
      <c r="AJ64" s="36">
        <v>1</v>
      </c>
      <c r="AK64" s="36">
        <v>2</v>
      </c>
      <c r="AL64" s="36">
        <v>0</v>
      </c>
      <c r="AM64" s="50">
        <v>0</v>
      </c>
      <c r="AN64" s="36">
        <v>0</v>
      </c>
      <c r="AO64" s="36">
        <v>0</v>
      </c>
      <c r="AP64" s="36">
        <v>0</v>
      </c>
      <c r="AQ64" s="36">
        <v>0</v>
      </c>
      <c r="AR64" s="50">
        <v>0</v>
      </c>
      <c r="AS64" s="36">
        <v>0</v>
      </c>
      <c r="AT64" s="36">
        <v>0</v>
      </c>
      <c r="AU64" s="36">
        <v>0</v>
      </c>
      <c r="AV64" s="36">
        <v>0</v>
      </c>
      <c r="AW64">
        <v>0</v>
      </c>
      <c r="AX64">
        <v>0</v>
      </c>
    </row>
    <row r="65" spans="1:50" x14ac:dyDescent="0.25">
      <c r="A65" s="36"/>
      <c r="B65" t="s">
        <v>119</v>
      </c>
      <c r="C65" s="36" t="str">
        <f>'Status Thresholds'!B65</f>
        <v>Arzuros</v>
      </c>
      <c r="E65" s="36" t="str">
        <f t="shared" si="0"/>
        <v>Arzuros</v>
      </c>
      <c r="F65" s="36" t="str">
        <f>IFERROR(VLOOKUP($E65,'Status Thresholds'!$E:$AS,1,FALSE),"")</f>
        <v/>
      </c>
      <c r="G65" t="s">
        <v>13</v>
      </c>
      <c r="H65" s="55" t="str">
        <f t="shared" si="1"/>
        <v>ArzurosCrag 3</v>
      </c>
      <c r="I65" s="50">
        <v>1</v>
      </c>
      <c r="J65" s="36">
        <v>1</v>
      </c>
      <c r="K65" s="36">
        <v>4</v>
      </c>
      <c r="L65" s="36">
        <v>0</v>
      </c>
      <c r="M65" s="36">
        <v>0</v>
      </c>
      <c r="N65" s="50">
        <v>0</v>
      </c>
      <c r="O65" s="36">
        <v>0</v>
      </c>
      <c r="P65" s="36">
        <v>0</v>
      </c>
      <c r="Q65" s="36">
        <v>0</v>
      </c>
      <c r="R65" s="36">
        <v>0</v>
      </c>
      <c r="S65" s="50">
        <v>0</v>
      </c>
      <c r="T65" s="36">
        <v>0</v>
      </c>
      <c r="U65" s="36">
        <v>0</v>
      </c>
      <c r="V65" s="36">
        <v>0</v>
      </c>
      <c r="W65" s="36">
        <v>0</v>
      </c>
      <c r="X65" s="50">
        <v>0</v>
      </c>
      <c r="Y65" s="36">
        <v>0</v>
      </c>
      <c r="Z65" s="36">
        <v>0</v>
      </c>
      <c r="AA65" s="36">
        <v>0</v>
      </c>
      <c r="AB65" s="36">
        <v>0</v>
      </c>
      <c r="AC65" s="50">
        <v>0</v>
      </c>
      <c r="AD65" s="36">
        <v>3</v>
      </c>
      <c r="AE65" s="36">
        <v>2</v>
      </c>
      <c r="AF65" s="36">
        <v>0</v>
      </c>
      <c r="AG65" s="36">
        <v>0</v>
      </c>
      <c r="AH65" s="50">
        <v>0</v>
      </c>
      <c r="AI65" s="36">
        <v>3</v>
      </c>
      <c r="AJ65" s="36">
        <v>2</v>
      </c>
      <c r="AK65" s="36">
        <v>0</v>
      </c>
      <c r="AL65" s="36">
        <v>0</v>
      </c>
      <c r="AM65" s="50">
        <v>0</v>
      </c>
      <c r="AN65" s="36">
        <v>0</v>
      </c>
      <c r="AO65" s="36">
        <v>0</v>
      </c>
      <c r="AP65" s="36">
        <v>0</v>
      </c>
      <c r="AQ65" s="36">
        <v>0</v>
      </c>
      <c r="AR65" s="50">
        <v>0</v>
      </c>
      <c r="AS65" s="36">
        <v>0</v>
      </c>
      <c r="AT65" s="36">
        <v>0</v>
      </c>
      <c r="AU65" s="36">
        <v>0</v>
      </c>
      <c r="AV65" s="36">
        <v>0</v>
      </c>
      <c r="AW65">
        <v>0</v>
      </c>
      <c r="AX65">
        <v>0</v>
      </c>
    </row>
    <row r="66" spans="1:50" x14ac:dyDescent="0.25">
      <c r="A66" s="36"/>
      <c r="B66" t="s">
        <v>119</v>
      </c>
      <c r="C66" s="36" t="str">
        <f>'Status Thresholds'!B66</f>
        <v>Arzuros</v>
      </c>
      <c r="E66" s="36" t="str">
        <f t="shared" si="0"/>
        <v>Arzuros</v>
      </c>
      <c r="F66" s="36" t="str">
        <f>IFERROR(VLOOKUP($E66,'Status Thresholds'!$E:$AS,1,FALSE),"")</f>
        <v/>
      </c>
      <c r="G66" t="s">
        <v>12</v>
      </c>
      <c r="H66" s="55" t="str">
        <f t="shared" si="1"/>
        <v>ArzurosCrag 2</v>
      </c>
      <c r="I66" s="50">
        <v>1</v>
      </c>
      <c r="J66" s="36">
        <v>0</v>
      </c>
      <c r="K66" s="36">
        <v>0</v>
      </c>
      <c r="L66" s="36">
        <v>2</v>
      </c>
      <c r="M66" s="36">
        <v>0</v>
      </c>
      <c r="N66" s="50">
        <v>0</v>
      </c>
      <c r="O66" s="36">
        <v>0</v>
      </c>
      <c r="P66" s="36">
        <v>0</v>
      </c>
      <c r="Q66" s="36">
        <v>0</v>
      </c>
      <c r="R66" s="36">
        <v>0</v>
      </c>
      <c r="S66" s="50">
        <v>0</v>
      </c>
      <c r="T66" s="36">
        <v>0</v>
      </c>
      <c r="U66" s="36">
        <v>0</v>
      </c>
      <c r="V66" s="36">
        <v>0</v>
      </c>
      <c r="W66" s="36">
        <v>0</v>
      </c>
      <c r="X66" s="50">
        <v>0</v>
      </c>
      <c r="Y66" s="36">
        <v>0</v>
      </c>
      <c r="Z66" s="36">
        <v>0</v>
      </c>
      <c r="AA66" s="36">
        <v>0</v>
      </c>
      <c r="AB66" s="36">
        <v>0</v>
      </c>
      <c r="AC66" s="50">
        <v>1</v>
      </c>
      <c r="AD66" s="36">
        <v>2</v>
      </c>
      <c r="AE66" s="36">
        <v>1</v>
      </c>
      <c r="AF66" s="36">
        <v>3</v>
      </c>
      <c r="AG66" s="36">
        <v>0</v>
      </c>
      <c r="AH66" s="50">
        <v>1</v>
      </c>
      <c r="AI66" s="36">
        <v>2</v>
      </c>
      <c r="AJ66" s="36">
        <v>1</v>
      </c>
      <c r="AK66" s="36">
        <v>3</v>
      </c>
      <c r="AL66" s="36">
        <v>0</v>
      </c>
      <c r="AM66" s="50">
        <v>0</v>
      </c>
      <c r="AN66" s="36">
        <v>0</v>
      </c>
      <c r="AO66" s="36">
        <v>0</v>
      </c>
      <c r="AP66" s="36">
        <v>0</v>
      </c>
      <c r="AQ66" s="36">
        <v>0</v>
      </c>
      <c r="AR66" s="50">
        <v>0</v>
      </c>
      <c r="AS66" s="36">
        <v>0</v>
      </c>
      <c r="AT66" s="36">
        <v>0</v>
      </c>
      <c r="AU66" s="36">
        <v>0</v>
      </c>
      <c r="AV66" s="36">
        <v>0</v>
      </c>
      <c r="AW66">
        <v>0</v>
      </c>
      <c r="AX66">
        <v>0</v>
      </c>
    </row>
    <row r="67" spans="1:50" x14ac:dyDescent="0.25">
      <c r="A67" s="36"/>
      <c r="B67" t="s">
        <v>119</v>
      </c>
      <c r="C67" s="36" t="str">
        <f>'Status Thresholds'!B67</f>
        <v>Arzuros</v>
      </c>
      <c r="E67" s="36" t="str">
        <f t="shared" si="0"/>
        <v>Arzuros</v>
      </c>
      <c r="F67" s="36" t="str">
        <f>IFERROR(VLOOKUP($E67,'Status Thresholds'!$E:$AS,1,FALSE),"")</f>
        <v/>
      </c>
      <c r="G67" t="s">
        <v>11</v>
      </c>
      <c r="H67" s="55" t="str">
        <f t="shared" si="1"/>
        <v>ArzurosCrag 1</v>
      </c>
      <c r="I67" s="50">
        <v>2</v>
      </c>
      <c r="J67" s="36">
        <v>1</v>
      </c>
      <c r="K67" s="36">
        <v>0</v>
      </c>
      <c r="L67" s="36">
        <v>6</v>
      </c>
      <c r="M67" s="36">
        <v>0</v>
      </c>
      <c r="N67" s="50">
        <v>0</v>
      </c>
      <c r="O67" s="36">
        <v>0</v>
      </c>
      <c r="P67" s="36">
        <v>0</v>
      </c>
      <c r="Q67" s="36">
        <v>0</v>
      </c>
      <c r="R67" s="36">
        <v>0</v>
      </c>
      <c r="S67" s="50">
        <v>0</v>
      </c>
      <c r="T67" s="36">
        <v>0</v>
      </c>
      <c r="U67" s="36">
        <v>0</v>
      </c>
      <c r="V67" s="36">
        <v>0</v>
      </c>
      <c r="W67" s="36">
        <v>0</v>
      </c>
      <c r="X67" s="50">
        <v>0</v>
      </c>
      <c r="Y67" s="36">
        <v>0</v>
      </c>
      <c r="Z67" s="36">
        <v>0</v>
      </c>
      <c r="AA67" s="36">
        <v>0</v>
      </c>
      <c r="AB67" s="36">
        <v>0</v>
      </c>
      <c r="AC67" s="50">
        <v>4</v>
      </c>
      <c r="AD67" s="36">
        <v>2</v>
      </c>
      <c r="AE67" s="36">
        <v>6</v>
      </c>
      <c r="AF67" s="36">
        <v>8</v>
      </c>
      <c r="AG67" s="36">
        <v>0</v>
      </c>
      <c r="AH67" s="50">
        <v>4</v>
      </c>
      <c r="AI67" s="36">
        <v>2</v>
      </c>
      <c r="AJ67" s="36">
        <v>6</v>
      </c>
      <c r="AK67" s="36">
        <v>8</v>
      </c>
      <c r="AL67" s="36">
        <v>0</v>
      </c>
      <c r="AM67" s="50">
        <v>0</v>
      </c>
      <c r="AN67" s="36">
        <v>0</v>
      </c>
      <c r="AO67" s="36">
        <v>0</v>
      </c>
      <c r="AP67" s="36">
        <v>0</v>
      </c>
      <c r="AQ67" s="36">
        <v>0</v>
      </c>
      <c r="AR67" s="50">
        <v>0</v>
      </c>
      <c r="AS67" s="36">
        <v>0</v>
      </c>
      <c r="AT67" s="36">
        <v>0</v>
      </c>
      <c r="AU67" s="36">
        <v>0</v>
      </c>
      <c r="AV67" s="36">
        <v>1</v>
      </c>
      <c r="AW67">
        <v>0</v>
      </c>
      <c r="AX67">
        <v>0</v>
      </c>
    </row>
    <row r="68" spans="1:50" x14ac:dyDescent="0.25">
      <c r="A68" s="36"/>
      <c r="B68" t="s">
        <v>121</v>
      </c>
      <c r="C68" s="36" t="str">
        <f>'Status Thresholds'!B68</f>
        <v>Astalos</v>
      </c>
      <c r="D68" t="s">
        <v>14</v>
      </c>
      <c r="E68" s="36" t="str">
        <f t="shared" si="0"/>
        <v>AstalosKO</v>
      </c>
      <c r="F68" s="36" t="str">
        <f>IFERROR(VLOOKUP($E68,'Status Thresholds'!$E:$AS,1,FALSE),"")</f>
        <v>AstalosKO</v>
      </c>
      <c r="H68" s="55" t="str">
        <f t="shared" si="1"/>
        <v>AstalosKO</v>
      </c>
      <c r="I68" s="50">
        <f>VLOOKUP($F68,'Status Thresholds'!$E:$AS,2,FALSE)</f>
        <v>195</v>
      </c>
      <c r="J68" s="36">
        <f>VLOOKUP($F68,'Status Thresholds'!$E:$AS,3,FALSE)</f>
        <v>454</v>
      </c>
      <c r="K68" s="36">
        <f>VLOOKUP($F68,'Status Thresholds'!$E:$AS,4,FALSE)</f>
        <v>715</v>
      </c>
      <c r="L68" s="36">
        <f>VLOOKUP($F68,'Status Thresholds'!$E:$AS,5,FALSE)</f>
        <v>972</v>
      </c>
      <c r="M68" s="36">
        <f>VLOOKUP($F68,'Status Thresholds'!$E:$AS,6,FALSE)</f>
        <v>0</v>
      </c>
      <c r="N68" s="50">
        <f>VLOOKUP($F68,'Status Thresholds'!$E:$AS,7,FALSE)</f>
        <v>195</v>
      </c>
      <c r="O68" s="36">
        <f>VLOOKUP($F68,'Status Thresholds'!$E:$AS,8,FALSE)</f>
        <v>454</v>
      </c>
      <c r="P68" s="36">
        <f>VLOOKUP($F68,'Status Thresholds'!$E:$AS,9,FALSE)</f>
        <v>715</v>
      </c>
      <c r="Q68" s="36">
        <f>VLOOKUP($F68,'Status Thresholds'!$E:$AS,10,FALSE)</f>
        <v>972</v>
      </c>
      <c r="R68" s="36">
        <f>VLOOKUP($F68,'Status Thresholds'!$E:$AS,11,FALSE)</f>
        <v>0</v>
      </c>
      <c r="S68" s="50">
        <f>VLOOKUP($F68,'Status Thresholds'!$E:$AS,12,FALSE)</f>
        <v>210</v>
      </c>
      <c r="T68" s="36">
        <f>VLOOKUP($F68,'Status Thresholds'!$E:$AS,13,FALSE)</f>
        <v>490</v>
      </c>
      <c r="U68" s="36">
        <f>VLOOKUP($F68,'Status Thresholds'!$E:$AS,14,FALSE)</f>
        <v>770</v>
      </c>
      <c r="V68" s="36">
        <f>VLOOKUP($F68,'Status Thresholds'!$E:$AS,15,FALSE)</f>
        <v>1050</v>
      </c>
      <c r="W68" s="36">
        <f>VLOOKUP($F68,'Status Thresholds'!$E:$AS,16,FALSE)</f>
        <v>0</v>
      </c>
      <c r="X68" s="50">
        <f>VLOOKUP($F68,'Status Thresholds'!$E:$AS,17,FALSE)</f>
        <v>0</v>
      </c>
      <c r="Y68" s="36">
        <f>VLOOKUP($F68,'Status Thresholds'!$E:$AS,18,FALSE)</f>
        <v>0</v>
      </c>
      <c r="Z68" s="36">
        <f>VLOOKUP($F68,'Status Thresholds'!$E:$AS,19,FALSE)</f>
        <v>0</v>
      </c>
      <c r="AA68" s="36">
        <f>VLOOKUP($F68,'Status Thresholds'!$E:$AS,20,FALSE)</f>
        <v>0</v>
      </c>
      <c r="AB68" s="36">
        <f>VLOOKUP($F68,'Status Thresholds'!$E:$AS,21,FALSE)</f>
        <v>0</v>
      </c>
      <c r="AC68" s="50">
        <f>VLOOKUP($F68,'Status Thresholds'!$E:$AS,22,FALSE)</f>
        <v>225</v>
      </c>
      <c r="AD68" s="36">
        <f>VLOOKUP($F68,'Status Thresholds'!$E:$AS,23,FALSE)</f>
        <v>525</v>
      </c>
      <c r="AE68" s="36">
        <f>VLOOKUP($F68,'Status Thresholds'!$E:$AS,24,FALSE)</f>
        <v>825</v>
      </c>
      <c r="AF68" s="36">
        <f>VLOOKUP($F68,'Status Thresholds'!$E:$AS,25,FALSE)</f>
        <v>1125</v>
      </c>
      <c r="AG68" s="36">
        <f>VLOOKUP($F68,'Status Thresholds'!$E:$AS,26,FALSE)</f>
        <v>0</v>
      </c>
      <c r="AH68" s="50">
        <f>VLOOKUP($F68,'Status Thresholds'!$E:$AS,27,FALSE)</f>
        <v>0</v>
      </c>
      <c r="AI68" s="36">
        <f>VLOOKUP($F68,'Status Thresholds'!$E:$AS,28,FALSE)</f>
        <v>0</v>
      </c>
      <c r="AJ68" s="36">
        <f>VLOOKUP($F68,'Status Thresholds'!$E:$AS,29,FALSE)</f>
        <v>0</v>
      </c>
      <c r="AK68" s="36">
        <f>VLOOKUP($F68,'Status Thresholds'!$E:$AS,30,FALSE)</f>
        <v>0</v>
      </c>
      <c r="AL68" s="36">
        <f>VLOOKUP($F68,'Status Thresholds'!$E:$AS,31,FALSE)</f>
        <v>0</v>
      </c>
      <c r="AM68" s="50">
        <f>VLOOKUP($F68,'Status Thresholds'!$E:$AS,32,FALSE)</f>
        <v>300</v>
      </c>
      <c r="AN68" s="36">
        <f>VLOOKUP($F68,'Status Thresholds'!$E:$AS,33,FALSE)</f>
        <v>700</v>
      </c>
      <c r="AO68" s="36">
        <f>VLOOKUP($F68,'Status Thresholds'!$E:$AS,34,FALSE)</f>
        <v>1100</v>
      </c>
      <c r="AP68" s="36">
        <f>VLOOKUP($F68,'Status Thresholds'!$E:$AS,35,FALSE)</f>
        <v>1500</v>
      </c>
      <c r="AQ68" s="36">
        <f>VLOOKUP($F68,'Status Thresholds'!$E:$AS,36,FALSE)</f>
        <v>0</v>
      </c>
      <c r="AR68" s="50">
        <f>VLOOKUP($F68,'Status Thresholds'!$E:$AS,37,FALSE)</f>
        <v>0</v>
      </c>
      <c r="AS68" s="36">
        <f>VLOOKUP($F68,'Status Thresholds'!$E:$AS,38,FALSE)</f>
        <v>0</v>
      </c>
      <c r="AT68" s="36">
        <f>VLOOKUP($F68,'Status Thresholds'!$E:$AS,39,FALSE)</f>
        <v>0</v>
      </c>
      <c r="AU68" s="36">
        <f>VLOOKUP($F68,'Status Thresholds'!$E:$AS,40,FALSE)</f>
        <v>0</v>
      </c>
      <c r="AV68" s="36">
        <f>VLOOKUP($F68,'Status Thresholds'!$E:$AS,41,FALSE)</f>
        <v>10</v>
      </c>
      <c r="AW68">
        <v>0</v>
      </c>
      <c r="AX68">
        <v>0</v>
      </c>
    </row>
    <row r="69" spans="1:50" x14ac:dyDescent="0.25">
      <c r="A69" s="36"/>
      <c r="B69" t="s">
        <v>120</v>
      </c>
      <c r="C69" s="36" t="str">
        <f>'Status Thresholds'!B69</f>
        <v>Astalos</v>
      </c>
      <c r="E69" s="36" t="str">
        <f t="shared" si="0"/>
        <v>Astalos</v>
      </c>
      <c r="F69" s="36" t="str">
        <f>IFERROR(VLOOKUP($E69,'Status Thresholds'!$E:$AS,1,FALSE),"")</f>
        <v/>
      </c>
      <c r="G69" t="s">
        <v>21</v>
      </c>
      <c r="H69" s="55" t="str">
        <f t="shared" si="1"/>
        <v>AstalosTriblast</v>
      </c>
      <c r="I69" s="50">
        <v>1</v>
      </c>
      <c r="J69" s="36">
        <v>2</v>
      </c>
      <c r="K69" s="36">
        <v>2</v>
      </c>
      <c r="L69" s="36">
        <v>2</v>
      </c>
      <c r="M69" s="36">
        <v>0</v>
      </c>
      <c r="N69" s="50">
        <v>1</v>
      </c>
      <c r="O69" s="36">
        <v>2</v>
      </c>
      <c r="P69" s="36">
        <v>2</v>
      </c>
      <c r="Q69" s="36">
        <v>2</v>
      </c>
      <c r="R69" s="36">
        <v>0</v>
      </c>
      <c r="S69" s="50">
        <v>2</v>
      </c>
      <c r="T69" s="36">
        <v>1</v>
      </c>
      <c r="U69" s="36">
        <v>2</v>
      </c>
      <c r="V69" s="36">
        <v>2</v>
      </c>
      <c r="W69" s="36">
        <v>0</v>
      </c>
      <c r="X69" s="50">
        <v>0</v>
      </c>
      <c r="Y69" s="36">
        <v>0</v>
      </c>
      <c r="Z69" s="36">
        <v>0</v>
      </c>
      <c r="AA69" s="36">
        <v>0</v>
      </c>
      <c r="AB69" s="36">
        <v>0</v>
      </c>
      <c r="AC69" s="50">
        <v>2</v>
      </c>
      <c r="AD69" s="36">
        <v>1</v>
      </c>
      <c r="AE69" s="36">
        <v>2</v>
      </c>
      <c r="AF69" s="36">
        <v>2</v>
      </c>
      <c r="AG69" s="36">
        <v>0</v>
      </c>
      <c r="AH69" s="50">
        <v>0</v>
      </c>
      <c r="AI69" s="36">
        <v>0</v>
      </c>
      <c r="AJ69" s="36">
        <v>0</v>
      </c>
      <c r="AK69" s="36">
        <v>0</v>
      </c>
      <c r="AL69" s="36">
        <v>0</v>
      </c>
      <c r="AM69" s="50">
        <v>2</v>
      </c>
      <c r="AN69" s="36">
        <v>2</v>
      </c>
      <c r="AO69" s="36">
        <v>2</v>
      </c>
      <c r="AP69" s="36">
        <v>2</v>
      </c>
      <c r="AQ69" s="36">
        <v>0</v>
      </c>
      <c r="AR69" s="50">
        <v>0</v>
      </c>
      <c r="AS69" s="36">
        <v>0</v>
      </c>
      <c r="AT69" s="36">
        <v>0</v>
      </c>
      <c r="AU69" s="36">
        <v>0</v>
      </c>
      <c r="AV69" s="36">
        <v>0</v>
      </c>
      <c r="AW69">
        <v>0</v>
      </c>
    </row>
    <row r="70" spans="1:50" x14ac:dyDescent="0.25">
      <c r="A70" s="36"/>
      <c r="B70" t="s">
        <v>120</v>
      </c>
      <c r="C70" s="36" t="str">
        <f>'Status Thresholds'!B70</f>
        <v>Astalos</v>
      </c>
      <c r="E70" s="36" t="str">
        <f t="shared" ref="E70:E133" si="5">C70&amp;D70</f>
        <v>Astalos</v>
      </c>
      <c r="F70" s="36" t="str">
        <f>IFERROR(VLOOKUP($E70,'Status Thresholds'!$E:$AS,1,FALSE),"")</f>
        <v/>
      </c>
      <c r="G70" t="s">
        <v>13</v>
      </c>
      <c r="H70" s="55" t="str">
        <f t="shared" ref="H70:H133" si="6">E70&amp;G70</f>
        <v>AstalosCrag 3</v>
      </c>
      <c r="I70" s="50">
        <v>0</v>
      </c>
      <c r="J70" s="36">
        <v>1</v>
      </c>
      <c r="K70" s="36">
        <v>4</v>
      </c>
      <c r="L70" s="36">
        <v>4</v>
      </c>
      <c r="M70" s="36">
        <v>0</v>
      </c>
      <c r="N70" s="50">
        <v>0</v>
      </c>
      <c r="O70" s="36">
        <v>1</v>
      </c>
      <c r="P70" s="36">
        <v>4</v>
      </c>
      <c r="Q70" s="36">
        <v>4</v>
      </c>
      <c r="R70" s="36">
        <v>0</v>
      </c>
      <c r="S70" s="50">
        <v>0</v>
      </c>
      <c r="T70" s="36">
        <v>3</v>
      </c>
      <c r="U70" s="36">
        <v>4</v>
      </c>
      <c r="V70" s="36">
        <v>4</v>
      </c>
      <c r="W70" s="36">
        <v>0</v>
      </c>
      <c r="X70" s="50">
        <v>0</v>
      </c>
      <c r="Y70" s="36">
        <v>0</v>
      </c>
      <c r="Z70" s="36">
        <v>0</v>
      </c>
      <c r="AA70" s="36">
        <v>0</v>
      </c>
      <c r="AB70" s="36">
        <v>0</v>
      </c>
      <c r="AC70" s="50">
        <v>0</v>
      </c>
      <c r="AD70" s="36">
        <v>4</v>
      </c>
      <c r="AE70" s="36">
        <v>4</v>
      </c>
      <c r="AF70" s="36">
        <v>4</v>
      </c>
      <c r="AG70" s="36">
        <v>0</v>
      </c>
      <c r="AH70" s="50">
        <v>0</v>
      </c>
      <c r="AI70" s="36">
        <v>0</v>
      </c>
      <c r="AJ70" s="36">
        <v>0</v>
      </c>
      <c r="AK70" s="36">
        <v>0</v>
      </c>
      <c r="AL70" s="36">
        <v>0</v>
      </c>
      <c r="AM70" s="50">
        <v>3</v>
      </c>
      <c r="AN70" s="36">
        <v>4</v>
      </c>
      <c r="AO70" s="36">
        <v>4</v>
      </c>
      <c r="AP70" s="36">
        <v>4</v>
      </c>
      <c r="AQ70" s="36">
        <v>0</v>
      </c>
      <c r="AR70" s="50">
        <v>0</v>
      </c>
      <c r="AS70" s="36">
        <v>0</v>
      </c>
      <c r="AT70" s="36">
        <v>0</v>
      </c>
      <c r="AU70" s="36">
        <v>0</v>
      </c>
      <c r="AV70" s="36">
        <v>0</v>
      </c>
      <c r="AW70">
        <v>0</v>
      </c>
      <c r="AX70">
        <v>0</v>
      </c>
    </row>
    <row r="71" spans="1:50" x14ac:dyDescent="0.25">
      <c r="A71" s="36"/>
      <c r="B71" t="s">
        <v>120</v>
      </c>
      <c r="C71" s="36" t="str">
        <f>'Status Thresholds'!B71</f>
        <v>Astalos</v>
      </c>
      <c r="E71" s="36" t="str">
        <f t="shared" si="5"/>
        <v>Astalos</v>
      </c>
      <c r="F71" s="36" t="str">
        <f>IFERROR(VLOOKUP($E71,'Status Thresholds'!$E:$AS,1,FALSE),"")</f>
        <v/>
      </c>
      <c r="G71" t="s">
        <v>12</v>
      </c>
      <c r="H71" s="55" t="str">
        <f t="shared" si="6"/>
        <v>AstalosCrag 2</v>
      </c>
      <c r="I71" s="50">
        <v>4</v>
      </c>
      <c r="J71" s="36">
        <v>3</v>
      </c>
      <c r="K71" s="36">
        <v>4</v>
      </c>
      <c r="L71" s="36">
        <v>4</v>
      </c>
      <c r="M71" s="36">
        <v>0</v>
      </c>
      <c r="N71" s="50">
        <v>4</v>
      </c>
      <c r="O71" s="36">
        <v>3</v>
      </c>
      <c r="P71" s="36">
        <v>4</v>
      </c>
      <c r="Q71" s="36">
        <v>4</v>
      </c>
      <c r="R71" s="36">
        <v>0</v>
      </c>
      <c r="S71" s="50">
        <v>2</v>
      </c>
      <c r="T71" s="36">
        <v>4</v>
      </c>
      <c r="U71" s="36">
        <v>4</v>
      </c>
      <c r="V71" s="36">
        <v>4</v>
      </c>
      <c r="W71" s="36">
        <v>0</v>
      </c>
      <c r="X71" s="50">
        <v>0</v>
      </c>
      <c r="Y71" s="36">
        <v>0</v>
      </c>
      <c r="Z71" s="36">
        <v>0</v>
      </c>
      <c r="AA71" s="36">
        <v>0</v>
      </c>
      <c r="AB71" s="36">
        <v>0</v>
      </c>
      <c r="AC71" s="50">
        <v>0</v>
      </c>
      <c r="AD71" s="36">
        <v>3</v>
      </c>
      <c r="AE71" s="36">
        <v>4</v>
      </c>
      <c r="AF71" s="36">
        <v>4</v>
      </c>
      <c r="AG71" s="36">
        <v>0</v>
      </c>
      <c r="AH71" s="50">
        <v>0</v>
      </c>
      <c r="AI71" s="36">
        <v>0</v>
      </c>
      <c r="AJ71" s="36">
        <v>0</v>
      </c>
      <c r="AK71" s="36">
        <v>0</v>
      </c>
      <c r="AL71" s="36">
        <v>0</v>
      </c>
      <c r="AM71" s="50">
        <v>1</v>
      </c>
      <c r="AN71" s="36">
        <v>4</v>
      </c>
      <c r="AO71" s="36">
        <v>4</v>
      </c>
      <c r="AP71" s="36">
        <v>4</v>
      </c>
      <c r="AQ71" s="36">
        <v>0</v>
      </c>
      <c r="AR71" s="50">
        <v>0</v>
      </c>
      <c r="AS71" s="36">
        <v>0</v>
      </c>
      <c r="AT71" s="36">
        <v>0</v>
      </c>
      <c r="AU71" s="36">
        <v>0</v>
      </c>
      <c r="AV71" s="36">
        <v>0</v>
      </c>
      <c r="AW71">
        <v>0</v>
      </c>
      <c r="AX71">
        <v>0</v>
      </c>
    </row>
    <row r="72" spans="1:50" x14ac:dyDescent="0.25">
      <c r="A72" s="36"/>
      <c r="B72" t="s">
        <v>120</v>
      </c>
      <c r="C72" s="36" t="str">
        <f>'Status Thresholds'!B72</f>
        <v>Astalos</v>
      </c>
      <c r="E72" s="36" t="str">
        <f t="shared" si="5"/>
        <v>Astalos</v>
      </c>
      <c r="F72" s="36" t="str">
        <f>IFERROR(VLOOKUP($E72,'Status Thresholds'!$E:$AS,1,FALSE),"")</f>
        <v/>
      </c>
      <c r="G72" t="s">
        <v>11</v>
      </c>
      <c r="H72" s="55" t="str">
        <f t="shared" si="6"/>
        <v>AstalosCrag 1</v>
      </c>
      <c r="I72" s="50">
        <v>0</v>
      </c>
      <c r="J72" s="36">
        <v>7</v>
      </c>
      <c r="K72" s="36">
        <v>8</v>
      </c>
      <c r="L72" s="36">
        <v>8</v>
      </c>
      <c r="M72" s="36">
        <v>0</v>
      </c>
      <c r="N72" s="50">
        <v>0</v>
      </c>
      <c r="O72" s="36">
        <v>7</v>
      </c>
      <c r="P72" s="36">
        <v>8</v>
      </c>
      <c r="Q72" s="36">
        <v>8</v>
      </c>
      <c r="R72" s="36">
        <v>0</v>
      </c>
      <c r="S72" s="50">
        <v>0</v>
      </c>
      <c r="T72" s="36">
        <v>7</v>
      </c>
      <c r="U72" s="36">
        <v>8</v>
      </c>
      <c r="V72" s="36">
        <v>8</v>
      </c>
      <c r="W72" s="36">
        <v>0</v>
      </c>
      <c r="X72" s="50">
        <v>0</v>
      </c>
      <c r="Y72" s="36">
        <v>0</v>
      </c>
      <c r="Z72" s="36">
        <v>0</v>
      </c>
      <c r="AA72" s="36">
        <v>0</v>
      </c>
      <c r="AB72" s="36">
        <v>0</v>
      </c>
      <c r="AC72" s="50">
        <v>3</v>
      </c>
      <c r="AD72" s="36">
        <v>8</v>
      </c>
      <c r="AE72" s="36">
        <v>8</v>
      </c>
      <c r="AF72" s="36">
        <v>8</v>
      </c>
      <c r="AG72" s="36">
        <v>0</v>
      </c>
      <c r="AH72" s="50">
        <v>0</v>
      </c>
      <c r="AI72" s="36">
        <v>0</v>
      </c>
      <c r="AJ72" s="36">
        <v>0</v>
      </c>
      <c r="AK72" s="36">
        <v>0</v>
      </c>
      <c r="AL72" s="36">
        <v>0</v>
      </c>
      <c r="AM72" s="50">
        <v>0</v>
      </c>
      <c r="AN72" s="36">
        <v>8</v>
      </c>
      <c r="AO72" s="36">
        <v>8</v>
      </c>
      <c r="AP72" s="36">
        <v>8</v>
      </c>
      <c r="AQ72" s="36">
        <v>0</v>
      </c>
      <c r="AR72" s="50">
        <v>0</v>
      </c>
      <c r="AS72" s="36">
        <v>0</v>
      </c>
      <c r="AT72" s="36">
        <v>0</v>
      </c>
      <c r="AU72" s="36">
        <v>0</v>
      </c>
      <c r="AV72" s="36">
        <v>1</v>
      </c>
      <c r="AW72">
        <v>0</v>
      </c>
      <c r="AX72">
        <v>0</v>
      </c>
    </row>
    <row r="73" spans="1:50" x14ac:dyDescent="0.25">
      <c r="A73" s="36"/>
      <c r="B73" t="s">
        <v>119</v>
      </c>
      <c r="C73" s="36" t="str">
        <f>'Status Thresholds'!B73</f>
        <v>Astalos</v>
      </c>
      <c r="E73" s="36" t="str">
        <f t="shared" si="5"/>
        <v>Astalos</v>
      </c>
      <c r="F73" s="36" t="str">
        <f>IFERROR(VLOOKUP($E73,'Status Thresholds'!$E:$AS,1,FALSE),"")</f>
        <v/>
      </c>
      <c r="G73" t="s">
        <v>21</v>
      </c>
      <c r="H73" s="55" t="str">
        <f t="shared" si="6"/>
        <v>AstalosTriblast</v>
      </c>
      <c r="I73" s="50">
        <v>2</v>
      </c>
      <c r="J73" s="36">
        <v>2</v>
      </c>
      <c r="K73" s="36">
        <v>2</v>
      </c>
      <c r="L73" s="36">
        <v>2</v>
      </c>
      <c r="M73" s="36">
        <v>0</v>
      </c>
      <c r="N73" s="50">
        <v>2</v>
      </c>
      <c r="O73" s="36">
        <v>2</v>
      </c>
      <c r="P73" s="36">
        <v>2</v>
      </c>
      <c r="Q73" s="36">
        <v>2</v>
      </c>
      <c r="R73" s="36">
        <v>0</v>
      </c>
      <c r="S73" s="50">
        <v>0</v>
      </c>
      <c r="T73" s="36">
        <v>1</v>
      </c>
      <c r="U73" s="36">
        <v>2</v>
      </c>
      <c r="V73" s="36">
        <v>2</v>
      </c>
      <c r="W73" s="36">
        <v>0</v>
      </c>
      <c r="X73" s="50">
        <v>0</v>
      </c>
      <c r="Y73" s="36">
        <v>0</v>
      </c>
      <c r="Z73" s="36">
        <v>0</v>
      </c>
      <c r="AA73" s="36">
        <v>0</v>
      </c>
      <c r="AB73" s="36">
        <v>0</v>
      </c>
      <c r="AC73" s="50">
        <v>0</v>
      </c>
      <c r="AD73" s="36">
        <v>2</v>
      </c>
      <c r="AE73" s="36">
        <v>2</v>
      </c>
      <c r="AF73" s="36">
        <v>2</v>
      </c>
      <c r="AG73" s="36">
        <v>0</v>
      </c>
      <c r="AH73" s="50">
        <v>0</v>
      </c>
      <c r="AI73" s="36">
        <v>0</v>
      </c>
      <c r="AJ73" s="36">
        <v>0</v>
      </c>
      <c r="AK73" s="36">
        <v>0</v>
      </c>
      <c r="AL73" s="36">
        <v>0</v>
      </c>
      <c r="AM73" s="50">
        <v>1</v>
      </c>
      <c r="AN73" s="36">
        <v>2</v>
      </c>
      <c r="AO73" s="36">
        <v>2</v>
      </c>
      <c r="AP73" s="36">
        <v>2</v>
      </c>
      <c r="AQ73" s="36">
        <v>0</v>
      </c>
      <c r="AR73" s="50">
        <v>0</v>
      </c>
      <c r="AS73" s="36">
        <v>0</v>
      </c>
      <c r="AT73" s="36">
        <v>0</v>
      </c>
      <c r="AU73" s="36">
        <v>0</v>
      </c>
      <c r="AV73" s="36">
        <v>0</v>
      </c>
      <c r="AW73">
        <v>0</v>
      </c>
      <c r="AX73">
        <v>0</v>
      </c>
    </row>
    <row r="74" spans="1:50" x14ac:dyDescent="0.25">
      <c r="A74" s="36"/>
      <c r="B74" t="s">
        <v>119</v>
      </c>
      <c r="C74" s="36" t="str">
        <f>'Status Thresholds'!B74</f>
        <v>Astalos</v>
      </c>
      <c r="E74" s="36" t="str">
        <f t="shared" si="5"/>
        <v>Astalos</v>
      </c>
      <c r="F74" s="36" t="str">
        <f>IFERROR(VLOOKUP($E74,'Status Thresholds'!$E:$AS,1,FALSE),"")</f>
        <v/>
      </c>
      <c r="G74" t="s">
        <v>13</v>
      </c>
      <c r="H74" s="55" t="str">
        <f t="shared" si="6"/>
        <v>AstalosCrag 3</v>
      </c>
      <c r="I74" s="50">
        <v>0</v>
      </c>
      <c r="J74" s="36">
        <v>1</v>
      </c>
      <c r="K74" s="36">
        <v>4</v>
      </c>
      <c r="L74" s="36">
        <v>4</v>
      </c>
      <c r="M74" s="36">
        <v>0</v>
      </c>
      <c r="N74" s="50">
        <v>0</v>
      </c>
      <c r="O74" s="36">
        <v>1</v>
      </c>
      <c r="P74" s="36">
        <v>4</v>
      </c>
      <c r="Q74" s="36">
        <v>4</v>
      </c>
      <c r="R74" s="36">
        <v>0</v>
      </c>
      <c r="S74" s="50">
        <v>1</v>
      </c>
      <c r="T74" s="36">
        <v>2</v>
      </c>
      <c r="U74" s="36">
        <v>4</v>
      </c>
      <c r="V74" s="36">
        <v>4</v>
      </c>
      <c r="W74" s="36">
        <v>0</v>
      </c>
      <c r="X74" s="50">
        <v>0</v>
      </c>
      <c r="Y74" s="36">
        <v>0</v>
      </c>
      <c r="Z74" s="36">
        <v>0</v>
      </c>
      <c r="AA74" s="36">
        <v>0</v>
      </c>
      <c r="AB74" s="36">
        <v>0</v>
      </c>
      <c r="AC74" s="50">
        <v>3</v>
      </c>
      <c r="AD74" s="36">
        <v>4</v>
      </c>
      <c r="AE74" s="36">
        <v>4</v>
      </c>
      <c r="AF74" s="36">
        <v>4</v>
      </c>
      <c r="AG74" s="36">
        <v>0</v>
      </c>
      <c r="AH74" s="50">
        <v>0</v>
      </c>
      <c r="AI74" s="36">
        <v>0</v>
      </c>
      <c r="AJ74" s="36">
        <v>0</v>
      </c>
      <c r="AK74" s="36">
        <v>0</v>
      </c>
      <c r="AL74" s="36">
        <v>0</v>
      </c>
      <c r="AM74" s="50">
        <v>3</v>
      </c>
      <c r="AN74" s="36">
        <v>4</v>
      </c>
      <c r="AO74" s="36">
        <v>4</v>
      </c>
      <c r="AP74" s="36">
        <v>4</v>
      </c>
      <c r="AQ74" s="36">
        <v>0</v>
      </c>
      <c r="AR74" s="50">
        <v>0</v>
      </c>
      <c r="AS74" s="36">
        <v>0</v>
      </c>
      <c r="AT74" s="36">
        <v>0</v>
      </c>
      <c r="AU74" s="36">
        <v>0</v>
      </c>
      <c r="AV74" s="36">
        <v>0</v>
      </c>
      <c r="AW74">
        <v>0</v>
      </c>
      <c r="AX74">
        <v>0</v>
      </c>
    </row>
    <row r="75" spans="1:50" x14ac:dyDescent="0.25">
      <c r="A75" s="36"/>
      <c r="B75" t="s">
        <v>119</v>
      </c>
      <c r="C75" s="36" t="str">
        <f>'Status Thresholds'!B75</f>
        <v>Astalos</v>
      </c>
      <c r="E75" s="36" t="str">
        <f t="shared" si="5"/>
        <v>Astalos</v>
      </c>
      <c r="F75" s="36" t="str">
        <f>IFERROR(VLOOKUP($E75,'Status Thresholds'!$E:$AS,1,FALSE),"")</f>
        <v/>
      </c>
      <c r="G75" t="s">
        <v>12</v>
      </c>
      <c r="H75" s="55" t="str">
        <f t="shared" si="6"/>
        <v>AstalosCrag 2</v>
      </c>
      <c r="I75" s="50">
        <v>1</v>
      </c>
      <c r="J75" s="36">
        <v>1</v>
      </c>
      <c r="K75" s="36">
        <v>4</v>
      </c>
      <c r="L75" s="36">
        <v>4</v>
      </c>
      <c r="M75" s="36">
        <v>0</v>
      </c>
      <c r="N75" s="50">
        <v>1</v>
      </c>
      <c r="O75" s="36">
        <v>1</v>
      </c>
      <c r="P75" s="36">
        <v>4</v>
      </c>
      <c r="Q75" s="36">
        <v>4</v>
      </c>
      <c r="R75" s="36">
        <v>0</v>
      </c>
      <c r="S75" s="50">
        <v>1</v>
      </c>
      <c r="T75" s="36">
        <v>4</v>
      </c>
      <c r="U75" s="36">
        <v>4</v>
      </c>
      <c r="V75" s="36">
        <v>4</v>
      </c>
      <c r="W75" s="36">
        <v>0</v>
      </c>
      <c r="X75" s="50">
        <v>0</v>
      </c>
      <c r="Y75" s="36">
        <v>0</v>
      </c>
      <c r="Z75" s="36">
        <v>0</v>
      </c>
      <c r="AA75" s="36">
        <v>0</v>
      </c>
      <c r="AB75" s="36">
        <v>0</v>
      </c>
      <c r="AC75" s="50">
        <v>2</v>
      </c>
      <c r="AD75" s="36">
        <v>0</v>
      </c>
      <c r="AE75" s="36">
        <v>4</v>
      </c>
      <c r="AF75" s="36">
        <v>4</v>
      </c>
      <c r="AG75" s="36">
        <v>0</v>
      </c>
      <c r="AH75" s="50">
        <v>0</v>
      </c>
      <c r="AI75" s="36">
        <v>0</v>
      </c>
      <c r="AJ75" s="36">
        <v>0</v>
      </c>
      <c r="AK75" s="36">
        <v>0</v>
      </c>
      <c r="AL75" s="36">
        <v>0</v>
      </c>
      <c r="AM75" s="50">
        <v>1</v>
      </c>
      <c r="AN75" s="36">
        <v>4</v>
      </c>
      <c r="AO75" s="36">
        <v>4</v>
      </c>
      <c r="AP75" s="36">
        <v>4</v>
      </c>
      <c r="AQ75" s="36">
        <v>0</v>
      </c>
      <c r="AR75" s="50">
        <v>0</v>
      </c>
      <c r="AS75" s="36">
        <v>0</v>
      </c>
      <c r="AT75" s="36">
        <v>0</v>
      </c>
      <c r="AU75" s="36">
        <v>0</v>
      </c>
      <c r="AV75" s="36">
        <v>0</v>
      </c>
      <c r="AW75">
        <v>0</v>
      </c>
      <c r="AX75">
        <v>0</v>
      </c>
    </row>
    <row r="76" spans="1:50" x14ac:dyDescent="0.25">
      <c r="A76" s="36"/>
      <c r="B76" t="s">
        <v>119</v>
      </c>
      <c r="C76" s="36" t="str">
        <f>'Status Thresholds'!B76</f>
        <v>Astalos</v>
      </c>
      <c r="E76" s="36" t="str">
        <f t="shared" si="5"/>
        <v>Astalos</v>
      </c>
      <c r="F76" s="36" t="str">
        <f>IFERROR(VLOOKUP($E76,'Status Thresholds'!$E:$AS,1,FALSE),"")</f>
        <v/>
      </c>
      <c r="G76" t="s">
        <v>11</v>
      </c>
      <c r="H76" s="55" t="str">
        <f t="shared" si="6"/>
        <v>AstalosCrag 1</v>
      </c>
      <c r="I76" s="50">
        <v>0</v>
      </c>
      <c r="J76" s="36">
        <v>8</v>
      </c>
      <c r="K76" s="36">
        <v>8</v>
      </c>
      <c r="L76" s="36">
        <v>8</v>
      </c>
      <c r="M76" s="36">
        <v>0</v>
      </c>
      <c r="N76" s="50">
        <v>0</v>
      </c>
      <c r="O76" s="36">
        <v>8</v>
      </c>
      <c r="P76" s="36">
        <v>8</v>
      </c>
      <c r="Q76" s="36">
        <v>8</v>
      </c>
      <c r="R76" s="36">
        <v>0</v>
      </c>
      <c r="S76" s="50">
        <v>5</v>
      </c>
      <c r="T76" s="36">
        <v>7</v>
      </c>
      <c r="U76" s="36">
        <v>8</v>
      </c>
      <c r="V76" s="36">
        <v>8</v>
      </c>
      <c r="W76" s="36">
        <v>0</v>
      </c>
      <c r="X76" s="50">
        <v>0</v>
      </c>
      <c r="Y76" s="36">
        <v>0</v>
      </c>
      <c r="Z76" s="36">
        <v>0</v>
      </c>
      <c r="AA76" s="36">
        <v>0</v>
      </c>
      <c r="AB76" s="36">
        <v>0</v>
      </c>
      <c r="AC76" s="50">
        <v>1</v>
      </c>
      <c r="AD76" s="36">
        <v>7</v>
      </c>
      <c r="AE76" s="36">
        <v>8</v>
      </c>
      <c r="AF76" s="36">
        <v>8</v>
      </c>
      <c r="AG76" s="36">
        <v>0</v>
      </c>
      <c r="AH76" s="50">
        <v>0</v>
      </c>
      <c r="AI76" s="36">
        <v>0</v>
      </c>
      <c r="AJ76" s="36">
        <v>0</v>
      </c>
      <c r="AK76" s="36">
        <v>0</v>
      </c>
      <c r="AL76" s="36">
        <v>0</v>
      </c>
      <c r="AM76" s="50">
        <v>2</v>
      </c>
      <c r="AN76" s="36">
        <v>8</v>
      </c>
      <c r="AO76" s="36">
        <v>8</v>
      </c>
      <c r="AP76" s="36">
        <v>8</v>
      </c>
      <c r="AQ76" s="36">
        <v>0</v>
      </c>
      <c r="AR76" s="50">
        <v>0</v>
      </c>
      <c r="AS76" s="36">
        <v>0</v>
      </c>
      <c r="AT76" s="36">
        <v>0</v>
      </c>
      <c r="AU76" s="36">
        <v>0</v>
      </c>
      <c r="AV76" s="36">
        <v>1</v>
      </c>
      <c r="AW76">
        <v>0</v>
      </c>
      <c r="AX76">
        <v>0</v>
      </c>
    </row>
    <row r="77" spans="1:50" x14ac:dyDescent="0.25">
      <c r="A77" s="36"/>
      <c r="B77" t="s">
        <v>121</v>
      </c>
      <c r="C77" s="36" t="str">
        <f>'Status Thresholds'!B77</f>
        <v>Barioth</v>
      </c>
      <c r="D77" t="s">
        <v>14</v>
      </c>
      <c r="E77" s="36" t="str">
        <f t="shared" si="5"/>
        <v>BariothKO</v>
      </c>
      <c r="F77" s="36" t="str">
        <f>IFERROR(VLOOKUP($E77,'Status Thresholds'!$E:$AS,1,FALSE),"")</f>
        <v>BariothKO</v>
      </c>
      <c r="H77" s="55" t="str">
        <f t="shared" si="6"/>
        <v>BariothKO</v>
      </c>
      <c r="I77" s="50">
        <f>VLOOKUP($F77,'Status Thresholds'!$E:$AS,2,FALSE)</f>
        <v>160</v>
      </c>
      <c r="J77" s="36">
        <f>VLOOKUP($F77,'Status Thresholds'!$E:$AS,3,FALSE)</f>
        <v>339</v>
      </c>
      <c r="K77" s="36">
        <f>VLOOKUP($F77,'Status Thresholds'!$E:$AS,4,FALSE)</f>
        <v>518</v>
      </c>
      <c r="L77" s="36">
        <f>VLOOKUP($F77,'Status Thresholds'!$E:$AS,5,FALSE)</f>
        <v>697</v>
      </c>
      <c r="M77" s="36">
        <f>VLOOKUP($F77,'Status Thresholds'!$E:$AS,6,FALSE)</f>
        <v>0</v>
      </c>
      <c r="N77" s="50">
        <f>VLOOKUP($F77,'Status Thresholds'!$E:$AS,7,FALSE)</f>
        <v>0</v>
      </c>
      <c r="O77" s="36">
        <f>VLOOKUP($F77,'Status Thresholds'!$E:$AS,8,FALSE)</f>
        <v>0</v>
      </c>
      <c r="P77" s="36">
        <f>VLOOKUP($F77,'Status Thresholds'!$E:$AS,9,FALSE)</f>
        <v>0</v>
      </c>
      <c r="Q77" s="36">
        <f>VLOOKUP($F77,'Status Thresholds'!$E:$AS,10,FALSE)</f>
        <v>0</v>
      </c>
      <c r="R77" s="36">
        <f>VLOOKUP($F77,'Status Thresholds'!$E:$AS,11,FALSE)</f>
        <v>0</v>
      </c>
      <c r="S77" s="50">
        <f>VLOOKUP($F77,'Status Thresholds'!$E:$AS,12,FALSE)</f>
        <v>0</v>
      </c>
      <c r="T77" s="36">
        <f>VLOOKUP($F77,'Status Thresholds'!$E:$AS,13,FALSE)</f>
        <v>0</v>
      </c>
      <c r="U77" s="36">
        <f>VLOOKUP($F77,'Status Thresholds'!$E:$AS,14,FALSE)</f>
        <v>0</v>
      </c>
      <c r="V77" s="36">
        <f>VLOOKUP($F77,'Status Thresholds'!$E:$AS,15,FALSE)</f>
        <v>0</v>
      </c>
      <c r="W77" s="36">
        <f>VLOOKUP($F77,'Status Thresholds'!$E:$AS,16,FALSE)</f>
        <v>0</v>
      </c>
      <c r="X77" s="50">
        <f>VLOOKUP($F77,'Status Thresholds'!$E:$AS,17,FALSE)</f>
        <v>0</v>
      </c>
      <c r="Y77" s="36">
        <f>VLOOKUP($F77,'Status Thresholds'!$E:$AS,18,FALSE)</f>
        <v>0</v>
      </c>
      <c r="Z77" s="36">
        <f>VLOOKUP($F77,'Status Thresholds'!$E:$AS,19,FALSE)</f>
        <v>0</v>
      </c>
      <c r="AA77" s="36">
        <f>VLOOKUP($F77,'Status Thresholds'!$E:$AS,20,FALSE)</f>
        <v>0</v>
      </c>
      <c r="AB77" s="36">
        <f>VLOOKUP($F77,'Status Thresholds'!$E:$AS,21,FALSE)</f>
        <v>0</v>
      </c>
      <c r="AC77" s="50">
        <f>VLOOKUP($F77,'Status Thresholds'!$E:$AS,22,FALSE)</f>
        <v>195</v>
      </c>
      <c r="AD77" s="36">
        <f>VLOOKUP($F77,'Status Thresholds'!$E:$AS,23,FALSE)</f>
        <v>390</v>
      </c>
      <c r="AE77" s="36">
        <f>VLOOKUP($F77,'Status Thresholds'!$E:$AS,24,FALSE)</f>
        <v>585</v>
      </c>
      <c r="AF77" s="36">
        <f>VLOOKUP($F77,'Status Thresholds'!$E:$AS,25,FALSE)</f>
        <v>780</v>
      </c>
      <c r="AG77" s="36">
        <f>VLOOKUP($F77,'Status Thresholds'!$E:$AS,26,FALSE)</f>
        <v>0</v>
      </c>
      <c r="AH77" s="50">
        <f>VLOOKUP($F77,'Status Thresholds'!$E:$AS,27,FALSE)</f>
        <v>0</v>
      </c>
      <c r="AI77" s="36">
        <f>VLOOKUP($F77,'Status Thresholds'!$E:$AS,28,FALSE)</f>
        <v>0</v>
      </c>
      <c r="AJ77" s="36">
        <f>VLOOKUP($F77,'Status Thresholds'!$E:$AS,29,FALSE)</f>
        <v>0</v>
      </c>
      <c r="AK77" s="36">
        <f>VLOOKUP($F77,'Status Thresholds'!$E:$AS,30,FALSE)</f>
        <v>0</v>
      </c>
      <c r="AL77" s="36">
        <f>VLOOKUP($F77,'Status Thresholds'!$E:$AS,31,FALSE)</f>
        <v>0</v>
      </c>
      <c r="AM77" s="50">
        <f>VLOOKUP($F77,'Status Thresholds'!$E:$AS,32,FALSE)</f>
        <v>260</v>
      </c>
      <c r="AN77" s="36">
        <f>VLOOKUP($F77,'Status Thresholds'!$E:$AS,33,FALSE)</f>
        <v>520</v>
      </c>
      <c r="AO77" s="36">
        <f>VLOOKUP($F77,'Status Thresholds'!$E:$AS,34,FALSE)</f>
        <v>780</v>
      </c>
      <c r="AP77" s="36">
        <f>VLOOKUP($F77,'Status Thresholds'!$E:$AS,35,FALSE)</f>
        <v>1040</v>
      </c>
      <c r="AQ77" s="36">
        <f>VLOOKUP($F77,'Status Thresholds'!$E:$AS,36,FALSE)</f>
        <v>0</v>
      </c>
      <c r="AR77" s="50">
        <f>VLOOKUP($F77,'Status Thresholds'!$E:$AS,37,FALSE)</f>
        <v>0</v>
      </c>
      <c r="AS77" s="36">
        <f>VLOOKUP($F77,'Status Thresholds'!$E:$AS,38,FALSE)</f>
        <v>0</v>
      </c>
      <c r="AT77" s="36">
        <f>VLOOKUP($F77,'Status Thresholds'!$E:$AS,39,FALSE)</f>
        <v>0</v>
      </c>
      <c r="AU77" s="36">
        <f>VLOOKUP($F77,'Status Thresholds'!$E:$AS,40,FALSE)</f>
        <v>0</v>
      </c>
      <c r="AV77" s="36">
        <f>VLOOKUP($F77,'Status Thresholds'!$E:$AS,41,FALSE)</f>
        <v>10</v>
      </c>
      <c r="AW77">
        <v>0</v>
      </c>
      <c r="AX77">
        <v>0</v>
      </c>
    </row>
    <row r="78" spans="1:50" x14ac:dyDescent="0.25">
      <c r="A78" s="36"/>
      <c r="B78" t="s">
        <v>120</v>
      </c>
      <c r="C78" s="36" t="str">
        <f>'Status Thresholds'!B78</f>
        <v>Barioth</v>
      </c>
      <c r="E78" s="36" t="str">
        <f t="shared" si="5"/>
        <v>Barioth</v>
      </c>
      <c r="F78" s="36" t="str">
        <f>IFERROR(VLOOKUP($E78,'Status Thresholds'!$E:$AS,1,FALSE),"")</f>
        <v/>
      </c>
      <c r="G78" t="s">
        <v>21</v>
      </c>
      <c r="H78" s="55" t="str">
        <f t="shared" si="6"/>
        <v>BariothTriblast</v>
      </c>
      <c r="I78" s="50">
        <v>1</v>
      </c>
      <c r="J78" s="36">
        <v>1</v>
      </c>
      <c r="K78" s="36">
        <v>2</v>
      </c>
      <c r="L78" s="36">
        <v>2</v>
      </c>
      <c r="M78" s="36">
        <v>0</v>
      </c>
      <c r="N78" s="50">
        <v>0</v>
      </c>
      <c r="O78" s="36">
        <v>0</v>
      </c>
      <c r="P78" s="36">
        <v>0</v>
      </c>
      <c r="Q78" s="36">
        <v>0</v>
      </c>
      <c r="R78" s="36">
        <v>0</v>
      </c>
      <c r="S78" s="50">
        <v>0</v>
      </c>
      <c r="T78" s="36">
        <v>0</v>
      </c>
      <c r="U78" s="36">
        <v>0</v>
      </c>
      <c r="V78" s="36">
        <v>0</v>
      </c>
      <c r="W78" s="36">
        <v>0</v>
      </c>
      <c r="X78" s="50">
        <v>0</v>
      </c>
      <c r="Y78" s="36">
        <v>0</v>
      </c>
      <c r="Z78" s="36">
        <v>0</v>
      </c>
      <c r="AA78" s="36">
        <v>0</v>
      </c>
      <c r="AB78" s="36">
        <v>0</v>
      </c>
      <c r="AC78" s="50">
        <v>1</v>
      </c>
      <c r="AD78" s="36">
        <v>2</v>
      </c>
      <c r="AE78" s="36">
        <v>2</v>
      </c>
      <c r="AF78" s="36">
        <v>2</v>
      </c>
      <c r="AG78" s="36">
        <v>0</v>
      </c>
      <c r="AH78" s="50">
        <v>0</v>
      </c>
      <c r="AI78" s="36">
        <v>0</v>
      </c>
      <c r="AJ78" s="36">
        <v>0</v>
      </c>
      <c r="AK78" s="36">
        <v>0</v>
      </c>
      <c r="AL78" s="36">
        <v>0</v>
      </c>
      <c r="AM78" s="50">
        <v>2</v>
      </c>
      <c r="AN78" s="36">
        <v>2</v>
      </c>
      <c r="AO78" s="36">
        <v>2</v>
      </c>
      <c r="AP78" s="36">
        <v>2</v>
      </c>
      <c r="AQ78" s="36">
        <v>0</v>
      </c>
      <c r="AR78" s="50">
        <v>0</v>
      </c>
      <c r="AS78" s="36">
        <v>0</v>
      </c>
      <c r="AT78" s="36">
        <v>0</v>
      </c>
      <c r="AU78" s="36">
        <v>0</v>
      </c>
      <c r="AV78" s="36">
        <v>0</v>
      </c>
      <c r="AW78">
        <v>0</v>
      </c>
    </row>
    <row r="79" spans="1:50" x14ac:dyDescent="0.25">
      <c r="A79" s="36"/>
      <c r="B79" t="s">
        <v>120</v>
      </c>
      <c r="C79" s="36" t="str">
        <f>'Status Thresholds'!B79</f>
        <v>Barioth</v>
      </c>
      <c r="E79" s="36" t="str">
        <f t="shared" si="5"/>
        <v>Barioth</v>
      </c>
      <c r="F79" s="36" t="str">
        <f>IFERROR(VLOOKUP($E79,'Status Thresholds'!$E:$AS,1,FALSE),"")</f>
        <v/>
      </c>
      <c r="G79" t="s">
        <v>13</v>
      </c>
      <c r="H79" s="55" t="str">
        <f t="shared" si="6"/>
        <v>BariothCrag 3</v>
      </c>
      <c r="I79" s="50">
        <v>0</v>
      </c>
      <c r="J79" s="36">
        <v>0</v>
      </c>
      <c r="K79" s="36">
        <v>2</v>
      </c>
      <c r="L79" s="36">
        <v>4</v>
      </c>
      <c r="M79" s="36">
        <v>0</v>
      </c>
      <c r="N79" s="50">
        <v>0</v>
      </c>
      <c r="O79" s="36">
        <v>0</v>
      </c>
      <c r="P79" s="36">
        <v>0</v>
      </c>
      <c r="Q79" s="36">
        <v>0</v>
      </c>
      <c r="R79" s="36">
        <v>0</v>
      </c>
      <c r="S79" s="50">
        <v>0</v>
      </c>
      <c r="T79" s="36">
        <v>0</v>
      </c>
      <c r="U79" s="36">
        <v>0</v>
      </c>
      <c r="V79" s="36">
        <v>0</v>
      </c>
      <c r="W79" s="36">
        <v>0</v>
      </c>
      <c r="X79" s="50">
        <v>0</v>
      </c>
      <c r="Y79" s="36">
        <v>0</v>
      </c>
      <c r="Z79" s="36">
        <v>0</v>
      </c>
      <c r="AA79" s="36">
        <v>0</v>
      </c>
      <c r="AB79" s="36">
        <v>0</v>
      </c>
      <c r="AC79" s="50">
        <v>0</v>
      </c>
      <c r="AD79" s="36">
        <v>4</v>
      </c>
      <c r="AE79" s="36">
        <v>3</v>
      </c>
      <c r="AF79" s="36">
        <v>4</v>
      </c>
      <c r="AG79" s="36">
        <v>0</v>
      </c>
      <c r="AH79" s="50">
        <v>0</v>
      </c>
      <c r="AI79" s="36">
        <v>0</v>
      </c>
      <c r="AJ79" s="36">
        <v>0</v>
      </c>
      <c r="AK79" s="36">
        <v>0</v>
      </c>
      <c r="AL79" s="36">
        <v>0</v>
      </c>
      <c r="AM79" s="50">
        <v>2</v>
      </c>
      <c r="AN79" s="36">
        <v>2</v>
      </c>
      <c r="AO79" s="36">
        <v>4</v>
      </c>
      <c r="AP79" s="36">
        <v>4</v>
      </c>
      <c r="AQ79" s="36">
        <v>0</v>
      </c>
      <c r="AR79" s="50">
        <v>0</v>
      </c>
      <c r="AS79" s="36">
        <v>0</v>
      </c>
      <c r="AT79" s="36">
        <v>0</v>
      </c>
      <c r="AU79" s="36">
        <v>0</v>
      </c>
      <c r="AV79" s="36">
        <v>0</v>
      </c>
      <c r="AW79">
        <v>0</v>
      </c>
      <c r="AX79">
        <v>0</v>
      </c>
    </row>
    <row r="80" spans="1:50" x14ac:dyDescent="0.25">
      <c r="A80" s="36"/>
      <c r="B80" t="s">
        <v>120</v>
      </c>
      <c r="C80" s="36" t="str">
        <f>'Status Thresholds'!B80</f>
        <v>Barioth</v>
      </c>
      <c r="E80" s="36" t="str">
        <f t="shared" si="5"/>
        <v>Barioth</v>
      </c>
      <c r="F80" s="36" t="str">
        <f>IFERROR(VLOOKUP($E80,'Status Thresholds'!$E:$AS,1,FALSE),"")</f>
        <v/>
      </c>
      <c r="G80" t="s">
        <v>12</v>
      </c>
      <c r="H80" s="55" t="str">
        <f t="shared" si="6"/>
        <v>BariothCrag 2</v>
      </c>
      <c r="I80" s="50">
        <v>2</v>
      </c>
      <c r="J80" s="36">
        <v>3</v>
      </c>
      <c r="K80" s="36">
        <v>3</v>
      </c>
      <c r="L80" s="36">
        <v>4</v>
      </c>
      <c r="M80" s="36">
        <v>0</v>
      </c>
      <c r="N80" s="50">
        <v>0</v>
      </c>
      <c r="O80" s="36">
        <v>0</v>
      </c>
      <c r="P80" s="36">
        <v>0</v>
      </c>
      <c r="Q80" s="36">
        <v>0</v>
      </c>
      <c r="R80" s="36">
        <v>0</v>
      </c>
      <c r="S80" s="50">
        <v>0</v>
      </c>
      <c r="T80" s="36">
        <v>0</v>
      </c>
      <c r="U80" s="36">
        <v>0</v>
      </c>
      <c r="V80" s="36">
        <v>0</v>
      </c>
      <c r="W80" s="36">
        <v>0</v>
      </c>
      <c r="X80" s="50">
        <v>0</v>
      </c>
      <c r="Y80" s="36">
        <v>0</v>
      </c>
      <c r="Z80" s="36">
        <v>0</v>
      </c>
      <c r="AA80" s="36">
        <v>0</v>
      </c>
      <c r="AB80" s="36">
        <v>0</v>
      </c>
      <c r="AC80" s="50">
        <v>4</v>
      </c>
      <c r="AD80" s="36">
        <v>1</v>
      </c>
      <c r="AE80" s="36">
        <v>4</v>
      </c>
      <c r="AF80" s="36">
        <v>4</v>
      </c>
      <c r="AG80" s="36">
        <v>0</v>
      </c>
      <c r="AH80" s="50">
        <v>0</v>
      </c>
      <c r="AI80" s="36">
        <v>0</v>
      </c>
      <c r="AJ80" s="36">
        <v>0</v>
      </c>
      <c r="AK80" s="36">
        <v>0</v>
      </c>
      <c r="AL80" s="36">
        <v>0</v>
      </c>
      <c r="AM80" s="50">
        <v>1</v>
      </c>
      <c r="AN80" s="36">
        <v>3</v>
      </c>
      <c r="AO80" s="36">
        <v>4</v>
      </c>
      <c r="AP80" s="36">
        <v>4</v>
      </c>
      <c r="AQ80" s="36">
        <v>0</v>
      </c>
      <c r="AR80" s="50">
        <v>0</v>
      </c>
      <c r="AS80" s="36">
        <v>0</v>
      </c>
      <c r="AT80" s="36">
        <v>0</v>
      </c>
      <c r="AU80" s="36">
        <v>0</v>
      </c>
      <c r="AV80" s="36">
        <v>0</v>
      </c>
      <c r="AW80">
        <v>0</v>
      </c>
      <c r="AX80">
        <v>0</v>
      </c>
    </row>
    <row r="81" spans="1:50" x14ac:dyDescent="0.25">
      <c r="A81" s="36"/>
      <c r="B81" t="s">
        <v>120</v>
      </c>
      <c r="C81" s="36" t="str">
        <f>'Status Thresholds'!B81</f>
        <v>Barioth</v>
      </c>
      <c r="E81" s="36" t="str">
        <f t="shared" si="5"/>
        <v>Barioth</v>
      </c>
      <c r="F81" s="36" t="str">
        <f>IFERROR(VLOOKUP($E81,'Status Thresholds'!$E:$AS,1,FALSE),"")</f>
        <v/>
      </c>
      <c r="G81" t="s">
        <v>11</v>
      </c>
      <c r="H81" s="55" t="str">
        <f t="shared" si="6"/>
        <v>BariothCrag 1</v>
      </c>
      <c r="I81" s="50">
        <v>1</v>
      </c>
      <c r="J81" s="36">
        <v>7</v>
      </c>
      <c r="K81" s="36">
        <v>8</v>
      </c>
      <c r="L81" s="36">
        <v>8</v>
      </c>
      <c r="M81" s="36">
        <v>0</v>
      </c>
      <c r="N81" s="50">
        <v>0</v>
      </c>
      <c r="O81" s="36">
        <v>0</v>
      </c>
      <c r="P81" s="36">
        <v>0</v>
      </c>
      <c r="Q81" s="36">
        <v>0</v>
      </c>
      <c r="R81" s="36">
        <v>0</v>
      </c>
      <c r="S81" s="50">
        <v>0</v>
      </c>
      <c r="T81" s="36">
        <v>0</v>
      </c>
      <c r="U81" s="36">
        <v>0</v>
      </c>
      <c r="V81" s="36">
        <v>0</v>
      </c>
      <c r="W81" s="36">
        <v>0</v>
      </c>
      <c r="X81" s="50">
        <v>0</v>
      </c>
      <c r="Y81" s="36">
        <v>0</v>
      </c>
      <c r="Z81" s="36">
        <v>0</v>
      </c>
      <c r="AA81" s="36">
        <v>0</v>
      </c>
      <c r="AB81" s="36">
        <v>0</v>
      </c>
      <c r="AC81" s="50">
        <v>0</v>
      </c>
      <c r="AD81" s="36">
        <v>2</v>
      </c>
      <c r="AE81" s="36">
        <v>8</v>
      </c>
      <c r="AF81" s="36">
        <v>8</v>
      </c>
      <c r="AG81" s="36">
        <v>0</v>
      </c>
      <c r="AH81" s="50">
        <v>0</v>
      </c>
      <c r="AI81" s="36">
        <v>0</v>
      </c>
      <c r="AJ81" s="36">
        <v>0</v>
      </c>
      <c r="AK81" s="36">
        <v>0</v>
      </c>
      <c r="AL81" s="36">
        <v>0</v>
      </c>
      <c r="AM81" s="50">
        <v>0</v>
      </c>
      <c r="AN81" s="36">
        <v>8</v>
      </c>
      <c r="AO81" s="36">
        <v>8</v>
      </c>
      <c r="AP81" s="36">
        <v>8</v>
      </c>
      <c r="AQ81" s="36">
        <v>0</v>
      </c>
      <c r="AR81" s="50">
        <v>0</v>
      </c>
      <c r="AS81" s="36">
        <v>0</v>
      </c>
      <c r="AT81" s="36">
        <v>0</v>
      </c>
      <c r="AU81" s="36">
        <v>0</v>
      </c>
      <c r="AV81" s="36">
        <v>1</v>
      </c>
      <c r="AW81">
        <v>0</v>
      </c>
      <c r="AX81">
        <v>0</v>
      </c>
    </row>
    <row r="82" spans="1:50" x14ac:dyDescent="0.25">
      <c r="A82" s="36"/>
      <c r="B82" t="s">
        <v>119</v>
      </c>
      <c r="C82" s="36" t="str">
        <f>'Status Thresholds'!B82</f>
        <v>Barioth</v>
      </c>
      <c r="E82" s="36" t="str">
        <f t="shared" si="5"/>
        <v>Barioth</v>
      </c>
      <c r="F82" s="36" t="str">
        <f>IFERROR(VLOOKUP($E82,'Status Thresholds'!$E:$AS,1,FALSE),"")</f>
        <v/>
      </c>
      <c r="G82" t="s">
        <v>21</v>
      </c>
      <c r="H82" s="55" t="str">
        <f t="shared" si="6"/>
        <v>BariothTriblast</v>
      </c>
      <c r="I82" s="50">
        <v>0</v>
      </c>
      <c r="J82" s="36">
        <v>0</v>
      </c>
      <c r="K82" s="36">
        <v>1</v>
      </c>
      <c r="L82" s="36">
        <v>2</v>
      </c>
      <c r="M82" s="36">
        <v>0</v>
      </c>
      <c r="N82" s="50">
        <v>0</v>
      </c>
      <c r="O82" s="36">
        <v>0</v>
      </c>
      <c r="P82" s="36">
        <v>0</v>
      </c>
      <c r="Q82" s="36">
        <v>0</v>
      </c>
      <c r="R82" s="36">
        <v>0</v>
      </c>
      <c r="S82" s="50">
        <v>0</v>
      </c>
      <c r="T82" s="36">
        <v>0</v>
      </c>
      <c r="U82" s="36">
        <v>0</v>
      </c>
      <c r="V82" s="36">
        <v>0</v>
      </c>
      <c r="W82" s="36">
        <v>0</v>
      </c>
      <c r="X82" s="50">
        <v>0</v>
      </c>
      <c r="Y82" s="36">
        <v>0</v>
      </c>
      <c r="Z82" s="36">
        <v>0</v>
      </c>
      <c r="AA82" s="36">
        <v>0</v>
      </c>
      <c r="AB82" s="36">
        <v>0</v>
      </c>
      <c r="AC82" s="50">
        <v>2</v>
      </c>
      <c r="AD82" s="36">
        <v>2</v>
      </c>
      <c r="AE82" s="36">
        <v>2</v>
      </c>
      <c r="AF82" s="36">
        <v>2</v>
      </c>
      <c r="AG82" s="36">
        <v>0</v>
      </c>
      <c r="AH82" s="50">
        <v>0</v>
      </c>
      <c r="AI82" s="36">
        <v>0</v>
      </c>
      <c r="AJ82" s="36">
        <v>0</v>
      </c>
      <c r="AK82" s="36">
        <v>0</v>
      </c>
      <c r="AL82" s="36">
        <v>0</v>
      </c>
      <c r="AM82" s="50">
        <v>2</v>
      </c>
      <c r="AN82" s="36">
        <v>2</v>
      </c>
      <c r="AO82" s="36">
        <v>2</v>
      </c>
      <c r="AP82" s="36">
        <v>2</v>
      </c>
      <c r="AQ82" s="36">
        <v>0</v>
      </c>
      <c r="AR82" s="50">
        <v>0</v>
      </c>
      <c r="AS82" s="36">
        <v>0</v>
      </c>
      <c r="AT82" s="36">
        <v>0</v>
      </c>
      <c r="AU82" s="36">
        <v>0</v>
      </c>
      <c r="AV82" s="36">
        <v>0</v>
      </c>
      <c r="AW82">
        <v>0</v>
      </c>
      <c r="AX82">
        <v>0</v>
      </c>
    </row>
    <row r="83" spans="1:50" x14ac:dyDescent="0.25">
      <c r="A83" s="36"/>
      <c r="B83" t="s">
        <v>119</v>
      </c>
      <c r="C83" s="36" t="str">
        <f>'Status Thresholds'!B83</f>
        <v>Barioth</v>
      </c>
      <c r="E83" s="36" t="str">
        <f t="shared" si="5"/>
        <v>Barioth</v>
      </c>
      <c r="F83" s="36" t="str">
        <f>IFERROR(VLOOKUP($E83,'Status Thresholds'!$E:$AS,1,FALSE),"")</f>
        <v/>
      </c>
      <c r="G83" t="s">
        <v>13</v>
      </c>
      <c r="H83" s="55" t="str">
        <f t="shared" si="6"/>
        <v>BariothCrag 3</v>
      </c>
      <c r="I83" s="50">
        <v>0</v>
      </c>
      <c r="J83" s="36">
        <v>3</v>
      </c>
      <c r="K83" s="36">
        <v>4</v>
      </c>
      <c r="L83" s="36">
        <v>4</v>
      </c>
      <c r="M83" s="36">
        <v>0</v>
      </c>
      <c r="N83" s="50">
        <v>0</v>
      </c>
      <c r="O83" s="36">
        <v>0</v>
      </c>
      <c r="P83" s="36">
        <v>0</v>
      </c>
      <c r="Q83" s="36">
        <v>0</v>
      </c>
      <c r="R83" s="36">
        <v>0</v>
      </c>
      <c r="S83" s="50">
        <v>0</v>
      </c>
      <c r="T83" s="36">
        <v>0</v>
      </c>
      <c r="U83" s="36">
        <v>0</v>
      </c>
      <c r="V83" s="36">
        <v>0</v>
      </c>
      <c r="W83" s="36">
        <v>0</v>
      </c>
      <c r="X83" s="50">
        <v>0</v>
      </c>
      <c r="Y83" s="36">
        <v>0</v>
      </c>
      <c r="Z83" s="36">
        <v>0</v>
      </c>
      <c r="AA83" s="36">
        <v>0</v>
      </c>
      <c r="AB83" s="36">
        <v>0</v>
      </c>
      <c r="AC83" s="50">
        <v>0</v>
      </c>
      <c r="AD83" s="36">
        <v>0</v>
      </c>
      <c r="AE83" s="36">
        <v>4</v>
      </c>
      <c r="AF83" s="36">
        <v>4</v>
      </c>
      <c r="AG83" s="36">
        <v>0</v>
      </c>
      <c r="AH83" s="50">
        <v>0</v>
      </c>
      <c r="AI83" s="36">
        <v>0</v>
      </c>
      <c r="AJ83" s="36">
        <v>0</v>
      </c>
      <c r="AK83" s="36">
        <v>0</v>
      </c>
      <c r="AL83" s="36">
        <v>0</v>
      </c>
      <c r="AM83" s="50">
        <v>1</v>
      </c>
      <c r="AN83" s="36">
        <v>1</v>
      </c>
      <c r="AO83" s="36">
        <v>4</v>
      </c>
      <c r="AP83" s="36">
        <v>4</v>
      </c>
      <c r="AQ83" s="36">
        <v>0</v>
      </c>
      <c r="AR83" s="50">
        <v>0</v>
      </c>
      <c r="AS83" s="36">
        <v>0</v>
      </c>
      <c r="AT83" s="36">
        <v>0</v>
      </c>
      <c r="AU83" s="36">
        <v>0</v>
      </c>
      <c r="AV83" s="36">
        <v>0</v>
      </c>
      <c r="AW83">
        <v>0</v>
      </c>
      <c r="AX83">
        <v>0</v>
      </c>
    </row>
    <row r="84" spans="1:50" x14ac:dyDescent="0.25">
      <c r="A84" s="36"/>
      <c r="B84" t="s">
        <v>119</v>
      </c>
      <c r="C84" s="36" t="str">
        <f>'Status Thresholds'!B84</f>
        <v>Barioth</v>
      </c>
      <c r="E84" s="36" t="str">
        <f t="shared" si="5"/>
        <v>Barioth</v>
      </c>
      <c r="F84" s="36" t="str">
        <f>IFERROR(VLOOKUP($E84,'Status Thresholds'!$E:$AS,1,FALSE),"")</f>
        <v/>
      </c>
      <c r="G84" t="s">
        <v>12</v>
      </c>
      <c r="H84" s="55" t="str">
        <f t="shared" si="6"/>
        <v>BariothCrag 2</v>
      </c>
      <c r="I84" s="50">
        <v>0</v>
      </c>
      <c r="J84" s="36">
        <v>3</v>
      </c>
      <c r="K84" s="36">
        <v>3</v>
      </c>
      <c r="L84" s="36">
        <v>4</v>
      </c>
      <c r="M84" s="36">
        <v>0</v>
      </c>
      <c r="N84" s="50">
        <v>0</v>
      </c>
      <c r="O84" s="36">
        <v>0</v>
      </c>
      <c r="P84" s="36">
        <v>0</v>
      </c>
      <c r="Q84" s="36">
        <v>0</v>
      </c>
      <c r="R84" s="36">
        <v>0</v>
      </c>
      <c r="S84" s="50">
        <v>0</v>
      </c>
      <c r="T84" s="36">
        <v>0</v>
      </c>
      <c r="U84" s="36">
        <v>0</v>
      </c>
      <c r="V84" s="36">
        <v>0</v>
      </c>
      <c r="W84" s="36">
        <v>0</v>
      </c>
      <c r="X84" s="50">
        <v>0</v>
      </c>
      <c r="Y84" s="36">
        <v>0</v>
      </c>
      <c r="Z84" s="36">
        <v>0</v>
      </c>
      <c r="AA84" s="36">
        <v>0</v>
      </c>
      <c r="AB84" s="36">
        <v>0</v>
      </c>
      <c r="AC84" s="50">
        <v>1</v>
      </c>
      <c r="AD84" s="36">
        <v>2</v>
      </c>
      <c r="AE84" s="36">
        <v>1</v>
      </c>
      <c r="AF84" s="36">
        <v>4</v>
      </c>
      <c r="AG84" s="36">
        <v>0</v>
      </c>
      <c r="AH84" s="50">
        <v>0</v>
      </c>
      <c r="AI84" s="36">
        <v>0</v>
      </c>
      <c r="AJ84" s="36">
        <v>0</v>
      </c>
      <c r="AK84" s="36">
        <v>0</v>
      </c>
      <c r="AL84" s="36">
        <v>0</v>
      </c>
      <c r="AM84" s="50">
        <v>0</v>
      </c>
      <c r="AN84" s="36">
        <v>3</v>
      </c>
      <c r="AO84" s="36">
        <v>4</v>
      </c>
      <c r="AP84" s="36">
        <v>4</v>
      </c>
      <c r="AQ84" s="36">
        <v>0</v>
      </c>
      <c r="AR84" s="50">
        <v>0</v>
      </c>
      <c r="AS84" s="36">
        <v>0</v>
      </c>
      <c r="AT84" s="36">
        <v>0</v>
      </c>
      <c r="AU84" s="36">
        <v>0</v>
      </c>
      <c r="AV84" s="36">
        <v>0</v>
      </c>
      <c r="AW84">
        <v>0</v>
      </c>
      <c r="AX84">
        <v>0</v>
      </c>
    </row>
    <row r="85" spans="1:50" x14ac:dyDescent="0.25">
      <c r="A85" s="36"/>
      <c r="B85" t="s">
        <v>119</v>
      </c>
      <c r="C85" s="36" t="str">
        <f>'Status Thresholds'!B85</f>
        <v>Barioth</v>
      </c>
      <c r="E85" s="36" t="str">
        <f t="shared" si="5"/>
        <v>Barioth</v>
      </c>
      <c r="F85" s="36" t="str">
        <f>IFERROR(VLOOKUP($E85,'Status Thresholds'!$E:$AS,1,FALSE),"")</f>
        <v/>
      </c>
      <c r="G85" t="s">
        <v>11</v>
      </c>
      <c r="H85" s="55" t="str">
        <f t="shared" si="6"/>
        <v>BariothCrag 1</v>
      </c>
      <c r="I85" s="50">
        <v>6</v>
      </c>
      <c r="J85" s="36">
        <v>4</v>
      </c>
      <c r="K85" s="36">
        <v>6</v>
      </c>
      <c r="L85" s="36">
        <v>8</v>
      </c>
      <c r="M85" s="36">
        <v>0</v>
      </c>
      <c r="N85" s="50">
        <v>0</v>
      </c>
      <c r="O85" s="36">
        <v>0</v>
      </c>
      <c r="P85" s="36">
        <v>0</v>
      </c>
      <c r="Q85" s="36">
        <v>0</v>
      </c>
      <c r="R85" s="36">
        <v>0</v>
      </c>
      <c r="S85" s="50">
        <v>0</v>
      </c>
      <c r="T85" s="36">
        <v>0</v>
      </c>
      <c r="U85" s="36">
        <v>0</v>
      </c>
      <c r="V85" s="36">
        <v>0</v>
      </c>
      <c r="W85" s="36">
        <v>0</v>
      </c>
      <c r="X85" s="50">
        <v>0</v>
      </c>
      <c r="Y85" s="36">
        <v>0</v>
      </c>
      <c r="Z85" s="36">
        <v>0</v>
      </c>
      <c r="AA85" s="36">
        <v>0</v>
      </c>
      <c r="AB85" s="36">
        <v>0</v>
      </c>
      <c r="AC85" s="50">
        <v>0</v>
      </c>
      <c r="AD85" s="36">
        <v>6</v>
      </c>
      <c r="AE85" s="36">
        <v>8</v>
      </c>
      <c r="AF85" s="36">
        <v>8</v>
      </c>
      <c r="AG85" s="36">
        <v>0</v>
      </c>
      <c r="AH85" s="50">
        <v>0</v>
      </c>
      <c r="AI85" s="36">
        <v>0</v>
      </c>
      <c r="AJ85" s="36">
        <v>0</v>
      </c>
      <c r="AK85" s="36">
        <v>0</v>
      </c>
      <c r="AL85" s="36">
        <v>0</v>
      </c>
      <c r="AM85" s="50">
        <v>2</v>
      </c>
      <c r="AN85" s="36">
        <v>8</v>
      </c>
      <c r="AO85" s="36">
        <v>8</v>
      </c>
      <c r="AP85" s="36">
        <v>8</v>
      </c>
      <c r="AQ85" s="36">
        <v>0</v>
      </c>
      <c r="AR85" s="50">
        <v>0</v>
      </c>
      <c r="AS85" s="36">
        <v>0</v>
      </c>
      <c r="AT85" s="36">
        <v>0</v>
      </c>
      <c r="AU85" s="36">
        <v>0</v>
      </c>
      <c r="AV85" s="36">
        <v>1</v>
      </c>
      <c r="AW85">
        <v>0</v>
      </c>
      <c r="AX85">
        <v>0</v>
      </c>
    </row>
    <row r="86" spans="1:50" x14ac:dyDescent="0.25">
      <c r="A86" s="36"/>
      <c r="B86" t="s">
        <v>121</v>
      </c>
      <c r="C86" s="36" t="str">
        <f>'Status Thresholds'!B86</f>
        <v>Barroth</v>
      </c>
      <c r="D86" t="s">
        <v>14</v>
      </c>
      <c r="E86" s="36" t="str">
        <f t="shared" si="5"/>
        <v>BarrothKO</v>
      </c>
      <c r="F86" s="36" t="str">
        <f>IFERROR(VLOOKUP($E86,'Status Thresholds'!$E:$AS,1,FALSE),"")</f>
        <v>BarrothKO</v>
      </c>
      <c r="H86" s="55" t="str">
        <f t="shared" si="6"/>
        <v>BarrothKO</v>
      </c>
      <c r="I86" s="50">
        <f>VLOOKUP($F86,'Status Thresholds'!$E:$AS,2,FALSE)</f>
        <v>116</v>
      </c>
      <c r="J86" s="36">
        <f>VLOOKUP($F86,'Status Thresholds'!$E:$AS,3,FALSE)</f>
        <v>246</v>
      </c>
      <c r="K86" s="36">
        <f>VLOOKUP($F86,'Status Thresholds'!$E:$AS,4,FALSE)</f>
        <v>376</v>
      </c>
      <c r="L86" s="36">
        <f>VLOOKUP($F86,'Status Thresholds'!$E:$AS,5,FALSE)</f>
        <v>506</v>
      </c>
      <c r="M86" s="36">
        <f>VLOOKUP($F86,'Status Thresholds'!$E:$AS,6,FALSE)</f>
        <v>0</v>
      </c>
      <c r="N86" s="50">
        <f>VLOOKUP($F86,'Status Thresholds'!$E:$AS,7,FALSE)</f>
        <v>0</v>
      </c>
      <c r="O86" s="36">
        <f>VLOOKUP($F86,'Status Thresholds'!$E:$AS,8,FALSE)</f>
        <v>0</v>
      </c>
      <c r="P86" s="36">
        <f>VLOOKUP($F86,'Status Thresholds'!$E:$AS,9,FALSE)</f>
        <v>0</v>
      </c>
      <c r="Q86" s="36">
        <f>VLOOKUP($F86,'Status Thresholds'!$E:$AS,10,FALSE)</f>
        <v>0</v>
      </c>
      <c r="R86" s="36">
        <f>VLOOKUP($F86,'Status Thresholds'!$E:$AS,11,FALSE)</f>
        <v>0</v>
      </c>
      <c r="S86" s="50">
        <f>VLOOKUP($F86,'Status Thresholds'!$E:$AS,12,FALSE)</f>
        <v>0</v>
      </c>
      <c r="T86" s="36">
        <f>VLOOKUP($F86,'Status Thresholds'!$E:$AS,13,FALSE)</f>
        <v>0</v>
      </c>
      <c r="U86" s="36">
        <f>VLOOKUP($F86,'Status Thresholds'!$E:$AS,14,FALSE)</f>
        <v>0</v>
      </c>
      <c r="V86" s="36">
        <f>VLOOKUP($F86,'Status Thresholds'!$E:$AS,15,FALSE)</f>
        <v>0</v>
      </c>
      <c r="W86" s="36">
        <f>VLOOKUP($F86,'Status Thresholds'!$E:$AS,16,FALSE)</f>
        <v>0</v>
      </c>
      <c r="X86" s="50">
        <f>VLOOKUP($F86,'Status Thresholds'!$E:$AS,17,FALSE)</f>
        <v>0</v>
      </c>
      <c r="Y86" s="36">
        <f>VLOOKUP($F86,'Status Thresholds'!$E:$AS,18,FALSE)</f>
        <v>0</v>
      </c>
      <c r="Z86" s="36">
        <f>VLOOKUP($F86,'Status Thresholds'!$E:$AS,19,FALSE)</f>
        <v>0</v>
      </c>
      <c r="AA86" s="36">
        <f>VLOOKUP($F86,'Status Thresholds'!$E:$AS,20,FALSE)</f>
        <v>0</v>
      </c>
      <c r="AB86" s="36">
        <f>VLOOKUP($F86,'Status Thresholds'!$E:$AS,21,FALSE)</f>
        <v>0</v>
      </c>
      <c r="AC86" s="50">
        <f>VLOOKUP($F86,'Status Thresholds'!$E:$AS,22,FALSE)</f>
        <v>126</v>
      </c>
      <c r="AD86" s="36">
        <f>VLOOKUP($F86,'Status Thresholds'!$E:$AS,23,FALSE)</f>
        <v>266</v>
      </c>
      <c r="AE86" s="36">
        <f>VLOOKUP($F86,'Status Thresholds'!$E:$AS,24,FALSE)</f>
        <v>406</v>
      </c>
      <c r="AF86" s="36">
        <f>VLOOKUP($F86,'Status Thresholds'!$E:$AS,25,FALSE)</f>
        <v>546</v>
      </c>
      <c r="AG86" s="36">
        <f>VLOOKUP($F86,'Status Thresholds'!$E:$AS,26,FALSE)</f>
        <v>0</v>
      </c>
      <c r="AH86" s="50">
        <f>VLOOKUP($F86,'Status Thresholds'!$E:$AS,27,FALSE)</f>
        <v>826</v>
      </c>
      <c r="AI86" s="36">
        <f>VLOOKUP($F86,'Status Thresholds'!$E:$AS,28,FALSE)</f>
        <v>966</v>
      </c>
      <c r="AJ86" s="36">
        <f>VLOOKUP($F86,'Status Thresholds'!$E:$AS,29,FALSE)</f>
        <v>1106</v>
      </c>
      <c r="AK86" s="36">
        <f>VLOOKUP($F86,'Status Thresholds'!$E:$AS,30,FALSE)</f>
        <v>1246</v>
      </c>
      <c r="AL86" s="36">
        <f>VLOOKUP($F86,'Status Thresholds'!$E:$AS,31,FALSE)</f>
        <v>0</v>
      </c>
      <c r="AM86" s="50">
        <f>VLOOKUP($F86,'Status Thresholds'!$E:$AS,32,FALSE)</f>
        <v>180</v>
      </c>
      <c r="AN86" s="36">
        <f>VLOOKUP($F86,'Status Thresholds'!$E:$AS,33,FALSE)</f>
        <v>380</v>
      </c>
      <c r="AO86" s="36">
        <f>VLOOKUP($F86,'Status Thresholds'!$E:$AS,34,FALSE)</f>
        <v>580</v>
      </c>
      <c r="AP86" s="36">
        <f>VLOOKUP($F86,'Status Thresholds'!$E:$AS,35,FALSE)</f>
        <v>780</v>
      </c>
      <c r="AQ86" s="36">
        <f>VLOOKUP($F86,'Status Thresholds'!$E:$AS,36,FALSE)</f>
        <v>0</v>
      </c>
      <c r="AR86" s="50">
        <f>VLOOKUP($F86,'Status Thresholds'!$E:$AS,37,FALSE)</f>
        <v>0</v>
      </c>
      <c r="AS86" s="36">
        <f>VLOOKUP($F86,'Status Thresholds'!$E:$AS,38,FALSE)</f>
        <v>0</v>
      </c>
      <c r="AT86" s="36">
        <f>VLOOKUP($F86,'Status Thresholds'!$E:$AS,39,FALSE)</f>
        <v>0</v>
      </c>
      <c r="AU86" s="36">
        <f>VLOOKUP($F86,'Status Thresholds'!$E:$AS,40,FALSE)</f>
        <v>0</v>
      </c>
      <c r="AV86" s="36">
        <f>VLOOKUP($F86,'Status Thresholds'!$E:$AS,41,FALSE)</f>
        <v>10</v>
      </c>
      <c r="AW86">
        <v>0</v>
      </c>
      <c r="AX86">
        <v>0</v>
      </c>
    </row>
    <row r="87" spans="1:50" x14ac:dyDescent="0.25">
      <c r="A87" s="36"/>
      <c r="B87" t="s">
        <v>120</v>
      </c>
      <c r="C87" s="36" t="str">
        <f>'Status Thresholds'!B87</f>
        <v>Barroth</v>
      </c>
      <c r="E87" s="36" t="str">
        <f t="shared" si="5"/>
        <v>Barroth</v>
      </c>
      <c r="F87" s="36" t="str">
        <f>IFERROR(VLOOKUP($E87,'Status Thresholds'!$E:$AS,1,FALSE),"")</f>
        <v/>
      </c>
      <c r="G87" t="s">
        <v>21</v>
      </c>
      <c r="H87" s="55" t="str">
        <f t="shared" si="6"/>
        <v>BarrothTriblast</v>
      </c>
      <c r="I87" s="50">
        <v>0</v>
      </c>
      <c r="J87" s="36">
        <v>0</v>
      </c>
      <c r="K87" s="36">
        <v>2</v>
      </c>
      <c r="L87" s="36">
        <v>2</v>
      </c>
      <c r="M87" s="36">
        <v>0</v>
      </c>
      <c r="N87" s="50">
        <v>0</v>
      </c>
      <c r="O87" s="36">
        <v>0</v>
      </c>
      <c r="P87" s="36">
        <v>0</v>
      </c>
      <c r="Q87" s="36">
        <v>0</v>
      </c>
      <c r="R87" s="36">
        <v>0</v>
      </c>
      <c r="S87" s="50">
        <v>0</v>
      </c>
      <c r="T87" s="36">
        <v>0</v>
      </c>
      <c r="U87" s="36">
        <v>0</v>
      </c>
      <c r="V87" s="36">
        <v>0</v>
      </c>
      <c r="W87" s="36">
        <v>0</v>
      </c>
      <c r="X87" s="50">
        <v>0</v>
      </c>
      <c r="Y87" s="36">
        <v>0</v>
      </c>
      <c r="Z87" s="36">
        <v>0</v>
      </c>
      <c r="AA87" s="36">
        <v>0</v>
      </c>
      <c r="AB87" s="36">
        <v>0</v>
      </c>
      <c r="AC87" s="50">
        <v>1</v>
      </c>
      <c r="AD87" s="36">
        <v>0</v>
      </c>
      <c r="AE87" s="36">
        <v>2</v>
      </c>
      <c r="AF87" s="36">
        <v>2</v>
      </c>
      <c r="AG87" s="36">
        <v>0</v>
      </c>
      <c r="AH87" s="50">
        <v>2</v>
      </c>
      <c r="AI87" s="36">
        <v>2</v>
      </c>
      <c r="AJ87" s="36">
        <v>2</v>
      </c>
      <c r="AK87" s="36">
        <v>2</v>
      </c>
      <c r="AL87" s="36">
        <v>0</v>
      </c>
      <c r="AM87" s="50">
        <v>2</v>
      </c>
      <c r="AN87" s="36">
        <v>2</v>
      </c>
      <c r="AO87" s="36">
        <v>2</v>
      </c>
      <c r="AP87" s="36">
        <v>2</v>
      </c>
      <c r="AQ87" s="36">
        <v>0</v>
      </c>
      <c r="AR87" s="50">
        <v>0</v>
      </c>
      <c r="AS87" s="36">
        <v>0</v>
      </c>
      <c r="AT87" s="36">
        <v>0</v>
      </c>
      <c r="AU87" s="36">
        <v>0</v>
      </c>
      <c r="AV87" s="36">
        <v>0</v>
      </c>
      <c r="AW87">
        <v>0</v>
      </c>
    </row>
    <row r="88" spans="1:50" x14ac:dyDescent="0.25">
      <c r="A88" s="36"/>
      <c r="B88" t="s">
        <v>120</v>
      </c>
      <c r="C88" s="36" t="str">
        <f>'Status Thresholds'!B88</f>
        <v>Barroth</v>
      </c>
      <c r="E88" s="36" t="str">
        <f t="shared" si="5"/>
        <v>Barroth</v>
      </c>
      <c r="F88" s="36" t="str">
        <f>IFERROR(VLOOKUP($E88,'Status Thresholds'!$E:$AS,1,FALSE),"")</f>
        <v/>
      </c>
      <c r="G88" t="s">
        <v>13</v>
      </c>
      <c r="H88" s="55" t="str">
        <f t="shared" si="6"/>
        <v>BarrothCrag 3</v>
      </c>
      <c r="I88" s="50">
        <v>1</v>
      </c>
      <c r="J88" s="36">
        <v>4</v>
      </c>
      <c r="K88" s="36">
        <v>2</v>
      </c>
      <c r="L88" s="36">
        <v>3</v>
      </c>
      <c r="M88" s="36">
        <v>0</v>
      </c>
      <c r="N88" s="50">
        <v>0</v>
      </c>
      <c r="O88" s="36">
        <v>0</v>
      </c>
      <c r="P88" s="36">
        <v>0</v>
      </c>
      <c r="Q88" s="36">
        <v>0</v>
      </c>
      <c r="R88" s="36">
        <v>0</v>
      </c>
      <c r="S88" s="50">
        <v>0</v>
      </c>
      <c r="T88" s="36">
        <v>0</v>
      </c>
      <c r="U88" s="36">
        <v>0</v>
      </c>
      <c r="V88" s="36">
        <v>0</v>
      </c>
      <c r="W88" s="36">
        <v>0</v>
      </c>
      <c r="X88" s="50">
        <v>0</v>
      </c>
      <c r="Y88" s="36">
        <v>0</v>
      </c>
      <c r="Z88" s="36">
        <v>0</v>
      </c>
      <c r="AA88" s="36">
        <v>0</v>
      </c>
      <c r="AB88" s="36">
        <v>0</v>
      </c>
      <c r="AC88" s="50">
        <v>0</v>
      </c>
      <c r="AD88" s="36">
        <v>4</v>
      </c>
      <c r="AE88" s="36">
        <v>2</v>
      </c>
      <c r="AF88" s="36">
        <v>4</v>
      </c>
      <c r="AG88" s="36">
        <v>0</v>
      </c>
      <c r="AH88" s="50">
        <v>4</v>
      </c>
      <c r="AI88" s="36">
        <v>4</v>
      </c>
      <c r="AJ88" s="36">
        <v>4</v>
      </c>
      <c r="AK88" s="36">
        <v>4</v>
      </c>
      <c r="AL88" s="36">
        <v>0</v>
      </c>
      <c r="AM88" s="50">
        <v>0</v>
      </c>
      <c r="AN88" s="36">
        <v>2</v>
      </c>
      <c r="AO88" s="36">
        <v>4</v>
      </c>
      <c r="AP88" s="36">
        <v>4</v>
      </c>
      <c r="AQ88" s="36">
        <v>0</v>
      </c>
      <c r="AR88" s="50">
        <v>0</v>
      </c>
      <c r="AS88" s="36">
        <v>0</v>
      </c>
      <c r="AT88" s="36">
        <v>0</v>
      </c>
      <c r="AU88" s="36">
        <v>0</v>
      </c>
      <c r="AV88" s="36">
        <v>0</v>
      </c>
      <c r="AW88">
        <v>0</v>
      </c>
      <c r="AX88">
        <v>0</v>
      </c>
    </row>
    <row r="89" spans="1:50" x14ac:dyDescent="0.25">
      <c r="A89" s="36"/>
      <c r="B89" t="s">
        <v>120</v>
      </c>
      <c r="C89" s="36" t="str">
        <f>'Status Thresholds'!B89</f>
        <v>Barroth</v>
      </c>
      <c r="E89" s="36" t="str">
        <f t="shared" si="5"/>
        <v>Barroth</v>
      </c>
      <c r="F89" s="36" t="str">
        <f>IFERROR(VLOOKUP($E89,'Status Thresholds'!$E:$AS,1,FALSE),"")</f>
        <v/>
      </c>
      <c r="G89" t="s">
        <v>12</v>
      </c>
      <c r="H89" s="55" t="str">
        <f t="shared" si="6"/>
        <v>BarrothCrag 2</v>
      </c>
      <c r="I89" s="50">
        <v>1</v>
      </c>
      <c r="J89" s="36">
        <v>3</v>
      </c>
      <c r="K89" s="36">
        <v>0</v>
      </c>
      <c r="L89" s="36">
        <v>3</v>
      </c>
      <c r="M89" s="36">
        <v>0</v>
      </c>
      <c r="N89" s="50">
        <v>0</v>
      </c>
      <c r="O89" s="36">
        <v>0</v>
      </c>
      <c r="P89" s="36">
        <v>0</v>
      </c>
      <c r="Q89" s="36">
        <v>0</v>
      </c>
      <c r="R89" s="36">
        <v>0</v>
      </c>
      <c r="S89" s="50">
        <v>0</v>
      </c>
      <c r="T89" s="36">
        <v>0</v>
      </c>
      <c r="U89" s="36">
        <v>0</v>
      </c>
      <c r="V89" s="36">
        <v>0</v>
      </c>
      <c r="W89" s="36">
        <v>0</v>
      </c>
      <c r="X89" s="50">
        <v>0</v>
      </c>
      <c r="Y89" s="36">
        <v>0</v>
      </c>
      <c r="Z89" s="36">
        <v>0</v>
      </c>
      <c r="AA89" s="36">
        <v>0</v>
      </c>
      <c r="AB89" s="36">
        <v>0</v>
      </c>
      <c r="AC89" s="50">
        <v>1</v>
      </c>
      <c r="AD89" s="36">
        <v>2</v>
      </c>
      <c r="AE89" s="36">
        <v>1</v>
      </c>
      <c r="AF89" s="36">
        <v>3</v>
      </c>
      <c r="AG89" s="36">
        <v>0</v>
      </c>
      <c r="AH89" s="50">
        <v>4</v>
      </c>
      <c r="AI89" s="36">
        <v>4</v>
      </c>
      <c r="AJ89" s="36">
        <v>4</v>
      </c>
      <c r="AK89" s="36">
        <v>4</v>
      </c>
      <c r="AL89" s="36">
        <v>0</v>
      </c>
      <c r="AM89" s="50">
        <v>1</v>
      </c>
      <c r="AN89" s="36">
        <v>0</v>
      </c>
      <c r="AO89" s="36">
        <v>4</v>
      </c>
      <c r="AP89" s="36">
        <v>4</v>
      </c>
      <c r="AQ89" s="36">
        <v>0</v>
      </c>
      <c r="AR89" s="50">
        <v>0</v>
      </c>
      <c r="AS89" s="36">
        <v>0</v>
      </c>
      <c r="AT89" s="36">
        <v>0</v>
      </c>
      <c r="AU89" s="36">
        <v>0</v>
      </c>
      <c r="AV89" s="36">
        <v>0</v>
      </c>
      <c r="AW89">
        <v>0</v>
      </c>
      <c r="AX89">
        <v>0</v>
      </c>
    </row>
    <row r="90" spans="1:50" x14ac:dyDescent="0.25">
      <c r="A90" s="36"/>
      <c r="B90" t="s">
        <v>120</v>
      </c>
      <c r="C90" s="36" t="str">
        <f>'Status Thresholds'!B90</f>
        <v>Barroth</v>
      </c>
      <c r="E90" s="36" t="str">
        <f t="shared" si="5"/>
        <v>Barroth</v>
      </c>
      <c r="F90" s="36" t="str">
        <f>IFERROR(VLOOKUP($E90,'Status Thresholds'!$E:$AS,1,FALSE),"")</f>
        <v/>
      </c>
      <c r="G90" t="s">
        <v>11</v>
      </c>
      <c r="H90" s="55" t="str">
        <f t="shared" si="6"/>
        <v>BarrothCrag 1</v>
      </c>
      <c r="I90" s="50">
        <v>2</v>
      </c>
      <c r="J90" s="36">
        <v>0</v>
      </c>
      <c r="K90" s="36">
        <v>6</v>
      </c>
      <c r="L90" s="36">
        <v>6</v>
      </c>
      <c r="M90" s="36">
        <v>0</v>
      </c>
      <c r="N90" s="50">
        <v>0</v>
      </c>
      <c r="O90" s="36">
        <v>0</v>
      </c>
      <c r="P90" s="36">
        <v>0</v>
      </c>
      <c r="Q90" s="36">
        <v>0</v>
      </c>
      <c r="R90" s="36">
        <v>0</v>
      </c>
      <c r="S90" s="50">
        <v>0</v>
      </c>
      <c r="T90" s="36">
        <v>0</v>
      </c>
      <c r="U90" s="36">
        <v>0</v>
      </c>
      <c r="V90" s="36">
        <v>0</v>
      </c>
      <c r="W90" s="36">
        <v>0</v>
      </c>
      <c r="X90" s="50">
        <v>0</v>
      </c>
      <c r="Y90" s="36">
        <v>0</v>
      </c>
      <c r="Z90" s="36">
        <v>0</v>
      </c>
      <c r="AA90" s="36">
        <v>0</v>
      </c>
      <c r="AB90" s="36">
        <v>0</v>
      </c>
      <c r="AC90" s="50">
        <v>1</v>
      </c>
      <c r="AD90" s="36">
        <v>2</v>
      </c>
      <c r="AE90" s="36">
        <v>6</v>
      </c>
      <c r="AF90" s="36">
        <v>6</v>
      </c>
      <c r="AG90" s="36">
        <v>0</v>
      </c>
      <c r="AH90" s="50">
        <v>8</v>
      </c>
      <c r="AI90" s="36">
        <v>8</v>
      </c>
      <c r="AJ90" s="36">
        <v>8</v>
      </c>
      <c r="AK90" s="36">
        <v>8</v>
      </c>
      <c r="AL90" s="36">
        <v>0</v>
      </c>
      <c r="AM90" s="50">
        <v>0</v>
      </c>
      <c r="AN90" s="36">
        <v>6</v>
      </c>
      <c r="AO90" s="36">
        <v>6</v>
      </c>
      <c r="AP90" s="36">
        <v>8</v>
      </c>
      <c r="AQ90" s="36">
        <v>0</v>
      </c>
      <c r="AR90" s="50">
        <v>0</v>
      </c>
      <c r="AS90" s="36">
        <v>0</v>
      </c>
      <c r="AT90" s="36">
        <v>0</v>
      </c>
      <c r="AU90" s="36">
        <v>0</v>
      </c>
      <c r="AV90" s="36">
        <v>1</v>
      </c>
      <c r="AW90">
        <v>0</v>
      </c>
      <c r="AX90">
        <v>0</v>
      </c>
    </row>
    <row r="91" spans="1:50" x14ac:dyDescent="0.25">
      <c r="A91" s="36"/>
      <c r="B91" t="s">
        <v>119</v>
      </c>
      <c r="C91" s="36" t="str">
        <f>'Status Thresholds'!B91</f>
        <v>Barroth</v>
      </c>
      <c r="E91" s="36" t="str">
        <f t="shared" si="5"/>
        <v>Barroth</v>
      </c>
      <c r="F91" s="36" t="str">
        <f>IFERROR(VLOOKUP($E91,'Status Thresholds'!$E:$AS,1,FALSE),"")</f>
        <v/>
      </c>
      <c r="G91" t="s">
        <v>21</v>
      </c>
      <c r="H91" s="55" t="str">
        <f t="shared" si="6"/>
        <v>BarrothTriblast</v>
      </c>
      <c r="I91" s="50">
        <v>0</v>
      </c>
      <c r="J91" s="36">
        <v>1</v>
      </c>
      <c r="K91" s="36">
        <v>0</v>
      </c>
      <c r="L91" s="36">
        <v>1</v>
      </c>
      <c r="M91" s="36">
        <v>0</v>
      </c>
      <c r="N91" s="50">
        <v>0</v>
      </c>
      <c r="O91" s="36">
        <v>0</v>
      </c>
      <c r="P91" s="36">
        <v>0</v>
      </c>
      <c r="Q91" s="36">
        <v>0</v>
      </c>
      <c r="R91" s="36">
        <v>0</v>
      </c>
      <c r="S91" s="50">
        <v>0</v>
      </c>
      <c r="T91" s="36">
        <v>0</v>
      </c>
      <c r="U91" s="36">
        <v>0</v>
      </c>
      <c r="V91" s="36">
        <v>0</v>
      </c>
      <c r="W91" s="36">
        <v>0</v>
      </c>
      <c r="X91" s="50">
        <v>0</v>
      </c>
      <c r="Y91" s="36">
        <v>0</v>
      </c>
      <c r="Z91" s="36">
        <v>0</v>
      </c>
      <c r="AA91" s="36">
        <v>0</v>
      </c>
      <c r="AB91" s="36">
        <v>0</v>
      </c>
      <c r="AC91" s="50">
        <v>0</v>
      </c>
      <c r="AD91" s="36">
        <v>2</v>
      </c>
      <c r="AE91" s="36">
        <v>2</v>
      </c>
      <c r="AF91" s="36">
        <v>2</v>
      </c>
      <c r="AG91" s="36">
        <v>0</v>
      </c>
      <c r="AH91" s="50">
        <v>2</v>
      </c>
      <c r="AI91" s="36">
        <v>2</v>
      </c>
      <c r="AJ91" s="36">
        <v>2</v>
      </c>
      <c r="AK91" s="36">
        <v>2</v>
      </c>
      <c r="AL91" s="36">
        <v>0</v>
      </c>
      <c r="AM91" s="50">
        <v>1</v>
      </c>
      <c r="AN91" s="36">
        <v>1</v>
      </c>
      <c r="AO91" s="36">
        <v>2</v>
      </c>
      <c r="AP91" s="36">
        <v>2</v>
      </c>
      <c r="AQ91" s="36">
        <v>0</v>
      </c>
      <c r="AR91" s="50">
        <v>0</v>
      </c>
      <c r="AS91" s="36">
        <v>0</v>
      </c>
      <c r="AT91" s="36">
        <v>0</v>
      </c>
      <c r="AU91" s="36">
        <v>0</v>
      </c>
      <c r="AV91" s="36">
        <v>0</v>
      </c>
      <c r="AW91">
        <v>0</v>
      </c>
      <c r="AX91">
        <v>0</v>
      </c>
    </row>
    <row r="92" spans="1:50" x14ac:dyDescent="0.25">
      <c r="A92" s="36"/>
      <c r="B92" t="s">
        <v>119</v>
      </c>
      <c r="C92" s="36" t="str">
        <f>'Status Thresholds'!B92</f>
        <v>Barroth</v>
      </c>
      <c r="E92" s="36" t="str">
        <f t="shared" si="5"/>
        <v>Barroth</v>
      </c>
      <c r="F92" s="36" t="str">
        <f>IFERROR(VLOOKUP($E92,'Status Thresholds'!$E:$AS,1,FALSE),"")</f>
        <v/>
      </c>
      <c r="G92" t="s">
        <v>13</v>
      </c>
      <c r="H92" s="55" t="str">
        <f t="shared" si="6"/>
        <v>BarrothCrag 3</v>
      </c>
      <c r="I92" s="50">
        <v>0</v>
      </c>
      <c r="J92" s="36">
        <v>3</v>
      </c>
      <c r="K92" s="36">
        <v>2</v>
      </c>
      <c r="L92" s="36">
        <v>4</v>
      </c>
      <c r="M92" s="36">
        <v>0</v>
      </c>
      <c r="N92" s="50">
        <v>0</v>
      </c>
      <c r="O92" s="36">
        <v>0</v>
      </c>
      <c r="P92" s="36">
        <v>0</v>
      </c>
      <c r="Q92" s="36">
        <v>0</v>
      </c>
      <c r="R92" s="36">
        <v>0</v>
      </c>
      <c r="S92" s="50">
        <v>0</v>
      </c>
      <c r="T92" s="36">
        <v>0</v>
      </c>
      <c r="U92" s="36">
        <v>0</v>
      </c>
      <c r="V92" s="36">
        <v>0</v>
      </c>
      <c r="W92" s="36">
        <v>0</v>
      </c>
      <c r="X92" s="50">
        <v>0</v>
      </c>
      <c r="Y92" s="36">
        <v>0</v>
      </c>
      <c r="Z92" s="36">
        <v>0</v>
      </c>
      <c r="AA92" s="36">
        <v>0</v>
      </c>
      <c r="AB92" s="36">
        <v>0</v>
      </c>
      <c r="AC92" s="50">
        <v>0</v>
      </c>
      <c r="AD92" s="36">
        <v>1</v>
      </c>
      <c r="AE92" s="36">
        <v>1</v>
      </c>
      <c r="AF92" s="36">
        <v>3</v>
      </c>
      <c r="AG92" s="36">
        <v>0</v>
      </c>
      <c r="AH92" s="50">
        <v>4</v>
      </c>
      <c r="AI92" s="36">
        <v>4</v>
      </c>
      <c r="AJ92" s="36">
        <v>4</v>
      </c>
      <c r="AK92" s="36">
        <v>4</v>
      </c>
      <c r="AL92" s="36">
        <v>0</v>
      </c>
      <c r="AM92" s="50">
        <v>0</v>
      </c>
      <c r="AN92" s="36">
        <v>1</v>
      </c>
      <c r="AO92" s="36">
        <v>3</v>
      </c>
      <c r="AP92" s="36">
        <v>4</v>
      </c>
      <c r="AQ92" s="36">
        <v>0</v>
      </c>
      <c r="AR92" s="50">
        <v>0</v>
      </c>
      <c r="AS92" s="36">
        <v>0</v>
      </c>
      <c r="AT92" s="36">
        <v>0</v>
      </c>
      <c r="AU92" s="36">
        <v>0</v>
      </c>
      <c r="AV92" s="36">
        <v>0</v>
      </c>
      <c r="AW92">
        <v>0</v>
      </c>
      <c r="AX92">
        <v>0</v>
      </c>
    </row>
    <row r="93" spans="1:50" x14ac:dyDescent="0.25">
      <c r="A93" s="36"/>
      <c r="B93" t="s">
        <v>119</v>
      </c>
      <c r="C93" s="36" t="str">
        <f>'Status Thresholds'!B93</f>
        <v>Barroth</v>
      </c>
      <c r="E93" s="36" t="str">
        <f t="shared" si="5"/>
        <v>Barroth</v>
      </c>
      <c r="F93" s="36" t="str">
        <f>IFERROR(VLOOKUP($E93,'Status Thresholds'!$E:$AS,1,FALSE),"")</f>
        <v/>
      </c>
      <c r="G93" t="s">
        <v>12</v>
      </c>
      <c r="H93" s="55" t="str">
        <f t="shared" si="6"/>
        <v>BarrothCrag 2</v>
      </c>
      <c r="I93" s="50">
        <v>2</v>
      </c>
      <c r="J93" s="36">
        <v>1</v>
      </c>
      <c r="K93" s="36">
        <v>3</v>
      </c>
      <c r="L93" s="36">
        <v>1</v>
      </c>
      <c r="M93" s="36">
        <v>0</v>
      </c>
      <c r="N93" s="50">
        <v>0</v>
      </c>
      <c r="O93" s="36">
        <v>0</v>
      </c>
      <c r="P93" s="36">
        <v>0</v>
      </c>
      <c r="Q93" s="36">
        <v>0</v>
      </c>
      <c r="R93" s="36">
        <v>0</v>
      </c>
      <c r="S93" s="50">
        <v>0</v>
      </c>
      <c r="T93" s="36">
        <v>0</v>
      </c>
      <c r="U93" s="36">
        <v>0</v>
      </c>
      <c r="V93" s="36">
        <v>0</v>
      </c>
      <c r="W93" s="36">
        <v>0</v>
      </c>
      <c r="X93" s="50">
        <v>0</v>
      </c>
      <c r="Y93" s="36">
        <v>0</v>
      </c>
      <c r="Z93" s="36">
        <v>0</v>
      </c>
      <c r="AA93" s="36">
        <v>0</v>
      </c>
      <c r="AB93" s="36">
        <v>0</v>
      </c>
      <c r="AC93" s="50">
        <v>3</v>
      </c>
      <c r="AD93" s="36">
        <v>1</v>
      </c>
      <c r="AE93" s="36">
        <v>2</v>
      </c>
      <c r="AF93" s="36">
        <v>2</v>
      </c>
      <c r="AG93" s="36">
        <v>0</v>
      </c>
      <c r="AH93" s="50">
        <v>4</v>
      </c>
      <c r="AI93" s="36">
        <v>4</v>
      </c>
      <c r="AJ93" s="36">
        <v>4</v>
      </c>
      <c r="AK93" s="36">
        <v>4</v>
      </c>
      <c r="AL93" s="36">
        <v>0</v>
      </c>
      <c r="AM93" s="50">
        <v>3</v>
      </c>
      <c r="AN93" s="36">
        <v>2</v>
      </c>
      <c r="AO93" s="36">
        <v>3</v>
      </c>
      <c r="AP93" s="36">
        <v>4</v>
      </c>
      <c r="AQ93" s="36">
        <v>0</v>
      </c>
      <c r="AR93" s="50">
        <v>0</v>
      </c>
      <c r="AS93" s="36">
        <v>0</v>
      </c>
      <c r="AT93" s="36">
        <v>0</v>
      </c>
      <c r="AU93" s="36">
        <v>0</v>
      </c>
      <c r="AV93" s="36">
        <v>0</v>
      </c>
      <c r="AW93">
        <v>0</v>
      </c>
      <c r="AX93">
        <v>0</v>
      </c>
    </row>
    <row r="94" spans="1:50" x14ac:dyDescent="0.25">
      <c r="A94" s="36"/>
      <c r="B94" t="s">
        <v>119</v>
      </c>
      <c r="C94" s="36" t="str">
        <f>'Status Thresholds'!B94</f>
        <v>Barroth</v>
      </c>
      <c r="E94" s="36" t="str">
        <f t="shared" si="5"/>
        <v>Barroth</v>
      </c>
      <c r="F94" s="36" t="str">
        <f>IFERROR(VLOOKUP($E94,'Status Thresholds'!$E:$AS,1,FALSE),"")</f>
        <v/>
      </c>
      <c r="G94" t="s">
        <v>11</v>
      </c>
      <c r="H94" s="55" t="str">
        <f t="shared" si="6"/>
        <v>BarrothCrag 1</v>
      </c>
      <c r="I94" s="50">
        <v>2</v>
      </c>
      <c r="J94" s="36">
        <v>0</v>
      </c>
      <c r="K94" s="36">
        <v>7</v>
      </c>
      <c r="L94" s="36">
        <v>8</v>
      </c>
      <c r="M94" s="36">
        <v>0</v>
      </c>
      <c r="N94" s="50">
        <v>0</v>
      </c>
      <c r="O94" s="36">
        <v>0</v>
      </c>
      <c r="P94" s="36">
        <v>0</v>
      </c>
      <c r="Q94" s="36">
        <v>0</v>
      </c>
      <c r="R94" s="36">
        <v>0</v>
      </c>
      <c r="S94" s="50">
        <v>0</v>
      </c>
      <c r="T94" s="36">
        <v>0</v>
      </c>
      <c r="U94" s="36">
        <v>0</v>
      </c>
      <c r="V94" s="36">
        <v>0</v>
      </c>
      <c r="W94" s="36">
        <v>0</v>
      </c>
      <c r="X94" s="50">
        <v>0</v>
      </c>
      <c r="Y94" s="36">
        <v>0</v>
      </c>
      <c r="Z94" s="36">
        <v>0</v>
      </c>
      <c r="AA94" s="36">
        <v>0</v>
      </c>
      <c r="AB94" s="36">
        <v>0</v>
      </c>
      <c r="AC94" s="50">
        <v>1</v>
      </c>
      <c r="AD94" s="36">
        <v>1</v>
      </c>
      <c r="AE94" s="36">
        <v>5</v>
      </c>
      <c r="AF94" s="36">
        <v>7</v>
      </c>
      <c r="AG94" s="36">
        <v>0</v>
      </c>
      <c r="AH94" s="50">
        <v>8</v>
      </c>
      <c r="AI94" s="36">
        <v>8</v>
      </c>
      <c r="AJ94" s="36">
        <v>8</v>
      </c>
      <c r="AK94" s="36">
        <v>8</v>
      </c>
      <c r="AL94" s="36">
        <v>0</v>
      </c>
      <c r="AM94" s="50">
        <v>0</v>
      </c>
      <c r="AN94" s="36">
        <v>7</v>
      </c>
      <c r="AO94" s="36">
        <v>7</v>
      </c>
      <c r="AP94" s="36">
        <v>8</v>
      </c>
      <c r="AQ94" s="36">
        <v>0</v>
      </c>
      <c r="AR94" s="50">
        <v>0</v>
      </c>
      <c r="AS94" s="36">
        <v>0</v>
      </c>
      <c r="AT94" s="36">
        <v>0</v>
      </c>
      <c r="AU94" s="36">
        <v>0</v>
      </c>
      <c r="AV94" s="36">
        <v>1</v>
      </c>
      <c r="AW94">
        <v>0</v>
      </c>
      <c r="AX94">
        <v>0</v>
      </c>
    </row>
    <row r="95" spans="1:50" x14ac:dyDescent="0.25">
      <c r="A95" s="36"/>
      <c r="B95" s="36" t="s">
        <v>121</v>
      </c>
      <c r="C95" s="36" t="str">
        <f>'Status Thresholds'!B95</f>
        <v>Basarios</v>
      </c>
      <c r="D95" t="s">
        <v>14</v>
      </c>
      <c r="E95" s="36" t="str">
        <f t="shared" si="5"/>
        <v>BasariosKO</v>
      </c>
      <c r="F95" s="36" t="str">
        <f>IFERROR(VLOOKUP($E95,'Status Thresholds'!$E:$AS,1,FALSE),"")</f>
        <v>BasariosKO</v>
      </c>
      <c r="H95" s="55" t="str">
        <f t="shared" si="6"/>
        <v>BasariosKO</v>
      </c>
      <c r="I95" s="50">
        <f>VLOOKUP($F95,'Status Thresholds'!$E:$AS,2,FALSE)</f>
        <v>260</v>
      </c>
      <c r="J95" s="36">
        <f>VLOOKUP($F95,'Status Thresholds'!$E:$AS,3,FALSE)</f>
        <v>325</v>
      </c>
      <c r="K95" s="36">
        <f>VLOOKUP($F95,'Status Thresholds'!$E:$AS,4,FALSE)</f>
        <v>390</v>
      </c>
      <c r="L95" s="36">
        <f>VLOOKUP($F95,'Status Thresholds'!$E:$AS,5,FALSE)</f>
        <v>455</v>
      </c>
      <c r="M95" s="36">
        <f>VLOOKUP($F95,'Status Thresholds'!$E:$AS,6,FALSE)</f>
        <v>0</v>
      </c>
      <c r="N95" s="50">
        <f>VLOOKUP($F95,'Status Thresholds'!$E:$AS,7,FALSE)</f>
        <v>0</v>
      </c>
      <c r="O95" s="36">
        <f>VLOOKUP($F95,'Status Thresholds'!$E:$AS,8,FALSE)</f>
        <v>0</v>
      </c>
      <c r="P95" s="36">
        <f>VLOOKUP($F95,'Status Thresholds'!$E:$AS,9,FALSE)</f>
        <v>0</v>
      </c>
      <c r="Q95" s="36">
        <f>VLOOKUP($F95,'Status Thresholds'!$E:$AS,10,FALSE)</f>
        <v>0</v>
      </c>
      <c r="R95" s="36">
        <f>VLOOKUP($F95,'Status Thresholds'!$E:$AS,11,FALSE)</f>
        <v>0</v>
      </c>
      <c r="S95" s="50">
        <f>VLOOKUP($F95,'Status Thresholds'!$E:$AS,12,FALSE)</f>
        <v>0</v>
      </c>
      <c r="T95" s="36">
        <f>VLOOKUP($F95,'Status Thresholds'!$E:$AS,13,FALSE)</f>
        <v>0</v>
      </c>
      <c r="U95" s="36">
        <f>VLOOKUP($F95,'Status Thresholds'!$E:$AS,14,FALSE)</f>
        <v>0</v>
      </c>
      <c r="V95" s="36">
        <f>VLOOKUP($F95,'Status Thresholds'!$E:$AS,15,FALSE)</f>
        <v>0</v>
      </c>
      <c r="W95" s="36">
        <f>VLOOKUP($F95,'Status Thresholds'!$E:$AS,16,FALSE)</f>
        <v>0</v>
      </c>
      <c r="X95" s="50">
        <f>VLOOKUP($F95,'Status Thresholds'!$E:$AS,17,FALSE)</f>
        <v>0</v>
      </c>
      <c r="Y95" s="36">
        <f>VLOOKUP($F95,'Status Thresholds'!$E:$AS,18,FALSE)</f>
        <v>0</v>
      </c>
      <c r="Z95" s="36">
        <f>VLOOKUP($F95,'Status Thresholds'!$E:$AS,19,FALSE)</f>
        <v>0</v>
      </c>
      <c r="AA95" s="36">
        <f>VLOOKUP($F95,'Status Thresholds'!$E:$AS,20,FALSE)</f>
        <v>0</v>
      </c>
      <c r="AB95" s="36">
        <f>VLOOKUP($F95,'Status Thresholds'!$E:$AS,21,FALSE)</f>
        <v>0</v>
      </c>
      <c r="AC95" s="50">
        <f>VLOOKUP($F95,'Status Thresholds'!$E:$AS,22,FALSE)</f>
        <v>280</v>
      </c>
      <c r="AD95" s="36">
        <f>VLOOKUP($F95,'Status Thresholds'!$E:$AS,23,FALSE)</f>
        <v>350</v>
      </c>
      <c r="AE95" s="36">
        <f>VLOOKUP($F95,'Status Thresholds'!$E:$AS,24,FALSE)</f>
        <v>420</v>
      </c>
      <c r="AF95" s="36">
        <f>VLOOKUP($F95,'Status Thresholds'!$E:$AS,25,FALSE)</f>
        <v>490</v>
      </c>
      <c r="AG95" s="36">
        <f>VLOOKUP($F95,'Status Thresholds'!$E:$AS,26,FALSE)</f>
        <v>0</v>
      </c>
      <c r="AH95" s="50">
        <f>VLOOKUP($F95,'Status Thresholds'!$E:$AS,27,FALSE)</f>
        <v>0</v>
      </c>
      <c r="AI95" s="36">
        <f>VLOOKUP($F95,'Status Thresholds'!$E:$AS,28,FALSE)</f>
        <v>0</v>
      </c>
      <c r="AJ95" s="36">
        <f>VLOOKUP($F95,'Status Thresholds'!$E:$AS,29,FALSE)</f>
        <v>0</v>
      </c>
      <c r="AK95" s="36">
        <f>VLOOKUP($F95,'Status Thresholds'!$E:$AS,30,FALSE)</f>
        <v>0</v>
      </c>
      <c r="AL95" s="36">
        <f>VLOOKUP($F95,'Status Thresholds'!$E:$AS,31,FALSE)</f>
        <v>0</v>
      </c>
      <c r="AM95" s="50">
        <f>VLOOKUP($F95,'Status Thresholds'!$E:$AS,32,FALSE)</f>
        <v>400</v>
      </c>
      <c r="AN95" s="36">
        <f>VLOOKUP($F95,'Status Thresholds'!$E:$AS,33,FALSE)</f>
        <v>500</v>
      </c>
      <c r="AO95" s="36">
        <f>VLOOKUP($F95,'Status Thresholds'!$E:$AS,34,FALSE)</f>
        <v>600</v>
      </c>
      <c r="AP95" s="36">
        <f>VLOOKUP($F95,'Status Thresholds'!$E:$AS,35,FALSE)</f>
        <v>700</v>
      </c>
      <c r="AQ95" s="36">
        <f>VLOOKUP($F95,'Status Thresholds'!$E:$AS,36,FALSE)</f>
        <v>0</v>
      </c>
      <c r="AR95" s="50">
        <f>VLOOKUP($F95,'Status Thresholds'!$E:$AS,37,FALSE)</f>
        <v>0</v>
      </c>
      <c r="AS95" s="36">
        <f>VLOOKUP($F95,'Status Thresholds'!$E:$AS,38,FALSE)</f>
        <v>0</v>
      </c>
      <c r="AT95" s="36">
        <f>VLOOKUP($F95,'Status Thresholds'!$E:$AS,39,FALSE)</f>
        <v>0</v>
      </c>
      <c r="AU95" s="36">
        <f>VLOOKUP($F95,'Status Thresholds'!$E:$AS,40,FALSE)</f>
        <v>0</v>
      </c>
      <c r="AV95" s="36">
        <f>VLOOKUP($F95,'Status Thresholds'!$E:$AS,41,FALSE)</f>
        <v>10</v>
      </c>
      <c r="AW95">
        <v>0</v>
      </c>
      <c r="AX95">
        <v>0</v>
      </c>
    </row>
    <row r="96" spans="1:50" x14ac:dyDescent="0.25">
      <c r="A96" s="36"/>
      <c r="B96" s="46" t="s">
        <v>120</v>
      </c>
      <c r="C96" s="36" t="str">
        <f>'Status Thresholds'!B96</f>
        <v>Basarios</v>
      </c>
      <c r="E96" s="36" t="str">
        <f t="shared" si="5"/>
        <v>Basarios</v>
      </c>
      <c r="F96" s="36" t="str">
        <f>IFERROR(VLOOKUP($E96,'Status Thresholds'!$E:$AS,1,FALSE),"")</f>
        <v/>
      </c>
      <c r="G96" t="s">
        <v>21</v>
      </c>
      <c r="H96" s="55" t="str">
        <f t="shared" si="6"/>
        <v>BasariosTriblast</v>
      </c>
      <c r="I96" s="50">
        <v>2</v>
      </c>
      <c r="J96" s="36">
        <v>2</v>
      </c>
      <c r="K96" s="36">
        <v>2</v>
      </c>
      <c r="L96" s="36">
        <v>2</v>
      </c>
      <c r="M96" s="36">
        <v>0</v>
      </c>
      <c r="N96" s="50">
        <v>0</v>
      </c>
      <c r="O96" s="36">
        <v>0</v>
      </c>
      <c r="P96" s="36">
        <v>0</v>
      </c>
      <c r="Q96" s="36">
        <v>0</v>
      </c>
      <c r="R96" s="36">
        <v>0</v>
      </c>
      <c r="S96" s="50">
        <v>0</v>
      </c>
      <c r="T96" s="36">
        <v>0</v>
      </c>
      <c r="U96" s="36">
        <v>0</v>
      </c>
      <c r="V96" s="36">
        <v>0</v>
      </c>
      <c r="W96" s="36">
        <v>0</v>
      </c>
      <c r="X96" s="50">
        <v>0</v>
      </c>
      <c r="Y96" s="36">
        <v>0</v>
      </c>
      <c r="Z96" s="36">
        <v>0</v>
      </c>
      <c r="AA96" s="36">
        <v>0</v>
      </c>
      <c r="AB96" s="36">
        <v>0</v>
      </c>
      <c r="AC96" s="50">
        <v>2</v>
      </c>
      <c r="AD96" s="36">
        <v>2</v>
      </c>
      <c r="AE96" s="36">
        <v>2</v>
      </c>
      <c r="AF96" s="36">
        <v>1</v>
      </c>
      <c r="AG96" s="36">
        <v>0</v>
      </c>
      <c r="AH96" s="50">
        <v>0</v>
      </c>
      <c r="AI96" s="36">
        <v>0</v>
      </c>
      <c r="AJ96" s="36">
        <v>0</v>
      </c>
      <c r="AK96" s="36">
        <v>0</v>
      </c>
      <c r="AL96" s="36">
        <v>0</v>
      </c>
      <c r="AM96" s="50">
        <v>2</v>
      </c>
      <c r="AN96" s="36">
        <v>1</v>
      </c>
      <c r="AO96" s="36">
        <v>2</v>
      </c>
      <c r="AP96" s="36">
        <v>2</v>
      </c>
      <c r="AQ96" s="36">
        <v>0</v>
      </c>
      <c r="AR96" s="50">
        <v>0</v>
      </c>
      <c r="AS96" s="36">
        <v>0</v>
      </c>
      <c r="AT96" s="36">
        <v>0</v>
      </c>
      <c r="AU96" s="36">
        <v>0</v>
      </c>
      <c r="AV96" s="36">
        <v>0</v>
      </c>
      <c r="AW96">
        <v>0</v>
      </c>
    </row>
    <row r="97" spans="1:50" x14ac:dyDescent="0.25">
      <c r="A97" s="36"/>
      <c r="B97" t="s">
        <v>120</v>
      </c>
      <c r="C97" s="36" t="str">
        <f>'Status Thresholds'!B97</f>
        <v>Basarios</v>
      </c>
      <c r="E97" s="36" t="str">
        <f t="shared" si="5"/>
        <v>Basarios</v>
      </c>
      <c r="F97" s="36" t="str">
        <f>IFERROR(VLOOKUP($E97,'Status Thresholds'!$E:$AS,1,FALSE),"")</f>
        <v/>
      </c>
      <c r="G97" t="s">
        <v>13</v>
      </c>
      <c r="H97" s="55" t="str">
        <f t="shared" si="6"/>
        <v>BasariosCrag 3</v>
      </c>
      <c r="I97" s="50">
        <v>2</v>
      </c>
      <c r="J97" s="36">
        <v>0</v>
      </c>
      <c r="K97" s="36">
        <v>4</v>
      </c>
      <c r="L97" s="36">
        <v>4</v>
      </c>
      <c r="M97" s="36">
        <v>0</v>
      </c>
      <c r="N97" s="50">
        <v>0</v>
      </c>
      <c r="O97" s="36">
        <v>0</v>
      </c>
      <c r="P97" s="36">
        <v>0</v>
      </c>
      <c r="Q97" s="36">
        <v>0</v>
      </c>
      <c r="R97" s="36">
        <v>0</v>
      </c>
      <c r="S97" s="50">
        <v>0</v>
      </c>
      <c r="T97" s="36">
        <v>0</v>
      </c>
      <c r="U97" s="36">
        <v>0</v>
      </c>
      <c r="V97" s="36">
        <v>0</v>
      </c>
      <c r="W97" s="36">
        <v>0</v>
      </c>
      <c r="X97" s="50">
        <v>0</v>
      </c>
      <c r="Y97" s="36">
        <v>0</v>
      </c>
      <c r="Z97" s="36">
        <v>0</v>
      </c>
      <c r="AA97" s="36">
        <v>0</v>
      </c>
      <c r="AB97" s="36">
        <v>0</v>
      </c>
      <c r="AC97" s="50">
        <v>2</v>
      </c>
      <c r="AD97" s="36">
        <v>0</v>
      </c>
      <c r="AE97" s="36">
        <v>4</v>
      </c>
      <c r="AF97" s="36">
        <v>3</v>
      </c>
      <c r="AG97" s="36">
        <v>0</v>
      </c>
      <c r="AH97" s="50">
        <v>0</v>
      </c>
      <c r="AI97" s="36">
        <v>0</v>
      </c>
      <c r="AJ97" s="36">
        <v>0</v>
      </c>
      <c r="AK97" s="36">
        <v>0</v>
      </c>
      <c r="AL97" s="36">
        <v>0</v>
      </c>
      <c r="AM97" s="50">
        <v>4</v>
      </c>
      <c r="AN97" s="36">
        <v>4</v>
      </c>
      <c r="AO97" s="36">
        <v>4</v>
      </c>
      <c r="AP97" s="36">
        <v>4</v>
      </c>
      <c r="AQ97" s="36">
        <v>0</v>
      </c>
      <c r="AR97" s="50">
        <v>0</v>
      </c>
      <c r="AS97" s="36">
        <v>0</v>
      </c>
      <c r="AT97" s="36">
        <v>0</v>
      </c>
      <c r="AU97" s="36">
        <v>0</v>
      </c>
      <c r="AV97" s="36">
        <v>0</v>
      </c>
      <c r="AW97">
        <v>0</v>
      </c>
      <c r="AX97">
        <v>0</v>
      </c>
    </row>
    <row r="98" spans="1:50" x14ac:dyDescent="0.25">
      <c r="A98" s="36"/>
      <c r="B98" t="s">
        <v>120</v>
      </c>
      <c r="C98" s="36" t="str">
        <f>'Status Thresholds'!B98</f>
        <v>Basarios</v>
      </c>
      <c r="E98" s="36" t="str">
        <f t="shared" si="5"/>
        <v>Basarios</v>
      </c>
      <c r="F98" s="36" t="str">
        <f>IFERROR(VLOOKUP($E98,'Status Thresholds'!$E:$AS,1,FALSE),"")</f>
        <v/>
      </c>
      <c r="G98" t="s">
        <v>12</v>
      </c>
      <c r="H98" s="55" t="str">
        <f t="shared" si="6"/>
        <v>BasariosCrag 2</v>
      </c>
      <c r="I98" s="50">
        <v>1</v>
      </c>
      <c r="J98" s="36">
        <v>0</v>
      </c>
      <c r="K98" s="36">
        <v>1</v>
      </c>
      <c r="L98" s="36">
        <v>4</v>
      </c>
      <c r="M98" s="36">
        <v>0</v>
      </c>
      <c r="N98" s="50">
        <v>0</v>
      </c>
      <c r="O98" s="36">
        <v>0</v>
      </c>
      <c r="P98" s="36">
        <v>0</v>
      </c>
      <c r="Q98" s="36">
        <v>0</v>
      </c>
      <c r="R98" s="36">
        <v>0</v>
      </c>
      <c r="S98" s="50">
        <v>0</v>
      </c>
      <c r="T98" s="36">
        <v>0</v>
      </c>
      <c r="U98" s="36">
        <v>0</v>
      </c>
      <c r="V98" s="36">
        <v>0</v>
      </c>
      <c r="W98" s="36">
        <v>0</v>
      </c>
      <c r="X98" s="50">
        <v>0</v>
      </c>
      <c r="Y98" s="36">
        <v>0</v>
      </c>
      <c r="Z98" s="36">
        <v>0</v>
      </c>
      <c r="AA98" s="36">
        <v>0</v>
      </c>
      <c r="AB98" s="36">
        <v>0</v>
      </c>
      <c r="AC98" s="50">
        <v>0</v>
      </c>
      <c r="AD98" s="36">
        <v>0</v>
      </c>
      <c r="AE98" s="36">
        <v>2</v>
      </c>
      <c r="AF98" s="36">
        <v>4</v>
      </c>
      <c r="AG98" s="36">
        <v>0</v>
      </c>
      <c r="AH98" s="50">
        <v>0</v>
      </c>
      <c r="AI98" s="36">
        <v>0</v>
      </c>
      <c r="AJ98" s="36">
        <v>0</v>
      </c>
      <c r="AK98" s="36">
        <v>0</v>
      </c>
      <c r="AL98" s="36">
        <v>0</v>
      </c>
      <c r="AM98" s="50">
        <v>3</v>
      </c>
      <c r="AN98" s="36">
        <v>3</v>
      </c>
      <c r="AO98" s="36">
        <v>3</v>
      </c>
      <c r="AP98" s="36">
        <v>4</v>
      </c>
      <c r="AQ98" s="36">
        <v>0</v>
      </c>
      <c r="AR98" s="50">
        <v>0</v>
      </c>
      <c r="AS98" s="36">
        <v>0</v>
      </c>
      <c r="AT98" s="36">
        <v>0</v>
      </c>
      <c r="AU98" s="36">
        <v>0</v>
      </c>
      <c r="AV98" s="36">
        <v>0</v>
      </c>
      <c r="AW98">
        <v>0</v>
      </c>
      <c r="AX98">
        <v>0</v>
      </c>
    </row>
    <row r="99" spans="1:50" x14ac:dyDescent="0.25">
      <c r="A99" s="36"/>
      <c r="B99" t="s">
        <v>120</v>
      </c>
      <c r="C99" s="36" t="str">
        <f>'Status Thresholds'!B99</f>
        <v>Basarios</v>
      </c>
      <c r="E99" s="36" t="str">
        <f t="shared" si="5"/>
        <v>Basarios</v>
      </c>
      <c r="F99" s="36" t="str">
        <f>IFERROR(VLOOKUP($E99,'Status Thresholds'!$E:$AS,1,FALSE),"")</f>
        <v/>
      </c>
      <c r="G99" t="s">
        <v>11</v>
      </c>
      <c r="H99" s="55" t="str">
        <f t="shared" si="6"/>
        <v>BasariosCrag 1</v>
      </c>
      <c r="I99" s="50">
        <v>0</v>
      </c>
      <c r="J99" s="36">
        <v>7</v>
      </c>
      <c r="K99" s="36">
        <v>2</v>
      </c>
      <c r="L99" s="36">
        <v>1</v>
      </c>
      <c r="M99" s="36">
        <v>0</v>
      </c>
      <c r="N99" s="50">
        <v>0</v>
      </c>
      <c r="O99" s="36">
        <v>0</v>
      </c>
      <c r="P99" s="36">
        <v>0</v>
      </c>
      <c r="Q99" s="36">
        <v>0</v>
      </c>
      <c r="R99" s="36">
        <v>0</v>
      </c>
      <c r="S99" s="50">
        <v>0</v>
      </c>
      <c r="T99" s="36">
        <v>0</v>
      </c>
      <c r="U99" s="36">
        <v>0</v>
      </c>
      <c r="V99" s="36">
        <v>0</v>
      </c>
      <c r="W99" s="36">
        <v>0</v>
      </c>
      <c r="X99" s="50">
        <v>0</v>
      </c>
      <c r="Y99" s="36">
        <v>0</v>
      </c>
      <c r="Z99" s="36">
        <v>0</v>
      </c>
      <c r="AA99" s="36">
        <v>0</v>
      </c>
      <c r="AB99" s="36">
        <v>0</v>
      </c>
      <c r="AC99" s="50">
        <v>2</v>
      </c>
      <c r="AD99" s="36">
        <v>8</v>
      </c>
      <c r="AE99" s="36">
        <v>2</v>
      </c>
      <c r="AF99" s="36">
        <v>7</v>
      </c>
      <c r="AG99" s="36">
        <v>0</v>
      </c>
      <c r="AH99" s="50">
        <v>0</v>
      </c>
      <c r="AI99" s="36">
        <v>0</v>
      </c>
      <c r="AJ99" s="36">
        <v>0</v>
      </c>
      <c r="AK99" s="36">
        <v>0</v>
      </c>
      <c r="AL99" s="36">
        <v>0</v>
      </c>
      <c r="AM99" s="50">
        <v>0</v>
      </c>
      <c r="AN99" s="36">
        <v>7</v>
      </c>
      <c r="AO99" s="36">
        <v>8</v>
      </c>
      <c r="AP99" s="36">
        <v>8</v>
      </c>
      <c r="AQ99" s="36">
        <v>0</v>
      </c>
      <c r="AR99" s="50">
        <v>0</v>
      </c>
      <c r="AS99" s="36">
        <v>0</v>
      </c>
      <c r="AT99" s="36">
        <v>0</v>
      </c>
      <c r="AU99" s="36">
        <v>0</v>
      </c>
      <c r="AV99" s="36">
        <v>1</v>
      </c>
      <c r="AW99">
        <v>0</v>
      </c>
      <c r="AX99">
        <v>0</v>
      </c>
    </row>
    <row r="100" spans="1:50" x14ac:dyDescent="0.25">
      <c r="A100" s="36"/>
      <c r="B100" s="36" t="s">
        <v>119</v>
      </c>
      <c r="C100" s="36" t="str">
        <f>'Status Thresholds'!B100</f>
        <v>Basarios</v>
      </c>
      <c r="E100" s="36" t="str">
        <f t="shared" si="5"/>
        <v>Basarios</v>
      </c>
      <c r="F100" s="36" t="str">
        <f>IFERROR(VLOOKUP($E100,'Status Thresholds'!$E:$AS,1,FALSE),"")</f>
        <v/>
      </c>
      <c r="G100" t="s">
        <v>21</v>
      </c>
      <c r="H100" s="55" t="str">
        <f t="shared" si="6"/>
        <v>BasariosTriblast</v>
      </c>
      <c r="I100" s="50">
        <v>2</v>
      </c>
      <c r="J100" s="36">
        <v>0</v>
      </c>
      <c r="K100" s="36">
        <v>2</v>
      </c>
      <c r="L100" s="36">
        <v>2</v>
      </c>
      <c r="M100" s="36">
        <v>0</v>
      </c>
      <c r="N100" s="50">
        <v>0</v>
      </c>
      <c r="O100" s="36">
        <v>0</v>
      </c>
      <c r="P100" s="36">
        <v>0</v>
      </c>
      <c r="Q100" s="36">
        <v>0</v>
      </c>
      <c r="R100" s="36">
        <v>0</v>
      </c>
      <c r="S100" s="50">
        <v>0</v>
      </c>
      <c r="T100" s="36">
        <v>0</v>
      </c>
      <c r="U100" s="36">
        <v>0</v>
      </c>
      <c r="V100" s="36">
        <v>0</v>
      </c>
      <c r="W100" s="36">
        <v>0</v>
      </c>
      <c r="X100" s="50">
        <v>0</v>
      </c>
      <c r="Y100" s="36">
        <v>0</v>
      </c>
      <c r="Z100" s="36">
        <v>0</v>
      </c>
      <c r="AA100" s="36">
        <v>0</v>
      </c>
      <c r="AB100" s="36">
        <v>0</v>
      </c>
      <c r="AC100" s="50">
        <v>0</v>
      </c>
      <c r="AD100" s="36">
        <v>1</v>
      </c>
      <c r="AE100" s="36">
        <v>0</v>
      </c>
      <c r="AF100" s="36">
        <v>1</v>
      </c>
      <c r="AG100" s="36">
        <v>0</v>
      </c>
      <c r="AH100" s="50">
        <v>0</v>
      </c>
      <c r="AI100" s="36">
        <v>0</v>
      </c>
      <c r="AJ100" s="36">
        <v>0</v>
      </c>
      <c r="AK100" s="36">
        <v>0</v>
      </c>
      <c r="AL100" s="36">
        <v>0</v>
      </c>
      <c r="AM100" s="50">
        <v>2</v>
      </c>
      <c r="AN100" s="36">
        <v>2</v>
      </c>
      <c r="AO100" s="36">
        <v>2</v>
      </c>
      <c r="AP100" s="36">
        <v>2</v>
      </c>
      <c r="AQ100" s="36">
        <v>0</v>
      </c>
      <c r="AR100" s="50">
        <v>0</v>
      </c>
      <c r="AS100" s="36">
        <v>0</v>
      </c>
      <c r="AT100" s="36">
        <v>0</v>
      </c>
      <c r="AU100" s="36">
        <v>0</v>
      </c>
      <c r="AV100" s="36">
        <v>0</v>
      </c>
      <c r="AW100">
        <v>0</v>
      </c>
      <c r="AX100">
        <v>0</v>
      </c>
    </row>
    <row r="101" spans="1:50" x14ac:dyDescent="0.25">
      <c r="A101" s="36"/>
      <c r="B101" t="s">
        <v>119</v>
      </c>
      <c r="C101" s="36" t="str">
        <f>'Status Thresholds'!B101</f>
        <v>Basarios</v>
      </c>
      <c r="E101" s="36" t="str">
        <f t="shared" si="5"/>
        <v>Basarios</v>
      </c>
      <c r="F101" s="36" t="str">
        <f>IFERROR(VLOOKUP($E101,'Status Thresholds'!$E:$AS,1,FALSE),"")</f>
        <v/>
      </c>
      <c r="G101" t="s">
        <v>13</v>
      </c>
      <c r="H101" s="55" t="str">
        <f t="shared" si="6"/>
        <v>BasariosCrag 3</v>
      </c>
      <c r="I101" s="50">
        <v>1</v>
      </c>
      <c r="J101" s="36">
        <v>1</v>
      </c>
      <c r="K101" s="36">
        <v>0</v>
      </c>
      <c r="L101" s="36">
        <v>1</v>
      </c>
      <c r="M101" s="36">
        <v>0</v>
      </c>
      <c r="N101" s="50">
        <v>0</v>
      </c>
      <c r="O101" s="36">
        <v>0</v>
      </c>
      <c r="P101" s="36">
        <v>0</v>
      </c>
      <c r="Q101" s="36">
        <v>0</v>
      </c>
      <c r="R101" s="36">
        <v>0</v>
      </c>
      <c r="S101" s="50">
        <v>0</v>
      </c>
      <c r="T101" s="36">
        <v>0</v>
      </c>
      <c r="U101" s="36">
        <v>0</v>
      </c>
      <c r="V101" s="36">
        <v>0</v>
      </c>
      <c r="W101" s="36">
        <v>0</v>
      </c>
      <c r="X101" s="50">
        <v>0</v>
      </c>
      <c r="Y101" s="36">
        <v>0</v>
      </c>
      <c r="Z101" s="36">
        <v>0</v>
      </c>
      <c r="AA101" s="36">
        <v>0</v>
      </c>
      <c r="AB101" s="36">
        <v>0</v>
      </c>
      <c r="AC101" s="50">
        <v>0</v>
      </c>
      <c r="AD101" s="36">
        <v>4</v>
      </c>
      <c r="AE101" s="36">
        <v>3</v>
      </c>
      <c r="AF101" s="36">
        <v>2</v>
      </c>
      <c r="AG101" s="36">
        <v>0</v>
      </c>
      <c r="AH101" s="50">
        <v>0</v>
      </c>
      <c r="AI101" s="36">
        <v>0</v>
      </c>
      <c r="AJ101" s="36">
        <v>0</v>
      </c>
      <c r="AK101" s="36">
        <v>0</v>
      </c>
      <c r="AL101" s="36">
        <v>0</v>
      </c>
      <c r="AM101" s="50">
        <v>1</v>
      </c>
      <c r="AN101" s="36">
        <v>1</v>
      </c>
      <c r="AO101" s="36">
        <v>4</v>
      </c>
      <c r="AP101" s="36">
        <v>4</v>
      </c>
      <c r="AQ101" s="36">
        <v>0</v>
      </c>
      <c r="AR101" s="50">
        <v>0</v>
      </c>
      <c r="AS101" s="36">
        <v>0</v>
      </c>
      <c r="AT101" s="36">
        <v>0</v>
      </c>
      <c r="AU101" s="36">
        <v>0</v>
      </c>
      <c r="AV101" s="36">
        <v>0</v>
      </c>
      <c r="AW101">
        <v>0</v>
      </c>
      <c r="AX101">
        <v>0</v>
      </c>
    </row>
    <row r="102" spans="1:50" x14ac:dyDescent="0.25">
      <c r="A102" s="36"/>
      <c r="B102" t="s">
        <v>119</v>
      </c>
      <c r="C102" s="36" t="str">
        <f>'Status Thresholds'!B102</f>
        <v>Basarios</v>
      </c>
      <c r="E102" s="36" t="str">
        <f t="shared" si="5"/>
        <v>Basarios</v>
      </c>
      <c r="F102" s="36" t="str">
        <f>IFERROR(VLOOKUP($E102,'Status Thresholds'!$E:$AS,1,FALSE),"")</f>
        <v/>
      </c>
      <c r="G102" t="s">
        <v>12</v>
      </c>
      <c r="H102" s="55" t="str">
        <f t="shared" si="6"/>
        <v>BasariosCrag 2</v>
      </c>
      <c r="I102" s="50">
        <v>0</v>
      </c>
      <c r="J102" s="36">
        <v>2</v>
      </c>
      <c r="K102" s="36">
        <v>2</v>
      </c>
      <c r="L102" s="36">
        <v>1</v>
      </c>
      <c r="M102" s="36">
        <v>0</v>
      </c>
      <c r="N102" s="50">
        <v>0</v>
      </c>
      <c r="O102" s="36">
        <v>0</v>
      </c>
      <c r="P102" s="36">
        <v>0</v>
      </c>
      <c r="Q102" s="36">
        <v>0</v>
      </c>
      <c r="R102" s="36">
        <v>0</v>
      </c>
      <c r="S102" s="50">
        <v>0</v>
      </c>
      <c r="T102" s="36">
        <v>0</v>
      </c>
      <c r="U102" s="36">
        <v>0</v>
      </c>
      <c r="V102" s="36">
        <v>0</v>
      </c>
      <c r="W102" s="36">
        <v>0</v>
      </c>
      <c r="X102" s="50">
        <v>0</v>
      </c>
      <c r="Y102" s="36">
        <v>0</v>
      </c>
      <c r="Z102" s="36">
        <v>0</v>
      </c>
      <c r="AA102" s="36">
        <v>0</v>
      </c>
      <c r="AB102" s="36">
        <v>0</v>
      </c>
      <c r="AC102" s="50">
        <v>2</v>
      </c>
      <c r="AD102" s="36">
        <v>2</v>
      </c>
      <c r="AE102" s="36">
        <v>3</v>
      </c>
      <c r="AF102" s="36">
        <v>4</v>
      </c>
      <c r="AG102" s="36">
        <v>0</v>
      </c>
      <c r="AH102" s="50">
        <v>0</v>
      </c>
      <c r="AI102" s="36">
        <v>0</v>
      </c>
      <c r="AJ102" s="36">
        <v>0</v>
      </c>
      <c r="AK102" s="36">
        <v>0</v>
      </c>
      <c r="AL102" s="36">
        <v>0</v>
      </c>
      <c r="AM102" s="50">
        <v>1</v>
      </c>
      <c r="AN102" s="36">
        <v>4</v>
      </c>
      <c r="AO102" s="36">
        <v>4</v>
      </c>
      <c r="AP102" s="36">
        <v>4</v>
      </c>
      <c r="AQ102" s="36">
        <v>0</v>
      </c>
      <c r="AR102" s="50">
        <v>0</v>
      </c>
      <c r="AS102" s="36">
        <v>0</v>
      </c>
      <c r="AT102" s="36">
        <v>0</v>
      </c>
      <c r="AU102" s="36">
        <v>0</v>
      </c>
      <c r="AV102" s="36">
        <v>0</v>
      </c>
      <c r="AW102">
        <v>0</v>
      </c>
      <c r="AX102">
        <v>0</v>
      </c>
    </row>
    <row r="103" spans="1:50" x14ac:dyDescent="0.25">
      <c r="A103" s="36"/>
      <c r="B103" t="s">
        <v>119</v>
      </c>
      <c r="C103" s="36" t="str">
        <f>'Status Thresholds'!B103</f>
        <v>Basarios</v>
      </c>
      <c r="E103" s="36" t="str">
        <f t="shared" si="5"/>
        <v>Basarios</v>
      </c>
      <c r="F103" s="36" t="str">
        <f>IFERROR(VLOOKUP($E103,'Status Thresholds'!$E:$AS,1,FALSE),"")</f>
        <v/>
      </c>
      <c r="G103" t="s">
        <v>11</v>
      </c>
      <c r="H103" s="55" t="str">
        <f t="shared" si="6"/>
        <v>BasariosCrag 1</v>
      </c>
      <c r="I103" s="50">
        <v>2</v>
      </c>
      <c r="J103" s="36">
        <v>8</v>
      </c>
      <c r="K103" s="36">
        <v>6</v>
      </c>
      <c r="L103" s="36">
        <v>8</v>
      </c>
      <c r="M103" s="36">
        <v>0</v>
      </c>
      <c r="N103" s="50">
        <v>0</v>
      </c>
      <c r="O103" s="36">
        <v>0</v>
      </c>
      <c r="P103" s="36">
        <v>0</v>
      </c>
      <c r="Q103" s="36">
        <v>0</v>
      </c>
      <c r="R103" s="36">
        <v>0</v>
      </c>
      <c r="S103" s="50">
        <v>0</v>
      </c>
      <c r="T103" s="36">
        <v>0</v>
      </c>
      <c r="U103" s="36">
        <v>0</v>
      </c>
      <c r="V103" s="36">
        <v>0</v>
      </c>
      <c r="W103" s="36">
        <v>0</v>
      </c>
      <c r="X103" s="50">
        <v>0</v>
      </c>
      <c r="Y103" s="36">
        <v>0</v>
      </c>
      <c r="Z103" s="36">
        <v>0</v>
      </c>
      <c r="AA103" s="36">
        <v>0</v>
      </c>
      <c r="AB103" s="36">
        <v>0</v>
      </c>
      <c r="AC103" s="50">
        <v>8</v>
      </c>
      <c r="AD103" s="36">
        <v>1</v>
      </c>
      <c r="AE103" s="36">
        <v>7</v>
      </c>
      <c r="AF103" s="36">
        <v>7</v>
      </c>
      <c r="AG103" s="36">
        <v>0</v>
      </c>
      <c r="AH103" s="50">
        <v>0</v>
      </c>
      <c r="AI103" s="36">
        <v>0</v>
      </c>
      <c r="AJ103" s="36">
        <v>0</v>
      </c>
      <c r="AK103" s="36">
        <v>0</v>
      </c>
      <c r="AL103" s="36">
        <v>0</v>
      </c>
      <c r="AM103" s="50">
        <v>6</v>
      </c>
      <c r="AN103" s="36">
        <v>6</v>
      </c>
      <c r="AO103" s="36">
        <v>5</v>
      </c>
      <c r="AP103" s="36">
        <v>8</v>
      </c>
      <c r="AQ103" s="36">
        <v>0</v>
      </c>
      <c r="AR103" s="50">
        <v>0</v>
      </c>
      <c r="AS103" s="36">
        <v>0</v>
      </c>
      <c r="AT103" s="36">
        <v>0</v>
      </c>
      <c r="AU103" s="36">
        <v>0</v>
      </c>
      <c r="AV103" s="36">
        <v>1</v>
      </c>
      <c r="AW103">
        <v>0</v>
      </c>
      <c r="AX103">
        <v>0</v>
      </c>
    </row>
    <row r="104" spans="1:50" x14ac:dyDescent="0.25">
      <c r="A104" s="36"/>
      <c r="B104" t="s">
        <v>121</v>
      </c>
      <c r="C104" s="36" t="str">
        <f>'Status Thresholds'!B104</f>
        <v>Blangonga</v>
      </c>
      <c r="D104" t="s">
        <v>14</v>
      </c>
      <c r="E104" s="36" t="str">
        <f t="shared" si="5"/>
        <v>BlangongaKO</v>
      </c>
      <c r="F104" s="36" t="str">
        <f>IFERROR(VLOOKUP($E104,'Status Thresholds'!$E:$AS,1,FALSE),"")</f>
        <v>BlangongaKO</v>
      </c>
      <c r="G104" s="36"/>
      <c r="H104" s="55" t="str">
        <f t="shared" si="6"/>
        <v>BlangongaKO</v>
      </c>
      <c r="I104" s="50">
        <f>VLOOKUP($F104,'Status Thresholds'!$E:$AS,2,FALSE)</f>
        <v>195</v>
      </c>
      <c r="J104" s="36">
        <f>VLOOKUP($F104,'Status Thresholds'!$E:$AS,3,FALSE)</f>
        <v>325</v>
      </c>
      <c r="K104" s="36">
        <f>VLOOKUP($F104,'Status Thresholds'!$E:$AS,4,FALSE)</f>
        <v>455</v>
      </c>
      <c r="L104" s="36">
        <f>VLOOKUP($F104,'Status Thresholds'!$E:$AS,5,FALSE)</f>
        <v>585</v>
      </c>
      <c r="M104" s="36">
        <f>VLOOKUP($F104,'Status Thresholds'!$E:$AS,6,FALSE)</f>
        <v>0</v>
      </c>
      <c r="N104" s="50">
        <f>VLOOKUP($F104,'Status Thresholds'!$E:$AS,7,FALSE)</f>
        <v>0</v>
      </c>
      <c r="O104" s="36">
        <f>VLOOKUP($F104,'Status Thresholds'!$E:$AS,8,FALSE)</f>
        <v>0</v>
      </c>
      <c r="P104" s="36">
        <f>VLOOKUP($F104,'Status Thresholds'!$E:$AS,9,FALSE)</f>
        <v>0</v>
      </c>
      <c r="Q104" s="36">
        <f>VLOOKUP($F104,'Status Thresholds'!$E:$AS,10,FALSE)</f>
        <v>0</v>
      </c>
      <c r="R104" s="36">
        <f>VLOOKUP($F104,'Status Thresholds'!$E:$AS,11,FALSE)</f>
        <v>0</v>
      </c>
      <c r="S104" s="50">
        <f>VLOOKUP($F104,'Status Thresholds'!$E:$AS,12,FALSE)</f>
        <v>195</v>
      </c>
      <c r="T104" s="36">
        <f>VLOOKUP($F104,'Status Thresholds'!$E:$AS,13,FALSE)</f>
        <v>325</v>
      </c>
      <c r="U104" s="36">
        <f>VLOOKUP($F104,'Status Thresholds'!$E:$AS,14,FALSE)</f>
        <v>455</v>
      </c>
      <c r="V104" s="36">
        <f>VLOOKUP($F104,'Status Thresholds'!$E:$AS,15,FALSE)</f>
        <v>585</v>
      </c>
      <c r="W104" s="36">
        <f>VLOOKUP($F104,'Status Thresholds'!$E:$AS,16,FALSE)</f>
        <v>0</v>
      </c>
      <c r="X104" s="50">
        <f>VLOOKUP($F104,'Status Thresholds'!$E:$AS,17,FALSE)</f>
        <v>0</v>
      </c>
      <c r="Y104" s="36">
        <f>VLOOKUP($F104,'Status Thresholds'!$E:$AS,18,FALSE)</f>
        <v>0</v>
      </c>
      <c r="Z104" s="36">
        <f>VLOOKUP($F104,'Status Thresholds'!$E:$AS,19,FALSE)</f>
        <v>0</v>
      </c>
      <c r="AA104" s="36">
        <f>VLOOKUP($F104,'Status Thresholds'!$E:$AS,20,FALSE)</f>
        <v>0</v>
      </c>
      <c r="AB104" s="36">
        <f>VLOOKUP($F104,'Status Thresholds'!$E:$AS,21,FALSE)</f>
        <v>0</v>
      </c>
      <c r="AC104" s="50">
        <f>VLOOKUP($F104,'Status Thresholds'!$E:$AS,22,FALSE)</f>
        <v>210</v>
      </c>
      <c r="AD104" s="36">
        <f>VLOOKUP($F104,'Status Thresholds'!$E:$AS,23,FALSE)</f>
        <v>350</v>
      </c>
      <c r="AE104" s="36">
        <f>VLOOKUP($F104,'Status Thresholds'!$E:$AS,24,FALSE)</f>
        <v>490</v>
      </c>
      <c r="AF104" s="36">
        <f>VLOOKUP($F104,'Status Thresholds'!$E:$AS,25,FALSE)</f>
        <v>630</v>
      </c>
      <c r="AG104" s="36">
        <f>VLOOKUP($F104,'Status Thresholds'!$E:$AS,26,FALSE)</f>
        <v>0</v>
      </c>
      <c r="AH104" s="50">
        <f>VLOOKUP($F104,'Status Thresholds'!$E:$AS,27,FALSE)</f>
        <v>210</v>
      </c>
      <c r="AI104" s="36">
        <f>VLOOKUP($F104,'Status Thresholds'!$E:$AS,28,FALSE)</f>
        <v>350</v>
      </c>
      <c r="AJ104" s="36">
        <f>VLOOKUP($F104,'Status Thresholds'!$E:$AS,29,FALSE)</f>
        <v>490</v>
      </c>
      <c r="AK104" s="36">
        <f>VLOOKUP($F104,'Status Thresholds'!$E:$AS,30,FALSE)</f>
        <v>630</v>
      </c>
      <c r="AL104" s="36">
        <f>VLOOKUP($F104,'Status Thresholds'!$E:$AS,31,FALSE)</f>
        <v>0</v>
      </c>
      <c r="AM104" s="50">
        <f>VLOOKUP($F104,'Status Thresholds'!$E:$AS,32,FALSE)</f>
        <v>300</v>
      </c>
      <c r="AN104" s="36">
        <f>VLOOKUP($F104,'Status Thresholds'!$E:$AS,33,FALSE)</f>
        <v>500</v>
      </c>
      <c r="AO104" s="36">
        <f>VLOOKUP($F104,'Status Thresholds'!$E:$AS,34,FALSE)</f>
        <v>700</v>
      </c>
      <c r="AP104" s="36">
        <f>VLOOKUP($F104,'Status Thresholds'!$E:$AS,35,FALSE)</f>
        <v>900</v>
      </c>
      <c r="AQ104" s="36">
        <f>VLOOKUP($F104,'Status Thresholds'!$E:$AS,36,FALSE)</f>
        <v>0</v>
      </c>
      <c r="AR104" s="50">
        <f>VLOOKUP($F104,'Status Thresholds'!$E:$AS,37,FALSE)</f>
        <v>210</v>
      </c>
      <c r="AS104" s="36">
        <f>VLOOKUP($F104,'Status Thresholds'!$E:$AS,38,FALSE)</f>
        <v>350</v>
      </c>
      <c r="AT104" s="36">
        <f>VLOOKUP($F104,'Status Thresholds'!$E:$AS,39,FALSE)</f>
        <v>490</v>
      </c>
      <c r="AU104" s="36">
        <f>VLOOKUP($F104,'Status Thresholds'!$E:$AS,40,FALSE)</f>
        <v>630</v>
      </c>
      <c r="AV104" s="36">
        <f>VLOOKUP($F104,'Status Thresholds'!$E:$AS,41,FALSE)</f>
        <v>10</v>
      </c>
      <c r="AW104">
        <v>0</v>
      </c>
      <c r="AX104">
        <v>0</v>
      </c>
    </row>
    <row r="105" spans="1:50" x14ac:dyDescent="0.25">
      <c r="A105" s="36"/>
      <c r="B105" t="s">
        <v>120</v>
      </c>
      <c r="C105" s="36" t="str">
        <f>'Status Thresholds'!B105</f>
        <v>Blangonga</v>
      </c>
      <c r="E105" s="36" t="str">
        <f t="shared" si="5"/>
        <v>Blangonga</v>
      </c>
      <c r="F105" s="36" t="str">
        <f>IFERROR(VLOOKUP($E105,'Status Thresholds'!$E:$AS,1,FALSE),"")</f>
        <v/>
      </c>
      <c r="G105" s="46" t="s">
        <v>21</v>
      </c>
      <c r="H105" s="55" t="str">
        <f t="shared" si="6"/>
        <v>BlangongaTriblast</v>
      </c>
      <c r="I105" s="50">
        <v>1</v>
      </c>
      <c r="J105" s="36">
        <v>2</v>
      </c>
      <c r="K105" s="36">
        <v>2</v>
      </c>
      <c r="L105" s="36">
        <v>2</v>
      </c>
      <c r="M105" s="36">
        <v>0</v>
      </c>
      <c r="N105" s="50">
        <v>0</v>
      </c>
      <c r="O105" s="36">
        <v>0</v>
      </c>
      <c r="P105" s="36">
        <v>0</v>
      </c>
      <c r="Q105" s="36">
        <v>0</v>
      </c>
      <c r="R105" s="36">
        <v>0</v>
      </c>
      <c r="S105" s="50">
        <v>1</v>
      </c>
      <c r="T105" s="36">
        <v>2</v>
      </c>
      <c r="U105" s="36">
        <v>2</v>
      </c>
      <c r="V105" s="36">
        <v>2</v>
      </c>
      <c r="W105" s="36">
        <v>0</v>
      </c>
      <c r="X105" s="50">
        <v>0</v>
      </c>
      <c r="Y105" s="36">
        <v>0</v>
      </c>
      <c r="Z105" s="36">
        <v>0</v>
      </c>
      <c r="AA105" s="36">
        <v>0</v>
      </c>
      <c r="AB105" s="36">
        <v>0</v>
      </c>
      <c r="AC105" s="50">
        <v>2</v>
      </c>
      <c r="AD105" s="36">
        <v>2</v>
      </c>
      <c r="AE105" s="36">
        <v>1</v>
      </c>
      <c r="AF105" s="36">
        <v>2</v>
      </c>
      <c r="AG105" s="36">
        <v>0</v>
      </c>
      <c r="AH105" s="50">
        <v>2</v>
      </c>
      <c r="AI105" s="36">
        <v>2</v>
      </c>
      <c r="AJ105" s="36">
        <v>1</v>
      </c>
      <c r="AK105" s="36">
        <v>2</v>
      </c>
      <c r="AL105" s="36">
        <v>0</v>
      </c>
      <c r="AM105" s="50">
        <v>2</v>
      </c>
      <c r="AN105" s="36">
        <v>1</v>
      </c>
      <c r="AO105" s="36">
        <v>2</v>
      </c>
      <c r="AP105" s="36">
        <v>2</v>
      </c>
      <c r="AQ105" s="36">
        <v>0</v>
      </c>
      <c r="AR105" s="50">
        <v>2</v>
      </c>
      <c r="AS105" s="36">
        <v>2</v>
      </c>
      <c r="AT105" s="36">
        <v>1</v>
      </c>
      <c r="AU105" s="36">
        <v>2</v>
      </c>
      <c r="AV105" s="36">
        <v>0</v>
      </c>
      <c r="AW105">
        <v>0</v>
      </c>
    </row>
    <row r="106" spans="1:50" x14ac:dyDescent="0.25">
      <c r="A106" s="36"/>
      <c r="B106" t="s">
        <v>120</v>
      </c>
      <c r="C106" s="36" t="str">
        <f>'Status Thresholds'!B106</f>
        <v>Blangonga</v>
      </c>
      <c r="E106" s="36" t="str">
        <f t="shared" si="5"/>
        <v>Blangonga</v>
      </c>
      <c r="F106" s="36" t="str">
        <f>IFERROR(VLOOKUP($E106,'Status Thresholds'!$E:$AS,1,FALSE),"")</f>
        <v/>
      </c>
      <c r="G106" t="s">
        <v>13</v>
      </c>
      <c r="H106" s="55" t="str">
        <f t="shared" si="6"/>
        <v>BlangongaCrag 3</v>
      </c>
      <c r="I106" s="50">
        <v>0</v>
      </c>
      <c r="J106" s="36">
        <v>0</v>
      </c>
      <c r="K106" s="36">
        <v>4</v>
      </c>
      <c r="L106" s="36">
        <v>3</v>
      </c>
      <c r="M106" s="36">
        <v>0</v>
      </c>
      <c r="N106" s="50">
        <v>0</v>
      </c>
      <c r="O106" s="36">
        <v>0</v>
      </c>
      <c r="P106" s="36">
        <v>0</v>
      </c>
      <c r="Q106" s="36">
        <v>0</v>
      </c>
      <c r="R106" s="36">
        <v>0</v>
      </c>
      <c r="S106" s="50">
        <v>0</v>
      </c>
      <c r="T106" s="36">
        <v>0</v>
      </c>
      <c r="U106" s="36">
        <v>4</v>
      </c>
      <c r="V106" s="36">
        <v>3</v>
      </c>
      <c r="W106" s="36">
        <v>0</v>
      </c>
      <c r="X106" s="50">
        <v>0</v>
      </c>
      <c r="Y106" s="36">
        <v>0</v>
      </c>
      <c r="Z106" s="36">
        <v>0</v>
      </c>
      <c r="AA106" s="36">
        <v>0</v>
      </c>
      <c r="AB106" s="36">
        <v>0</v>
      </c>
      <c r="AC106" s="50">
        <v>0</v>
      </c>
      <c r="AD106" s="36">
        <v>0</v>
      </c>
      <c r="AE106" s="36">
        <v>3</v>
      </c>
      <c r="AF106" s="36">
        <v>4</v>
      </c>
      <c r="AG106" s="36">
        <v>0</v>
      </c>
      <c r="AH106" s="50">
        <v>0</v>
      </c>
      <c r="AI106" s="36">
        <v>0</v>
      </c>
      <c r="AJ106" s="36">
        <v>3</v>
      </c>
      <c r="AK106" s="36">
        <v>4</v>
      </c>
      <c r="AL106" s="36">
        <v>0</v>
      </c>
      <c r="AM106" s="50">
        <v>3</v>
      </c>
      <c r="AN106" s="36">
        <v>4</v>
      </c>
      <c r="AO106" s="36">
        <v>4</v>
      </c>
      <c r="AP106" s="36">
        <v>4</v>
      </c>
      <c r="AQ106" s="36">
        <v>0</v>
      </c>
      <c r="AR106" s="50">
        <v>0</v>
      </c>
      <c r="AS106" s="36">
        <v>0</v>
      </c>
      <c r="AT106" s="36">
        <v>3</v>
      </c>
      <c r="AU106" s="36">
        <v>4</v>
      </c>
      <c r="AV106" s="36">
        <v>0</v>
      </c>
      <c r="AW106">
        <v>0</v>
      </c>
      <c r="AX106">
        <v>0</v>
      </c>
    </row>
    <row r="107" spans="1:50" x14ac:dyDescent="0.25">
      <c r="A107" s="36"/>
      <c r="B107" t="s">
        <v>120</v>
      </c>
      <c r="C107" s="36" t="str">
        <f>'Status Thresholds'!B107</f>
        <v>Blangonga</v>
      </c>
      <c r="E107" s="36" t="str">
        <f t="shared" si="5"/>
        <v>Blangonga</v>
      </c>
      <c r="F107" s="36" t="str">
        <f>IFERROR(VLOOKUP($E107,'Status Thresholds'!$E:$AS,1,FALSE),"")</f>
        <v/>
      </c>
      <c r="G107" t="s">
        <v>12</v>
      </c>
      <c r="H107" s="55" t="str">
        <f t="shared" si="6"/>
        <v>BlangongaCrag 2</v>
      </c>
      <c r="I107" s="50">
        <v>4</v>
      </c>
      <c r="J107" s="36">
        <v>0</v>
      </c>
      <c r="K107" s="36">
        <v>4</v>
      </c>
      <c r="L107" s="36">
        <v>4</v>
      </c>
      <c r="M107" s="36">
        <v>0</v>
      </c>
      <c r="N107" s="50">
        <v>0</v>
      </c>
      <c r="O107" s="36">
        <v>0</v>
      </c>
      <c r="P107" s="36">
        <v>0</v>
      </c>
      <c r="Q107" s="36">
        <v>0</v>
      </c>
      <c r="R107" s="36">
        <v>0</v>
      </c>
      <c r="S107" s="50">
        <v>4</v>
      </c>
      <c r="T107" s="36">
        <v>0</v>
      </c>
      <c r="U107" s="36">
        <v>4</v>
      </c>
      <c r="V107" s="36">
        <v>4</v>
      </c>
      <c r="W107" s="36">
        <v>0</v>
      </c>
      <c r="X107" s="50">
        <v>0</v>
      </c>
      <c r="Y107" s="36">
        <v>0</v>
      </c>
      <c r="Z107" s="36">
        <v>0</v>
      </c>
      <c r="AA107" s="36">
        <v>0</v>
      </c>
      <c r="AB107" s="36">
        <v>0</v>
      </c>
      <c r="AC107" s="50">
        <v>2</v>
      </c>
      <c r="AD107" s="36">
        <v>0</v>
      </c>
      <c r="AE107" s="36">
        <v>4</v>
      </c>
      <c r="AF107" s="36">
        <v>4</v>
      </c>
      <c r="AG107" s="36">
        <v>0</v>
      </c>
      <c r="AH107" s="50">
        <v>2</v>
      </c>
      <c r="AI107" s="36">
        <v>0</v>
      </c>
      <c r="AJ107" s="36">
        <v>4</v>
      </c>
      <c r="AK107" s="36">
        <v>4</v>
      </c>
      <c r="AL107" s="36">
        <v>0</v>
      </c>
      <c r="AM107" s="50">
        <v>1</v>
      </c>
      <c r="AN107" s="36">
        <v>3</v>
      </c>
      <c r="AO107" s="36">
        <v>4</v>
      </c>
      <c r="AP107" s="36">
        <v>4</v>
      </c>
      <c r="AQ107" s="36">
        <v>0</v>
      </c>
      <c r="AR107" s="50">
        <v>2</v>
      </c>
      <c r="AS107" s="36">
        <v>0</v>
      </c>
      <c r="AT107" s="36">
        <v>4</v>
      </c>
      <c r="AU107" s="36">
        <v>4</v>
      </c>
      <c r="AV107" s="36">
        <v>0</v>
      </c>
      <c r="AW107">
        <v>0</v>
      </c>
      <c r="AX107">
        <v>0</v>
      </c>
    </row>
    <row r="108" spans="1:50" x14ac:dyDescent="0.25">
      <c r="A108" s="36"/>
      <c r="B108" t="s">
        <v>120</v>
      </c>
      <c r="C108" s="36" t="str">
        <f>'Status Thresholds'!B108</f>
        <v>Blangonga</v>
      </c>
      <c r="E108" s="36" t="str">
        <f t="shared" si="5"/>
        <v>Blangonga</v>
      </c>
      <c r="F108" s="36" t="str">
        <f>IFERROR(VLOOKUP($E108,'Status Thresholds'!$E:$AS,1,FALSE),"")</f>
        <v/>
      </c>
      <c r="G108" t="s">
        <v>11</v>
      </c>
      <c r="H108" s="55" t="str">
        <f t="shared" si="6"/>
        <v>BlangongaCrag 1</v>
      </c>
      <c r="I108" s="50">
        <v>0</v>
      </c>
      <c r="J108" s="36">
        <v>7</v>
      </c>
      <c r="K108" s="36">
        <v>1</v>
      </c>
      <c r="L108" s="36">
        <v>8</v>
      </c>
      <c r="M108" s="36">
        <v>0</v>
      </c>
      <c r="N108" s="50">
        <v>0</v>
      </c>
      <c r="O108" s="36">
        <v>0</v>
      </c>
      <c r="P108" s="36">
        <v>0</v>
      </c>
      <c r="Q108" s="36">
        <v>0</v>
      </c>
      <c r="R108" s="36">
        <v>0</v>
      </c>
      <c r="S108" s="50">
        <v>0</v>
      </c>
      <c r="T108" s="36">
        <v>7</v>
      </c>
      <c r="U108" s="36">
        <v>1</v>
      </c>
      <c r="V108" s="36">
        <v>8</v>
      </c>
      <c r="W108" s="36">
        <v>0</v>
      </c>
      <c r="X108" s="50">
        <v>0</v>
      </c>
      <c r="Y108" s="36">
        <v>0</v>
      </c>
      <c r="Z108" s="36">
        <v>0</v>
      </c>
      <c r="AA108" s="36">
        <v>0</v>
      </c>
      <c r="AB108" s="36">
        <v>0</v>
      </c>
      <c r="AC108" s="50">
        <v>0</v>
      </c>
      <c r="AD108" s="36">
        <v>8</v>
      </c>
      <c r="AE108" s="36">
        <v>7</v>
      </c>
      <c r="AF108" s="36">
        <v>8</v>
      </c>
      <c r="AG108" s="36">
        <v>0</v>
      </c>
      <c r="AH108" s="50">
        <v>0</v>
      </c>
      <c r="AI108" s="36">
        <v>8</v>
      </c>
      <c r="AJ108" s="36">
        <v>7</v>
      </c>
      <c r="AK108" s="36">
        <v>8</v>
      </c>
      <c r="AL108" s="36">
        <v>0</v>
      </c>
      <c r="AM108" s="50">
        <v>0</v>
      </c>
      <c r="AN108" s="36">
        <v>7</v>
      </c>
      <c r="AO108" s="36">
        <v>8</v>
      </c>
      <c r="AP108" s="36">
        <v>8</v>
      </c>
      <c r="AQ108" s="36">
        <v>0</v>
      </c>
      <c r="AR108" s="50">
        <v>0</v>
      </c>
      <c r="AS108" s="36">
        <v>8</v>
      </c>
      <c r="AT108" s="36">
        <v>7</v>
      </c>
      <c r="AU108" s="36">
        <v>8</v>
      </c>
      <c r="AV108" s="36">
        <v>1</v>
      </c>
      <c r="AW108">
        <v>0</v>
      </c>
      <c r="AX108">
        <v>0</v>
      </c>
    </row>
    <row r="109" spans="1:50" x14ac:dyDescent="0.25">
      <c r="A109" s="36"/>
      <c r="B109" t="s">
        <v>119</v>
      </c>
      <c r="C109" s="36" t="str">
        <f>'Status Thresholds'!B109</f>
        <v>Blangonga</v>
      </c>
      <c r="E109" s="36" t="str">
        <f t="shared" si="5"/>
        <v>Blangonga</v>
      </c>
      <c r="F109" s="36" t="str">
        <f>IFERROR(VLOOKUP($E109,'Status Thresholds'!$E:$AS,1,FALSE),"")</f>
        <v/>
      </c>
      <c r="G109" s="36" t="s">
        <v>21</v>
      </c>
      <c r="H109" s="55" t="str">
        <f t="shared" si="6"/>
        <v>BlangongaTriblast</v>
      </c>
      <c r="I109" s="50">
        <v>2</v>
      </c>
      <c r="J109" s="36">
        <v>0</v>
      </c>
      <c r="K109" s="36">
        <v>2</v>
      </c>
      <c r="L109" s="36">
        <v>2</v>
      </c>
      <c r="M109" s="36">
        <v>0</v>
      </c>
      <c r="N109" s="50">
        <v>0</v>
      </c>
      <c r="O109" s="36">
        <v>0</v>
      </c>
      <c r="P109" s="36">
        <v>0</v>
      </c>
      <c r="Q109" s="36">
        <v>0</v>
      </c>
      <c r="R109" s="36">
        <v>0</v>
      </c>
      <c r="S109" s="50">
        <v>2</v>
      </c>
      <c r="T109" s="36">
        <v>0</v>
      </c>
      <c r="U109" s="36">
        <v>2</v>
      </c>
      <c r="V109" s="36">
        <v>2</v>
      </c>
      <c r="W109" s="36">
        <v>0</v>
      </c>
      <c r="X109" s="50">
        <v>0</v>
      </c>
      <c r="Y109" s="36">
        <v>0</v>
      </c>
      <c r="Z109" s="36">
        <v>0</v>
      </c>
      <c r="AA109" s="36">
        <v>0</v>
      </c>
      <c r="AB109" s="36">
        <v>0</v>
      </c>
      <c r="AC109" s="50">
        <v>0</v>
      </c>
      <c r="AD109" s="36">
        <v>1</v>
      </c>
      <c r="AE109" s="36">
        <v>1</v>
      </c>
      <c r="AF109" s="36">
        <v>2</v>
      </c>
      <c r="AG109" s="36">
        <v>0</v>
      </c>
      <c r="AH109" s="50">
        <v>0</v>
      </c>
      <c r="AI109" s="36">
        <v>1</v>
      </c>
      <c r="AJ109" s="36">
        <v>1</v>
      </c>
      <c r="AK109" s="36">
        <v>2</v>
      </c>
      <c r="AL109" s="36">
        <v>0</v>
      </c>
      <c r="AM109" s="50">
        <v>1</v>
      </c>
      <c r="AN109" s="36">
        <v>2</v>
      </c>
      <c r="AO109" s="36">
        <v>2</v>
      </c>
      <c r="AP109" s="36">
        <v>2</v>
      </c>
      <c r="AQ109" s="36">
        <v>0</v>
      </c>
      <c r="AR109" s="50">
        <v>0</v>
      </c>
      <c r="AS109" s="36">
        <v>1</v>
      </c>
      <c r="AT109" s="36">
        <v>1</v>
      </c>
      <c r="AU109" s="36">
        <v>2</v>
      </c>
      <c r="AV109" s="36">
        <v>0</v>
      </c>
      <c r="AW109">
        <v>0</v>
      </c>
      <c r="AX109">
        <v>0</v>
      </c>
    </row>
    <row r="110" spans="1:50" x14ac:dyDescent="0.25">
      <c r="A110" s="36"/>
      <c r="B110" t="s">
        <v>119</v>
      </c>
      <c r="C110" s="36" t="str">
        <f>'Status Thresholds'!B110</f>
        <v>Blangonga</v>
      </c>
      <c r="E110" s="36" t="str">
        <f t="shared" si="5"/>
        <v>Blangonga</v>
      </c>
      <c r="F110" s="36" t="str">
        <f>IFERROR(VLOOKUP($E110,'Status Thresholds'!$E:$AS,1,FALSE),"")</f>
        <v/>
      </c>
      <c r="G110" t="s">
        <v>13</v>
      </c>
      <c r="H110" s="55" t="str">
        <f t="shared" si="6"/>
        <v>BlangongaCrag 3</v>
      </c>
      <c r="I110" s="50">
        <v>0</v>
      </c>
      <c r="J110" s="36">
        <v>1</v>
      </c>
      <c r="K110" s="36">
        <v>1</v>
      </c>
      <c r="L110" s="36">
        <v>4</v>
      </c>
      <c r="M110" s="36">
        <v>0</v>
      </c>
      <c r="N110" s="50">
        <v>0</v>
      </c>
      <c r="O110" s="36">
        <v>0</v>
      </c>
      <c r="P110" s="36">
        <v>0</v>
      </c>
      <c r="Q110" s="36">
        <v>0</v>
      </c>
      <c r="R110" s="36">
        <v>0</v>
      </c>
      <c r="S110" s="50">
        <v>0</v>
      </c>
      <c r="T110" s="36">
        <v>1</v>
      </c>
      <c r="U110" s="36">
        <v>1</v>
      </c>
      <c r="V110" s="36">
        <v>4</v>
      </c>
      <c r="W110" s="36">
        <v>0</v>
      </c>
      <c r="X110" s="50">
        <v>0</v>
      </c>
      <c r="Y110" s="36">
        <v>0</v>
      </c>
      <c r="Z110" s="36">
        <v>0</v>
      </c>
      <c r="AA110" s="36">
        <v>0</v>
      </c>
      <c r="AB110" s="36">
        <v>0</v>
      </c>
      <c r="AC110" s="50">
        <v>1</v>
      </c>
      <c r="AD110" s="36">
        <v>4</v>
      </c>
      <c r="AE110" s="36">
        <v>2</v>
      </c>
      <c r="AF110" s="36">
        <v>4</v>
      </c>
      <c r="AG110" s="36">
        <v>0</v>
      </c>
      <c r="AH110" s="50">
        <v>1</v>
      </c>
      <c r="AI110" s="36">
        <v>4</v>
      </c>
      <c r="AJ110" s="36">
        <v>2</v>
      </c>
      <c r="AK110" s="36">
        <v>4</v>
      </c>
      <c r="AL110" s="36">
        <v>0</v>
      </c>
      <c r="AM110" s="50">
        <v>3</v>
      </c>
      <c r="AN110" s="36">
        <v>1</v>
      </c>
      <c r="AO110" s="36">
        <v>4</v>
      </c>
      <c r="AP110" s="36">
        <v>4</v>
      </c>
      <c r="AQ110" s="36">
        <v>0</v>
      </c>
      <c r="AR110" s="50">
        <v>1</v>
      </c>
      <c r="AS110" s="36">
        <v>4</v>
      </c>
      <c r="AT110" s="36">
        <v>2</v>
      </c>
      <c r="AU110" s="36">
        <v>4</v>
      </c>
      <c r="AV110" s="36">
        <v>0</v>
      </c>
      <c r="AW110">
        <v>0</v>
      </c>
      <c r="AX110">
        <v>0</v>
      </c>
    </row>
    <row r="111" spans="1:50" x14ac:dyDescent="0.25">
      <c r="A111" s="36"/>
      <c r="B111" t="s">
        <v>119</v>
      </c>
      <c r="C111" s="36" t="str">
        <f>'Status Thresholds'!B111</f>
        <v>Blangonga</v>
      </c>
      <c r="E111" s="36" t="str">
        <f t="shared" si="5"/>
        <v>Blangonga</v>
      </c>
      <c r="F111" s="36" t="str">
        <f>IFERROR(VLOOKUP($E111,'Status Thresholds'!$E:$AS,1,FALSE),"")</f>
        <v/>
      </c>
      <c r="G111" t="s">
        <v>12</v>
      </c>
      <c r="H111" s="55" t="str">
        <f t="shared" si="6"/>
        <v>BlangongaCrag 2</v>
      </c>
      <c r="I111" s="50">
        <v>1</v>
      </c>
      <c r="J111" s="36">
        <v>2</v>
      </c>
      <c r="K111" s="36">
        <v>1</v>
      </c>
      <c r="L111" s="36">
        <v>1</v>
      </c>
      <c r="M111" s="36">
        <v>0</v>
      </c>
      <c r="N111" s="50">
        <v>0</v>
      </c>
      <c r="O111" s="36">
        <v>0</v>
      </c>
      <c r="P111" s="36">
        <v>0</v>
      </c>
      <c r="Q111" s="36">
        <v>0</v>
      </c>
      <c r="R111" s="36">
        <v>0</v>
      </c>
      <c r="S111" s="50">
        <v>1</v>
      </c>
      <c r="T111" s="36">
        <v>2</v>
      </c>
      <c r="U111" s="36">
        <v>1</v>
      </c>
      <c r="V111" s="36">
        <v>1</v>
      </c>
      <c r="W111" s="36">
        <v>0</v>
      </c>
      <c r="X111" s="50">
        <v>0</v>
      </c>
      <c r="Y111" s="36">
        <v>0</v>
      </c>
      <c r="Z111" s="36">
        <v>0</v>
      </c>
      <c r="AA111" s="36">
        <v>0</v>
      </c>
      <c r="AB111" s="36">
        <v>0</v>
      </c>
      <c r="AC111" s="50">
        <v>1</v>
      </c>
      <c r="AD111" s="36">
        <v>2</v>
      </c>
      <c r="AE111" s="36">
        <v>4</v>
      </c>
      <c r="AF111" s="36">
        <v>4</v>
      </c>
      <c r="AG111" s="36">
        <v>0</v>
      </c>
      <c r="AH111" s="50">
        <v>1</v>
      </c>
      <c r="AI111" s="36">
        <v>2</v>
      </c>
      <c r="AJ111" s="36">
        <v>4</v>
      </c>
      <c r="AK111" s="36">
        <v>4</v>
      </c>
      <c r="AL111" s="36">
        <v>0</v>
      </c>
      <c r="AM111" s="50">
        <v>1</v>
      </c>
      <c r="AN111" s="36">
        <v>4</v>
      </c>
      <c r="AO111" s="36">
        <v>4</v>
      </c>
      <c r="AP111" s="36">
        <v>4</v>
      </c>
      <c r="AQ111" s="36">
        <v>0</v>
      </c>
      <c r="AR111" s="50">
        <v>1</v>
      </c>
      <c r="AS111" s="36">
        <v>2</v>
      </c>
      <c r="AT111" s="36">
        <v>4</v>
      </c>
      <c r="AU111" s="36">
        <v>4</v>
      </c>
      <c r="AV111" s="36">
        <v>0</v>
      </c>
      <c r="AW111">
        <v>0</v>
      </c>
      <c r="AX111">
        <v>0</v>
      </c>
    </row>
    <row r="112" spans="1:50" x14ac:dyDescent="0.25">
      <c r="A112" s="36"/>
      <c r="B112" t="s">
        <v>119</v>
      </c>
      <c r="C112" s="36" t="str">
        <f>'Status Thresholds'!B112</f>
        <v>Blangonga</v>
      </c>
      <c r="E112" s="36" t="str">
        <f t="shared" si="5"/>
        <v>Blangonga</v>
      </c>
      <c r="F112" s="36" t="str">
        <f>IFERROR(VLOOKUP($E112,'Status Thresholds'!$E:$AS,1,FALSE),"")</f>
        <v/>
      </c>
      <c r="G112" t="s">
        <v>11</v>
      </c>
      <c r="H112" s="55" t="str">
        <f t="shared" si="6"/>
        <v>BlangongaCrag 1</v>
      </c>
      <c r="I112" s="50">
        <v>0</v>
      </c>
      <c r="J112" s="36">
        <v>8</v>
      </c>
      <c r="K112" s="36">
        <v>8</v>
      </c>
      <c r="L112" s="36">
        <v>8</v>
      </c>
      <c r="M112" s="36">
        <v>0</v>
      </c>
      <c r="N112" s="50">
        <v>0</v>
      </c>
      <c r="O112" s="36">
        <v>0</v>
      </c>
      <c r="P112" s="36">
        <v>0</v>
      </c>
      <c r="Q112" s="36">
        <v>0</v>
      </c>
      <c r="R112" s="36">
        <v>0</v>
      </c>
      <c r="S112" s="50">
        <v>0</v>
      </c>
      <c r="T112" s="36">
        <v>8</v>
      </c>
      <c r="U112" s="36">
        <v>8</v>
      </c>
      <c r="V112" s="36">
        <v>8</v>
      </c>
      <c r="W112" s="36">
        <v>0</v>
      </c>
      <c r="X112" s="50">
        <v>0</v>
      </c>
      <c r="Y112" s="36">
        <v>0</v>
      </c>
      <c r="Z112" s="36">
        <v>0</v>
      </c>
      <c r="AA112" s="36">
        <v>0</v>
      </c>
      <c r="AB112" s="36">
        <v>0</v>
      </c>
      <c r="AC112" s="50">
        <v>5</v>
      </c>
      <c r="AD112" s="36">
        <v>1</v>
      </c>
      <c r="AE112" s="36">
        <v>7</v>
      </c>
      <c r="AF112" s="36">
        <v>6</v>
      </c>
      <c r="AG112" s="36">
        <v>0</v>
      </c>
      <c r="AH112" s="50">
        <v>5</v>
      </c>
      <c r="AI112" s="36">
        <v>1</v>
      </c>
      <c r="AJ112" s="36">
        <v>7</v>
      </c>
      <c r="AK112" s="36">
        <v>6</v>
      </c>
      <c r="AL112" s="36">
        <v>0</v>
      </c>
      <c r="AM112" s="50">
        <v>2</v>
      </c>
      <c r="AN112" s="36">
        <v>6</v>
      </c>
      <c r="AO112" s="36">
        <v>8</v>
      </c>
      <c r="AP112" s="36">
        <v>8</v>
      </c>
      <c r="AQ112" s="36">
        <v>0</v>
      </c>
      <c r="AR112" s="50">
        <v>5</v>
      </c>
      <c r="AS112" s="36">
        <v>1</v>
      </c>
      <c r="AT112" s="36">
        <v>7</v>
      </c>
      <c r="AU112" s="36">
        <v>6</v>
      </c>
      <c r="AV112" s="36">
        <v>1</v>
      </c>
      <c r="AW112">
        <v>0</v>
      </c>
      <c r="AX112">
        <v>0</v>
      </c>
    </row>
    <row r="113" spans="1:50" x14ac:dyDescent="0.25">
      <c r="A113" s="36"/>
      <c r="B113" t="s">
        <v>121</v>
      </c>
      <c r="C113" s="36" t="str">
        <f>'Status Thresholds'!B113</f>
        <v>Bloodbath Diablos</v>
      </c>
      <c r="D113" t="s">
        <v>14</v>
      </c>
      <c r="E113" s="36" t="str">
        <f t="shared" si="5"/>
        <v>Bloodbath DiablosKO</v>
      </c>
      <c r="F113" s="36" t="str">
        <f>IFERROR(VLOOKUP($E113,'Status Thresholds'!$E:$AS,1,FALSE),"")</f>
        <v>Bloodbath DiablosKO</v>
      </c>
      <c r="H113" s="55" t="str">
        <f t="shared" si="6"/>
        <v>Bloodbath DiablosKO</v>
      </c>
      <c r="I113" s="50">
        <f>VLOOKUP($F113,'Status Thresholds'!$E:$AS,2,FALSE)</f>
        <v>0</v>
      </c>
      <c r="J113" s="36">
        <f>VLOOKUP($F113,'Status Thresholds'!$E:$AS,3,FALSE)</f>
        <v>0</v>
      </c>
      <c r="K113" s="36">
        <f>VLOOKUP($F113,'Status Thresholds'!$E:$AS,4,FALSE)</f>
        <v>0</v>
      </c>
      <c r="L113" s="36">
        <f>VLOOKUP($F113,'Status Thresholds'!$E:$AS,5,FALSE)</f>
        <v>0</v>
      </c>
      <c r="M113" s="36">
        <f>VLOOKUP($F113,'Status Thresholds'!$E:$AS,6,FALSE)</f>
        <v>0</v>
      </c>
      <c r="N113" s="50">
        <f>VLOOKUP($F113,'Status Thresholds'!$E:$AS,7,FALSE)</f>
        <v>0</v>
      </c>
      <c r="O113" s="36">
        <f>VLOOKUP($F113,'Status Thresholds'!$E:$AS,8,FALSE)</f>
        <v>0</v>
      </c>
      <c r="P113" s="36">
        <f>VLOOKUP($F113,'Status Thresholds'!$E:$AS,9,FALSE)</f>
        <v>0</v>
      </c>
      <c r="Q113" s="36">
        <f>VLOOKUP($F113,'Status Thresholds'!$E:$AS,10,FALSE)</f>
        <v>0</v>
      </c>
      <c r="R113" s="36">
        <f>VLOOKUP($F113,'Status Thresholds'!$E:$AS,11,FALSE)</f>
        <v>0</v>
      </c>
      <c r="S113" s="50">
        <f>VLOOKUP($F113,'Status Thresholds'!$E:$AS,12,FALSE)</f>
        <v>0</v>
      </c>
      <c r="T113" s="36">
        <f>VLOOKUP($F113,'Status Thresholds'!$E:$AS,13,FALSE)</f>
        <v>0</v>
      </c>
      <c r="U113" s="36">
        <f>VLOOKUP($F113,'Status Thresholds'!$E:$AS,14,FALSE)</f>
        <v>0</v>
      </c>
      <c r="V113" s="36">
        <f>VLOOKUP($F113,'Status Thresholds'!$E:$AS,15,FALSE)</f>
        <v>0</v>
      </c>
      <c r="W113" s="36">
        <f>VLOOKUP($F113,'Status Thresholds'!$E:$AS,16,FALSE)</f>
        <v>0</v>
      </c>
      <c r="X113" s="50">
        <f>VLOOKUP($F113,'Status Thresholds'!$E:$AS,17,FALSE)</f>
        <v>0</v>
      </c>
      <c r="Y113" s="36">
        <f>VLOOKUP($F113,'Status Thresholds'!$E:$AS,18,FALSE)</f>
        <v>0</v>
      </c>
      <c r="Z113" s="36">
        <f>VLOOKUP($F113,'Status Thresholds'!$E:$AS,19,FALSE)</f>
        <v>0</v>
      </c>
      <c r="AA113" s="36">
        <f>VLOOKUP($F113,'Status Thresholds'!$E:$AS,20,FALSE)</f>
        <v>0</v>
      </c>
      <c r="AB113" s="36">
        <f>VLOOKUP($F113,'Status Thresholds'!$E:$AS,21,FALSE)</f>
        <v>0</v>
      </c>
      <c r="AC113" s="50">
        <f>VLOOKUP($F113,'Status Thresholds'!$E:$AS,22,FALSE)</f>
        <v>0</v>
      </c>
      <c r="AD113" s="36">
        <f>VLOOKUP($F113,'Status Thresholds'!$E:$AS,23,FALSE)</f>
        <v>0</v>
      </c>
      <c r="AE113" s="36">
        <f>VLOOKUP($F113,'Status Thresholds'!$E:$AS,24,FALSE)</f>
        <v>0</v>
      </c>
      <c r="AF113" s="36">
        <f>VLOOKUP($F113,'Status Thresholds'!$E:$AS,25,FALSE)</f>
        <v>0</v>
      </c>
      <c r="AG113" s="36">
        <f>VLOOKUP($F113,'Status Thresholds'!$E:$AS,26,FALSE)</f>
        <v>0</v>
      </c>
      <c r="AH113" s="50">
        <f>VLOOKUP($F113,'Status Thresholds'!$E:$AS,27,FALSE)</f>
        <v>0</v>
      </c>
      <c r="AI113" s="36">
        <f>VLOOKUP($F113,'Status Thresholds'!$E:$AS,28,FALSE)</f>
        <v>0</v>
      </c>
      <c r="AJ113" s="36">
        <f>VLOOKUP($F113,'Status Thresholds'!$E:$AS,29,FALSE)</f>
        <v>0</v>
      </c>
      <c r="AK113" s="36">
        <f>VLOOKUP($F113,'Status Thresholds'!$E:$AS,30,FALSE)</f>
        <v>0</v>
      </c>
      <c r="AL113" s="36">
        <f>VLOOKUP($F113,'Status Thresholds'!$E:$AS,31,FALSE)</f>
        <v>0</v>
      </c>
      <c r="AM113" s="50">
        <f>VLOOKUP($F113,'Status Thresholds'!$E:$AS,32,FALSE)</f>
        <v>0</v>
      </c>
      <c r="AN113" s="36">
        <f>VLOOKUP($F113,'Status Thresholds'!$E:$AS,33,FALSE)</f>
        <v>0</v>
      </c>
      <c r="AO113" s="36">
        <f>VLOOKUP($F113,'Status Thresholds'!$E:$AS,34,FALSE)</f>
        <v>0</v>
      </c>
      <c r="AP113" s="36">
        <f>VLOOKUP($F113,'Status Thresholds'!$E:$AS,35,FALSE)</f>
        <v>0</v>
      </c>
      <c r="AQ113" s="36">
        <f>VLOOKUP($F113,'Status Thresholds'!$E:$AS,36,FALSE)</f>
        <v>0</v>
      </c>
      <c r="AR113" s="50">
        <f>VLOOKUP($F113,'Status Thresholds'!$E:$AS,37,FALSE)</f>
        <v>0</v>
      </c>
      <c r="AS113" s="36">
        <f>VLOOKUP($F113,'Status Thresholds'!$E:$AS,38,FALSE)</f>
        <v>0</v>
      </c>
      <c r="AT113" s="36">
        <f>VLOOKUP($F113,'Status Thresholds'!$E:$AS,39,FALSE)</f>
        <v>0</v>
      </c>
      <c r="AU113" s="36">
        <f>VLOOKUP($F113,'Status Thresholds'!$E:$AS,40,FALSE)</f>
        <v>0</v>
      </c>
      <c r="AV113" s="36">
        <f>VLOOKUP($F113,'Status Thresholds'!$E:$AS,41,FALSE)</f>
        <v>10</v>
      </c>
      <c r="AW113">
        <v>0</v>
      </c>
      <c r="AX113">
        <v>0</v>
      </c>
    </row>
    <row r="114" spans="1:50" x14ac:dyDescent="0.25">
      <c r="A114" s="36"/>
      <c r="B114" t="s">
        <v>120</v>
      </c>
      <c r="C114" s="36" t="str">
        <f>'Status Thresholds'!B114</f>
        <v>Bloodbath Diablos</v>
      </c>
      <c r="E114" s="36" t="str">
        <f t="shared" si="5"/>
        <v>Bloodbath Diablos</v>
      </c>
      <c r="F114" s="36" t="str">
        <f>IFERROR(VLOOKUP($E114,'Status Thresholds'!$E:$AS,1,FALSE),"")</f>
        <v/>
      </c>
      <c r="G114" t="s">
        <v>21</v>
      </c>
      <c r="H114" s="55" t="str">
        <f t="shared" si="6"/>
        <v>Bloodbath DiablosTriblast</v>
      </c>
      <c r="I114" s="50">
        <v>0</v>
      </c>
      <c r="J114" s="36">
        <v>0</v>
      </c>
      <c r="K114" s="36">
        <v>0</v>
      </c>
      <c r="L114" s="36">
        <v>0</v>
      </c>
      <c r="M114" s="36">
        <v>0</v>
      </c>
      <c r="N114" s="50">
        <v>0</v>
      </c>
      <c r="O114" s="36">
        <v>0</v>
      </c>
      <c r="P114" s="36">
        <v>0</v>
      </c>
      <c r="Q114" s="36">
        <v>0</v>
      </c>
      <c r="R114" s="36">
        <v>0</v>
      </c>
      <c r="S114" s="50">
        <v>0</v>
      </c>
      <c r="T114" s="36">
        <v>0</v>
      </c>
      <c r="U114" s="36">
        <v>0</v>
      </c>
      <c r="V114" s="36">
        <v>0</v>
      </c>
      <c r="W114" s="36">
        <v>0</v>
      </c>
      <c r="X114" s="50">
        <v>0</v>
      </c>
      <c r="Y114" s="36">
        <v>0</v>
      </c>
      <c r="Z114" s="36">
        <v>0</v>
      </c>
      <c r="AA114" s="36">
        <v>0</v>
      </c>
      <c r="AB114" s="36">
        <v>0</v>
      </c>
      <c r="AC114" s="50">
        <v>0</v>
      </c>
      <c r="AD114" s="36">
        <v>0</v>
      </c>
      <c r="AE114" s="36">
        <v>0</v>
      </c>
      <c r="AF114" s="36">
        <v>0</v>
      </c>
      <c r="AG114" s="36">
        <v>0</v>
      </c>
      <c r="AH114" s="50">
        <v>0</v>
      </c>
      <c r="AI114" s="36">
        <v>0</v>
      </c>
      <c r="AJ114" s="36">
        <v>0</v>
      </c>
      <c r="AK114" s="36">
        <v>0</v>
      </c>
      <c r="AL114" s="36">
        <v>0</v>
      </c>
      <c r="AM114" s="50">
        <v>0</v>
      </c>
      <c r="AN114" s="36">
        <v>0</v>
      </c>
      <c r="AO114" s="36">
        <v>0</v>
      </c>
      <c r="AP114" s="36">
        <v>0</v>
      </c>
      <c r="AQ114" s="36">
        <v>0</v>
      </c>
      <c r="AR114" s="50">
        <v>0</v>
      </c>
      <c r="AS114" s="36">
        <v>0</v>
      </c>
      <c r="AT114" s="36">
        <v>0</v>
      </c>
      <c r="AU114" s="36">
        <v>0</v>
      </c>
      <c r="AV114" s="36">
        <v>0</v>
      </c>
      <c r="AW114">
        <v>0</v>
      </c>
    </row>
    <row r="115" spans="1:50" x14ac:dyDescent="0.25">
      <c r="A115" s="36"/>
      <c r="B115" t="s">
        <v>120</v>
      </c>
      <c r="C115" s="36" t="str">
        <f>'Status Thresholds'!B115</f>
        <v>Bloodbath Diablos</v>
      </c>
      <c r="E115" s="36" t="str">
        <f t="shared" si="5"/>
        <v>Bloodbath Diablos</v>
      </c>
      <c r="F115" s="36" t="str">
        <f>IFERROR(VLOOKUP($E115,'Status Thresholds'!$E:$AS,1,FALSE),"")</f>
        <v/>
      </c>
      <c r="G115" t="s">
        <v>13</v>
      </c>
      <c r="H115" s="55" t="str">
        <f t="shared" si="6"/>
        <v>Bloodbath DiablosCrag 3</v>
      </c>
      <c r="I115" s="50">
        <v>0</v>
      </c>
      <c r="J115" s="36">
        <v>0</v>
      </c>
      <c r="K115" s="36">
        <v>0</v>
      </c>
      <c r="L115" s="36">
        <v>0</v>
      </c>
      <c r="M115" s="36">
        <v>0</v>
      </c>
      <c r="N115" s="50">
        <v>0</v>
      </c>
      <c r="O115" s="36">
        <v>0</v>
      </c>
      <c r="P115" s="36">
        <v>0</v>
      </c>
      <c r="Q115" s="36">
        <v>0</v>
      </c>
      <c r="R115" s="36">
        <v>0</v>
      </c>
      <c r="S115" s="50">
        <v>0</v>
      </c>
      <c r="T115" s="36">
        <v>0</v>
      </c>
      <c r="U115" s="36">
        <v>0</v>
      </c>
      <c r="V115" s="36">
        <v>0</v>
      </c>
      <c r="W115" s="36">
        <v>0</v>
      </c>
      <c r="X115" s="50">
        <v>0</v>
      </c>
      <c r="Y115" s="36">
        <v>0</v>
      </c>
      <c r="Z115" s="36">
        <v>0</v>
      </c>
      <c r="AA115" s="36">
        <v>0</v>
      </c>
      <c r="AB115" s="36">
        <v>0</v>
      </c>
      <c r="AC115" s="50">
        <v>0</v>
      </c>
      <c r="AD115" s="36">
        <v>0</v>
      </c>
      <c r="AE115" s="36">
        <v>0</v>
      </c>
      <c r="AF115" s="36">
        <v>0</v>
      </c>
      <c r="AG115" s="36">
        <v>0</v>
      </c>
      <c r="AH115" s="50">
        <v>0</v>
      </c>
      <c r="AI115" s="36">
        <v>0</v>
      </c>
      <c r="AJ115" s="36">
        <v>0</v>
      </c>
      <c r="AK115" s="36">
        <v>0</v>
      </c>
      <c r="AL115" s="36">
        <v>0</v>
      </c>
      <c r="AM115" s="50">
        <v>0</v>
      </c>
      <c r="AN115" s="36">
        <v>0</v>
      </c>
      <c r="AO115" s="36">
        <v>0</v>
      </c>
      <c r="AP115" s="36">
        <v>0</v>
      </c>
      <c r="AQ115" s="36">
        <v>0</v>
      </c>
      <c r="AR115" s="50">
        <v>0</v>
      </c>
      <c r="AS115" s="36">
        <v>0</v>
      </c>
      <c r="AT115" s="36">
        <v>0</v>
      </c>
      <c r="AU115" s="36">
        <v>0</v>
      </c>
      <c r="AV115" s="36">
        <v>0</v>
      </c>
      <c r="AW115">
        <v>0</v>
      </c>
      <c r="AX115">
        <v>0</v>
      </c>
    </row>
    <row r="116" spans="1:50" x14ac:dyDescent="0.25">
      <c r="A116" s="36"/>
      <c r="B116" t="s">
        <v>120</v>
      </c>
      <c r="C116" s="36" t="str">
        <f>'Status Thresholds'!B116</f>
        <v>Bloodbath Diablos</v>
      </c>
      <c r="E116" s="36" t="str">
        <f t="shared" si="5"/>
        <v>Bloodbath Diablos</v>
      </c>
      <c r="F116" s="36" t="str">
        <f>IFERROR(VLOOKUP($E116,'Status Thresholds'!$E:$AS,1,FALSE),"")</f>
        <v/>
      </c>
      <c r="G116" t="s">
        <v>12</v>
      </c>
      <c r="H116" s="55" t="str">
        <f t="shared" si="6"/>
        <v>Bloodbath DiablosCrag 2</v>
      </c>
      <c r="I116" s="50">
        <v>0</v>
      </c>
      <c r="J116" s="36">
        <v>0</v>
      </c>
      <c r="K116" s="36">
        <v>0</v>
      </c>
      <c r="L116" s="36">
        <v>0</v>
      </c>
      <c r="M116" s="36">
        <v>0</v>
      </c>
      <c r="N116" s="50">
        <v>0</v>
      </c>
      <c r="O116" s="36">
        <v>0</v>
      </c>
      <c r="P116" s="36">
        <v>0</v>
      </c>
      <c r="Q116" s="36">
        <v>0</v>
      </c>
      <c r="R116" s="36">
        <v>0</v>
      </c>
      <c r="S116" s="50">
        <v>0</v>
      </c>
      <c r="T116" s="36">
        <v>0</v>
      </c>
      <c r="U116" s="36">
        <v>0</v>
      </c>
      <c r="V116" s="36">
        <v>0</v>
      </c>
      <c r="W116" s="36">
        <v>0</v>
      </c>
      <c r="X116" s="50">
        <v>0</v>
      </c>
      <c r="Y116" s="36">
        <v>0</v>
      </c>
      <c r="Z116" s="36">
        <v>0</v>
      </c>
      <c r="AA116" s="36">
        <v>0</v>
      </c>
      <c r="AB116" s="36">
        <v>0</v>
      </c>
      <c r="AC116" s="50">
        <v>0</v>
      </c>
      <c r="AD116" s="36">
        <v>0</v>
      </c>
      <c r="AE116" s="36">
        <v>0</v>
      </c>
      <c r="AF116" s="36">
        <v>0</v>
      </c>
      <c r="AG116" s="36">
        <v>0</v>
      </c>
      <c r="AH116" s="50">
        <v>0</v>
      </c>
      <c r="AI116" s="36">
        <v>0</v>
      </c>
      <c r="AJ116" s="36">
        <v>0</v>
      </c>
      <c r="AK116" s="36">
        <v>0</v>
      </c>
      <c r="AL116" s="36">
        <v>0</v>
      </c>
      <c r="AM116" s="50">
        <v>0</v>
      </c>
      <c r="AN116" s="36">
        <v>0</v>
      </c>
      <c r="AO116" s="36">
        <v>0</v>
      </c>
      <c r="AP116" s="36">
        <v>0</v>
      </c>
      <c r="AQ116" s="36">
        <v>0</v>
      </c>
      <c r="AR116" s="50">
        <v>0</v>
      </c>
      <c r="AS116" s="36">
        <v>0</v>
      </c>
      <c r="AT116" s="36">
        <v>0</v>
      </c>
      <c r="AU116" s="36">
        <v>0</v>
      </c>
      <c r="AV116" s="36">
        <v>0</v>
      </c>
      <c r="AW116">
        <v>0</v>
      </c>
      <c r="AX116">
        <v>0</v>
      </c>
    </row>
    <row r="117" spans="1:50" x14ac:dyDescent="0.25">
      <c r="A117" s="36"/>
      <c r="B117" t="s">
        <v>120</v>
      </c>
      <c r="C117" s="36" t="str">
        <f>'Status Thresholds'!B117</f>
        <v>Bloodbath Diablos</v>
      </c>
      <c r="E117" s="36" t="str">
        <f t="shared" si="5"/>
        <v>Bloodbath Diablos</v>
      </c>
      <c r="F117" s="36" t="str">
        <f>IFERROR(VLOOKUP($E117,'Status Thresholds'!$E:$AS,1,FALSE),"")</f>
        <v/>
      </c>
      <c r="G117" t="s">
        <v>11</v>
      </c>
      <c r="H117" s="55" t="str">
        <f t="shared" si="6"/>
        <v>Bloodbath DiablosCrag 1</v>
      </c>
      <c r="I117" s="50">
        <v>1</v>
      </c>
      <c r="J117" s="36">
        <v>1</v>
      </c>
      <c r="K117" s="36">
        <v>1</v>
      </c>
      <c r="L117" s="36">
        <v>1</v>
      </c>
      <c r="M117" s="36">
        <v>1</v>
      </c>
      <c r="N117" s="50">
        <v>1</v>
      </c>
      <c r="O117" s="36">
        <v>1</v>
      </c>
      <c r="P117" s="36">
        <v>1</v>
      </c>
      <c r="Q117" s="36">
        <v>1</v>
      </c>
      <c r="R117" s="36">
        <v>1</v>
      </c>
      <c r="S117" s="50">
        <v>1</v>
      </c>
      <c r="T117" s="36">
        <v>1</v>
      </c>
      <c r="U117" s="36">
        <v>1</v>
      </c>
      <c r="V117" s="36">
        <v>1</v>
      </c>
      <c r="W117" s="36">
        <v>1</v>
      </c>
      <c r="X117" s="50">
        <v>1</v>
      </c>
      <c r="Y117" s="36">
        <v>1</v>
      </c>
      <c r="Z117" s="36">
        <v>1</v>
      </c>
      <c r="AA117" s="36">
        <v>1</v>
      </c>
      <c r="AB117" s="36">
        <v>1</v>
      </c>
      <c r="AC117" s="50">
        <v>1</v>
      </c>
      <c r="AD117" s="36">
        <v>1</v>
      </c>
      <c r="AE117" s="36">
        <v>1</v>
      </c>
      <c r="AF117" s="36">
        <v>1</v>
      </c>
      <c r="AG117" s="36">
        <v>1</v>
      </c>
      <c r="AH117" s="50">
        <v>1</v>
      </c>
      <c r="AI117" s="36">
        <v>1</v>
      </c>
      <c r="AJ117" s="36">
        <v>1</v>
      </c>
      <c r="AK117" s="36">
        <v>1</v>
      </c>
      <c r="AL117" s="36">
        <v>1</v>
      </c>
      <c r="AM117" s="50">
        <v>1</v>
      </c>
      <c r="AN117" s="36">
        <v>1</v>
      </c>
      <c r="AO117" s="36">
        <v>1</v>
      </c>
      <c r="AP117" s="36">
        <v>1</v>
      </c>
      <c r="AQ117" s="36">
        <v>1</v>
      </c>
      <c r="AR117" s="50">
        <v>1</v>
      </c>
      <c r="AS117" s="36">
        <v>1</v>
      </c>
      <c r="AT117" s="36">
        <v>1</v>
      </c>
      <c r="AU117" s="36">
        <v>1</v>
      </c>
      <c r="AV117" s="36">
        <v>1</v>
      </c>
      <c r="AW117">
        <v>0</v>
      </c>
      <c r="AX117">
        <v>0</v>
      </c>
    </row>
    <row r="118" spans="1:50" x14ac:dyDescent="0.25">
      <c r="A118" s="36"/>
      <c r="B118" t="s">
        <v>119</v>
      </c>
      <c r="C118" s="36" t="str">
        <f>'Status Thresholds'!B118</f>
        <v>Bloodbath Diablos</v>
      </c>
      <c r="E118" s="36" t="str">
        <f t="shared" si="5"/>
        <v>Bloodbath Diablos</v>
      </c>
      <c r="F118" s="36" t="str">
        <f>IFERROR(VLOOKUP($E118,'Status Thresholds'!$E:$AS,1,FALSE),"")</f>
        <v/>
      </c>
      <c r="G118" t="s">
        <v>21</v>
      </c>
      <c r="H118" s="55" t="str">
        <f t="shared" si="6"/>
        <v>Bloodbath DiablosTriblast</v>
      </c>
      <c r="I118" s="50">
        <v>0</v>
      </c>
      <c r="J118" s="36">
        <v>0</v>
      </c>
      <c r="K118" s="36">
        <v>0</v>
      </c>
      <c r="L118" s="36">
        <v>0</v>
      </c>
      <c r="M118" s="36">
        <v>0</v>
      </c>
      <c r="N118" s="50">
        <v>0</v>
      </c>
      <c r="O118" s="36">
        <v>0</v>
      </c>
      <c r="P118" s="36">
        <v>0</v>
      </c>
      <c r="Q118" s="36">
        <v>0</v>
      </c>
      <c r="R118" s="36">
        <v>0</v>
      </c>
      <c r="S118" s="50">
        <v>0</v>
      </c>
      <c r="T118" s="36">
        <v>0</v>
      </c>
      <c r="U118" s="36">
        <v>0</v>
      </c>
      <c r="V118" s="36">
        <v>0</v>
      </c>
      <c r="W118" s="36">
        <v>0</v>
      </c>
      <c r="X118" s="50">
        <v>0</v>
      </c>
      <c r="Y118" s="36">
        <v>0</v>
      </c>
      <c r="Z118" s="36">
        <v>0</v>
      </c>
      <c r="AA118" s="36">
        <v>0</v>
      </c>
      <c r="AB118" s="36">
        <v>0</v>
      </c>
      <c r="AC118" s="50">
        <v>0</v>
      </c>
      <c r="AD118" s="36">
        <v>0</v>
      </c>
      <c r="AE118" s="36">
        <v>0</v>
      </c>
      <c r="AF118" s="36">
        <v>0</v>
      </c>
      <c r="AG118" s="36">
        <v>0</v>
      </c>
      <c r="AH118" s="50">
        <v>0</v>
      </c>
      <c r="AI118" s="36">
        <v>0</v>
      </c>
      <c r="AJ118" s="36">
        <v>0</v>
      </c>
      <c r="AK118" s="36">
        <v>0</v>
      </c>
      <c r="AL118" s="36">
        <v>0</v>
      </c>
      <c r="AM118" s="50">
        <v>0</v>
      </c>
      <c r="AN118" s="36">
        <v>0</v>
      </c>
      <c r="AO118" s="36">
        <v>0</v>
      </c>
      <c r="AP118" s="36">
        <v>0</v>
      </c>
      <c r="AQ118" s="36">
        <v>0</v>
      </c>
      <c r="AR118" s="50">
        <v>0</v>
      </c>
      <c r="AS118" s="36">
        <v>0</v>
      </c>
      <c r="AT118" s="36">
        <v>0</v>
      </c>
      <c r="AU118" s="36">
        <v>0</v>
      </c>
      <c r="AV118" s="36">
        <v>0</v>
      </c>
      <c r="AW118">
        <v>0</v>
      </c>
      <c r="AX118">
        <v>0</v>
      </c>
    </row>
    <row r="119" spans="1:50" x14ac:dyDescent="0.25">
      <c r="A119" s="36"/>
      <c r="B119" t="s">
        <v>119</v>
      </c>
      <c r="C119" s="36" t="str">
        <f>'Status Thresholds'!B119</f>
        <v>Bloodbath Diablos</v>
      </c>
      <c r="E119" s="36" t="str">
        <f t="shared" si="5"/>
        <v>Bloodbath Diablos</v>
      </c>
      <c r="F119" s="36" t="str">
        <f>IFERROR(VLOOKUP($E119,'Status Thresholds'!$E:$AS,1,FALSE),"")</f>
        <v/>
      </c>
      <c r="G119" t="s">
        <v>13</v>
      </c>
      <c r="H119" s="55" t="str">
        <f t="shared" si="6"/>
        <v>Bloodbath DiablosCrag 3</v>
      </c>
      <c r="I119" s="50">
        <v>0</v>
      </c>
      <c r="J119" s="36">
        <v>0</v>
      </c>
      <c r="K119" s="36">
        <v>0</v>
      </c>
      <c r="L119" s="36">
        <v>0</v>
      </c>
      <c r="M119" s="36">
        <v>0</v>
      </c>
      <c r="N119" s="50">
        <v>0</v>
      </c>
      <c r="O119" s="36">
        <v>0</v>
      </c>
      <c r="P119" s="36">
        <v>0</v>
      </c>
      <c r="Q119" s="36">
        <v>0</v>
      </c>
      <c r="R119" s="36">
        <v>0</v>
      </c>
      <c r="S119" s="50">
        <v>0</v>
      </c>
      <c r="T119" s="36">
        <v>0</v>
      </c>
      <c r="U119" s="36">
        <v>0</v>
      </c>
      <c r="V119" s="36">
        <v>0</v>
      </c>
      <c r="W119" s="36">
        <v>0</v>
      </c>
      <c r="X119" s="50">
        <v>0</v>
      </c>
      <c r="Y119" s="36">
        <v>0</v>
      </c>
      <c r="Z119" s="36">
        <v>0</v>
      </c>
      <c r="AA119" s="36">
        <v>0</v>
      </c>
      <c r="AB119" s="36">
        <v>0</v>
      </c>
      <c r="AC119" s="50">
        <v>0</v>
      </c>
      <c r="AD119" s="36">
        <v>0</v>
      </c>
      <c r="AE119" s="36">
        <v>0</v>
      </c>
      <c r="AF119" s="36">
        <v>0</v>
      </c>
      <c r="AG119" s="36">
        <v>0</v>
      </c>
      <c r="AH119" s="50">
        <v>0</v>
      </c>
      <c r="AI119" s="36">
        <v>0</v>
      </c>
      <c r="AJ119" s="36">
        <v>0</v>
      </c>
      <c r="AK119" s="36">
        <v>0</v>
      </c>
      <c r="AL119" s="36">
        <v>0</v>
      </c>
      <c r="AM119" s="50">
        <v>0</v>
      </c>
      <c r="AN119" s="36">
        <v>0</v>
      </c>
      <c r="AO119" s="36">
        <v>0</v>
      </c>
      <c r="AP119" s="36">
        <v>0</v>
      </c>
      <c r="AQ119" s="36">
        <v>0</v>
      </c>
      <c r="AR119" s="50">
        <v>0</v>
      </c>
      <c r="AS119" s="36">
        <v>0</v>
      </c>
      <c r="AT119" s="36">
        <v>0</v>
      </c>
      <c r="AU119" s="36">
        <v>0</v>
      </c>
      <c r="AV119" s="36">
        <v>0</v>
      </c>
      <c r="AW119">
        <v>0</v>
      </c>
      <c r="AX119">
        <v>0</v>
      </c>
    </row>
    <row r="120" spans="1:50" x14ac:dyDescent="0.25">
      <c r="A120" s="36"/>
      <c r="B120" t="s">
        <v>119</v>
      </c>
      <c r="C120" s="36" t="str">
        <f>'Status Thresholds'!B120</f>
        <v>Bloodbath Diablos</v>
      </c>
      <c r="E120" s="36" t="str">
        <f t="shared" si="5"/>
        <v>Bloodbath Diablos</v>
      </c>
      <c r="F120" s="36" t="str">
        <f>IFERROR(VLOOKUP($E120,'Status Thresholds'!$E:$AS,1,FALSE),"")</f>
        <v/>
      </c>
      <c r="G120" t="s">
        <v>12</v>
      </c>
      <c r="H120" s="55" t="str">
        <f t="shared" si="6"/>
        <v>Bloodbath DiablosCrag 2</v>
      </c>
      <c r="I120" s="50">
        <v>0</v>
      </c>
      <c r="J120" s="36">
        <v>0</v>
      </c>
      <c r="K120" s="36">
        <v>0</v>
      </c>
      <c r="L120" s="36">
        <v>0</v>
      </c>
      <c r="M120" s="36">
        <v>0</v>
      </c>
      <c r="N120" s="50">
        <v>0</v>
      </c>
      <c r="O120" s="36">
        <v>0</v>
      </c>
      <c r="P120" s="36">
        <v>0</v>
      </c>
      <c r="Q120" s="36">
        <v>0</v>
      </c>
      <c r="R120" s="36">
        <v>0</v>
      </c>
      <c r="S120" s="50">
        <v>0</v>
      </c>
      <c r="T120" s="36">
        <v>0</v>
      </c>
      <c r="U120" s="36">
        <v>0</v>
      </c>
      <c r="V120" s="36">
        <v>0</v>
      </c>
      <c r="W120" s="36">
        <v>0</v>
      </c>
      <c r="X120" s="50">
        <v>0</v>
      </c>
      <c r="Y120" s="36">
        <v>0</v>
      </c>
      <c r="Z120" s="36">
        <v>0</v>
      </c>
      <c r="AA120" s="36">
        <v>0</v>
      </c>
      <c r="AB120" s="36">
        <v>0</v>
      </c>
      <c r="AC120" s="50">
        <v>0</v>
      </c>
      <c r="AD120" s="36">
        <v>0</v>
      </c>
      <c r="AE120" s="36">
        <v>0</v>
      </c>
      <c r="AF120" s="36">
        <v>0</v>
      </c>
      <c r="AG120" s="36">
        <v>0</v>
      </c>
      <c r="AH120" s="50">
        <v>0</v>
      </c>
      <c r="AI120" s="36">
        <v>0</v>
      </c>
      <c r="AJ120" s="36">
        <v>0</v>
      </c>
      <c r="AK120" s="36">
        <v>0</v>
      </c>
      <c r="AL120" s="36">
        <v>0</v>
      </c>
      <c r="AM120" s="50">
        <v>0</v>
      </c>
      <c r="AN120" s="36">
        <v>0</v>
      </c>
      <c r="AO120" s="36">
        <v>0</v>
      </c>
      <c r="AP120" s="36">
        <v>0</v>
      </c>
      <c r="AQ120" s="36">
        <v>0</v>
      </c>
      <c r="AR120" s="50">
        <v>0</v>
      </c>
      <c r="AS120" s="36">
        <v>0</v>
      </c>
      <c r="AT120" s="36">
        <v>0</v>
      </c>
      <c r="AU120" s="36">
        <v>0</v>
      </c>
      <c r="AV120" s="36">
        <v>0</v>
      </c>
      <c r="AW120">
        <v>0</v>
      </c>
      <c r="AX120">
        <v>0</v>
      </c>
    </row>
    <row r="121" spans="1:50" x14ac:dyDescent="0.25">
      <c r="A121" s="36"/>
      <c r="B121" t="s">
        <v>119</v>
      </c>
      <c r="C121" s="36" t="str">
        <f>'Status Thresholds'!B121</f>
        <v>Bloodbath Diablos</v>
      </c>
      <c r="E121" s="36" t="str">
        <f t="shared" si="5"/>
        <v>Bloodbath Diablos</v>
      </c>
      <c r="F121" s="36" t="str">
        <f>IFERROR(VLOOKUP($E121,'Status Thresholds'!$E:$AS,1,FALSE),"")</f>
        <v/>
      </c>
      <c r="G121" t="s">
        <v>11</v>
      </c>
      <c r="H121" s="55" t="str">
        <f t="shared" si="6"/>
        <v>Bloodbath DiablosCrag 1</v>
      </c>
      <c r="I121" s="50">
        <v>1</v>
      </c>
      <c r="J121" s="36">
        <v>1</v>
      </c>
      <c r="K121" s="36">
        <v>1</v>
      </c>
      <c r="L121" s="36">
        <v>1</v>
      </c>
      <c r="M121" s="36">
        <v>1</v>
      </c>
      <c r="N121" s="50">
        <v>1</v>
      </c>
      <c r="O121" s="36">
        <v>1</v>
      </c>
      <c r="P121" s="36">
        <v>1</v>
      </c>
      <c r="Q121" s="36">
        <v>1</v>
      </c>
      <c r="R121" s="36">
        <v>1</v>
      </c>
      <c r="S121" s="50">
        <v>1</v>
      </c>
      <c r="T121" s="36">
        <v>1</v>
      </c>
      <c r="U121" s="36">
        <v>1</v>
      </c>
      <c r="V121" s="36">
        <v>1</v>
      </c>
      <c r="W121" s="36">
        <v>1</v>
      </c>
      <c r="X121" s="50">
        <v>1</v>
      </c>
      <c r="Y121" s="36">
        <v>1</v>
      </c>
      <c r="Z121" s="36">
        <v>1</v>
      </c>
      <c r="AA121" s="36">
        <v>1</v>
      </c>
      <c r="AB121" s="36">
        <v>1</v>
      </c>
      <c r="AC121" s="50">
        <v>1</v>
      </c>
      <c r="AD121" s="36">
        <v>1</v>
      </c>
      <c r="AE121" s="36">
        <v>1</v>
      </c>
      <c r="AF121" s="36">
        <v>1</v>
      </c>
      <c r="AG121" s="36">
        <v>1</v>
      </c>
      <c r="AH121" s="50">
        <v>1</v>
      </c>
      <c r="AI121" s="36">
        <v>1</v>
      </c>
      <c r="AJ121" s="36">
        <v>1</v>
      </c>
      <c r="AK121" s="36">
        <v>1</v>
      </c>
      <c r="AL121" s="36">
        <v>1</v>
      </c>
      <c r="AM121" s="50">
        <v>1</v>
      </c>
      <c r="AN121" s="36">
        <v>1</v>
      </c>
      <c r="AO121" s="36">
        <v>1</v>
      </c>
      <c r="AP121" s="36">
        <v>1</v>
      </c>
      <c r="AQ121" s="36">
        <v>1</v>
      </c>
      <c r="AR121" s="50">
        <v>1</v>
      </c>
      <c r="AS121" s="36">
        <v>1</v>
      </c>
      <c r="AT121" s="36">
        <v>1</v>
      </c>
      <c r="AU121" s="36">
        <v>1</v>
      </c>
      <c r="AV121" s="36">
        <v>1</v>
      </c>
      <c r="AW121">
        <v>0</v>
      </c>
      <c r="AX121">
        <v>0</v>
      </c>
    </row>
    <row r="122" spans="1:50" x14ac:dyDescent="0.25">
      <c r="A122" s="36"/>
      <c r="B122" t="s">
        <v>121</v>
      </c>
      <c r="C122" s="36" t="str">
        <f>'Status Thresholds'!B113</f>
        <v>Bloodbath Diablos</v>
      </c>
      <c r="D122" t="s">
        <v>14</v>
      </c>
      <c r="E122" s="36" t="str">
        <f t="shared" si="5"/>
        <v>Bloodbath DiablosKO</v>
      </c>
      <c r="F122" s="36" t="str">
        <f>IFERROR(VLOOKUP($E122,'Status Thresholds'!$E:$AS,1,FALSE),"")</f>
        <v>Bloodbath DiablosKO</v>
      </c>
      <c r="H122" s="55" t="str">
        <f t="shared" si="6"/>
        <v>Bloodbath DiablosKO</v>
      </c>
      <c r="I122" s="50">
        <f>VLOOKUP($F122,'Status Thresholds'!$E:$AS,2,FALSE)</f>
        <v>0</v>
      </c>
      <c r="J122" s="36">
        <f>VLOOKUP($F122,'Status Thresholds'!$E:$AS,3,FALSE)</f>
        <v>0</v>
      </c>
      <c r="K122" s="36">
        <f>VLOOKUP($F122,'Status Thresholds'!$E:$AS,4,FALSE)</f>
        <v>0</v>
      </c>
      <c r="L122" s="36">
        <f>VLOOKUP($F122,'Status Thresholds'!$E:$AS,5,FALSE)</f>
        <v>0</v>
      </c>
      <c r="M122" s="36">
        <f>VLOOKUP($F122,'Status Thresholds'!$E:$AS,6,FALSE)</f>
        <v>0</v>
      </c>
      <c r="N122" s="50">
        <f>VLOOKUP($F122,'Status Thresholds'!$E:$AS,7,FALSE)</f>
        <v>0</v>
      </c>
      <c r="O122" s="36">
        <f>VLOOKUP($F122,'Status Thresholds'!$E:$AS,8,FALSE)</f>
        <v>0</v>
      </c>
      <c r="P122" s="36">
        <f>VLOOKUP($F122,'Status Thresholds'!$E:$AS,9,FALSE)</f>
        <v>0</v>
      </c>
      <c r="Q122" s="36">
        <f>VLOOKUP($F122,'Status Thresholds'!$E:$AS,10,FALSE)</f>
        <v>0</v>
      </c>
      <c r="R122" s="36">
        <f>VLOOKUP($F122,'Status Thresholds'!$E:$AS,11,FALSE)</f>
        <v>0</v>
      </c>
      <c r="S122" s="50">
        <f>VLOOKUP($F122,'Status Thresholds'!$E:$AS,12,FALSE)</f>
        <v>0</v>
      </c>
      <c r="T122" s="36">
        <f>VLOOKUP($F122,'Status Thresholds'!$E:$AS,13,FALSE)</f>
        <v>0</v>
      </c>
      <c r="U122" s="36">
        <f>VLOOKUP($F122,'Status Thresholds'!$E:$AS,14,FALSE)</f>
        <v>0</v>
      </c>
      <c r="V122" s="36">
        <f>VLOOKUP($F122,'Status Thresholds'!$E:$AS,15,FALSE)</f>
        <v>0</v>
      </c>
      <c r="W122" s="36">
        <f>VLOOKUP($F122,'Status Thresholds'!$E:$AS,16,FALSE)</f>
        <v>0</v>
      </c>
      <c r="X122" s="50">
        <f>VLOOKUP($F122,'Status Thresholds'!$E:$AS,17,FALSE)</f>
        <v>0</v>
      </c>
      <c r="Y122" s="36">
        <f>VLOOKUP($F122,'Status Thresholds'!$E:$AS,18,FALSE)</f>
        <v>0</v>
      </c>
      <c r="Z122" s="36">
        <f>VLOOKUP($F122,'Status Thresholds'!$E:$AS,19,FALSE)</f>
        <v>0</v>
      </c>
      <c r="AA122" s="36">
        <f>VLOOKUP($F122,'Status Thresholds'!$E:$AS,20,FALSE)</f>
        <v>0</v>
      </c>
      <c r="AB122" s="36">
        <f>VLOOKUP($F122,'Status Thresholds'!$E:$AS,21,FALSE)</f>
        <v>0</v>
      </c>
      <c r="AC122" s="50">
        <f>VLOOKUP($F122,'Status Thresholds'!$E:$AS,22,FALSE)</f>
        <v>0</v>
      </c>
      <c r="AD122" s="36">
        <f>VLOOKUP($F122,'Status Thresholds'!$E:$AS,23,FALSE)</f>
        <v>0</v>
      </c>
      <c r="AE122" s="36">
        <f>VLOOKUP($F122,'Status Thresholds'!$E:$AS,24,FALSE)</f>
        <v>0</v>
      </c>
      <c r="AF122" s="36">
        <f>VLOOKUP($F122,'Status Thresholds'!$E:$AS,25,FALSE)</f>
        <v>0</v>
      </c>
      <c r="AG122" s="36">
        <f>VLOOKUP($F122,'Status Thresholds'!$E:$AS,26,FALSE)</f>
        <v>0</v>
      </c>
      <c r="AH122" s="50">
        <f>VLOOKUP($F122,'Status Thresholds'!$E:$AS,27,FALSE)</f>
        <v>0</v>
      </c>
      <c r="AI122" s="36">
        <f>VLOOKUP($F122,'Status Thresholds'!$E:$AS,28,FALSE)</f>
        <v>0</v>
      </c>
      <c r="AJ122" s="36">
        <f>VLOOKUP($F122,'Status Thresholds'!$E:$AS,29,FALSE)</f>
        <v>0</v>
      </c>
      <c r="AK122" s="36">
        <f>VLOOKUP($F122,'Status Thresholds'!$E:$AS,30,FALSE)</f>
        <v>0</v>
      </c>
      <c r="AL122" s="36">
        <f>VLOOKUP($F122,'Status Thresholds'!$E:$AS,31,FALSE)</f>
        <v>0</v>
      </c>
      <c r="AM122" s="50">
        <f>VLOOKUP($F122,'Status Thresholds'!$E:$AS,32,FALSE)</f>
        <v>0</v>
      </c>
      <c r="AN122" s="36">
        <f>VLOOKUP($F122,'Status Thresholds'!$E:$AS,33,FALSE)</f>
        <v>0</v>
      </c>
      <c r="AO122" s="36">
        <f>VLOOKUP($F122,'Status Thresholds'!$E:$AS,34,FALSE)</f>
        <v>0</v>
      </c>
      <c r="AP122" s="36">
        <f>VLOOKUP($F122,'Status Thresholds'!$E:$AS,35,FALSE)</f>
        <v>0</v>
      </c>
      <c r="AQ122" s="36">
        <f>VLOOKUP($F122,'Status Thresholds'!$E:$AS,36,FALSE)</f>
        <v>0</v>
      </c>
      <c r="AR122" s="50">
        <f>VLOOKUP($F122,'Status Thresholds'!$E:$AS,37,FALSE)</f>
        <v>0</v>
      </c>
      <c r="AS122" s="36">
        <f>VLOOKUP($F122,'Status Thresholds'!$E:$AS,38,FALSE)</f>
        <v>0</v>
      </c>
      <c r="AT122" s="36">
        <f>VLOOKUP($F122,'Status Thresholds'!$E:$AS,39,FALSE)</f>
        <v>0</v>
      </c>
      <c r="AU122" s="36">
        <f>VLOOKUP($F122,'Status Thresholds'!$E:$AS,40,FALSE)</f>
        <v>0</v>
      </c>
      <c r="AV122" s="36">
        <f>VLOOKUP($F122,'Status Thresholds'!$E:$AS,41,FALSE)</f>
        <v>10</v>
      </c>
      <c r="AW122">
        <v>0</v>
      </c>
      <c r="AX122">
        <v>0</v>
      </c>
    </row>
    <row r="123" spans="1:50" x14ac:dyDescent="0.25">
      <c r="A123" s="36"/>
      <c r="B123" t="s">
        <v>120</v>
      </c>
      <c r="C123" s="36" t="str">
        <f>'Status Thresholds'!B114</f>
        <v>Bloodbath Diablos</v>
      </c>
      <c r="E123" s="36" t="str">
        <f t="shared" si="5"/>
        <v>Bloodbath Diablos</v>
      </c>
      <c r="F123" s="36" t="str">
        <f>IFERROR(VLOOKUP($E123,'Status Thresholds'!$E:$AS,1,FALSE),"")</f>
        <v/>
      </c>
      <c r="G123" t="s">
        <v>21</v>
      </c>
      <c r="H123" s="55" t="str">
        <f t="shared" si="6"/>
        <v>Bloodbath DiablosTriblast</v>
      </c>
      <c r="I123" s="50">
        <v>0</v>
      </c>
      <c r="J123" s="36">
        <v>0</v>
      </c>
      <c r="K123" s="36">
        <v>0</v>
      </c>
      <c r="L123" s="36">
        <v>0</v>
      </c>
      <c r="M123" s="36">
        <v>0</v>
      </c>
      <c r="N123" s="50">
        <v>0</v>
      </c>
      <c r="O123" s="36">
        <v>0</v>
      </c>
      <c r="P123" s="36">
        <v>0</v>
      </c>
      <c r="Q123" s="36">
        <v>0</v>
      </c>
      <c r="R123" s="36">
        <v>0</v>
      </c>
      <c r="S123" s="50">
        <v>0</v>
      </c>
      <c r="T123" s="36">
        <v>0</v>
      </c>
      <c r="U123" s="36">
        <v>0</v>
      </c>
      <c r="V123" s="36">
        <v>0</v>
      </c>
      <c r="W123" s="36">
        <v>0</v>
      </c>
      <c r="X123" s="50">
        <v>0</v>
      </c>
      <c r="Y123" s="36">
        <v>0</v>
      </c>
      <c r="Z123" s="36">
        <v>0</v>
      </c>
      <c r="AA123" s="36">
        <v>0</v>
      </c>
      <c r="AB123" s="36">
        <v>0</v>
      </c>
      <c r="AC123" s="50">
        <v>0</v>
      </c>
      <c r="AD123" s="36">
        <v>0</v>
      </c>
      <c r="AE123" s="36">
        <v>0</v>
      </c>
      <c r="AF123" s="36">
        <v>0</v>
      </c>
      <c r="AG123" s="36">
        <v>0</v>
      </c>
      <c r="AH123" s="50">
        <v>0</v>
      </c>
      <c r="AI123" s="36">
        <v>0</v>
      </c>
      <c r="AJ123" s="36">
        <v>0</v>
      </c>
      <c r="AK123" s="36">
        <v>0</v>
      </c>
      <c r="AL123" s="36">
        <v>0</v>
      </c>
      <c r="AM123" s="50">
        <v>0</v>
      </c>
      <c r="AN123" s="36">
        <v>0</v>
      </c>
      <c r="AO123" s="36">
        <v>0</v>
      </c>
      <c r="AP123" s="36">
        <v>0</v>
      </c>
      <c r="AQ123" s="36">
        <v>0</v>
      </c>
      <c r="AR123" s="50">
        <v>0</v>
      </c>
      <c r="AS123" s="36">
        <v>0</v>
      </c>
      <c r="AT123" s="36">
        <v>0</v>
      </c>
      <c r="AU123" s="36">
        <v>0</v>
      </c>
      <c r="AV123" s="36">
        <v>0</v>
      </c>
      <c r="AW123">
        <v>0</v>
      </c>
    </row>
    <row r="124" spans="1:50" x14ac:dyDescent="0.25">
      <c r="A124" s="36"/>
      <c r="B124" t="s">
        <v>120</v>
      </c>
      <c r="C124" s="36" t="str">
        <f>'Status Thresholds'!B115</f>
        <v>Bloodbath Diablos</v>
      </c>
      <c r="E124" s="36" t="str">
        <f t="shared" si="5"/>
        <v>Bloodbath Diablos</v>
      </c>
      <c r="F124" s="36" t="str">
        <f>IFERROR(VLOOKUP($E124,'Status Thresholds'!$E:$AS,1,FALSE),"")</f>
        <v/>
      </c>
      <c r="G124" t="s">
        <v>13</v>
      </c>
      <c r="H124" s="55" t="str">
        <f t="shared" si="6"/>
        <v>Bloodbath DiablosCrag 3</v>
      </c>
      <c r="I124" s="50">
        <v>0</v>
      </c>
      <c r="J124" s="36">
        <v>0</v>
      </c>
      <c r="K124" s="36">
        <v>0</v>
      </c>
      <c r="L124" s="36">
        <v>0</v>
      </c>
      <c r="M124" s="36">
        <v>0</v>
      </c>
      <c r="N124" s="50">
        <v>0</v>
      </c>
      <c r="O124" s="36">
        <v>0</v>
      </c>
      <c r="P124" s="36">
        <v>0</v>
      </c>
      <c r="Q124" s="36">
        <v>0</v>
      </c>
      <c r="R124" s="36">
        <v>0</v>
      </c>
      <c r="S124" s="50">
        <v>0</v>
      </c>
      <c r="T124" s="36">
        <v>0</v>
      </c>
      <c r="U124" s="36">
        <v>0</v>
      </c>
      <c r="V124" s="36">
        <v>0</v>
      </c>
      <c r="W124" s="36">
        <v>0</v>
      </c>
      <c r="X124" s="50">
        <v>0</v>
      </c>
      <c r="Y124" s="36">
        <v>0</v>
      </c>
      <c r="Z124" s="36">
        <v>0</v>
      </c>
      <c r="AA124" s="36">
        <v>0</v>
      </c>
      <c r="AB124" s="36">
        <v>0</v>
      </c>
      <c r="AC124" s="50">
        <v>0</v>
      </c>
      <c r="AD124" s="36">
        <v>0</v>
      </c>
      <c r="AE124" s="36">
        <v>0</v>
      </c>
      <c r="AF124" s="36">
        <v>0</v>
      </c>
      <c r="AG124" s="36">
        <v>0</v>
      </c>
      <c r="AH124" s="50">
        <v>0</v>
      </c>
      <c r="AI124" s="36">
        <v>0</v>
      </c>
      <c r="AJ124" s="36">
        <v>0</v>
      </c>
      <c r="AK124" s="36">
        <v>0</v>
      </c>
      <c r="AL124" s="36">
        <v>0</v>
      </c>
      <c r="AM124" s="50">
        <v>0</v>
      </c>
      <c r="AN124" s="36">
        <v>0</v>
      </c>
      <c r="AO124" s="36">
        <v>0</v>
      </c>
      <c r="AP124" s="36">
        <v>0</v>
      </c>
      <c r="AQ124" s="36">
        <v>0</v>
      </c>
      <c r="AR124" s="50">
        <v>0</v>
      </c>
      <c r="AS124" s="36">
        <v>0</v>
      </c>
      <c r="AT124" s="36">
        <v>0</v>
      </c>
      <c r="AU124" s="36">
        <v>0</v>
      </c>
      <c r="AV124" s="36">
        <v>0</v>
      </c>
      <c r="AW124">
        <v>0</v>
      </c>
      <c r="AX124">
        <v>0</v>
      </c>
    </row>
    <row r="125" spans="1:50" x14ac:dyDescent="0.25">
      <c r="A125" s="36"/>
      <c r="B125" t="s">
        <v>120</v>
      </c>
      <c r="C125" s="36" t="str">
        <f>'Status Thresholds'!B116</f>
        <v>Bloodbath Diablos</v>
      </c>
      <c r="E125" s="36" t="str">
        <f t="shared" si="5"/>
        <v>Bloodbath Diablos</v>
      </c>
      <c r="F125" s="36" t="str">
        <f>IFERROR(VLOOKUP($E125,'Status Thresholds'!$E:$AS,1,FALSE),"")</f>
        <v/>
      </c>
      <c r="G125" t="s">
        <v>12</v>
      </c>
      <c r="H125" s="55" t="str">
        <f t="shared" si="6"/>
        <v>Bloodbath DiablosCrag 2</v>
      </c>
      <c r="I125" s="50">
        <v>0</v>
      </c>
      <c r="J125" s="36">
        <v>0</v>
      </c>
      <c r="K125" s="36">
        <v>0</v>
      </c>
      <c r="L125" s="36">
        <v>0</v>
      </c>
      <c r="M125" s="36">
        <v>0</v>
      </c>
      <c r="N125" s="50">
        <v>0</v>
      </c>
      <c r="O125" s="36">
        <v>0</v>
      </c>
      <c r="P125" s="36">
        <v>0</v>
      </c>
      <c r="Q125" s="36">
        <v>0</v>
      </c>
      <c r="R125" s="36">
        <v>0</v>
      </c>
      <c r="S125" s="50">
        <v>0</v>
      </c>
      <c r="T125" s="36">
        <v>0</v>
      </c>
      <c r="U125" s="36">
        <v>0</v>
      </c>
      <c r="V125" s="36">
        <v>0</v>
      </c>
      <c r="W125" s="36">
        <v>0</v>
      </c>
      <c r="X125" s="50">
        <v>0</v>
      </c>
      <c r="Y125" s="36">
        <v>0</v>
      </c>
      <c r="Z125" s="36">
        <v>0</v>
      </c>
      <c r="AA125" s="36">
        <v>0</v>
      </c>
      <c r="AB125" s="36">
        <v>0</v>
      </c>
      <c r="AC125" s="50">
        <v>0</v>
      </c>
      <c r="AD125" s="36">
        <v>0</v>
      </c>
      <c r="AE125" s="36">
        <v>0</v>
      </c>
      <c r="AF125" s="36">
        <v>0</v>
      </c>
      <c r="AG125" s="36">
        <v>0</v>
      </c>
      <c r="AH125" s="50">
        <v>0</v>
      </c>
      <c r="AI125" s="36">
        <v>0</v>
      </c>
      <c r="AJ125" s="36">
        <v>0</v>
      </c>
      <c r="AK125" s="36">
        <v>0</v>
      </c>
      <c r="AL125" s="36">
        <v>0</v>
      </c>
      <c r="AM125" s="50">
        <v>0</v>
      </c>
      <c r="AN125" s="36">
        <v>0</v>
      </c>
      <c r="AO125" s="36">
        <v>0</v>
      </c>
      <c r="AP125" s="36">
        <v>0</v>
      </c>
      <c r="AQ125" s="36">
        <v>0</v>
      </c>
      <c r="AR125" s="50">
        <v>0</v>
      </c>
      <c r="AS125" s="36">
        <v>0</v>
      </c>
      <c r="AT125" s="36">
        <v>0</v>
      </c>
      <c r="AU125" s="36">
        <v>0</v>
      </c>
      <c r="AV125" s="36">
        <v>0</v>
      </c>
      <c r="AW125">
        <v>0</v>
      </c>
      <c r="AX125">
        <v>0</v>
      </c>
    </row>
    <row r="126" spans="1:50" x14ac:dyDescent="0.25">
      <c r="A126" s="36"/>
      <c r="B126" t="s">
        <v>120</v>
      </c>
      <c r="C126" s="36" t="str">
        <f>'Status Thresholds'!B117</f>
        <v>Bloodbath Diablos</v>
      </c>
      <c r="E126" s="36" t="str">
        <f t="shared" si="5"/>
        <v>Bloodbath Diablos</v>
      </c>
      <c r="F126" s="36" t="str">
        <f>IFERROR(VLOOKUP($E126,'Status Thresholds'!$E:$AS,1,FALSE),"")</f>
        <v/>
      </c>
      <c r="G126" t="s">
        <v>11</v>
      </c>
      <c r="H126" s="55" t="str">
        <f t="shared" si="6"/>
        <v>Bloodbath DiablosCrag 1</v>
      </c>
      <c r="I126" s="50">
        <v>0</v>
      </c>
      <c r="J126" s="36">
        <v>0</v>
      </c>
      <c r="K126" s="36">
        <v>0</v>
      </c>
      <c r="L126" s="36">
        <v>0</v>
      </c>
      <c r="M126" s="36">
        <v>0</v>
      </c>
      <c r="N126" s="50">
        <v>0</v>
      </c>
      <c r="O126" s="36">
        <v>0</v>
      </c>
      <c r="P126" s="36">
        <v>0</v>
      </c>
      <c r="Q126" s="36">
        <v>0</v>
      </c>
      <c r="R126" s="36">
        <v>0</v>
      </c>
      <c r="S126" s="50">
        <v>0</v>
      </c>
      <c r="T126" s="36">
        <v>0</v>
      </c>
      <c r="U126" s="36">
        <v>0</v>
      </c>
      <c r="V126" s="36">
        <v>0</v>
      </c>
      <c r="W126" s="36">
        <v>0</v>
      </c>
      <c r="X126" s="50">
        <v>0</v>
      </c>
      <c r="Y126" s="36">
        <v>0</v>
      </c>
      <c r="Z126" s="36">
        <v>0</v>
      </c>
      <c r="AA126" s="36">
        <v>0</v>
      </c>
      <c r="AB126" s="36">
        <v>0</v>
      </c>
      <c r="AC126" s="50">
        <v>0</v>
      </c>
      <c r="AD126" s="36">
        <v>0</v>
      </c>
      <c r="AE126" s="36">
        <v>0</v>
      </c>
      <c r="AF126" s="36">
        <v>0</v>
      </c>
      <c r="AG126" s="36">
        <v>0</v>
      </c>
      <c r="AH126" s="50">
        <v>0</v>
      </c>
      <c r="AI126" s="36">
        <v>0</v>
      </c>
      <c r="AJ126" s="36">
        <v>0</v>
      </c>
      <c r="AK126" s="36">
        <v>0</v>
      </c>
      <c r="AL126" s="36">
        <v>0</v>
      </c>
      <c r="AM126" s="50">
        <v>0</v>
      </c>
      <c r="AN126" s="36">
        <v>0</v>
      </c>
      <c r="AO126" s="36">
        <v>0</v>
      </c>
      <c r="AP126" s="36">
        <v>0</v>
      </c>
      <c r="AQ126" s="36">
        <v>0</v>
      </c>
      <c r="AR126" s="50">
        <v>0</v>
      </c>
      <c r="AS126" s="36">
        <v>0</v>
      </c>
      <c r="AT126" s="36">
        <v>0</v>
      </c>
      <c r="AU126" s="36">
        <v>0</v>
      </c>
      <c r="AV126" s="36">
        <v>1</v>
      </c>
      <c r="AW126">
        <v>0</v>
      </c>
      <c r="AX126">
        <v>0</v>
      </c>
    </row>
    <row r="127" spans="1:50" x14ac:dyDescent="0.25">
      <c r="A127" s="36"/>
      <c r="B127" t="s">
        <v>119</v>
      </c>
      <c r="C127" s="36" t="str">
        <f>'Status Thresholds'!B118</f>
        <v>Bloodbath Diablos</v>
      </c>
      <c r="E127" s="36" t="str">
        <f t="shared" si="5"/>
        <v>Bloodbath Diablos</v>
      </c>
      <c r="F127" s="36" t="str">
        <f>IFERROR(VLOOKUP($E127,'Status Thresholds'!$E:$AS,1,FALSE),"")</f>
        <v/>
      </c>
      <c r="G127" t="s">
        <v>21</v>
      </c>
      <c r="H127" s="55" t="str">
        <f t="shared" si="6"/>
        <v>Bloodbath DiablosTriblast</v>
      </c>
      <c r="I127" s="50">
        <v>0</v>
      </c>
      <c r="J127" s="36">
        <v>0</v>
      </c>
      <c r="K127" s="36">
        <v>0</v>
      </c>
      <c r="L127" s="36">
        <v>0</v>
      </c>
      <c r="M127" s="36">
        <v>0</v>
      </c>
      <c r="N127" s="50">
        <v>0</v>
      </c>
      <c r="O127" s="36">
        <v>0</v>
      </c>
      <c r="P127" s="36">
        <v>0</v>
      </c>
      <c r="Q127" s="36">
        <v>0</v>
      </c>
      <c r="R127" s="36">
        <v>0</v>
      </c>
      <c r="S127" s="50">
        <v>0</v>
      </c>
      <c r="T127" s="36">
        <v>0</v>
      </c>
      <c r="U127" s="36">
        <v>0</v>
      </c>
      <c r="V127" s="36">
        <v>0</v>
      </c>
      <c r="W127" s="36">
        <v>0</v>
      </c>
      <c r="X127" s="50">
        <v>0</v>
      </c>
      <c r="Y127" s="36">
        <v>0</v>
      </c>
      <c r="Z127" s="36">
        <v>0</v>
      </c>
      <c r="AA127" s="36">
        <v>0</v>
      </c>
      <c r="AB127" s="36">
        <v>0</v>
      </c>
      <c r="AC127" s="50">
        <v>0</v>
      </c>
      <c r="AD127" s="36">
        <v>0</v>
      </c>
      <c r="AE127" s="36">
        <v>0</v>
      </c>
      <c r="AF127" s="36">
        <v>0</v>
      </c>
      <c r="AG127" s="36">
        <v>0</v>
      </c>
      <c r="AH127" s="50">
        <v>0</v>
      </c>
      <c r="AI127" s="36">
        <v>0</v>
      </c>
      <c r="AJ127" s="36">
        <v>0</v>
      </c>
      <c r="AK127" s="36">
        <v>0</v>
      </c>
      <c r="AL127" s="36">
        <v>0</v>
      </c>
      <c r="AM127" s="50">
        <v>0</v>
      </c>
      <c r="AN127" s="36">
        <v>0</v>
      </c>
      <c r="AO127" s="36">
        <v>0</v>
      </c>
      <c r="AP127" s="36">
        <v>0</v>
      </c>
      <c r="AQ127" s="36">
        <v>0</v>
      </c>
      <c r="AR127" s="50">
        <v>0</v>
      </c>
      <c r="AS127" s="36">
        <v>0</v>
      </c>
      <c r="AT127" s="36">
        <v>0</v>
      </c>
      <c r="AU127" s="36">
        <v>0</v>
      </c>
      <c r="AV127" s="36">
        <v>0</v>
      </c>
      <c r="AW127">
        <v>0</v>
      </c>
      <c r="AX127">
        <v>0</v>
      </c>
    </row>
    <row r="128" spans="1:50" x14ac:dyDescent="0.25">
      <c r="A128" s="36"/>
      <c r="B128" t="s">
        <v>119</v>
      </c>
      <c r="C128" s="36" t="str">
        <f>'Status Thresholds'!B119</f>
        <v>Bloodbath Diablos</v>
      </c>
      <c r="E128" s="36" t="str">
        <f t="shared" si="5"/>
        <v>Bloodbath Diablos</v>
      </c>
      <c r="F128" s="36" t="str">
        <f>IFERROR(VLOOKUP($E128,'Status Thresholds'!$E:$AS,1,FALSE),"")</f>
        <v/>
      </c>
      <c r="G128" t="s">
        <v>13</v>
      </c>
      <c r="H128" s="55" t="str">
        <f t="shared" si="6"/>
        <v>Bloodbath DiablosCrag 3</v>
      </c>
      <c r="I128" s="50">
        <v>0</v>
      </c>
      <c r="J128" s="36">
        <v>0</v>
      </c>
      <c r="K128" s="36">
        <v>0</v>
      </c>
      <c r="L128" s="36">
        <v>0</v>
      </c>
      <c r="M128" s="36">
        <v>0</v>
      </c>
      <c r="N128" s="50">
        <v>0</v>
      </c>
      <c r="O128" s="36">
        <v>0</v>
      </c>
      <c r="P128" s="36">
        <v>0</v>
      </c>
      <c r="Q128" s="36">
        <v>0</v>
      </c>
      <c r="R128" s="36">
        <v>0</v>
      </c>
      <c r="S128" s="50">
        <v>0</v>
      </c>
      <c r="T128" s="36">
        <v>0</v>
      </c>
      <c r="U128" s="36">
        <v>0</v>
      </c>
      <c r="V128" s="36">
        <v>0</v>
      </c>
      <c r="W128" s="36">
        <v>0</v>
      </c>
      <c r="X128" s="50">
        <v>0</v>
      </c>
      <c r="Y128" s="36">
        <v>0</v>
      </c>
      <c r="Z128" s="36">
        <v>0</v>
      </c>
      <c r="AA128" s="36">
        <v>0</v>
      </c>
      <c r="AB128" s="36">
        <v>0</v>
      </c>
      <c r="AC128" s="50">
        <v>0</v>
      </c>
      <c r="AD128" s="36">
        <v>0</v>
      </c>
      <c r="AE128" s="36">
        <v>0</v>
      </c>
      <c r="AF128" s="36">
        <v>0</v>
      </c>
      <c r="AG128" s="36">
        <v>0</v>
      </c>
      <c r="AH128" s="50">
        <v>0</v>
      </c>
      <c r="AI128" s="36">
        <v>0</v>
      </c>
      <c r="AJ128" s="36">
        <v>0</v>
      </c>
      <c r="AK128" s="36">
        <v>0</v>
      </c>
      <c r="AL128" s="36">
        <v>0</v>
      </c>
      <c r="AM128" s="50">
        <v>0</v>
      </c>
      <c r="AN128" s="36">
        <v>0</v>
      </c>
      <c r="AO128" s="36">
        <v>0</v>
      </c>
      <c r="AP128" s="36">
        <v>0</v>
      </c>
      <c r="AQ128" s="36">
        <v>0</v>
      </c>
      <c r="AR128" s="50">
        <v>0</v>
      </c>
      <c r="AS128" s="36">
        <v>0</v>
      </c>
      <c r="AT128" s="36">
        <v>0</v>
      </c>
      <c r="AU128" s="36">
        <v>0</v>
      </c>
      <c r="AV128" s="36">
        <v>0</v>
      </c>
      <c r="AW128">
        <v>0</v>
      </c>
      <c r="AX128">
        <v>0</v>
      </c>
    </row>
    <row r="129" spans="1:50" x14ac:dyDescent="0.25">
      <c r="A129" s="36"/>
      <c r="B129" t="s">
        <v>119</v>
      </c>
      <c r="C129" s="36" t="str">
        <f>'Status Thresholds'!B120</f>
        <v>Bloodbath Diablos</v>
      </c>
      <c r="E129" s="36" t="str">
        <f t="shared" si="5"/>
        <v>Bloodbath Diablos</v>
      </c>
      <c r="F129" s="36" t="str">
        <f>IFERROR(VLOOKUP($E129,'Status Thresholds'!$E:$AS,1,FALSE),"")</f>
        <v/>
      </c>
      <c r="G129" t="s">
        <v>12</v>
      </c>
      <c r="H129" s="55" t="str">
        <f t="shared" si="6"/>
        <v>Bloodbath DiablosCrag 2</v>
      </c>
      <c r="I129" s="50">
        <v>0</v>
      </c>
      <c r="J129" s="36">
        <v>0</v>
      </c>
      <c r="K129" s="36">
        <v>0</v>
      </c>
      <c r="L129" s="36">
        <v>0</v>
      </c>
      <c r="M129" s="36">
        <v>0</v>
      </c>
      <c r="N129" s="50">
        <v>0</v>
      </c>
      <c r="O129" s="36">
        <v>0</v>
      </c>
      <c r="P129" s="36">
        <v>0</v>
      </c>
      <c r="Q129" s="36">
        <v>0</v>
      </c>
      <c r="R129" s="36">
        <v>0</v>
      </c>
      <c r="S129" s="50">
        <v>0</v>
      </c>
      <c r="T129" s="36">
        <v>0</v>
      </c>
      <c r="U129" s="36">
        <v>0</v>
      </c>
      <c r="V129" s="36">
        <v>0</v>
      </c>
      <c r="W129" s="36">
        <v>0</v>
      </c>
      <c r="X129" s="50">
        <v>0</v>
      </c>
      <c r="Y129" s="36">
        <v>0</v>
      </c>
      <c r="Z129" s="36">
        <v>0</v>
      </c>
      <c r="AA129" s="36">
        <v>0</v>
      </c>
      <c r="AB129" s="36">
        <v>0</v>
      </c>
      <c r="AC129" s="50">
        <v>0</v>
      </c>
      <c r="AD129" s="36">
        <v>0</v>
      </c>
      <c r="AE129" s="36">
        <v>0</v>
      </c>
      <c r="AF129" s="36">
        <v>0</v>
      </c>
      <c r="AG129" s="36">
        <v>0</v>
      </c>
      <c r="AH129" s="50">
        <v>0</v>
      </c>
      <c r="AI129" s="36">
        <v>0</v>
      </c>
      <c r="AJ129" s="36">
        <v>0</v>
      </c>
      <c r="AK129" s="36">
        <v>0</v>
      </c>
      <c r="AL129" s="36">
        <v>0</v>
      </c>
      <c r="AM129" s="50">
        <v>0</v>
      </c>
      <c r="AN129" s="36">
        <v>0</v>
      </c>
      <c r="AO129" s="36">
        <v>0</v>
      </c>
      <c r="AP129" s="36">
        <v>0</v>
      </c>
      <c r="AQ129" s="36">
        <v>0</v>
      </c>
      <c r="AR129" s="50">
        <v>0</v>
      </c>
      <c r="AS129" s="36">
        <v>0</v>
      </c>
      <c r="AT129" s="36">
        <v>0</v>
      </c>
      <c r="AU129" s="36">
        <v>0</v>
      </c>
      <c r="AV129" s="36">
        <v>0</v>
      </c>
      <c r="AW129">
        <v>0</v>
      </c>
      <c r="AX129">
        <v>0</v>
      </c>
    </row>
    <row r="130" spans="1:50" x14ac:dyDescent="0.25">
      <c r="A130" s="36"/>
      <c r="B130" t="s">
        <v>119</v>
      </c>
      <c r="C130" s="36" t="str">
        <f>'Status Thresholds'!B121</f>
        <v>Bloodbath Diablos</v>
      </c>
      <c r="E130" s="36" t="str">
        <f t="shared" si="5"/>
        <v>Bloodbath Diablos</v>
      </c>
      <c r="F130" s="36" t="str">
        <f>IFERROR(VLOOKUP($E130,'Status Thresholds'!$E:$AS,1,FALSE),"")</f>
        <v/>
      </c>
      <c r="G130" t="s">
        <v>11</v>
      </c>
      <c r="H130" s="55" t="str">
        <f t="shared" si="6"/>
        <v>Bloodbath DiablosCrag 1</v>
      </c>
      <c r="I130" s="50">
        <v>0</v>
      </c>
      <c r="J130" s="36">
        <v>0</v>
      </c>
      <c r="K130" s="36">
        <v>0</v>
      </c>
      <c r="L130" s="36">
        <v>0</v>
      </c>
      <c r="M130" s="36">
        <v>0</v>
      </c>
      <c r="N130" s="50">
        <v>0</v>
      </c>
      <c r="O130" s="36">
        <v>0</v>
      </c>
      <c r="P130" s="36">
        <v>0</v>
      </c>
      <c r="Q130" s="36">
        <v>0</v>
      </c>
      <c r="R130" s="36">
        <v>0</v>
      </c>
      <c r="S130" s="50">
        <v>0</v>
      </c>
      <c r="T130" s="36">
        <v>0</v>
      </c>
      <c r="U130" s="36">
        <v>0</v>
      </c>
      <c r="V130" s="36">
        <v>0</v>
      </c>
      <c r="W130" s="36">
        <v>0</v>
      </c>
      <c r="X130" s="50">
        <v>0</v>
      </c>
      <c r="Y130" s="36">
        <v>0</v>
      </c>
      <c r="Z130" s="36">
        <v>0</v>
      </c>
      <c r="AA130" s="36">
        <v>0</v>
      </c>
      <c r="AB130" s="36">
        <v>0</v>
      </c>
      <c r="AC130" s="50">
        <v>0</v>
      </c>
      <c r="AD130" s="36">
        <v>0</v>
      </c>
      <c r="AE130" s="36">
        <v>0</v>
      </c>
      <c r="AF130" s="36">
        <v>0</v>
      </c>
      <c r="AG130" s="36">
        <v>0</v>
      </c>
      <c r="AH130" s="50">
        <v>0</v>
      </c>
      <c r="AI130" s="36">
        <v>0</v>
      </c>
      <c r="AJ130" s="36">
        <v>0</v>
      </c>
      <c r="AK130" s="36">
        <v>0</v>
      </c>
      <c r="AL130" s="36">
        <v>0</v>
      </c>
      <c r="AM130" s="50">
        <v>0</v>
      </c>
      <c r="AN130" s="36">
        <v>0</v>
      </c>
      <c r="AO130" s="36">
        <v>0</v>
      </c>
      <c r="AP130" s="36">
        <v>0</v>
      </c>
      <c r="AQ130" s="36">
        <v>0</v>
      </c>
      <c r="AR130" s="50">
        <v>0</v>
      </c>
      <c r="AS130" s="36">
        <v>0</v>
      </c>
      <c r="AT130" s="36">
        <v>0</v>
      </c>
      <c r="AU130" s="36">
        <v>0</v>
      </c>
      <c r="AV130" s="36">
        <v>1</v>
      </c>
      <c r="AW130">
        <v>0</v>
      </c>
      <c r="AX130">
        <v>0</v>
      </c>
    </row>
    <row r="131" spans="1:50" x14ac:dyDescent="0.25">
      <c r="A131" s="36"/>
      <c r="B131" t="s">
        <v>121</v>
      </c>
      <c r="C131" s="36" t="str">
        <f>'Status Thresholds'!B122</f>
        <v>Boltreaver Astalos</v>
      </c>
      <c r="D131" t="s">
        <v>14</v>
      </c>
      <c r="E131" s="36" t="str">
        <f t="shared" si="5"/>
        <v>Boltreaver AstalosKO</v>
      </c>
      <c r="F131" s="36" t="str">
        <f>IFERROR(VLOOKUP($E131,'Status Thresholds'!$E:$AS,1,FALSE),"")</f>
        <v>Boltreaver AstalosKO</v>
      </c>
      <c r="H131" s="55" t="str">
        <f t="shared" si="6"/>
        <v>Boltreaver AstalosKO</v>
      </c>
      <c r="I131" s="50">
        <f>VLOOKUP($F131,'Status Thresholds'!$E:$AS,2,FALSE)</f>
        <v>0</v>
      </c>
      <c r="J131" s="36">
        <f>VLOOKUP($F131,'Status Thresholds'!$E:$AS,3,FALSE)</f>
        <v>0</v>
      </c>
      <c r="K131" s="36">
        <f>VLOOKUP($F131,'Status Thresholds'!$E:$AS,4,FALSE)</f>
        <v>0</v>
      </c>
      <c r="L131" s="36">
        <f>VLOOKUP($F131,'Status Thresholds'!$E:$AS,5,FALSE)</f>
        <v>0</v>
      </c>
      <c r="M131" s="36">
        <f>VLOOKUP($F131,'Status Thresholds'!$E:$AS,6,FALSE)</f>
        <v>0</v>
      </c>
      <c r="N131" s="50">
        <f>VLOOKUP($F131,'Status Thresholds'!$E:$AS,7,FALSE)</f>
        <v>0</v>
      </c>
      <c r="O131" s="36">
        <f>VLOOKUP($F131,'Status Thresholds'!$E:$AS,8,FALSE)</f>
        <v>0</v>
      </c>
      <c r="P131" s="36">
        <f>VLOOKUP($F131,'Status Thresholds'!$E:$AS,9,FALSE)</f>
        <v>0</v>
      </c>
      <c r="Q131" s="36">
        <f>VLOOKUP($F131,'Status Thresholds'!$E:$AS,10,FALSE)</f>
        <v>0</v>
      </c>
      <c r="R131" s="36">
        <f>VLOOKUP($F131,'Status Thresholds'!$E:$AS,11,FALSE)</f>
        <v>0</v>
      </c>
      <c r="S131" s="50">
        <f>VLOOKUP($F131,'Status Thresholds'!$E:$AS,12,FALSE)</f>
        <v>0</v>
      </c>
      <c r="T131" s="36">
        <f>VLOOKUP($F131,'Status Thresholds'!$E:$AS,13,FALSE)</f>
        <v>0</v>
      </c>
      <c r="U131" s="36">
        <f>VLOOKUP($F131,'Status Thresholds'!$E:$AS,14,FALSE)</f>
        <v>0</v>
      </c>
      <c r="V131" s="36">
        <f>VLOOKUP($F131,'Status Thresholds'!$E:$AS,15,FALSE)</f>
        <v>0</v>
      </c>
      <c r="W131" s="36">
        <f>VLOOKUP($F131,'Status Thresholds'!$E:$AS,16,FALSE)</f>
        <v>0</v>
      </c>
      <c r="X131" s="50">
        <f>VLOOKUP($F131,'Status Thresholds'!$E:$AS,17,FALSE)</f>
        <v>0</v>
      </c>
      <c r="Y131" s="36">
        <f>VLOOKUP($F131,'Status Thresholds'!$E:$AS,18,FALSE)</f>
        <v>0</v>
      </c>
      <c r="Z131" s="36">
        <f>VLOOKUP($F131,'Status Thresholds'!$E:$AS,19,FALSE)</f>
        <v>0</v>
      </c>
      <c r="AA131" s="36">
        <f>VLOOKUP($F131,'Status Thresholds'!$E:$AS,20,FALSE)</f>
        <v>0</v>
      </c>
      <c r="AB131" s="36">
        <f>VLOOKUP($F131,'Status Thresholds'!$E:$AS,21,FALSE)</f>
        <v>0</v>
      </c>
      <c r="AC131" s="50">
        <f>VLOOKUP($F131,'Status Thresholds'!$E:$AS,22,FALSE)</f>
        <v>0</v>
      </c>
      <c r="AD131" s="36">
        <f>VLOOKUP($F131,'Status Thresholds'!$E:$AS,23,FALSE)</f>
        <v>0</v>
      </c>
      <c r="AE131" s="36">
        <f>VLOOKUP($F131,'Status Thresholds'!$E:$AS,24,FALSE)</f>
        <v>0</v>
      </c>
      <c r="AF131" s="36">
        <f>VLOOKUP($F131,'Status Thresholds'!$E:$AS,25,FALSE)</f>
        <v>0</v>
      </c>
      <c r="AG131" s="36">
        <f>VLOOKUP($F131,'Status Thresholds'!$E:$AS,26,FALSE)</f>
        <v>0</v>
      </c>
      <c r="AH131" s="50">
        <f>VLOOKUP($F131,'Status Thresholds'!$E:$AS,27,FALSE)</f>
        <v>0</v>
      </c>
      <c r="AI131" s="36">
        <f>VLOOKUP($F131,'Status Thresholds'!$E:$AS,28,FALSE)</f>
        <v>0</v>
      </c>
      <c r="AJ131" s="36">
        <f>VLOOKUP($F131,'Status Thresholds'!$E:$AS,29,FALSE)</f>
        <v>0</v>
      </c>
      <c r="AK131" s="36">
        <f>VLOOKUP($F131,'Status Thresholds'!$E:$AS,30,FALSE)</f>
        <v>0</v>
      </c>
      <c r="AL131" s="36">
        <f>VLOOKUP($F131,'Status Thresholds'!$E:$AS,31,FALSE)</f>
        <v>0</v>
      </c>
      <c r="AM131" s="50">
        <f>VLOOKUP($F131,'Status Thresholds'!$E:$AS,32,FALSE)</f>
        <v>0</v>
      </c>
      <c r="AN131" s="36">
        <f>VLOOKUP($F131,'Status Thresholds'!$E:$AS,33,FALSE)</f>
        <v>0</v>
      </c>
      <c r="AO131" s="36">
        <f>VLOOKUP($F131,'Status Thresholds'!$E:$AS,34,FALSE)</f>
        <v>0</v>
      </c>
      <c r="AP131" s="36">
        <f>VLOOKUP($F131,'Status Thresholds'!$E:$AS,35,FALSE)</f>
        <v>0</v>
      </c>
      <c r="AQ131" s="36">
        <f>VLOOKUP($F131,'Status Thresholds'!$E:$AS,36,FALSE)</f>
        <v>0</v>
      </c>
      <c r="AR131" s="50">
        <f>VLOOKUP($F131,'Status Thresholds'!$E:$AS,37,FALSE)</f>
        <v>0</v>
      </c>
      <c r="AS131" s="36">
        <f>VLOOKUP($F131,'Status Thresholds'!$E:$AS,38,FALSE)</f>
        <v>0</v>
      </c>
      <c r="AT131" s="36">
        <f>VLOOKUP($F131,'Status Thresholds'!$E:$AS,39,FALSE)</f>
        <v>0</v>
      </c>
      <c r="AU131" s="36">
        <f>VLOOKUP($F131,'Status Thresholds'!$E:$AS,40,FALSE)</f>
        <v>0</v>
      </c>
      <c r="AV131" s="36">
        <f>VLOOKUP($F131,'Status Thresholds'!$E:$AS,41,FALSE)</f>
        <v>10</v>
      </c>
      <c r="AW131">
        <v>0</v>
      </c>
      <c r="AX131">
        <v>0</v>
      </c>
    </row>
    <row r="132" spans="1:50" x14ac:dyDescent="0.25">
      <c r="A132" s="36"/>
      <c r="B132" t="s">
        <v>120</v>
      </c>
      <c r="C132" s="36" t="str">
        <f>'Status Thresholds'!B123</f>
        <v>Boltreaver Astalos</v>
      </c>
      <c r="E132" s="36" t="str">
        <f t="shared" si="5"/>
        <v>Boltreaver Astalos</v>
      </c>
      <c r="F132" s="36" t="str">
        <f>IFERROR(VLOOKUP($E132,'Status Thresholds'!$E:$AS,1,FALSE),"")</f>
        <v/>
      </c>
      <c r="G132" t="s">
        <v>21</v>
      </c>
      <c r="H132" s="55" t="str">
        <f t="shared" si="6"/>
        <v>Boltreaver AstalosTriblast</v>
      </c>
      <c r="I132" s="50">
        <v>0</v>
      </c>
      <c r="J132" s="36">
        <v>0</v>
      </c>
      <c r="K132" s="36">
        <v>0</v>
      </c>
      <c r="L132" s="36">
        <v>0</v>
      </c>
      <c r="M132" s="36">
        <v>0</v>
      </c>
      <c r="N132" s="50">
        <v>0</v>
      </c>
      <c r="O132" s="36">
        <v>0</v>
      </c>
      <c r="P132" s="36">
        <v>0</v>
      </c>
      <c r="Q132" s="36">
        <v>0</v>
      </c>
      <c r="R132" s="36">
        <v>0</v>
      </c>
      <c r="S132" s="50">
        <v>0</v>
      </c>
      <c r="T132" s="36">
        <v>0</v>
      </c>
      <c r="U132" s="36">
        <v>0</v>
      </c>
      <c r="V132" s="36">
        <v>0</v>
      </c>
      <c r="W132" s="36">
        <v>0</v>
      </c>
      <c r="X132" s="50">
        <v>0</v>
      </c>
      <c r="Y132" s="36">
        <v>0</v>
      </c>
      <c r="Z132" s="36">
        <v>0</v>
      </c>
      <c r="AA132" s="36">
        <v>0</v>
      </c>
      <c r="AB132" s="36">
        <v>0</v>
      </c>
      <c r="AC132" s="50">
        <v>0</v>
      </c>
      <c r="AD132" s="36">
        <v>0</v>
      </c>
      <c r="AE132" s="36">
        <v>0</v>
      </c>
      <c r="AF132" s="36">
        <v>0</v>
      </c>
      <c r="AG132" s="36">
        <v>0</v>
      </c>
      <c r="AH132" s="50">
        <v>0</v>
      </c>
      <c r="AI132" s="36">
        <v>0</v>
      </c>
      <c r="AJ132" s="36">
        <v>0</v>
      </c>
      <c r="AK132" s="36">
        <v>0</v>
      </c>
      <c r="AL132" s="36">
        <v>0</v>
      </c>
      <c r="AM132" s="50">
        <v>0</v>
      </c>
      <c r="AN132" s="36">
        <v>0</v>
      </c>
      <c r="AO132" s="36">
        <v>0</v>
      </c>
      <c r="AP132" s="36">
        <v>0</v>
      </c>
      <c r="AQ132" s="36">
        <v>0</v>
      </c>
      <c r="AR132" s="50">
        <v>0</v>
      </c>
      <c r="AS132" s="36">
        <v>0</v>
      </c>
      <c r="AT132" s="36">
        <v>0</v>
      </c>
      <c r="AU132" s="36">
        <v>0</v>
      </c>
      <c r="AV132" s="36">
        <v>0</v>
      </c>
      <c r="AW132">
        <v>0</v>
      </c>
    </row>
    <row r="133" spans="1:50" x14ac:dyDescent="0.25">
      <c r="A133" s="36"/>
      <c r="B133" t="s">
        <v>120</v>
      </c>
      <c r="C133" s="36" t="str">
        <f>'Status Thresholds'!B124</f>
        <v>Boltreaver Astalos</v>
      </c>
      <c r="E133" s="36" t="str">
        <f t="shared" si="5"/>
        <v>Boltreaver Astalos</v>
      </c>
      <c r="F133" s="36" t="str">
        <f>IFERROR(VLOOKUP($E133,'Status Thresholds'!$E:$AS,1,FALSE),"")</f>
        <v/>
      </c>
      <c r="G133" t="s">
        <v>13</v>
      </c>
      <c r="H133" s="55" t="str">
        <f t="shared" si="6"/>
        <v>Boltreaver AstalosCrag 3</v>
      </c>
      <c r="I133" s="50">
        <v>0</v>
      </c>
      <c r="J133" s="36">
        <v>0</v>
      </c>
      <c r="K133" s="36">
        <v>0</v>
      </c>
      <c r="L133" s="36">
        <v>0</v>
      </c>
      <c r="M133" s="36">
        <v>0</v>
      </c>
      <c r="N133" s="50">
        <v>0</v>
      </c>
      <c r="O133" s="36">
        <v>0</v>
      </c>
      <c r="P133" s="36">
        <v>0</v>
      </c>
      <c r="Q133" s="36">
        <v>0</v>
      </c>
      <c r="R133" s="36">
        <v>0</v>
      </c>
      <c r="S133" s="50">
        <v>0</v>
      </c>
      <c r="T133" s="36">
        <v>0</v>
      </c>
      <c r="U133" s="36">
        <v>0</v>
      </c>
      <c r="V133" s="36">
        <v>0</v>
      </c>
      <c r="W133" s="36">
        <v>0</v>
      </c>
      <c r="X133" s="50">
        <v>0</v>
      </c>
      <c r="Y133" s="36">
        <v>0</v>
      </c>
      <c r="Z133" s="36">
        <v>0</v>
      </c>
      <c r="AA133" s="36">
        <v>0</v>
      </c>
      <c r="AB133" s="36">
        <v>0</v>
      </c>
      <c r="AC133" s="50">
        <v>0</v>
      </c>
      <c r="AD133" s="36">
        <v>0</v>
      </c>
      <c r="AE133" s="36">
        <v>0</v>
      </c>
      <c r="AF133" s="36">
        <v>0</v>
      </c>
      <c r="AG133" s="36">
        <v>0</v>
      </c>
      <c r="AH133" s="50">
        <v>0</v>
      </c>
      <c r="AI133" s="36">
        <v>0</v>
      </c>
      <c r="AJ133" s="36">
        <v>0</v>
      </c>
      <c r="AK133" s="36">
        <v>0</v>
      </c>
      <c r="AL133" s="36">
        <v>0</v>
      </c>
      <c r="AM133" s="50">
        <v>0</v>
      </c>
      <c r="AN133" s="36">
        <v>0</v>
      </c>
      <c r="AO133" s="36">
        <v>0</v>
      </c>
      <c r="AP133" s="36">
        <v>0</v>
      </c>
      <c r="AQ133" s="36">
        <v>0</v>
      </c>
      <c r="AR133" s="50">
        <v>0</v>
      </c>
      <c r="AS133" s="36">
        <v>0</v>
      </c>
      <c r="AT133" s="36">
        <v>0</v>
      </c>
      <c r="AU133" s="36">
        <v>0</v>
      </c>
      <c r="AV133" s="36">
        <v>0</v>
      </c>
      <c r="AW133">
        <v>0</v>
      </c>
      <c r="AX133">
        <v>0</v>
      </c>
    </row>
    <row r="134" spans="1:50" x14ac:dyDescent="0.25">
      <c r="A134" s="36"/>
      <c r="B134" t="s">
        <v>120</v>
      </c>
      <c r="C134" s="36" t="str">
        <f>'Status Thresholds'!B125</f>
        <v>Boltreaver Astalos</v>
      </c>
      <c r="E134" s="36" t="str">
        <f t="shared" ref="E134:E197" si="7">C134&amp;D134</f>
        <v>Boltreaver Astalos</v>
      </c>
      <c r="F134" s="36" t="str">
        <f>IFERROR(VLOOKUP($E134,'Status Thresholds'!$E:$AS,1,FALSE),"")</f>
        <v/>
      </c>
      <c r="G134" t="s">
        <v>12</v>
      </c>
      <c r="H134" s="55" t="str">
        <f t="shared" ref="H134:H197" si="8">E134&amp;G134</f>
        <v>Boltreaver AstalosCrag 2</v>
      </c>
      <c r="I134" s="50">
        <v>0</v>
      </c>
      <c r="J134" s="36">
        <v>0</v>
      </c>
      <c r="K134" s="36">
        <v>0</v>
      </c>
      <c r="L134" s="36">
        <v>0</v>
      </c>
      <c r="M134" s="36">
        <v>0</v>
      </c>
      <c r="N134" s="50">
        <v>0</v>
      </c>
      <c r="O134" s="36">
        <v>0</v>
      </c>
      <c r="P134" s="36">
        <v>0</v>
      </c>
      <c r="Q134" s="36">
        <v>0</v>
      </c>
      <c r="R134" s="36">
        <v>0</v>
      </c>
      <c r="S134" s="50">
        <v>0</v>
      </c>
      <c r="T134" s="36">
        <v>0</v>
      </c>
      <c r="U134" s="36">
        <v>0</v>
      </c>
      <c r="V134" s="36">
        <v>0</v>
      </c>
      <c r="W134" s="36">
        <v>0</v>
      </c>
      <c r="X134" s="50">
        <v>0</v>
      </c>
      <c r="Y134" s="36">
        <v>0</v>
      </c>
      <c r="Z134" s="36">
        <v>0</v>
      </c>
      <c r="AA134" s="36">
        <v>0</v>
      </c>
      <c r="AB134" s="36">
        <v>0</v>
      </c>
      <c r="AC134" s="50">
        <v>0</v>
      </c>
      <c r="AD134" s="36">
        <v>0</v>
      </c>
      <c r="AE134" s="36">
        <v>0</v>
      </c>
      <c r="AF134" s="36">
        <v>0</v>
      </c>
      <c r="AG134" s="36">
        <v>0</v>
      </c>
      <c r="AH134" s="50">
        <v>0</v>
      </c>
      <c r="AI134" s="36">
        <v>0</v>
      </c>
      <c r="AJ134" s="36">
        <v>0</v>
      </c>
      <c r="AK134" s="36">
        <v>0</v>
      </c>
      <c r="AL134" s="36">
        <v>0</v>
      </c>
      <c r="AM134" s="50">
        <v>0</v>
      </c>
      <c r="AN134" s="36">
        <v>0</v>
      </c>
      <c r="AO134" s="36">
        <v>0</v>
      </c>
      <c r="AP134" s="36">
        <v>0</v>
      </c>
      <c r="AQ134" s="36">
        <v>0</v>
      </c>
      <c r="AR134" s="50">
        <v>0</v>
      </c>
      <c r="AS134" s="36">
        <v>0</v>
      </c>
      <c r="AT134" s="36">
        <v>0</v>
      </c>
      <c r="AU134" s="36">
        <v>0</v>
      </c>
      <c r="AV134" s="36">
        <v>0</v>
      </c>
      <c r="AW134">
        <v>0</v>
      </c>
      <c r="AX134">
        <v>0</v>
      </c>
    </row>
    <row r="135" spans="1:50" x14ac:dyDescent="0.25">
      <c r="A135" s="36"/>
      <c r="B135" t="s">
        <v>120</v>
      </c>
      <c r="C135" s="36" t="str">
        <f>'Status Thresholds'!B126</f>
        <v>Boltreaver Astalos</v>
      </c>
      <c r="E135" s="36" t="str">
        <f t="shared" si="7"/>
        <v>Boltreaver Astalos</v>
      </c>
      <c r="F135" s="36" t="str">
        <f>IFERROR(VLOOKUP($E135,'Status Thresholds'!$E:$AS,1,FALSE),"")</f>
        <v/>
      </c>
      <c r="G135" t="s">
        <v>11</v>
      </c>
      <c r="H135" s="55" t="str">
        <f t="shared" si="8"/>
        <v>Boltreaver AstalosCrag 1</v>
      </c>
      <c r="I135" s="50">
        <v>0</v>
      </c>
      <c r="J135" s="36">
        <v>0</v>
      </c>
      <c r="K135" s="36">
        <v>0</v>
      </c>
      <c r="L135" s="36">
        <v>0</v>
      </c>
      <c r="M135" s="36">
        <v>0</v>
      </c>
      <c r="N135" s="50">
        <v>0</v>
      </c>
      <c r="O135" s="36">
        <v>0</v>
      </c>
      <c r="P135" s="36">
        <v>0</v>
      </c>
      <c r="Q135" s="36">
        <v>0</v>
      </c>
      <c r="R135" s="36">
        <v>0</v>
      </c>
      <c r="S135" s="50">
        <v>0</v>
      </c>
      <c r="T135" s="36">
        <v>0</v>
      </c>
      <c r="U135" s="36">
        <v>0</v>
      </c>
      <c r="V135" s="36">
        <v>0</v>
      </c>
      <c r="W135" s="36">
        <v>0</v>
      </c>
      <c r="X135" s="50">
        <v>0</v>
      </c>
      <c r="Y135" s="36">
        <v>0</v>
      </c>
      <c r="Z135" s="36">
        <v>0</v>
      </c>
      <c r="AA135" s="36">
        <v>0</v>
      </c>
      <c r="AB135" s="36">
        <v>0</v>
      </c>
      <c r="AC135" s="50">
        <v>0</v>
      </c>
      <c r="AD135" s="36">
        <v>0</v>
      </c>
      <c r="AE135" s="36">
        <v>0</v>
      </c>
      <c r="AF135" s="36">
        <v>0</v>
      </c>
      <c r="AG135" s="36">
        <v>0</v>
      </c>
      <c r="AH135" s="50">
        <v>0</v>
      </c>
      <c r="AI135" s="36">
        <v>0</v>
      </c>
      <c r="AJ135" s="36">
        <v>0</v>
      </c>
      <c r="AK135" s="36">
        <v>0</v>
      </c>
      <c r="AL135" s="36">
        <v>0</v>
      </c>
      <c r="AM135" s="50">
        <v>0</v>
      </c>
      <c r="AN135" s="36">
        <v>0</v>
      </c>
      <c r="AO135" s="36">
        <v>0</v>
      </c>
      <c r="AP135" s="36">
        <v>0</v>
      </c>
      <c r="AQ135" s="36">
        <v>0</v>
      </c>
      <c r="AR135" s="50">
        <v>0</v>
      </c>
      <c r="AS135" s="36">
        <v>0</v>
      </c>
      <c r="AT135" s="36">
        <v>0</v>
      </c>
      <c r="AU135" s="36">
        <v>0</v>
      </c>
      <c r="AV135" s="36">
        <v>1</v>
      </c>
      <c r="AW135">
        <v>0</v>
      </c>
      <c r="AX135">
        <v>0</v>
      </c>
    </row>
    <row r="136" spans="1:50" x14ac:dyDescent="0.25">
      <c r="A136" s="36"/>
      <c r="B136" t="s">
        <v>119</v>
      </c>
      <c r="C136" s="36" t="str">
        <f>'Status Thresholds'!B127</f>
        <v>Boltreaver Astalos</v>
      </c>
      <c r="E136" s="36" t="str">
        <f t="shared" si="7"/>
        <v>Boltreaver Astalos</v>
      </c>
      <c r="F136" s="36" t="str">
        <f>IFERROR(VLOOKUP($E136,'Status Thresholds'!$E:$AS,1,FALSE),"")</f>
        <v/>
      </c>
      <c r="G136" t="s">
        <v>21</v>
      </c>
      <c r="H136" s="55" t="str">
        <f t="shared" si="8"/>
        <v>Boltreaver AstalosTriblast</v>
      </c>
      <c r="I136" s="50">
        <v>0</v>
      </c>
      <c r="J136" s="36">
        <v>0</v>
      </c>
      <c r="K136" s="36">
        <v>0</v>
      </c>
      <c r="L136" s="36">
        <v>0</v>
      </c>
      <c r="M136" s="36">
        <v>0</v>
      </c>
      <c r="N136" s="50">
        <v>0</v>
      </c>
      <c r="O136" s="36">
        <v>0</v>
      </c>
      <c r="P136" s="36">
        <v>0</v>
      </c>
      <c r="Q136" s="36">
        <v>0</v>
      </c>
      <c r="R136" s="36">
        <v>0</v>
      </c>
      <c r="S136" s="50">
        <v>0</v>
      </c>
      <c r="T136" s="36">
        <v>0</v>
      </c>
      <c r="U136" s="36">
        <v>0</v>
      </c>
      <c r="V136" s="36">
        <v>0</v>
      </c>
      <c r="W136" s="36">
        <v>0</v>
      </c>
      <c r="X136" s="50">
        <v>0</v>
      </c>
      <c r="Y136" s="36">
        <v>0</v>
      </c>
      <c r="Z136" s="36">
        <v>0</v>
      </c>
      <c r="AA136" s="36">
        <v>0</v>
      </c>
      <c r="AB136" s="36">
        <v>0</v>
      </c>
      <c r="AC136" s="50">
        <v>0</v>
      </c>
      <c r="AD136" s="36">
        <v>0</v>
      </c>
      <c r="AE136" s="36">
        <v>0</v>
      </c>
      <c r="AF136" s="36">
        <v>0</v>
      </c>
      <c r="AG136" s="36">
        <v>0</v>
      </c>
      <c r="AH136" s="50">
        <v>0</v>
      </c>
      <c r="AI136" s="36">
        <v>0</v>
      </c>
      <c r="AJ136" s="36">
        <v>0</v>
      </c>
      <c r="AK136" s="36">
        <v>0</v>
      </c>
      <c r="AL136" s="36">
        <v>0</v>
      </c>
      <c r="AM136" s="50">
        <v>0</v>
      </c>
      <c r="AN136" s="36">
        <v>0</v>
      </c>
      <c r="AO136" s="36">
        <v>0</v>
      </c>
      <c r="AP136" s="36">
        <v>0</v>
      </c>
      <c r="AQ136" s="36">
        <v>0</v>
      </c>
      <c r="AR136" s="50">
        <v>0</v>
      </c>
      <c r="AS136" s="36">
        <v>0</v>
      </c>
      <c r="AT136" s="36">
        <v>0</v>
      </c>
      <c r="AU136" s="36">
        <v>0</v>
      </c>
      <c r="AV136" s="36">
        <v>0</v>
      </c>
      <c r="AW136">
        <v>0</v>
      </c>
      <c r="AX136">
        <v>0</v>
      </c>
    </row>
    <row r="137" spans="1:50" x14ac:dyDescent="0.25">
      <c r="A137" s="36"/>
      <c r="B137" t="s">
        <v>119</v>
      </c>
      <c r="C137" s="36" t="str">
        <f>'Status Thresholds'!B128</f>
        <v>Boltreaver Astalos</v>
      </c>
      <c r="E137" s="36" t="str">
        <f t="shared" si="7"/>
        <v>Boltreaver Astalos</v>
      </c>
      <c r="F137" s="36" t="str">
        <f>IFERROR(VLOOKUP($E137,'Status Thresholds'!$E:$AS,1,FALSE),"")</f>
        <v/>
      </c>
      <c r="G137" t="s">
        <v>13</v>
      </c>
      <c r="H137" s="55" t="str">
        <f t="shared" si="8"/>
        <v>Boltreaver AstalosCrag 3</v>
      </c>
      <c r="I137" s="50">
        <v>0</v>
      </c>
      <c r="J137" s="36">
        <v>0</v>
      </c>
      <c r="K137" s="36">
        <v>0</v>
      </c>
      <c r="L137" s="36">
        <v>0</v>
      </c>
      <c r="M137" s="36">
        <v>0</v>
      </c>
      <c r="N137" s="50">
        <v>0</v>
      </c>
      <c r="O137" s="36">
        <v>0</v>
      </c>
      <c r="P137" s="36">
        <v>0</v>
      </c>
      <c r="Q137" s="36">
        <v>0</v>
      </c>
      <c r="R137" s="36">
        <v>0</v>
      </c>
      <c r="S137" s="50">
        <v>0</v>
      </c>
      <c r="T137" s="36">
        <v>0</v>
      </c>
      <c r="U137" s="36">
        <v>0</v>
      </c>
      <c r="V137" s="36">
        <v>0</v>
      </c>
      <c r="W137" s="36">
        <v>0</v>
      </c>
      <c r="X137" s="50">
        <v>0</v>
      </c>
      <c r="Y137" s="36">
        <v>0</v>
      </c>
      <c r="Z137" s="36">
        <v>0</v>
      </c>
      <c r="AA137" s="36">
        <v>0</v>
      </c>
      <c r="AB137" s="36">
        <v>0</v>
      </c>
      <c r="AC137" s="50">
        <v>0</v>
      </c>
      <c r="AD137" s="36">
        <v>0</v>
      </c>
      <c r="AE137" s="36">
        <v>0</v>
      </c>
      <c r="AF137" s="36">
        <v>0</v>
      </c>
      <c r="AG137" s="36">
        <v>0</v>
      </c>
      <c r="AH137" s="50">
        <v>0</v>
      </c>
      <c r="AI137" s="36">
        <v>0</v>
      </c>
      <c r="AJ137" s="36">
        <v>0</v>
      </c>
      <c r="AK137" s="36">
        <v>0</v>
      </c>
      <c r="AL137" s="36">
        <v>0</v>
      </c>
      <c r="AM137" s="50">
        <v>0</v>
      </c>
      <c r="AN137" s="36">
        <v>0</v>
      </c>
      <c r="AO137" s="36">
        <v>0</v>
      </c>
      <c r="AP137" s="36">
        <v>0</v>
      </c>
      <c r="AQ137" s="36">
        <v>0</v>
      </c>
      <c r="AR137" s="50">
        <v>0</v>
      </c>
      <c r="AS137" s="36">
        <v>0</v>
      </c>
      <c r="AT137" s="36">
        <v>0</v>
      </c>
      <c r="AU137" s="36">
        <v>0</v>
      </c>
      <c r="AV137" s="36">
        <v>0</v>
      </c>
      <c r="AW137">
        <v>0</v>
      </c>
      <c r="AX137">
        <v>0</v>
      </c>
    </row>
    <row r="138" spans="1:50" x14ac:dyDescent="0.25">
      <c r="A138" s="36"/>
      <c r="B138" t="s">
        <v>119</v>
      </c>
      <c r="C138" s="36" t="str">
        <f>'Status Thresholds'!B129</f>
        <v>Boltreaver Astalos</v>
      </c>
      <c r="E138" s="36" t="str">
        <f t="shared" si="7"/>
        <v>Boltreaver Astalos</v>
      </c>
      <c r="F138" s="36" t="str">
        <f>IFERROR(VLOOKUP($E138,'Status Thresholds'!$E:$AS,1,FALSE),"")</f>
        <v/>
      </c>
      <c r="G138" t="s">
        <v>12</v>
      </c>
      <c r="H138" s="55" t="str">
        <f t="shared" si="8"/>
        <v>Boltreaver AstalosCrag 2</v>
      </c>
      <c r="I138" s="50">
        <v>0</v>
      </c>
      <c r="J138" s="36">
        <v>0</v>
      </c>
      <c r="K138" s="36">
        <v>0</v>
      </c>
      <c r="L138" s="36">
        <v>0</v>
      </c>
      <c r="M138" s="36">
        <v>0</v>
      </c>
      <c r="N138" s="50">
        <v>0</v>
      </c>
      <c r="O138" s="36">
        <v>0</v>
      </c>
      <c r="P138" s="36">
        <v>0</v>
      </c>
      <c r="Q138" s="36">
        <v>0</v>
      </c>
      <c r="R138" s="36">
        <v>0</v>
      </c>
      <c r="S138" s="50">
        <v>0</v>
      </c>
      <c r="T138" s="36">
        <v>0</v>
      </c>
      <c r="U138" s="36">
        <v>0</v>
      </c>
      <c r="V138" s="36">
        <v>0</v>
      </c>
      <c r="W138" s="36">
        <v>0</v>
      </c>
      <c r="X138" s="50">
        <v>0</v>
      </c>
      <c r="Y138" s="36">
        <v>0</v>
      </c>
      <c r="Z138" s="36">
        <v>0</v>
      </c>
      <c r="AA138" s="36">
        <v>0</v>
      </c>
      <c r="AB138" s="36">
        <v>0</v>
      </c>
      <c r="AC138" s="50">
        <v>0</v>
      </c>
      <c r="AD138" s="36">
        <v>0</v>
      </c>
      <c r="AE138" s="36">
        <v>0</v>
      </c>
      <c r="AF138" s="36">
        <v>0</v>
      </c>
      <c r="AG138" s="36">
        <v>0</v>
      </c>
      <c r="AH138" s="50">
        <v>0</v>
      </c>
      <c r="AI138" s="36">
        <v>0</v>
      </c>
      <c r="AJ138" s="36">
        <v>0</v>
      </c>
      <c r="AK138" s="36">
        <v>0</v>
      </c>
      <c r="AL138" s="36">
        <v>0</v>
      </c>
      <c r="AM138" s="50">
        <v>0</v>
      </c>
      <c r="AN138" s="36">
        <v>0</v>
      </c>
      <c r="AO138" s="36">
        <v>0</v>
      </c>
      <c r="AP138" s="36">
        <v>0</v>
      </c>
      <c r="AQ138" s="36">
        <v>0</v>
      </c>
      <c r="AR138" s="50">
        <v>0</v>
      </c>
      <c r="AS138" s="36">
        <v>0</v>
      </c>
      <c r="AT138" s="36">
        <v>0</v>
      </c>
      <c r="AU138" s="36">
        <v>0</v>
      </c>
      <c r="AV138" s="36">
        <v>0</v>
      </c>
      <c r="AW138">
        <v>0</v>
      </c>
      <c r="AX138">
        <v>0</v>
      </c>
    </row>
    <row r="139" spans="1:50" x14ac:dyDescent="0.25">
      <c r="A139" s="36"/>
      <c r="B139" t="s">
        <v>119</v>
      </c>
      <c r="C139" s="36" t="str">
        <f>'Status Thresholds'!B130</f>
        <v>Boltreaver Astalos</v>
      </c>
      <c r="E139" s="36" t="str">
        <f t="shared" si="7"/>
        <v>Boltreaver Astalos</v>
      </c>
      <c r="F139" s="36" t="str">
        <f>IFERROR(VLOOKUP($E139,'Status Thresholds'!$E:$AS,1,FALSE),"")</f>
        <v/>
      </c>
      <c r="G139" t="s">
        <v>11</v>
      </c>
      <c r="H139" s="55" t="str">
        <f t="shared" si="8"/>
        <v>Boltreaver AstalosCrag 1</v>
      </c>
      <c r="I139" s="50">
        <v>0</v>
      </c>
      <c r="J139" s="36">
        <v>0</v>
      </c>
      <c r="K139" s="36">
        <v>0</v>
      </c>
      <c r="L139" s="36">
        <v>0</v>
      </c>
      <c r="M139" s="36">
        <v>0</v>
      </c>
      <c r="N139" s="50">
        <v>0</v>
      </c>
      <c r="O139" s="36">
        <v>0</v>
      </c>
      <c r="P139" s="36">
        <v>0</v>
      </c>
      <c r="Q139" s="36">
        <v>0</v>
      </c>
      <c r="R139" s="36">
        <v>0</v>
      </c>
      <c r="S139" s="50">
        <v>0</v>
      </c>
      <c r="T139" s="36">
        <v>0</v>
      </c>
      <c r="U139" s="36">
        <v>0</v>
      </c>
      <c r="V139" s="36">
        <v>0</v>
      </c>
      <c r="W139" s="36">
        <v>0</v>
      </c>
      <c r="X139" s="50">
        <v>0</v>
      </c>
      <c r="Y139" s="36">
        <v>0</v>
      </c>
      <c r="Z139" s="36">
        <v>0</v>
      </c>
      <c r="AA139" s="36">
        <v>0</v>
      </c>
      <c r="AB139" s="36">
        <v>0</v>
      </c>
      <c r="AC139" s="50">
        <v>0</v>
      </c>
      <c r="AD139" s="36">
        <v>0</v>
      </c>
      <c r="AE139" s="36">
        <v>0</v>
      </c>
      <c r="AF139" s="36">
        <v>0</v>
      </c>
      <c r="AG139" s="36">
        <v>0</v>
      </c>
      <c r="AH139" s="50">
        <v>0</v>
      </c>
      <c r="AI139" s="36">
        <v>0</v>
      </c>
      <c r="AJ139" s="36">
        <v>0</v>
      </c>
      <c r="AK139" s="36">
        <v>0</v>
      </c>
      <c r="AL139" s="36">
        <v>0</v>
      </c>
      <c r="AM139" s="50">
        <v>0</v>
      </c>
      <c r="AN139" s="36">
        <v>0</v>
      </c>
      <c r="AO139" s="36">
        <v>0</v>
      </c>
      <c r="AP139" s="36">
        <v>0</v>
      </c>
      <c r="AQ139" s="36">
        <v>0</v>
      </c>
      <c r="AR139" s="50">
        <v>0</v>
      </c>
      <c r="AS139" s="36">
        <v>0</v>
      </c>
      <c r="AT139" s="36">
        <v>0</v>
      </c>
      <c r="AU139" s="36">
        <v>0</v>
      </c>
      <c r="AV139" s="36">
        <v>1</v>
      </c>
      <c r="AW139">
        <v>0</v>
      </c>
      <c r="AX139">
        <v>0</v>
      </c>
    </row>
    <row r="140" spans="1:50" x14ac:dyDescent="0.25">
      <c r="A140" s="36"/>
      <c r="B140" t="s">
        <v>121</v>
      </c>
      <c r="C140" s="36" t="str">
        <f>'Status Thresholds'!B131</f>
        <v>Brachydios</v>
      </c>
      <c r="D140" t="s">
        <v>14</v>
      </c>
      <c r="E140" s="36" t="str">
        <f t="shared" si="7"/>
        <v>BrachydiosKO</v>
      </c>
      <c r="F140" s="36" t="str">
        <f>IFERROR(VLOOKUP($E140,'Status Thresholds'!$E:$AS,1,FALSE),"")</f>
        <v>BrachydiosKO</v>
      </c>
      <c r="H140" s="55" t="str">
        <f t="shared" si="8"/>
        <v>BrachydiosKO</v>
      </c>
      <c r="I140" s="50">
        <f>VLOOKUP($F140,'Status Thresholds'!$E:$AS,2,FALSE)</f>
        <v>116</v>
      </c>
      <c r="J140" s="36">
        <f>VLOOKUP($F140,'Status Thresholds'!$E:$AS,3,FALSE)</f>
        <v>246</v>
      </c>
      <c r="K140" s="36">
        <f>VLOOKUP($F140,'Status Thresholds'!$E:$AS,4,FALSE)</f>
        <v>377</v>
      </c>
      <c r="L140" s="36">
        <f>VLOOKUP($F140,'Status Thresholds'!$E:$AS,5,FALSE)</f>
        <v>506</v>
      </c>
      <c r="M140" s="36">
        <f>VLOOKUP($F140,'Status Thresholds'!$E:$AS,6,FALSE)</f>
        <v>0</v>
      </c>
      <c r="N140" s="50">
        <f>VLOOKUP($F140,'Status Thresholds'!$E:$AS,7,FALSE)</f>
        <v>0</v>
      </c>
      <c r="O140" s="36">
        <f>VLOOKUP($F140,'Status Thresholds'!$E:$AS,8,FALSE)</f>
        <v>0</v>
      </c>
      <c r="P140" s="36">
        <f>VLOOKUP($F140,'Status Thresholds'!$E:$AS,9,FALSE)</f>
        <v>0</v>
      </c>
      <c r="Q140" s="36">
        <f>VLOOKUP($F140,'Status Thresholds'!$E:$AS,10,FALSE)</f>
        <v>0</v>
      </c>
      <c r="R140" s="36">
        <f>VLOOKUP($F140,'Status Thresholds'!$E:$AS,11,FALSE)</f>
        <v>0</v>
      </c>
      <c r="S140" s="50">
        <f>VLOOKUP($F140,'Status Thresholds'!$E:$AS,12,FALSE)</f>
        <v>126</v>
      </c>
      <c r="T140" s="36">
        <f>VLOOKUP($F140,'Status Thresholds'!$E:$AS,13,FALSE)</f>
        <v>266</v>
      </c>
      <c r="U140" s="36">
        <f>VLOOKUP($F140,'Status Thresholds'!$E:$AS,14,FALSE)</f>
        <v>406</v>
      </c>
      <c r="V140" s="36">
        <f>VLOOKUP($F140,'Status Thresholds'!$E:$AS,15,FALSE)</f>
        <v>546</v>
      </c>
      <c r="W140" s="36">
        <f>VLOOKUP($F140,'Status Thresholds'!$E:$AS,16,FALSE)</f>
        <v>0</v>
      </c>
      <c r="X140" s="50">
        <f>VLOOKUP($F140,'Status Thresholds'!$E:$AS,17,FALSE)</f>
        <v>0</v>
      </c>
      <c r="Y140" s="36">
        <f>VLOOKUP($F140,'Status Thresholds'!$E:$AS,18,FALSE)</f>
        <v>0</v>
      </c>
      <c r="Z140" s="36">
        <f>VLOOKUP($F140,'Status Thresholds'!$E:$AS,19,FALSE)</f>
        <v>0</v>
      </c>
      <c r="AA140" s="36">
        <f>VLOOKUP($F140,'Status Thresholds'!$E:$AS,20,FALSE)</f>
        <v>0</v>
      </c>
      <c r="AB140" s="36">
        <f>VLOOKUP($F140,'Status Thresholds'!$E:$AS,21,FALSE)</f>
        <v>0</v>
      </c>
      <c r="AC140" s="50">
        <f>VLOOKUP($F140,'Status Thresholds'!$E:$AS,22,FALSE)</f>
        <v>135</v>
      </c>
      <c r="AD140" s="36">
        <f>VLOOKUP($F140,'Status Thresholds'!$E:$AS,23,FALSE)</f>
        <v>135</v>
      </c>
      <c r="AE140" s="36">
        <f>VLOOKUP($F140,'Status Thresholds'!$E:$AS,24,FALSE)</f>
        <v>135</v>
      </c>
      <c r="AF140" s="36">
        <f>VLOOKUP($F140,'Status Thresholds'!$E:$AS,25,FALSE)</f>
        <v>135</v>
      </c>
      <c r="AG140" s="36">
        <f>VLOOKUP($F140,'Status Thresholds'!$E:$AS,26,FALSE)</f>
        <v>0</v>
      </c>
      <c r="AH140" s="50">
        <f>VLOOKUP($F140,'Status Thresholds'!$E:$AS,27,FALSE)</f>
        <v>0</v>
      </c>
      <c r="AI140" s="36">
        <f>VLOOKUP($F140,'Status Thresholds'!$E:$AS,28,FALSE)</f>
        <v>0</v>
      </c>
      <c r="AJ140" s="36">
        <f>VLOOKUP($F140,'Status Thresholds'!$E:$AS,29,FALSE)</f>
        <v>0</v>
      </c>
      <c r="AK140" s="36">
        <f>VLOOKUP($F140,'Status Thresholds'!$E:$AS,30,FALSE)</f>
        <v>0</v>
      </c>
      <c r="AL140" s="36">
        <f>VLOOKUP($F140,'Status Thresholds'!$E:$AS,31,FALSE)</f>
        <v>0</v>
      </c>
      <c r="AM140" s="50">
        <f>VLOOKUP($F140,'Status Thresholds'!$E:$AS,32,FALSE)</f>
        <v>0</v>
      </c>
      <c r="AN140" s="36">
        <f>VLOOKUP($F140,'Status Thresholds'!$E:$AS,33,FALSE)</f>
        <v>0</v>
      </c>
      <c r="AO140" s="36">
        <f>VLOOKUP($F140,'Status Thresholds'!$E:$AS,34,FALSE)</f>
        <v>0</v>
      </c>
      <c r="AP140" s="36">
        <f>VLOOKUP($F140,'Status Thresholds'!$E:$AS,35,FALSE)</f>
        <v>0</v>
      </c>
      <c r="AQ140" s="36">
        <f>VLOOKUP($F140,'Status Thresholds'!$E:$AS,36,FALSE)</f>
        <v>0</v>
      </c>
      <c r="AR140" s="50">
        <f>VLOOKUP($F140,'Status Thresholds'!$E:$AS,37,FALSE)</f>
        <v>0</v>
      </c>
      <c r="AS140" s="36">
        <f>VLOOKUP($F140,'Status Thresholds'!$E:$AS,38,FALSE)</f>
        <v>0</v>
      </c>
      <c r="AT140" s="36">
        <f>VLOOKUP($F140,'Status Thresholds'!$E:$AS,39,FALSE)</f>
        <v>0</v>
      </c>
      <c r="AU140" s="36">
        <f>VLOOKUP($F140,'Status Thresholds'!$E:$AS,40,FALSE)</f>
        <v>0</v>
      </c>
      <c r="AV140" s="36">
        <f>VLOOKUP($F140,'Status Thresholds'!$E:$AS,41,FALSE)</f>
        <v>10</v>
      </c>
      <c r="AW140">
        <v>0</v>
      </c>
      <c r="AX140">
        <v>0</v>
      </c>
    </row>
    <row r="141" spans="1:50" x14ac:dyDescent="0.25">
      <c r="A141" s="36"/>
      <c r="B141" t="s">
        <v>120</v>
      </c>
      <c r="C141" s="36" t="str">
        <f>'Status Thresholds'!B132</f>
        <v>Brachydios</v>
      </c>
      <c r="E141" s="36" t="str">
        <f t="shared" si="7"/>
        <v>Brachydios</v>
      </c>
      <c r="F141" s="36" t="str">
        <f>IFERROR(VLOOKUP($E141,'Status Thresholds'!$E:$AS,1,FALSE),"")</f>
        <v/>
      </c>
      <c r="G141" t="s">
        <v>21</v>
      </c>
      <c r="H141" s="55" t="str">
        <f t="shared" si="8"/>
        <v>BrachydiosTriblast</v>
      </c>
      <c r="I141" s="50">
        <v>0</v>
      </c>
      <c r="J141" s="36">
        <v>0</v>
      </c>
      <c r="K141" s="36">
        <v>1</v>
      </c>
      <c r="L141" s="36">
        <v>2</v>
      </c>
      <c r="M141" s="36">
        <v>0</v>
      </c>
      <c r="N141" s="50">
        <v>0</v>
      </c>
      <c r="O141" s="36">
        <v>0</v>
      </c>
      <c r="P141" s="36">
        <v>0</v>
      </c>
      <c r="Q141" s="36">
        <v>0</v>
      </c>
      <c r="R141" s="36">
        <v>0</v>
      </c>
      <c r="S141" s="50">
        <v>1</v>
      </c>
      <c r="T141" s="36">
        <v>0</v>
      </c>
      <c r="U141" s="36">
        <v>2</v>
      </c>
      <c r="V141" s="36">
        <v>2</v>
      </c>
      <c r="W141" s="36">
        <v>0</v>
      </c>
      <c r="X141" s="50">
        <v>0</v>
      </c>
      <c r="Y141" s="36">
        <v>0</v>
      </c>
      <c r="Z141" s="36">
        <v>0</v>
      </c>
      <c r="AA141" s="36">
        <v>0</v>
      </c>
      <c r="AB141" s="36">
        <v>0</v>
      </c>
      <c r="AC141" s="50">
        <v>1</v>
      </c>
      <c r="AD141" s="36">
        <v>1</v>
      </c>
      <c r="AE141" s="36">
        <v>1</v>
      </c>
      <c r="AF141" s="36">
        <v>1</v>
      </c>
      <c r="AG141" s="36">
        <v>0</v>
      </c>
      <c r="AH141" s="50">
        <v>0</v>
      </c>
      <c r="AI141" s="36">
        <v>0</v>
      </c>
      <c r="AJ141" s="36">
        <v>0</v>
      </c>
      <c r="AK141" s="36">
        <v>0</v>
      </c>
      <c r="AL141" s="36">
        <v>0</v>
      </c>
      <c r="AM141" s="50">
        <v>0</v>
      </c>
      <c r="AN141" s="36">
        <v>0</v>
      </c>
      <c r="AO141" s="36">
        <v>0</v>
      </c>
      <c r="AP141" s="36">
        <v>0</v>
      </c>
      <c r="AQ141" s="36">
        <v>0</v>
      </c>
      <c r="AR141" s="50">
        <v>0</v>
      </c>
      <c r="AS141" s="36">
        <v>0</v>
      </c>
      <c r="AT141" s="36">
        <v>0</v>
      </c>
      <c r="AU141" s="36">
        <v>0</v>
      </c>
      <c r="AV141" s="36">
        <v>0</v>
      </c>
      <c r="AW141">
        <v>0</v>
      </c>
    </row>
    <row r="142" spans="1:50" x14ac:dyDescent="0.25">
      <c r="A142" s="36"/>
      <c r="B142" t="s">
        <v>120</v>
      </c>
      <c r="C142" s="36" t="str">
        <f>'Status Thresholds'!B133</f>
        <v>Brachydios</v>
      </c>
      <c r="E142" s="36" t="str">
        <f t="shared" si="7"/>
        <v>Brachydios</v>
      </c>
      <c r="F142" s="36" t="str">
        <f>IFERROR(VLOOKUP($E142,'Status Thresholds'!$E:$AS,1,FALSE),"")</f>
        <v/>
      </c>
      <c r="G142" t="s">
        <v>13</v>
      </c>
      <c r="H142" s="55" t="str">
        <f t="shared" si="8"/>
        <v>BrachydiosCrag 3</v>
      </c>
      <c r="I142" s="50">
        <v>1</v>
      </c>
      <c r="J142" s="36">
        <v>4</v>
      </c>
      <c r="K142" s="36">
        <v>1</v>
      </c>
      <c r="L142" s="36">
        <v>3</v>
      </c>
      <c r="M142" s="36">
        <v>0</v>
      </c>
      <c r="N142" s="50">
        <v>0</v>
      </c>
      <c r="O142" s="36">
        <v>0</v>
      </c>
      <c r="P142" s="36">
        <v>0</v>
      </c>
      <c r="Q142" s="36">
        <v>0</v>
      </c>
      <c r="R142" s="36">
        <v>0</v>
      </c>
      <c r="S142" s="50">
        <v>0</v>
      </c>
      <c r="T142" s="36">
        <v>4</v>
      </c>
      <c r="U142" s="36">
        <v>2</v>
      </c>
      <c r="V142" s="36">
        <v>4</v>
      </c>
      <c r="W142" s="36">
        <v>0</v>
      </c>
      <c r="X142" s="50">
        <v>0</v>
      </c>
      <c r="Y142" s="36">
        <v>0</v>
      </c>
      <c r="Z142" s="36">
        <v>0</v>
      </c>
      <c r="AA142" s="36">
        <v>0</v>
      </c>
      <c r="AB142" s="36">
        <v>0</v>
      </c>
      <c r="AC142" s="50">
        <v>0</v>
      </c>
      <c r="AD142" s="36">
        <v>0</v>
      </c>
      <c r="AE142" s="36">
        <v>0</v>
      </c>
      <c r="AF142" s="36">
        <v>0</v>
      </c>
      <c r="AG142" s="36">
        <v>0</v>
      </c>
      <c r="AH142" s="50">
        <v>0</v>
      </c>
      <c r="AI142" s="36">
        <v>0</v>
      </c>
      <c r="AJ142" s="36">
        <v>0</v>
      </c>
      <c r="AK142" s="36">
        <v>0</v>
      </c>
      <c r="AL142" s="36">
        <v>0</v>
      </c>
      <c r="AM142" s="50">
        <v>0</v>
      </c>
      <c r="AN142" s="36">
        <v>0</v>
      </c>
      <c r="AO142" s="36">
        <v>0</v>
      </c>
      <c r="AP142" s="36">
        <v>0</v>
      </c>
      <c r="AQ142" s="36">
        <v>0</v>
      </c>
      <c r="AR142" s="50">
        <v>0</v>
      </c>
      <c r="AS142" s="36">
        <v>0</v>
      </c>
      <c r="AT142" s="36">
        <v>0</v>
      </c>
      <c r="AU142" s="36">
        <v>0</v>
      </c>
      <c r="AV142" s="36">
        <v>0</v>
      </c>
      <c r="AW142">
        <v>0</v>
      </c>
      <c r="AX142">
        <v>0</v>
      </c>
    </row>
    <row r="143" spans="1:50" x14ac:dyDescent="0.25">
      <c r="A143" s="36"/>
      <c r="B143" t="s">
        <v>120</v>
      </c>
      <c r="C143" s="36" t="str">
        <f>'Status Thresholds'!B134</f>
        <v>Brachydios</v>
      </c>
      <c r="E143" s="36" t="str">
        <f t="shared" si="7"/>
        <v>Brachydios</v>
      </c>
      <c r="F143" s="36" t="str">
        <f>IFERROR(VLOOKUP($E143,'Status Thresholds'!$E:$AS,1,FALSE),"")</f>
        <v/>
      </c>
      <c r="G143" t="s">
        <v>12</v>
      </c>
      <c r="H143" s="55" t="str">
        <f t="shared" si="8"/>
        <v>BrachydiosCrag 2</v>
      </c>
      <c r="I143" s="50">
        <v>1</v>
      </c>
      <c r="J143" s="36">
        <v>3</v>
      </c>
      <c r="K143" s="36">
        <v>3</v>
      </c>
      <c r="L143" s="36">
        <v>3</v>
      </c>
      <c r="M143" s="36">
        <v>0</v>
      </c>
      <c r="N143" s="50">
        <v>0</v>
      </c>
      <c r="O143" s="36">
        <v>0</v>
      </c>
      <c r="P143" s="36">
        <v>0</v>
      </c>
      <c r="Q143" s="36">
        <v>0</v>
      </c>
      <c r="R143" s="36">
        <v>0</v>
      </c>
      <c r="S143" s="50">
        <v>1</v>
      </c>
      <c r="T143" s="36">
        <v>2</v>
      </c>
      <c r="U143" s="36">
        <v>1</v>
      </c>
      <c r="V143" s="36">
        <v>3</v>
      </c>
      <c r="W143" s="36">
        <v>0</v>
      </c>
      <c r="X143" s="50">
        <v>0</v>
      </c>
      <c r="Y143" s="36">
        <v>0</v>
      </c>
      <c r="Z143" s="36">
        <v>0</v>
      </c>
      <c r="AA143" s="36">
        <v>0</v>
      </c>
      <c r="AB143" s="36">
        <v>0</v>
      </c>
      <c r="AC143" s="50">
        <v>2</v>
      </c>
      <c r="AD143" s="36">
        <v>2</v>
      </c>
      <c r="AE143" s="36">
        <v>2</v>
      </c>
      <c r="AF143" s="36">
        <v>2</v>
      </c>
      <c r="AG143" s="36">
        <v>0</v>
      </c>
      <c r="AH143" s="50">
        <v>0</v>
      </c>
      <c r="AI143" s="36">
        <v>0</v>
      </c>
      <c r="AJ143" s="36">
        <v>0</v>
      </c>
      <c r="AK143" s="36">
        <v>0</v>
      </c>
      <c r="AL143" s="36">
        <v>0</v>
      </c>
      <c r="AM143" s="50">
        <v>0</v>
      </c>
      <c r="AN143" s="36">
        <v>0</v>
      </c>
      <c r="AO143" s="36">
        <v>0</v>
      </c>
      <c r="AP143" s="36">
        <v>0</v>
      </c>
      <c r="AQ143" s="36">
        <v>0</v>
      </c>
      <c r="AR143" s="50">
        <v>0</v>
      </c>
      <c r="AS143" s="36">
        <v>0</v>
      </c>
      <c r="AT143" s="36">
        <v>0</v>
      </c>
      <c r="AU143" s="36">
        <v>0</v>
      </c>
      <c r="AV143" s="36">
        <v>0</v>
      </c>
      <c r="AW143">
        <v>0</v>
      </c>
      <c r="AX143">
        <v>0</v>
      </c>
    </row>
    <row r="144" spans="1:50" x14ac:dyDescent="0.25">
      <c r="A144" s="36"/>
      <c r="B144" t="s">
        <v>120</v>
      </c>
      <c r="C144" s="36" t="str">
        <f>'Status Thresholds'!B135</f>
        <v>Brachydios</v>
      </c>
      <c r="E144" s="36" t="str">
        <f t="shared" si="7"/>
        <v>Brachydios</v>
      </c>
      <c r="F144" s="36" t="str">
        <f>IFERROR(VLOOKUP($E144,'Status Thresholds'!$E:$AS,1,FALSE),"")</f>
        <v/>
      </c>
      <c r="G144" t="s">
        <v>11</v>
      </c>
      <c r="H144" s="55" t="str">
        <f t="shared" si="8"/>
        <v>BrachydiosCrag 1</v>
      </c>
      <c r="I144" s="50">
        <v>2</v>
      </c>
      <c r="J144" s="36">
        <v>0</v>
      </c>
      <c r="K144" s="36">
        <v>7</v>
      </c>
      <c r="L144" s="36">
        <v>6</v>
      </c>
      <c r="M144" s="36">
        <v>0</v>
      </c>
      <c r="N144" s="50">
        <v>0</v>
      </c>
      <c r="O144" s="36">
        <v>0</v>
      </c>
      <c r="P144" s="36">
        <v>0</v>
      </c>
      <c r="Q144" s="36">
        <v>0</v>
      </c>
      <c r="R144" s="36">
        <v>0</v>
      </c>
      <c r="S144" s="50">
        <v>1</v>
      </c>
      <c r="T144" s="36">
        <v>2</v>
      </c>
      <c r="U144" s="36">
        <v>6</v>
      </c>
      <c r="V144" s="36">
        <v>6</v>
      </c>
      <c r="W144" s="36">
        <v>0</v>
      </c>
      <c r="X144" s="50">
        <v>0</v>
      </c>
      <c r="Y144" s="36">
        <v>0</v>
      </c>
      <c r="Z144" s="36">
        <v>0</v>
      </c>
      <c r="AA144" s="36">
        <v>0</v>
      </c>
      <c r="AB144" s="36">
        <v>0</v>
      </c>
      <c r="AC144" s="50">
        <v>0</v>
      </c>
      <c r="AD144" s="36">
        <v>0</v>
      </c>
      <c r="AE144" s="36">
        <v>0</v>
      </c>
      <c r="AF144" s="36">
        <v>0</v>
      </c>
      <c r="AG144" s="36">
        <v>0</v>
      </c>
      <c r="AH144" s="50">
        <v>0</v>
      </c>
      <c r="AI144" s="36">
        <v>0</v>
      </c>
      <c r="AJ144" s="36">
        <v>0</v>
      </c>
      <c r="AK144" s="36">
        <v>0</v>
      </c>
      <c r="AL144" s="36">
        <v>0</v>
      </c>
      <c r="AM144" s="50">
        <v>0</v>
      </c>
      <c r="AN144" s="36">
        <v>0</v>
      </c>
      <c r="AO144" s="36">
        <v>0</v>
      </c>
      <c r="AP144" s="36">
        <v>0</v>
      </c>
      <c r="AQ144" s="36">
        <v>0</v>
      </c>
      <c r="AR144" s="50">
        <v>0</v>
      </c>
      <c r="AS144" s="36">
        <v>0</v>
      </c>
      <c r="AT144" s="36">
        <v>0</v>
      </c>
      <c r="AU144" s="36">
        <v>0</v>
      </c>
      <c r="AV144" s="36">
        <v>1</v>
      </c>
      <c r="AW144">
        <v>0</v>
      </c>
      <c r="AX144">
        <v>0</v>
      </c>
    </row>
    <row r="145" spans="1:50" x14ac:dyDescent="0.25">
      <c r="A145" s="36"/>
      <c r="B145" t="s">
        <v>119</v>
      </c>
      <c r="C145" s="36" t="str">
        <f>'Status Thresholds'!B136</f>
        <v>Brachydios</v>
      </c>
      <c r="E145" s="36" t="str">
        <f t="shared" si="7"/>
        <v>Brachydios</v>
      </c>
      <c r="F145" s="36" t="str">
        <f>IFERROR(VLOOKUP($E145,'Status Thresholds'!$E:$AS,1,FALSE),"")</f>
        <v/>
      </c>
      <c r="G145" t="s">
        <v>21</v>
      </c>
      <c r="H145" s="55" t="str">
        <f t="shared" si="8"/>
        <v>BrachydiosTriblast</v>
      </c>
      <c r="I145" s="50">
        <v>0</v>
      </c>
      <c r="J145" s="36">
        <v>1</v>
      </c>
      <c r="K145" s="36">
        <v>1</v>
      </c>
      <c r="L145" s="36">
        <v>1</v>
      </c>
      <c r="M145" s="36">
        <v>0</v>
      </c>
      <c r="N145" s="50">
        <v>0</v>
      </c>
      <c r="O145" s="36">
        <v>0</v>
      </c>
      <c r="P145" s="36">
        <v>0</v>
      </c>
      <c r="Q145" s="36">
        <v>0</v>
      </c>
      <c r="R145" s="36">
        <v>0</v>
      </c>
      <c r="S145" s="50">
        <v>0</v>
      </c>
      <c r="T145" s="36">
        <v>2</v>
      </c>
      <c r="U145" s="36">
        <v>2</v>
      </c>
      <c r="V145" s="36">
        <v>2</v>
      </c>
      <c r="W145" s="36">
        <v>0</v>
      </c>
      <c r="X145" s="50">
        <v>0</v>
      </c>
      <c r="Y145" s="36">
        <v>0</v>
      </c>
      <c r="Z145" s="36">
        <v>0</v>
      </c>
      <c r="AA145" s="36">
        <v>0</v>
      </c>
      <c r="AB145" s="36">
        <v>0</v>
      </c>
      <c r="AC145" s="50">
        <v>1</v>
      </c>
      <c r="AD145" s="36">
        <v>1</v>
      </c>
      <c r="AE145" s="36">
        <v>1</v>
      </c>
      <c r="AF145" s="36">
        <v>1</v>
      </c>
      <c r="AG145" s="36">
        <v>0</v>
      </c>
      <c r="AH145" s="50">
        <v>0</v>
      </c>
      <c r="AI145" s="36">
        <v>0</v>
      </c>
      <c r="AJ145" s="36">
        <v>0</v>
      </c>
      <c r="AK145" s="36">
        <v>0</v>
      </c>
      <c r="AL145" s="36">
        <v>0</v>
      </c>
      <c r="AM145" s="50">
        <v>0</v>
      </c>
      <c r="AN145" s="36">
        <v>0</v>
      </c>
      <c r="AO145" s="36">
        <v>0</v>
      </c>
      <c r="AP145" s="36">
        <v>0</v>
      </c>
      <c r="AQ145" s="36">
        <v>0</v>
      </c>
      <c r="AR145" s="50">
        <v>0</v>
      </c>
      <c r="AS145" s="36">
        <v>0</v>
      </c>
      <c r="AT145" s="36">
        <v>0</v>
      </c>
      <c r="AU145" s="36">
        <v>0</v>
      </c>
      <c r="AV145" s="36">
        <v>0</v>
      </c>
      <c r="AW145">
        <v>0</v>
      </c>
      <c r="AX145">
        <v>0</v>
      </c>
    </row>
    <row r="146" spans="1:50" x14ac:dyDescent="0.25">
      <c r="A146" s="36"/>
      <c r="B146" t="s">
        <v>119</v>
      </c>
      <c r="C146" s="36" t="str">
        <f>'Status Thresholds'!B137</f>
        <v>Brachydios</v>
      </c>
      <c r="E146" s="36" t="str">
        <f t="shared" si="7"/>
        <v>Brachydios</v>
      </c>
      <c r="F146" s="36" t="str">
        <f>IFERROR(VLOOKUP($E146,'Status Thresholds'!$E:$AS,1,FALSE),"")</f>
        <v/>
      </c>
      <c r="G146" t="s">
        <v>13</v>
      </c>
      <c r="H146" s="55" t="str">
        <f t="shared" si="8"/>
        <v>BrachydiosCrag 3</v>
      </c>
      <c r="I146" s="50">
        <v>0</v>
      </c>
      <c r="J146" s="36">
        <v>3</v>
      </c>
      <c r="K146" s="36">
        <v>4</v>
      </c>
      <c r="L146" s="36">
        <v>4</v>
      </c>
      <c r="M146" s="36">
        <v>0</v>
      </c>
      <c r="N146" s="50">
        <v>0</v>
      </c>
      <c r="O146" s="36">
        <v>0</v>
      </c>
      <c r="P146" s="36">
        <v>0</v>
      </c>
      <c r="Q146" s="36">
        <v>0</v>
      </c>
      <c r="R146" s="36">
        <v>0</v>
      </c>
      <c r="S146" s="50">
        <v>0</v>
      </c>
      <c r="T146" s="36">
        <v>1</v>
      </c>
      <c r="U146" s="36">
        <v>1</v>
      </c>
      <c r="V146" s="36">
        <v>3</v>
      </c>
      <c r="W146" s="36">
        <v>0</v>
      </c>
      <c r="X146" s="50">
        <v>0</v>
      </c>
      <c r="Y146" s="36">
        <v>0</v>
      </c>
      <c r="Z146" s="36">
        <v>0</v>
      </c>
      <c r="AA146" s="36">
        <v>0</v>
      </c>
      <c r="AB146" s="36">
        <v>0</v>
      </c>
      <c r="AC146" s="50">
        <v>0</v>
      </c>
      <c r="AD146" s="36">
        <v>0</v>
      </c>
      <c r="AE146" s="36">
        <v>0</v>
      </c>
      <c r="AF146" s="36">
        <v>0</v>
      </c>
      <c r="AG146" s="36">
        <v>0</v>
      </c>
      <c r="AH146" s="50">
        <v>0</v>
      </c>
      <c r="AI146" s="36">
        <v>0</v>
      </c>
      <c r="AJ146" s="36">
        <v>0</v>
      </c>
      <c r="AK146" s="36">
        <v>0</v>
      </c>
      <c r="AL146" s="36">
        <v>0</v>
      </c>
      <c r="AM146" s="50">
        <v>0</v>
      </c>
      <c r="AN146" s="36">
        <v>0</v>
      </c>
      <c r="AO146" s="36">
        <v>0</v>
      </c>
      <c r="AP146" s="36">
        <v>0</v>
      </c>
      <c r="AQ146" s="36">
        <v>0</v>
      </c>
      <c r="AR146" s="50">
        <v>0</v>
      </c>
      <c r="AS146" s="36">
        <v>0</v>
      </c>
      <c r="AT146" s="36">
        <v>0</v>
      </c>
      <c r="AU146" s="36">
        <v>0</v>
      </c>
      <c r="AV146" s="36">
        <v>0</v>
      </c>
      <c r="AW146">
        <v>0</v>
      </c>
      <c r="AX146">
        <v>0</v>
      </c>
    </row>
    <row r="147" spans="1:50" x14ac:dyDescent="0.25">
      <c r="A147" s="36"/>
      <c r="B147" t="s">
        <v>119</v>
      </c>
      <c r="C147" s="36" t="str">
        <f>'Status Thresholds'!B138</f>
        <v>Brachydios</v>
      </c>
      <c r="E147" s="36" t="str">
        <f t="shared" si="7"/>
        <v>Brachydios</v>
      </c>
      <c r="F147" s="36" t="str">
        <f>IFERROR(VLOOKUP($E147,'Status Thresholds'!$E:$AS,1,FALSE),"")</f>
        <v/>
      </c>
      <c r="G147" t="s">
        <v>12</v>
      </c>
      <c r="H147" s="55" t="str">
        <f t="shared" si="8"/>
        <v>BrachydiosCrag 2</v>
      </c>
      <c r="I147" s="50">
        <v>2</v>
      </c>
      <c r="J147" s="36">
        <v>1</v>
      </c>
      <c r="K147" s="36">
        <v>2</v>
      </c>
      <c r="L147" s="36">
        <v>1</v>
      </c>
      <c r="M147" s="36">
        <v>0</v>
      </c>
      <c r="N147" s="50">
        <v>0</v>
      </c>
      <c r="O147" s="36">
        <v>0</v>
      </c>
      <c r="P147" s="36">
        <v>0</v>
      </c>
      <c r="Q147" s="36">
        <v>0</v>
      </c>
      <c r="R147" s="36">
        <v>0</v>
      </c>
      <c r="S147" s="50">
        <v>3</v>
      </c>
      <c r="T147" s="36">
        <v>1</v>
      </c>
      <c r="U147" s="36">
        <v>2</v>
      </c>
      <c r="V147" s="36">
        <v>2</v>
      </c>
      <c r="W147" s="36">
        <v>0</v>
      </c>
      <c r="X147" s="50">
        <v>0</v>
      </c>
      <c r="Y147" s="36">
        <v>0</v>
      </c>
      <c r="Z147" s="36">
        <v>0</v>
      </c>
      <c r="AA147" s="36">
        <v>0</v>
      </c>
      <c r="AB147" s="36">
        <v>0</v>
      </c>
      <c r="AC147" s="50">
        <v>0</v>
      </c>
      <c r="AD147" s="36">
        <v>0</v>
      </c>
      <c r="AE147" s="36">
        <v>0</v>
      </c>
      <c r="AF147" s="36">
        <v>0</v>
      </c>
      <c r="AG147" s="36">
        <v>0</v>
      </c>
      <c r="AH147" s="50">
        <v>0</v>
      </c>
      <c r="AI147" s="36">
        <v>0</v>
      </c>
      <c r="AJ147" s="36">
        <v>0</v>
      </c>
      <c r="AK147" s="36">
        <v>0</v>
      </c>
      <c r="AL147" s="36">
        <v>0</v>
      </c>
      <c r="AM147" s="50">
        <v>0</v>
      </c>
      <c r="AN147" s="36">
        <v>0</v>
      </c>
      <c r="AO147" s="36">
        <v>0</v>
      </c>
      <c r="AP147" s="36">
        <v>0</v>
      </c>
      <c r="AQ147" s="36">
        <v>0</v>
      </c>
      <c r="AR147" s="50">
        <v>0</v>
      </c>
      <c r="AS147" s="36">
        <v>0</v>
      </c>
      <c r="AT147" s="36">
        <v>0</v>
      </c>
      <c r="AU147" s="36">
        <v>0</v>
      </c>
      <c r="AV147" s="36">
        <v>0</v>
      </c>
      <c r="AW147">
        <v>0</v>
      </c>
      <c r="AX147">
        <v>0</v>
      </c>
    </row>
    <row r="148" spans="1:50" x14ac:dyDescent="0.25">
      <c r="A148" s="36"/>
      <c r="B148" t="s">
        <v>119</v>
      </c>
      <c r="C148" s="36" t="str">
        <f>'Status Thresholds'!B139</f>
        <v>Brachydios</v>
      </c>
      <c r="E148" s="36" t="str">
        <f t="shared" si="7"/>
        <v>Brachydios</v>
      </c>
      <c r="F148" s="36" t="str">
        <f>IFERROR(VLOOKUP($E148,'Status Thresholds'!$E:$AS,1,FALSE),"")</f>
        <v/>
      </c>
      <c r="G148" t="s">
        <v>11</v>
      </c>
      <c r="H148" s="55" t="str">
        <f t="shared" si="8"/>
        <v>BrachydiosCrag 1</v>
      </c>
      <c r="I148" s="50">
        <v>2</v>
      </c>
      <c r="J148" s="36">
        <v>0</v>
      </c>
      <c r="K148" s="36">
        <v>2</v>
      </c>
      <c r="L148" s="36">
        <v>8</v>
      </c>
      <c r="M148" s="36">
        <v>0</v>
      </c>
      <c r="N148" s="50">
        <v>0</v>
      </c>
      <c r="O148" s="36">
        <v>0</v>
      </c>
      <c r="P148" s="36">
        <v>0</v>
      </c>
      <c r="Q148" s="36">
        <v>0</v>
      </c>
      <c r="R148" s="36">
        <v>0</v>
      </c>
      <c r="S148" s="50">
        <v>1</v>
      </c>
      <c r="T148" s="36">
        <v>1</v>
      </c>
      <c r="U148" s="36">
        <v>5</v>
      </c>
      <c r="V148" s="36">
        <v>7</v>
      </c>
      <c r="W148" s="36">
        <v>0</v>
      </c>
      <c r="X148" s="50">
        <v>0</v>
      </c>
      <c r="Y148" s="36">
        <v>0</v>
      </c>
      <c r="Z148" s="36">
        <v>0</v>
      </c>
      <c r="AA148" s="36">
        <v>0</v>
      </c>
      <c r="AB148" s="36">
        <v>0</v>
      </c>
      <c r="AC148" s="50">
        <v>2</v>
      </c>
      <c r="AD148" s="36">
        <v>2</v>
      </c>
      <c r="AE148" s="36">
        <v>2</v>
      </c>
      <c r="AF148" s="36">
        <v>2</v>
      </c>
      <c r="AG148" s="36">
        <v>0</v>
      </c>
      <c r="AH148" s="50">
        <v>0</v>
      </c>
      <c r="AI148" s="36">
        <v>0</v>
      </c>
      <c r="AJ148" s="36">
        <v>0</v>
      </c>
      <c r="AK148" s="36">
        <v>0</v>
      </c>
      <c r="AL148" s="36">
        <v>0</v>
      </c>
      <c r="AM148" s="50">
        <v>0</v>
      </c>
      <c r="AN148" s="36">
        <v>0</v>
      </c>
      <c r="AO148" s="36">
        <v>0</v>
      </c>
      <c r="AP148" s="36">
        <v>0</v>
      </c>
      <c r="AQ148" s="36">
        <v>0</v>
      </c>
      <c r="AR148" s="50">
        <v>0</v>
      </c>
      <c r="AS148" s="36">
        <v>0</v>
      </c>
      <c r="AT148" s="36">
        <v>0</v>
      </c>
      <c r="AU148" s="36">
        <v>0</v>
      </c>
      <c r="AV148" s="36">
        <v>1</v>
      </c>
      <c r="AW148">
        <v>0</v>
      </c>
      <c r="AX148">
        <v>0</v>
      </c>
    </row>
    <row r="149" spans="1:50" x14ac:dyDescent="0.25">
      <c r="A149" s="36"/>
      <c r="B149" t="s">
        <v>121</v>
      </c>
      <c r="C149" s="36" t="str">
        <f>'Status Thresholds'!B140</f>
        <v>Brachydios (Raging)</v>
      </c>
      <c r="D149" t="s">
        <v>14</v>
      </c>
      <c r="E149" s="36" t="str">
        <f t="shared" si="7"/>
        <v>Brachydios (Raging)KO</v>
      </c>
      <c r="F149" s="36" t="str">
        <f>IFERROR(VLOOKUP($E149,'Status Thresholds'!$E:$AS,1,FALSE),"")</f>
        <v>Brachydios (Raging)KO</v>
      </c>
      <c r="H149" s="55" t="str">
        <f t="shared" si="8"/>
        <v>Brachydios (Raging)KO</v>
      </c>
      <c r="I149" s="50">
        <f>VLOOKUP($F149,'Status Thresholds'!$E:$AS,2,FALSE)</f>
        <v>0</v>
      </c>
      <c r="J149" s="36">
        <f>VLOOKUP($F149,'Status Thresholds'!$E:$AS,3,FALSE)</f>
        <v>0</v>
      </c>
      <c r="K149" s="36">
        <f>VLOOKUP($F149,'Status Thresholds'!$E:$AS,4,FALSE)</f>
        <v>0</v>
      </c>
      <c r="L149" s="36">
        <f>VLOOKUP($F149,'Status Thresholds'!$E:$AS,5,FALSE)</f>
        <v>0</v>
      </c>
      <c r="M149" s="36">
        <f>VLOOKUP($F149,'Status Thresholds'!$E:$AS,6,FALSE)</f>
        <v>0</v>
      </c>
      <c r="N149" s="50">
        <f>VLOOKUP($F149,'Status Thresholds'!$E:$AS,7,FALSE)</f>
        <v>0</v>
      </c>
      <c r="O149" s="36">
        <f>VLOOKUP($F149,'Status Thresholds'!$E:$AS,8,FALSE)</f>
        <v>0</v>
      </c>
      <c r="P149" s="36">
        <f>VLOOKUP($F149,'Status Thresholds'!$E:$AS,9,FALSE)</f>
        <v>0</v>
      </c>
      <c r="Q149" s="36">
        <f>VLOOKUP($F149,'Status Thresholds'!$E:$AS,10,FALSE)</f>
        <v>0</v>
      </c>
      <c r="R149" s="36">
        <f>VLOOKUP($F149,'Status Thresholds'!$E:$AS,11,FALSE)</f>
        <v>0</v>
      </c>
      <c r="S149" s="50">
        <f>VLOOKUP($F149,'Status Thresholds'!$E:$AS,12,FALSE)</f>
        <v>0</v>
      </c>
      <c r="T149" s="36">
        <f>VLOOKUP($F149,'Status Thresholds'!$E:$AS,13,FALSE)</f>
        <v>0</v>
      </c>
      <c r="U149" s="36">
        <f>VLOOKUP($F149,'Status Thresholds'!$E:$AS,14,FALSE)</f>
        <v>0</v>
      </c>
      <c r="V149" s="36">
        <f>VLOOKUP($F149,'Status Thresholds'!$E:$AS,15,FALSE)</f>
        <v>0</v>
      </c>
      <c r="W149" s="36">
        <f>VLOOKUP($F149,'Status Thresholds'!$E:$AS,16,FALSE)</f>
        <v>0</v>
      </c>
      <c r="X149" s="50">
        <f>VLOOKUP($F149,'Status Thresholds'!$E:$AS,17,FALSE)</f>
        <v>0</v>
      </c>
      <c r="Y149" s="36">
        <f>VLOOKUP($F149,'Status Thresholds'!$E:$AS,18,FALSE)</f>
        <v>0</v>
      </c>
      <c r="Z149" s="36">
        <f>VLOOKUP($F149,'Status Thresholds'!$E:$AS,19,FALSE)</f>
        <v>0</v>
      </c>
      <c r="AA149" s="36">
        <f>VLOOKUP($F149,'Status Thresholds'!$E:$AS,20,FALSE)</f>
        <v>0</v>
      </c>
      <c r="AB149" s="36">
        <f>VLOOKUP($F149,'Status Thresholds'!$E:$AS,21,FALSE)</f>
        <v>0</v>
      </c>
      <c r="AC149" s="50">
        <f>VLOOKUP($F149,'Status Thresholds'!$E:$AS,22,FALSE)</f>
        <v>180</v>
      </c>
      <c r="AD149" s="36">
        <f>VLOOKUP($F149,'Status Thresholds'!$E:$AS,23,FALSE)</f>
        <v>380</v>
      </c>
      <c r="AE149" s="36">
        <f>VLOOKUP($F149,'Status Thresholds'!$E:$AS,24,FALSE)</f>
        <v>580</v>
      </c>
      <c r="AF149" s="36">
        <f>VLOOKUP($F149,'Status Thresholds'!$E:$AS,25,FALSE)</f>
        <v>780</v>
      </c>
      <c r="AG149" s="36">
        <f>VLOOKUP($F149,'Status Thresholds'!$E:$AS,26,FALSE)</f>
        <v>0</v>
      </c>
      <c r="AH149" s="50">
        <f>VLOOKUP($F149,'Status Thresholds'!$E:$AS,27,FALSE)</f>
        <v>0</v>
      </c>
      <c r="AI149" s="36">
        <f>VLOOKUP($F149,'Status Thresholds'!$E:$AS,28,FALSE)</f>
        <v>0</v>
      </c>
      <c r="AJ149" s="36">
        <f>VLOOKUP($F149,'Status Thresholds'!$E:$AS,29,FALSE)</f>
        <v>0</v>
      </c>
      <c r="AK149" s="36">
        <f>VLOOKUP($F149,'Status Thresholds'!$E:$AS,30,FALSE)</f>
        <v>0</v>
      </c>
      <c r="AL149" s="36">
        <f>VLOOKUP($F149,'Status Thresholds'!$E:$AS,31,FALSE)</f>
        <v>0</v>
      </c>
      <c r="AM149" s="50">
        <f>VLOOKUP($F149,'Status Thresholds'!$E:$AS,32,FALSE)</f>
        <v>0</v>
      </c>
      <c r="AN149" s="36">
        <f>VLOOKUP($F149,'Status Thresholds'!$E:$AS,33,FALSE)</f>
        <v>0</v>
      </c>
      <c r="AO149" s="36">
        <f>VLOOKUP($F149,'Status Thresholds'!$E:$AS,34,FALSE)</f>
        <v>0</v>
      </c>
      <c r="AP149" s="36">
        <f>VLOOKUP($F149,'Status Thresholds'!$E:$AS,35,FALSE)</f>
        <v>0</v>
      </c>
      <c r="AQ149" s="36">
        <f>VLOOKUP($F149,'Status Thresholds'!$E:$AS,36,FALSE)</f>
        <v>0</v>
      </c>
      <c r="AR149" s="50">
        <f>VLOOKUP($F149,'Status Thresholds'!$E:$AS,37,FALSE)</f>
        <v>0</v>
      </c>
      <c r="AS149" s="36">
        <f>VLOOKUP($F149,'Status Thresholds'!$E:$AS,38,FALSE)</f>
        <v>0</v>
      </c>
      <c r="AT149" s="36">
        <f>VLOOKUP($F149,'Status Thresholds'!$E:$AS,39,FALSE)</f>
        <v>0</v>
      </c>
      <c r="AU149" s="36">
        <f>VLOOKUP($F149,'Status Thresholds'!$E:$AS,40,FALSE)</f>
        <v>0</v>
      </c>
      <c r="AV149" s="36">
        <f>VLOOKUP($F149,'Status Thresholds'!$E:$AS,41,FALSE)</f>
        <v>10</v>
      </c>
      <c r="AW149">
        <v>0</v>
      </c>
      <c r="AX149">
        <v>0</v>
      </c>
    </row>
    <row r="150" spans="1:50" x14ac:dyDescent="0.25">
      <c r="A150" s="36"/>
      <c r="B150" t="s">
        <v>120</v>
      </c>
      <c r="C150" s="36" t="str">
        <f>'Status Thresholds'!B141</f>
        <v>Brachydios (Raging)</v>
      </c>
      <c r="E150" s="36" t="str">
        <f t="shared" si="7"/>
        <v>Brachydios (Raging)</v>
      </c>
      <c r="F150" s="36" t="str">
        <f>IFERROR(VLOOKUP($E150,'Status Thresholds'!$E:$AS,1,FALSE),"")</f>
        <v/>
      </c>
      <c r="G150" t="s">
        <v>21</v>
      </c>
      <c r="H150" s="55" t="str">
        <f t="shared" si="8"/>
        <v>Brachydios (Raging)Triblast</v>
      </c>
      <c r="I150" s="50">
        <v>0</v>
      </c>
      <c r="J150" s="36">
        <v>0</v>
      </c>
      <c r="K150" s="36">
        <v>0</v>
      </c>
      <c r="L150" s="36">
        <v>0</v>
      </c>
      <c r="M150" s="36">
        <v>0</v>
      </c>
      <c r="N150" s="50">
        <v>0</v>
      </c>
      <c r="O150" s="36">
        <v>0</v>
      </c>
      <c r="P150" s="36">
        <v>0</v>
      </c>
      <c r="Q150" s="36">
        <v>0</v>
      </c>
      <c r="R150" s="36">
        <v>0</v>
      </c>
      <c r="S150" s="50">
        <v>0</v>
      </c>
      <c r="T150" s="36">
        <v>0</v>
      </c>
      <c r="U150" s="36">
        <v>0</v>
      </c>
      <c r="V150" s="36">
        <v>0</v>
      </c>
      <c r="W150" s="36">
        <v>0</v>
      </c>
      <c r="X150" s="50">
        <v>0</v>
      </c>
      <c r="Y150" s="36">
        <v>0</v>
      </c>
      <c r="Z150" s="36">
        <v>0</v>
      </c>
      <c r="AA150" s="36">
        <v>0</v>
      </c>
      <c r="AB150" s="36">
        <v>0</v>
      </c>
      <c r="AC150" s="50">
        <v>2</v>
      </c>
      <c r="AD150" s="36">
        <v>2</v>
      </c>
      <c r="AE150" s="36">
        <v>2</v>
      </c>
      <c r="AF150" s="36">
        <v>2</v>
      </c>
      <c r="AG150" s="36">
        <v>0</v>
      </c>
      <c r="AH150" s="50">
        <v>0</v>
      </c>
      <c r="AI150" s="36">
        <v>0</v>
      </c>
      <c r="AJ150" s="36">
        <v>0</v>
      </c>
      <c r="AK150" s="36">
        <v>0</v>
      </c>
      <c r="AL150" s="36">
        <v>0</v>
      </c>
      <c r="AM150" s="50">
        <v>0</v>
      </c>
      <c r="AN150" s="36">
        <v>0</v>
      </c>
      <c r="AO150" s="36">
        <v>0</v>
      </c>
      <c r="AP150" s="36">
        <v>0</v>
      </c>
      <c r="AQ150" s="36">
        <v>0</v>
      </c>
      <c r="AR150" s="50">
        <v>0</v>
      </c>
      <c r="AS150" s="36">
        <v>0</v>
      </c>
      <c r="AT150" s="36">
        <v>0</v>
      </c>
      <c r="AU150" s="36">
        <v>0</v>
      </c>
      <c r="AV150" s="36">
        <v>0</v>
      </c>
      <c r="AW150">
        <v>0</v>
      </c>
    </row>
    <row r="151" spans="1:50" x14ac:dyDescent="0.25">
      <c r="A151" s="36"/>
      <c r="B151" t="s">
        <v>120</v>
      </c>
      <c r="C151" s="36" t="str">
        <f>'Status Thresholds'!B142</f>
        <v>Brachydios (Raging)</v>
      </c>
      <c r="E151" s="36" t="str">
        <f t="shared" si="7"/>
        <v>Brachydios (Raging)</v>
      </c>
      <c r="F151" s="36" t="str">
        <f>IFERROR(VLOOKUP($E151,'Status Thresholds'!$E:$AS,1,FALSE),"")</f>
        <v/>
      </c>
      <c r="G151" t="s">
        <v>13</v>
      </c>
      <c r="H151" s="55" t="str">
        <f t="shared" si="8"/>
        <v>Brachydios (Raging)Crag 3</v>
      </c>
      <c r="I151" s="50">
        <v>0</v>
      </c>
      <c r="J151" s="36">
        <v>0</v>
      </c>
      <c r="K151" s="36">
        <v>0</v>
      </c>
      <c r="L151" s="36">
        <v>0</v>
      </c>
      <c r="M151" s="36">
        <v>0</v>
      </c>
      <c r="N151" s="50">
        <v>0</v>
      </c>
      <c r="O151" s="36">
        <v>0</v>
      </c>
      <c r="P151" s="36">
        <v>0</v>
      </c>
      <c r="Q151" s="36">
        <v>0</v>
      </c>
      <c r="R151" s="36">
        <v>0</v>
      </c>
      <c r="S151" s="50">
        <v>0</v>
      </c>
      <c r="T151" s="36">
        <v>0</v>
      </c>
      <c r="U151" s="36">
        <v>0</v>
      </c>
      <c r="V151" s="36">
        <v>0</v>
      </c>
      <c r="W151" s="36">
        <v>0</v>
      </c>
      <c r="X151" s="50">
        <v>0</v>
      </c>
      <c r="Y151" s="36">
        <v>0</v>
      </c>
      <c r="Z151" s="36">
        <v>0</v>
      </c>
      <c r="AA151" s="36">
        <v>0</v>
      </c>
      <c r="AB151" s="36">
        <v>0</v>
      </c>
      <c r="AC151" s="50">
        <v>0</v>
      </c>
      <c r="AD151" s="36">
        <v>2</v>
      </c>
      <c r="AE151" s="36">
        <v>4</v>
      </c>
      <c r="AF151" s="36">
        <v>4</v>
      </c>
      <c r="AG151" s="36">
        <v>0</v>
      </c>
      <c r="AH151" s="50">
        <v>0</v>
      </c>
      <c r="AI151" s="36">
        <v>0</v>
      </c>
      <c r="AJ151" s="36">
        <v>0</v>
      </c>
      <c r="AK151" s="36">
        <v>0</v>
      </c>
      <c r="AL151" s="36">
        <v>0</v>
      </c>
      <c r="AM151" s="50">
        <v>0</v>
      </c>
      <c r="AN151" s="36">
        <v>0</v>
      </c>
      <c r="AO151" s="36">
        <v>0</v>
      </c>
      <c r="AP151" s="36">
        <v>0</v>
      </c>
      <c r="AQ151" s="36">
        <v>0</v>
      </c>
      <c r="AR151" s="50">
        <v>0</v>
      </c>
      <c r="AS151" s="36">
        <v>0</v>
      </c>
      <c r="AT151" s="36">
        <v>0</v>
      </c>
      <c r="AU151" s="36">
        <v>0</v>
      </c>
      <c r="AV151" s="36">
        <v>0</v>
      </c>
      <c r="AW151">
        <v>0</v>
      </c>
      <c r="AX151">
        <v>0</v>
      </c>
    </row>
    <row r="152" spans="1:50" x14ac:dyDescent="0.25">
      <c r="A152" s="36"/>
      <c r="B152" t="s">
        <v>120</v>
      </c>
      <c r="C152" s="36" t="str">
        <f>'Status Thresholds'!B143</f>
        <v>Brachydios (Raging)</v>
      </c>
      <c r="E152" s="36" t="str">
        <f t="shared" si="7"/>
        <v>Brachydios (Raging)</v>
      </c>
      <c r="F152" s="36" t="str">
        <f>IFERROR(VLOOKUP($E152,'Status Thresholds'!$E:$AS,1,FALSE),"")</f>
        <v/>
      </c>
      <c r="G152" t="s">
        <v>12</v>
      </c>
      <c r="H152" s="55" t="str">
        <f t="shared" si="8"/>
        <v>Brachydios (Raging)Crag 2</v>
      </c>
      <c r="I152" s="50">
        <v>0</v>
      </c>
      <c r="J152" s="36">
        <v>0</v>
      </c>
      <c r="K152" s="36">
        <v>0</v>
      </c>
      <c r="L152" s="36">
        <v>0</v>
      </c>
      <c r="M152" s="36">
        <v>0</v>
      </c>
      <c r="N152" s="50">
        <v>0</v>
      </c>
      <c r="O152" s="36">
        <v>0</v>
      </c>
      <c r="P152" s="36">
        <v>0</v>
      </c>
      <c r="Q152" s="36">
        <v>0</v>
      </c>
      <c r="R152" s="36">
        <v>0</v>
      </c>
      <c r="S152" s="50">
        <v>0</v>
      </c>
      <c r="T152" s="36">
        <v>0</v>
      </c>
      <c r="U152" s="36">
        <v>0</v>
      </c>
      <c r="V152" s="36">
        <v>0</v>
      </c>
      <c r="W152" s="36">
        <v>0</v>
      </c>
      <c r="X152" s="50">
        <v>0</v>
      </c>
      <c r="Y152" s="36">
        <v>0</v>
      </c>
      <c r="Z152" s="36">
        <v>0</v>
      </c>
      <c r="AA152" s="36">
        <v>0</v>
      </c>
      <c r="AB152" s="36">
        <v>0</v>
      </c>
      <c r="AC152" s="50">
        <v>1</v>
      </c>
      <c r="AD152" s="36">
        <v>0</v>
      </c>
      <c r="AE152" s="36">
        <v>4</v>
      </c>
      <c r="AF152" s="36">
        <v>4</v>
      </c>
      <c r="AG152" s="36">
        <v>0</v>
      </c>
      <c r="AH152" s="50">
        <v>0</v>
      </c>
      <c r="AI152" s="36">
        <v>0</v>
      </c>
      <c r="AJ152" s="36">
        <v>0</v>
      </c>
      <c r="AK152" s="36">
        <v>0</v>
      </c>
      <c r="AL152" s="36">
        <v>0</v>
      </c>
      <c r="AM152" s="50">
        <v>0</v>
      </c>
      <c r="AN152" s="36">
        <v>0</v>
      </c>
      <c r="AO152" s="36">
        <v>0</v>
      </c>
      <c r="AP152" s="36">
        <v>0</v>
      </c>
      <c r="AQ152" s="36">
        <v>0</v>
      </c>
      <c r="AR152" s="50">
        <v>0</v>
      </c>
      <c r="AS152" s="36">
        <v>0</v>
      </c>
      <c r="AT152" s="36">
        <v>0</v>
      </c>
      <c r="AU152" s="36">
        <v>0</v>
      </c>
      <c r="AV152" s="36">
        <v>0</v>
      </c>
      <c r="AW152">
        <v>0</v>
      </c>
      <c r="AX152">
        <v>0</v>
      </c>
    </row>
    <row r="153" spans="1:50" x14ac:dyDescent="0.25">
      <c r="A153" s="36"/>
      <c r="B153" t="s">
        <v>120</v>
      </c>
      <c r="C153" s="36" t="str">
        <f>'Status Thresholds'!B144</f>
        <v>Brachydios (Raging)</v>
      </c>
      <c r="E153" s="36" t="str">
        <f t="shared" si="7"/>
        <v>Brachydios (Raging)</v>
      </c>
      <c r="F153" s="36" t="str">
        <f>IFERROR(VLOOKUP($E153,'Status Thresholds'!$E:$AS,1,FALSE),"")</f>
        <v/>
      </c>
      <c r="G153" t="s">
        <v>11</v>
      </c>
      <c r="H153" s="55" t="str">
        <f t="shared" si="8"/>
        <v>Brachydios (Raging)Crag 1</v>
      </c>
      <c r="I153" s="50">
        <v>0</v>
      </c>
      <c r="J153" s="36">
        <v>0</v>
      </c>
      <c r="K153" s="36">
        <v>0</v>
      </c>
      <c r="L153" s="36">
        <v>0</v>
      </c>
      <c r="M153" s="36">
        <v>0</v>
      </c>
      <c r="N153" s="50">
        <v>0</v>
      </c>
      <c r="O153" s="36">
        <v>0</v>
      </c>
      <c r="P153" s="36">
        <v>0</v>
      </c>
      <c r="Q153" s="36">
        <v>0</v>
      </c>
      <c r="R153" s="36">
        <v>0</v>
      </c>
      <c r="S153" s="50">
        <v>0</v>
      </c>
      <c r="T153" s="36">
        <v>0</v>
      </c>
      <c r="U153" s="36">
        <v>0</v>
      </c>
      <c r="V153" s="36">
        <v>0</v>
      </c>
      <c r="W153" s="36">
        <v>0</v>
      </c>
      <c r="X153" s="50">
        <v>0</v>
      </c>
      <c r="Y153" s="36">
        <v>0</v>
      </c>
      <c r="Z153" s="36">
        <v>0</v>
      </c>
      <c r="AA153" s="36">
        <v>0</v>
      </c>
      <c r="AB153" s="36">
        <v>0</v>
      </c>
      <c r="AC153" s="50">
        <v>0</v>
      </c>
      <c r="AD153" s="36">
        <v>6</v>
      </c>
      <c r="AE153" s="36">
        <v>6</v>
      </c>
      <c r="AF153" s="36">
        <v>8</v>
      </c>
      <c r="AG153" s="36">
        <v>0</v>
      </c>
      <c r="AH153" s="50">
        <v>0</v>
      </c>
      <c r="AI153" s="36">
        <v>0</v>
      </c>
      <c r="AJ153" s="36">
        <v>0</v>
      </c>
      <c r="AK153" s="36">
        <v>0</v>
      </c>
      <c r="AL153" s="36">
        <v>0</v>
      </c>
      <c r="AM153" s="50">
        <v>0</v>
      </c>
      <c r="AN153" s="36">
        <v>0</v>
      </c>
      <c r="AO153" s="36">
        <v>0</v>
      </c>
      <c r="AP153" s="36">
        <v>0</v>
      </c>
      <c r="AQ153" s="36">
        <v>0</v>
      </c>
      <c r="AR153" s="50">
        <v>0</v>
      </c>
      <c r="AS153" s="36">
        <v>0</v>
      </c>
      <c r="AT153" s="36">
        <v>0</v>
      </c>
      <c r="AU153" s="36">
        <v>0</v>
      </c>
      <c r="AV153" s="36">
        <v>1</v>
      </c>
      <c r="AW153">
        <v>0</v>
      </c>
      <c r="AX153">
        <v>0</v>
      </c>
    </row>
    <row r="154" spans="1:50" x14ac:dyDescent="0.25">
      <c r="A154" s="36"/>
      <c r="B154" t="s">
        <v>119</v>
      </c>
      <c r="C154" s="36" t="str">
        <f>'Status Thresholds'!B145</f>
        <v>Brachydios (Raging)</v>
      </c>
      <c r="E154" s="36" t="str">
        <f t="shared" si="7"/>
        <v>Brachydios (Raging)</v>
      </c>
      <c r="F154" s="36" t="str">
        <f>IFERROR(VLOOKUP($E154,'Status Thresholds'!$E:$AS,1,FALSE),"")</f>
        <v/>
      </c>
      <c r="G154" t="s">
        <v>21</v>
      </c>
      <c r="H154" s="55" t="str">
        <f t="shared" si="8"/>
        <v>Brachydios (Raging)Triblast</v>
      </c>
      <c r="I154" s="50">
        <v>0</v>
      </c>
      <c r="J154" s="36">
        <v>0</v>
      </c>
      <c r="K154" s="36">
        <v>0</v>
      </c>
      <c r="L154" s="36">
        <v>0</v>
      </c>
      <c r="M154" s="36">
        <v>0</v>
      </c>
      <c r="N154" s="50">
        <v>0</v>
      </c>
      <c r="O154" s="36">
        <v>0</v>
      </c>
      <c r="P154" s="36">
        <v>0</v>
      </c>
      <c r="Q154" s="36">
        <v>0</v>
      </c>
      <c r="R154" s="36">
        <v>0</v>
      </c>
      <c r="S154" s="50">
        <v>0</v>
      </c>
      <c r="T154" s="36">
        <v>0</v>
      </c>
      <c r="U154" s="36">
        <v>0</v>
      </c>
      <c r="V154" s="36">
        <v>0</v>
      </c>
      <c r="W154" s="36">
        <v>0</v>
      </c>
      <c r="X154" s="50">
        <v>0</v>
      </c>
      <c r="Y154" s="36">
        <v>0</v>
      </c>
      <c r="Z154" s="36">
        <v>0</v>
      </c>
      <c r="AA154" s="36">
        <v>0</v>
      </c>
      <c r="AB154" s="36">
        <v>0</v>
      </c>
      <c r="AC154" s="50">
        <v>1</v>
      </c>
      <c r="AD154" s="36">
        <v>1</v>
      </c>
      <c r="AE154" s="36">
        <v>2</v>
      </c>
      <c r="AF154" s="36">
        <v>2</v>
      </c>
      <c r="AG154" s="36">
        <v>0</v>
      </c>
      <c r="AH154" s="50">
        <v>0</v>
      </c>
      <c r="AI154" s="36">
        <v>0</v>
      </c>
      <c r="AJ154" s="36">
        <v>0</v>
      </c>
      <c r="AK154" s="36">
        <v>0</v>
      </c>
      <c r="AL154" s="36">
        <v>0</v>
      </c>
      <c r="AM154" s="50">
        <v>0</v>
      </c>
      <c r="AN154" s="36">
        <v>0</v>
      </c>
      <c r="AO154" s="36">
        <v>0</v>
      </c>
      <c r="AP154" s="36">
        <v>0</v>
      </c>
      <c r="AQ154" s="36">
        <v>0</v>
      </c>
      <c r="AR154" s="50">
        <v>0</v>
      </c>
      <c r="AS154" s="36">
        <v>0</v>
      </c>
      <c r="AT154" s="36">
        <v>0</v>
      </c>
      <c r="AU154" s="36">
        <v>0</v>
      </c>
      <c r="AV154" s="36">
        <v>0</v>
      </c>
      <c r="AW154">
        <v>0</v>
      </c>
      <c r="AX154">
        <v>0</v>
      </c>
    </row>
    <row r="155" spans="1:50" x14ac:dyDescent="0.25">
      <c r="A155" s="36"/>
      <c r="B155" t="s">
        <v>119</v>
      </c>
      <c r="C155" s="36" t="str">
        <f>'Status Thresholds'!B146</f>
        <v>Brachydios (Raging)</v>
      </c>
      <c r="E155" s="36" t="str">
        <f t="shared" si="7"/>
        <v>Brachydios (Raging)</v>
      </c>
      <c r="F155" s="36" t="str">
        <f>IFERROR(VLOOKUP($E155,'Status Thresholds'!$E:$AS,1,FALSE),"")</f>
        <v/>
      </c>
      <c r="G155" t="s">
        <v>13</v>
      </c>
      <c r="H155" s="55" t="str">
        <f t="shared" si="8"/>
        <v>Brachydios (Raging)Crag 3</v>
      </c>
      <c r="I155" s="50">
        <v>0</v>
      </c>
      <c r="J155" s="36">
        <v>0</v>
      </c>
      <c r="K155" s="36">
        <v>0</v>
      </c>
      <c r="L155" s="36">
        <v>0</v>
      </c>
      <c r="M155" s="36">
        <v>0</v>
      </c>
      <c r="N155" s="50">
        <v>0</v>
      </c>
      <c r="O155" s="36">
        <v>0</v>
      </c>
      <c r="P155" s="36">
        <v>0</v>
      </c>
      <c r="Q155" s="36">
        <v>0</v>
      </c>
      <c r="R155" s="36">
        <v>0</v>
      </c>
      <c r="S155" s="50">
        <v>0</v>
      </c>
      <c r="T155" s="36">
        <v>0</v>
      </c>
      <c r="U155" s="36">
        <v>0</v>
      </c>
      <c r="V155" s="36">
        <v>0</v>
      </c>
      <c r="W155" s="36">
        <v>0</v>
      </c>
      <c r="X155" s="50">
        <v>0</v>
      </c>
      <c r="Y155" s="36">
        <v>0</v>
      </c>
      <c r="Z155" s="36">
        <v>0</v>
      </c>
      <c r="AA155" s="36">
        <v>0</v>
      </c>
      <c r="AB155" s="36">
        <v>0</v>
      </c>
      <c r="AC155" s="50">
        <v>0</v>
      </c>
      <c r="AD155" s="36">
        <v>1</v>
      </c>
      <c r="AE155" s="36">
        <v>3</v>
      </c>
      <c r="AF155" s="36">
        <v>4</v>
      </c>
      <c r="AG155" s="36">
        <v>0</v>
      </c>
      <c r="AH155" s="50">
        <v>0</v>
      </c>
      <c r="AI155" s="36">
        <v>0</v>
      </c>
      <c r="AJ155" s="36">
        <v>0</v>
      </c>
      <c r="AK155" s="36">
        <v>0</v>
      </c>
      <c r="AL155" s="36">
        <v>0</v>
      </c>
      <c r="AM155" s="50">
        <v>0</v>
      </c>
      <c r="AN155" s="36">
        <v>0</v>
      </c>
      <c r="AO155" s="36">
        <v>0</v>
      </c>
      <c r="AP155" s="36">
        <v>0</v>
      </c>
      <c r="AQ155" s="36">
        <v>0</v>
      </c>
      <c r="AR155" s="50">
        <v>0</v>
      </c>
      <c r="AS155" s="36">
        <v>0</v>
      </c>
      <c r="AT155" s="36">
        <v>0</v>
      </c>
      <c r="AU155" s="36">
        <v>0</v>
      </c>
      <c r="AV155" s="36">
        <v>0</v>
      </c>
      <c r="AW155">
        <v>0</v>
      </c>
      <c r="AX155">
        <v>0</v>
      </c>
    </row>
    <row r="156" spans="1:50" x14ac:dyDescent="0.25">
      <c r="A156" s="36"/>
      <c r="B156" t="s">
        <v>119</v>
      </c>
      <c r="C156" s="36" t="str">
        <f>'Status Thresholds'!B147</f>
        <v>Brachydios (Raging)</v>
      </c>
      <c r="E156" s="36" t="str">
        <f t="shared" si="7"/>
        <v>Brachydios (Raging)</v>
      </c>
      <c r="F156" s="36" t="str">
        <f>IFERROR(VLOOKUP($E156,'Status Thresholds'!$E:$AS,1,FALSE),"")</f>
        <v/>
      </c>
      <c r="G156" t="s">
        <v>12</v>
      </c>
      <c r="H156" s="55" t="str">
        <f t="shared" si="8"/>
        <v>Brachydios (Raging)Crag 2</v>
      </c>
      <c r="I156" s="50">
        <v>0</v>
      </c>
      <c r="J156" s="36">
        <v>0</v>
      </c>
      <c r="K156" s="36">
        <v>0</v>
      </c>
      <c r="L156" s="36">
        <v>0</v>
      </c>
      <c r="M156" s="36">
        <v>0</v>
      </c>
      <c r="N156" s="50">
        <v>0</v>
      </c>
      <c r="O156" s="36">
        <v>0</v>
      </c>
      <c r="P156" s="36">
        <v>0</v>
      </c>
      <c r="Q156" s="36">
        <v>0</v>
      </c>
      <c r="R156" s="36">
        <v>0</v>
      </c>
      <c r="S156" s="50">
        <v>0</v>
      </c>
      <c r="T156" s="36">
        <v>0</v>
      </c>
      <c r="U156" s="36">
        <v>0</v>
      </c>
      <c r="V156" s="36">
        <v>0</v>
      </c>
      <c r="W156" s="36">
        <v>0</v>
      </c>
      <c r="X156" s="50">
        <v>0</v>
      </c>
      <c r="Y156" s="36">
        <v>0</v>
      </c>
      <c r="Z156" s="36">
        <v>0</v>
      </c>
      <c r="AA156" s="36">
        <v>0</v>
      </c>
      <c r="AB156" s="36">
        <v>0</v>
      </c>
      <c r="AC156" s="50">
        <v>3</v>
      </c>
      <c r="AD156" s="36">
        <v>2</v>
      </c>
      <c r="AE156" s="36">
        <v>3</v>
      </c>
      <c r="AF156" s="36">
        <v>4</v>
      </c>
      <c r="AG156" s="36">
        <v>0</v>
      </c>
      <c r="AH156" s="50">
        <v>0</v>
      </c>
      <c r="AI156" s="36">
        <v>0</v>
      </c>
      <c r="AJ156" s="36">
        <v>0</v>
      </c>
      <c r="AK156" s="36">
        <v>0</v>
      </c>
      <c r="AL156" s="36">
        <v>0</v>
      </c>
      <c r="AM156" s="50">
        <v>0</v>
      </c>
      <c r="AN156" s="36">
        <v>0</v>
      </c>
      <c r="AO156" s="36">
        <v>0</v>
      </c>
      <c r="AP156" s="36">
        <v>0</v>
      </c>
      <c r="AQ156" s="36">
        <v>0</v>
      </c>
      <c r="AR156" s="50">
        <v>0</v>
      </c>
      <c r="AS156" s="36">
        <v>0</v>
      </c>
      <c r="AT156" s="36">
        <v>0</v>
      </c>
      <c r="AU156" s="36">
        <v>0</v>
      </c>
      <c r="AV156" s="36">
        <v>0</v>
      </c>
      <c r="AW156">
        <v>0</v>
      </c>
      <c r="AX156">
        <v>0</v>
      </c>
    </row>
    <row r="157" spans="1:50" x14ac:dyDescent="0.25">
      <c r="A157" s="36"/>
      <c r="B157" t="s">
        <v>119</v>
      </c>
      <c r="C157" s="36" t="str">
        <f>'Status Thresholds'!B148</f>
        <v>Brachydios (Raging)</v>
      </c>
      <c r="E157" s="36" t="str">
        <f t="shared" si="7"/>
        <v>Brachydios (Raging)</v>
      </c>
      <c r="F157" s="36" t="str">
        <f>IFERROR(VLOOKUP($E157,'Status Thresholds'!$E:$AS,1,FALSE),"")</f>
        <v/>
      </c>
      <c r="G157" t="s">
        <v>11</v>
      </c>
      <c r="H157" s="55" t="str">
        <f t="shared" si="8"/>
        <v>Brachydios (Raging)Crag 1</v>
      </c>
      <c r="I157" s="50">
        <v>0</v>
      </c>
      <c r="J157" s="36">
        <v>0</v>
      </c>
      <c r="K157" s="36">
        <v>0</v>
      </c>
      <c r="L157" s="36">
        <v>0</v>
      </c>
      <c r="M157" s="36">
        <v>0</v>
      </c>
      <c r="N157" s="50">
        <v>0</v>
      </c>
      <c r="O157" s="36">
        <v>0</v>
      </c>
      <c r="P157" s="36">
        <v>0</v>
      </c>
      <c r="Q157" s="36">
        <v>0</v>
      </c>
      <c r="R157" s="36">
        <v>0</v>
      </c>
      <c r="S157" s="50">
        <v>0</v>
      </c>
      <c r="T157" s="36">
        <v>0</v>
      </c>
      <c r="U157" s="36">
        <v>0</v>
      </c>
      <c r="V157" s="36">
        <v>0</v>
      </c>
      <c r="W157" s="36">
        <v>0</v>
      </c>
      <c r="X157" s="50">
        <v>0</v>
      </c>
      <c r="Y157" s="36">
        <v>0</v>
      </c>
      <c r="Z157" s="36">
        <v>0</v>
      </c>
      <c r="AA157" s="36">
        <v>0</v>
      </c>
      <c r="AB157" s="36">
        <v>0</v>
      </c>
      <c r="AC157" s="50">
        <v>0</v>
      </c>
      <c r="AD157" s="36">
        <v>7</v>
      </c>
      <c r="AE157" s="36">
        <v>7</v>
      </c>
      <c r="AF157" s="36">
        <v>8</v>
      </c>
      <c r="AG157" s="36">
        <v>0</v>
      </c>
      <c r="AH157" s="50">
        <v>0</v>
      </c>
      <c r="AI157" s="36">
        <v>0</v>
      </c>
      <c r="AJ157" s="36">
        <v>0</v>
      </c>
      <c r="AK157" s="36">
        <v>0</v>
      </c>
      <c r="AL157" s="36">
        <v>0</v>
      </c>
      <c r="AM157" s="50">
        <v>0</v>
      </c>
      <c r="AN157" s="36">
        <v>0</v>
      </c>
      <c r="AO157" s="36">
        <v>0</v>
      </c>
      <c r="AP157" s="36">
        <v>0</v>
      </c>
      <c r="AQ157" s="36">
        <v>0</v>
      </c>
      <c r="AR157" s="50">
        <v>0</v>
      </c>
      <c r="AS157" s="36">
        <v>0</v>
      </c>
      <c r="AT157" s="36">
        <v>0</v>
      </c>
      <c r="AU157" s="36">
        <v>0</v>
      </c>
      <c r="AV157" s="36">
        <v>1</v>
      </c>
      <c r="AW157">
        <v>0</v>
      </c>
      <c r="AX157">
        <v>0</v>
      </c>
    </row>
    <row r="158" spans="1:50" x14ac:dyDescent="0.25">
      <c r="A158" s="36"/>
      <c r="B158" t="s">
        <v>121</v>
      </c>
      <c r="C158" s="36" t="str">
        <f>'Status Thresholds'!B149</f>
        <v>Bulldrome</v>
      </c>
      <c r="D158" t="s">
        <v>14</v>
      </c>
      <c r="E158" s="36" t="str">
        <f t="shared" si="7"/>
        <v>BulldromeKO</v>
      </c>
      <c r="F158" s="36" t="str">
        <f>IFERROR(VLOOKUP($E158,'Status Thresholds'!$E:$AS,1,FALSE),"")</f>
        <v>BulldromeKO</v>
      </c>
      <c r="H158" s="55" t="str">
        <f t="shared" si="8"/>
        <v>BulldromeKO</v>
      </c>
      <c r="I158" s="50">
        <f>VLOOKUP($F158,'Status Thresholds'!$E:$AS,2,FALSE)</f>
        <v>30</v>
      </c>
      <c r="J158" s="36">
        <f>VLOOKUP($F158,'Status Thresholds'!$E:$AS,3,FALSE)</f>
        <v>325</v>
      </c>
      <c r="K158" s="36">
        <f>VLOOKUP($F158,'Status Thresholds'!$E:$AS,4,FALSE)</f>
        <v>520</v>
      </c>
      <c r="L158" s="36">
        <f>VLOOKUP($F158,'Status Thresholds'!$E:$AS,5,FALSE)</f>
        <v>520</v>
      </c>
      <c r="M158" s="36">
        <f>VLOOKUP($F158,'Status Thresholds'!$E:$AS,6,FALSE)</f>
        <v>0</v>
      </c>
      <c r="N158" s="50">
        <f>VLOOKUP($F158,'Status Thresholds'!$E:$AS,7,FALSE)</f>
        <v>0</v>
      </c>
      <c r="O158" s="36">
        <f>VLOOKUP($F158,'Status Thresholds'!$E:$AS,8,FALSE)</f>
        <v>0</v>
      </c>
      <c r="P158" s="36">
        <f>VLOOKUP($F158,'Status Thresholds'!$E:$AS,9,FALSE)</f>
        <v>0</v>
      </c>
      <c r="Q158" s="36">
        <f>VLOOKUP($F158,'Status Thresholds'!$E:$AS,10,FALSE)</f>
        <v>0</v>
      </c>
      <c r="R158" s="36">
        <f>VLOOKUP($F158,'Status Thresholds'!$E:$AS,11,FALSE)</f>
        <v>0</v>
      </c>
      <c r="S158" s="50">
        <f>VLOOKUP($F158,'Status Thresholds'!$E:$AS,12,FALSE)</f>
        <v>0</v>
      </c>
      <c r="T158" s="36">
        <f>VLOOKUP($F158,'Status Thresholds'!$E:$AS,13,FALSE)</f>
        <v>0</v>
      </c>
      <c r="U158" s="36">
        <f>VLOOKUP($F158,'Status Thresholds'!$E:$AS,14,FALSE)</f>
        <v>0</v>
      </c>
      <c r="V158" s="36">
        <f>VLOOKUP($F158,'Status Thresholds'!$E:$AS,15,FALSE)</f>
        <v>0</v>
      </c>
      <c r="W158" s="36">
        <f>VLOOKUP($F158,'Status Thresholds'!$E:$AS,16,FALSE)</f>
        <v>0</v>
      </c>
      <c r="X158" s="50">
        <f>VLOOKUP($F158,'Status Thresholds'!$E:$AS,17,FALSE)</f>
        <v>0</v>
      </c>
      <c r="Y158" s="36">
        <f>VLOOKUP($F158,'Status Thresholds'!$E:$AS,18,FALSE)</f>
        <v>0</v>
      </c>
      <c r="Z158" s="36">
        <f>VLOOKUP($F158,'Status Thresholds'!$E:$AS,19,FALSE)</f>
        <v>0</v>
      </c>
      <c r="AA158" s="36">
        <f>VLOOKUP($F158,'Status Thresholds'!$E:$AS,20,FALSE)</f>
        <v>0</v>
      </c>
      <c r="AB158" s="36">
        <f>VLOOKUP($F158,'Status Thresholds'!$E:$AS,21,FALSE)</f>
        <v>0</v>
      </c>
      <c r="AC158" s="50">
        <f>VLOOKUP($F158,'Status Thresholds'!$E:$AS,22,FALSE)</f>
        <v>0</v>
      </c>
      <c r="AD158" s="36">
        <f>VLOOKUP($F158,'Status Thresholds'!$E:$AS,23,FALSE)</f>
        <v>0</v>
      </c>
      <c r="AE158" s="36">
        <f>VLOOKUP($F158,'Status Thresholds'!$E:$AS,24,FALSE)</f>
        <v>0</v>
      </c>
      <c r="AF158" s="36">
        <f>VLOOKUP($F158,'Status Thresholds'!$E:$AS,25,FALSE)</f>
        <v>0</v>
      </c>
      <c r="AG158" s="36">
        <f>VLOOKUP($F158,'Status Thresholds'!$E:$AS,26,FALSE)</f>
        <v>0</v>
      </c>
      <c r="AH158" s="50">
        <f>VLOOKUP($F158,'Status Thresholds'!$E:$AS,27,FALSE)</f>
        <v>140</v>
      </c>
      <c r="AI158" s="36">
        <f>VLOOKUP($F158,'Status Thresholds'!$E:$AS,28,FALSE)</f>
        <v>334</v>
      </c>
      <c r="AJ158" s="36">
        <f>VLOOKUP($F158,'Status Thresholds'!$E:$AS,29,FALSE)</f>
        <v>528</v>
      </c>
      <c r="AK158" s="36">
        <f>VLOOKUP($F158,'Status Thresholds'!$E:$AS,30,FALSE)</f>
        <v>722</v>
      </c>
      <c r="AL158" s="36">
        <f>VLOOKUP($F158,'Status Thresholds'!$E:$AS,31,FALSE)</f>
        <v>0</v>
      </c>
      <c r="AM158" s="50">
        <f>VLOOKUP($F158,'Status Thresholds'!$E:$AS,32,FALSE)</f>
        <v>0</v>
      </c>
      <c r="AN158" s="36">
        <f>VLOOKUP($F158,'Status Thresholds'!$E:$AS,33,FALSE)</f>
        <v>0</v>
      </c>
      <c r="AO158" s="36">
        <f>VLOOKUP($F158,'Status Thresholds'!$E:$AS,34,FALSE)</f>
        <v>0</v>
      </c>
      <c r="AP158" s="36">
        <f>VLOOKUP($F158,'Status Thresholds'!$E:$AS,35,FALSE)</f>
        <v>0</v>
      </c>
      <c r="AQ158" s="36">
        <f>VLOOKUP($F158,'Status Thresholds'!$E:$AS,36,FALSE)</f>
        <v>0</v>
      </c>
      <c r="AR158" s="50">
        <f>VLOOKUP($F158,'Status Thresholds'!$E:$AS,37,FALSE)</f>
        <v>0</v>
      </c>
      <c r="AS158" s="36">
        <f>VLOOKUP($F158,'Status Thresholds'!$E:$AS,38,FALSE)</f>
        <v>0</v>
      </c>
      <c r="AT158" s="36">
        <f>VLOOKUP($F158,'Status Thresholds'!$E:$AS,39,FALSE)</f>
        <v>0</v>
      </c>
      <c r="AU158" s="36">
        <f>VLOOKUP($F158,'Status Thresholds'!$E:$AS,40,FALSE)</f>
        <v>0</v>
      </c>
      <c r="AV158" s="36">
        <f>VLOOKUP($F158,'Status Thresholds'!$E:$AS,41,FALSE)</f>
        <v>10</v>
      </c>
      <c r="AW158">
        <v>0</v>
      </c>
      <c r="AX158">
        <v>0</v>
      </c>
    </row>
    <row r="159" spans="1:50" x14ac:dyDescent="0.25">
      <c r="A159" s="36"/>
      <c r="B159" t="s">
        <v>120</v>
      </c>
      <c r="C159" s="36" t="str">
        <f>'Status Thresholds'!B150</f>
        <v>Bulldrome</v>
      </c>
      <c r="E159" s="36" t="str">
        <f t="shared" si="7"/>
        <v>Bulldrome</v>
      </c>
      <c r="F159" s="36" t="str">
        <f>IFERROR(VLOOKUP($E159,'Status Thresholds'!$E:$AS,1,FALSE),"")</f>
        <v/>
      </c>
      <c r="G159" t="s">
        <v>21</v>
      </c>
      <c r="H159" s="55" t="str">
        <f t="shared" si="8"/>
        <v>BulldromeTriblast</v>
      </c>
      <c r="I159" s="50">
        <v>0</v>
      </c>
      <c r="J159" s="36">
        <v>2</v>
      </c>
      <c r="K159" s="36">
        <v>2</v>
      </c>
      <c r="L159" s="36">
        <v>2</v>
      </c>
      <c r="M159" s="36">
        <v>0</v>
      </c>
      <c r="N159" s="50">
        <v>0</v>
      </c>
      <c r="O159" s="36">
        <v>0</v>
      </c>
      <c r="P159" s="36">
        <v>0</v>
      </c>
      <c r="Q159" s="36">
        <v>0</v>
      </c>
      <c r="R159" s="36">
        <v>0</v>
      </c>
      <c r="S159" s="50">
        <v>0</v>
      </c>
      <c r="T159" s="36">
        <v>0</v>
      </c>
      <c r="U159" s="36">
        <v>0</v>
      </c>
      <c r="V159" s="36">
        <v>0</v>
      </c>
      <c r="W159" s="36">
        <v>0</v>
      </c>
      <c r="X159" s="50">
        <v>0</v>
      </c>
      <c r="Y159" s="36">
        <v>0</v>
      </c>
      <c r="Z159" s="36">
        <v>0</v>
      </c>
      <c r="AA159" s="36">
        <v>0</v>
      </c>
      <c r="AB159" s="36">
        <v>0</v>
      </c>
      <c r="AC159" s="50">
        <v>0</v>
      </c>
      <c r="AD159" s="36">
        <v>0</v>
      </c>
      <c r="AE159" s="36">
        <v>0</v>
      </c>
      <c r="AF159" s="36">
        <v>0</v>
      </c>
      <c r="AG159" s="36">
        <v>0</v>
      </c>
      <c r="AH159" s="50">
        <v>1</v>
      </c>
      <c r="AI159" s="36">
        <v>2</v>
      </c>
      <c r="AJ159" s="36">
        <v>2</v>
      </c>
      <c r="AK159" s="36">
        <v>2</v>
      </c>
      <c r="AL159" s="36">
        <v>0</v>
      </c>
      <c r="AM159" s="50">
        <v>0</v>
      </c>
      <c r="AN159" s="36">
        <v>0</v>
      </c>
      <c r="AO159" s="36">
        <v>0</v>
      </c>
      <c r="AP159" s="36">
        <v>0</v>
      </c>
      <c r="AQ159" s="36">
        <v>0</v>
      </c>
      <c r="AR159" s="50">
        <v>0</v>
      </c>
      <c r="AS159" s="36">
        <v>0</v>
      </c>
      <c r="AT159" s="36">
        <v>0</v>
      </c>
      <c r="AU159" s="36">
        <v>0</v>
      </c>
      <c r="AV159" s="36">
        <v>0</v>
      </c>
      <c r="AW159">
        <v>0</v>
      </c>
    </row>
    <row r="160" spans="1:50" x14ac:dyDescent="0.25">
      <c r="A160" s="36"/>
      <c r="B160" t="s">
        <v>120</v>
      </c>
      <c r="C160" s="36" t="str">
        <f>'Status Thresholds'!B151</f>
        <v>Bulldrome</v>
      </c>
      <c r="E160" s="36" t="str">
        <f t="shared" si="7"/>
        <v>Bulldrome</v>
      </c>
      <c r="F160" s="36" t="str">
        <f>IFERROR(VLOOKUP($E160,'Status Thresholds'!$E:$AS,1,FALSE),"")</f>
        <v/>
      </c>
      <c r="G160" t="s">
        <v>13</v>
      </c>
      <c r="H160" s="55" t="str">
        <f t="shared" si="8"/>
        <v>BulldromeCrag 3</v>
      </c>
      <c r="I160" s="50">
        <v>0</v>
      </c>
      <c r="J160" s="36">
        <v>0</v>
      </c>
      <c r="K160" s="36">
        <v>2</v>
      </c>
      <c r="L160" s="36">
        <v>2</v>
      </c>
      <c r="M160" s="36">
        <v>0</v>
      </c>
      <c r="N160" s="50">
        <v>0</v>
      </c>
      <c r="O160" s="36">
        <v>0</v>
      </c>
      <c r="P160" s="36">
        <v>0</v>
      </c>
      <c r="Q160" s="36">
        <v>0</v>
      </c>
      <c r="R160" s="36">
        <v>0</v>
      </c>
      <c r="S160" s="50">
        <v>0</v>
      </c>
      <c r="T160" s="36">
        <v>0</v>
      </c>
      <c r="U160" s="36">
        <v>0</v>
      </c>
      <c r="V160" s="36">
        <v>0</v>
      </c>
      <c r="W160" s="36">
        <v>0</v>
      </c>
      <c r="X160" s="50">
        <v>0</v>
      </c>
      <c r="Y160" s="36">
        <v>0</v>
      </c>
      <c r="Z160" s="36">
        <v>0</v>
      </c>
      <c r="AA160" s="36">
        <v>0</v>
      </c>
      <c r="AB160" s="36">
        <v>0</v>
      </c>
      <c r="AC160" s="50">
        <v>0</v>
      </c>
      <c r="AD160" s="36">
        <v>0</v>
      </c>
      <c r="AE160" s="36">
        <v>0</v>
      </c>
      <c r="AF160" s="36">
        <v>0</v>
      </c>
      <c r="AG160" s="36">
        <v>0</v>
      </c>
      <c r="AH160" s="50">
        <v>1</v>
      </c>
      <c r="AI160" s="36">
        <v>2</v>
      </c>
      <c r="AJ160" s="36">
        <v>4</v>
      </c>
      <c r="AK160" s="36">
        <v>4</v>
      </c>
      <c r="AL160" s="36">
        <v>0</v>
      </c>
      <c r="AM160" s="50">
        <v>0</v>
      </c>
      <c r="AN160" s="36">
        <v>0</v>
      </c>
      <c r="AO160" s="36">
        <v>0</v>
      </c>
      <c r="AP160" s="36">
        <v>0</v>
      </c>
      <c r="AQ160" s="36">
        <v>0</v>
      </c>
      <c r="AR160" s="50">
        <v>0</v>
      </c>
      <c r="AS160" s="36">
        <v>0</v>
      </c>
      <c r="AT160" s="36">
        <v>0</v>
      </c>
      <c r="AU160" s="36">
        <v>0</v>
      </c>
      <c r="AV160" s="36">
        <v>0</v>
      </c>
      <c r="AW160">
        <v>0</v>
      </c>
      <c r="AX160">
        <v>0</v>
      </c>
    </row>
    <row r="161" spans="1:50" x14ac:dyDescent="0.25">
      <c r="A161" s="36"/>
      <c r="B161" t="s">
        <v>120</v>
      </c>
      <c r="C161" s="36" t="str">
        <f>'Status Thresholds'!B152</f>
        <v>Bulldrome</v>
      </c>
      <c r="E161" s="36" t="str">
        <f t="shared" si="7"/>
        <v>Bulldrome</v>
      </c>
      <c r="F161" s="36" t="str">
        <f>IFERROR(VLOOKUP($E161,'Status Thresholds'!$E:$AS,1,FALSE),"")</f>
        <v/>
      </c>
      <c r="G161" t="s">
        <v>12</v>
      </c>
      <c r="H161" s="55" t="str">
        <f t="shared" si="8"/>
        <v>BulldromeCrag 2</v>
      </c>
      <c r="I161" s="50">
        <v>1</v>
      </c>
      <c r="J161" s="36">
        <v>0</v>
      </c>
      <c r="K161" s="36">
        <v>3</v>
      </c>
      <c r="L161" s="36">
        <v>3</v>
      </c>
      <c r="M161" s="36">
        <v>0</v>
      </c>
      <c r="N161" s="50">
        <v>0</v>
      </c>
      <c r="O161" s="36">
        <v>0</v>
      </c>
      <c r="P161" s="36">
        <v>0</v>
      </c>
      <c r="Q161" s="36">
        <v>0</v>
      </c>
      <c r="R161" s="36">
        <v>0</v>
      </c>
      <c r="S161" s="50">
        <v>0</v>
      </c>
      <c r="T161" s="36">
        <v>0</v>
      </c>
      <c r="U161" s="36">
        <v>0</v>
      </c>
      <c r="V161" s="36">
        <v>0</v>
      </c>
      <c r="W161" s="36">
        <v>0</v>
      </c>
      <c r="X161" s="50">
        <v>0</v>
      </c>
      <c r="Y161" s="36">
        <v>0</v>
      </c>
      <c r="Z161" s="36">
        <v>0</v>
      </c>
      <c r="AA161" s="36">
        <v>0</v>
      </c>
      <c r="AB161" s="36">
        <v>0</v>
      </c>
      <c r="AC161" s="50">
        <v>0</v>
      </c>
      <c r="AD161" s="36">
        <v>0</v>
      </c>
      <c r="AE161" s="36">
        <v>0</v>
      </c>
      <c r="AF161" s="36">
        <v>0</v>
      </c>
      <c r="AG161" s="36">
        <v>0</v>
      </c>
      <c r="AH161" s="50">
        <v>0</v>
      </c>
      <c r="AI161" s="36">
        <v>1</v>
      </c>
      <c r="AJ161" s="36">
        <v>4</v>
      </c>
      <c r="AK161" s="36">
        <v>4</v>
      </c>
      <c r="AL161" s="36">
        <v>0</v>
      </c>
      <c r="AM161" s="50">
        <v>0</v>
      </c>
      <c r="AN161" s="36">
        <v>0</v>
      </c>
      <c r="AO161" s="36">
        <v>0</v>
      </c>
      <c r="AP161" s="36">
        <v>0</v>
      </c>
      <c r="AQ161" s="36">
        <v>0</v>
      </c>
      <c r="AR161" s="50">
        <v>0</v>
      </c>
      <c r="AS161" s="36">
        <v>0</v>
      </c>
      <c r="AT161" s="36">
        <v>0</v>
      </c>
      <c r="AU161" s="36">
        <v>0</v>
      </c>
      <c r="AV161" s="36">
        <v>0</v>
      </c>
      <c r="AW161">
        <v>0</v>
      </c>
      <c r="AX161">
        <v>0</v>
      </c>
    </row>
    <row r="162" spans="1:50" x14ac:dyDescent="0.25">
      <c r="A162" s="36"/>
      <c r="B162" t="s">
        <v>120</v>
      </c>
      <c r="C162" s="36" t="str">
        <f>'Status Thresholds'!B153</f>
        <v>Bulldrome</v>
      </c>
      <c r="E162" s="36" t="str">
        <f t="shared" si="7"/>
        <v>Bulldrome</v>
      </c>
      <c r="F162" s="36" t="str">
        <f>IFERROR(VLOOKUP($E162,'Status Thresholds'!$E:$AS,1,FALSE),"")</f>
        <v/>
      </c>
      <c r="G162" t="s">
        <v>11</v>
      </c>
      <c r="H162" s="55" t="str">
        <f t="shared" si="8"/>
        <v>BulldromeCrag 1</v>
      </c>
      <c r="I162" s="50">
        <v>0</v>
      </c>
      <c r="J162" s="36">
        <v>7</v>
      </c>
      <c r="K162" s="36">
        <v>8</v>
      </c>
      <c r="L162" s="36">
        <v>8</v>
      </c>
      <c r="M162" s="36">
        <v>0</v>
      </c>
      <c r="N162" s="50">
        <v>0</v>
      </c>
      <c r="O162" s="36">
        <v>0</v>
      </c>
      <c r="P162" s="36">
        <v>0</v>
      </c>
      <c r="Q162" s="36">
        <v>0</v>
      </c>
      <c r="R162" s="36">
        <v>0</v>
      </c>
      <c r="S162" s="50">
        <v>0</v>
      </c>
      <c r="T162" s="36">
        <v>0</v>
      </c>
      <c r="U162" s="36">
        <v>0</v>
      </c>
      <c r="V162" s="36">
        <v>0</v>
      </c>
      <c r="W162" s="36">
        <v>0</v>
      </c>
      <c r="X162" s="50">
        <v>0</v>
      </c>
      <c r="Y162" s="36">
        <v>0</v>
      </c>
      <c r="Z162" s="36">
        <v>0</v>
      </c>
      <c r="AA162" s="36">
        <v>0</v>
      </c>
      <c r="AB162" s="36">
        <v>0</v>
      </c>
      <c r="AC162" s="50">
        <v>0</v>
      </c>
      <c r="AD162" s="36">
        <v>0</v>
      </c>
      <c r="AE162" s="36">
        <v>0</v>
      </c>
      <c r="AF162" s="36">
        <v>0</v>
      </c>
      <c r="AG162" s="36">
        <v>0</v>
      </c>
      <c r="AH162" s="50">
        <v>1</v>
      </c>
      <c r="AI162" s="36">
        <v>3</v>
      </c>
      <c r="AJ162" s="36">
        <v>4</v>
      </c>
      <c r="AK162" s="36">
        <v>8</v>
      </c>
      <c r="AL162" s="36">
        <v>0</v>
      </c>
      <c r="AM162" s="50">
        <v>0</v>
      </c>
      <c r="AN162" s="36">
        <v>0</v>
      </c>
      <c r="AO162" s="36">
        <v>0</v>
      </c>
      <c r="AP162" s="36">
        <v>0</v>
      </c>
      <c r="AQ162" s="36">
        <v>0</v>
      </c>
      <c r="AR162" s="50">
        <v>0</v>
      </c>
      <c r="AS162" s="36">
        <v>0</v>
      </c>
      <c r="AT162" s="36">
        <v>0</v>
      </c>
      <c r="AU162" s="36">
        <v>0</v>
      </c>
      <c r="AV162" s="36">
        <v>1</v>
      </c>
      <c r="AW162">
        <v>0</v>
      </c>
      <c r="AX162">
        <v>0</v>
      </c>
    </row>
    <row r="163" spans="1:50" x14ac:dyDescent="0.25">
      <c r="A163" s="36"/>
      <c r="B163" t="s">
        <v>119</v>
      </c>
      <c r="C163" s="36" t="str">
        <f>'Status Thresholds'!B154</f>
        <v>Bulldrome</v>
      </c>
      <c r="E163" s="36" t="str">
        <f t="shared" si="7"/>
        <v>Bulldrome</v>
      </c>
      <c r="F163" s="36" t="str">
        <f>IFERROR(VLOOKUP($E163,'Status Thresholds'!$E:$AS,1,FALSE),"")</f>
        <v/>
      </c>
      <c r="G163" t="s">
        <v>21</v>
      </c>
      <c r="H163" s="55" t="str">
        <f t="shared" si="8"/>
        <v>BulldromeTriblast</v>
      </c>
      <c r="I163" s="50">
        <v>0</v>
      </c>
      <c r="J163" s="36">
        <v>0</v>
      </c>
      <c r="K163" s="36">
        <v>2</v>
      </c>
      <c r="L163" s="36">
        <v>2</v>
      </c>
      <c r="M163" s="36">
        <v>0</v>
      </c>
      <c r="N163" s="50">
        <v>0</v>
      </c>
      <c r="O163" s="36">
        <v>0</v>
      </c>
      <c r="P163" s="36">
        <v>0</v>
      </c>
      <c r="Q163" s="36">
        <v>0</v>
      </c>
      <c r="R163" s="36">
        <v>0</v>
      </c>
      <c r="S163" s="50">
        <v>0</v>
      </c>
      <c r="T163" s="36">
        <v>0</v>
      </c>
      <c r="U163" s="36">
        <v>0</v>
      </c>
      <c r="V163" s="36">
        <v>0</v>
      </c>
      <c r="W163" s="36">
        <v>0</v>
      </c>
      <c r="X163" s="50">
        <v>0</v>
      </c>
      <c r="Y163" s="36">
        <v>0</v>
      </c>
      <c r="Z163" s="36">
        <v>0</v>
      </c>
      <c r="AA163" s="36">
        <v>0</v>
      </c>
      <c r="AB163" s="36">
        <v>0</v>
      </c>
      <c r="AC163" s="50">
        <v>0</v>
      </c>
      <c r="AD163" s="36">
        <v>0</v>
      </c>
      <c r="AE163" s="36">
        <v>0</v>
      </c>
      <c r="AF163" s="36">
        <v>0</v>
      </c>
      <c r="AG163" s="36">
        <v>0</v>
      </c>
      <c r="AH163" s="50">
        <v>0</v>
      </c>
      <c r="AI163" s="36">
        <v>0</v>
      </c>
      <c r="AJ163" s="36">
        <v>1</v>
      </c>
      <c r="AK163" s="36">
        <v>2</v>
      </c>
      <c r="AL163" s="36">
        <v>0</v>
      </c>
      <c r="AM163" s="50">
        <v>0</v>
      </c>
      <c r="AN163" s="36">
        <v>0</v>
      </c>
      <c r="AO163" s="36">
        <v>0</v>
      </c>
      <c r="AP163" s="36">
        <v>0</v>
      </c>
      <c r="AQ163" s="36">
        <v>0</v>
      </c>
      <c r="AR163" s="50">
        <v>0</v>
      </c>
      <c r="AS163" s="36">
        <v>0</v>
      </c>
      <c r="AT163" s="36">
        <v>0</v>
      </c>
      <c r="AU163" s="36">
        <v>0</v>
      </c>
      <c r="AV163" s="36">
        <v>0</v>
      </c>
      <c r="AW163">
        <v>0</v>
      </c>
      <c r="AX163">
        <v>0</v>
      </c>
    </row>
    <row r="164" spans="1:50" x14ac:dyDescent="0.25">
      <c r="A164" s="36"/>
      <c r="B164" t="s">
        <v>119</v>
      </c>
      <c r="C164" s="36" t="str">
        <f>'Status Thresholds'!B155</f>
        <v>Bulldrome</v>
      </c>
      <c r="E164" s="36" t="str">
        <f t="shared" si="7"/>
        <v>Bulldrome</v>
      </c>
      <c r="F164" s="36" t="str">
        <f>IFERROR(VLOOKUP($E164,'Status Thresholds'!$E:$AS,1,FALSE),"")</f>
        <v/>
      </c>
      <c r="G164" t="s">
        <v>13</v>
      </c>
      <c r="H164" s="55" t="str">
        <f t="shared" si="8"/>
        <v>BulldromeCrag 3</v>
      </c>
      <c r="I164" s="50">
        <v>0</v>
      </c>
      <c r="J164" s="36">
        <v>1</v>
      </c>
      <c r="K164" s="36">
        <v>1</v>
      </c>
      <c r="L164" s="36">
        <v>1</v>
      </c>
      <c r="M164" s="36">
        <v>0</v>
      </c>
      <c r="N164" s="50">
        <v>0</v>
      </c>
      <c r="O164" s="36">
        <v>0</v>
      </c>
      <c r="P164" s="36">
        <v>0</v>
      </c>
      <c r="Q164" s="36">
        <v>0</v>
      </c>
      <c r="R164" s="36">
        <v>0</v>
      </c>
      <c r="S164" s="50">
        <v>0</v>
      </c>
      <c r="T164" s="36">
        <v>0</v>
      </c>
      <c r="U164" s="36">
        <v>0</v>
      </c>
      <c r="V164" s="36">
        <v>0</v>
      </c>
      <c r="W164" s="36">
        <v>0</v>
      </c>
      <c r="X164" s="50">
        <v>0</v>
      </c>
      <c r="Y164" s="36">
        <v>0</v>
      </c>
      <c r="Z164" s="36">
        <v>0</v>
      </c>
      <c r="AA164" s="36">
        <v>0</v>
      </c>
      <c r="AB164" s="36">
        <v>0</v>
      </c>
      <c r="AC164" s="50">
        <v>0</v>
      </c>
      <c r="AD164" s="36">
        <v>0</v>
      </c>
      <c r="AE164" s="36">
        <v>0</v>
      </c>
      <c r="AF164" s="36">
        <v>0</v>
      </c>
      <c r="AG164" s="36">
        <v>0</v>
      </c>
      <c r="AH164" s="50">
        <v>0</v>
      </c>
      <c r="AI164" s="36">
        <v>4</v>
      </c>
      <c r="AJ164" s="36">
        <v>3</v>
      </c>
      <c r="AK164" s="36">
        <v>4</v>
      </c>
      <c r="AL164" s="36">
        <v>0</v>
      </c>
      <c r="AM164" s="50">
        <v>0</v>
      </c>
      <c r="AN164" s="36">
        <v>0</v>
      </c>
      <c r="AO164" s="36">
        <v>0</v>
      </c>
      <c r="AP164" s="36">
        <v>0</v>
      </c>
      <c r="AQ164" s="36">
        <v>0</v>
      </c>
      <c r="AR164" s="50">
        <v>0</v>
      </c>
      <c r="AS164" s="36">
        <v>0</v>
      </c>
      <c r="AT164" s="36">
        <v>0</v>
      </c>
      <c r="AU164" s="36">
        <v>0</v>
      </c>
      <c r="AV164" s="36">
        <v>0</v>
      </c>
      <c r="AW164">
        <v>0</v>
      </c>
      <c r="AX164">
        <v>0</v>
      </c>
    </row>
    <row r="165" spans="1:50" x14ac:dyDescent="0.25">
      <c r="A165" s="36"/>
      <c r="B165" t="s">
        <v>119</v>
      </c>
      <c r="C165" s="36" t="str">
        <f>'Status Thresholds'!B156</f>
        <v>Bulldrome</v>
      </c>
      <c r="E165" s="36" t="str">
        <f t="shared" si="7"/>
        <v>Bulldrome</v>
      </c>
      <c r="F165" s="36" t="str">
        <f>IFERROR(VLOOKUP($E165,'Status Thresholds'!$E:$AS,1,FALSE),"")</f>
        <v/>
      </c>
      <c r="G165" t="s">
        <v>12</v>
      </c>
      <c r="H165" s="55" t="str">
        <f t="shared" si="8"/>
        <v>BulldromeCrag 2</v>
      </c>
      <c r="I165" s="50">
        <v>1</v>
      </c>
      <c r="J165" s="36">
        <v>2</v>
      </c>
      <c r="K165" s="36">
        <v>3</v>
      </c>
      <c r="L165" s="36">
        <v>3</v>
      </c>
      <c r="M165" s="36">
        <v>0</v>
      </c>
      <c r="N165" s="50">
        <v>0</v>
      </c>
      <c r="O165" s="36">
        <v>0</v>
      </c>
      <c r="P165" s="36">
        <v>0</v>
      </c>
      <c r="Q165" s="36">
        <v>0</v>
      </c>
      <c r="R165" s="36">
        <v>0</v>
      </c>
      <c r="S165" s="50">
        <v>0</v>
      </c>
      <c r="T165" s="36">
        <v>0</v>
      </c>
      <c r="U165" s="36">
        <v>0</v>
      </c>
      <c r="V165" s="36">
        <v>0</v>
      </c>
      <c r="W165" s="36">
        <v>0</v>
      </c>
      <c r="X165" s="50">
        <v>0</v>
      </c>
      <c r="Y165" s="36">
        <v>0</v>
      </c>
      <c r="Z165" s="36">
        <v>0</v>
      </c>
      <c r="AA165" s="36">
        <v>0</v>
      </c>
      <c r="AB165" s="36">
        <v>0</v>
      </c>
      <c r="AC165" s="50">
        <v>0</v>
      </c>
      <c r="AD165" s="36">
        <v>0</v>
      </c>
      <c r="AE165" s="36">
        <v>0</v>
      </c>
      <c r="AF165" s="36">
        <v>0</v>
      </c>
      <c r="AG165" s="36">
        <v>0</v>
      </c>
      <c r="AH165" s="50">
        <v>1</v>
      </c>
      <c r="AI165" s="36">
        <v>4</v>
      </c>
      <c r="AJ165" s="36">
        <v>3</v>
      </c>
      <c r="AK165" s="36">
        <v>4</v>
      </c>
      <c r="AL165" s="36">
        <v>0</v>
      </c>
      <c r="AM165" s="50">
        <v>0</v>
      </c>
      <c r="AN165" s="36">
        <v>0</v>
      </c>
      <c r="AO165" s="36">
        <v>0</v>
      </c>
      <c r="AP165" s="36">
        <v>0</v>
      </c>
      <c r="AQ165" s="36">
        <v>0</v>
      </c>
      <c r="AR165" s="50">
        <v>0</v>
      </c>
      <c r="AS165" s="36">
        <v>0</v>
      </c>
      <c r="AT165" s="36">
        <v>0</v>
      </c>
      <c r="AU165" s="36">
        <v>0</v>
      </c>
      <c r="AV165" s="36">
        <v>0</v>
      </c>
      <c r="AW165">
        <v>0</v>
      </c>
      <c r="AX165">
        <v>0</v>
      </c>
    </row>
    <row r="166" spans="1:50" x14ac:dyDescent="0.25">
      <c r="A166" s="36"/>
      <c r="B166" t="s">
        <v>119</v>
      </c>
      <c r="C166" s="36" t="str">
        <f>'Status Thresholds'!B157</f>
        <v>Bulldrome</v>
      </c>
      <c r="E166" s="36" t="str">
        <f t="shared" si="7"/>
        <v>Bulldrome</v>
      </c>
      <c r="F166" s="36" t="str">
        <f>IFERROR(VLOOKUP($E166,'Status Thresholds'!$E:$AS,1,FALSE),"")</f>
        <v/>
      </c>
      <c r="G166" t="s">
        <v>11</v>
      </c>
      <c r="H166" s="55" t="str">
        <f t="shared" si="8"/>
        <v>BulldromeCrag 1</v>
      </c>
      <c r="I166" s="50">
        <v>0</v>
      </c>
      <c r="J166" s="36">
        <v>8</v>
      </c>
      <c r="K166" s="36">
        <v>8</v>
      </c>
      <c r="L166" s="36">
        <v>8</v>
      </c>
      <c r="M166" s="36">
        <v>0</v>
      </c>
      <c r="N166" s="50">
        <v>0</v>
      </c>
      <c r="O166" s="36">
        <v>0</v>
      </c>
      <c r="P166" s="36">
        <v>0</v>
      </c>
      <c r="Q166" s="36">
        <v>0</v>
      </c>
      <c r="R166" s="36">
        <v>0</v>
      </c>
      <c r="S166" s="50">
        <v>0</v>
      </c>
      <c r="T166" s="36">
        <v>0</v>
      </c>
      <c r="U166" s="36">
        <v>0</v>
      </c>
      <c r="V166" s="36">
        <v>0</v>
      </c>
      <c r="W166" s="36">
        <v>0</v>
      </c>
      <c r="X166" s="50">
        <v>0</v>
      </c>
      <c r="Y166" s="36">
        <v>0</v>
      </c>
      <c r="Z166" s="36">
        <v>0</v>
      </c>
      <c r="AA166" s="36">
        <v>0</v>
      </c>
      <c r="AB166" s="36">
        <v>0</v>
      </c>
      <c r="AC166" s="50">
        <v>0</v>
      </c>
      <c r="AD166" s="36">
        <v>0</v>
      </c>
      <c r="AE166" s="36">
        <v>0</v>
      </c>
      <c r="AF166" s="36">
        <v>0</v>
      </c>
      <c r="AG166" s="36">
        <v>0</v>
      </c>
      <c r="AH166" s="50">
        <v>4</v>
      </c>
      <c r="AI166" s="36">
        <v>1</v>
      </c>
      <c r="AJ166" s="36">
        <v>8</v>
      </c>
      <c r="AK166" s="36">
        <v>8</v>
      </c>
      <c r="AL166" s="36">
        <v>0</v>
      </c>
      <c r="AM166" s="50">
        <v>0</v>
      </c>
      <c r="AN166" s="36">
        <v>0</v>
      </c>
      <c r="AO166" s="36">
        <v>0</v>
      </c>
      <c r="AP166" s="36">
        <v>0</v>
      </c>
      <c r="AQ166" s="36">
        <v>0</v>
      </c>
      <c r="AR166" s="50">
        <v>0</v>
      </c>
      <c r="AS166" s="36">
        <v>0</v>
      </c>
      <c r="AT166" s="36">
        <v>0</v>
      </c>
      <c r="AU166" s="36">
        <v>0</v>
      </c>
      <c r="AV166" s="36">
        <v>1</v>
      </c>
      <c r="AW166">
        <v>0</v>
      </c>
      <c r="AX166">
        <v>0</v>
      </c>
    </row>
    <row r="167" spans="1:50" x14ac:dyDescent="0.25">
      <c r="A167" s="36"/>
      <c r="B167" t="s">
        <v>121</v>
      </c>
      <c r="C167" s="36" t="str">
        <f>'Status Thresholds'!B158</f>
        <v>Cephadrome</v>
      </c>
      <c r="D167" t="s">
        <v>14</v>
      </c>
      <c r="E167" s="36" t="str">
        <f t="shared" si="7"/>
        <v>CephadromeKO</v>
      </c>
      <c r="F167" s="36" t="str">
        <f>IFERROR(VLOOKUP($E167,'Status Thresholds'!$E:$AS,1,FALSE),"")</f>
        <v>CephadromeKO</v>
      </c>
      <c r="H167" s="55" t="str">
        <f t="shared" si="8"/>
        <v>CephadromeKO</v>
      </c>
      <c r="I167" s="50">
        <f>VLOOKUP($F167,'Status Thresholds'!$E:$AS,2,FALSE)</f>
        <v>130</v>
      </c>
      <c r="J167" s="36">
        <f>VLOOKUP($F167,'Status Thresholds'!$E:$AS,3,FALSE)</f>
        <v>260</v>
      </c>
      <c r="K167" s="36">
        <f>VLOOKUP($F167,'Status Thresholds'!$E:$AS,4,FALSE)</f>
        <v>390</v>
      </c>
      <c r="L167" s="36">
        <f>VLOOKUP($F167,'Status Thresholds'!$E:$AS,5,FALSE)</f>
        <v>520</v>
      </c>
      <c r="M167" s="36">
        <f>VLOOKUP($F167,'Status Thresholds'!$E:$AS,6,FALSE)</f>
        <v>0</v>
      </c>
      <c r="N167" s="50">
        <f>VLOOKUP($F167,'Status Thresholds'!$E:$AS,7,FALSE)</f>
        <v>130</v>
      </c>
      <c r="O167" s="36">
        <f>VLOOKUP($F167,'Status Thresholds'!$E:$AS,8,FALSE)</f>
        <v>260</v>
      </c>
      <c r="P167" s="36">
        <f>VLOOKUP($F167,'Status Thresholds'!$E:$AS,9,FALSE)</f>
        <v>390</v>
      </c>
      <c r="Q167" s="36">
        <f>VLOOKUP($F167,'Status Thresholds'!$E:$AS,10,FALSE)</f>
        <v>520</v>
      </c>
      <c r="R167" s="36">
        <f>VLOOKUP($F167,'Status Thresholds'!$E:$AS,11,FALSE)</f>
        <v>0</v>
      </c>
      <c r="S167" s="50">
        <f>VLOOKUP($F167,'Status Thresholds'!$E:$AS,12,FALSE)</f>
        <v>0</v>
      </c>
      <c r="T167" s="36">
        <f>VLOOKUP($F167,'Status Thresholds'!$E:$AS,13,FALSE)</f>
        <v>0</v>
      </c>
      <c r="U167" s="36">
        <f>VLOOKUP($F167,'Status Thresholds'!$E:$AS,14,FALSE)</f>
        <v>0</v>
      </c>
      <c r="V167" s="36">
        <f>VLOOKUP($F167,'Status Thresholds'!$E:$AS,15,FALSE)</f>
        <v>0</v>
      </c>
      <c r="W167" s="36">
        <f>VLOOKUP($F167,'Status Thresholds'!$E:$AS,16,FALSE)</f>
        <v>0</v>
      </c>
      <c r="X167" s="50">
        <f>VLOOKUP($F167,'Status Thresholds'!$E:$AS,17,FALSE)</f>
        <v>0</v>
      </c>
      <c r="Y167" s="36">
        <f>VLOOKUP($F167,'Status Thresholds'!$E:$AS,18,FALSE)</f>
        <v>0</v>
      </c>
      <c r="Z167" s="36">
        <f>VLOOKUP($F167,'Status Thresholds'!$E:$AS,19,FALSE)</f>
        <v>0</v>
      </c>
      <c r="AA167" s="36">
        <f>VLOOKUP($F167,'Status Thresholds'!$E:$AS,20,FALSE)</f>
        <v>0</v>
      </c>
      <c r="AB167" s="36">
        <f>VLOOKUP($F167,'Status Thresholds'!$E:$AS,21,FALSE)</f>
        <v>0</v>
      </c>
      <c r="AC167" s="50">
        <f>VLOOKUP($F167,'Status Thresholds'!$E:$AS,22,FALSE)</f>
        <v>0</v>
      </c>
      <c r="AD167" s="36">
        <f>VLOOKUP($F167,'Status Thresholds'!$E:$AS,23,FALSE)</f>
        <v>0</v>
      </c>
      <c r="AE167" s="36">
        <f>VLOOKUP($F167,'Status Thresholds'!$E:$AS,24,FALSE)</f>
        <v>0</v>
      </c>
      <c r="AF167" s="36">
        <f>VLOOKUP($F167,'Status Thresholds'!$E:$AS,25,FALSE)</f>
        <v>0</v>
      </c>
      <c r="AG167" s="36">
        <f>VLOOKUP($F167,'Status Thresholds'!$E:$AS,26,FALSE)</f>
        <v>0</v>
      </c>
      <c r="AH167" s="50">
        <f>VLOOKUP($F167,'Status Thresholds'!$E:$AS,27,FALSE)</f>
        <v>140</v>
      </c>
      <c r="AI167" s="36">
        <f>VLOOKUP($F167,'Status Thresholds'!$E:$AS,28,FALSE)</f>
        <v>280</v>
      </c>
      <c r="AJ167" s="36">
        <f>VLOOKUP($F167,'Status Thresholds'!$E:$AS,29,FALSE)</f>
        <v>420</v>
      </c>
      <c r="AK167" s="36">
        <f>VLOOKUP($F167,'Status Thresholds'!$E:$AS,30,FALSE)</f>
        <v>560</v>
      </c>
      <c r="AL167" s="36">
        <f>VLOOKUP($F167,'Status Thresholds'!$E:$AS,31,FALSE)</f>
        <v>0</v>
      </c>
      <c r="AM167" s="50">
        <f>VLOOKUP($F167,'Status Thresholds'!$E:$AS,32,FALSE)</f>
        <v>0</v>
      </c>
      <c r="AN167" s="36">
        <f>VLOOKUP($F167,'Status Thresholds'!$E:$AS,33,FALSE)</f>
        <v>0</v>
      </c>
      <c r="AO167" s="36">
        <f>VLOOKUP($F167,'Status Thresholds'!$E:$AS,34,FALSE)</f>
        <v>0</v>
      </c>
      <c r="AP167" s="36">
        <f>VLOOKUP($F167,'Status Thresholds'!$E:$AS,35,FALSE)</f>
        <v>0</v>
      </c>
      <c r="AQ167" s="36">
        <f>VLOOKUP($F167,'Status Thresholds'!$E:$AS,36,FALSE)</f>
        <v>0</v>
      </c>
      <c r="AR167" s="50">
        <f>VLOOKUP($F167,'Status Thresholds'!$E:$AS,37,FALSE)</f>
        <v>0</v>
      </c>
      <c r="AS167" s="36">
        <f>VLOOKUP($F167,'Status Thresholds'!$E:$AS,38,FALSE)</f>
        <v>0</v>
      </c>
      <c r="AT167" s="36">
        <f>VLOOKUP($F167,'Status Thresholds'!$E:$AS,39,FALSE)</f>
        <v>0</v>
      </c>
      <c r="AU167" s="36">
        <f>VLOOKUP($F167,'Status Thresholds'!$E:$AS,40,FALSE)</f>
        <v>0</v>
      </c>
      <c r="AV167" s="36">
        <f>VLOOKUP($F167,'Status Thresholds'!$E:$AS,41,FALSE)</f>
        <v>10</v>
      </c>
      <c r="AW167">
        <v>0</v>
      </c>
      <c r="AX167">
        <v>0</v>
      </c>
    </row>
    <row r="168" spans="1:50" x14ac:dyDescent="0.25">
      <c r="A168" s="36"/>
      <c r="B168" t="s">
        <v>120</v>
      </c>
      <c r="C168" s="36" t="str">
        <f>'Status Thresholds'!B159</f>
        <v>Cephadrome</v>
      </c>
      <c r="E168" s="36" t="str">
        <f t="shared" si="7"/>
        <v>Cephadrome</v>
      </c>
      <c r="F168" s="36" t="str">
        <f>IFERROR(VLOOKUP($E168,'Status Thresholds'!$E:$AS,1,FALSE),"")</f>
        <v/>
      </c>
      <c r="G168" t="s">
        <v>21</v>
      </c>
      <c r="H168" s="55" t="str">
        <f t="shared" si="8"/>
        <v>CephadromeTriblast</v>
      </c>
      <c r="I168" s="50">
        <v>1</v>
      </c>
      <c r="J168" s="36">
        <v>2</v>
      </c>
      <c r="K168" s="36">
        <v>2</v>
      </c>
      <c r="L168" s="36">
        <v>2</v>
      </c>
      <c r="M168" s="36">
        <v>0</v>
      </c>
      <c r="N168" s="50">
        <v>1</v>
      </c>
      <c r="O168" s="36">
        <v>2</v>
      </c>
      <c r="P168" s="36">
        <v>2</v>
      </c>
      <c r="Q168" s="36">
        <v>2</v>
      </c>
      <c r="R168" s="36">
        <v>0</v>
      </c>
      <c r="S168" s="50">
        <v>0</v>
      </c>
      <c r="T168" s="36">
        <v>0</v>
      </c>
      <c r="U168" s="36">
        <v>0</v>
      </c>
      <c r="V168" s="36">
        <v>0</v>
      </c>
      <c r="W168" s="36">
        <v>0</v>
      </c>
      <c r="X168" s="50">
        <v>0</v>
      </c>
      <c r="Y168" s="36">
        <v>0</v>
      </c>
      <c r="Z168" s="36">
        <v>0</v>
      </c>
      <c r="AA168" s="36">
        <v>0</v>
      </c>
      <c r="AB168" s="36">
        <v>0</v>
      </c>
      <c r="AC168" s="50">
        <v>0</v>
      </c>
      <c r="AD168" s="36">
        <v>0</v>
      </c>
      <c r="AE168" s="36">
        <v>0</v>
      </c>
      <c r="AF168" s="36">
        <v>0</v>
      </c>
      <c r="AG168" s="36">
        <v>0</v>
      </c>
      <c r="AH168" s="50">
        <v>1</v>
      </c>
      <c r="AI168" s="36">
        <v>2</v>
      </c>
      <c r="AJ168" s="36">
        <v>2</v>
      </c>
      <c r="AK168" s="36">
        <v>2</v>
      </c>
      <c r="AL168" s="36">
        <v>0</v>
      </c>
      <c r="AM168" s="50">
        <v>0</v>
      </c>
      <c r="AN168" s="36">
        <v>0</v>
      </c>
      <c r="AO168" s="36">
        <v>0</v>
      </c>
      <c r="AP168" s="36">
        <v>0</v>
      </c>
      <c r="AQ168" s="36">
        <v>0</v>
      </c>
      <c r="AR168" s="50">
        <v>0</v>
      </c>
      <c r="AS168" s="36">
        <v>0</v>
      </c>
      <c r="AT168" s="36">
        <v>0</v>
      </c>
      <c r="AU168" s="36">
        <v>0</v>
      </c>
      <c r="AV168" s="36">
        <v>0</v>
      </c>
      <c r="AW168">
        <v>0</v>
      </c>
    </row>
    <row r="169" spans="1:50" x14ac:dyDescent="0.25">
      <c r="A169" s="36"/>
      <c r="B169" t="s">
        <v>120</v>
      </c>
      <c r="C169" s="36" t="str">
        <f>'Status Thresholds'!B160</f>
        <v>Cephadrome</v>
      </c>
      <c r="E169" s="36" t="str">
        <f t="shared" si="7"/>
        <v>Cephadrome</v>
      </c>
      <c r="F169" s="36" t="str">
        <f>IFERROR(VLOOKUP($E169,'Status Thresholds'!$E:$AS,1,FALSE),"")</f>
        <v/>
      </c>
      <c r="G169" t="s">
        <v>13</v>
      </c>
      <c r="H169" s="55" t="str">
        <f t="shared" si="8"/>
        <v>CephadromeCrag 3</v>
      </c>
      <c r="I169" s="50">
        <v>0</v>
      </c>
      <c r="J169" s="36">
        <v>2</v>
      </c>
      <c r="K169" s="36">
        <v>4</v>
      </c>
      <c r="L169" s="36">
        <v>2</v>
      </c>
      <c r="M169" s="36">
        <v>0</v>
      </c>
      <c r="N169" s="50">
        <v>0</v>
      </c>
      <c r="O169" s="36">
        <v>2</v>
      </c>
      <c r="P169" s="36">
        <v>4</v>
      </c>
      <c r="Q169" s="36">
        <v>2</v>
      </c>
      <c r="R169" s="36">
        <v>0</v>
      </c>
      <c r="S169" s="50">
        <v>0</v>
      </c>
      <c r="T169" s="36">
        <v>0</v>
      </c>
      <c r="U169" s="36">
        <v>0</v>
      </c>
      <c r="V169" s="36">
        <v>0</v>
      </c>
      <c r="W169" s="36">
        <v>0</v>
      </c>
      <c r="X169" s="50">
        <v>0</v>
      </c>
      <c r="Y169" s="36">
        <v>0</v>
      </c>
      <c r="Z169" s="36">
        <v>0</v>
      </c>
      <c r="AA169" s="36">
        <v>0</v>
      </c>
      <c r="AB169" s="36">
        <v>0</v>
      </c>
      <c r="AC169" s="50">
        <v>0</v>
      </c>
      <c r="AD169" s="36">
        <v>0</v>
      </c>
      <c r="AE169" s="36">
        <v>0</v>
      </c>
      <c r="AF169" s="36">
        <v>0</v>
      </c>
      <c r="AG169" s="36">
        <v>0</v>
      </c>
      <c r="AH169" s="50">
        <v>1</v>
      </c>
      <c r="AI169" s="36">
        <v>2</v>
      </c>
      <c r="AJ169" s="36">
        <v>4</v>
      </c>
      <c r="AK169" s="36">
        <v>3</v>
      </c>
      <c r="AL169" s="36">
        <v>0</v>
      </c>
      <c r="AM169" s="50">
        <v>0</v>
      </c>
      <c r="AN169" s="36">
        <v>0</v>
      </c>
      <c r="AO169" s="36">
        <v>0</v>
      </c>
      <c r="AP169" s="36">
        <v>0</v>
      </c>
      <c r="AQ169" s="36">
        <v>0</v>
      </c>
      <c r="AR169" s="50">
        <v>0</v>
      </c>
      <c r="AS169" s="36">
        <v>0</v>
      </c>
      <c r="AT169" s="36">
        <v>0</v>
      </c>
      <c r="AU169" s="36">
        <v>0</v>
      </c>
      <c r="AV169" s="36">
        <v>0</v>
      </c>
      <c r="AW169">
        <v>0</v>
      </c>
      <c r="AX169">
        <v>0</v>
      </c>
    </row>
    <row r="170" spans="1:50" x14ac:dyDescent="0.25">
      <c r="A170" s="36"/>
      <c r="B170" t="s">
        <v>120</v>
      </c>
      <c r="C170" s="36" t="str">
        <f>'Status Thresholds'!B161</f>
        <v>Cephadrome</v>
      </c>
      <c r="E170" s="36" t="str">
        <f t="shared" si="7"/>
        <v>Cephadrome</v>
      </c>
      <c r="F170" s="36" t="str">
        <f>IFERROR(VLOOKUP($E170,'Status Thresholds'!$E:$AS,1,FALSE),"")</f>
        <v/>
      </c>
      <c r="G170" t="s">
        <v>12</v>
      </c>
      <c r="H170" s="55" t="str">
        <f t="shared" si="8"/>
        <v>CephadromeCrag 2</v>
      </c>
      <c r="I170" s="50">
        <v>1</v>
      </c>
      <c r="J170" s="36">
        <v>1</v>
      </c>
      <c r="K170" s="36">
        <v>1</v>
      </c>
      <c r="L170" s="36">
        <v>3</v>
      </c>
      <c r="M170" s="36">
        <v>0</v>
      </c>
      <c r="N170" s="50">
        <v>1</v>
      </c>
      <c r="O170" s="36">
        <v>1</v>
      </c>
      <c r="P170" s="36">
        <v>1</v>
      </c>
      <c r="Q170" s="36">
        <v>3</v>
      </c>
      <c r="R170" s="36">
        <v>0</v>
      </c>
      <c r="S170" s="50">
        <v>0</v>
      </c>
      <c r="T170" s="36">
        <v>0</v>
      </c>
      <c r="U170" s="36">
        <v>0</v>
      </c>
      <c r="V170" s="36">
        <v>0</v>
      </c>
      <c r="W170" s="36">
        <v>0</v>
      </c>
      <c r="X170" s="50">
        <v>0</v>
      </c>
      <c r="Y170" s="36">
        <v>0</v>
      </c>
      <c r="Z170" s="36">
        <v>0</v>
      </c>
      <c r="AA170" s="36">
        <v>0</v>
      </c>
      <c r="AB170" s="36">
        <v>0</v>
      </c>
      <c r="AC170" s="50">
        <v>0</v>
      </c>
      <c r="AD170" s="36">
        <v>0</v>
      </c>
      <c r="AE170" s="36">
        <v>0</v>
      </c>
      <c r="AF170" s="36">
        <v>0</v>
      </c>
      <c r="AG170" s="36">
        <v>0</v>
      </c>
      <c r="AH170" s="50">
        <v>0</v>
      </c>
      <c r="AI170" s="36">
        <v>0</v>
      </c>
      <c r="AJ170" s="36">
        <v>2</v>
      </c>
      <c r="AK170" s="36">
        <v>3</v>
      </c>
      <c r="AL170" s="36">
        <v>0</v>
      </c>
      <c r="AM170" s="50">
        <v>0</v>
      </c>
      <c r="AN170" s="36">
        <v>0</v>
      </c>
      <c r="AO170" s="36">
        <v>0</v>
      </c>
      <c r="AP170" s="36">
        <v>0</v>
      </c>
      <c r="AQ170" s="36">
        <v>0</v>
      </c>
      <c r="AR170" s="50">
        <v>0</v>
      </c>
      <c r="AS170" s="36">
        <v>0</v>
      </c>
      <c r="AT170" s="36">
        <v>0</v>
      </c>
      <c r="AU170" s="36">
        <v>0</v>
      </c>
      <c r="AV170" s="36">
        <v>0</v>
      </c>
      <c r="AW170">
        <v>0</v>
      </c>
      <c r="AX170">
        <v>0</v>
      </c>
    </row>
    <row r="171" spans="1:50" x14ac:dyDescent="0.25">
      <c r="A171" s="36"/>
      <c r="B171" t="s">
        <v>120</v>
      </c>
      <c r="C171" s="36" t="str">
        <f>'Status Thresholds'!B162</f>
        <v>Cephadrome</v>
      </c>
      <c r="E171" s="36" t="str">
        <f t="shared" si="7"/>
        <v>Cephadrome</v>
      </c>
      <c r="F171" s="36" t="str">
        <f>IFERROR(VLOOKUP($E171,'Status Thresholds'!$E:$AS,1,FALSE),"")</f>
        <v/>
      </c>
      <c r="G171" t="s">
        <v>11</v>
      </c>
      <c r="H171" s="55" t="str">
        <f t="shared" si="8"/>
        <v>CephadromeCrag 1</v>
      </c>
      <c r="I171" s="50">
        <v>1</v>
      </c>
      <c r="J171" s="36">
        <v>0</v>
      </c>
      <c r="K171" s="36">
        <v>2</v>
      </c>
      <c r="L171" s="36">
        <v>8</v>
      </c>
      <c r="M171" s="36">
        <v>0</v>
      </c>
      <c r="N171" s="50">
        <v>1</v>
      </c>
      <c r="O171" s="36">
        <v>0</v>
      </c>
      <c r="P171" s="36">
        <v>2</v>
      </c>
      <c r="Q171" s="36">
        <v>8</v>
      </c>
      <c r="R171" s="36">
        <v>0</v>
      </c>
      <c r="S171" s="50">
        <v>0</v>
      </c>
      <c r="T171" s="36">
        <v>0</v>
      </c>
      <c r="U171" s="36">
        <v>0</v>
      </c>
      <c r="V171" s="36">
        <v>0</v>
      </c>
      <c r="W171" s="36">
        <v>0</v>
      </c>
      <c r="X171" s="50">
        <v>0</v>
      </c>
      <c r="Y171" s="36">
        <v>0</v>
      </c>
      <c r="Z171" s="36">
        <v>0</v>
      </c>
      <c r="AA171" s="36">
        <v>0</v>
      </c>
      <c r="AB171" s="36">
        <v>0</v>
      </c>
      <c r="AC171" s="50">
        <v>0</v>
      </c>
      <c r="AD171" s="36">
        <v>0</v>
      </c>
      <c r="AE171" s="36">
        <v>0</v>
      </c>
      <c r="AF171" s="36">
        <v>0</v>
      </c>
      <c r="AG171" s="36">
        <v>0</v>
      </c>
      <c r="AH171" s="50">
        <v>1</v>
      </c>
      <c r="AI171" s="36">
        <v>2</v>
      </c>
      <c r="AJ171" s="36">
        <v>2</v>
      </c>
      <c r="AK171" s="36">
        <v>8</v>
      </c>
      <c r="AL171" s="36">
        <v>0</v>
      </c>
      <c r="AM171" s="50">
        <v>0</v>
      </c>
      <c r="AN171" s="36">
        <v>0</v>
      </c>
      <c r="AO171" s="36">
        <v>0</v>
      </c>
      <c r="AP171" s="36">
        <v>0</v>
      </c>
      <c r="AQ171" s="36">
        <v>0</v>
      </c>
      <c r="AR171" s="50">
        <v>0</v>
      </c>
      <c r="AS171" s="36">
        <v>0</v>
      </c>
      <c r="AT171" s="36">
        <v>0</v>
      </c>
      <c r="AU171" s="36">
        <v>0</v>
      </c>
      <c r="AV171" s="36">
        <v>1</v>
      </c>
      <c r="AW171">
        <v>0</v>
      </c>
      <c r="AX171">
        <v>0</v>
      </c>
    </row>
    <row r="172" spans="1:50" x14ac:dyDescent="0.25">
      <c r="A172" s="36"/>
      <c r="B172" t="s">
        <v>119</v>
      </c>
      <c r="C172" s="36" t="str">
        <f>'Status Thresholds'!B163</f>
        <v>Cephadrome</v>
      </c>
      <c r="E172" s="36" t="str">
        <f t="shared" si="7"/>
        <v>Cephadrome</v>
      </c>
      <c r="F172" s="36" t="str">
        <f>IFERROR(VLOOKUP($E172,'Status Thresholds'!$E:$AS,1,FALSE),"")</f>
        <v/>
      </c>
      <c r="G172" t="s">
        <v>21</v>
      </c>
      <c r="H172" s="55" t="str">
        <f t="shared" si="8"/>
        <v>CephadromeTriblast</v>
      </c>
      <c r="I172" s="50">
        <v>0</v>
      </c>
      <c r="J172" s="36">
        <v>2</v>
      </c>
      <c r="K172" s="36">
        <v>2</v>
      </c>
      <c r="L172" s="36">
        <v>2</v>
      </c>
      <c r="M172" s="36">
        <v>0</v>
      </c>
      <c r="N172" s="50">
        <v>0</v>
      </c>
      <c r="O172" s="36">
        <v>2</v>
      </c>
      <c r="P172" s="36">
        <v>2</v>
      </c>
      <c r="Q172" s="36">
        <v>2</v>
      </c>
      <c r="R172" s="36">
        <v>0</v>
      </c>
      <c r="S172" s="50">
        <v>0</v>
      </c>
      <c r="T172" s="36">
        <v>0</v>
      </c>
      <c r="U172" s="36">
        <v>0</v>
      </c>
      <c r="V172" s="36">
        <v>0</v>
      </c>
      <c r="W172" s="36">
        <v>0</v>
      </c>
      <c r="X172" s="50">
        <v>0</v>
      </c>
      <c r="Y172" s="36">
        <v>0</v>
      </c>
      <c r="Z172" s="36">
        <v>0</v>
      </c>
      <c r="AA172" s="36">
        <v>0</v>
      </c>
      <c r="AB172" s="36">
        <v>0</v>
      </c>
      <c r="AC172" s="50">
        <v>0</v>
      </c>
      <c r="AD172" s="36">
        <v>0</v>
      </c>
      <c r="AE172" s="36">
        <v>0</v>
      </c>
      <c r="AF172" s="36">
        <v>0</v>
      </c>
      <c r="AG172" s="36">
        <v>0</v>
      </c>
      <c r="AH172" s="50">
        <v>0</v>
      </c>
      <c r="AI172" s="36">
        <v>0</v>
      </c>
      <c r="AJ172" s="36">
        <v>0</v>
      </c>
      <c r="AK172" s="36">
        <v>2</v>
      </c>
      <c r="AL172" s="36">
        <v>0</v>
      </c>
      <c r="AM172" s="50">
        <v>0</v>
      </c>
      <c r="AN172" s="36">
        <v>0</v>
      </c>
      <c r="AO172" s="36">
        <v>0</v>
      </c>
      <c r="AP172" s="36">
        <v>0</v>
      </c>
      <c r="AQ172" s="36">
        <v>0</v>
      </c>
      <c r="AR172" s="50">
        <v>0</v>
      </c>
      <c r="AS172" s="36">
        <v>0</v>
      </c>
      <c r="AT172" s="36">
        <v>0</v>
      </c>
      <c r="AU172" s="36">
        <v>0</v>
      </c>
      <c r="AV172" s="36">
        <v>0</v>
      </c>
      <c r="AW172">
        <v>0</v>
      </c>
      <c r="AX172">
        <v>0</v>
      </c>
    </row>
    <row r="173" spans="1:50" x14ac:dyDescent="0.25">
      <c r="A173" s="36"/>
      <c r="B173" t="s">
        <v>119</v>
      </c>
      <c r="C173" s="36" t="str">
        <f>'Status Thresholds'!B164</f>
        <v>Cephadrome</v>
      </c>
      <c r="E173" s="36" t="str">
        <f t="shared" si="7"/>
        <v>Cephadrome</v>
      </c>
      <c r="F173" s="36" t="str">
        <f>IFERROR(VLOOKUP($E173,'Status Thresholds'!$E:$AS,1,FALSE),"")</f>
        <v/>
      </c>
      <c r="G173" t="s">
        <v>13</v>
      </c>
      <c r="H173" s="55" t="str">
        <f t="shared" si="8"/>
        <v>CephadromeCrag 3</v>
      </c>
      <c r="I173" s="50">
        <v>1</v>
      </c>
      <c r="J173" s="36">
        <v>1</v>
      </c>
      <c r="K173" s="36">
        <v>0</v>
      </c>
      <c r="L173" s="36">
        <v>1</v>
      </c>
      <c r="M173" s="36">
        <v>0</v>
      </c>
      <c r="N173" s="50">
        <v>1</v>
      </c>
      <c r="O173" s="36">
        <v>1</v>
      </c>
      <c r="P173" s="36">
        <v>0</v>
      </c>
      <c r="Q173" s="36">
        <v>1</v>
      </c>
      <c r="R173" s="36">
        <v>0</v>
      </c>
      <c r="S173" s="50">
        <v>0</v>
      </c>
      <c r="T173" s="36">
        <v>0</v>
      </c>
      <c r="U173" s="36">
        <v>0</v>
      </c>
      <c r="V173" s="36">
        <v>0</v>
      </c>
      <c r="W173" s="36">
        <v>0</v>
      </c>
      <c r="X173" s="50">
        <v>0</v>
      </c>
      <c r="Y173" s="36">
        <v>0</v>
      </c>
      <c r="Z173" s="36">
        <v>0</v>
      </c>
      <c r="AA173" s="36">
        <v>0</v>
      </c>
      <c r="AB173" s="36">
        <v>0</v>
      </c>
      <c r="AC173" s="50">
        <v>0</v>
      </c>
      <c r="AD173" s="36">
        <v>0</v>
      </c>
      <c r="AE173" s="36">
        <v>0</v>
      </c>
      <c r="AF173" s="36">
        <v>0</v>
      </c>
      <c r="AG173" s="36">
        <v>0</v>
      </c>
      <c r="AH173" s="50">
        <v>0</v>
      </c>
      <c r="AI173" s="36">
        <v>0</v>
      </c>
      <c r="AJ173" s="36">
        <v>3</v>
      </c>
      <c r="AK173" s="36">
        <v>4</v>
      </c>
      <c r="AL173" s="36">
        <v>0</v>
      </c>
      <c r="AM173" s="50">
        <v>0</v>
      </c>
      <c r="AN173" s="36">
        <v>0</v>
      </c>
      <c r="AO173" s="36">
        <v>0</v>
      </c>
      <c r="AP173" s="36">
        <v>0</v>
      </c>
      <c r="AQ173" s="36">
        <v>0</v>
      </c>
      <c r="AR173" s="50">
        <v>0</v>
      </c>
      <c r="AS173" s="36">
        <v>0</v>
      </c>
      <c r="AT173" s="36">
        <v>0</v>
      </c>
      <c r="AU173" s="36">
        <v>0</v>
      </c>
      <c r="AV173" s="36">
        <v>0</v>
      </c>
      <c r="AW173">
        <v>0</v>
      </c>
      <c r="AX173">
        <v>0</v>
      </c>
    </row>
    <row r="174" spans="1:50" x14ac:dyDescent="0.25">
      <c r="A174" s="36"/>
      <c r="B174" t="s">
        <v>119</v>
      </c>
      <c r="C174" s="36" t="str">
        <f>'Status Thresholds'!B165</f>
        <v>Cephadrome</v>
      </c>
      <c r="E174" s="36" t="str">
        <f t="shared" si="7"/>
        <v>Cephadrome</v>
      </c>
      <c r="F174" s="36" t="str">
        <f>IFERROR(VLOOKUP($E174,'Status Thresholds'!$E:$AS,1,FALSE),"")</f>
        <v/>
      </c>
      <c r="G174" t="s">
        <v>12</v>
      </c>
      <c r="H174" s="55" t="str">
        <f t="shared" si="8"/>
        <v>CephadromeCrag 2</v>
      </c>
      <c r="I174" s="50">
        <v>1</v>
      </c>
      <c r="J174" s="36">
        <v>0</v>
      </c>
      <c r="K174" s="36">
        <v>2</v>
      </c>
      <c r="L174" s="36">
        <v>3</v>
      </c>
      <c r="M174" s="36">
        <v>0</v>
      </c>
      <c r="N174" s="50">
        <v>1</v>
      </c>
      <c r="O174" s="36">
        <v>0</v>
      </c>
      <c r="P174" s="36">
        <v>2</v>
      </c>
      <c r="Q174" s="36">
        <v>3</v>
      </c>
      <c r="R174" s="36">
        <v>0</v>
      </c>
      <c r="S174" s="50">
        <v>0</v>
      </c>
      <c r="T174" s="36">
        <v>0</v>
      </c>
      <c r="U174" s="36">
        <v>0</v>
      </c>
      <c r="V174" s="36">
        <v>0</v>
      </c>
      <c r="W174" s="36">
        <v>0</v>
      </c>
      <c r="X174" s="50">
        <v>0</v>
      </c>
      <c r="Y174" s="36">
        <v>0</v>
      </c>
      <c r="Z174" s="36">
        <v>0</v>
      </c>
      <c r="AA174" s="36">
        <v>0</v>
      </c>
      <c r="AB174" s="36">
        <v>0</v>
      </c>
      <c r="AC174" s="50">
        <v>0</v>
      </c>
      <c r="AD174" s="36">
        <v>0</v>
      </c>
      <c r="AE174" s="36">
        <v>0</v>
      </c>
      <c r="AF174" s="36">
        <v>0</v>
      </c>
      <c r="AG174" s="36">
        <v>0</v>
      </c>
      <c r="AH174" s="50">
        <v>1</v>
      </c>
      <c r="AI174" s="36">
        <v>2</v>
      </c>
      <c r="AJ174" s="36">
        <v>3</v>
      </c>
      <c r="AK174" s="36">
        <v>1</v>
      </c>
      <c r="AL174" s="36">
        <v>0</v>
      </c>
      <c r="AM174" s="50">
        <v>0</v>
      </c>
      <c r="AN174" s="36">
        <v>0</v>
      </c>
      <c r="AO174" s="36">
        <v>0</v>
      </c>
      <c r="AP174" s="36">
        <v>0</v>
      </c>
      <c r="AQ174" s="36">
        <v>0</v>
      </c>
      <c r="AR174" s="50">
        <v>0</v>
      </c>
      <c r="AS174" s="36">
        <v>0</v>
      </c>
      <c r="AT174" s="36">
        <v>0</v>
      </c>
      <c r="AU174" s="36">
        <v>0</v>
      </c>
      <c r="AV174" s="36">
        <v>0</v>
      </c>
      <c r="AW174">
        <v>0</v>
      </c>
      <c r="AX174">
        <v>0</v>
      </c>
    </row>
    <row r="175" spans="1:50" x14ac:dyDescent="0.25">
      <c r="A175" s="36"/>
      <c r="B175" t="s">
        <v>119</v>
      </c>
      <c r="C175" s="36" t="str">
        <f>'Status Thresholds'!B166</f>
        <v>Cephadrome</v>
      </c>
      <c r="E175" s="36" t="str">
        <f t="shared" si="7"/>
        <v>Cephadrome</v>
      </c>
      <c r="F175" s="36" t="str">
        <f>IFERROR(VLOOKUP($E175,'Status Thresholds'!$E:$AS,1,FALSE),"")</f>
        <v/>
      </c>
      <c r="G175" t="s">
        <v>11</v>
      </c>
      <c r="H175" s="55" t="str">
        <f t="shared" si="8"/>
        <v>CephadromeCrag 1</v>
      </c>
      <c r="I175" s="50">
        <v>2</v>
      </c>
      <c r="J175" s="36">
        <v>2</v>
      </c>
      <c r="K175" s="36">
        <v>6</v>
      </c>
      <c r="L175" s="36">
        <v>8</v>
      </c>
      <c r="M175" s="36">
        <v>0</v>
      </c>
      <c r="N175" s="50">
        <v>2</v>
      </c>
      <c r="O175" s="36">
        <v>2</v>
      </c>
      <c r="P175" s="36">
        <v>6</v>
      </c>
      <c r="Q175" s="36">
        <v>8</v>
      </c>
      <c r="R175" s="36">
        <v>0</v>
      </c>
      <c r="S175" s="50">
        <v>0</v>
      </c>
      <c r="T175" s="36">
        <v>0</v>
      </c>
      <c r="U175" s="36">
        <v>0</v>
      </c>
      <c r="V175" s="36">
        <v>0</v>
      </c>
      <c r="W175" s="36">
        <v>0</v>
      </c>
      <c r="X175" s="50">
        <v>0</v>
      </c>
      <c r="Y175" s="36">
        <v>0</v>
      </c>
      <c r="Z175" s="36">
        <v>0</v>
      </c>
      <c r="AA175" s="36">
        <v>0</v>
      </c>
      <c r="AB175" s="36">
        <v>0</v>
      </c>
      <c r="AC175" s="50">
        <v>0</v>
      </c>
      <c r="AD175" s="36">
        <v>0</v>
      </c>
      <c r="AE175" s="36">
        <v>0</v>
      </c>
      <c r="AF175" s="36">
        <v>0</v>
      </c>
      <c r="AG175" s="36">
        <v>0</v>
      </c>
      <c r="AH175" s="50">
        <v>4</v>
      </c>
      <c r="AI175" s="36">
        <v>8</v>
      </c>
      <c r="AJ175" s="36">
        <v>7</v>
      </c>
      <c r="AK175" s="36">
        <v>7</v>
      </c>
      <c r="AL175" s="36">
        <v>0</v>
      </c>
      <c r="AM175" s="50">
        <v>0</v>
      </c>
      <c r="AN175" s="36">
        <v>0</v>
      </c>
      <c r="AO175" s="36">
        <v>0</v>
      </c>
      <c r="AP175" s="36">
        <v>0</v>
      </c>
      <c r="AQ175" s="36">
        <v>0</v>
      </c>
      <c r="AR175" s="50">
        <v>0</v>
      </c>
      <c r="AS175" s="36">
        <v>0</v>
      </c>
      <c r="AT175" s="36">
        <v>0</v>
      </c>
      <c r="AU175" s="36">
        <v>0</v>
      </c>
      <c r="AV175" s="36">
        <v>1</v>
      </c>
      <c r="AW175">
        <v>0</v>
      </c>
      <c r="AX175">
        <v>0</v>
      </c>
    </row>
    <row r="176" spans="1:50" x14ac:dyDescent="0.25">
      <c r="A176" s="36"/>
      <c r="B176" t="s">
        <v>121</v>
      </c>
      <c r="C176" s="36" t="str">
        <f>'Status Thresholds'!B167</f>
        <v>Chamelos</v>
      </c>
      <c r="D176" t="s">
        <v>14</v>
      </c>
      <c r="E176" s="36" t="str">
        <f t="shared" si="7"/>
        <v>ChamelosKO</v>
      </c>
      <c r="F176" s="36" t="str">
        <f>IFERROR(VLOOKUP($E176,'Status Thresholds'!$E:$AS,1,FALSE),"")</f>
        <v>ChamelosKO</v>
      </c>
      <c r="H176" s="55" t="str">
        <f t="shared" si="8"/>
        <v>ChamelosKO</v>
      </c>
      <c r="I176" s="50">
        <f>VLOOKUP($F176,'Status Thresholds'!$E:$AS,2,FALSE)</f>
        <v>280</v>
      </c>
      <c r="J176" s="36">
        <f>VLOOKUP($F176,'Status Thresholds'!$E:$AS,3,FALSE)</f>
        <v>385</v>
      </c>
      <c r="K176" s="36">
        <f>VLOOKUP($F176,'Status Thresholds'!$E:$AS,4,FALSE)</f>
        <v>490</v>
      </c>
      <c r="L176" s="36">
        <f>VLOOKUP($F176,'Status Thresholds'!$E:$AS,5,FALSE)</f>
        <v>595</v>
      </c>
      <c r="M176" s="36">
        <f>VLOOKUP($F176,'Status Thresholds'!$E:$AS,6,FALSE)</f>
        <v>0</v>
      </c>
      <c r="N176" s="50">
        <f>VLOOKUP($F176,'Status Thresholds'!$E:$AS,7,FALSE)</f>
        <v>0</v>
      </c>
      <c r="O176" s="36">
        <f>VLOOKUP($F176,'Status Thresholds'!$E:$AS,8,FALSE)</f>
        <v>0</v>
      </c>
      <c r="P176" s="36">
        <f>VLOOKUP($F176,'Status Thresholds'!$E:$AS,9,FALSE)</f>
        <v>0</v>
      </c>
      <c r="Q176" s="36">
        <f>VLOOKUP($F176,'Status Thresholds'!$E:$AS,10,FALSE)</f>
        <v>0</v>
      </c>
      <c r="R176" s="36">
        <f>VLOOKUP($F176,'Status Thresholds'!$E:$AS,11,FALSE)</f>
        <v>0</v>
      </c>
      <c r="S176" s="50">
        <f>VLOOKUP($F176,'Status Thresholds'!$E:$AS,12,FALSE)</f>
        <v>0</v>
      </c>
      <c r="T176" s="36">
        <f>VLOOKUP($F176,'Status Thresholds'!$E:$AS,13,FALSE)</f>
        <v>0</v>
      </c>
      <c r="U176" s="36">
        <f>VLOOKUP($F176,'Status Thresholds'!$E:$AS,14,FALSE)</f>
        <v>0</v>
      </c>
      <c r="V176" s="36">
        <f>VLOOKUP($F176,'Status Thresholds'!$E:$AS,15,FALSE)</f>
        <v>0</v>
      </c>
      <c r="W176" s="36">
        <f>VLOOKUP($F176,'Status Thresholds'!$E:$AS,16,FALSE)</f>
        <v>0</v>
      </c>
      <c r="X176" s="50">
        <f>VLOOKUP($F176,'Status Thresholds'!$E:$AS,17,FALSE)</f>
        <v>0</v>
      </c>
      <c r="Y176" s="36">
        <f>VLOOKUP($F176,'Status Thresholds'!$E:$AS,18,FALSE)</f>
        <v>0</v>
      </c>
      <c r="Z176" s="36">
        <f>VLOOKUP($F176,'Status Thresholds'!$E:$AS,19,FALSE)</f>
        <v>0</v>
      </c>
      <c r="AA176" s="36">
        <f>VLOOKUP($F176,'Status Thresholds'!$E:$AS,20,FALSE)</f>
        <v>0</v>
      </c>
      <c r="AB176" s="36">
        <f>VLOOKUP($F176,'Status Thresholds'!$E:$AS,21,FALSE)</f>
        <v>0</v>
      </c>
      <c r="AC176" s="50">
        <f>VLOOKUP($F176,'Status Thresholds'!$E:$AS,22,FALSE)</f>
        <v>320</v>
      </c>
      <c r="AD176" s="36">
        <f>VLOOKUP($F176,'Status Thresholds'!$E:$AS,23,FALSE)</f>
        <v>440</v>
      </c>
      <c r="AE176" s="36">
        <f>VLOOKUP($F176,'Status Thresholds'!$E:$AS,24,FALSE)</f>
        <v>560</v>
      </c>
      <c r="AF176" s="36">
        <f>VLOOKUP($F176,'Status Thresholds'!$E:$AS,25,FALSE)</f>
        <v>680</v>
      </c>
      <c r="AG176" s="36">
        <f>VLOOKUP($F176,'Status Thresholds'!$E:$AS,26,FALSE)</f>
        <v>0</v>
      </c>
      <c r="AH176" s="50">
        <f>VLOOKUP($F176,'Status Thresholds'!$E:$AS,27,FALSE)</f>
        <v>0</v>
      </c>
      <c r="AI176" s="36">
        <f>VLOOKUP($F176,'Status Thresholds'!$E:$AS,28,FALSE)</f>
        <v>0</v>
      </c>
      <c r="AJ176" s="36">
        <f>VLOOKUP($F176,'Status Thresholds'!$E:$AS,29,FALSE)</f>
        <v>0</v>
      </c>
      <c r="AK176" s="36">
        <f>VLOOKUP($F176,'Status Thresholds'!$E:$AS,30,FALSE)</f>
        <v>0</v>
      </c>
      <c r="AL176" s="36">
        <f>VLOOKUP($F176,'Status Thresholds'!$E:$AS,31,FALSE)</f>
        <v>0</v>
      </c>
      <c r="AM176" s="50">
        <f>VLOOKUP($F176,'Status Thresholds'!$E:$AS,32,FALSE)</f>
        <v>0</v>
      </c>
      <c r="AN176" s="36">
        <f>VLOOKUP($F176,'Status Thresholds'!$E:$AS,33,FALSE)</f>
        <v>0</v>
      </c>
      <c r="AO176" s="36">
        <f>VLOOKUP($F176,'Status Thresholds'!$E:$AS,34,FALSE)</f>
        <v>0</v>
      </c>
      <c r="AP176" s="36">
        <f>VLOOKUP($F176,'Status Thresholds'!$E:$AS,35,FALSE)</f>
        <v>0</v>
      </c>
      <c r="AQ176" s="36">
        <f>VLOOKUP($F176,'Status Thresholds'!$E:$AS,36,FALSE)</f>
        <v>0</v>
      </c>
      <c r="AR176" s="50">
        <f>VLOOKUP($F176,'Status Thresholds'!$E:$AS,37,FALSE)</f>
        <v>0</v>
      </c>
      <c r="AS176" s="36">
        <f>VLOOKUP($F176,'Status Thresholds'!$E:$AS,38,FALSE)</f>
        <v>0</v>
      </c>
      <c r="AT176" s="36">
        <f>VLOOKUP($F176,'Status Thresholds'!$E:$AS,39,FALSE)</f>
        <v>0</v>
      </c>
      <c r="AU176" s="36">
        <f>VLOOKUP($F176,'Status Thresholds'!$E:$AS,40,FALSE)</f>
        <v>0</v>
      </c>
      <c r="AV176" s="36">
        <f>VLOOKUP($F176,'Status Thresholds'!$E:$AS,41,FALSE)</f>
        <v>10</v>
      </c>
      <c r="AW176">
        <v>0</v>
      </c>
      <c r="AX176">
        <v>0</v>
      </c>
    </row>
    <row r="177" spans="1:50" x14ac:dyDescent="0.25">
      <c r="A177" s="36"/>
      <c r="B177" t="s">
        <v>120</v>
      </c>
      <c r="C177" s="36" t="str">
        <f>'Status Thresholds'!B168</f>
        <v>Chamelos</v>
      </c>
      <c r="E177" s="36" t="str">
        <f t="shared" si="7"/>
        <v>Chamelos</v>
      </c>
      <c r="F177" s="36" t="str">
        <f>IFERROR(VLOOKUP($E177,'Status Thresholds'!$E:$AS,1,FALSE),"")</f>
        <v/>
      </c>
      <c r="G177" t="s">
        <v>21</v>
      </c>
      <c r="H177" s="55" t="str">
        <f t="shared" si="8"/>
        <v>ChamelosTriblast</v>
      </c>
      <c r="I177" s="50">
        <v>2</v>
      </c>
      <c r="J177" s="36">
        <v>2</v>
      </c>
      <c r="K177" s="36">
        <v>1</v>
      </c>
      <c r="L177" s="36">
        <v>2</v>
      </c>
      <c r="M177" s="36">
        <v>0</v>
      </c>
      <c r="N177" s="50">
        <v>0</v>
      </c>
      <c r="O177" s="36">
        <v>0</v>
      </c>
      <c r="P177" s="36">
        <v>0</v>
      </c>
      <c r="Q177" s="36">
        <v>0</v>
      </c>
      <c r="R177" s="36">
        <v>0</v>
      </c>
      <c r="S177" s="50">
        <v>0</v>
      </c>
      <c r="T177" s="36">
        <v>0</v>
      </c>
      <c r="U177" s="36">
        <v>0</v>
      </c>
      <c r="V177" s="36">
        <v>0</v>
      </c>
      <c r="W177" s="36">
        <v>0</v>
      </c>
      <c r="X177" s="50">
        <v>0</v>
      </c>
      <c r="Y177" s="36">
        <v>0</v>
      </c>
      <c r="Z177" s="36">
        <v>0</v>
      </c>
      <c r="AA177" s="36">
        <v>0</v>
      </c>
      <c r="AB177" s="36">
        <v>0</v>
      </c>
      <c r="AC177" s="50">
        <v>0</v>
      </c>
      <c r="AD177" s="36">
        <v>0</v>
      </c>
      <c r="AE177" s="36">
        <v>2</v>
      </c>
      <c r="AF177" s="36">
        <v>2</v>
      </c>
      <c r="AG177" s="36">
        <v>0</v>
      </c>
      <c r="AH177" s="50">
        <v>0</v>
      </c>
      <c r="AI177" s="36">
        <v>0</v>
      </c>
      <c r="AJ177" s="36">
        <v>0</v>
      </c>
      <c r="AK177" s="36">
        <v>0</v>
      </c>
      <c r="AL177" s="36">
        <v>0</v>
      </c>
      <c r="AM177" s="50">
        <v>0</v>
      </c>
      <c r="AN177" s="36">
        <v>0</v>
      </c>
      <c r="AO177" s="36">
        <v>0</v>
      </c>
      <c r="AP177" s="36">
        <v>0</v>
      </c>
      <c r="AQ177" s="36">
        <v>0</v>
      </c>
      <c r="AR177" s="50">
        <v>0</v>
      </c>
      <c r="AS177" s="36">
        <v>0</v>
      </c>
      <c r="AT177" s="36">
        <v>0</v>
      </c>
      <c r="AU177" s="36">
        <v>0</v>
      </c>
      <c r="AV177" s="36">
        <v>0</v>
      </c>
      <c r="AW177">
        <v>0</v>
      </c>
    </row>
    <row r="178" spans="1:50" x14ac:dyDescent="0.25">
      <c r="A178" s="36"/>
      <c r="B178" t="s">
        <v>120</v>
      </c>
      <c r="C178" s="36" t="str">
        <f>'Status Thresholds'!B169</f>
        <v>Chamelos</v>
      </c>
      <c r="E178" s="36" t="str">
        <f t="shared" si="7"/>
        <v>Chamelos</v>
      </c>
      <c r="F178" s="36" t="str">
        <f>IFERROR(VLOOKUP($E178,'Status Thresholds'!$E:$AS,1,FALSE),"")</f>
        <v/>
      </c>
      <c r="G178" t="s">
        <v>13</v>
      </c>
      <c r="H178" s="55" t="str">
        <f t="shared" si="8"/>
        <v>ChamelosCrag 3</v>
      </c>
      <c r="I178" s="50">
        <v>2</v>
      </c>
      <c r="J178" s="36">
        <v>4</v>
      </c>
      <c r="K178" s="36">
        <v>3</v>
      </c>
      <c r="L178" s="36">
        <v>4</v>
      </c>
      <c r="M178" s="36">
        <v>0</v>
      </c>
      <c r="N178" s="50">
        <v>0</v>
      </c>
      <c r="O178" s="36">
        <v>0</v>
      </c>
      <c r="P178" s="36">
        <v>0</v>
      </c>
      <c r="Q178" s="36">
        <v>0</v>
      </c>
      <c r="R178" s="36">
        <v>0</v>
      </c>
      <c r="S178" s="50">
        <v>0</v>
      </c>
      <c r="T178" s="36">
        <v>0</v>
      </c>
      <c r="U178" s="36">
        <v>0</v>
      </c>
      <c r="V178" s="36">
        <v>0</v>
      </c>
      <c r="W178" s="36">
        <v>0</v>
      </c>
      <c r="X178" s="50">
        <v>0</v>
      </c>
      <c r="Y178" s="36">
        <v>0</v>
      </c>
      <c r="Z178" s="36">
        <v>0</v>
      </c>
      <c r="AA178" s="36">
        <v>0</v>
      </c>
      <c r="AB178" s="36">
        <v>0</v>
      </c>
      <c r="AC178" s="50">
        <v>3</v>
      </c>
      <c r="AD178" s="36">
        <v>3</v>
      </c>
      <c r="AE178" s="36">
        <v>3</v>
      </c>
      <c r="AF178" s="36">
        <v>4</v>
      </c>
      <c r="AG178" s="36">
        <v>0</v>
      </c>
      <c r="AH178" s="50">
        <v>0</v>
      </c>
      <c r="AI178" s="36">
        <v>0</v>
      </c>
      <c r="AJ178" s="36">
        <v>0</v>
      </c>
      <c r="AK178" s="36">
        <v>0</v>
      </c>
      <c r="AL178" s="36">
        <v>0</v>
      </c>
      <c r="AM178" s="50">
        <v>0</v>
      </c>
      <c r="AN178" s="36">
        <v>0</v>
      </c>
      <c r="AO178" s="36">
        <v>0</v>
      </c>
      <c r="AP178" s="36">
        <v>0</v>
      </c>
      <c r="AQ178" s="36">
        <v>0</v>
      </c>
      <c r="AR178" s="50">
        <v>0</v>
      </c>
      <c r="AS178" s="36">
        <v>0</v>
      </c>
      <c r="AT178" s="36">
        <v>0</v>
      </c>
      <c r="AU178" s="36">
        <v>0</v>
      </c>
      <c r="AV178" s="36">
        <v>0</v>
      </c>
      <c r="AW178">
        <v>0</v>
      </c>
      <c r="AX178">
        <v>0</v>
      </c>
    </row>
    <row r="179" spans="1:50" x14ac:dyDescent="0.25">
      <c r="A179" s="36"/>
      <c r="B179" t="s">
        <v>120</v>
      </c>
      <c r="C179" s="36" t="str">
        <f>'Status Thresholds'!B170</f>
        <v>Chamelos</v>
      </c>
      <c r="E179" s="36" t="str">
        <f t="shared" si="7"/>
        <v>Chamelos</v>
      </c>
      <c r="F179" s="36" t="str">
        <f>IFERROR(VLOOKUP($E179,'Status Thresholds'!$E:$AS,1,FALSE),"")</f>
        <v/>
      </c>
      <c r="G179" t="s">
        <v>12</v>
      </c>
      <c r="H179" s="55" t="str">
        <f t="shared" si="8"/>
        <v>ChamelosCrag 2</v>
      </c>
      <c r="I179" s="50">
        <v>0</v>
      </c>
      <c r="J179" s="36">
        <v>0</v>
      </c>
      <c r="K179" s="36">
        <v>4</v>
      </c>
      <c r="L179" s="36">
        <v>3</v>
      </c>
      <c r="M179" s="36">
        <v>0</v>
      </c>
      <c r="N179" s="50">
        <v>0</v>
      </c>
      <c r="O179" s="36">
        <v>0</v>
      </c>
      <c r="P179" s="36">
        <v>0</v>
      </c>
      <c r="Q179" s="36">
        <v>0</v>
      </c>
      <c r="R179" s="36">
        <v>0</v>
      </c>
      <c r="S179" s="50">
        <v>0</v>
      </c>
      <c r="T179" s="36">
        <v>0</v>
      </c>
      <c r="U179" s="36">
        <v>0</v>
      </c>
      <c r="V179" s="36">
        <v>0</v>
      </c>
      <c r="W179" s="36">
        <v>0</v>
      </c>
      <c r="X179" s="50">
        <v>0</v>
      </c>
      <c r="Y179" s="36">
        <v>0</v>
      </c>
      <c r="Z179" s="36">
        <v>0</v>
      </c>
      <c r="AA179" s="36">
        <v>0</v>
      </c>
      <c r="AB179" s="36">
        <v>0</v>
      </c>
      <c r="AC179" s="50">
        <v>0</v>
      </c>
      <c r="AD179" s="36">
        <v>4</v>
      </c>
      <c r="AE179" s="36">
        <v>3</v>
      </c>
      <c r="AF179" s="36">
        <v>4</v>
      </c>
      <c r="AG179" s="36">
        <v>0</v>
      </c>
      <c r="AH179" s="50">
        <v>0</v>
      </c>
      <c r="AI179" s="36">
        <v>0</v>
      </c>
      <c r="AJ179" s="36">
        <v>0</v>
      </c>
      <c r="AK179" s="36">
        <v>0</v>
      </c>
      <c r="AL179" s="36">
        <v>0</v>
      </c>
      <c r="AM179" s="50">
        <v>0</v>
      </c>
      <c r="AN179" s="36">
        <v>0</v>
      </c>
      <c r="AO179" s="36">
        <v>0</v>
      </c>
      <c r="AP179" s="36">
        <v>0</v>
      </c>
      <c r="AQ179" s="36">
        <v>0</v>
      </c>
      <c r="AR179" s="50">
        <v>0</v>
      </c>
      <c r="AS179" s="36">
        <v>0</v>
      </c>
      <c r="AT179" s="36">
        <v>0</v>
      </c>
      <c r="AU179" s="36">
        <v>0</v>
      </c>
      <c r="AV179" s="36">
        <v>0</v>
      </c>
      <c r="AW179">
        <v>0</v>
      </c>
      <c r="AX179">
        <v>0</v>
      </c>
    </row>
    <row r="180" spans="1:50" x14ac:dyDescent="0.25">
      <c r="A180" s="36"/>
      <c r="B180" t="s">
        <v>120</v>
      </c>
      <c r="C180" s="36" t="str">
        <f>'Status Thresholds'!B171</f>
        <v>Chamelos</v>
      </c>
      <c r="E180" s="36" t="str">
        <f t="shared" si="7"/>
        <v>Chamelos</v>
      </c>
      <c r="F180" s="36" t="str">
        <f>IFERROR(VLOOKUP($E180,'Status Thresholds'!$E:$AS,1,FALSE),"")</f>
        <v/>
      </c>
      <c r="G180" t="s">
        <v>11</v>
      </c>
      <c r="H180" s="55" t="str">
        <f t="shared" si="8"/>
        <v>ChamelosCrag 1</v>
      </c>
      <c r="I180" s="50">
        <v>2</v>
      </c>
      <c r="J180" s="36">
        <v>3</v>
      </c>
      <c r="K180" s="36">
        <v>7</v>
      </c>
      <c r="L180" s="36">
        <v>8</v>
      </c>
      <c r="M180" s="36">
        <v>0</v>
      </c>
      <c r="N180" s="50">
        <v>0</v>
      </c>
      <c r="O180" s="36">
        <v>0</v>
      </c>
      <c r="P180" s="36">
        <v>0</v>
      </c>
      <c r="Q180" s="36">
        <v>0</v>
      </c>
      <c r="R180" s="36">
        <v>0</v>
      </c>
      <c r="S180" s="50">
        <v>0</v>
      </c>
      <c r="T180" s="36">
        <v>0</v>
      </c>
      <c r="U180" s="36">
        <v>0</v>
      </c>
      <c r="V180" s="36">
        <v>0</v>
      </c>
      <c r="W180" s="36">
        <v>0</v>
      </c>
      <c r="X180" s="50">
        <v>0</v>
      </c>
      <c r="Y180" s="36">
        <v>0</v>
      </c>
      <c r="Z180" s="36">
        <v>0</v>
      </c>
      <c r="AA180" s="36">
        <v>0</v>
      </c>
      <c r="AB180" s="36">
        <v>0</v>
      </c>
      <c r="AC180" s="50">
        <v>8</v>
      </c>
      <c r="AD180" s="36">
        <v>8</v>
      </c>
      <c r="AE180" s="36">
        <v>8</v>
      </c>
      <c r="AF180" s="36">
        <v>8</v>
      </c>
      <c r="AG180" s="36">
        <v>0</v>
      </c>
      <c r="AH180" s="50">
        <v>0</v>
      </c>
      <c r="AI180" s="36">
        <v>0</v>
      </c>
      <c r="AJ180" s="36">
        <v>0</v>
      </c>
      <c r="AK180" s="36">
        <v>0</v>
      </c>
      <c r="AL180" s="36">
        <v>0</v>
      </c>
      <c r="AM180" s="50">
        <v>0</v>
      </c>
      <c r="AN180" s="36">
        <v>0</v>
      </c>
      <c r="AO180" s="36">
        <v>0</v>
      </c>
      <c r="AP180" s="36">
        <v>0</v>
      </c>
      <c r="AQ180" s="36">
        <v>0</v>
      </c>
      <c r="AR180" s="50">
        <v>0</v>
      </c>
      <c r="AS180" s="36">
        <v>0</v>
      </c>
      <c r="AT180" s="36">
        <v>0</v>
      </c>
      <c r="AU180" s="36">
        <v>0</v>
      </c>
      <c r="AV180" s="36">
        <v>1</v>
      </c>
      <c r="AW180">
        <v>0</v>
      </c>
      <c r="AX180">
        <v>0</v>
      </c>
    </row>
    <row r="181" spans="1:50" x14ac:dyDescent="0.25">
      <c r="A181" s="36"/>
      <c r="B181" t="s">
        <v>119</v>
      </c>
      <c r="C181" s="36" t="str">
        <f>'Status Thresholds'!B172</f>
        <v>Chamelos</v>
      </c>
      <c r="E181" s="36" t="str">
        <f t="shared" si="7"/>
        <v>Chamelos</v>
      </c>
      <c r="F181" s="36" t="str">
        <f>IFERROR(VLOOKUP($E181,'Status Thresholds'!$E:$AS,1,FALSE),"")</f>
        <v/>
      </c>
      <c r="G181" t="s">
        <v>21</v>
      </c>
      <c r="H181" s="55" t="str">
        <f t="shared" si="8"/>
        <v>ChamelosTriblast</v>
      </c>
      <c r="I181" s="50">
        <v>0</v>
      </c>
      <c r="J181" s="36">
        <v>1</v>
      </c>
      <c r="K181" s="36">
        <v>1</v>
      </c>
      <c r="L181" s="36">
        <v>2</v>
      </c>
      <c r="M181" s="36">
        <v>0</v>
      </c>
      <c r="N181" s="50">
        <v>0</v>
      </c>
      <c r="O181" s="36">
        <v>0</v>
      </c>
      <c r="P181" s="36">
        <v>0</v>
      </c>
      <c r="Q181" s="36">
        <v>0</v>
      </c>
      <c r="R181" s="36">
        <v>0</v>
      </c>
      <c r="S181" s="50">
        <v>0</v>
      </c>
      <c r="T181" s="36">
        <v>0</v>
      </c>
      <c r="U181" s="36">
        <v>0</v>
      </c>
      <c r="V181" s="36">
        <v>0</v>
      </c>
      <c r="W181" s="36">
        <v>0</v>
      </c>
      <c r="X181" s="50">
        <v>0</v>
      </c>
      <c r="Y181" s="36">
        <v>0</v>
      </c>
      <c r="Z181" s="36">
        <v>0</v>
      </c>
      <c r="AA181" s="36">
        <v>0</v>
      </c>
      <c r="AB181" s="36">
        <v>0</v>
      </c>
      <c r="AC181" s="50">
        <v>2</v>
      </c>
      <c r="AD181" s="36">
        <v>1</v>
      </c>
      <c r="AE181" s="36">
        <v>2</v>
      </c>
      <c r="AF181" s="36">
        <v>2</v>
      </c>
      <c r="AG181" s="36">
        <v>0</v>
      </c>
      <c r="AH181" s="50">
        <v>0</v>
      </c>
      <c r="AI181" s="36">
        <v>0</v>
      </c>
      <c r="AJ181" s="36">
        <v>0</v>
      </c>
      <c r="AK181" s="36">
        <v>0</v>
      </c>
      <c r="AL181" s="36">
        <v>0</v>
      </c>
      <c r="AM181" s="50">
        <v>0</v>
      </c>
      <c r="AN181" s="36">
        <v>0</v>
      </c>
      <c r="AO181" s="36">
        <v>0</v>
      </c>
      <c r="AP181" s="36">
        <v>0</v>
      </c>
      <c r="AQ181" s="36">
        <v>0</v>
      </c>
      <c r="AR181" s="50">
        <v>0</v>
      </c>
      <c r="AS181" s="36">
        <v>0</v>
      </c>
      <c r="AT181" s="36">
        <v>0</v>
      </c>
      <c r="AU181" s="36">
        <v>0</v>
      </c>
      <c r="AV181" s="36">
        <v>0</v>
      </c>
      <c r="AW181">
        <v>0</v>
      </c>
      <c r="AX181">
        <v>0</v>
      </c>
    </row>
    <row r="182" spans="1:50" x14ac:dyDescent="0.25">
      <c r="A182" s="36"/>
      <c r="B182" t="s">
        <v>119</v>
      </c>
      <c r="C182" s="36" t="str">
        <f>'Status Thresholds'!B173</f>
        <v>Chamelos</v>
      </c>
      <c r="E182" s="36" t="str">
        <f t="shared" si="7"/>
        <v>Chamelos</v>
      </c>
      <c r="F182" s="36" t="str">
        <f>IFERROR(VLOOKUP($E182,'Status Thresholds'!$E:$AS,1,FALSE),"")</f>
        <v/>
      </c>
      <c r="G182" t="s">
        <v>13</v>
      </c>
      <c r="H182" s="55" t="str">
        <f t="shared" si="8"/>
        <v>ChamelosCrag 3</v>
      </c>
      <c r="I182" s="50">
        <v>0</v>
      </c>
      <c r="J182" s="36">
        <v>2</v>
      </c>
      <c r="K182" s="36">
        <v>2</v>
      </c>
      <c r="L182" s="36">
        <v>2</v>
      </c>
      <c r="M182" s="36">
        <v>0</v>
      </c>
      <c r="N182" s="50">
        <v>0</v>
      </c>
      <c r="O182" s="36">
        <v>0</v>
      </c>
      <c r="P182" s="36">
        <v>0</v>
      </c>
      <c r="Q182" s="36">
        <v>0</v>
      </c>
      <c r="R182" s="36">
        <v>0</v>
      </c>
      <c r="S182" s="50">
        <v>0</v>
      </c>
      <c r="T182" s="36">
        <v>0</v>
      </c>
      <c r="U182" s="36">
        <v>0</v>
      </c>
      <c r="V182" s="36">
        <v>0</v>
      </c>
      <c r="W182" s="36">
        <v>0</v>
      </c>
      <c r="X182" s="50">
        <v>0</v>
      </c>
      <c r="Y182" s="36">
        <v>0</v>
      </c>
      <c r="Z182" s="36">
        <v>0</v>
      </c>
      <c r="AA182" s="36">
        <v>0</v>
      </c>
      <c r="AB182" s="36">
        <v>0</v>
      </c>
      <c r="AC182" s="50">
        <v>1</v>
      </c>
      <c r="AD182" s="36">
        <v>1</v>
      </c>
      <c r="AE182" s="36">
        <v>4</v>
      </c>
      <c r="AF182" s="36">
        <v>4</v>
      </c>
      <c r="AG182" s="36">
        <v>0</v>
      </c>
      <c r="AH182" s="50">
        <v>0</v>
      </c>
      <c r="AI182" s="36">
        <v>0</v>
      </c>
      <c r="AJ182" s="36">
        <v>0</v>
      </c>
      <c r="AK182" s="36">
        <v>0</v>
      </c>
      <c r="AL182" s="36">
        <v>0</v>
      </c>
      <c r="AM182" s="50">
        <v>0</v>
      </c>
      <c r="AN182" s="36">
        <v>0</v>
      </c>
      <c r="AO182" s="36">
        <v>0</v>
      </c>
      <c r="AP182" s="36">
        <v>0</v>
      </c>
      <c r="AQ182" s="36">
        <v>0</v>
      </c>
      <c r="AR182" s="50">
        <v>0</v>
      </c>
      <c r="AS182" s="36">
        <v>0</v>
      </c>
      <c r="AT182" s="36">
        <v>0</v>
      </c>
      <c r="AU182" s="36">
        <v>0</v>
      </c>
      <c r="AV182" s="36">
        <v>0</v>
      </c>
      <c r="AW182">
        <v>0</v>
      </c>
      <c r="AX182">
        <v>0</v>
      </c>
    </row>
    <row r="183" spans="1:50" x14ac:dyDescent="0.25">
      <c r="A183" s="36"/>
      <c r="B183" t="s">
        <v>119</v>
      </c>
      <c r="C183" s="36" t="str">
        <f>'Status Thresholds'!B174</f>
        <v>Chamelos</v>
      </c>
      <c r="E183" s="36" t="str">
        <f t="shared" si="7"/>
        <v>Chamelos</v>
      </c>
      <c r="F183" s="36" t="str">
        <f>IFERROR(VLOOKUP($E183,'Status Thresholds'!$E:$AS,1,FALSE),"")</f>
        <v/>
      </c>
      <c r="G183" t="s">
        <v>12</v>
      </c>
      <c r="H183" s="55" t="str">
        <f t="shared" si="8"/>
        <v>ChamelosCrag 2</v>
      </c>
      <c r="I183" s="50">
        <v>2</v>
      </c>
      <c r="J183" s="36">
        <v>0</v>
      </c>
      <c r="K183" s="36">
        <v>4</v>
      </c>
      <c r="L183" s="36">
        <v>4</v>
      </c>
      <c r="M183" s="36">
        <v>0</v>
      </c>
      <c r="N183" s="50">
        <v>0</v>
      </c>
      <c r="O183" s="36">
        <v>0</v>
      </c>
      <c r="P183" s="36">
        <v>0</v>
      </c>
      <c r="Q183" s="36">
        <v>0</v>
      </c>
      <c r="R183" s="36">
        <v>0</v>
      </c>
      <c r="S183" s="50">
        <v>0</v>
      </c>
      <c r="T183" s="36">
        <v>0</v>
      </c>
      <c r="U183" s="36">
        <v>0</v>
      </c>
      <c r="V183" s="36">
        <v>0</v>
      </c>
      <c r="W183" s="36">
        <v>0</v>
      </c>
      <c r="X183" s="50">
        <v>0</v>
      </c>
      <c r="Y183" s="36">
        <v>0</v>
      </c>
      <c r="Z183" s="36">
        <v>0</v>
      </c>
      <c r="AA183" s="36">
        <v>0</v>
      </c>
      <c r="AB183" s="36">
        <v>0</v>
      </c>
      <c r="AC183" s="50">
        <v>1</v>
      </c>
      <c r="AD183" s="36">
        <v>3</v>
      </c>
      <c r="AE183" s="36">
        <v>1</v>
      </c>
      <c r="AF183" s="36">
        <v>4</v>
      </c>
      <c r="AG183" s="36">
        <v>0</v>
      </c>
      <c r="AH183" s="50">
        <v>0</v>
      </c>
      <c r="AI183" s="36">
        <v>0</v>
      </c>
      <c r="AJ183" s="36">
        <v>0</v>
      </c>
      <c r="AK183" s="36">
        <v>0</v>
      </c>
      <c r="AL183" s="36">
        <v>0</v>
      </c>
      <c r="AM183" s="50">
        <v>0</v>
      </c>
      <c r="AN183" s="36">
        <v>0</v>
      </c>
      <c r="AO183" s="36">
        <v>0</v>
      </c>
      <c r="AP183" s="36">
        <v>0</v>
      </c>
      <c r="AQ183" s="36">
        <v>0</v>
      </c>
      <c r="AR183" s="50">
        <v>0</v>
      </c>
      <c r="AS183" s="36">
        <v>0</v>
      </c>
      <c r="AT183" s="36">
        <v>0</v>
      </c>
      <c r="AU183" s="36">
        <v>0</v>
      </c>
      <c r="AV183" s="36">
        <v>0</v>
      </c>
      <c r="AW183">
        <v>0</v>
      </c>
      <c r="AX183">
        <v>0</v>
      </c>
    </row>
    <row r="184" spans="1:50" x14ac:dyDescent="0.25">
      <c r="A184" s="36"/>
      <c r="B184" t="s">
        <v>119</v>
      </c>
      <c r="C184" s="36" t="str">
        <f>'Status Thresholds'!B175</f>
        <v>Chamelos</v>
      </c>
      <c r="E184" s="36" t="str">
        <f t="shared" si="7"/>
        <v>Chamelos</v>
      </c>
      <c r="F184" s="36" t="str">
        <f>IFERROR(VLOOKUP($E184,'Status Thresholds'!$E:$AS,1,FALSE),"")</f>
        <v/>
      </c>
      <c r="G184" t="s">
        <v>11</v>
      </c>
      <c r="H184" s="55" t="str">
        <f t="shared" si="8"/>
        <v>ChamelosCrag 1</v>
      </c>
      <c r="I184" s="50">
        <v>8</v>
      </c>
      <c r="J184" s="36">
        <v>8</v>
      </c>
      <c r="K184" s="36">
        <v>7</v>
      </c>
      <c r="L184" s="36">
        <v>8</v>
      </c>
      <c r="M184" s="36">
        <v>0</v>
      </c>
      <c r="N184" s="50">
        <v>0</v>
      </c>
      <c r="O184" s="36">
        <v>0</v>
      </c>
      <c r="P184" s="36">
        <v>0</v>
      </c>
      <c r="Q184" s="36">
        <v>0</v>
      </c>
      <c r="R184" s="36">
        <v>0</v>
      </c>
      <c r="S184" s="50">
        <v>0</v>
      </c>
      <c r="T184" s="36">
        <v>0</v>
      </c>
      <c r="U184" s="36">
        <v>0</v>
      </c>
      <c r="V184" s="36">
        <v>0</v>
      </c>
      <c r="W184" s="36">
        <v>0</v>
      </c>
      <c r="X184" s="50">
        <v>0</v>
      </c>
      <c r="Y184" s="36">
        <v>0</v>
      </c>
      <c r="Z184" s="36">
        <v>0</v>
      </c>
      <c r="AA184" s="36">
        <v>0</v>
      </c>
      <c r="AB184" s="36">
        <v>0</v>
      </c>
      <c r="AC184" s="50">
        <v>3</v>
      </c>
      <c r="AD184" s="36">
        <v>8</v>
      </c>
      <c r="AE184" s="36">
        <v>7</v>
      </c>
      <c r="AF184" s="36">
        <v>8</v>
      </c>
      <c r="AG184" s="36">
        <v>0</v>
      </c>
      <c r="AH184" s="50">
        <v>0</v>
      </c>
      <c r="AI184" s="36">
        <v>0</v>
      </c>
      <c r="AJ184" s="36">
        <v>0</v>
      </c>
      <c r="AK184" s="36">
        <v>0</v>
      </c>
      <c r="AL184" s="36">
        <v>0</v>
      </c>
      <c r="AM184" s="50">
        <v>0</v>
      </c>
      <c r="AN184" s="36">
        <v>0</v>
      </c>
      <c r="AO184" s="36">
        <v>0</v>
      </c>
      <c r="AP184" s="36">
        <v>0</v>
      </c>
      <c r="AQ184" s="36">
        <v>0</v>
      </c>
      <c r="AR184" s="50">
        <v>0</v>
      </c>
      <c r="AS184" s="36">
        <v>0</v>
      </c>
      <c r="AT184" s="36">
        <v>0</v>
      </c>
      <c r="AU184" s="36">
        <v>0</v>
      </c>
      <c r="AV184" s="36">
        <v>1</v>
      </c>
      <c r="AW184">
        <v>0</v>
      </c>
      <c r="AX184">
        <v>0</v>
      </c>
    </row>
    <row r="185" spans="1:50" x14ac:dyDescent="0.25">
      <c r="A185" s="36"/>
      <c r="B185" t="s">
        <v>121</v>
      </c>
      <c r="C185" s="36" t="str">
        <f>'Status Thresholds'!B176</f>
        <v>Congalala</v>
      </c>
      <c r="D185" t="s">
        <v>14</v>
      </c>
      <c r="E185" s="36" t="str">
        <f t="shared" si="7"/>
        <v>CongalalaKO</v>
      </c>
      <c r="F185" s="36" t="str">
        <f>IFERROR(VLOOKUP($E185,'Status Thresholds'!$E:$AS,1,FALSE),"")</f>
        <v>CongalalaKO</v>
      </c>
      <c r="H185" s="55" t="str">
        <f t="shared" si="8"/>
        <v>CongalalaKO</v>
      </c>
      <c r="I185" s="50">
        <f>VLOOKUP($F185,'Status Thresholds'!$E:$AS,2,FALSE)</f>
        <v>105</v>
      </c>
      <c r="J185" s="36">
        <f>VLOOKUP($F185,'Status Thresholds'!$E:$AS,3,FALSE)</f>
        <v>292</v>
      </c>
      <c r="K185" s="36">
        <f>VLOOKUP($F185,'Status Thresholds'!$E:$AS,4,FALSE)</f>
        <v>479</v>
      </c>
      <c r="L185" s="36">
        <f>VLOOKUP($F185,'Status Thresholds'!$E:$AS,5,FALSE)</f>
        <v>666</v>
      </c>
      <c r="M185" s="36">
        <f>VLOOKUP($F185,'Status Thresholds'!$E:$AS,6,FALSE)</f>
        <v>0</v>
      </c>
      <c r="N185" s="50">
        <f>VLOOKUP($F185,'Status Thresholds'!$E:$AS,7,FALSE)</f>
        <v>0</v>
      </c>
      <c r="O185" s="36">
        <f>VLOOKUP($F185,'Status Thresholds'!$E:$AS,8,FALSE)</f>
        <v>0</v>
      </c>
      <c r="P185" s="36">
        <f>VLOOKUP($F185,'Status Thresholds'!$E:$AS,9,FALSE)</f>
        <v>0</v>
      </c>
      <c r="Q185" s="36">
        <f>VLOOKUP($F185,'Status Thresholds'!$E:$AS,10,FALSE)</f>
        <v>0</v>
      </c>
      <c r="R185" s="36">
        <f>VLOOKUP($F185,'Status Thresholds'!$E:$AS,11,FALSE)</f>
        <v>0</v>
      </c>
      <c r="S185" s="50">
        <f>VLOOKUP($F185,'Status Thresholds'!$E:$AS,12,FALSE)</f>
        <v>0</v>
      </c>
      <c r="T185" s="36">
        <f>VLOOKUP($F185,'Status Thresholds'!$E:$AS,13,FALSE)</f>
        <v>0</v>
      </c>
      <c r="U185" s="36">
        <f>VLOOKUP($F185,'Status Thresholds'!$E:$AS,14,FALSE)</f>
        <v>0</v>
      </c>
      <c r="V185" s="36">
        <f>VLOOKUP($F185,'Status Thresholds'!$E:$AS,15,FALSE)</f>
        <v>0</v>
      </c>
      <c r="W185" s="36">
        <f>VLOOKUP($F185,'Status Thresholds'!$E:$AS,16,FALSE)</f>
        <v>0</v>
      </c>
      <c r="X185" s="50">
        <f>VLOOKUP($F185,'Status Thresholds'!$E:$AS,17,FALSE)</f>
        <v>0</v>
      </c>
      <c r="Y185" s="36">
        <f>VLOOKUP($F185,'Status Thresholds'!$E:$AS,18,FALSE)</f>
        <v>0</v>
      </c>
      <c r="Z185" s="36">
        <f>VLOOKUP($F185,'Status Thresholds'!$E:$AS,19,FALSE)</f>
        <v>0</v>
      </c>
      <c r="AA185" s="36">
        <f>VLOOKUP($F185,'Status Thresholds'!$E:$AS,20,FALSE)</f>
        <v>0</v>
      </c>
      <c r="AB185" s="36">
        <f>VLOOKUP($F185,'Status Thresholds'!$E:$AS,21,FALSE)</f>
        <v>0</v>
      </c>
      <c r="AC185" s="50">
        <f>VLOOKUP($F185,'Status Thresholds'!$E:$AS,22,FALSE)</f>
        <v>210</v>
      </c>
      <c r="AD185" s="36">
        <f>VLOOKUP($F185,'Status Thresholds'!$E:$AS,23,FALSE)</f>
        <v>315</v>
      </c>
      <c r="AE185" s="36">
        <f>VLOOKUP($F185,'Status Thresholds'!$E:$AS,24,FALSE)</f>
        <v>420</v>
      </c>
      <c r="AF185" s="36">
        <f>VLOOKUP($F185,'Status Thresholds'!$E:$AS,25,FALSE)</f>
        <v>525</v>
      </c>
      <c r="AG185" s="36">
        <f>VLOOKUP($F185,'Status Thresholds'!$E:$AS,26,FALSE)</f>
        <v>0</v>
      </c>
      <c r="AH185" s="50">
        <f>VLOOKUP($F185,'Status Thresholds'!$E:$AS,27,FALSE)</f>
        <v>210</v>
      </c>
      <c r="AI185" s="36">
        <f>VLOOKUP($F185,'Status Thresholds'!$E:$AS,28,FALSE)</f>
        <v>315</v>
      </c>
      <c r="AJ185" s="36">
        <f>VLOOKUP($F185,'Status Thresholds'!$E:$AS,29,FALSE)</f>
        <v>420</v>
      </c>
      <c r="AK185" s="36">
        <f>VLOOKUP($F185,'Status Thresholds'!$E:$AS,30,FALSE)</f>
        <v>525</v>
      </c>
      <c r="AL185" s="36">
        <f>VLOOKUP($F185,'Status Thresholds'!$E:$AS,31,FALSE)</f>
        <v>0</v>
      </c>
      <c r="AM185" s="50">
        <f>VLOOKUP($F185,'Status Thresholds'!$E:$AS,32,FALSE)</f>
        <v>300</v>
      </c>
      <c r="AN185" s="36">
        <f>VLOOKUP($F185,'Status Thresholds'!$E:$AS,33,FALSE)</f>
        <v>450</v>
      </c>
      <c r="AO185" s="36">
        <f>VLOOKUP($F185,'Status Thresholds'!$E:$AS,34,FALSE)</f>
        <v>600</v>
      </c>
      <c r="AP185" s="36">
        <f>VLOOKUP($F185,'Status Thresholds'!$E:$AS,35,FALSE)</f>
        <v>750</v>
      </c>
      <c r="AQ185" s="36">
        <f>VLOOKUP($F185,'Status Thresholds'!$E:$AS,36,FALSE)</f>
        <v>0</v>
      </c>
      <c r="AR185" s="50">
        <f>VLOOKUP($F185,'Status Thresholds'!$E:$AS,37,FALSE)</f>
        <v>0</v>
      </c>
      <c r="AS185" s="36">
        <f>VLOOKUP($F185,'Status Thresholds'!$E:$AS,38,FALSE)</f>
        <v>0</v>
      </c>
      <c r="AT185" s="36">
        <f>VLOOKUP($F185,'Status Thresholds'!$E:$AS,39,FALSE)</f>
        <v>0</v>
      </c>
      <c r="AU185" s="36">
        <f>VLOOKUP($F185,'Status Thresholds'!$E:$AS,40,FALSE)</f>
        <v>0</v>
      </c>
      <c r="AV185" s="36">
        <f>VLOOKUP($F185,'Status Thresholds'!$E:$AS,41,FALSE)</f>
        <v>10</v>
      </c>
      <c r="AW185">
        <v>0</v>
      </c>
      <c r="AX185">
        <v>0</v>
      </c>
    </row>
    <row r="186" spans="1:50" x14ac:dyDescent="0.25">
      <c r="A186" s="36"/>
      <c r="B186" t="s">
        <v>120</v>
      </c>
      <c r="C186" s="36" t="str">
        <f>'Status Thresholds'!B177</f>
        <v>Congalala</v>
      </c>
      <c r="E186" s="36" t="str">
        <f t="shared" si="7"/>
        <v>Congalala</v>
      </c>
      <c r="F186" s="36" t="str">
        <f>IFERROR(VLOOKUP($E186,'Status Thresholds'!$E:$AS,1,FALSE),"")</f>
        <v/>
      </c>
      <c r="G186" t="s">
        <v>21</v>
      </c>
      <c r="H186" s="55" t="str">
        <f t="shared" si="8"/>
        <v>CongalalaTriblast</v>
      </c>
      <c r="I186" s="50">
        <v>1</v>
      </c>
      <c r="J186" s="36">
        <v>0</v>
      </c>
      <c r="K186" s="36">
        <v>2</v>
      </c>
      <c r="L186" s="36">
        <v>2</v>
      </c>
      <c r="M186" s="36">
        <v>0</v>
      </c>
      <c r="N186" s="50">
        <v>0</v>
      </c>
      <c r="O186" s="36">
        <v>0</v>
      </c>
      <c r="P186" s="36">
        <v>0</v>
      </c>
      <c r="Q186" s="36">
        <v>0</v>
      </c>
      <c r="R186" s="36">
        <v>0</v>
      </c>
      <c r="S186" s="50">
        <v>0</v>
      </c>
      <c r="T186" s="36">
        <v>0</v>
      </c>
      <c r="U186" s="36">
        <v>0</v>
      </c>
      <c r="V186" s="36">
        <v>0</v>
      </c>
      <c r="W186" s="36">
        <v>0</v>
      </c>
      <c r="X186" s="50">
        <v>0</v>
      </c>
      <c r="Y186" s="36">
        <v>0</v>
      </c>
      <c r="Z186" s="36">
        <v>0</v>
      </c>
      <c r="AA186" s="36">
        <v>0</v>
      </c>
      <c r="AB186" s="36">
        <v>0</v>
      </c>
      <c r="AC186" s="50">
        <v>2</v>
      </c>
      <c r="AD186" s="36">
        <v>1</v>
      </c>
      <c r="AE186" s="36">
        <v>2</v>
      </c>
      <c r="AF186" s="36">
        <v>1</v>
      </c>
      <c r="AG186" s="36">
        <v>0</v>
      </c>
      <c r="AH186" s="50">
        <v>2</v>
      </c>
      <c r="AI186" s="36">
        <v>1</v>
      </c>
      <c r="AJ186" s="36">
        <v>2</v>
      </c>
      <c r="AK186" s="36">
        <v>1</v>
      </c>
      <c r="AL186" s="36">
        <v>0</v>
      </c>
      <c r="AM186" s="50">
        <v>2</v>
      </c>
      <c r="AN186" s="36">
        <v>0</v>
      </c>
      <c r="AO186" s="36">
        <v>2</v>
      </c>
      <c r="AP186" s="36">
        <v>2</v>
      </c>
      <c r="AQ186" s="36">
        <v>0</v>
      </c>
      <c r="AR186" s="50">
        <v>0</v>
      </c>
      <c r="AS186" s="36">
        <v>0</v>
      </c>
      <c r="AT186" s="36">
        <v>0</v>
      </c>
      <c r="AU186" s="36">
        <v>0</v>
      </c>
      <c r="AV186" s="36">
        <v>0</v>
      </c>
      <c r="AW186">
        <v>0</v>
      </c>
    </row>
    <row r="187" spans="1:50" x14ac:dyDescent="0.25">
      <c r="A187" s="36"/>
      <c r="B187" t="s">
        <v>120</v>
      </c>
      <c r="C187" s="36" t="str">
        <f>'Status Thresholds'!B178</f>
        <v>Congalala</v>
      </c>
      <c r="E187" s="36" t="str">
        <f t="shared" si="7"/>
        <v>Congalala</v>
      </c>
      <c r="F187" s="36" t="str">
        <f>IFERROR(VLOOKUP($E187,'Status Thresholds'!$E:$AS,1,FALSE),"")</f>
        <v/>
      </c>
      <c r="G187" t="s">
        <v>13</v>
      </c>
      <c r="H187" s="55" t="str">
        <f t="shared" si="8"/>
        <v>CongalalaCrag 3</v>
      </c>
      <c r="I187" s="50">
        <v>0</v>
      </c>
      <c r="J187" s="36">
        <v>4</v>
      </c>
      <c r="K187" s="36">
        <v>1</v>
      </c>
      <c r="L187" s="36">
        <v>4</v>
      </c>
      <c r="M187" s="36">
        <v>0</v>
      </c>
      <c r="N187" s="50">
        <v>0</v>
      </c>
      <c r="O187" s="36">
        <v>0</v>
      </c>
      <c r="P187" s="36">
        <v>0</v>
      </c>
      <c r="Q187" s="36">
        <v>0</v>
      </c>
      <c r="R187" s="36">
        <v>0</v>
      </c>
      <c r="S187" s="50">
        <v>0</v>
      </c>
      <c r="T187" s="36">
        <v>0</v>
      </c>
      <c r="U187" s="36">
        <v>0</v>
      </c>
      <c r="V187" s="36">
        <v>0</v>
      </c>
      <c r="W187" s="36">
        <v>0</v>
      </c>
      <c r="X187" s="50">
        <v>0</v>
      </c>
      <c r="Y187" s="36">
        <v>0</v>
      </c>
      <c r="Z187" s="36">
        <v>0</v>
      </c>
      <c r="AA187" s="36">
        <v>0</v>
      </c>
      <c r="AB187" s="36">
        <v>0</v>
      </c>
      <c r="AC187" s="50">
        <v>0</v>
      </c>
      <c r="AD187" s="36">
        <v>1</v>
      </c>
      <c r="AE187" s="36">
        <v>4</v>
      </c>
      <c r="AF187" s="36">
        <v>4</v>
      </c>
      <c r="AG187" s="36">
        <v>0</v>
      </c>
      <c r="AH187" s="50">
        <v>0</v>
      </c>
      <c r="AI187" s="36">
        <v>1</v>
      </c>
      <c r="AJ187" s="36">
        <v>4</v>
      </c>
      <c r="AK187" s="36">
        <v>4</v>
      </c>
      <c r="AL187" s="36">
        <v>0</v>
      </c>
      <c r="AM187" s="50">
        <v>3</v>
      </c>
      <c r="AN187" s="36">
        <v>4</v>
      </c>
      <c r="AO187" s="36">
        <v>4</v>
      </c>
      <c r="AP187" s="36">
        <v>4</v>
      </c>
      <c r="AQ187" s="36">
        <v>0</v>
      </c>
      <c r="AR187" s="50">
        <v>0</v>
      </c>
      <c r="AS187" s="36">
        <v>0</v>
      </c>
      <c r="AT187" s="36">
        <v>0</v>
      </c>
      <c r="AU187" s="36">
        <v>0</v>
      </c>
      <c r="AV187" s="36">
        <v>0</v>
      </c>
      <c r="AW187">
        <v>0</v>
      </c>
      <c r="AX187">
        <v>0</v>
      </c>
    </row>
    <row r="188" spans="1:50" x14ac:dyDescent="0.25">
      <c r="A188" s="36"/>
      <c r="B188" t="s">
        <v>120</v>
      </c>
      <c r="C188" s="36" t="str">
        <f>'Status Thresholds'!B179</f>
        <v>Congalala</v>
      </c>
      <c r="E188" s="36" t="str">
        <f t="shared" si="7"/>
        <v>Congalala</v>
      </c>
      <c r="F188" s="36" t="str">
        <f>IFERROR(VLOOKUP($E188,'Status Thresholds'!$E:$AS,1,FALSE),"")</f>
        <v/>
      </c>
      <c r="G188" t="s">
        <v>12</v>
      </c>
      <c r="H188" s="55" t="str">
        <f t="shared" si="8"/>
        <v>CongalalaCrag 2</v>
      </c>
      <c r="I188" s="50">
        <v>1</v>
      </c>
      <c r="J188" s="36">
        <v>2</v>
      </c>
      <c r="K188" s="36">
        <v>3</v>
      </c>
      <c r="L188" s="36">
        <v>4</v>
      </c>
      <c r="M188" s="36">
        <v>0</v>
      </c>
      <c r="N188" s="50">
        <v>0</v>
      </c>
      <c r="O188" s="36">
        <v>0</v>
      </c>
      <c r="P188" s="36">
        <v>0</v>
      </c>
      <c r="Q188" s="36">
        <v>0</v>
      </c>
      <c r="R188" s="36">
        <v>0</v>
      </c>
      <c r="S188" s="50">
        <v>0</v>
      </c>
      <c r="T188" s="36">
        <v>0</v>
      </c>
      <c r="U188" s="36">
        <v>0</v>
      </c>
      <c r="V188" s="36">
        <v>0</v>
      </c>
      <c r="W188" s="36">
        <v>0</v>
      </c>
      <c r="X188" s="50">
        <v>0</v>
      </c>
      <c r="Y188" s="36">
        <v>0</v>
      </c>
      <c r="Z188" s="36">
        <v>0</v>
      </c>
      <c r="AA188" s="36">
        <v>0</v>
      </c>
      <c r="AB188" s="36">
        <v>0</v>
      </c>
      <c r="AC188" s="50">
        <v>2</v>
      </c>
      <c r="AD188" s="36">
        <v>0</v>
      </c>
      <c r="AE188" s="36">
        <v>2</v>
      </c>
      <c r="AF188" s="36">
        <v>3</v>
      </c>
      <c r="AG188" s="36">
        <v>0</v>
      </c>
      <c r="AH188" s="50">
        <v>2</v>
      </c>
      <c r="AI188" s="36">
        <v>0</v>
      </c>
      <c r="AJ188" s="36">
        <v>2</v>
      </c>
      <c r="AK188" s="36">
        <v>3</v>
      </c>
      <c r="AL188" s="36">
        <v>0</v>
      </c>
      <c r="AM188" s="50">
        <v>1</v>
      </c>
      <c r="AN188" s="36">
        <v>3</v>
      </c>
      <c r="AO188" s="36">
        <v>3</v>
      </c>
      <c r="AP188" s="36">
        <v>4</v>
      </c>
      <c r="AQ188" s="36">
        <v>0</v>
      </c>
      <c r="AR188" s="50">
        <v>0</v>
      </c>
      <c r="AS188" s="36">
        <v>0</v>
      </c>
      <c r="AT188" s="36">
        <v>0</v>
      </c>
      <c r="AU188" s="36">
        <v>0</v>
      </c>
      <c r="AV188" s="36">
        <v>0</v>
      </c>
      <c r="AW188">
        <v>0</v>
      </c>
      <c r="AX188">
        <v>0</v>
      </c>
    </row>
    <row r="189" spans="1:50" x14ac:dyDescent="0.25">
      <c r="A189" s="36"/>
      <c r="B189" t="s">
        <v>120</v>
      </c>
      <c r="C189" s="36" t="str">
        <f>'Status Thresholds'!B180</f>
        <v>Congalala</v>
      </c>
      <c r="E189" s="36" t="str">
        <f t="shared" si="7"/>
        <v>Congalala</v>
      </c>
      <c r="F189" s="36" t="str">
        <f>IFERROR(VLOOKUP($E189,'Status Thresholds'!$E:$AS,1,FALSE),"")</f>
        <v/>
      </c>
      <c r="G189" t="s">
        <v>11</v>
      </c>
      <c r="H189" s="55" t="str">
        <f t="shared" si="8"/>
        <v>CongalalaCrag 1</v>
      </c>
      <c r="I189" s="50">
        <v>0</v>
      </c>
      <c r="J189" s="36">
        <v>3</v>
      </c>
      <c r="K189" s="36">
        <v>8</v>
      </c>
      <c r="L189" s="36">
        <v>8</v>
      </c>
      <c r="M189" s="36">
        <v>0</v>
      </c>
      <c r="N189" s="50">
        <v>0</v>
      </c>
      <c r="O189" s="36">
        <v>0</v>
      </c>
      <c r="P189" s="36">
        <v>0</v>
      </c>
      <c r="Q189" s="36">
        <v>0</v>
      </c>
      <c r="R189" s="36">
        <v>0</v>
      </c>
      <c r="S189" s="50">
        <v>0</v>
      </c>
      <c r="T189" s="36">
        <v>0</v>
      </c>
      <c r="U189" s="36">
        <v>0</v>
      </c>
      <c r="V189" s="36">
        <v>0</v>
      </c>
      <c r="W189" s="36">
        <v>0</v>
      </c>
      <c r="X189" s="50">
        <v>0</v>
      </c>
      <c r="Y189" s="36">
        <v>0</v>
      </c>
      <c r="Z189" s="36">
        <v>0</v>
      </c>
      <c r="AA189" s="36">
        <v>0</v>
      </c>
      <c r="AB189" s="36">
        <v>0</v>
      </c>
      <c r="AC189" s="50">
        <v>0</v>
      </c>
      <c r="AD189" s="36">
        <v>8</v>
      </c>
      <c r="AE189" s="36">
        <v>2</v>
      </c>
      <c r="AF189" s="36">
        <v>8</v>
      </c>
      <c r="AG189" s="36">
        <v>0</v>
      </c>
      <c r="AH189" s="50">
        <v>0</v>
      </c>
      <c r="AI189" s="36">
        <v>8</v>
      </c>
      <c r="AJ189" s="36">
        <v>2</v>
      </c>
      <c r="AK189" s="36">
        <v>8</v>
      </c>
      <c r="AL189" s="36">
        <v>0</v>
      </c>
      <c r="AM189" s="50">
        <v>0</v>
      </c>
      <c r="AN189" s="36">
        <v>8</v>
      </c>
      <c r="AO189" s="36">
        <v>8</v>
      </c>
      <c r="AP189" s="36">
        <v>8</v>
      </c>
      <c r="AQ189" s="36">
        <v>0</v>
      </c>
      <c r="AR189" s="50">
        <v>0</v>
      </c>
      <c r="AS189" s="36">
        <v>0</v>
      </c>
      <c r="AT189" s="36">
        <v>0</v>
      </c>
      <c r="AU189" s="36">
        <v>0</v>
      </c>
      <c r="AV189" s="36">
        <v>1</v>
      </c>
      <c r="AW189">
        <v>0</v>
      </c>
      <c r="AX189">
        <v>0</v>
      </c>
    </row>
    <row r="190" spans="1:50" x14ac:dyDescent="0.25">
      <c r="A190" s="36"/>
      <c r="B190" t="s">
        <v>119</v>
      </c>
      <c r="C190" s="36" t="str">
        <f>'Status Thresholds'!B181</f>
        <v>Congalala</v>
      </c>
      <c r="E190" s="36" t="str">
        <f t="shared" si="7"/>
        <v>Congalala</v>
      </c>
      <c r="F190" s="36" t="str">
        <f>IFERROR(VLOOKUP($E190,'Status Thresholds'!$E:$AS,1,FALSE),"")</f>
        <v/>
      </c>
      <c r="G190" t="s">
        <v>21</v>
      </c>
      <c r="H190" s="55" t="str">
        <f t="shared" si="8"/>
        <v>CongalalaTriblast</v>
      </c>
      <c r="I190" s="50">
        <v>0</v>
      </c>
      <c r="J190" s="36">
        <v>0</v>
      </c>
      <c r="K190" s="36">
        <v>1</v>
      </c>
      <c r="L190" s="36">
        <v>2</v>
      </c>
      <c r="M190" s="36">
        <v>0</v>
      </c>
      <c r="N190" s="50">
        <v>0</v>
      </c>
      <c r="O190" s="36">
        <v>0</v>
      </c>
      <c r="P190" s="36">
        <v>0</v>
      </c>
      <c r="Q190" s="36">
        <v>0</v>
      </c>
      <c r="R190" s="36">
        <v>0</v>
      </c>
      <c r="S190" s="50">
        <v>0</v>
      </c>
      <c r="T190" s="36">
        <v>0</v>
      </c>
      <c r="U190" s="36">
        <v>0</v>
      </c>
      <c r="V190" s="36">
        <v>0</v>
      </c>
      <c r="W190" s="36">
        <v>0</v>
      </c>
      <c r="X190" s="50">
        <v>0</v>
      </c>
      <c r="Y190" s="36">
        <v>0</v>
      </c>
      <c r="Z190" s="36">
        <v>0</v>
      </c>
      <c r="AA190" s="36">
        <v>0</v>
      </c>
      <c r="AB190" s="36">
        <v>0</v>
      </c>
      <c r="AC190" s="50">
        <v>0</v>
      </c>
      <c r="AD190" s="36">
        <v>2</v>
      </c>
      <c r="AE190" s="36">
        <v>0</v>
      </c>
      <c r="AF190" s="36">
        <v>2</v>
      </c>
      <c r="AG190" s="36">
        <v>0</v>
      </c>
      <c r="AH190" s="50">
        <v>0</v>
      </c>
      <c r="AI190" s="36">
        <v>2</v>
      </c>
      <c r="AJ190" s="36">
        <v>0</v>
      </c>
      <c r="AK190" s="36">
        <v>2</v>
      </c>
      <c r="AL190" s="36">
        <v>0</v>
      </c>
      <c r="AM190" s="50">
        <v>1</v>
      </c>
      <c r="AN190" s="36">
        <v>2</v>
      </c>
      <c r="AO190" s="36">
        <v>2</v>
      </c>
      <c r="AP190" s="36">
        <v>2</v>
      </c>
      <c r="AQ190" s="36">
        <v>0</v>
      </c>
      <c r="AR190" s="50">
        <v>0</v>
      </c>
      <c r="AS190" s="36">
        <v>0</v>
      </c>
      <c r="AT190" s="36">
        <v>0</v>
      </c>
      <c r="AU190" s="36">
        <v>0</v>
      </c>
      <c r="AV190" s="36">
        <v>0</v>
      </c>
      <c r="AW190">
        <v>0</v>
      </c>
      <c r="AX190">
        <v>0</v>
      </c>
    </row>
    <row r="191" spans="1:50" x14ac:dyDescent="0.25">
      <c r="A191" s="36"/>
      <c r="B191" t="s">
        <v>119</v>
      </c>
      <c r="C191" s="36" t="str">
        <f>'Status Thresholds'!B182</f>
        <v>Congalala</v>
      </c>
      <c r="E191" s="36" t="str">
        <f t="shared" si="7"/>
        <v>Congalala</v>
      </c>
      <c r="F191" s="36" t="str">
        <f>IFERROR(VLOOKUP($E191,'Status Thresholds'!$E:$AS,1,FALSE),"")</f>
        <v/>
      </c>
      <c r="G191" t="s">
        <v>13</v>
      </c>
      <c r="H191" s="55" t="str">
        <f t="shared" si="8"/>
        <v>CongalalaCrag 3</v>
      </c>
      <c r="I191" s="50">
        <v>0</v>
      </c>
      <c r="J191" s="36">
        <v>1</v>
      </c>
      <c r="K191" s="36">
        <v>4</v>
      </c>
      <c r="L191" s="36">
        <v>4</v>
      </c>
      <c r="M191" s="36">
        <v>0</v>
      </c>
      <c r="N191" s="50">
        <v>0</v>
      </c>
      <c r="O191" s="36">
        <v>0</v>
      </c>
      <c r="P191" s="36">
        <v>0</v>
      </c>
      <c r="Q191" s="36">
        <v>0</v>
      </c>
      <c r="R191" s="36">
        <v>0</v>
      </c>
      <c r="S191" s="50">
        <v>0</v>
      </c>
      <c r="T191" s="36">
        <v>0</v>
      </c>
      <c r="U191" s="36">
        <v>0</v>
      </c>
      <c r="V191" s="36">
        <v>0</v>
      </c>
      <c r="W191" s="36">
        <v>0</v>
      </c>
      <c r="X191" s="50">
        <v>0</v>
      </c>
      <c r="Y191" s="36">
        <v>0</v>
      </c>
      <c r="Z191" s="36">
        <v>0</v>
      </c>
      <c r="AA191" s="36">
        <v>0</v>
      </c>
      <c r="AB191" s="36">
        <v>0</v>
      </c>
      <c r="AC191" s="50">
        <v>1</v>
      </c>
      <c r="AD191" s="36">
        <v>0</v>
      </c>
      <c r="AE191" s="36">
        <v>3</v>
      </c>
      <c r="AF191" s="36">
        <v>4</v>
      </c>
      <c r="AG191" s="36">
        <v>0</v>
      </c>
      <c r="AH191" s="50">
        <v>1</v>
      </c>
      <c r="AI191" s="36">
        <v>0</v>
      </c>
      <c r="AJ191" s="36">
        <v>3</v>
      </c>
      <c r="AK191" s="36">
        <v>4</v>
      </c>
      <c r="AL191" s="36">
        <v>0</v>
      </c>
      <c r="AM191" s="50">
        <v>3</v>
      </c>
      <c r="AN191" s="36">
        <v>0</v>
      </c>
      <c r="AO191" s="36">
        <v>4</v>
      </c>
      <c r="AP191" s="36">
        <v>4</v>
      </c>
      <c r="AQ191" s="36">
        <v>0</v>
      </c>
      <c r="AR191" s="50">
        <v>0</v>
      </c>
      <c r="AS191" s="36">
        <v>0</v>
      </c>
      <c r="AT191" s="36">
        <v>0</v>
      </c>
      <c r="AU191" s="36">
        <v>0</v>
      </c>
      <c r="AV191" s="36">
        <v>0</v>
      </c>
      <c r="AW191">
        <v>0</v>
      </c>
      <c r="AX191">
        <v>0</v>
      </c>
    </row>
    <row r="192" spans="1:50" x14ac:dyDescent="0.25">
      <c r="A192" s="36"/>
      <c r="B192" t="s">
        <v>119</v>
      </c>
      <c r="C192" s="36" t="str">
        <f>'Status Thresholds'!B183</f>
        <v>Congalala</v>
      </c>
      <c r="E192" s="36" t="str">
        <f t="shared" si="7"/>
        <v>Congalala</v>
      </c>
      <c r="F192" s="36" t="str">
        <f>IFERROR(VLOOKUP($E192,'Status Thresholds'!$E:$AS,1,FALSE),"")</f>
        <v/>
      </c>
      <c r="G192" t="s">
        <v>12</v>
      </c>
      <c r="H192" s="55" t="str">
        <f t="shared" si="8"/>
        <v>CongalalaCrag 2</v>
      </c>
      <c r="I192" s="50">
        <v>0</v>
      </c>
      <c r="J192" s="36">
        <v>1</v>
      </c>
      <c r="K192" s="36">
        <v>1</v>
      </c>
      <c r="L192" s="36">
        <v>4</v>
      </c>
      <c r="M192" s="36">
        <v>0</v>
      </c>
      <c r="N192" s="50">
        <v>0</v>
      </c>
      <c r="O192" s="36">
        <v>0</v>
      </c>
      <c r="P192" s="36">
        <v>0</v>
      </c>
      <c r="Q192" s="36">
        <v>0</v>
      </c>
      <c r="R192" s="36">
        <v>0</v>
      </c>
      <c r="S192" s="50">
        <v>0</v>
      </c>
      <c r="T192" s="36">
        <v>0</v>
      </c>
      <c r="U192" s="36">
        <v>0</v>
      </c>
      <c r="V192" s="36">
        <v>0</v>
      </c>
      <c r="W192" s="36">
        <v>0</v>
      </c>
      <c r="X192" s="50">
        <v>0</v>
      </c>
      <c r="Y192" s="36">
        <v>0</v>
      </c>
      <c r="Z192" s="36">
        <v>0</v>
      </c>
      <c r="AA192" s="36">
        <v>0</v>
      </c>
      <c r="AB192" s="36">
        <v>0</v>
      </c>
      <c r="AC192" s="50">
        <v>1</v>
      </c>
      <c r="AD192" s="36">
        <v>3</v>
      </c>
      <c r="AE192" s="36">
        <v>3</v>
      </c>
      <c r="AF192" s="36">
        <v>0</v>
      </c>
      <c r="AG192" s="36">
        <v>0</v>
      </c>
      <c r="AH192" s="50">
        <v>1</v>
      </c>
      <c r="AI192" s="36">
        <v>3</v>
      </c>
      <c r="AJ192" s="36">
        <v>3</v>
      </c>
      <c r="AK192" s="36">
        <v>0</v>
      </c>
      <c r="AL192" s="36">
        <v>0</v>
      </c>
      <c r="AM192" s="50">
        <v>1</v>
      </c>
      <c r="AN192" s="36">
        <v>3</v>
      </c>
      <c r="AO192" s="36">
        <v>4</v>
      </c>
      <c r="AP192" s="36">
        <v>4</v>
      </c>
      <c r="AQ192" s="36">
        <v>0</v>
      </c>
      <c r="AR192" s="50">
        <v>0</v>
      </c>
      <c r="AS192" s="36">
        <v>0</v>
      </c>
      <c r="AT192" s="36">
        <v>0</v>
      </c>
      <c r="AU192" s="36">
        <v>0</v>
      </c>
      <c r="AV192" s="36">
        <v>0</v>
      </c>
      <c r="AW192">
        <v>0</v>
      </c>
      <c r="AX192">
        <v>0</v>
      </c>
    </row>
    <row r="193" spans="1:50" x14ac:dyDescent="0.25">
      <c r="A193" s="36"/>
      <c r="B193" t="s">
        <v>119</v>
      </c>
      <c r="C193" s="36" t="str">
        <f>'Status Thresholds'!B184</f>
        <v>Congalala</v>
      </c>
      <c r="E193" s="36" t="str">
        <f t="shared" si="7"/>
        <v>Congalala</v>
      </c>
      <c r="F193" s="36" t="str">
        <f>IFERROR(VLOOKUP($E193,'Status Thresholds'!$E:$AS,1,FALSE),"")</f>
        <v/>
      </c>
      <c r="G193" t="s">
        <v>11</v>
      </c>
      <c r="H193" s="55" t="str">
        <f t="shared" si="8"/>
        <v>CongalalaCrag 1</v>
      </c>
      <c r="I193" s="50">
        <v>4</v>
      </c>
      <c r="J193" s="36">
        <v>8</v>
      </c>
      <c r="K193" s="36">
        <v>7</v>
      </c>
      <c r="L193" s="36">
        <v>8</v>
      </c>
      <c r="M193" s="36">
        <v>0</v>
      </c>
      <c r="N193" s="50">
        <v>0</v>
      </c>
      <c r="O193" s="36">
        <v>0</v>
      </c>
      <c r="P193" s="36">
        <v>0</v>
      </c>
      <c r="Q193" s="36">
        <v>0</v>
      </c>
      <c r="R193" s="36">
        <v>0</v>
      </c>
      <c r="S193" s="50">
        <v>0</v>
      </c>
      <c r="T193" s="36">
        <v>0</v>
      </c>
      <c r="U193" s="36">
        <v>0</v>
      </c>
      <c r="V193" s="36">
        <v>0</v>
      </c>
      <c r="W193" s="36">
        <v>0</v>
      </c>
      <c r="X193" s="50">
        <v>0</v>
      </c>
      <c r="Y193" s="36">
        <v>0</v>
      </c>
      <c r="Z193" s="36">
        <v>0</v>
      </c>
      <c r="AA193" s="36">
        <v>0</v>
      </c>
      <c r="AB193" s="36">
        <v>0</v>
      </c>
      <c r="AC193" s="50">
        <v>5</v>
      </c>
      <c r="AD193" s="36">
        <v>2</v>
      </c>
      <c r="AE193" s="36">
        <v>7</v>
      </c>
      <c r="AF193" s="36">
        <v>7</v>
      </c>
      <c r="AG193" s="36">
        <v>0</v>
      </c>
      <c r="AH193" s="50">
        <v>5</v>
      </c>
      <c r="AI193" s="36">
        <v>2</v>
      </c>
      <c r="AJ193" s="36">
        <v>7</v>
      </c>
      <c r="AK193" s="36">
        <v>7</v>
      </c>
      <c r="AL193" s="36">
        <v>0</v>
      </c>
      <c r="AM193" s="50">
        <v>2</v>
      </c>
      <c r="AN193" s="36">
        <v>7</v>
      </c>
      <c r="AO193" s="36">
        <v>5</v>
      </c>
      <c r="AP193" s="36">
        <v>8</v>
      </c>
      <c r="AQ193" s="36">
        <v>0</v>
      </c>
      <c r="AR193" s="50">
        <v>0</v>
      </c>
      <c r="AS193" s="36">
        <v>0</v>
      </c>
      <c r="AT193" s="36">
        <v>0</v>
      </c>
      <c r="AU193" s="36">
        <v>0</v>
      </c>
      <c r="AV193" s="36">
        <v>1</v>
      </c>
      <c r="AW193">
        <v>0</v>
      </c>
      <c r="AX193">
        <v>0</v>
      </c>
    </row>
    <row r="194" spans="1:50" x14ac:dyDescent="0.25">
      <c r="A194" s="36"/>
      <c r="B194" t="s">
        <v>121</v>
      </c>
      <c r="C194" s="36" t="str">
        <f>'Status Thresholds'!B185</f>
        <v>Crystal beard Uragaan</v>
      </c>
      <c r="D194" t="s">
        <v>14</v>
      </c>
      <c r="E194" s="36" t="str">
        <f t="shared" si="7"/>
        <v>Crystal beard UragaanKO</v>
      </c>
      <c r="F194" s="36" t="str">
        <f>IFERROR(VLOOKUP($E194,'Status Thresholds'!$E:$AS,1,FALSE),"")</f>
        <v>Crystal beard UragaanKO</v>
      </c>
      <c r="H194" s="55" t="str">
        <f t="shared" si="8"/>
        <v>Crystal beard UragaanKO</v>
      </c>
      <c r="I194" s="50">
        <f>VLOOKUP($F194,'Status Thresholds'!$E:$AS,2,FALSE)</f>
        <v>0</v>
      </c>
      <c r="J194" s="36">
        <f>VLOOKUP($F194,'Status Thresholds'!$E:$AS,3,FALSE)</f>
        <v>0</v>
      </c>
      <c r="K194" s="36">
        <f>VLOOKUP($F194,'Status Thresholds'!$E:$AS,4,FALSE)</f>
        <v>0</v>
      </c>
      <c r="L194" s="36">
        <f>VLOOKUP($F194,'Status Thresholds'!$E:$AS,5,FALSE)</f>
        <v>0</v>
      </c>
      <c r="M194" s="36">
        <f>VLOOKUP($F194,'Status Thresholds'!$E:$AS,6,FALSE)</f>
        <v>0</v>
      </c>
      <c r="N194" s="50">
        <f>VLOOKUP($F194,'Status Thresholds'!$E:$AS,7,FALSE)</f>
        <v>0</v>
      </c>
      <c r="O194" s="36">
        <f>VLOOKUP($F194,'Status Thresholds'!$E:$AS,8,FALSE)</f>
        <v>0</v>
      </c>
      <c r="P194" s="36">
        <f>VLOOKUP($F194,'Status Thresholds'!$E:$AS,9,FALSE)</f>
        <v>0</v>
      </c>
      <c r="Q194" s="36">
        <f>VLOOKUP($F194,'Status Thresholds'!$E:$AS,10,FALSE)</f>
        <v>0</v>
      </c>
      <c r="R194" s="36">
        <f>VLOOKUP($F194,'Status Thresholds'!$E:$AS,11,FALSE)</f>
        <v>0</v>
      </c>
      <c r="S194" s="50">
        <f>VLOOKUP($F194,'Status Thresholds'!$E:$AS,12,FALSE)</f>
        <v>0</v>
      </c>
      <c r="T194" s="36">
        <f>VLOOKUP($F194,'Status Thresholds'!$E:$AS,13,FALSE)</f>
        <v>0</v>
      </c>
      <c r="U194" s="36">
        <f>VLOOKUP($F194,'Status Thresholds'!$E:$AS,14,FALSE)</f>
        <v>0</v>
      </c>
      <c r="V194" s="36">
        <f>VLOOKUP($F194,'Status Thresholds'!$E:$AS,15,FALSE)</f>
        <v>0</v>
      </c>
      <c r="W194" s="36">
        <f>VLOOKUP($F194,'Status Thresholds'!$E:$AS,16,FALSE)</f>
        <v>0</v>
      </c>
      <c r="X194" s="50">
        <f>VLOOKUP($F194,'Status Thresholds'!$E:$AS,17,FALSE)</f>
        <v>0</v>
      </c>
      <c r="Y194" s="36">
        <f>VLOOKUP($F194,'Status Thresholds'!$E:$AS,18,FALSE)</f>
        <v>0</v>
      </c>
      <c r="Z194" s="36">
        <f>VLOOKUP($F194,'Status Thresholds'!$E:$AS,19,FALSE)</f>
        <v>0</v>
      </c>
      <c r="AA194" s="36">
        <f>VLOOKUP($F194,'Status Thresholds'!$E:$AS,20,FALSE)</f>
        <v>0</v>
      </c>
      <c r="AB194" s="36">
        <f>VLOOKUP($F194,'Status Thresholds'!$E:$AS,21,FALSE)</f>
        <v>0</v>
      </c>
      <c r="AC194" s="50">
        <f>VLOOKUP($F194,'Status Thresholds'!$E:$AS,22,FALSE)</f>
        <v>0</v>
      </c>
      <c r="AD194" s="36">
        <f>VLOOKUP($F194,'Status Thresholds'!$E:$AS,23,FALSE)</f>
        <v>0</v>
      </c>
      <c r="AE194" s="36">
        <f>VLOOKUP($F194,'Status Thresholds'!$E:$AS,24,FALSE)</f>
        <v>0</v>
      </c>
      <c r="AF194" s="36">
        <f>VLOOKUP($F194,'Status Thresholds'!$E:$AS,25,FALSE)</f>
        <v>0</v>
      </c>
      <c r="AG194" s="36">
        <f>VLOOKUP($F194,'Status Thresholds'!$E:$AS,26,FALSE)</f>
        <v>0</v>
      </c>
      <c r="AH194" s="50">
        <f>VLOOKUP($F194,'Status Thresholds'!$E:$AS,27,FALSE)</f>
        <v>0</v>
      </c>
      <c r="AI194" s="36">
        <f>VLOOKUP($F194,'Status Thresholds'!$E:$AS,28,FALSE)</f>
        <v>0</v>
      </c>
      <c r="AJ194" s="36">
        <f>VLOOKUP($F194,'Status Thresholds'!$E:$AS,29,FALSE)</f>
        <v>0</v>
      </c>
      <c r="AK194" s="36">
        <f>VLOOKUP($F194,'Status Thresholds'!$E:$AS,30,FALSE)</f>
        <v>0</v>
      </c>
      <c r="AL194" s="36">
        <f>VLOOKUP($F194,'Status Thresholds'!$E:$AS,31,FALSE)</f>
        <v>0</v>
      </c>
      <c r="AM194" s="50">
        <f>VLOOKUP($F194,'Status Thresholds'!$E:$AS,32,FALSE)</f>
        <v>0</v>
      </c>
      <c r="AN194" s="36">
        <f>VLOOKUP($F194,'Status Thresholds'!$E:$AS,33,FALSE)</f>
        <v>0</v>
      </c>
      <c r="AO194" s="36">
        <f>VLOOKUP($F194,'Status Thresholds'!$E:$AS,34,FALSE)</f>
        <v>0</v>
      </c>
      <c r="AP194" s="36">
        <f>VLOOKUP($F194,'Status Thresholds'!$E:$AS,35,FALSE)</f>
        <v>0</v>
      </c>
      <c r="AQ194" s="36">
        <f>VLOOKUP($F194,'Status Thresholds'!$E:$AS,36,FALSE)</f>
        <v>0</v>
      </c>
      <c r="AR194" s="50">
        <f>VLOOKUP($F194,'Status Thresholds'!$E:$AS,37,FALSE)</f>
        <v>0</v>
      </c>
      <c r="AS194" s="36">
        <f>VLOOKUP($F194,'Status Thresholds'!$E:$AS,38,FALSE)</f>
        <v>0</v>
      </c>
      <c r="AT194" s="36">
        <f>VLOOKUP($F194,'Status Thresholds'!$E:$AS,39,FALSE)</f>
        <v>0</v>
      </c>
      <c r="AU194" s="36">
        <f>VLOOKUP($F194,'Status Thresholds'!$E:$AS,40,FALSE)</f>
        <v>0</v>
      </c>
      <c r="AV194" s="36">
        <f>VLOOKUP($F194,'Status Thresholds'!$E:$AS,41,FALSE)</f>
        <v>15</v>
      </c>
      <c r="AW194">
        <v>0</v>
      </c>
      <c r="AX194">
        <v>0</v>
      </c>
    </row>
    <row r="195" spans="1:50" x14ac:dyDescent="0.25">
      <c r="A195" s="36"/>
      <c r="B195" t="s">
        <v>120</v>
      </c>
      <c r="C195" s="36" t="str">
        <f>'Status Thresholds'!B186</f>
        <v>Crystal beard Uragaan</v>
      </c>
      <c r="E195" s="36" t="str">
        <f t="shared" si="7"/>
        <v>Crystal beard Uragaan</v>
      </c>
      <c r="F195" s="36" t="str">
        <f>IFERROR(VLOOKUP($E195,'Status Thresholds'!$E:$AS,1,FALSE),"")</f>
        <v/>
      </c>
      <c r="G195" t="s">
        <v>21</v>
      </c>
      <c r="H195" s="55" t="str">
        <f t="shared" si="8"/>
        <v>Crystal beard UragaanTriblast</v>
      </c>
      <c r="I195" s="50">
        <v>0</v>
      </c>
      <c r="J195" s="36">
        <v>0</v>
      </c>
      <c r="K195" s="36">
        <v>0</v>
      </c>
      <c r="L195" s="36">
        <v>0</v>
      </c>
      <c r="M195" s="36">
        <v>0</v>
      </c>
      <c r="N195" s="50">
        <v>0</v>
      </c>
      <c r="O195" s="36">
        <v>0</v>
      </c>
      <c r="P195" s="36">
        <v>0</v>
      </c>
      <c r="Q195" s="36">
        <v>0</v>
      </c>
      <c r="R195" s="36">
        <v>0</v>
      </c>
      <c r="S195" s="50">
        <v>0</v>
      </c>
      <c r="T195" s="36">
        <v>0</v>
      </c>
      <c r="U195" s="36">
        <v>0</v>
      </c>
      <c r="V195" s="36">
        <v>0</v>
      </c>
      <c r="W195" s="36">
        <v>0</v>
      </c>
      <c r="X195" s="50">
        <v>0</v>
      </c>
      <c r="Y195" s="36">
        <v>0</v>
      </c>
      <c r="Z195" s="36">
        <v>0</v>
      </c>
      <c r="AA195" s="36">
        <v>0</v>
      </c>
      <c r="AB195" s="36">
        <v>0</v>
      </c>
      <c r="AC195" s="50">
        <v>0</v>
      </c>
      <c r="AD195" s="36">
        <v>0</v>
      </c>
      <c r="AE195" s="36">
        <v>0</v>
      </c>
      <c r="AF195" s="36">
        <v>0</v>
      </c>
      <c r="AG195" s="36">
        <v>0</v>
      </c>
      <c r="AH195" s="50">
        <v>0</v>
      </c>
      <c r="AI195" s="36">
        <v>0</v>
      </c>
      <c r="AJ195" s="36">
        <v>0</v>
      </c>
      <c r="AK195" s="36">
        <v>0</v>
      </c>
      <c r="AL195" s="36">
        <v>0</v>
      </c>
      <c r="AM195" s="50">
        <v>0</v>
      </c>
      <c r="AN195" s="36">
        <v>0</v>
      </c>
      <c r="AO195" s="36">
        <v>0</v>
      </c>
      <c r="AP195" s="36">
        <v>0</v>
      </c>
      <c r="AQ195" s="36">
        <v>0</v>
      </c>
      <c r="AR195" s="50">
        <v>0</v>
      </c>
      <c r="AS195" s="36">
        <v>0</v>
      </c>
      <c r="AT195" s="36">
        <v>0</v>
      </c>
      <c r="AU195" s="36">
        <v>0</v>
      </c>
      <c r="AV195" s="36">
        <v>0</v>
      </c>
      <c r="AW195">
        <v>0</v>
      </c>
    </row>
    <row r="196" spans="1:50" x14ac:dyDescent="0.25">
      <c r="A196" s="36"/>
      <c r="B196" t="s">
        <v>120</v>
      </c>
      <c r="C196" s="36" t="str">
        <f>'Status Thresholds'!B187</f>
        <v>Crystal beard Uragaan</v>
      </c>
      <c r="E196" s="36" t="str">
        <f t="shared" si="7"/>
        <v>Crystal beard Uragaan</v>
      </c>
      <c r="F196" s="36" t="str">
        <f>IFERROR(VLOOKUP($E196,'Status Thresholds'!$E:$AS,1,FALSE),"")</f>
        <v/>
      </c>
      <c r="G196" t="s">
        <v>13</v>
      </c>
      <c r="H196" s="55" t="str">
        <f t="shared" si="8"/>
        <v>Crystal beard UragaanCrag 3</v>
      </c>
      <c r="I196" s="50">
        <v>0</v>
      </c>
      <c r="J196" s="36">
        <v>0</v>
      </c>
      <c r="K196" s="36">
        <v>0</v>
      </c>
      <c r="L196" s="36">
        <v>0</v>
      </c>
      <c r="M196" s="36">
        <v>0</v>
      </c>
      <c r="N196" s="50">
        <v>0</v>
      </c>
      <c r="O196" s="36">
        <v>0</v>
      </c>
      <c r="P196" s="36">
        <v>0</v>
      </c>
      <c r="Q196" s="36">
        <v>0</v>
      </c>
      <c r="R196" s="36">
        <v>0</v>
      </c>
      <c r="S196" s="50">
        <v>0</v>
      </c>
      <c r="T196" s="36">
        <v>0</v>
      </c>
      <c r="U196" s="36">
        <v>0</v>
      </c>
      <c r="V196" s="36">
        <v>0</v>
      </c>
      <c r="W196" s="36">
        <v>0</v>
      </c>
      <c r="X196" s="50">
        <v>0</v>
      </c>
      <c r="Y196" s="36">
        <v>0</v>
      </c>
      <c r="Z196" s="36">
        <v>0</v>
      </c>
      <c r="AA196" s="36">
        <v>0</v>
      </c>
      <c r="AB196" s="36">
        <v>0</v>
      </c>
      <c r="AC196" s="50">
        <v>0</v>
      </c>
      <c r="AD196" s="36">
        <v>0</v>
      </c>
      <c r="AE196" s="36">
        <v>0</v>
      </c>
      <c r="AF196" s="36">
        <v>0</v>
      </c>
      <c r="AG196" s="36">
        <v>0</v>
      </c>
      <c r="AH196" s="50">
        <v>0</v>
      </c>
      <c r="AI196" s="36">
        <v>0</v>
      </c>
      <c r="AJ196" s="36">
        <v>0</v>
      </c>
      <c r="AK196" s="36">
        <v>0</v>
      </c>
      <c r="AL196" s="36">
        <v>0</v>
      </c>
      <c r="AM196" s="50">
        <v>0</v>
      </c>
      <c r="AN196" s="36">
        <v>0</v>
      </c>
      <c r="AO196" s="36">
        <v>0</v>
      </c>
      <c r="AP196" s="36">
        <v>0</v>
      </c>
      <c r="AQ196" s="36">
        <v>0</v>
      </c>
      <c r="AR196" s="50">
        <v>0</v>
      </c>
      <c r="AS196" s="36">
        <v>0</v>
      </c>
      <c r="AT196" s="36">
        <v>0</v>
      </c>
      <c r="AU196" s="36">
        <v>0</v>
      </c>
      <c r="AV196" s="36">
        <v>0</v>
      </c>
      <c r="AW196">
        <v>0</v>
      </c>
      <c r="AX196">
        <v>0</v>
      </c>
    </row>
    <row r="197" spans="1:50" x14ac:dyDescent="0.25">
      <c r="A197" s="36"/>
      <c r="B197" t="s">
        <v>120</v>
      </c>
      <c r="C197" s="36" t="str">
        <f>'Status Thresholds'!B188</f>
        <v>Crystal beard Uragaan</v>
      </c>
      <c r="E197" s="36" t="str">
        <f t="shared" si="7"/>
        <v>Crystal beard Uragaan</v>
      </c>
      <c r="F197" s="36" t="str">
        <f>IFERROR(VLOOKUP($E197,'Status Thresholds'!$E:$AS,1,FALSE),"")</f>
        <v/>
      </c>
      <c r="G197" t="s">
        <v>12</v>
      </c>
      <c r="H197" s="55" t="str">
        <f t="shared" si="8"/>
        <v>Crystal beard UragaanCrag 2</v>
      </c>
      <c r="I197" s="50">
        <v>0</v>
      </c>
      <c r="J197" s="36">
        <v>0</v>
      </c>
      <c r="K197" s="36">
        <v>0</v>
      </c>
      <c r="L197" s="36">
        <v>0</v>
      </c>
      <c r="M197" s="36">
        <v>0</v>
      </c>
      <c r="N197" s="50">
        <v>0</v>
      </c>
      <c r="O197" s="36">
        <v>0</v>
      </c>
      <c r="P197" s="36">
        <v>0</v>
      </c>
      <c r="Q197" s="36">
        <v>0</v>
      </c>
      <c r="R197" s="36">
        <v>0</v>
      </c>
      <c r="S197" s="50">
        <v>0</v>
      </c>
      <c r="T197" s="36">
        <v>0</v>
      </c>
      <c r="U197" s="36">
        <v>0</v>
      </c>
      <c r="V197" s="36">
        <v>0</v>
      </c>
      <c r="W197" s="36">
        <v>0</v>
      </c>
      <c r="X197" s="50">
        <v>0</v>
      </c>
      <c r="Y197" s="36">
        <v>0</v>
      </c>
      <c r="Z197" s="36">
        <v>0</v>
      </c>
      <c r="AA197" s="36">
        <v>0</v>
      </c>
      <c r="AB197" s="36">
        <v>0</v>
      </c>
      <c r="AC197" s="50">
        <v>0</v>
      </c>
      <c r="AD197" s="36">
        <v>0</v>
      </c>
      <c r="AE197" s="36">
        <v>0</v>
      </c>
      <c r="AF197" s="36">
        <v>0</v>
      </c>
      <c r="AG197" s="36">
        <v>0</v>
      </c>
      <c r="AH197" s="50">
        <v>0</v>
      </c>
      <c r="AI197" s="36">
        <v>0</v>
      </c>
      <c r="AJ197" s="36">
        <v>0</v>
      </c>
      <c r="AK197" s="36">
        <v>0</v>
      </c>
      <c r="AL197" s="36">
        <v>0</v>
      </c>
      <c r="AM197" s="50">
        <v>0</v>
      </c>
      <c r="AN197" s="36">
        <v>0</v>
      </c>
      <c r="AO197" s="36">
        <v>0</v>
      </c>
      <c r="AP197" s="36">
        <v>0</v>
      </c>
      <c r="AQ197" s="36">
        <v>0</v>
      </c>
      <c r="AR197" s="50">
        <v>0</v>
      </c>
      <c r="AS197" s="36">
        <v>0</v>
      </c>
      <c r="AT197" s="36">
        <v>0</v>
      </c>
      <c r="AU197" s="36">
        <v>0</v>
      </c>
      <c r="AV197" s="36">
        <v>0</v>
      </c>
      <c r="AW197">
        <v>0</v>
      </c>
      <c r="AX197">
        <v>0</v>
      </c>
    </row>
    <row r="198" spans="1:50" x14ac:dyDescent="0.25">
      <c r="A198" s="36"/>
      <c r="B198" t="s">
        <v>120</v>
      </c>
      <c r="C198" s="36" t="str">
        <f>'Status Thresholds'!B189</f>
        <v>Crystal beard Uragaan</v>
      </c>
      <c r="E198" s="36" t="str">
        <f t="shared" ref="E198:E261" si="9">C198&amp;D198</f>
        <v>Crystal beard Uragaan</v>
      </c>
      <c r="F198" s="36" t="str">
        <f>IFERROR(VLOOKUP($E198,'Status Thresholds'!$E:$AS,1,FALSE),"")</f>
        <v/>
      </c>
      <c r="G198" t="s">
        <v>11</v>
      </c>
      <c r="H198" s="55" t="str">
        <f t="shared" ref="H198:H261" si="10">E198&amp;G198</f>
        <v>Crystal beard UragaanCrag 1</v>
      </c>
      <c r="I198" s="50">
        <v>0</v>
      </c>
      <c r="J198" s="36">
        <v>0</v>
      </c>
      <c r="K198" s="36">
        <v>0</v>
      </c>
      <c r="L198" s="36">
        <v>0</v>
      </c>
      <c r="M198" s="36">
        <v>0</v>
      </c>
      <c r="N198" s="50">
        <v>0</v>
      </c>
      <c r="O198" s="36">
        <v>0</v>
      </c>
      <c r="P198" s="36">
        <v>0</v>
      </c>
      <c r="Q198" s="36">
        <v>0</v>
      </c>
      <c r="R198" s="36">
        <v>0</v>
      </c>
      <c r="S198" s="50">
        <v>0</v>
      </c>
      <c r="T198" s="36">
        <v>0</v>
      </c>
      <c r="U198" s="36">
        <v>0</v>
      </c>
      <c r="V198" s="36">
        <v>0</v>
      </c>
      <c r="W198" s="36">
        <v>0</v>
      </c>
      <c r="X198" s="50">
        <v>0</v>
      </c>
      <c r="Y198" s="36">
        <v>0</v>
      </c>
      <c r="Z198" s="36">
        <v>0</v>
      </c>
      <c r="AA198" s="36">
        <v>0</v>
      </c>
      <c r="AB198" s="36">
        <v>0</v>
      </c>
      <c r="AC198" s="50">
        <v>0</v>
      </c>
      <c r="AD198" s="36">
        <v>0</v>
      </c>
      <c r="AE198" s="36">
        <v>0</v>
      </c>
      <c r="AF198" s="36">
        <v>0</v>
      </c>
      <c r="AG198" s="36">
        <v>0</v>
      </c>
      <c r="AH198" s="50">
        <v>0</v>
      </c>
      <c r="AI198" s="36">
        <v>0</v>
      </c>
      <c r="AJ198" s="36">
        <v>0</v>
      </c>
      <c r="AK198" s="36">
        <v>0</v>
      </c>
      <c r="AL198" s="36">
        <v>0</v>
      </c>
      <c r="AM198" s="50">
        <v>0</v>
      </c>
      <c r="AN198" s="36">
        <v>0</v>
      </c>
      <c r="AO198" s="36">
        <v>0</v>
      </c>
      <c r="AP198" s="36">
        <v>0</v>
      </c>
      <c r="AQ198" s="36">
        <v>0</v>
      </c>
      <c r="AR198" s="50">
        <v>0</v>
      </c>
      <c r="AS198" s="36">
        <v>0</v>
      </c>
      <c r="AT198" s="36">
        <v>0</v>
      </c>
      <c r="AU198" s="36">
        <v>0</v>
      </c>
      <c r="AV198" s="36">
        <v>1</v>
      </c>
      <c r="AW198">
        <v>0</v>
      </c>
      <c r="AX198">
        <v>0</v>
      </c>
    </row>
    <row r="199" spans="1:50" x14ac:dyDescent="0.25">
      <c r="A199" s="36"/>
      <c r="B199" t="s">
        <v>119</v>
      </c>
      <c r="C199" s="36" t="str">
        <f>'Status Thresholds'!B190</f>
        <v>Crystal beard Uragaan</v>
      </c>
      <c r="E199" s="36" t="str">
        <f t="shared" si="9"/>
        <v>Crystal beard Uragaan</v>
      </c>
      <c r="F199" s="36" t="str">
        <f>IFERROR(VLOOKUP($E199,'Status Thresholds'!$E:$AS,1,FALSE),"")</f>
        <v/>
      </c>
      <c r="G199" t="s">
        <v>21</v>
      </c>
      <c r="H199" s="55" t="str">
        <f t="shared" si="10"/>
        <v>Crystal beard UragaanTriblast</v>
      </c>
      <c r="I199" s="50">
        <v>0</v>
      </c>
      <c r="J199" s="36">
        <v>0</v>
      </c>
      <c r="K199" s="36">
        <v>0</v>
      </c>
      <c r="L199" s="36">
        <v>0</v>
      </c>
      <c r="M199" s="36">
        <v>0</v>
      </c>
      <c r="N199" s="50">
        <v>0</v>
      </c>
      <c r="O199" s="36">
        <v>0</v>
      </c>
      <c r="P199" s="36">
        <v>0</v>
      </c>
      <c r="Q199" s="36">
        <v>0</v>
      </c>
      <c r="R199" s="36">
        <v>0</v>
      </c>
      <c r="S199" s="50">
        <v>0</v>
      </c>
      <c r="T199" s="36">
        <v>0</v>
      </c>
      <c r="U199" s="36">
        <v>0</v>
      </c>
      <c r="V199" s="36">
        <v>0</v>
      </c>
      <c r="W199" s="36">
        <v>0</v>
      </c>
      <c r="X199" s="50">
        <v>0</v>
      </c>
      <c r="Y199" s="36">
        <v>0</v>
      </c>
      <c r="Z199" s="36">
        <v>0</v>
      </c>
      <c r="AA199" s="36">
        <v>0</v>
      </c>
      <c r="AB199" s="36">
        <v>0</v>
      </c>
      <c r="AC199" s="50">
        <v>0</v>
      </c>
      <c r="AD199" s="36">
        <v>0</v>
      </c>
      <c r="AE199" s="36">
        <v>0</v>
      </c>
      <c r="AF199" s="36">
        <v>0</v>
      </c>
      <c r="AG199" s="36">
        <v>0</v>
      </c>
      <c r="AH199" s="50">
        <v>0</v>
      </c>
      <c r="AI199" s="36">
        <v>0</v>
      </c>
      <c r="AJ199" s="36">
        <v>0</v>
      </c>
      <c r="AK199" s="36">
        <v>0</v>
      </c>
      <c r="AL199" s="36">
        <v>0</v>
      </c>
      <c r="AM199" s="50">
        <v>0</v>
      </c>
      <c r="AN199" s="36">
        <v>0</v>
      </c>
      <c r="AO199" s="36">
        <v>0</v>
      </c>
      <c r="AP199" s="36">
        <v>0</v>
      </c>
      <c r="AQ199" s="36">
        <v>0</v>
      </c>
      <c r="AR199" s="50">
        <v>0</v>
      </c>
      <c r="AS199" s="36">
        <v>0</v>
      </c>
      <c r="AT199" s="36">
        <v>0</v>
      </c>
      <c r="AU199" s="36">
        <v>0</v>
      </c>
      <c r="AV199" s="36">
        <v>0</v>
      </c>
      <c r="AW199">
        <v>0</v>
      </c>
      <c r="AX199">
        <v>0</v>
      </c>
    </row>
    <row r="200" spans="1:50" x14ac:dyDescent="0.25">
      <c r="A200" s="36"/>
      <c r="B200" t="s">
        <v>119</v>
      </c>
      <c r="C200" s="36" t="str">
        <f>'Status Thresholds'!B191</f>
        <v>Crystal beard Uragaan</v>
      </c>
      <c r="E200" s="36" t="str">
        <f t="shared" si="9"/>
        <v>Crystal beard Uragaan</v>
      </c>
      <c r="F200" s="36" t="str">
        <f>IFERROR(VLOOKUP($E200,'Status Thresholds'!$E:$AS,1,FALSE),"")</f>
        <v/>
      </c>
      <c r="G200" t="s">
        <v>13</v>
      </c>
      <c r="H200" s="55" t="str">
        <f t="shared" si="10"/>
        <v>Crystal beard UragaanCrag 3</v>
      </c>
      <c r="I200" s="50">
        <v>0</v>
      </c>
      <c r="J200" s="36">
        <v>0</v>
      </c>
      <c r="K200" s="36">
        <v>0</v>
      </c>
      <c r="L200" s="36">
        <v>0</v>
      </c>
      <c r="M200" s="36">
        <v>0</v>
      </c>
      <c r="N200" s="50">
        <v>0</v>
      </c>
      <c r="O200" s="36">
        <v>0</v>
      </c>
      <c r="P200" s="36">
        <v>0</v>
      </c>
      <c r="Q200" s="36">
        <v>0</v>
      </c>
      <c r="R200" s="36">
        <v>0</v>
      </c>
      <c r="S200" s="50">
        <v>0</v>
      </c>
      <c r="T200" s="36">
        <v>0</v>
      </c>
      <c r="U200" s="36">
        <v>0</v>
      </c>
      <c r="V200" s="36">
        <v>0</v>
      </c>
      <c r="W200" s="36">
        <v>0</v>
      </c>
      <c r="X200" s="50">
        <v>0</v>
      </c>
      <c r="Y200" s="36">
        <v>0</v>
      </c>
      <c r="Z200" s="36">
        <v>0</v>
      </c>
      <c r="AA200" s="36">
        <v>0</v>
      </c>
      <c r="AB200" s="36">
        <v>0</v>
      </c>
      <c r="AC200" s="50">
        <v>0</v>
      </c>
      <c r="AD200" s="36">
        <v>0</v>
      </c>
      <c r="AE200" s="36">
        <v>0</v>
      </c>
      <c r="AF200" s="36">
        <v>0</v>
      </c>
      <c r="AG200" s="36">
        <v>0</v>
      </c>
      <c r="AH200" s="50">
        <v>0</v>
      </c>
      <c r="AI200" s="36">
        <v>0</v>
      </c>
      <c r="AJ200" s="36">
        <v>0</v>
      </c>
      <c r="AK200" s="36">
        <v>0</v>
      </c>
      <c r="AL200" s="36">
        <v>0</v>
      </c>
      <c r="AM200" s="50">
        <v>0</v>
      </c>
      <c r="AN200" s="36">
        <v>0</v>
      </c>
      <c r="AO200" s="36">
        <v>0</v>
      </c>
      <c r="AP200" s="36">
        <v>0</v>
      </c>
      <c r="AQ200" s="36">
        <v>0</v>
      </c>
      <c r="AR200" s="50">
        <v>0</v>
      </c>
      <c r="AS200" s="36">
        <v>0</v>
      </c>
      <c r="AT200" s="36">
        <v>0</v>
      </c>
      <c r="AU200" s="36">
        <v>0</v>
      </c>
      <c r="AV200" s="36">
        <v>0</v>
      </c>
      <c r="AW200">
        <v>0</v>
      </c>
      <c r="AX200">
        <v>0</v>
      </c>
    </row>
    <row r="201" spans="1:50" x14ac:dyDescent="0.25">
      <c r="A201" s="36"/>
      <c r="B201" t="s">
        <v>119</v>
      </c>
      <c r="C201" s="36" t="str">
        <f>'Status Thresholds'!B192</f>
        <v>Crystal beard Uragaan</v>
      </c>
      <c r="E201" s="36" t="str">
        <f t="shared" si="9"/>
        <v>Crystal beard Uragaan</v>
      </c>
      <c r="F201" s="36" t="str">
        <f>IFERROR(VLOOKUP($E201,'Status Thresholds'!$E:$AS,1,FALSE),"")</f>
        <v/>
      </c>
      <c r="G201" t="s">
        <v>12</v>
      </c>
      <c r="H201" s="55" t="str">
        <f t="shared" si="10"/>
        <v>Crystal beard UragaanCrag 2</v>
      </c>
      <c r="I201" s="50">
        <v>0</v>
      </c>
      <c r="J201" s="36">
        <v>0</v>
      </c>
      <c r="K201" s="36">
        <v>0</v>
      </c>
      <c r="L201" s="36">
        <v>0</v>
      </c>
      <c r="M201" s="36">
        <v>0</v>
      </c>
      <c r="N201" s="50">
        <v>0</v>
      </c>
      <c r="O201" s="36">
        <v>0</v>
      </c>
      <c r="P201" s="36">
        <v>0</v>
      </c>
      <c r="Q201" s="36">
        <v>0</v>
      </c>
      <c r="R201" s="36">
        <v>0</v>
      </c>
      <c r="S201" s="50">
        <v>0</v>
      </c>
      <c r="T201" s="36">
        <v>0</v>
      </c>
      <c r="U201" s="36">
        <v>0</v>
      </c>
      <c r="V201" s="36">
        <v>0</v>
      </c>
      <c r="W201" s="36">
        <v>0</v>
      </c>
      <c r="X201" s="50">
        <v>0</v>
      </c>
      <c r="Y201" s="36">
        <v>0</v>
      </c>
      <c r="Z201" s="36">
        <v>0</v>
      </c>
      <c r="AA201" s="36">
        <v>0</v>
      </c>
      <c r="AB201" s="36">
        <v>0</v>
      </c>
      <c r="AC201" s="50">
        <v>0</v>
      </c>
      <c r="AD201" s="36">
        <v>0</v>
      </c>
      <c r="AE201" s="36">
        <v>0</v>
      </c>
      <c r="AF201" s="36">
        <v>0</v>
      </c>
      <c r="AG201" s="36">
        <v>0</v>
      </c>
      <c r="AH201" s="50">
        <v>0</v>
      </c>
      <c r="AI201" s="36">
        <v>0</v>
      </c>
      <c r="AJ201" s="36">
        <v>0</v>
      </c>
      <c r="AK201" s="36">
        <v>0</v>
      </c>
      <c r="AL201" s="36">
        <v>0</v>
      </c>
      <c r="AM201" s="50">
        <v>0</v>
      </c>
      <c r="AN201" s="36">
        <v>0</v>
      </c>
      <c r="AO201" s="36">
        <v>0</v>
      </c>
      <c r="AP201" s="36">
        <v>0</v>
      </c>
      <c r="AQ201" s="36">
        <v>0</v>
      </c>
      <c r="AR201" s="50">
        <v>0</v>
      </c>
      <c r="AS201" s="36">
        <v>0</v>
      </c>
      <c r="AT201" s="36">
        <v>0</v>
      </c>
      <c r="AU201" s="36">
        <v>0</v>
      </c>
      <c r="AV201" s="36">
        <v>0</v>
      </c>
      <c r="AW201">
        <v>0</v>
      </c>
      <c r="AX201">
        <v>0</v>
      </c>
    </row>
    <row r="202" spans="1:50" x14ac:dyDescent="0.25">
      <c r="A202" s="36"/>
      <c r="B202" t="s">
        <v>119</v>
      </c>
      <c r="C202" s="36" t="str">
        <f>'Status Thresholds'!B193</f>
        <v>Crystal beard Uragaan</v>
      </c>
      <c r="E202" s="36" t="str">
        <f t="shared" si="9"/>
        <v>Crystal beard Uragaan</v>
      </c>
      <c r="F202" s="36" t="str">
        <f>IFERROR(VLOOKUP($E202,'Status Thresholds'!$E:$AS,1,FALSE),"")</f>
        <v/>
      </c>
      <c r="G202" t="s">
        <v>11</v>
      </c>
      <c r="H202" s="55" t="str">
        <f t="shared" si="10"/>
        <v>Crystal beard UragaanCrag 1</v>
      </c>
      <c r="I202" s="50">
        <v>0</v>
      </c>
      <c r="J202" s="36">
        <v>0</v>
      </c>
      <c r="K202" s="36">
        <v>0</v>
      </c>
      <c r="L202" s="36">
        <v>0</v>
      </c>
      <c r="M202" s="36">
        <v>0</v>
      </c>
      <c r="N202" s="50">
        <v>0</v>
      </c>
      <c r="O202" s="36">
        <v>0</v>
      </c>
      <c r="P202" s="36">
        <v>0</v>
      </c>
      <c r="Q202" s="36">
        <v>0</v>
      </c>
      <c r="R202" s="36">
        <v>0</v>
      </c>
      <c r="S202" s="50">
        <v>0</v>
      </c>
      <c r="T202" s="36">
        <v>0</v>
      </c>
      <c r="U202" s="36">
        <v>0</v>
      </c>
      <c r="V202" s="36">
        <v>0</v>
      </c>
      <c r="W202" s="36">
        <v>0</v>
      </c>
      <c r="X202" s="50">
        <v>0</v>
      </c>
      <c r="Y202" s="36">
        <v>0</v>
      </c>
      <c r="Z202" s="36">
        <v>0</v>
      </c>
      <c r="AA202" s="36">
        <v>0</v>
      </c>
      <c r="AB202" s="36">
        <v>0</v>
      </c>
      <c r="AC202" s="50">
        <v>0</v>
      </c>
      <c r="AD202" s="36">
        <v>0</v>
      </c>
      <c r="AE202" s="36">
        <v>0</v>
      </c>
      <c r="AF202" s="36">
        <v>0</v>
      </c>
      <c r="AG202" s="36">
        <v>0</v>
      </c>
      <c r="AH202" s="50">
        <v>0</v>
      </c>
      <c r="AI202" s="36">
        <v>0</v>
      </c>
      <c r="AJ202" s="36">
        <v>0</v>
      </c>
      <c r="AK202" s="36">
        <v>0</v>
      </c>
      <c r="AL202" s="36">
        <v>0</v>
      </c>
      <c r="AM202" s="50">
        <v>0</v>
      </c>
      <c r="AN202" s="36">
        <v>0</v>
      </c>
      <c r="AO202" s="36">
        <v>0</v>
      </c>
      <c r="AP202" s="36">
        <v>0</v>
      </c>
      <c r="AQ202" s="36">
        <v>0</v>
      </c>
      <c r="AR202" s="50">
        <v>0</v>
      </c>
      <c r="AS202" s="36">
        <v>0</v>
      </c>
      <c r="AT202" s="36">
        <v>0</v>
      </c>
      <c r="AU202" s="36">
        <v>0</v>
      </c>
      <c r="AV202" s="36">
        <v>1</v>
      </c>
      <c r="AW202">
        <v>0</v>
      </c>
      <c r="AX202">
        <v>0</v>
      </c>
    </row>
    <row r="203" spans="1:50" x14ac:dyDescent="0.25">
      <c r="A203" s="36"/>
      <c r="B203" t="s">
        <v>121</v>
      </c>
      <c r="C203" s="36" t="str">
        <f>'Status Thresholds'!B194</f>
        <v>Daimyo Hermitaur</v>
      </c>
      <c r="D203" t="s">
        <v>14</v>
      </c>
      <c r="E203" s="36" t="str">
        <f t="shared" si="9"/>
        <v>Daimyo HermitaurKO</v>
      </c>
      <c r="F203" s="36" t="str">
        <f>IFERROR(VLOOKUP($E203,'Status Thresholds'!$E:$AS,1,FALSE),"")</f>
        <v>Daimyo HermitaurKO</v>
      </c>
      <c r="H203" s="55" t="str">
        <f t="shared" si="10"/>
        <v>Daimyo HermitaurKO</v>
      </c>
      <c r="I203" s="50">
        <f>VLOOKUP($F203,'Status Thresholds'!$E:$AS,2,FALSE)</f>
        <v>156</v>
      </c>
      <c r="J203" s="36">
        <f>VLOOKUP($F203,'Status Thresholds'!$E:$AS,3,FALSE)</f>
        <v>253</v>
      </c>
      <c r="K203" s="36">
        <f>VLOOKUP($F203,'Status Thresholds'!$E:$AS,4,FALSE)</f>
        <v>351</v>
      </c>
      <c r="L203" s="36">
        <f>VLOOKUP($F203,'Status Thresholds'!$E:$AS,5,FALSE)</f>
        <v>449</v>
      </c>
      <c r="M203" s="36">
        <f>VLOOKUP($F203,'Status Thresholds'!$E:$AS,6,FALSE)</f>
        <v>0</v>
      </c>
      <c r="N203" s="50">
        <f>VLOOKUP($F203,'Status Thresholds'!$E:$AS,7,FALSE)</f>
        <v>0</v>
      </c>
      <c r="O203" s="36">
        <f>VLOOKUP($F203,'Status Thresholds'!$E:$AS,8,FALSE)</f>
        <v>0</v>
      </c>
      <c r="P203" s="36">
        <f>VLOOKUP($F203,'Status Thresholds'!$E:$AS,9,FALSE)</f>
        <v>0</v>
      </c>
      <c r="Q203" s="36">
        <f>VLOOKUP($F203,'Status Thresholds'!$E:$AS,10,FALSE)</f>
        <v>0</v>
      </c>
      <c r="R203" s="36">
        <f>VLOOKUP($F203,'Status Thresholds'!$E:$AS,11,FALSE)</f>
        <v>0</v>
      </c>
      <c r="S203" s="50">
        <f>VLOOKUP($F203,'Status Thresholds'!$E:$AS,12,FALSE)</f>
        <v>156</v>
      </c>
      <c r="T203" s="36">
        <f>VLOOKUP($F203,'Status Thresholds'!$E:$AS,13,FALSE)</f>
        <v>253</v>
      </c>
      <c r="U203" s="36">
        <f>VLOOKUP($F203,'Status Thresholds'!$E:$AS,14,FALSE)</f>
        <v>350</v>
      </c>
      <c r="V203" s="36">
        <f>VLOOKUP($F203,'Status Thresholds'!$E:$AS,15,FALSE)</f>
        <v>447</v>
      </c>
      <c r="W203" s="36">
        <f>VLOOKUP($F203,'Status Thresholds'!$E:$AS,16,FALSE)</f>
        <v>0</v>
      </c>
      <c r="X203" s="50">
        <f>VLOOKUP($F203,'Status Thresholds'!$E:$AS,17,FALSE)</f>
        <v>0</v>
      </c>
      <c r="Y203" s="36">
        <f>VLOOKUP($F203,'Status Thresholds'!$E:$AS,18,FALSE)</f>
        <v>0</v>
      </c>
      <c r="Z203" s="36">
        <f>VLOOKUP($F203,'Status Thresholds'!$E:$AS,19,FALSE)</f>
        <v>0</v>
      </c>
      <c r="AA203" s="36">
        <f>VLOOKUP($F203,'Status Thresholds'!$E:$AS,20,FALSE)</f>
        <v>0</v>
      </c>
      <c r="AB203" s="36">
        <f>VLOOKUP($F203,'Status Thresholds'!$E:$AS,21,FALSE)</f>
        <v>0</v>
      </c>
      <c r="AC203" s="50">
        <f>VLOOKUP($F203,'Status Thresholds'!$E:$AS,22,FALSE)</f>
        <v>168</v>
      </c>
      <c r="AD203" s="36">
        <f>VLOOKUP($F203,'Status Thresholds'!$E:$AS,23,FALSE)</f>
        <v>273</v>
      </c>
      <c r="AE203" s="36">
        <f>VLOOKUP($F203,'Status Thresholds'!$E:$AS,24,FALSE)</f>
        <v>378</v>
      </c>
      <c r="AF203" s="36">
        <f>VLOOKUP($F203,'Status Thresholds'!$E:$AS,25,FALSE)</f>
        <v>483</v>
      </c>
      <c r="AG203" s="36">
        <f>VLOOKUP($F203,'Status Thresholds'!$E:$AS,26,FALSE)</f>
        <v>0</v>
      </c>
      <c r="AH203" s="50">
        <f>VLOOKUP($F203,'Status Thresholds'!$E:$AS,27,FALSE)</f>
        <v>168</v>
      </c>
      <c r="AI203" s="36">
        <f>VLOOKUP($F203,'Status Thresholds'!$E:$AS,28,FALSE)</f>
        <v>273</v>
      </c>
      <c r="AJ203" s="36">
        <f>VLOOKUP($F203,'Status Thresholds'!$E:$AS,29,FALSE)</f>
        <v>378</v>
      </c>
      <c r="AK203" s="36">
        <f>VLOOKUP($F203,'Status Thresholds'!$E:$AS,30,FALSE)</f>
        <v>483</v>
      </c>
      <c r="AL203" s="36">
        <f>VLOOKUP($F203,'Status Thresholds'!$E:$AS,31,FALSE)</f>
        <v>0</v>
      </c>
      <c r="AM203" s="50">
        <f>VLOOKUP($F203,'Status Thresholds'!$E:$AS,32,FALSE)</f>
        <v>0</v>
      </c>
      <c r="AN203" s="36">
        <f>VLOOKUP($F203,'Status Thresholds'!$E:$AS,33,FALSE)</f>
        <v>0</v>
      </c>
      <c r="AO203" s="36">
        <f>VLOOKUP($F203,'Status Thresholds'!$E:$AS,34,FALSE)</f>
        <v>0</v>
      </c>
      <c r="AP203" s="36">
        <f>VLOOKUP($F203,'Status Thresholds'!$E:$AS,35,FALSE)</f>
        <v>0</v>
      </c>
      <c r="AQ203" s="36">
        <f>VLOOKUP($F203,'Status Thresholds'!$E:$AS,36,FALSE)</f>
        <v>0</v>
      </c>
      <c r="AR203" s="50">
        <f>VLOOKUP($F203,'Status Thresholds'!$E:$AS,37,FALSE)</f>
        <v>0</v>
      </c>
      <c r="AS203" s="36">
        <f>VLOOKUP($F203,'Status Thresholds'!$E:$AS,38,FALSE)</f>
        <v>0</v>
      </c>
      <c r="AT203" s="36">
        <f>VLOOKUP($F203,'Status Thresholds'!$E:$AS,39,FALSE)</f>
        <v>0</v>
      </c>
      <c r="AU203" s="36">
        <f>VLOOKUP($F203,'Status Thresholds'!$E:$AS,40,FALSE)</f>
        <v>0</v>
      </c>
      <c r="AV203" s="36">
        <f>VLOOKUP($F203,'Status Thresholds'!$E:$AS,41,FALSE)</f>
        <v>10</v>
      </c>
      <c r="AW203">
        <v>0</v>
      </c>
      <c r="AX203">
        <v>0</v>
      </c>
    </row>
    <row r="204" spans="1:50" x14ac:dyDescent="0.25">
      <c r="A204" s="36"/>
      <c r="B204" t="s">
        <v>120</v>
      </c>
      <c r="C204" s="36" t="str">
        <f>'Status Thresholds'!B195</f>
        <v>Daimyo Hermitaur</v>
      </c>
      <c r="E204" s="36" t="str">
        <f t="shared" si="9"/>
        <v>Daimyo Hermitaur</v>
      </c>
      <c r="F204" s="36" t="str">
        <f>IFERROR(VLOOKUP($E204,'Status Thresholds'!$E:$AS,1,FALSE),"")</f>
        <v/>
      </c>
      <c r="G204" t="s">
        <v>21</v>
      </c>
      <c r="H204" s="55" t="str">
        <f t="shared" si="10"/>
        <v>Daimyo HermitaurTriblast</v>
      </c>
      <c r="I204" s="50">
        <v>0</v>
      </c>
      <c r="J204" s="36">
        <v>0</v>
      </c>
      <c r="K204" s="36">
        <v>2</v>
      </c>
      <c r="L204" s="36">
        <v>2</v>
      </c>
      <c r="M204" s="36">
        <v>0</v>
      </c>
      <c r="N204" s="50">
        <v>0</v>
      </c>
      <c r="O204" s="36">
        <v>0</v>
      </c>
      <c r="P204" s="36">
        <v>0</v>
      </c>
      <c r="Q204" s="36">
        <v>0</v>
      </c>
      <c r="R204" s="36">
        <v>0</v>
      </c>
      <c r="S204" s="50">
        <v>0</v>
      </c>
      <c r="T204" s="36">
        <v>0</v>
      </c>
      <c r="U204" s="36">
        <v>2</v>
      </c>
      <c r="V204" s="36">
        <v>2</v>
      </c>
      <c r="W204" s="36">
        <v>0</v>
      </c>
      <c r="X204" s="50">
        <v>0</v>
      </c>
      <c r="Y204" s="36">
        <v>0</v>
      </c>
      <c r="Z204" s="36">
        <v>0</v>
      </c>
      <c r="AA204" s="36">
        <v>0</v>
      </c>
      <c r="AB204" s="36">
        <v>0</v>
      </c>
      <c r="AC204" s="50">
        <v>0</v>
      </c>
      <c r="AD204" s="36">
        <v>0</v>
      </c>
      <c r="AE204" s="36">
        <v>2</v>
      </c>
      <c r="AF204" s="36">
        <v>2</v>
      </c>
      <c r="AG204" s="36">
        <v>0</v>
      </c>
      <c r="AH204" s="50">
        <v>0</v>
      </c>
      <c r="AI204" s="36">
        <v>0</v>
      </c>
      <c r="AJ204" s="36">
        <v>2</v>
      </c>
      <c r="AK204" s="36">
        <v>2</v>
      </c>
      <c r="AL204" s="36">
        <v>0</v>
      </c>
      <c r="AM204" s="50">
        <v>0</v>
      </c>
      <c r="AN204" s="36">
        <v>0</v>
      </c>
      <c r="AO204" s="36">
        <v>0</v>
      </c>
      <c r="AP204" s="36">
        <v>0</v>
      </c>
      <c r="AQ204" s="36">
        <v>0</v>
      </c>
      <c r="AR204" s="50">
        <v>0</v>
      </c>
      <c r="AS204" s="36">
        <v>0</v>
      </c>
      <c r="AT204" s="36">
        <v>0</v>
      </c>
      <c r="AU204" s="36">
        <v>0</v>
      </c>
      <c r="AV204" s="36">
        <v>0</v>
      </c>
      <c r="AW204">
        <v>0</v>
      </c>
    </row>
    <row r="205" spans="1:50" x14ac:dyDescent="0.25">
      <c r="A205" s="36"/>
      <c r="B205" t="s">
        <v>120</v>
      </c>
      <c r="C205" s="36" t="str">
        <f>'Status Thresholds'!B196</f>
        <v>Daimyo Hermitaur</v>
      </c>
      <c r="E205" s="36" t="str">
        <f t="shared" si="9"/>
        <v>Daimyo Hermitaur</v>
      </c>
      <c r="F205" s="36" t="str">
        <f>IFERROR(VLOOKUP($E205,'Status Thresholds'!$E:$AS,1,FALSE),"")</f>
        <v/>
      </c>
      <c r="G205" t="s">
        <v>13</v>
      </c>
      <c r="H205" s="55" t="str">
        <f t="shared" si="10"/>
        <v>Daimyo HermitaurCrag 3</v>
      </c>
      <c r="I205" s="50">
        <v>4</v>
      </c>
      <c r="J205" s="36">
        <v>3</v>
      </c>
      <c r="K205" s="36">
        <v>1</v>
      </c>
      <c r="L205" s="36">
        <v>1</v>
      </c>
      <c r="M205" s="36">
        <v>0</v>
      </c>
      <c r="N205" s="50">
        <v>0</v>
      </c>
      <c r="O205" s="36">
        <v>0</v>
      </c>
      <c r="P205" s="36">
        <v>0</v>
      </c>
      <c r="Q205" s="36">
        <v>0</v>
      </c>
      <c r="R205" s="36">
        <v>0</v>
      </c>
      <c r="S205" s="50">
        <v>4</v>
      </c>
      <c r="T205" s="36">
        <v>3</v>
      </c>
      <c r="U205" s="36">
        <v>0</v>
      </c>
      <c r="V205" s="36">
        <v>1</v>
      </c>
      <c r="W205" s="36">
        <v>0</v>
      </c>
      <c r="X205" s="50">
        <v>0</v>
      </c>
      <c r="Y205" s="36">
        <v>0</v>
      </c>
      <c r="Z205" s="36">
        <v>0</v>
      </c>
      <c r="AA205" s="36">
        <v>0</v>
      </c>
      <c r="AB205" s="36">
        <v>0</v>
      </c>
      <c r="AC205" s="50">
        <v>3</v>
      </c>
      <c r="AD205" s="36">
        <v>4</v>
      </c>
      <c r="AE205" s="36">
        <v>2</v>
      </c>
      <c r="AF205" s="36">
        <v>1</v>
      </c>
      <c r="AG205" s="36">
        <v>0</v>
      </c>
      <c r="AH205" s="50">
        <v>3</v>
      </c>
      <c r="AI205" s="36">
        <v>4</v>
      </c>
      <c r="AJ205" s="36">
        <v>2</v>
      </c>
      <c r="AK205" s="36">
        <v>1</v>
      </c>
      <c r="AL205" s="36">
        <v>0</v>
      </c>
      <c r="AM205" s="50">
        <v>0</v>
      </c>
      <c r="AN205" s="36">
        <v>0</v>
      </c>
      <c r="AO205" s="36">
        <v>0</v>
      </c>
      <c r="AP205" s="36">
        <v>0</v>
      </c>
      <c r="AQ205" s="36">
        <v>0</v>
      </c>
      <c r="AR205" s="50">
        <v>0</v>
      </c>
      <c r="AS205" s="36">
        <v>0</v>
      </c>
      <c r="AT205" s="36">
        <v>0</v>
      </c>
      <c r="AU205" s="36">
        <v>0</v>
      </c>
      <c r="AV205" s="36">
        <v>0</v>
      </c>
      <c r="AW205">
        <v>0</v>
      </c>
      <c r="AX205">
        <v>0</v>
      </c>
    </row>
    <row r="206" spans="1:50" x14ac:dyDescent="0.25">
      <c r="A206" s="36"/>
      <c r="B206" t="s">
        <v>120</v>
      </c>
      <c r="C206" s="36" t="str">
        <f>'Status Thresholds'!B197</f>
        <v>Daimyo Hermitaur</v>
      </c>
      <c r="E206" s="36" t="str">
        <f t="shared" si="9"/>
        <v>Daimyo Hermitaur</v>
      </c>
      <c r="F206" s="36" t="str">
        <f>IFERROR(VLOOKUP($E206,'Status Thresholds'!$E:$AS,1,FALSE),"")</f>
        <v/>
      </c>
      <c r="G206" t="s">
        <v>12</v>
      </c>
      <c r="H206" s="55" t="str">
        <f t="shared" si="10"/>
        <v>Daimyo HermitaurCrag 2</v>
      </c>
      <c r="I206" s="50">
        <v>0</v>
      </c>
      <c r="J206" s="36">
        <v>2</v>
      </c>
      <c r="K206" s="36">
        <v>3</v>
      </c>
      <c r="L206" s="36">
        <v>2</v>
      </c>
      <c r="M206" s="36">
        <v>0</v>
      </c>
      <c r="N206" s="50">
        <v>0</v>
      </c>
      <c r="O206" s="36">
        <v>0</v>
      </c>
      <c r="P206" s="36">
        <v>0</v>
      </c>
      <c r="Q206" s="36">
        <v>0</v>
      </c>
      <c r="R206" s="36">
        <v>0</v>
      </c>
      <c r="S206" s="50">
        <v>0</v>
      </c>
      <c r="T206" s="36">
        <v>2</v>
      </c>
      <c r="U206" s="36">
        <v>0</v>
      </c>
      <c r="V206" s="36">
        <v>2</v>
      </c>
      <c r="W206" s="36">
        <v>0</v>
      </c>
      <c r="X206" s="50">
        <v>0</v>
      </c>
      <c r="Y206" s="36">
        <v>0</v>
      </c>
      <c r="Z206" s="36">
        <v>0</v>
      </c>
      <c r="AA206" s="36">
        <v>0</v>
      </c>
      <c r="AB206" s="36">
        <v>0</v>
      </c>
      <c r="AC206" s="50">
        <v>0</v>
      </c>
      <c r="AD206" s="36">
        <v>3</v>
      </c>
      <c r="AE206" s="36">
        <v>0</v>
      </c>
      <c r="AF206" s="36">
        <v>4</v>
      </c>
      <c r="AG206" s="36">
        <v>0</v>
      </c>
      <c r="AH206" s="50">
        <v>0</v>
      </c>
      <c r="AI206" s="36">
        <v>3</v>
      </c>
      <c r="AJ206" s="36">
        <v>0</v>
      </c>
      <c r="AK206" s="36">
        <v>4</v>
      </c>
      <c r="AL206" s="36">
        <v>0</v>
      </c>
      <c r="AM206" s="50">
        <v>0</v>
      </c>
      <c r="AN206" s="36">
        <v>0</v>
      </c>
      <c r="AO206" s="36">
        <v>0</v>
      </c>
      <c r="AP206" s="36">
        <v>0</v>
      </c>
      <c r="AQ206" s="36">
        <v>0</v>
      </c>
      <c r="AR206" s="50">
        <v>0</v>
      </c>
      <c r="AS206" s="36">
        <v>0</v>
      </c>
      <c r="AT206" s="36">
        <v>0</v>
      </c>
      <c r="AU206" s="36">
        <v>0</v>
      </c>
      <c r="AV206" s="36">
        <v>0</v>
      </c>
      <c r="AW206">
        <v>0</v>
      </c>
      <c r="AX206">
        <v>0</v>
      </c>
    </row>
    <row r="207" spans="1:50" x14ac:dyDescent="0.25">
      <c r="A207" s="36"/>
      <c r="B207" t="s">
        <v>120</v>
      </c>
      <c r="C207" s="36" t="str">
        <f>'Status Thresholds'!B198</f>
        <v>Daimyo Hermitaur</v>
      </c>
      <c r="E207" s="36" t="str">
        <f t="shared" si="9"/>
        <v>Daimyo Hermitaur</v>
      </c>
      <c r="F207" s="36" t="str">
        <f>IFERROR(VLOOKUP($E207,'Status Thresholds'!$E:$AS,1,FALSE),"")</f>
        <v/>
      </c>
      <c r="G207" t="s">
        <v>11</v>
      </c>
      <c r="H207" s="55" t="str">
        <f t="shared" si="10"/>
        <v>Daimyo HermitaurCrag 1</v>
      </c>
      <c r="I207" s="50">
        <v>0</v>
      </c>
      <c r="J207" s="36">
        <v>3</v>
      </c>
      <c r="K207" s="36">
        <v>3</v>
      </c>
      <c r="L207" s="36">
        <v>8</v>
      </c>
      <c r="M207" s="36">
        <v>0</v>
      </c>
      <c r="N207" s="50">
        <v>0</v>
      </c>
      <c r="O207" s="36">
        <v>0</v>
      </c>
      <c r="P207" s="36">
        <v>0</v>
      </c>
      <c r="Q207" s="36">
        <v>0</v>
      </c>
      <c r="R207" s="36">
        <v>0</v>
      </c>
      <c r="S207" s="50">
        <v>0</v>
      </c>
      <c r="T207" s="36">
        <v>3</v>
      </c>
      <c r="U207" s="36">
        <v>8</v>
      </c>
      <c r="V207" s="36">
        <v>8</v>
      </c>
      <c r="W207" s="36">
        <v>0</v>
      </c>
      <c r="X207" s="50">
        <v>0</v>
      </c>
      <c r="Y207" s="36">
        <v>0</v>
      </c>
      <c r="Z207" s="36">
        <v>0</v>
      </c>
      <c r="AA207" s="36">
        <v>0</v>
      </c>
      <c r="AB207" s="36">
        <v>0</v>
      </c>
      <c r="AC207" s="50">
        <v>2</v>
      </c>
      <c r="AD207" s="36">
        <v>1</v>
      </c>
      <c r="AE207" s="36">
        <v>6</v>
      </c>
      <c r="AF207" s="36">
        <v>7</v>
      </c>
      <c r="AG207" s="36">
        <v>0</v>
      </c>
      <c r="AH207" s="50">
        <v>2</v>
      </c>
      <c r="AI207" s="36">
        <v>1</v>
      </c>
      <c r="AJ207" s="36">
        <v>6</v>
      </c>
      <c r="AK207" s="36">
        <v>7</v>
      </c>
      <c r="AL207" s="36">
        <v>0</v>
      </c>
      <c r="AM207" s="50">
        <v>0</v>
      </c>
      <c r="AN207" s="36">
        <v>0</v>
      </c>
      <c r="AO207" s="36">
        <v>0</v>
      </c>
      <c r="AP207" s="36">
        <v>0</v>
      </c>
      <c r="AQ207" s="36">
        <v>0</v>
      </c>
      <c r="AR207" s="50">
        <v>0</v>
      </c>
      <c r="AS207" s="36">
        <v>0</v>
      </c>
      <c r="AT207" s="36">
        <v>0</v>
      </c>
      <c r="AU207" s="36">
        <v>0</v>
      </c>
      <c r="AV207" s="36">
        <v>1</v>
      </c>
      <c r="AW207">
        <v>0</v>
      </c>
      <c r="AX207">
        <v>0</v>
      </c>
    </row>
    <row r="208" spans="1:50" x14ac:dyDescent="0.25">
      <c r="A208" s="36"/>
      <c r="B208" t="s">
        <v>119</v>
      </c>
      <c r="C208" s="36" t="str">
        <f>'Status Thresholds'!B199</f>
        <v>Daimyo Hermitaur</v>
      </c>
      <c r="E208" s="36" t="str">
        <f t="shared" si="9"/>
        <v>Daimyo Hermitaur</v>
      </c>
      <c r="F208" s="36" t="str">
        <f>IFERROR(VLOOKUP($E208,'Status Thresholds'!$E:$AS,1,FALSE),"")</f>
        <v/>
      </c>
      <c r="G208" t="s">
        <v>21</v>
      </c>
      <c r="H208" s="55" t="str">
        <f t="shared" si="10"/>
        <v>Daimyo HermitaurTriblast</v>
      </c>
      <c r="I208" s="50">
        <v>0</v>
      </c>
      <c r="J208" s="36">
        <v>2</v>
      </c>
      <c r="K208" s="36">
        <v>2</v>
      </c>
      <c r="L208" s="36">
        <v>2</v>
      </c>
      <c r="M208" s="36">
        <v>0</v>
      </c>
      <c r="N208" s="50">
        <v>0</v>
      </c>
      <c r="O208" s="36">
        <v>0</v>
      </c>
      <c r="P208" s="36">
        <v>0</v>
      </c>
      <c r="Q208" s="36">
        <v>0</v>
      </c>
      <c r="R208" s="36">
        <v>0</v>
      </c>
      <c r="S208" s="50">
        <v>0</v>
      </c>
      <c r="T208" s="36">
        <v>2</v>
      </c>
      <c r="U208" s="36">
        <v>1</v>
      </c>
      <c r="V208" s="36">
        <v>0</v>
      </c>
      <c r="W208" s="36">
        <v>0</v>
      </c>
      <c r="X208" s="50">
        <v>0</v>
      </c>
      <c r="Y208" s="36">
        <v>0</v>
      </c>
      <c r="Z208" s="36">
        <v>0</v>
      </c>
      <c r="AA208" s="36">
        <v>0</v>
      </c>
      <c r="AB208" s="36">
        <v>0</v>
      </c>
      <c r="AC208" s="50">
        <v>1</v>
      </c>
      <c r="AD208" s="36">
        <v>1</v>
      </c>
      <c r="AE208" s="36">
        <v>2</v>
      </c>
      <c r="AF208" s="36">
        <v>2</v>
      </c>
      <c r="AG208" s="36">
        <v>0</v>
      </c>
      <c r="AH208" s="50">
        <v>1</v>
      </c>
      <c r="AI208" s="36">
        <v>1</v>
      </c>
      <c r="AJ208" s="36">
        <v>2</v>
      </c>
      <c r="AK208" s="36">
        <v>2</v>
      </c>
      <c r="AL208" s="36">
        <v>0</v>
      </c>
      <c r="AM208" s="50">
        <v>0</v>
      </c>
      <c r="AN208" s="36">
        <v>0</v>
      </c>
      <c r="AO208" s="36">
        <v>0</v>
      </c>
      <c r="AP208" s="36">
        <v>0</v>
      </c>
      <c r="AQ208" s="36">
        <v>0</v>
      </c>
      <c r="AR208" s="50">
        <v>0</v>
      </c>
      <c r="AS208" s="36">
        <v>0</v>
      </c>
      <c r="AT208" s="36">
        <v>0</v>
      </c>
      <c r="AU208" s="36">
        <v>0</v>
      </c>
      <c r="AV208" s="36">
        <v>0</v>
      </c>
      <c r="AW208">
        <v>0</v>
      </c>
      <c r="AX208">
        <v>0</v>
      </c>
    </row>
    <row r="209" spans="1:50" x14ac:dyDescent="0.25">
      <c r="A209" s="36"/>
      <c r="B209" t="s">
        <v>119</v>
      </c>
      <c r="C209" s="36" t="str">
        <f>'Status Thresholds'!B200</f>
        <v>Daimyo Hermitaur</v>
      </c>
      <c r="E209" s="36" t="str">
        <f t="shared" si="9"/>
        <v>Daimyo Hermitaur</v>
      </c>
      <c r="F209" s="36" t="str">
        <f>IFERROR(VLOOKUP($E209,'Status Thresholds'!$E:$AS,1,FALSE),"")</f>
        <v/>
      </c>
      <c r="G209" t="s">
        <v>13</v>
      </c>
      <c r="H209" s="55" t="str">
        <f t="shared" si="10"/>
        <v>Daimyo HermitaurCrag 3</v>
      </c>
      <c r="I209" s="50">
        <v>1</v>
      </c>
      <c r="J209" s="36">
        <v>0</v>
      </c>
      <c r="K209" s="36">
        <v>0</v>
      </c>
      <c r="L209" s="36">
        <v>0</v>
      </c>
      <c r="M209" s="36">
        <v>0</v>
      </c>
      <c r="N209" s="50">
        <v>0</v>
      </c>
      <c r="O209" s="36">
        <v>0</v>
      </c>
      <c r="P209" s="36">
        <v>0</v>
      </c>
      <c r="Q209" s="36">
        <v>0</v>
      </c>
      <c r="R209" s="36">
        <v>0</v>
      </c>
      <c r="S209" s="50">
        <v>1</v>
      </c>
      <c r="T209" s="36">
        <v>0</v>
      </c>
      <c r="U209" s="36">
        <v>4</v>
      </c>
      <c r="V209" s="36">
        <v>3</v>
      </c>
      <c r="W209" s="36">
        <v>0</v>
      </c>
      <c r="X209" s="50">
        <v>0</v>
      </c>
      <c r="Y209" s="36">
        <v>0</v>
      </c>
      <c r="Z209" s="36">
        <v>0</v>
      </c>
      <c r="AA209" s="36">
        <v>0</v>
      </c>
      <c r="AB209" s="36">
        <v>0</v>
      </c>
      <c r="AC209" s="50">
        <v>0</v>
      </c>
      <c r="AD209" s="36">
        <v>3</v>
      </c>
      <c r="AE209" s="36">
        <v>0</v>
      </c>
      <c r="AF209" s="36">
        <v>0</v>
      </c>
      <c r="AG209" s="36">
        <v>0</v>
      </c>
      <c r="AH209" s="50">
        <v>0</v>
      </c>
      <c r="AI209" s="36">
        <v>3</v>
      </c>
      <c r="AJ209" s="36">
        <v>0</v>
      </c>
      <c r="AK209" s="36">
        <v>0</v>
      </c>
      <c r="AL209" s="36">
        <v>0</v>
      </c>
      <c r="AM209" s="50">
        <v>0</v>
      </c>
      <c r="AN209" s="36">
        <v>0</v>
      </c>
      <c r="AO209" s="36">
        <v>0</v>
      </c>
      <c r="AP209" s="36">
        <v>0</v>
      </c>
      <c r="AQ209" s="36">
        <v>0</v>
      </c>
      <c r="AR209" s="50">
        <v>0</v>
      </c>
      <c r="AS209" s="36">
        <v>0</v>
      </c>
      <c r="AT209" s="36">
        <v>0</v>
      </c>
      <c r="AU209" s="36">
        <v>0</v>
      </c>
      <c r="AV209" s="36">
        <v>0</v>
      </c>
      <c r="AW209">
        <v>0</v>
      </c>
      <c r="AX209">
        <v>0</v>
      </c>
    </row>
    <row r="210" spans="1:50" x14ac:dyDescent="0.25">
      <c r="A210" s="36"/>
      <c r="B210" t="s">
        <v>119</v>
      </c>
      <c r="C210" s="36" t="str">
        <f>'Status Thresholds'!B201</f>
        <v>Daimyo Hermitaur</v>
      </c>
      <c r="E210" s="36" t="str">
        <f t="shared" si="9"/>
        <v>Daimyo Hermitaur</v>
      </c>
      <c r="F210" s="36" t="str">
        <f>IFERROR(VLOOKUP($E210,'Status Thresholds'!$E:$AS,1,FALSE),"")</f>
        <v/>
      </c>
      <c r="G210" t="s">
        <v>12</v>
      </c>
      <c r="H210" s="55" t="str">
        <f t="shared" si="10"/>
        <v>Daimyo HermitaurCrag 2</v>
      </c>
      <c r="I210" s="50">
        <v>1</v>
      </c>
      <c r="J210" s="36">
        <v>2</v>
      </c>
      <c r="K210" s="36">
        <v>0</v>
      </c>
      <c r="L210" s="36">
        <v>3</v>
      </c>
      <c r="M210" s="36">
        <v>0</v>
      </c>
      <c r="N210" s="50">
        <v>0</v>
      </c>
      <c r="O210" s="36">
        <v>0</v>
      </c>
      <c r="P210" s="36">
        <v>0</v>
      </c>
      <c r="Q210" s="36">
        <v>0</v>
      </c>
      <c r="R210" s="36">
        <v>0</v>
      </c>
      <c r="S210" s="50">
        <v>1</v>
      </c>
      <c r="T210" s="36">
        <v>2</v>
      </c>
      <c r="U210" s="36">
        <v>2</v>
      </c>
      <c r="V210" s="36">
        <v>3</v>
      </c>
      <c r="W210" s="36">
        <v>0</v>
      </c>
      <c r="X210" s="50">
        <v>0</v>
      </c>
      <c r="Y210" s="36">
        <v>0</v>
      </c>
      <c r="Z210" s="36">
        <v>0</v>
      </c>
      <c r="AA210" s="36">
        <v>0</v>
      </c>
      <c r="AB210" s="36">
        <v>0</v>
      </c>
      <c r="AC210" s="50">
        <v>1</v>
      </c>
      <c r="AD210" s="36">
        <v>1</v>
      </c>
      <c r="AE210" s="36">
        <v>0</v>
      </c>
      <c r="AF210" s="36">
        <v>4</v>
      </c>
      <c r="AG210" s="36">
        <v>0</v>
      </c>
      <c r="AH210" s="50">
        <v>1</v>
      </c>
      <c r="AI210" s="36">
        <v>1</v>
      </c>
      <c r="AJ210" s="36">
        <v>0</v>
      </c>
      <c r="AK210" s="36">
        <v>4</v>
      </c>
      <c r="AL210" s="36">
        <v>0</v>
      </c>
      <c r="AM210" s="50">
        <v>0</v>
      </c>
      <c r="AN210" s="36">
        <v>0</v>
      </c>
      <c r="AO210" s="36">
        <v>0</v>
      </c>
      <c r="AP210" s="36">
        <v>0</v>
      </c>
      <c r="AQ210" s="36">
        <v>0</v>
      </c>
      <c r="AR210" s="50">
        <v>0</v>
      </c>
      <c r="AS210" s="36">
        <v>0</v>
      </c>
      <c r="AT210" s="36">
        <v>0</v>
      </c>
      <c r="AU210" s="36">
        <v>0</v>
      </c>
      <c r="AV210" s="36">
        <v>0</v>
      </c>
      <c r="AW210">
        <v>0</v>
      </c>
      <c r="AX210">
        <v>0</v>
      </c>
    </row>
    <row r="211" spans="1:50" x14ac:dyDescent="0.25">
      <c r="A211" s="36"/>
      <c r="B211" t="s">
        <v>119</v>
      </c>
      <c r="C211" s="36" t="str">
        <f>'Status Thresholds'!B202</f>
        <v>Daimyo Hermitaur</v>
      </c>
      <c r="E211" s="36" t="str">
        <f t="shared" si="9"/>
        <v>Daimyo Hermitaur</v>
      </c>
      <c r="F211" s="36" t="str">
        <f>IFERROR(VLOOKUP($E211,'Status Thresholds'!$E:$AS,1,FALSE),"")</f>
        <v/>
      </c>
      <c r="G211" t="s">
        <v>11</v>
      </c>
      <c r="H211" s="55" t="str">
        <f t="shared" si="10"/>
        <v>Daimyo HermitaurCrag 1</v>
      </c>
      <c r="I211" s="50">
        <v>3</v>
      </c>
      <c r="J211" s="36">
        <v>1</v>
      </c>
      <c r="K211" s="36">
        <v>7</v>
      </c>
      <c r="L211" s="36">
        <v>7</v>
      </c>
      <c r="M211" s="36">
        <v>0</v>
      </c>
      <c r="N211" s="50">
        <v>0</v>
      </c>
      <c r="O211" s="36">
        <v>0</v>
      </c>
      <c r="P211" s="36">
        <v>0</v>
      </c>
      <c r="Q211" s="36">
        <v>0</v>
      </c>
      <c r="R211" s="36">
        <v>0</v>
      </c>
      <c r="S211" s="50">
        <v>3</v>
      </c>
      <c r="T211" s="36">
        <v>1</v>
      </c>
      <c r="U211" s="36">
        <v>1</v>
      </c>
      <c r="V211" s="36">
        <v>8</v>
      </c>
      <c r="W211" s="36">
        <v>0</v>
      </c>
      <c r="X211" s="50">
        <v>0</v>
      </c>
      <c r="Y211" s="36">
        <v>0</v>
      </c>
      <c r="Z211" s="36">
        <v>0</v>
      </c>
      <c r="AA211" s="36">
        <v>0</v>
      </c>
      <c r="AB211" s="36">
        <v>0</v>
      </c>
      <c r="AC211" s="50">
        <v>2</v>
      </c>
      <c r="AD211" s="36">
        <v>1</v>
      </c>
      <c r="AE211" s="36">
        <v>8</v>
      </c>
      <c r="AF211" s="36">
        <v>7</v>
      </c>
      <c r="AG211" s="36">
        <v>0</v>
      </c>
      <c r="AH211" s="50">
        <v>2</v>
      </c>
      <c r="AI211" s="36">
        <v>1</v>
      </c>
      <c r="AJ211" s="36">
        <v>8</v>
      </c>
      <c r="AK211" s="36">
        <v>7</v>
      </c>
      <c r="AL211" s="36">
        <v>0</v>
      </c>
      <c r="AM211" s="50">
        <v>0</v>
      </c>
      <c r="AN211" s="36">
        <v>0</v>
      </c>
      <c r="AO211" s="36">
        <v>0</v>
      </c>
      <c r="AP211" s="36">
        <v>0</v>
      </c>
      <c r="AQ211" s="36">
        <v>0</v>
      </c>
      <c r="AR211" s="50">
        <v>0</v>
      </c>
      <c r="AS211" s="36">
        <v>0</v>
      </c>
      <c r="AT211" s="36">
        <v>0</v>
      </c>
      <c r="AU211" s="36">
        <v>0</v>
      </c>
      <c r="AV211" s="36">
        <v>1</v>
      </c>
      <c r="AW211">
        <v>0</v>
      </c>
      <c r="AX211">
        <v>0</v>
      </c>
    </row>
    <row r="212" spans="1:50" x14ac:dyDescent="0.25">
      <c r="A212" s="36"/>
      <c r="B212" t="s">
        <v>121</v>
      </c>
      <c r="C212" s="36" t="str">
        <f>'Status Thresholds'!B203</f>
        <v>Deadeye Yian Garuga</v>
      </c>
      <c r="D212" t="s">
        <v>14</v>
      </c>
      <c r="E212" s="36" t="str">
        <f t="shared" si="9"/>
        <v>Deadeye Yian GarugaKO</v>
      </c>
      <c r="F212" s="36" t="str">
        <f>IFERROR(VLOOKUP($E212,'Status Thresholds'!$E:$AS,1,FALSE),"")</f>
        <v>Deadeye Yian GarugaKO</v>
      </c>
      <c r="G212" s="36"/>
      <c r="H212" s="55" t="str">
        <f t="shared" si="10"/>
        <v>Deadeye Yian GarugaKO</v>
      </c>
      <c r="I212" s="50">
        <f>VLOOKUP($F212,'Status Thresholds'!$E:$AS,2,FALSE)</f>
        <v>0</v>
      </c>
      <c r="J212" s="36">
        <f>VLOOKUP($F212,'Status Thresholds'!$E:$AS,3,FALSE)</f>
        <v>0</v>
      </c>
      <c r="K212" s="36">
        <f>VLOOKUP($F212,'Status Thresholds'!$E:$AS,4,FALSE)</f>
        <v>0</v>
      </c>
      <c r="L212" s="36">
        <f>VLOOKUP($F212,'Status Thresholds'!$E:$AS,5,FALSE)</f>
        <v>0</v>
      </c>
      <c r="M212" s="36">
        <f>VLOOKUP($F212,'Status Thresholds'!$E:$AS,6,FALSE)</f>
        <v>0</v>
      </c>
      <c r="N212" s="50">
        <f>VLOOKUP($F212,'Status Thresholds'!$E:$AS,7,FALSE)</f>
        <v>0</v>
      </c>
      <c r="O212" s="36">
        <f>VLOOKUP($F212,'Status Thresholds'!$E:$AS,8,FALSE)</f>
        <v>0</v>
      </c>
      <c r="P212" s="36">
        <f>VLOOKUP($F212,'Status Thresholds'!$E:$AS,9,FALSE)</f>
        <v>0</v>
      </c>
      <c r="Q212" s="36">
        <f>VLOOKUP($F212,'Status Thresholds'!$E:$AS,10,FALSE)</f>
        <v>0</v>
      </c>
      <c r="R212" s="36">
        <f>VLOOKUP($F212,'Status Thresholds'!$E:$AS,11,FALSE)</f>
        <v>0</v>
      </c>
      <c r="S212" s="50">
        <f>VLOOKUP($F212,'Status Thresholds'!$E:$AS,12,FALSE)</f>
        <v>0</v>
      </c>
      <c r="T212" s="36">
        <f>VLOOKUP($F212,'Status Thresholds'!$E:$AS,13,FALSE)</f>
        <v>0</v>
      </c>
      <c r="U212" s="36">
        <f>VLOOKUP($F212,'Status Thresholds'!$E:$AS,14,FALSE)</f>
        <v>0</v>
      </c>
      <c r="V212" s="36">
        <f>VLOOKUP($F212,'Status Thresholds'!$E:$AS,15,FALSE)</f>
        <v>0</v>
      </c>
      <c r="W212" s="36">
        <f>VLOOKUP($F212,'Status Thresholds'!$E:$AS,16,FALSE)</f>
        <v>0</v>
      </c>
      <c r="X212" s="50">
        <f>VLOOKUP($F212,'Status Thresholds'!$E:$AS,17,FALSE)</f>
        <v>0</v>
      </c>
      <c r="Y212" s="36">
        <f>VLOOKUP($F212,'Status Thresholds'!$E:$AS,18,FALSE)</f>
        <v>0</v>
      </c>
      <c r="Z212" s="36">
        <f>VLOOKUP($F212,'Status Thresholds'!$E:$AS,19,FALSE)</f>
        <v>0</v>
      </c>
      <c r="AA212" s="36">
        <f>VLOOKUP($F212,'Status Thresholds'!$E:$AS,20,FALSE)</f>
        <v>0</v>
      </c>
      <c r="AB212" s="36">
        <f>VLOOKUP($F212,'Status Thresholds'!$E:$AS,21,FALSE)</f>
        <v>0</v>
      </c>
      <c r="AC212" s="50">
        <f>VLOOKUP($F212,'Status Thresholds'!$E:$AS,22,FALSE)</f>
        <v>0</v>
      </c>
      <c r="AD212" s="36">
        <f>VLOOKUP($F212,'Status Thresholds'!$E:$AS,23,FALSE)</f>
        <v>0</v>
      </c>
      <c r="AE212" s="36">
        <f>VLOOKUP($F212,'Status Thresholds'!$E:$AS,24,FALSE)</f>
        <v>0</v>
      </c>
      <c r="AF212" s="36">
        <f>VLOOKUP($F212,'Status Thresholds'!$E:$AS,25,FALSE)</f>
        <v>0</v>
      </c>
      <c r="AG212" s="36">
        <f>VLOOKUP($F212,'Status Thresholds'!$E:$AS,26,FALSE)</f>
        <v>0</v>
      </c>
      <c r="AH212" s="50">
        <f>VLOOKUP($F212,'Status Thresholds'!$E:$AS,27,FALSE)</f>
        <v>0</v>
      </c>
      <c r="AI212" s="36">
        <f>VLOOKUP($F212,'Status Thresholds'!$E:$AS,28,FALSE)</f>
        <v>0</v>
      </c>
      <c r="AJ212" s="36">
        <f>VLOOKUP($F212,'Status Thresholds'!$E:$AS,29,FALSE)</f>
        <v>0</v>
      </c>
      <c r="AK212" s="36">
        <f>VLOOKUP($F212,'Status Thresholds'!$E:$AS,30,FALSE)</f>
        <v>0</v>
      </c>
      <c r="AL212" s="36">
        <f>VLOOKUP($F212,'Status Thresholds'!$E:$AS,31,FALSE)</f>
        <v>0</v>
      </c>
      <c r="AM212" s="50">
        <f>VLOOKUP($F212,'Status Thresholds'!$E:$AS,32,FALSE)</f>
        <v>0</v>
      </c>
      <c r="AN212" s="36">
        <f>VLOOKUP($F212,'Status Thresholds'!$E:$AS,33,FALSE)</f>
        <v>0</v>
      </c>
      <c r="AO212" s="36">
        <f>VLOOKUP($F212,'Status Thresholds'!$E:$AS,34,FALSE)</f>
        <v>0</v>
      </c>
      <c r="AP212" s="36">
        <f>VLOOKUP($F212,'Status Thresholds'!$E:$AS,35,FALSE)</f>
        <v>0</v>
      </c>
      <c r="AQ212" s="36">
        <f>VLOOKUP($F212,'Status Thresholds'!$E:$AS,36,FALSE)</f>
        <v>0</v>
      </c>
      <c r="AR212" s="50">
        <f>VLOOKUP($F212,'Status Thresholds'!$E:$AS,37,FALSE)</f>
        <v>0</v>
      </c>
      <c r="AS212" s="36">
        <f>VLOOKUP($F212,'Status Thresholds'!$E:$AS,38,FALSE)</f>
        <v>0</v>
      </c>
      <c r="AT212" s="36">
        <f>VLOOKUP($F212,'Status Thresholds'!$E:$AS,39,FALSE)</f>
        <v>0</v>
      </c>
      <c r="AU212" s="36">
        <f>VLOOKUP($F212,'Status Thresholds'!$E:$AS,40,FALSE)</f>
        <v>0</v>
      </c>
      <c r="AV212" s="36">
        <f>VLOOKUP($F212,'Status Thresholds'!$E:$AS,41,FALSE)</f>
        <v>10</v>
      </c>
      <c r="AW212">
        <v>0</v>
      </c>
      <c r="AX212">
        <v>0</v>
      </c>
    </row>
    <row r="213" spans="1:50" x14ac:dyDescent="0.25">
      <c r="A213" s="36"/>
      <c r="B213" t="s">
        <v>120</v>
      </c>
      <c r="C213" s="36" t="str">
        <f>'Status Thresholds'!B204</f>
        <v>Deadeye Yian Garuga</v>
      </c>
      <c r="E213" s="36" t="str">
        <f t="shared" si="9"/>
        <v>Deadeye Yian Garuga</v>
      </c>
      <c r="F213" s="36" t="str">
        <f>IFERROR(VLOOKUP($E213,'Status Thresholds'!$E:$AS,1,FALSE),"")</f>
        <v/>
      </c>
      <c r="G213" s="46" t="s">
        <v>21</v>
      </c>
      <c r="H213" s="55" t="str">
        <f t="shared" si="10"/>
        <v>Deadeye Yian GarugaTriblast</v>
      </c>
      <c r="I213" s="50">
        <v>0</v>
      </c>
      <c r="J213" s="36">
        <v>0</v>
      </c>
      <c r="K213" s="36">
        <v>0</v>
      </c>
      <c r="L213" s="36">
        <v>0</v>
      </c>
      <c r="M213" s="36">
        <v>0</v>
      </c>
      <c r="N213" s="50">
        <v>0</v>
      </c>
      <c r="O213" s="36">
        <v>0</v>
      </c>
      <c r="P213" s="36">
        <v>0</v>
      </c>
      <c r="Q213" s="36">
        <v>0</v>
      </c>
      <c r="R213" s="36">
        <v>0</v>
      </c>
      <c r="S213" s="50">
        <v>0</v>
      </c>
      <c r="T213" s="36">
        <v>0</v>
      </c>
      <c r="U213" s="36">
        <v>0</v>
      </c>
      <c r="V213" s="36">
        <v>0</v>
      </c>
      <c r="W213" s="36">
        <v>0</v>
      </c>
      <c r="X213" s="50">
        <v>0</v>
      </c>
      <c r="Y213" s="36">
        <v>0</v>
      </c>
      <c r="Z213" s="36">
        <v>0</v>
      </c>
      <c r="AA213" s="36">
        <v>0</v>
      </c>
      <c r="AB213" s="36">
        <v>0</v>
      </c>
      <c r="AC213" s="50">
        <v>0</v>
      </c>
      <c r="AD213" s="36">
        <v>0</v>
      </c>
      <c r="AE213" s="36">
        <v>0</v>
      </c>
      <c r="AF213" s="36">
        <v>0</v>
      </c>
      <c r="AG213" s="36">
        <v>0</v>
      </c>
      <c r="AH213" s="50">
        <v>0</v>
      </c>
      <c r="AI213" s="36">
        <v>0</v>
      </c>
      <c r="AJ213" s="36">
        <v>0</v>
      </c>
      <c r="AK213" s="36">
        <v>0</v>
      </c>
      <c r="AL213" s="36">
        <v>0</v>
      </c>
      <c r="AM213" s="50">
        <v>0</v>
      </c>
      <c r="AN213" s="36">
        <v>0</v>
      </c>
      <c r="AO213" s="36">
        <v>0</v>
      </c>
      <c r="AP213" s="36">
        <v>0</v>
      </c>
      <c r="AQ213" s="36">
        <v>0</v>
      </c>
      <c r="AR213" s="50">
        <v>0</v>
      </c>
      <c r="AS213" s="36">
        <v>0</v>
      </c>
      <c r="AT213" s="36">
        <v>0</v>
      </c>
      <c r="AU213" s="36">
        <v>0</v>
      </c>
      <c r="AV213" s="36">
        <v>0</v>
      </c>
      <c r="AW213">
        <v>0</v>
      </c>
    </row>
    <row r="214" spans="1:50" x14ac:dyDescent="0.25">
      <c r="A214" s="36"/>
      <c r="B214" t="s">
        <v>120</v>
      </c>
      <c r="C214" s="36" t="str">
        <f>'Status Thresholds'!B205</f>
        <v>Deadeye Yian Garuga</v>
      </c>
      <c r="E214" s="36" t="str">
        <f t="shared" si="9"/>
        <v>Deadeye Yian Garuga</v>
      </c>
      <c r="F214" s="36" t="str">
        <f>IFERROR(VLOOKUP($E214,'Status Thresholds'!$E:$AS,1,FALSE),"")</f>
        <v/>
      </c>
      <c r="G214" t="s">
        <v>13</v>
      </c>
      <c r="H214" s="55" t="str">
        <f t="shared" si="10"/>
        <v>Deadeye Yian GarugaCrag 3</v>
      </c>
      <c r="I214" s="50">
        <v>0</v>
      </c>
      <c r="J214" s="36">
        <v>0</v>
      </c>
      <c r="K214" s="36">
        <v>0</v>
      </c>
      <c r="L214" s="36">
        <v>0</v>
      </c>
      <c r="M214" s="36">
        <v>0</v>
      </c>
      <c r="N214" s="50">
        <v>0</v>
      </c>
      <c r="O214" s="36">
        <v>0</v>
      </c>
      <c r="P214" s="36">
        <v>0</v>
      </c>
      <c r="Q214" s="36">
        <v>0</v>
      </c>
      <c r="R214" s="36">
        <v>0</v>
      </c>
      <c r="S214" s="50">
        <v>0</v>
      </c>
      <c r="T214" s="36">
        <v>0</v>
      </c>
      <c r="U214" s="36">
        <v>0</v>
      </c>
      <c r="V214" s="36">
        <v>0</v>
      </c>
      <c r="W214" s="36">
        <v>0</v>
      </c>
      <c r="X214" s="50">
        <v>0</v>
      </c>
      <c r="Y214" s="36">
        <v>0</v>
      </c>
      <c r="Z214" s="36">
        <v>0</v>
      </c>
      <c r="AA214" s="36">
        <v>0</v>
      </c>
      <c r="AB214" s="36">
        <v>0</v>
      </c>
      <c r="AC214" s="50">
        <v>0</v>
      </c>
      <c r="AD214" s="36">
        <v>0</v>
      </c>
      <c r="AE214" s="36">
        <v>0</v>
      </c>
      <c r="AF214" s="36">
        <v>0</v>
      </c>
      <c r="AG214" s="36">
        <v>0</v>
      </c>
      <c r="AH214" s="50">
        <v>0</v>
      </c>
      <c r="AI214" s="36">
        <v>0</v>
      </c>
      <c r="AJ214" s="36">
        <v>0</v>
      </c>
      <c r="AK214" s="36">
        <v>0</v>
      </c>
      <c r="AL214" s="36">
        <v>0</v>
      </c>
      <c r="AM214" s="50">
        <v>0</v>
      </c>
      <c r="AN214" s="36">
        <v>0</v>
      </c>
      <c r="AO214" s="36">
        <v>0</v>
      </c>
      <c r="AP214" s="36">
        <v>0</v>
      </c>
      <c r="AQ214" s="36">
        <v>0</v>
      </c>
      <c r="AR214" s="50">
        <v>0</v>
      </c>
      <c r="AS214" s="36">
        <v>0</v>
      </c>
      <c r="AT214" s="36">
        <v>0</v>
      </c>
      <c r="AU214" s="36">
        <v>0</v>
      </c>
      <c r="AV214" s="36">
        <v>0</v>
      </c>
      <c r="AW214">
        <v>0</v>
      </c>
      <c r="AX214">
        <v>0</v>
      </c>
    </row>
    <row r="215" spans="1:50" x14ac:dyDescent="0.25">
      <c r="A215" s="36"/>
      <c r="B215" t="s">
        <v>120</v>
      </c>
      <c r="C215" s="36" t="str">
        <f>'Status Thresholds'!B206</f>
        <v>Deadeye Yian Garuga</v>
      </c>
      <c r="E215" s="36" t="str">
        <f t="shared" si="9"/>
        <v>Deadeye Yian Garuga</v>
      </c>
      <c r="F215" s="36" t="str">
        <f>IFERROR(VLOOKUP($E215,'Status Thresholds'!$E:$AS,1,FALSE),"")</f>
        <v/>
      </c>
      <c r="G215" t="s">
        <v>12</v>
      </c>
      <c r="H215" s="55" t="str">
        <f t="shared" si="10"/>
        <v>Deadeye Yian GarugaCrag 2</v>
      </c>
      <c r="I215" s="50">
        <v>0</v>
      </c>
      <c r="J215" s="36">
        <v>0</v>
      </c>
      <c r="K215" s="36">
        <v>0</v>
      </c>
      <c r="L215" s="36">
        <v>0</v>
      </c>
      <c r="M215" s="36">
        <v>0</v>
      </c>
      <c r="N215" s="50">
        <v>0</v>
      </c>
      <c r="O215" s="36">
        <v>0</v>
      </c>
      <c r="P215" s="36">
        <v>0</v>
      </c>
      <c r="Q215" s="36">
        <v>0</v>
      </c>
      <c r="R215" s="36">
        <v>0</v>
      </c>
      <c r="S215" s="50">
        <v>0</v>
      </c>
      <c r="T215" s="36">
        <v>0</v>
      </c>
      <c r="U215" s="36">
        <v>0</v>
      </c>
      <c r="V215" s="36">
        <v>0</v>
      </c>
      <c r="W215" s="36">
        <v>0</v>
      </c>
      <c r="X215" s="50">
        <v>0</v>
      </c>
      <c r="Y215" s="36">
        <v>0</v>
      </c>
      <c r="Z215" s="36">
        <v>0</v>
      </c>
      <c r="AA215" s="36">
        <v>0</v>
      </c>
      <c r="AB215" s="36">
        <v>0</v>
      </c>
      <c r="AC215" s="50">
        <v>0</v>
      </c>
      <c r="AD215" s="36">
        <v>0</v>
      </c>
      <c r="AE215" s="36">
        <v>0</v>
      </c>
      <c r="AF215" s="36">
        <v>0</v>
      </c>
      <c r="AG215" s="36">
        <v>0</v>
      </c>
      <c r="AH215" s="50">
        <v>0</v>
      </c>
      <c r="AI215" s="36">
        <v>0</v>
      </c>
      <c r="AJ215" s="36">
        <v>0</v>
      </c>
      <c r="AK215" s="36">
        <v>0</v>
      </c>
      <c r="AL215" s="36">
        <v>0</v>
      </c>
      <c r="AM215" s="50">
        <v>0</v>
      </c>
      <c r="AN215" s="36">
        <v>0</v>
      </c>
      <c r="AO215" s="36">
        <v>0</v>
      </c>
      <c r="AP215" s="36">
        <v>0</v>
      </c>
      <c r="AQ215" s="36">
        <v>0</v>
      </c>
      <c r="AR215" s="50">
        <v>0</v>
      </c>
      <c r="AS215" s="36">
        <v>0</v>
      </c>
      <c r="AT215" s="36">
        <v>0</v>
      </c>
      <c r="AU215" s="36">
        <v>0</v>
      </c>
      <c r="AV215" s="36">
        <v>0</v>
      </c>
      <c r="AW215">
        <v>0</v>
      </c>
      <c r="AX215">
        <v>0</v>
      </c>
    </row>
    <row r="216" spans="1:50" x14ac:dyDescent="0.25">
      <c r="A216" s="36"/>
      <c r="B216" t="s">
        <v>120</v>
      </c>
      <c r="C216" s="36" t="str">
        <f>'Status Thresholds'!B207</f>
        <v>Deadeye Yian Garuga</v>
      </c>
      <c r="E216" s="36" t="str">
        <f t="shared" si="9"/>
        <v>Deadeye Yian Garuga</v>
      </c>
      <c r="F216" s="36" t="str">
        <f>IFERROR(VLOOKUP($E216,'Status Thresholds'!$E:$AS,1,FALSE),"")</f>
        <v/>
      </c>
      <c r="G216" t="s">
        <v>11</v>
      </c>
      <c r="H216" s="55" t="str">
        <f t="shared" si="10"/>
        <v>Deadeye Yian GarugaCrag 1</v>
      </c>
      <c r="I216" s="50">
        <v>0</v>
      </c>
      <c r="J216" s="36">
        <v>0</v>
      </c>
      <c r="K216" s="36">
        <v>0</v>
      </c>
      <c r="L216" s="36">
        <v>0</v>
      </c>
      <c r="M216" s="36">
        <v>0</v>
      </c>
      <c r="N216" s="50">
        <v>0</v>
      </c>
      <c r="O216" s="36">
        <v>0</v>
      </c>
      <c r="P216" s="36">
        <v>0</v>
      </c>
      <c r="Q216" s="36">
        <v>0</v>
      </c>
      <c r="R216" s="36">
        <v>0</v>
      </c>
      <c r="S216" s="50">
        <v>0</v>
      </c>
      <c r="T216" s="36">
        <v>0</v>
      </c>
      <c r="U216" s="36">
        <v>0</v>
      </c>
      <c r="V216" s="36">
        <v>0</v>
      </c>
      <c r="W216" s="36">
        <v>0</v>
      </c>
      <c r="X216" s="50">
        <v>0</v>
      </c>
      <c r="Y216" s="36">
        <v>0</v>
      </c>
      <c r="Z216" s="36">
        <v>0</v>
      </c>
      <c r="AA216" s="36">
        <v>0</v>
      </c>
      <c r="AB216" s="36">
        <v>0</v>
      </c>
      <c r="AC216" s="50">
        <v>0</v>
      </c>
      <c r="AD216" s="36">
        <v>0</v>
      </c>
      <c r="AE216" s="36">
        <v>0</v>
      </c>
      <c r="AF216" s="36">
        <v>0</v>
      </c>
      <c r="AG216" s="36">
        <v>0</v>
      </c>
      <c r="AH216" s="50">
        <v>0</v>
      </c>
      <c r="AI216" s="36">
        <v>0</v>
      </c>
      <c r="AJ216" s="36">
        <v>0</v>
      </c>
      <c r="AK216" s="36">
        <v>0</v>
      </c>
      <c r="AL216" s="36">
        <v>0</v>
      </c>
      <c r="AM216" s="50">
        <v>0</v>
      </c>
      <c r="AN216" s="36">
        <v>0</v>
      </c>
      <c r="AO216" s="36">
        <v>0</v>
      </c>
      <c r="AP216" s="36">
        <v>0</v>
      </c>
      <c r="AQ216" s="36">
        <v>0</v>
      </c>
      <c r="AR216" s="50">
        <v>0</v>
      </c>
      <c r="AS216" s="36">
        <v>0</v>
      </c>
      <c r="AT216" s="36">
        <v>0</v>
      </c>
      <c r="AU216" s="36">
        <v>0</v>
      </c>
      <c r="AV216" s="36">
        <v>1</v>
      </c>
      <c r="AW216">
        <v>0</v>
      </c>
      <c r="AX216">
        <v>0</v>
      </c>
    </row>
    <row r="217" spans="1:50" x14ac:dyDescent="0.25">
      <c r="A217" s="36"/>
      <c r="B217" t="s">
        <v>119</v>
      </c>
      <c r="C217" s="36" t="str">
        <f>'Status Thresholds'!B208</f>
        <v>Deadeye Yian Garuga</v>
      </c>
      <c r="E217" s="36" t="str">
        <f t="shared" si="9"/>
        <v>Deadeye Yian Garuga</v>
      </c>
      <c r="F217" s="36" t="str">
        <f>IFERROR(VLOOKUP($E217,'Status Thresholds'!$E:$AS,1,FALSE),"")</f>
        <v/>
      </c>
      <c r="G217" s="36" t="s">
        <v>21</v>
      </c>
      <c r="H217" s="55" t="str">
        <f t="shared" si="10"/>
        <v>Deadeye Yian GarugaTriblast</v>
      </c>
      <c r="I217" s="50">
        <v>0</v>
      </c>
      <c r="J217" s="36">
        <v>0</v>
      </c>
      <c r="K217" s="36">
        <v>0</v>
      </c>
      <c r="L217" s="36">
        <v>0</v>
      </c>
      <c r="M217" s="36">
        <v>0</v>
      </c>
      <c r="N217" s="50">
        <v>0</v>
      </c>
      <c r="O217" s="36">
        <v>0</v>
      </c>
      <c r="P217" s="36">
        <v>0</v>
      </c>
      <c r="Q217" s="36">
        <v>0</v>
      </c>
      <c r="R217" s="36">
        <v>0</v>
      </c>
      <c r="S217" s="50">
        <v>0</v>
      </c>
      <c r="T217" s="36">
        <v>0</v>
      </c>
      <c r="U217" s="36">
        <v>0</v>
      </c>
      <c r="V217" s="36">
        <v>0</v>
      </c>
      <c r="W217" s="36">
        <v>0</v>
      </c>
      <c r="X217" s="50">
        <v>0</v>
      </c>
      <c r="Y217" s="36">
        <v>0</v>
      </c>
      <c r="Z217" s="36">
        <v>0</v>
      </c>
      <c r="AA217" s="36">
        <v>0</v>
      </c>
      <c r="AB217" s="36">
        <v>0</v>
      </c>
      <c r="AC217" s="50">
        <v>0</v>
      </c>
      <c r="AD217" s="36">
        <v>0</v>
      </c>
      <c r="AE217" s="36">
        <v>0</v>
      </c>
      <c r="AF217" s="36">
        <v>0</v>
      </c>
      <c r="AG217" s="36">
        <v>0</v>
      </c>
      <c r="AH217" s="50">
        <v>0</v>
      </c>
      <c r="AI217" s="36">
        <v>0</v>
      </c>
      <c r="AJ217" s="36">
        <v>0</v>
      </c>
      <c r="AK217" s="36">
        <v>0</v>
      </c>
      <c r="AL217" s="36">
        <v>0</v>
      </c>
      <c r="AM217" s="50">
        <v>0</v>
      </c>
      <c r="AN217" s="36">
        <v>0</v>
      </c>
      <c r="AO217" s="36">
        <v>0</v>
      </c>
      <c r="AP217" s="36">
        <v>0</v>
      </c>
      <c r="AQ217" s="36">
        <v>0</v>
      </c>
      <c r="AR217" s="50">
        <v>0</v>
      </c>
      <c r="AS217" s="36">
        <v>0</v>
      </c>
      <c r="AT217" s="36">
        <v>0</v>
      </c>
      <c r="AU217" s="36">
        <v>0</v>
      </c>
      <c r="AV217" s="36">
        <v>0</v>
      </c>
      <c r="AW217">
        <v>0</v>
      </c>
      <c r="AX217">
        <v>0</v>
      </c>
    </row>
    <row r="218" spans="1:50" x14ac:dyDescent="0.25">
      <c r="A218" s="36"/>
      <c r="B218" t="s">
        <v>119</v>
      </c>
      <c r="C218" s="36" t="str">
        <f>'Status Thresholds'!B209</f>
        <v>Deadeye Yian Garuga</v>
      </c>
      <c r="E218" s="36" t="str">
        <f t="shared" si="9"/>
        <v>Deadeye Yian Garuga</v>
      </c>
      <c r="F218" s="36" t="str">
        <f>IFERROR(VLOOKUP($E218,'Status Thresholds'!$E:$AS,1,FALSE),"")</f>
        <v/>
      </c>
      <c r="G218" t="s">
        <v>13</v>
      </c>
      <c r="H218" s="55" t="str">
        <f t="shared" si="10"/>
        <v>Deadeye Yian GarugaCrag 3</v>
      </c>
      <c r="I218" s="50">
        <v>0</v>
      </c>
      <c r="J218" s="36">
        <v>0</v>
      </c>
      <c r="K218" s="36">
        <v>0</v>
      </c>
      <c r="L218" s="36">
        <v>0</v>
      </c>
      <c r="M218" s="36">
        <v>0</v>
      </c>
      <c r="N218" s="50">
        <v>0</v>
      </c>
      <c r="O218" s="36">
        <v>0</v>
      </c>
      <c r="P218" s="36">
        <v>0</v>
      </c>
      <c r="Q218" s="36">
        <v>0</v>
      </c>
      <c r="R218" s="36">
        <v>0</v>
      </c>
      <c r="S218" s="50">
        <v>0</v>
      </c>
      <c r="T218" s="36">
        <v>0</v>
      </c>
      <c r="U218" s="36">
        <v>0</v>
      </c>
      <c r="V218" s="36">
        <v>0</v>
      </c>
      <c r="W218" s="36">
        <v>0</v>
      </c>
      <c r="X218" s="50">
        <v>0</v>
      </c>
      <c r="Y218" s="36">
        <v>0</v>
      </c>
      <c r="Z218" s="36">
        <v>0</v>
      </c>
      <c r="AA218" s="36">
        <v>0</v>
      </c>
      <c r="AB218" s="36">
        <v>0</v>
      </c>
      <c r="AC218" s="50">
        <v>0</v>
      </c>
      <c r="AD218" s="36">
        <v>0</v>
      </c>
      <c r="AE218" s="36">
        <v>0</v>
      </c>
      <c r="AF218" s="36">
        <v>0</v>
      </c>
      <c r="AG218" s="36">
        <v>0</v>
      </c>
      <c r="AH218" s="50">
        <v>0</v>
      </c>
      <c r="AI218" s="36">
        <v>0</v>
      </c>
      <c r="AJ218" s="36">
        <v>0</v>
      </c>
      <c r="AK218" s="36">
        <v>0</v>
      </c>
      <c r="AL218" s="36">
        <v>0</v>
      </c>
      <c r="AM218" s="50">
        <v>0</v>
      </c>
      <c r="AN218" s="36">
        <v>0</v>
      </c>
      <c r="AO218" s="36">
        <v>0</v>
      </c>
      <c r="AP218" s="36">
        <v>0</v>
      </c>
      <c r="AQ218" s="36">
        <v>0</v>
      </c>
      <c r="AR218" s="50">
        <v>0</v>
      </c>
      <c r="AS218" s="36">
        <v>0</v>
      </c>
      <c r="AT218" s="36">
        <v>0</v>
      </c>
      <c r="AU218" s="36">
        <v>0</v>
      </c>
      <c r="AV218" s="36">
        <v>0</v>
      </c>
      <c r="AW218">
        <v>0</v>
      </c>
      <c r="AX218">
        <v>0</v>
      </c>
    </row>
    <row r="219" spans="1:50" x14ac:dyDescent="0.25">
      <c r="A219" s="36"/>
      <c r="B219" t="s">
        <v>119</v>
      </c>
      <c r="C219" s="36" t="str">
        <f>'Status Thresholds'!B210</f>
        <v>Deadeye Yian Garuga</v>
      </c>
      <c r="E219" s="36" t="str">
        <f t="shared" si="9"/>
        <v>Deadeye Yian Garuga</v>
      </c>
      <c r="F219" s="36" t="str">
        <f>IFERROR(VLOOKUP($E219,'Status Thresholds'!$E:$AS,1,FALSE),"")</f>
        <v/>
      </c>
      <c r="G219" t="s">
        <v>12</v>
      </c>
      <c r="H219" s="55" t="str">
        <f t="shared" si="10"/>
        <v>Deadeye Yian GarugaCrag 2</v>
      </c>
      <c r="I219" s="50">
        <v>0</v>
      </c>
      <c r="J219" s="36">
        <v>0</v>
      </c>
      <c r="K219" s="36">
        <v>0</v>
      </c>
      <c r="L219" s="36">
        <v>0</v>
      </c>
      <c r="M219" s="36">
        <v>0</v>
      </c>
      <c r="N219" s="50">
        <v>0</v>
      </c>
      <c r="O219" s="36">
        <v>0</v>
      </c>
      <c r="P219" s="36">
        <v>0</v>
      </c>
      <c r="Q219" s="36">
        <v>0</v>
      </c>
      <c r="R219" s="36">
        <v>0</v>
      </c>
      <c r="S219" s="50">
        <v>0</v>
      </c>
      <c r="T219" s="36">
        <v>0</v>
      </c>
      <c r="U219" s="36">
        <v>0</v>
      </c>
      <c r="V219" s="36">
        <v>0</v>
      </c>
      <c r="W219" s="36">
        <v>0</v>
      </c>
      <c r="X219" s="50">
        <v>0</v>
      </c>
      <c r="Y219" s="36">
        <v>0</v>
      </c>
      <c r="Z219" s="36">
        <v>0</v>
      </c>
      <c r="AA219" s="36">
        <v>0</v>
      </c>
      <c r="AB219" s="36">
        <v>0</v>
      </c>
      <c r="AC219" s="50">
        <v>0</v>
      </c>
      <c r="AD219" s="36">
        <v>0</v>
      </c>
      <c r="AE219" s="36">
        <v>0</v>
      </c>
      <c r="AF219" s="36">
        <v>0</v>
      </c>
      <c r="AG219" s="36">
        <v>0</v>
      </c>
      <c r="AH219" s="50">
        <v>0</v>
      </c>
      <c r="AI219" s="36">
        <v>0</v>
      </c>
      <c r="AJ219" s="36">
        <v>0</v>
      </c>
      <c r="AK219" s="36">
        <v>0</v>
      </c>
      <c r="AL219" s="36">
        <v>0</v>
      </c>
      <c r="AM219" s="50">
        <v>0</v>
      </c>
      <c r="AN219" s="36">
        <v>0</v>
      </c>
      <c r="AO219" s="36">
        <v>0</v>
      </c>
      <c r="AP219" s="36">
        <v>0</v>
      </c>
      <c r="AQ219" s="36">
        <v>0</v>
      </c>
      <c r="AR219" s="50">
        <v>0</v>
      </c>
      <c r="AS219" s="36">
        <v>0</v>
      </c>
      <c r="AT219" s="36">
        <v>0</v>
      </c>
      <c r="AU219" s="36">
        <v>0</v>
      </c>
      <c r="AV219" s="36">
        <v>0</v>
      </c>
      <c r="AW219">
        <v>0</v>
      </c>
      <c r="AX219">
        <v>0</v>
      </c>
    </row>
    <row r="220" spans="1:50" x14ac:dyDescent="0.25">
      <c r="A220" s="36"/>
      <c r="B220" t="s">
        <v>119</v>
      </c>
      <c r="C220" s="36" t="str">
        <f>'Status Thresholds'!B211</f>
        <v>Deadeye Yian Garuga</v>
      </c>
      <c r="E220" s="36" t="str">
        <f t="shared" si="9"/>
        <v>Deadeye Yian Garuga</v>
      </c>
      <c r="F220" s="36" t="str">
        <f>IFERROR(VLOOKUP($E220,'Status Thresholds'!$E:$AS,1,FALSE),"")</f>
        <v/>
      </c>
      <c r="G220" t="s">
        <v>11</v>
      </c>
      <c r="H220" s="55" t="str">
        <f t="shared" si="10"/>
        <v>Deadeye Yian GarugaCrag 1</v>
      </c>
      <c r="I220" s="50">
        <v>0</v>
      </c>
      <c r="J220" s="36">
        <v>0</v>
      </c>
      <c r="K220" s="36">
        <v>0</v>
      </c>
      <c r="L220" s="36">
        <v>0</v>
      </c>
      <c r="M220" s="36">
        <v>0</v>
      </c>
      <c r="N220" s="50">
        <v>0</v>
      </c>
      <c r="O220" s="36">
        <v>0</v>
      </c>
      <c r="P220" s="36">
        <v>0</v>
      </c>
      <c r="Q220" s="36">
        <v>0</v>
      </c>
      <c r="R220" s="36">
        <v>0</v>
      </c>
      <c r="S220" s="50">
        <v>0</v>
      </c>
      <c r="T220" s="36">
        <v>0</v>
      </c>
      <c r="U220" s="36">
        <v>0</v>
      </c>
      <c r="V220" s="36">
        <v>0</v>
      </c>
      <c r="W220" s="36">
        <v>0</v>
      </c>
      <c r="X220" s="50">
        <v>0</v>
      </c>
      <c r="Y220" s="36">
        <v>0</v>
      </c>
      <c r="Z220" s="36">
        <v>0</v>
      </c>
      <c r="AA220" s="36">
        <v>0</v>
      </c>
      <c r="AB220" s="36">
        <v>0</v>
      </c>
      <c r="AC220" s="50">
        <v>0</v>
      </c>
      <c r="AD220" s="36">
        <v>0</v>
      </c>
      <c r="AE220" s="36">
        <v>0</v>
      </c>
      <c r="AF220" s="36">
        <v>0</v>
      </c>
      <c r="AG220" s="36">
        <v>0</v>
      </c>
      <c r="AH220" s="50">
        <v>0</v>
      </c>
      <c r="AI220" s="36">
        <v>0</v>
      </c>
      <c r="AJ220" s="36">
        <v>0</v>
      </c>
      <c r="AK220" s="36">
        <v>0</v>
      </c>
      <c r="AL220" s="36">
        <v>0</v>
      </c>
      <c r="AM220" s="50">
        <v>0</v>
      </c>
      <c r="AN220" s="36">
        <v>0</v>
      </c>
      <c r="AO220" s="36">
        <v>0</v>
      </c>
      <c r="AP220" s="36">
        <v>0</v>
      </c>
      <c r="AQ220" s="36">
        <v>0</v>
      </c>
      <c r="AR220" s="50">
        <v>0</v>
      </c>
      <c r="AS220" s="36">
        <v>0</v>
      </c>
      <c r="AT220" s="36">
        <v>0</v>
      </c>
      <c r="AU220" s="36">
        <v>0</v>
      </c>
      <c r="AV220" s="36">
        <v>1</v>
      </c>
      <c r="AW220">
        <v>0</v>
      </c>
      <c r="AX220">
        <v>0</v>
      </c>
    </row>
    <row r="221" spans="1:50" x14ac:dyDescent="0.25">
      <c r="A221" s="36"/>
      <c r="B221" t="s">
        <v>121</v>
      </c>
      <c r="C221" s="36" t="str">
        <f>'Status Thresholds'!B212</f>
        <v>Devil Jho</v>
      </c>
      <c r="D221" t="s">
        <v>14</v>
      </c>
      <c r="E221" s="36" t="str">
        <f t="shared" si="9"/>
        <v>Devil JhoKO</v>
      </c>
      <c r="F221" s="36" t="str">
        <f>IFERROR(VLOOKUP($E221,'Status Thresholds'!$E:$AS,1,FALSE),"")</f>
        <v>Devil JhoKO</v>
      </c>
      <c r="H221" s="55" t="str">
        <f t="shared" si="10"/>
        <v>Devil JhoKO</v>
      </c>
      <c r="I221" s="50">
        <f>VLOOKUP($F221,'Status Thresholds'!$E:$AS,2,FALSE)</f>
        <v>233</v>
      </c>
      <c r="J221" s="36">
        <f>VLOOKUP($F221,'Status Thresholds'!$E:$AS,3,FALSE)</f>
        <v>428</v>
      </c>
      <c r="K221" s="36">
        <f>VLOOKUP($F221,'Status Thresholds'!$E:$AS,4,FALSE)</f>
        <v>624</v>
      </c>
      <c r="L221" s="36">
        <f>VLOOKUP($F221,'Status Thresholds'!$E:$AS,5,FALSE)</f>
        <v>819</v>
      </c>
      <c r="M221" s="36">
        <f>VLOOKUP($F221,'Status Thresholds'!$E:$AS,6,FALSE)</f>
        <v>0</v>
      </c>
      <c r="N221" s="50">
        <f>VLOOKUP($F221,'Status Thresholds'!$E:$AS,7,FALSE)</f>
        <v>233</v>
      </c>
      <c r="O221" s="36">
        <f>VLOOKUP($F221,'Status Thresholds'!$E:$AS,8,FALSE)</f>
        <v>428</v>
      </c>
      <c r="P221" s="36">
        <f>VLOOKUP($F221,'Status Thresholds'!$E:$AS,9,FALSE)</f>
        <v>623</v>
      </c>
      <c r="Q221" s="36">
        <f>VLOOKUP($F221,'Status Thresholds'!$E:$AS,10,FALSE)</f>
        <v>818</v>
      </c>
      <c r="R221" s="36">
        <f>VLOOKUP($F221,'Status Thresholds'!$E:$AS,11,FALSE)</f>
        <v>0</v>
      </c>
      <c r="S221" s="50">
        <f>VLOOKUP($F221,'Status Thresholds'!$E:$AS,12,FALSE)</f>
        <v>270</v>
      </c>
      <c r="T221" s="36">
        <f>VLOOKUP($F221,'Status Thresholds'!$E:$AS,13,FALSE)</f>
        <v>495</v>
      </c>
      <c r="U221" s="36">
        <f>VLOOKUP($F221,'Status Thresholds'!$E:$AS,14,FALSE)</f>
        <v>720</v>
      </c>
      <c r="V221" s="36">
        <f>VLOOKUP($F221,'Status Thresholds'!$E:$AS,15,FALSE)</f>
        <v>945</v>
      </c>
      <c r="W221" s="36">
        <f>VLOOKUP($F221,'Status Thresholds'!$E:$AS,16,FALSE)</f>
        <v>0</v>
      </c>
      <c r="X221" s="50">
        <f>VLOOKUP($F221,'Status Thresholds'!$E:$AS,17,FALSE)</f>
        <v>0</v>
      </c>
      <c r="Y221" s="36">
        <f>VLOOKUP($F221,'Status Thresholds'!$E:$AS,18,FALSE)</f>
        <v>0</v>
      </c>
      <c r="Z221" s="36">
        <f>VLOOKUP($F221,'Status Thresholds'!$E:$AS,19,FALSE)</f>
        <v>0</v>
      </c>
      <c r="AA221" s="36">
        <f>VLOOKUP($F221,'Status Thresholds'!$E:$AS,20,FALSE)</f>
        <v>0</v>
      </c>
      <c r="AB221" s="36">
        <f>VLOOKUP($F221,'Status Thresholds'!$E:$AS,21,FALSE)</f>
        <v>0</v>
      </c>
      <c r="AC221" s="50">
        <f>VLOOKUP($F221,'Status Thresholds'!$E:$AS,22,FALSE)</f>
        <v>270</v>
      </c>
      <c r="AD221" s="36">
        <f>VLOOKUP($F221,'Status Thresholds'!$E:$AS,23,FALSE)</f>
        <v>495</v>
      </c>
      <c r="AE221" s="36">
        <f>VLOOKUP($F221,'Status Thresholds'!$E:$AS,24,FALSE)</f>
        <v>720</v>
      </c>
      <c r="AF221" s="36">
        <f>VLOOKUP($F221,'Status Thresholds'!$E:$AS,25,FALSE)</f>
        <v>945</v>
      </c>
      <c r="AG221" s="36">
        <f>VLOOKUP($F221,'Status Thresholds'!$E:$AS,26,FALSE)</f>
        <v>0</v>
      </c>
      <c r="AH221" s="50">
        <f>VLOOKUP($F221,'Status Thresholds'!$E:$AS,27,FALSE)</f>
        <v>270</v>
      </c>
      <c r="AI221" s="36">
        <f>VLOOKUP($F221,'Status Thresholds'!$E:$AS,28,FALSE)</f>
        <v>495</v>
      </c>
      <c r="AJ221" s="36">
        <f>VLOOKUP($F221,'Status Thresholds'!$E:$AS,29,FALSE)</f>
        <v>720</v>
      </c>
      <c r="AK221" s="36">
        <f>VLOOKUP($F221,'Status Thresholds'!$E:$AS,30,FALSE)</f>
        <v>945</v>
      </c>
      <c r="AL221" s="36">
        <f>VLOOKUP($F221,'Status Thresholds'!$E:$AS,31,FALSE)</f>
        <v>0</v>
      </c>
      <c r="AM221" s="50">
        <f>VLOOKUP($F221,'Status Thresholds'!$E:$AS,32,FALSE)</f>
        <v>360</v>
      </c>
      <c r="AN221" s="36">
        <f>VLOOKUP($F221,'Status Thresholds'!$E:$AS,33,FALSE)</f>
        <v>660</v>
      </c>
      <c r="AO221" s="36">
        <f>VLOOKUP($F221,'Status Thresholds'!$E:$AS,34,FALSE)</f>
        <v>960</v>
      </c>
      <c r="AP221" s="36">
        <f>VLOOKUP($F221,'Status Thresholds'!$E:$AS,35,FALSE)</f>
        <v>1260</v>
      </c>
      <c r="AQ221" s="36">
        <f>VLOOKUP($F221,'Status Thresholds'!$E:$AS,36,FALSE)</f>
        <v>0</v>
      </c>
      <c r="AR221" s="50">
        <f>VLOOKUP($F221,'Status Thresholds'!$E:$AS,37,FALSE)</f>
        <v>0</v>
      </c>
      <c r="AS221" s="36">
        <f>VLOOKUP($F221,'Status Thresholds'!$E:$AS,38,FALSE)</f>
        <v>0</v>
      </c>
      <c r="AT221" s="36">
        <f>VLOOKUP($F221,'Status Thresholds'!$E:$AS,39,FALSE)</f>
        <v>0</v>
      </c>
      <c r="AU221" s="36">
        <f>VLOOKUP($F221,'Status Thresholds'!$E:$AS,40,FALSE)</f>
        <v>0</v>
      </c>
      <c r="AV221" s="36">
        <f>VLOOKUP($F221,'Status Thresholds'!$E:$AS,41,FALSE)</f>
        <v>15</v>
      </c>
      <c r="AW221">
        <v>0</v>
      </c>
      <c r="AX221">
        <v>0</v>
      </c>
    </row>
    <row r="222" spans="1:50" x14ac:dyDescent="0.25">
      <c r="A222" s="36"/>
      <c r="B222" t="s">
        <v>120</v>
      </c>
      <c r="C222" s="36" t="str">
        <f>'Status Thresholds'!B213</f>
        <v>Devil Jho</v>
      </c>
      <c r="E222" s="36" t="str">
        <f t="shared" si="9"/>
        <v>Devil Jho</v>
      </c>
      <c r="F222" s="36" t="str">
        <f>IFERROR(VLOOKUP($E222,'Status Thresholds'!$E:$AS,1,FALSE),"")</f>
        <v/>
      </c>
      <c r="G222" t="s">
        <v>21</v>
      </c>
      <c r="H222" s="55" t="str">
        <f t="shared" si="10"/>
        <v>Devil JhoTriblast</v>
      </c>
      <c r="I222" s="50">
        <v>0</v>
      </c>
      <c r="J222" s="36">
        <v>1</v>
      </c>
      <c r="K222" s="36">
        <v>2</v>
      </c>
      <c r="L222" s="36">
        <v>2</v>
      </c>
      <c r="M222" s="36">
        <v>0</v>
      </c>
      <c r="N222" s="50">
        <v>0</v>
      </c>
      <c r="O222" s="36">
        <v>1</v>
      </c>
      <c r="P222" s="36">
        <v>2</v>
      </c>
      <c r="Q222" s="36">
        <v>2</v>
      </c>
      <c r="R222" s="36">
        <v>0</v>
      </c>
      <c r="S222" s="50">
        <v>2</v>
      </c>
      <c r="T222" s="36">
        <v>1</v>
      </c>
      <c r="U222" s="36">
        <v>2</v>
      </c>
      <c r="V222" s="36">
        <v>2</v>
      </c>
      <c r="W222" s="36">
        <v>0</v>
      </c>
      <c r="X222" s="50">
        <v>0</v>
      </c>
      <c r="Y222" s="36">
        <v>0</v>
      </c>
      <c r="Z222" s="36">
        <v>0</v>
      </c>
      <c r="AA222" s="36">
        <v>0</v>
      </c>
      <c r="AB222" s="36">
        <v>0</v>
      </c>
      <c r="AC222" s="50">
        <v>2</v>
      </c>
      <c r="AD222" s="36">
        <v>1</v>
      </c>
      <c r="AE222" s="36">
        <v>2</v>
      </c>
      <c r="AF222" s="36">
        <v>2</v>
      </c>
      <c r="AG222" s="36">
        <v>0</v>
      </c>
      <c r="AH222" s="50">
        <v>2</v>
      </c>
      <c r="AI222" s="36">
        <v>1</v>
      </c>
      <c r="AJ222" s="36">
        <v>2</v>
      </c>
      <c r="AK222" s="36">
        <v>2</v>
      </c>
      <c r="AL222" s="36">
        <v>0</v>
      </c>
      <c r="AM222" s="50">
        <v>2</v>
      </c>
      <c r="AN222" s="36">
        <v>2</v>
      </c>
      <c r="AO222" s="36">
        <v>2</v>
      </c>
      <c r="AP222" s="36">
        <v>2</v>
      </c>
      <c r="AQ222" s="36">
        <v>0</v>
      </c>
      <c r="AR222" s="50">
        <v>0</v>
      </c>
      <c r="AS222" s="36">
        <v>0</v>
      </c>
      <c r="AT222" s="36">
        <v>0</v>
      </c>
      <c r="AU222" s="36">
        <v>0</v>
      </c>
      <c r="AV222" s="36">
        <v>0</v>
      </c>
      <c r="AW222">
        <v>0</v>
      </c>
    </row>
    <row r="223" spans="1:50" x14ac:dyDescent="0.25">
      <c r="A223" s="36"/>
      <c r="B223" t="s">
        <v>120</v>
      </c>
      <c r="C223" s="36" t="str">
        <f>'Status Thresholds'!B214</f>
        <v>Devil Jho</v>
      </c>
      <c r="E223" s="36" t="str">
        <f t="shared" si="9"/>
        <v>Devil Jho</v>
      </c>
      <c r="F223" s="36" t="str">
        <f>IFERROR(VLOOKUP($E223,'Status Thresholds'!$E:$AS,1,FALSE),"")</f>
        <v/>
      </c>
      <c r="G223" t="s">
        <v>13</v>
      </c>
      <c r="H223" s="55" t="str">
        <f t="shared" si="10"/>
        <v>Devil JhoCrag 3</v>
      </c>
      <c r="I223" s="50">
        <v>4</v>
      </c>
      <c r="J223" s="36">
        <v>4</v>
      </c>
      <c r="K223" s="36">
        <v>4</v>
      </c>
      <c r="L223" s="36">
        <v>4</v>
      </c>
      <c r="M223" s="36">
        <v>0</v>
      </c>
      <c r="N223" s="50">
        <v>4</v>
      </c>
      <c r="O223" s="36">
        <v>4</v>
      </c>
      <c r="P223" s="36">
        <v>4</v>
      </c>
      <c r="Q223" s="36">
        <v>4</v>
      </c>
      <c r="R223" s="36">
        <v>0</v>
      </c>
      <c r="S223" s="50">
        <v>3</v>
      </c>
      <c r="T223" s="36">
        <v>4</v>
      </c>
      <c r="U223" s="36">
        <v>4</v>
      </c>
      <c r="V223" s="36">
        <v>4</v>
      </c>
      <c r="W223" s="36">
        <v>0</v>
      </c>
      <c r="X223" s="50">
        <v>0</v>
      </c>
      <c r="Y223" s="36">
        <v>0</v>
      </c>
      <c r="Z223" s="36">
        <v>0</v>
      </c>
      <c r="AA223" s="36">
        <v>0</v>
      </c>
      <c r="AB223" s="36">
        <v>0</v>
      </c>
      <c r="AC223" s="50">
        <v>3</v>
      </c>
      <c r="AD223" s="36">
        <v>4</v>
      </c>
      <c r="AE223" s="36">
        <v>4</v>
      </c>
      <c r="AF223" s="36">
        <v>4</v>
      </c>
      <c r="AG223" s="36">
        <v>0</v>
      </c>
      <c r="AH223" s="50">
        <v>3</v>
      </c>
      <c r="AI223" s="36">
        <v>4</v>
      </c>
      <c r="AJ223" s="36">
        <v>4</v>
      </c>
      <c r="AK223" s="36">
        <v>4</v>
      </c>
      <c r="AL223" s="36">
        <v>0</v>
      </c>
      <c r="AM223" s="50">
        <v>4</v>
      </c>
      <c r="AN223" s="36">
        <v>4</v>
      </c>
      <c r="AO223" s="36">
        <v>4</v>
      </c>
      <c r="AP223" s="36">
        <v>4</v>
      </c>
      <c r="AQ223" s="36">
        <v>0</v>
      </c>
      <c r="AR223" s="50">
        <v>0</v>
      </c>
      <c r="AS223" s="36">
        <v>0</v>
      </c>
      <c r="AT223" s="36">
        <v>0</v>
      </c>
      <c r="AU223" s="36">
        <v>0</v>
      </c>
      <c r="AV223" s="36">
        <v>0</v>
      </c>
      <c r="AW223">
        <v>0</v>
      </c>
      <c r="AX223">
        <v>0</v>
      </c>
    </row>
    <row r="224" spans="1:50" x14ac:dyDescent="0.25">
      <c r="A224" s="36"/>
      <c r="B224" t="s">
        <v>120</v>
      </c>
      <c r="C224" s="36" t="str">
        <f>'Status Thresholds'!B215</f>
        <v>Devil Jho</v>
      </c>
      <c r="E224" s="36" t="str">
        <f t="shared" si="9"/>
        <v>Devil Jho</v>
      </c>
      <c r="F224" s="36" t="str">
        <f>IFERROR(VLOOKUP($E224,'Status Thresholds'!$E:$AS,1,FALSE),"")</f>
        <v/>
      </c>
      <c r="G224" t="s">
        <v>12</v>
      </c>
      <c r="H224" s="55" t="str">
        <f t="shared" si="10"/>
        <v>Devil JhoCrag 2</v>
      </c>
      <c r="I224" s="50">
        <v>0</v>
      </c>
      <c r="J224" s="36">
        <v>4</v>
      </c>
      <c r="K224" s="36">
        <v>4</v>
      </c>
      <c r="L224" s="36">
        <v>4</v>
      </c>
      <c r="M224" s="36">
        <v>0</v>
      </c>
      <c r="N224" s="50">
        <v>0</v>
      </c>
      <c r="O224" s="36">
        <v>4</v>
      </c>
      <c r="P224" s="36">
        <v>4</v>
      </c>
      <c r="Q224" s="36">
        <v>4</v>
      </c>
      <c r="R224" s="36">
        <v>0</v>
      </c>
      <c r="S224" s="50">
        <v>0</v>
      </c>
      <c r="T224" s="36">
        <v>2</v>
      </c>
      <c r="U224" s="36">
        <v>4</v>
      </c>
      <c r="V224" s="36">
        <v>4</v>
      </c>
      <c r="W224" s="36">
        <v>0</v>
      </c>
      <c r="X224" s="50">
        <v>0</v>
      </c>
      <c r="Y224" s="36">
        <v>0</v>
      </c>
      <c r="Z224" s="36">
        <v>0</v>
      </c>
      <c r="AA224" s="36">
        <v>0</v>
      </c>
      <c r="AB224" s="36">
        <v>0</v>
      </c>
      <c r="AC224" s="50">
        <v>0</v>
      </c>
      <c r="AD224" s="36">
        <v>2</v>
      </c>
      <c r="AE224" s="36">
        <v>4</v>
      </c>
      <c r="AF224" s="36">
        <v>4</v>
      </c>
      <c r="AG224" s="36">
        <v>0</v>
      </c>
      <c r="AH224" s="50">
        <v>0</v>
      </c>
      <c r="AI224" s="36">
        <v>2</v>
      </c>
      <c r="AJ224" s="36">
        <v>4</v>
      </c>
      <c r="AK224" s="36">
        <v>4</v>
      </c>
      <c r="AL224" s="36">
        <v>0</v>
      </c>
      <c r="AM224" s="50">
        <v>0</v>
      </c>
      <c r="AN224" s="36">
        <v>4</v>
      </c>
      <c r="AO224" s="36">
        <v>4</v>
      </c>
      <c r="AP224" s="36">
        <v>4</v>
      </c>
      <c r="AQ224" s="36">
        <v>0</v>
      </c>
      <c r="AR224" s="50">
        <v>0</v>
      </c>
      <c r="AS224" s="36">
        <v>0</v>
      </c>
      <c r="AT224" s="36">
        <v>0</v>
      </c>
      <c r="AU224" s="36">
        <v>0</v>
      </c>
      <c r="AV224" s="36">
        <v>0</v>
      </c>
      <c r="AW224">
        <v>0</v>
      </c>
      <c r="AX224">
        <v>0</v>
      </c>
    </row>
    <row r="225" spans="1:50" x14ac:dyDescent="0.25">
      <c r="A225" s="36"/>
      <c r="B225" t="s">
        <v>120</v>
      </c>
      <c r="C225" s="36" t="str">
        <f>'Status Thresholds'!B216</f>
        <v>Devil Jho</v>
      </c>
      <c r="E225" s="36" t="str">
        <f t="shared" si="9"/>
        <v>Devil Jho</v>
      </c>
      <c r="F225" s="36" t="str">
        <f>IFERROR(VLOOKUP($E225,'Status Thresholds'!$E:$AS,1,FALSE),"")</f>
        <v/>
      </c>
      <c r="G225" t="s">
        <v>11</v>
      </c>
      <c r="H225" s="55" t="str">
        <f t="shared" si="10"/>
        <v>Devil JhoCrag 1</v>
      </c>
      <c r="I225" s="50">
        <v>3</v>
      </c>
      <c r="J225" s="36">
        <v>3</v>
      </c>
      <c r="K225" s="36">
        <v>8</v>
      </c>
      <c r="L225" s="36">
        <v>8</v>
      </c>
      <c r="M225" s="36">
        <v>0</v>
      </c>
      <c r="N225" s="50">
        <v>3</v>
      </c>
      <c r="O225" s="36">
        <v>3</v>
      </c>
      <c r="P225" s="36">
        <v>8</v>
      </c>
      <c r="Q225" s="36">
        <v>8</v>
      </c>
      <c r="R225" s="36">
        <v>0</v>
      </c>
      <c r="S225" s="50">
        <v>0</v>
      </c>
      <c r="T225" s="36">
        <v>8</v>
      </c>
      <c r="U225" s="36">
        <v>8</v>
      </c>
      <c r="V225" s="36">
        <v>8</v>
      </c>
      <c r="W225" s="36">
        <v>0</v>
      </c>
      <c r="X225" s="50">
        <v>0</v>
      </c>
      <c r="Y225" s="36">
        <v>0</v>
      </c>
      <c r="Z225" s="36">
        <v>0</v>
      </c>
      <c r="AA225" s="36">
        <v>0</v>
      </c>
      <c r="AB225" s="36">
        <v>0</v>
      </c>
      <c r="AC225" s="50">
        <v>0</v>
      </c>
      <c r="AD225" s="36">
        <v>8</v>
      </c>
      <c r="AE225" s="36">
        <v>8</v>
      </c>
      <c r="AF225" s="36">
        <v>8</v>
      </c>
      <c r="AG225" s="36">
        <v>0</v>
      </c>
      <c r="AH225" s="50">
        <v>0</v>
      </c>
      <c r="AI225" s="36">
        <v>8</v>
      </c>
      <c r="AJ225" s="36">
        <v>8</v>
      </c>
      <c r="AK225" s="36">
        <v>8</v>
      </c>
      <c r="AL225" s="36">
        <v>0</v>
      </c>
      <c r="AM225" s="50">
        <v>2</v>
      </c>
      <c r="AN225" s="36">
        <v>8</v>
      </c>
      <c r="AO225" s="36">
        <v>8</v>
      </c>
      <c r="AP225" s="36">
        <v>8</v>
      </c>
      <c r="AQ225" s="36">
        <v>0</v>
      </c>
      <c r="AR225" s="50">
        <v>0</v>
      </c>
      <c r="AS225" s="36">
        <v>0</v>
      </c>
      <c r="AT225" s="36">
        <v>0</v>
      </c>
      <c r="AU225" s="36">
        <v>0</v>
      </c>
      <c r="AV225" s="36">
        <v>1</v>
      </c>
      <c r="AW225">
        <v>0</v>
      </c>
      <c r="AX225">
        <v>0</v>
      </c>
    </row>
    <row r="226" spans="1:50" x14ac:dyDescent="0.25">
      <c r="A226" s="36"/>
      <c r="B226" t="s">
        <v>119</v>
      </c>
      <c r="C226" s="36" t="str">
        <f>'Status Thresholds'!B217</f>
        <v>Devil Jho</v>
      </c>
      <c r="E226" s="36" t="str">
        <f t="shared" si="9"/>
        <v>Devil Jho</v>
      </c>
      <c r="F226" s="36" t="str">
        <f>IFERROR(VLOOKUP($E226,'Status Thresholds'!$E:$AS,1,FALSE),"")</f>
        <v/>
      </c>
      <c r="G226" t="s">
        <v>21</v>
      </c>
      <c r="H226" s="55" t="str">
        <f t="shared" si="10"/>
        <v>Devil JhoTriblast</v>
      </c>
      <c r="I226" s="50">
        <v>2</v>
      </c>
      <c r="J226" s="36">
        <v>2</v>
      </c>
      <c r="K226" s="36">
        <v>2</v>
      </c>
      <c r="L226" s="36">
        <v>2</v>
      </c>
      <c r="M226" s="36">
        <v>0</v>
      </c>
      <c r="N226" s="50">
        <v>2</v>
      </c>
      <c r="O226" s="36">
        <v>2</v>
      </c>
      <c r="P226" s="36">
        <v>2</v>
      </c>
      <c r="Q226" s="36">
        <v>2</v>
      </c>
      <c r="R226" s="36">
        <v>0</v>
      </c>
      <c r="S226" s="50">
        <v>2</v>
      </c>
      <c r="T226" s="36">
        <v>1</v>
      </c>
      <c r="U226" s="36">
        <v>2</v>
      </c>
      <c r="V226" s="36">
        <v>2</v>
      </c>
      <c r="W226" s="36">
        <v>0</v>
      </c>
      <c r="X226" s="50">
        <v>0</v>
      </c>
      <c r="Y226" s="36">
        <v>0</v>
      </c>
      <c r="Z226" s="36">
        <v>0</v>
      </c>
      <c r="AA226" s="36">
        <v>0</v>
      </c>
      <c r="AB226" s="36">
        <v>0</v>
      </c>
      <c r="AC226" s="50">
        <v>2</v>
      </c>
      <c r="AD226" s="36">
        <v>1</v>
      </c>
      <c r="AE226" s="36">
        <v>2</v>
      </c>
      <c r="AF226" s="36">
        <v>2</v>
      </c>
      <c r="AG226" s="36">
        <v>0</v>
      </c>
      <c r="AH226" s="50">
        <v>2</v>
      </c>
      <c r="AI226" s="36">
        <v>1</v>
      </c>
      <c r="AJ226" s="36">
        <v>2</v>
      </c>
      <c r="AK226" s="36">
        <v>2</v>
      </c>
      <c r="AL226" s="36">
        <v>0</v>
      </c>
      <c r="AM226" s="50">
        <v>0</v>
      </c>
      <c r="AN226" s="36">
        <v>2</v>
      </c>
      <c r="AO226" s="36">
        <v>2</v>
      </c>
      <c r="AP226" s="36">
        <v>2</v>
      </c>
      <c r="AQ226" s="36">
        <v>0</v>
      </c>
      <c r="AR226" s="50">
        <v>0</v>
      </c>
      <c r="AS226" s="36">
        <v>0</v>
      </c>
      <c r="AT226" s="36">
        <v>0</v>
      </c>
      <c r="AU226" s="36">
        <v>0</v>
      </c>
      <c r="AV226" s="36">
        <v>0</v>
      </c>
      <c r="AW226">
        <v>0</v>
      </c>
      <c r="AX226">
        <v>0</v>
      </c>
    </row>
    <row r="227" spans="1:50" x14ac:dyDescent="0.25">
      <c r="A227" s="36"/>
      <c r="B227" t="s">
        <v>119</v>
      </c>
      <c r="C227" s="36" t="str">
        <f>'Status Thresholds'!B218</f>
        <v>Devil Jho</v>
      </c>
      <c r="E227" s="36" t="str">
        <f t="shared" si="9"/>
        <v>Devil Jho</v>
      </c>
      <c r="F227" s="36" t="str">
        <f>IFERROR(VLOOKUP($E227,'Status Thresholds'!$E:$AS,1,FALSE),"")</f>
        <v/>
      </c>
      <c r="G227" t="s">
        <v>13</v>
      </c>
      <c r="H227" s="55" t="str">
        <f t="shared" si="10"/>
        <v>Devil JhoCrag 3</v>
      </c>
      <c r="I227" s="50">
        <v>1</v>
      </c>
      <c r="J227" s="36">
        <v>1</v>
      </c>
      <c r="K227" s="36">
        <v>4</v>
      </c>
      <c r="L227" s="36">
        <v>4</v>
      </c>
      <c r="M227" s="36">
        <v>0</v>
      </c>
      <c r="N227" s="50">
        <v>1</v>
      </c>
      <c r="O227" s="36">
        <v>1</v>
      </c>
      <c r="P227" s="36">
        <v>4</v>
      </c>
      <c r="Q227" s="36">
        <v>4</v>
      </c>
      <c r="R227" s="36">
        <v>0</v>
      </c>
      <c r="S227" s="50">
        <v>0</v>
      </c>
      <c r="T227" s="36">
        <v>3</v>
      </c>
      <c r="U227" s="36">
        <v>4</v>
      </c>
      <c r="V227" s="36">
        <v>4</v>
      </c>
      <c r="W227" s="36">
        <v>0</v>
      </c>
      <c r="X227" s="50">
        <v>0</v>
      </c>
      <c r="Y227" s="36">
        <v>0</v>
      </c>
      <c r="Z227" s="36">
        <v>0</v>
      </c>
      <c r="AA227" s="36">
        <v>0</v>
      </c>
      <c r="AB227" s="36">
        <v>0</v>
      </c>
      <c r="AC227" s="50">
        <v>0</v>
      </c>
      <c r="AD227" s="36">
        <v>3</v>
      </c>
      <c r="AE227" s="36">
        <v>4</v>
      </c>
      <c r="AF227" s="36">
        <v>4</v>
      </c>
      <c r="AG227" s="36">
        <v>0</v>
      </c>
      <c r="AH227" s="50">
        <v>0</v>
      </c>
      <c r="AI227" s="36">
        <v>3</v>
      </c>
      <c r="AJ227" s="36">
        <v>4</v>
      </c>
      <c r="AK227" s="36">
        <v>4</v>
      </c>
      <c r="AL227" s="36">
        <v>0</v>
      </c>
      <c r="AM227" s="50">
        <v>3</v>
      </c>
      <c r="AN227" s="36">
        <v>4</v>
      </c>
      <c r="AO227" s="36">
        <v>4</v>
      </c>
      <c r="AP227" s="36">
        <v>4</v>
      </c>
      <c r="AQ227" s="36">
        <v>0</v>
      </c>
      <c r="AR227" s="50">
        <v>0</v>
      </c>
      <c r="AS227" s="36">
        <v>0</v>
      </c>
      <c r="AT227" s="36">
        <v>0</v>
      </c>
      <c r="AU227" s="36">
        <v>0</v>
      </c>
      <c r="AV227" s="36">
        <v>0</v>
      </c>
      <c r="AW227">
        <v>0</v>
      </c>
      <c r="AX227">
        <v>0</v>
      </c>
    </row>
    <row r="228" spans="1:50" x14ac:dyDescent="0.25">
      <c r="A228" s="36"/>
      <c r="B228" t="s">
        <v>119</v>
      </c>
      <c r="C228" s="36" t="str">
        <f>'Status Thresholds'!B219</f>
        <v>Devil Jho</v>
      </c>
      <c r="E228" s="36" t="str">
        <f t="shared" si="9"/>
        <v>Devil Jho</v>
      </c>
      <c r="F228" s="36" t="str">
        <f>IFERROR(VLOOKUP($E228,'Status Thresholds'!$E:$AS,1,FALSE),"")</f>
        <v/>
      </c>
      <c r="G228" t="s">
        <v>12</v>
      </c>
      <c r="H228" s="55" t="str">
        <f t="shared" si="10"/>
        <v>Devil JhoCrag 2</v>
      </c>
      <c r="I228" s="50">
        <v>0</v>
      </c>
      <c r="J228" s="36">
        <v>1</v>
      </c>
      <c r="K228" s="36">
        <v>3</v>
      </c>
      <c r="L228" s="36">
        <v>4</v>
      </c>
      <c r="M228" s="36">
        <v>0</v>
      </c>
      <c r="N228" s="50">
        <v>0</v>
      </c>
      <c r="O228" s="36">
        <v>1</v>
      </c>
      <c r="P228" s="36">
        <v>3</v>
      </c>
      <c r="Q228" s="36">
        <v>4</v>
      </c>
      <c r="R228" s="36">
        <v>0</v>
      </c>
      <c r="S228" s="50">
        <v>0</v>
      </c>
      <c r="T228" s="36">
        <v>2</v>
      </c>
      <c r="U228" s="36">
        <v>4</v>
      </c>
      <c r="V228" s="36">
        <v>4</v>
      </c>
      <c r="W228" s="36">
        <v>0</v>
      </c>
      <c r="X228" s="50">
        <v>0</v>
      </c>
      <c r="Y228" s="36">
        <v>0</v>
      </c>
      <c r="Z228" s="36">
        <v>0</v>
      </c>
      <c r="AA228" s="36">
        <v>0</v>
      </c>
      <c r="AB228" s="36">
        <v>0</v>
      </c>
      <c r="AC228" s="50">
        <v>0</v>
      </c>
      <c r="AD228" s="36">
        <v>2</v>
      </c>
      <c r="AE228" s="36">
        <v>4</v>
      </c>
      <c r="AF228" s="36">
        <v>4</v>
      </c>
      <c r="AG228" s="36">
        <v>0</v>
      </c>
      <c r="AH228" s="50">
        <v>0</v>
      </c>
      <c r="AI228" s="36">
        <v>2</v>
      </c>
      <c r="AJ228" s="36">
        <v>4</v>
      </c>
      <c r="AK228" s="36">
        <v>4</v>
      </c>
      <c r="AL228" s="36">
        <v>0</v>
      </c>
      <c r="AM228" s="50">
        <v>2</v>
      </c>
      <c r="AN228" s="36">
        <v>4</v>
      </c>
      <c r="AO228" s="36">
        <v>4</v>
      </c>
      <c r="AP228" s="36">
        <v>4</v>
      </c>
      <c r="AQ228" s="36">
        <v>0</v>
      </c>
      <c r="AR228" s="50">
        <v>0</v>
      </c>
      <c r="AS228" s="36">
        <v>0</v>
      </c>
      <c r="AT228" s="36">
        <v>0</v>
      </c>
      <c r="AU228" s="36">
        <v>0</v>
      </c>
      <c r="AV228" s="36">
        <v>0</v>
      </c>
      <c r="AW228">
        <v>0</v>
      </c>
      <c r="AX228">
        <v>0</v>
      </c>
    </row>
    <row r="229" spans="1:50" x14ac:dyDescent="0.25">
      <c r="A229" s="36"/>
      <c r="B229" t="s">
        <v>119</v>
      </c>
      <c r="C229" s="36" t="str">
        <f>'Status Thresholds'!B220</f>
        <v>Devil Jho</v>
      </c>
      <c r="E229" s="36" t="str">
        <f t="shared" si="9"/>
        <v>Devil Jho</v>
      </c>
      <c r="F229" s="36" t="str">
        <f>IFERROR(VLOOKUP($E229,'Status Thresholds'!$E:$AS,1,FALSE),"")</f>
        <v/>
      </c>
      <c r="G229" t="s">
        <v>11</v>
      </c>
      <c r="H229" s="55" t="str">
        <f t="shared" si="10"/>
        <v>Devil JhoCrag 1</v>
      </c>
      <c r="I229" s="50">
        <v>1</v>
      </c>
      <c r="J229" s="36">
        <v>7</v>
      </c>
      <c r="K229" s="36">
        <v>7</v>
      </c>
      <c r="L229" s="36">
        <v>8</v>
      </c>
      <c r="M229" s="36">
        <v>0</v>
      </c>
      <c r="N229" s="50">
        <v>1</v>
      </c>
      <c r="O229" s="36">
        <v>7</v>
      </c>
      <c r="P229" s="36">
        <v>7</v>
      </c>
      <c r="Q229" s="36">
        <v>8</v>
      </c>
      <c r="R229" s="36">
        <v>0</v>
      </c>
      <c r="S229" s="50">
        <v>4</v>
      </c>
      <c r="T229" s="36">
        <v>8</v>
      </c>
      <c r="U229" s="36">
        <v>8</v>
      </c>
      <c r="V229" s="36">
        <v>8</v>
      </c>
      <c r="W229" s="36">
        <v>0</v>
      </c>
      <c r="X229" s="50">
        <v>0</v>
      </c>
      <c r="Y229" s="36">
        <v>0</v>
      </c>
      <c r="Z229" s="36">
        <v>0</v>
      </c>
      <c r="AA229" s="36">
        <v>0</v>
      </c>
      <c r="AB229" s="36">
        <v>0</v>
      </c>
      <c r="AC229" s="50">
        <v>4</v>
      </c>
      <c r="AD229" s="36">
        <v>8</v>
      </c>
      <c r="AE229" s="36">
        <v>8</v>
      </c>
      <c r="AF229" s="36">
        <v>8</v>
      </c>
      <c r="AG229" s="36">
        <v>0</v>
      </c>
      <c r="AH229" s="50">
        <v>4</v>
      </c>
      <c r="AI229" s="36">
        <v>8</v>
      </c>
      <c r="AJ229" s="36">
        <v>8</v>
      </c>
      <c r="AK229" s="36">
        <v>8</v>
      </c>
      <c r="AL229" s="36">
        <v>0</v>
      </c>
      <c r="AM229" s="50">
        <v>6</v>
      </c>
      <c r="AN229" s="36">
        <v>8</v>
      </c>
      <c r="AO229" s="36">
        <v>8</v>
      </c>
      <c r="AP229" s="36">
        <v>8</v>
      </c>
      <c r="AQ229" s="36">
        <v>0</v>
      </c>
      <c r="AR229" s="50">
        <v>0</v>
      </c>
      <c r="AS229" s="36">
        <v>0</v>
      </c>
      <c r="AT229" s="36">
        <v>0</v>
      </c>
      <c r="AU229" s="36">
        <v>0</v>
      </c>
      <c r="AV229" s="36">
        <v>1</v>
      </c>
      <c r="AW229">
        <v>0</v>
      </c>
      <c r="AX229">
        <v>0</v>
      </c>
    </row>
    <row r="230" spans="1:50" x14ac:dyDescent="0.25">
      <c r="A230" s="36"/>
      <c r="B230" t="s">
        <v>121</v>
      </c>
      <c r="C230" s="36" t="str">
        <f>'Status Thresholds'!B221</f>
        <v>Devil Jho (Savage)</v>
      </c>
      <c r="D230" t="s">
        <v>14</v>
      </c>
      <c r="E230" s="36" t="str">
        <f t="shared" si="9"/>
        <v>Devil Jho (Savage)KO</v>
      </c>
      <c r="F230" s="36" t="str">
        <f>IFERROR(VLOOKUP($E230,'Status Thresholds'!$E:$AS,1,FALSE),"")</f>
        <v>Devil Jho (Savage)KO</v>
      </c>
      <c r="H230" s="55" t="str">
        <f t="shared" si="10"/>
        <v>Devil Jho (Savage)KO</v>
      </c>
      <c r="I230" s="50">
        <f>VLOOKUP($F230,'Status Thresholds'!$E:$AS,2,FALSE)</f>
        <v>233</v>
      </c>
      <c r="J230" s="36">
        <f>VLOOKUP($F230,'Status Thresholds'!$E:$AS,3,FALSE)</f>
        <v>428</v>
      </c>
      <c r="K230" s="36">
        <f>VLOOKUP($F230,'Status Thresholds'!$E:$AS,4,FALSE)</f>
        <v>623</v>
      </c>
      <c r="L230" s="36">
        <f>VLOOKUP($F230,'Status Thresholds'!$E:$AS,5,FALSE)</f>
        <v>818</v>
      </c>
      <c r="M230" s="36">
        <f>VLOOKUP($F230,'Status Thresholds'!$E:$AS,6,FALSE)</f>
        <v>0</v>
      </c>
      <c r="N230" s="50">
        <f>VLOOKUP($F230,'Status Thresholds'!$E:$AS,7,FALSE)</f>
        <v>0</v>
      </c>
      <c r="O230" s="36">
        <f>VLOOKUP($F230,'Status Thresholds'!$E:$AS,8,FALSE)</f>
        <v>0</v>
      </c>
      <c r="P230" s="36">
        <f>VLOOKUP($F230,'Status Thresholds'!$E:$AS,9,FALSE)</f>
        <v>0</v>
      </c>
      <c r="Q230" s="36">
        <f>VLOOKUP($F230,'Status Thresholds'!$E:$AS,10,FALSE)</f>
        <v>0</v>
      </c>
      <c r="R230" s="36">
        <f>VLOOKUP($F230,'Status Thresholds'!$E:$AS,11,FALSE)</f>
        <v>0</v>
      </c>
      <c r="S230" s="50">
        <f>VLOOKUP($F230,'Status Thresholds'!$E:$AS,12,FALSE)</f>
        <v>0</v>
      </c>
      <c r="T230" s="36">
        <f>VLOOKUP($F230,'Status Thresholds'!$E:$AS,13,FALSE)</f>
        <v>0</v>
      </c>
      <c r="U230" s="36">
        <f>VLOOKUP($F230,'Status Thresholds'!$E:$AS,14,FALSE)</f>
        <v>0</v>
      </c>
      <c r="V230" s="36">
        <f>VLOOKUP($F230,'Status Thresholds'!$E:$AS,15,FALSE)</f>
        <v>0</v>
      </c>
      <c r="W230" s="36">
        <f>VLOOKUP($F230,'Status Thresholds'!$E:$AS,16,FALSE)</f>
        <v>0</v>
      </c>
      <c r="X230" s="50">
        <f>VLOOKUP($F230,'Status Thresholds'!$E:$AS,17,FALSE)</f>
        <v>0</v>
      </c>
      <c r="Y230" s="36">
        <f>VLOOKUP($F230,'Status Thresholds'!$E:$AS,18,FALSE)</f>
        <v>0</v>
      </c>
      <c r="Z230" s="36">
        <f>VLOOKUP($F230,'Status Thresholds'!$E:$AS,19,FALSE)</f>
        <v>0</v>
      </c>
      <c r="AA230" s="36">
        <f>VLOOKUP($F230,'Status Thresholds'!$E:$AS,20,FALSE)</f>
        <v>0</v>
      </c>
      <c r="AB230" s="36">
        <f>VLOOKUP($F230,'Status Thresholds'!$E:$AS,21,FALSE)</f>
        <v>0</v>
      </c>
      <c r="AC230" s="50">
        <f>VLOOKUP($F230,'Status Thresholds'!$E:$AS,22,FALSE)</f>
        <v>270</v>
      </c>
      <c r="AD230" s="36">
        <f>VLOOKUP($F230,'Status Thresholds'!$E:$AS,23,FALSE)</f>
        <v>495</v>
      </c>
      <c r="AE230" s="36">
        <f>VLOOKUP($F230,'Status Thresholds'!$E:$AS,24,FALSE)</f>
        <v>720</v>
      </c>
      <c r="AF230" s="36">
        <f>VLOOKUP($F230,'Status Thresholds'!$E:$AS,25,FALSE)</f>
        <v>945</v>
      </c>
      <c r="AG230" s="36">
        <f>VLOOKUP($F230,'Status Thresholds'!$E:$AS,26,FALSE)</f>
        <v>0</v>
      </c>
      <c r="AH230" s="50">
        <f>VLOOKUP($F230,'Status Thresholds'!$E:$AS,27,FALSE)</f>
        <v>0</v>
      </c>
      <c r="AI230" s="36">
        <f>VLOOKUP($F230,'Status Thresholds'!$E:$AS,28,FALSE)</f>
        <v>0</v>
      </c>
      <c r="AJ230" s="36">
        <f>VLOOKUP($F230,'Status Thresholds'!$E:$AS,29,FALSE)</f>
        <v>0</v>
      </c>
      <c r="AK230" s="36">
        <f>VLOOKUP($F230,'Status Thresholds'!$E:$AS,30,FALSE)</f>
        <v>0</v>
      </c>
      <c r="AL230" s="36">
        <f>VLOOKUP($F230,'Status Thresholds'!$E:$AS,31,FALSE)</f>
        <v>0</v>
      </c>
      <c r="AM230" s="50">
        <f>VLOOKUP($F230,'Status Thresholds'!$E:$AS,32,FALSE)</f>
        <v>0</v>
      </c>
      <c r="AN230" s="36">
        <f>VLOOKUP($F230,'Status Thresholds'!$E:$AS,33,FALSE)</f>
        <v>0</v>
      </c>
      <c r="AO230" s="36">
        <f>VLOOKUP($F230,'Status Thresholds'!$E:$AS,34,FALSE)</f>
        <v>0</v>
      </c>
      <c r="AP230" s="36">
        <f>VLOOKUP($F230,'Status Thresholds'!$E:$AS,35,FALSE)</f>
        <v>0</v>
      </c>
      <c r="AQ230" s="36">
        <f>VLOOKUP($F230,'Status Thresholds'!$E:$AS,36,FALSE)</f>
        <v>0</v>
      </c>
      <c r="AR230" s="50">
        <f>VLOOKUP($F230,'Status Thresholds'!$E:$AS,37,FALSE)</f>
        <v>0</v>
      </c>
      <c r="AS230" s="36">
        <f>VLOOKUP($F230,'Status Thresholds'!$E:$AS,38,FALSE)</f>
        <v>0</v>
      </c>
      <c r="AT230" s="36">
        <f>VLOOKUP($F230,'Status Thresholds'!$E:$AS,39,FALSE)</f>
        <v>0</v>
      </c>
      <c r="AU230" s="36">
        <f>VLOOKUP($F230,'Status Thresholds'!$E:$AS,40,FALSE)</f>
        <v>0</v>
      </c>
      <c r="AV230" s="36">
        <f>VLOOKUP($F230,'Status Thresholds'!$E:$AS,41,FALSE)</f>
        <v>15</v>
      </c>
      <c r="AW230">
        <v>0</v>
      </c>
      <c r="AX230">
        <v>0</v>
      </c>
    </row>
    <row r="231" spans="1:50" x14ac:dyDescent="0.25">
      <c r="A231" s="36"/>
      <c r="B231" t="s">
        <v>120</v>
      </c>
      <c r="C231" s="36" t="str">
        <f>'Status Thresholds'!B222</f>
        <v>Devil Jho (Savage)</v>
      </c>
      <c r="E231" s="36" t="str">
        <f t="shared" si="9"/>
        <v>Devil Jho (Savage)</v>
      </c>
      <c r="F231" s="36" t="str">
        <f>IFERROR(VLOOKUP($E231,'Status Thresholds'!$E:$AS,1,FALSE),"")</f>
        <v/>
      </c>
      <c r="G231" t="s">
        <v>21</v>
      </c>
      <c r="H231" s="55" t="str">
        <f t="shared" si="10"/>
        <v>Devil Jho (Savage)Triblast</v>
      </c>
      <c r="I231" s="50">
        <v>0</v>
      </c>
      <c r="J231" s="36">
        <v>1</v>
      </c>
      <c r="K231" s="36">
        <v>2</v>
      </c>
      <c r="L231" s="36">
        <v>2</v>
      </c>
      <c r="M231" s="36">
        <v>0</v>
      </c>
      <c r="N231" s="50">
        <v>0</v>
      </c>
      <c r="O231" s="36">
        <v>0</v>
      </c>
      <c r="P231" s="36">
        <v>0</v>
      </c>
      <c r="Q231" s="36">
        <v>0</v>
      </c>
      <c r="R231" s="36">
        <v>0</v>
      </c>
      <c r="S231" s="50">
        <v>0</v>
      </c>
      <c r="T231" s="36">
        <v>0</v>
      </c>
      <c r="U231" s="36">
        <v>0</v>
      </c>
      <c r="V231" s="36">
        <v>0</v>
      </c>
      <c r="W231" s="36">
        <v>0</v>
      </c>
      <c r="X231" s="50">
        <v>0</v>
      </c>
      <c r="Y231" s="36">
        <v>0</v>
      </c>
      <c r="Z231" s="36">
        <v>0</v>
      </c>
      <c r="AA231" s="36">
        <v>0</v>
      </c>
      <c r="AB231" s="36">
        <v>0</v>
      </c>
      <c r="AC231" s="50">
        <v>2</v>
      </c>
      <c r="AD231" s="36">
        <v>1</v>
      </c>
      <c r="AE231" s="36">
        <v>2</v>
      </c>
      <c r="AF231" s="36">
        <v>2</v>
      </c>
      <c r="AG231" s="36">
        <v>0</v>
      </c>
      <c r="AH231" s="50">
        <v>0</v>
      </c>
      <c r="AI231" s="36">
        <v>0</v>
      </c>
      <c r="AJ231" s="36">
        <v>0</v>
      </c>
      <c r="AK231" s="36">
        <v>0</v>
      </c>
      <c r="AL231" s="36">
        <v>0</v>
      </c>
      <c r="AM231" s="50">
        <v>0</v>
      </c>
      <c r="AN231" s="36">
        <v>0</v>
      </c>
      <c r="AO231" s="36">
        <v>0</v>
      </c>
      <c r="AP231" s="36">
        <v>0</v>
      </c>
      <c r="AQ231" s="36">
        <v>0</v>
      </c>
      <c r="AR231" s="50">
        <v>0</v>
      </c>
      <c r="AS231" s="36">
        <v>0</v>
      </c>
      <c r="AT231" s="36">
        <v>0</v>
      </c>
      <c r="AU231" s="36">
        <v>0</v>
      </c>
      <c r="AV231" s="36">
        <v>0</v>
      </c>
      <c r="AW231">
        <v>0</v>
      </c>
    </row>
    <row r="232" spans="1:50" x14ac:dyDescent="0.25">
      <c r="A232" s="36"/>
      <c r="B232" t="s">
        <v>120</v>
      </c>
      <c r="C232" s="36" t="str">
        <f>'Status Thresholds'!B223</f>
        <v>Devil Jho (Savage)</v>
      </c>
      <c r="E232" s="36" t="str">
        <f t="shared" si="9"/>
        <v>Devil Jho (Savage)</v>
      </c>
      <c r="F232" s="36" t="str">
        <f>IFERROR(VLOOKUP($E232,'Status Thresholds'!$E:$AS,1,FALSE),"")</f>
        <v/>
      </c>
      <c r="G232" t="s">
        <v>13</v>
      </c>
      <c r="H232" s="55" t="str">
        <f t="shared" si="10"/>
        <v>Devil Jho (Savage)Crag 3</v>
      </c>
      <c r="I232" s="50">
        <v>4</v>
      </c>
      <c r="J232" s="36">
        <v>4</v>
      </c>
      <c r="K232" s="36">
        <v>4</v>
      </c>
      <c r="L232" s="36">
        <v>4</v>
      </c>
      <c r="M232" s="36">
        <v>0</v>
      </c>
      <c r="N232" s="50">
        <v>0</v>
      </c>
      <c r="O232" s="36">
        <v>0</v>
      </c>
      <c r="P232" s="36">
        <v>0</v>
      </c>
      <c r="Q232" s="36">
        <v>0</v>
      </c>
      <c r="R232" s="36">
        <v>0</v>
      </c>
      <c r="S232" s="50">
        <v>0</v>
      </c>
      <c r="T232" s="36">
        <v>0</v>
      </c>
      <c r="U232" s="36">
        <v>0</v>
      </c>
      <c r="V232" s="36">
        <v>0</v>
      </c>
      <c r="W232" s="36">
        <v>0</v>
      </c>
      <c r="X232" s="50">
        <v>0</v>
      </c>
      <c r="Y232" s="36">
        <v>0</v>
      </c>
      <c r="Z232" s="36">
        <v>0</v>
      </c>
      <c r="AA232" s="36">
        <v>0</v>
      </c>
      <c r="AB232" s="36">
        <v>0</v>
      </c>
      <c r="AC232" s="50">
        <v>3</v>
      </c>
      <c r="AD232" s="36">
        <v>4</v>
      </c>
      <c r="AE232" s="36">
        <v>4</v>
      </c>
      <c r="AF232" s="36">
        <v>4</v>
      </c>
      <c r="AG232" s="36">
        <v>0</v>
      </c>
      <c r="AH232" s="50">
        <v>0</v>
      </c>
      <c r="AI232" s="36">
        <v>0</v>
      </c>
      <c r="AJ232" s="36">
        <v>0</v>
      </c>
      <c r="AK232" s="36">
        <v>0</v>
      </c>
      <c r="AL232" s="36">
        <v>0</v>
      </c>
      <c r="AM232" s="50">
        <v>0</v>
      </c>
      <c r="AN232" s="36">
        <v>0</v>
      </c>
      <c r="AO232" s="36">
        <v>0</v>
      </c>
      <c r="AP232" s="36">
        <v>0</v>
      </c>
      <c r="AQ232" s="36">
        <v>0</v>
      </c>
      <c r="AR232" s="50">
        <v>0</v>
      </c>
      <c r="AS232" s="36">
        <v>0</v>
      </c>
      <c r="AT232" s="36">
        <v>0</v>
      </c>
      <c r="AU232" s="36">
        <v>0</v>
      </c>
      <c r="AV232" s="36">
        <v>0</v>
      </c>
      <c r="AW232">
        <v>0</v>
      </c>
      <c r="AX232">
        <v>0</v>
      </c>
    </row>
    <row r="233" spans="1:50" x14ac:dyDescent="0.25">
      <c r="A233" s="36"/>
      <c r="B233" t="s">
        <v>120</v>
      </c>
      <c r="C233" s="36" t="str">
        <f>'Status Thresholds'!B224</f>
        <v>Devil Jho (Savage)</v>
      </c>
      <c r="E233" s="36" t="str">
        <f t="shared" si="9"/>
        <v>Devil Jho (Savage)</v>
      </c>
      <c r="F233" s="36" t="str">
        <f>IFERROR(VLOOKUP($E233,'Status Thresholds'!$E:$AS,1,FALSE),"")</f>
        <v/>
      </c>
      <c r="G233" t="s">
        <v>12</v>
      </c>
      <c r="H233" s="55" t="str">
        <f t="shared" si="10"/>
        <v>Devil Jho (Savage)Crag 2</v>
      </c>
      <c r="I233" s="50">
        <v>0</v>
      </c>
      <c r="J233" s="36">
        <v>4</v>
      </c>
      <c r="K233" s="36">
        <v>4</v>
      </c>
      <c r="L233" s="36">
        <v>4</v>
      </c>
      <c r="M233" s="36">
        <v>0</v>
      </c>
      <c r="N233" s="50">
        <v>0</v>
      </c>
      <c r="O233" s="36">
        <v>0</v>
      </c>
      <c r="P233" s="36">
        <v>0</v>
      </c>
      <c r="Q233" s="36">
        <v>0</v>
      </c>
      <c r="R233" s="36">
        <v>0</v>
      </c>
      <c r="S233" s="50">
        <v>0</v>
      </c>
      <c r="T233" s="36">
        <v>0</v>
      </c>
      <c r="U233" s="36">
        <v>0</v>
      </c>
      <c r="V233" s="36">
        <v>0</v>
      </c>
      <c r="W233" s="36">
        <v>0</v>
      </c>
      <c r="X233" s="50">
        <v>0</v>
      </c>
      <c r="Y233" s="36">
        <v>0</v>
      </c>
      <c r="Z233" s="36">
        <v>0</v>
      </c>
      <c r="AA233" s="36">
        <v>0</v>
      </c>
      <c r="AB233" s="36">
        <v>0</v>
      </c>
      <c r="AC233" s="50">
        <v>0</v>
      </c>
      <c r="AD233" s="36">
        <v>2</v>
      </c>
      <c r="AE233" s="36">
        <v>4</v>
      </c>
      <c r="AF233" s="36">
        <v>4</v>
      </c>
      <c r="AG233" s="36">
        <v>0</v>
      </c>
      <c r="AH233" s="50">
        <v>0</v>
      </c>
      <c r="AI233" s="36">
        <v>0</v>
      </c>
      <c r="AJ233" s="36">
        <v>0</v>
      </c>
      <c r="AK233" s="36">
        <v>0</v>
      </c>
      <c r="AL233" s="36">
        <v>0</v>
      </c>
      <c r="AM233" s="50">
        <v>0</v>
      </c>
      <c r="AN233" s="36">
        <v>0</v>
      </c>
      <c r="AO233" s="36">
        <v>0</v>
      </c>
      <c r="AP233" s="36">
        <v>0</v>
      </c>
      <c r="AQ233" s="36">
        <v>0</v>
      </c>
      <c r="AR233" s="50">
        <v>0</v>
      </c>
      <c r="AS233" s="36">
        <v>0</v>
      </c>
      <c r="AT233" s="36">
        <v>0</v>
      </c>
      <c r="AU233" s="36">
        <v>0</v>
      </c>
      <c r="AV233" s="36">
        <v>0</v>
      </c>
      <c r="AW233">
        <v>0</v>
      </c>
      <c r="AX233">
        <v>0</v>
      </c>
    </row>
    <row r="234" spans="1:50" x14ac:dyDescent="0.25">
      <c r="A234" s="36"/>
      <c r="B234" t="s">
        <v>120</v>
      </c>
      <c r="C234" s="36" t="str">
        <f>'Status Thresholds'!B225</f>
        <v>Devil Jho (Savage)</v>
      </c>
      <c r="E234" s="36" t="str">
        <f t="shared" si="9"/>
        <v>Devil Jho (Savage)</v>
      </c>
      <c r="F234" s="36" t="str">
        <f>IFERROR(VLOOKUP($E234,'Status Thresholds'!$E:$AS,1,FALSE),"")</f>
        <v/>
      </c>
      <c r="G234" t="s">
        <v>11</v>
      </c>
      <c r="H234" s="55" t="str">
        <f t="shared" si="10"/>
        <v>Devil Jho (Savage)Crag 1</v>
      </c>
      <c r="I234" s="50">
        <v>3</v>
      </c>
      <c r="J234" s="36">
        <v>3</v>
      </c>
      <c r="K234" s="36">
        <v>8</v>
      </c>
      <c r="L234" s="36">
        <v>8</v>
      </c>
      <c r="M234" s="36">
        <v>0</v>
      </c>
      <c r="N234" s="50">
        <v>0</v>
      </c>
      <c r="O234" s="36">
        <v>0</v>
      </c>
      <c r="P234" s="36">
        <v>0</v>
      </c>
      <c r="Q234" s="36">
        <v>0</v>
      </c>
      <c r="R234" s="36">
        <v>0</v>
      </c>
      <c r="S234" s="50">
        <v>0</v>
      </c>
      <c r="T234" s="36">
        <v>0</v>
      </c>
      <c r="U234" s="36">
        <v>0</v>
      </c>
      <c r="V234" s="36">
        <v>0</v>
      </c>
      <c r="W234" s="36">
        <v>0</v>
      </c>
      <c r="X234" s="50">
        <v>0</v>
      </c>
      <c r="Y234" s="36">
        <v>0</v>
      </c>
      <c r="Z234" s="36">
        <v>0</v>
      </c>
      <c r="AA234" s="36">
        <v>0</v>
      </c>
      <c r="AB234" s="36">
        <v>0</v>
      </c>
      <c r="AC234" s="50">
        <v>0</v>
      </c>
      <c r="AD234" s="36">
        <v>8</v>
      </c>
      <c r="AE234" s="36">
        <v>8</v>
      </c>
      <c r="AF234" s="36">
        <v>8</v>
      </c>
      <c r="AG234" s="36">
        <v>0</v>
      </c>
      <c r="AH234" s="50">
        <v>0</v>
      </c>
      <c r="AI234" s="36">
        <v>0</v>
      </c>
      <c r="AJ234" s="36">
        <v>0</v>
      </c>
      <c r="AK234" s="36">
        <v>0</v>
      </c>
      <c r="AL234" s="36">
        <v>0</v>
      </c>
      <c r="AM234" s="50">
        <v>0</v>
      </c>
      <c r="AN234" s="36">
        <v>0</v>
      </c>
      <c r="AO234" s="36">
        <v>0</v>
      </c>
      <c r="AP234" s="36">
        <v>0</v>
      </c>
      <c r="AQ234" s="36">
        <v>0</v>
      </c>
      <c r="AR234" s="50">
        <v>0</v>
      </c>
      <c r="AS234" s="36">
        <v>0</v>
      </c>
      <c r="AT234" s="36">
        <v>0</v>
      </c>
      <c r="AU234" s="36">
        <v>0</v>
      </c>
      <c r="AV234" s="36">
        <v>1</v>
      </c>
      <c r="AW234">
        <v>0</v>
      </c>
      <c r="AX234">
        <v>0</v>
      </c>
    </row>
    <row r="235" spans="1:50" x14ac:dyDescent="0.25">
      <c r="A235" s="36"/>
      <c r="B235" t="s">
        <v>119</v>
      </c>
      <c r="C235" s="36" t="str">
        <f>'Status Thresholds'!B226</f>
        <v>Devil Jho (Savage)</v>
      </c>
      <c r="E235" s="36" t="str">
        <f t="shared" si="9"/>
        <v>Devil Jho (Savage)</v>
      </c>
      <c r="F235" s="36" t="str">
        <f>IFERROR(VLOOKUP($E235,'Status Thresholds'!$E:$AS,1,FALSE),"")</f>
        <v/>
      </c>
      <c r="G235" t="s">
        <v>21</v>
      </c>
      <c r="H235" s="55" t="str">
        <f t="shared" si="10"/>
        <v>Devil Jho (Savage)Triblast</v>
      </c>
      <c r="I235" s="50">
        <v>2</v>
      </c>
      <c r="J235" s="36">
        <v>2</v>
      </c>
      <c r="K235" s="36">
        <v>2</v>
      </c>
      <c r="L235" s="36">
        <v>2</v>
      </c>
      <c r="M235" s="36">
        <v>0</v>
      </c>
      <c r="N235" s="50">
        <v>0</v>
      </c>
      <c r="O235" s="36">
        <v>0</v>
      </c>
      <c r="P235" s="36">
        <v>0</v>
      </c>
      <c r="Q235" s="36">
        <v>0</v>
      </c>
      <c r="R235" s="36">
        <v>0</v>
      </c>
      <c r="S235" s="50">
        <v>0</v>
      </c>
      <c r="T235" s="36">
        <v>0</v>
      </c>
      <c r="U235" s="36">
        <v>0</v>
      </c>
      <c r="V235" s="36">
        <v>0</v>
      </c>
      <c r="W235" s="36">
        <v>0</v>
      </c>
      <c r="X235" s="50">
        <v>0</v>
      </c>
      <c r="Y235" s="36">
        <v>0</v>
      </c>
      <c r="Z235" s="36">
        <v>0</v>
      </c>
      <c r="AA235" s="36">
        <v>0</v>
      </c>
      <c r="AB235" s="36">
        <v>0</v>
      </c>
      <c r="AC235" s="50">
        <v>2</v>
      </c>
      <c r="AD235" s="36">
        <v>1</v>
      </c>
      <c r="AE235" s="36">
        <v>2</v>
      </c>
      <c r="AF235" s="36">
        <v>2</v>
      </c>
      <c r="AG235" s="36">
        <v>0</v>
      </c>
      <c r="AH235" s="50">
        <v>0</v>
      </c>
      <c r="AI235" s="36">
        <v>0</v>
      </c>
      <c r="AJ235" s="36">
        <v>0</v>
      </c>
      <c r="AK235" s="36">
        <v>0</v>
      </c>
      <c r="AL235" s="36">
        <v>0</v>
      </c>
      <c r="AM235" s="50">
        <v>0</v>
      </c>
      <c r="AN235" s="36">
        <v>0</v>
      </c>
      <c r="AO235" s="36">
        <v>0</v>
      </c>
      <c r="AP235" s="36">
        <v>0</v>
      </c>
      <c r="AQ235" s="36">
        <v>0</v>
      </c>
      <c r="AR235" s="50">
        <v>0</v>
      </c>
      <c r="AS235" s="36">
        <v>0</v>
      </c>
      <c r="AT235" s="36">
        <v>0</v>
      </c>
      <c r="AU235" s="36">
        <v>0</v>
      </c>
      <c r="AV235" s="36">
        <v>0</v>
      </c>
      <c r="AW235">
        <v>0</v>
      </c>
      <c r="AX235">
        <v>0</v>
      </c>
    </row>
    <row r="236" spans="1:50" x14ac:dyDescent="0.25">
      <c r="A236" s="36"/>
      <c r="B236" t="s">
        <v>119</v>
      </c>
      <c r="C236" s="36" t="str">
        <f>'Status Thresholds'!B227</f>
        <v>Devil Jho (Savage)</v>
      </c>
      <c r="E236" s="36" t="str">
        <f t="shared" si="9"/>
        <v>Devil Jho (Savage)</v>
      </c>
      <c r="F236" s="36" t="str">
        <f>IFERROR(VLOOKUP($E236,'Status Thresholds'!$E:$AS,1,FALSE),"")</f>
        <v/>
      </c>
      <c r="G236" t="s">
        <v>13</v>
      </c>
      <c r="H236" s="55" t="str">
        <f t="shared" si="10"/>
        <v>Devil Jho (Savage)Crag 3</v>
      </c>
      <c r="I236" s="50">
        <v>1</v>
      </c>
      <c r="J236" s="36">
        <v>1</v>
      </c>
      <c r="K236" s="36">
        <v>4</v>
      </c>
      <c r="L236" s="36">
        <v>4</v>
      </c>
      <c r="M236" s="36">
        <v>0</v>
      </c>
      <c r="N236" s="50">
        <v>0</v>
      </c>
      <c r="O236" s="36">
        <v>0</v>
      </c>
      <c r="P236" s="36">
        <v>0</v>
      </c>
      <c r="Q236" s="36">
        <v>0</v>
      </c>
      <c r="R236" s="36">
        <v>0</v>
      </c>
      <c r="S236" s="50">
        <v>0</v>
      </c>
      <c r="T236" s="36">
        <v>0</v>
      </c>
      <c r="U236" s="36">
        <v>0</v>
      </c>
      <c r="V236" s="36">
        <v>0</v>
      </c>
      <c r="W236" s="36">
        <v>0</v>
      </c>
      <c r="X236" s="50">
        <v>0</v>
      </c>
      <c r="Y236" s="36">
        <v>0</v>
      </c>
      <c r="Z236" s="36">
        <v>0</v>
      </c>
      <c r="AA236" s="36">
        <v>0</v>
      </c>
      <c r="AB236" s="36">
        <v>0</v>
      </c>
      <c r="AC236" s="50">
        <v>0</v>
      </c>
      <c r="AD236" s="36">
        <v>3</v>
      </c>
      <c r="AE236" s="36">
        <v>4</v>
      </c>
      <c r="AF236" s="36">
        <v>4</v>
      </c>
      <c r="AG236" s="36">
        <v>0</v>
      </c>
      <c r="AH236" s="50">
        <v>0</v>
      </c>
      <c r="AI236" s="36">
        <v>0</v>
      </c>
      <c r="AJ236" s="36">
        <v>0</v>
      </c>
      <c r="AK236" s="36">
        <v>0</v>
      </c>
      <c r="AL236" s="36">
        <v>0</v>
      </c>
      <c r="AM236" s="50">
        <v>0</v>
      </c>
      <c r="AN236" s="36">
        <v>0</v>
      </c>
      <c r="AO236" s="36">
        <v>0</v>
      </c>
      <c r="AP236" s="36">
        <v>0</v>
      </c>
      <c r="AQ236" s="36">
        <v>0</v>
      </c>
      <c r="AR236" s="50">
        <v>0</v>
      </c>
      <c r="AS236" s="36">
        <v>0</v>
      </c>
      <c r="AT236" s="36">
        <v>0</v>
      </c>
      <c r="AU236" s="36">
        <v>0</v>
      </c>
      <c r="AV236" s="36">
        <v>0</v>
      </c>
      <c r="AW236">
        <v>0</v>
      </c>
      <c r="AX236">
        <v>0</v>
      </c>
    </row>
    <row r="237" spans="1:50" x14ac:dyDescent="0.25">
      <c r="A237" s="36"/>
      <c r="B237" t="s">
        <v>119</v>
      </c>
      <c r="C237" s="36" t="str">
        <f>'Status Thresholds'!B228</f>
        <v>Devil Jho (Savage)</v>
      </c>
      <c r="E237" s="36" t="str">
        <f t="shared" si="9"/>
        <v>Devil Jho (Savage)</v>
      </c>
      <c r="F237" s="36" t="str">
        <f>IFERROR(VLOOKUP($E237,'Status Thresholds'!$E:$AS,1,FALSE),"")</f>
        <v/>
      </c>
      <c r="G237" t="s">
        <v>12</v>
      </c>
      <c r="H237" s="55" t="str">
        <f t="shared" si="10"/>
        <v>Devil Jho (Savage)Crag 2</v>
      </c>
      <c r="I237" s="50">
        <v>0</v>
      </c>
      <c r="J237" s="36">
        <v>1</v>
      </c>
      <c r="K237" s="36">
        <v>3</v>
      </c>
      <c r="L237" s="36">
        <v>4</v>
      </c>
      <c r="M237" s="36">
        <v>0</v>
      </c>
      <c r="N237" s="50">
        <v>0</v>
      </c>
      <c r="O237" s="36">
        <v>0</v>
      </c>
      <c r="P237" s="36">
        <v>0</v>
      </c>
      <c r="Q237" s="36">
        <v>0</v>
      </c>
      <c r="R237" s="36">
        <v>0</v>
      </c>
      <c r="S237" s="50">
        <v>0</v>
      </c>
      <c r="T237" s="36">
        <v>0</v>
      </c>
      <c r="U237" s="36">
        <v>0</v>
      </c>
      <c r="V237" s="36">
        <v>0</v>
      </c>
      <c r="W237" s="36">
        <v>0</v>
      </c>
      <c r="X237" s="50">
        <v>0</v>
      </c>
      <c r="Y237" s="36">
        <v>0</v>
      </c>
      <c r="Z237" s="36">
        <v>0</v>
      </c>
      <c r="AA237" s="36">
        <v>0</v>
      </c>
      <c r="AB237" s="36">
        <v>0</v>
      </c>
      <c r="AC237" s="50">
        <v>0</v>
      </c>
      <c r="AD237" s="36">
        <v>2</v>
      </c>
      <c r="AE237" s="36">
        <v>4</v>
      </c>
      <c r="AF237" s="36">
        <v>4</v>
      </c>
      <c r="AG237" s="36">
        <v>0</v>
      </c>
      <c r="AH237" s="50">
        <v>0</v>
      </c>
      <c r="AI237" s="36">
        <v>0</v>
      </c>
      <c r="AJ237" s="36">
        <v>0</v>
      </c>
      <c r="AK237" s="36">
        <v>0</v>
      </c>
      <c r="AL237" s="36">
        <v>0</v>
      </c>
      <c r="AM237" s="50">
        <v>0</v>
      </c>
      <c r="AN237" s="36">
        <v>0</v>
      </c>
      <c r="AO237" s="36">
        <v>0</v>
      </c>
      <c r="AP237" s="36">
        <v>0</v>
      </c>
      <c r="AQ237" s="36">
        <v>0</v>
      </c>
      <c r="AR237" s="50">
        <v>0</v>
      </c>
      <c r="AS237" s="36">
        <v>0</v>
      </c>
      <c r="AT237" s="36">
        <v>0</v>
      </c>
      <c r="AU237" s="36">
        <v>0</v>
      </c>
      <c r="AV237" s="36">
        <v>0</v>
      </c>
      <c r="AW237">
        <v>0</v>
      </c>
      <c r="AX237">
        <v>0</v>
      </c>
    </row>
    <row r="238" spans="1:50" x14ac:dyDescent="0.25">
      <c r="A238" s="36"/>
      <c r="B238" t="s">
        <v>119</v>
      </c>
      <c r="C238" s="36" t="str">
        <f>'Status Thresholds'!B229</f>
        <v>Devil Jho (Savage)</v>
      </c>
      <c r="E238" s="36" t="str">
        <f t="shared" si="9"/>
        <v>Devil Jho (Savage)</v>
      </c>
      <c r="F238" s="36" t="str">
        <f>IFERROR(VLOOKUP($E238,'Status Thresholds'!$E:$AS,1,FALSE),"")</f>
        <v/>
      </c>
      <c r="G238" t="s">
        <v>11</v>
      </c>
      <c r="H238" s="55" t="str">
        <f t="shared" si="10"/>
        <v>Devil Jho (Savage)Crag 1</v>
      </c>
      <c r="I238" s="50">
        <v>1</v>
      </c>
      <c r="J238" s="36">
        <v>7</v>
      </c>
      <c r="K238" s="36">
        <v>7</v>
      </c>
      <c r="L238" s="36">
        <v>8</v>
      </c>
      <c r="M238" s="36">
        <v>0</v>
      </c>
      <c r="N238" s="50">
        <v>0</v>
      </c>
      <c r="O238" s="36">
        <v>0</v>
      </c>
      <c r="P238" s="36">
        <v>0</v>
      </c>
      <c r="Q238" s="36">
        <v>0</v>
      </c>
      <c r="R238" s="36">
        <v>0</v>
      </c>
      <c r="S238" s="50">
        <v>0</v>
      </c>
      <c r="T238" s="36">
        <v>0</v>
      </c>
      <c r="U238" s="36">
        <v>0</v>
      </c>
      <c r="V238" s="36">
        <v>0</v>
      </c>
      <c r="W238" s="36">
        <v>0</v>
      </c>
      <c r="X238" s="50">
        <v>0</v>
      </c>
      <c r="Y238" s="36">
        <v>0</v>
      </c>
      <c r="Z238" s="36">
        <v>0</v>
      </c>
      <c r="AA238" s="36">
        <v>0</v>
      </c>
      <c r="AB238" s="36">
        <v>0</v>
      </c>
      <c r="AC238" s="50">
        <v>4</v>
      </c>
      <c r="AD238" s="36">
        <v>8</v>
      </c>
      <c r="AE238" s="36">
        <v>8</v>
      </c>
      <c r="AF238" s="36">
        <v>8</v>
      </c>
      <c r="AG238" s="36">
        <v>0</v>
      </c>
      <c r="AH238" s="50">
        <v>0</v>
      </c>
      <c r="AI238" s="36">
        <v>0</v>
      </c>
      <c r="AJ238" s="36">
        <v>0</v>
      </c>
      <c r="AK238" s="36">
        <v>0</v>
      </c>
      <c r="AL238" s="36">
        <v>0</v>
      </c>
      <c r="AM238" s="50">
        <v>0</v>
      </c>
      <c r="AN238" s="36">
        <v>0</v>
      </c>
      <c r="AO238" s="36">
        <v>0</v>
      </c>
      <c r="AP238" s="36">
        <v>0</v>
      </c>
      <c r="AQ238" s="36">
        <v>0</v>
      </c>
      <c r="AR238" s="50">
        <v>0</v>
      </c>
      <c r="AS238" s="36">
        <v>0</v>
      </c>
      <c r="AT238" s="36">
        <v>0</v>
      </c>
      <c r="AU238" s="36">
        <v>0</v>
      </c>
      <c r="AV238" s="36">
        <v>1</v>
      </c>
      <c r="AW238">
        <v>0</v>
      </c>
      <c r="AX238">
        <v>0</v>
      </c>
    </row>
    <row r="239" spans="1:50" x14ac:dyDescent="0.25">
      <c r="A239" s="36"/>
      <c r="B239" t="s">
        <v>121</v>
      </c>
      <c r="C239" s="36" t="str">
        <f>'Status Thresholds'!B230</f>
        <v>Diablos</v>
      </c>
      <c r="D239" t="s">
        <v>14</v>
      </c>
      <c r="E239" s="36" t="str">
        <f t="shared" si="9"/>
        <v>DiablosKO</v>
      </c>
      <c r="F239" s="36" t="str">
        <f>IFERROR(VLOOKUP($E239,'Status Thresholds'!$E:$AS,1,FALSE),"")</f>
        <v>DiablosKO</v>
      </c>
      <c r="H239" s="55" t="str">
        <f t="shared" si="10"/>
        <v>DiablosKO</v>
      </c>
      <c r="I239" s="50">
        <f>VLOOKUP($F239,'Status Thresholds'!$E:$AS,2,FALSE)</f>
        <v>210</v>
      </c>
      <c r="J239" s="36">
        <f>VLOOKUP($F239,'Status Thresholds'!$E:$AS,3,FALSE)</f>
        <v>350</v>
      </c>
      <c r="K239" s="36">
        <f>VLOOKUP($F239,'Status Thresholds'!$E:$AS,4,FALSE)</f>
        <v>490</v>
      </c>
      <c r="L239" s="36">
        <f>VLOOKUP($F239,'Status Thresholds'!$E:$AS,5,FALSE)</f>
        <v>630</v>
      </c>
      <c r="M239" s="36">
        <f>VLOOKUP($F239,'Status Thresholds'!$E:$AS,6,FALSE)</f>
        <v>0</v>
      </c>
      <c r="N239" s="50">
        <f>VLOOKUP($F239,'Status Thresholds'!$E:$AS,7,FALSE)</f>
        <v>0</v>
      </c>
      <c r="O239" s="36">
        <f>VLOOKUP($F239,'Status Thresholds'!$E:$AS,8,FALSE)</f>
        <v>0</v>
      </c>
      <c r="P239" s="36">
        <f>VLOOKUP($F239,'Status Thresholds'!$E:$AS,9,FALSE)</f>
        <v>0</v>
      </c>
      <c r="Q239" s="36">
        <f>VLOOKUP($F239,'Status Thresholds'!$E:$AS,10,FALSE)</f>
        <v>0</v>
      </c>
      <c r="R239" s="36">
        <f>VLOOKUP($F239,'Status Thresholds'!$E:$AS,11,FALSE)</f>
        <v>0</v>
      </c>
      <c r="S239" s="50">
        <f>VLOOKUP($F239,'Status Thresholds'!$E:$AS,12,FALSE)</f>
        <v>0</v>
      </c>
      <c r="T239" s="36">
        <f>VLOOKUP($F239,'Status Thresholds'!$E:$AS,13,FALSE)</f>
        <v>0</v>
      </c>
      <c r="U239" s="36">
        <f>VLOOKUP($F239,'Status Thresholds'!$E:$AS,14,FALSE)</f>
        <v>0</v>
      </c>
      <c r="V239" s="36">
        <f>VLOOKUP($F239,'Status Thresholds'!$E:$AS,15,FALSE)</f>
        <v>0</v>
      </c>
      <c r="W239" s="36">
        <f>VLOOKUP($F239,'Status Thresholds'!$E:$AS,16,FALSE)</f>
        <v>0</v>
      </c>
      <c r="X239" s="50">
        <f>VLOOKUP($F239,'Status Thresholds'!$E:$AS,17,FALSE)</f>
        <v>0</v>
      </c>
      <c r="Y239" s="36">
        <f>VLOOKUP($F239,'Status Thresholds'!$E:$AS,18,FALSE)</f>
        <v>0</v>
      </c>
      <c r="Z239" s="36">
        <f>VLOOKUP($F239,'Status Thresholds'!$E:$AS,19,FALSE)</f>
        <v>0</v>
      </c>
      <c r="AA239" s="36">
        <f>VLOOKUP($F239,'Status Thresholds'!$E:$AS,20,FALSE)</f>
        <v>0</v>
      </c>
      <c r="AB239" s="36">
        <f>VLOOKUP($F239,'Status Thresholds'!$E:$AS,21,FALSE)</f>
        <v>0</v>
      </c>
      <c r="AC239" s="50">
        <f>VLOOKUP($F239,'Status Thresholds'!$E:$AS,22,FALSE)</f>
        <v>225</v>
      </c>
      <c r="AD239" s="36">
        <f>VLOOKUP($F239,'Status Thresholds'!$E:$AS,23,FALSE)</f>
        <v>375</v>
      </c>
      <c r="AE239" s="36">
        <f>VLOOKUP($F239,'Status Thresholds'!$E:$AS,24,FALSE)</f>
        <v>525</v>
      </c>
      <c r="AF239" s="36">
        <f>VLOOKUP($F239,'Status Thresholds'!$E:$AS,25,FALSE)</f>
        <v>675</v>
      </c>
      <c r="AG239" s="36">
        <f>VLOOKUP($F239,'Status Thresholds'!$E:$AS,26,FALSE)</f>
        <v>0</v>
      </c>
      <c r="AH239" s="50">
        <f>VLOOKUP($F239,'Status Thresholds'!$E:$AS,27,FALSE)</f>
        <v>0</v>
      </c>
      <c r="AI239" s="36">
        <f>VLOOKUP($F239,'Status Thresholds'!$E:$AS,28,FALSE)</f>
        <v>0</v>
      </c>
      <c r="AJ239" s="36">
        <f>VLOOKUP($F239,'Status Thresholds'!$E:$AS,29,FALSE)</f>
        <v>0</v>
      </c>
      <c r="AK239" s="36">
        <f>VLOOKUP($F239,'Status Thresholds'!$E:$AS,30,FALSE)</f>
        <v>0</v>
      </c>
      <c r="AL239" s="36">
        <f>VLOOKUP($F239,'Status Thresholds'!$E:$AS,31,FALSE)</f>
        <v>0</v>
      </c>
      <c r="AM239" s="50">
        <f>VLOOKUP($F239,'Status Thresholds'!$E:$AS,32,FALSE)</f>
        <v>300</v>
      </c>
      <c r="AN239" s="36">
        <f>VLOOKUP($F239,'Status Thresholds'!$E:$AS,33,FALSE)</f>
        <v>500</v>
      </c>
      <c r="AO239" s="36">
        <f>VLOOKUP($F239,'Status Thresholds'!$E:$AS,34,FALSE)</f>
        <v>700</v>
      </c>
      <c r="AP239" s="36">
        <f>VLOOKUP($F239,'Status Thresholds'!$E:$AS,35,FALSE)</f>
        <v>900</v>
      </c>
      <c r="AQ239" s="36">
        <f>VLOOKUP($F239,'Status Thresholds'!$E:$AS,36,FALSE)</f>
        <v>0</v>
      </c>
      <c r="AR239" s="50">
        <f>VLOOKUP($F239,'Status Thresholds'!$E:$AS,37,FALSE)</f>
        <v>0</v>
      </c>
      <c r="AS239" s="36">
        <f>VLOOKUP($F239,'Status Thresholds'!$E:$AS,38,FALSE)</f>
        <v>0</v>
      </c>
      <c r="AT239" s="36">
        <f>VLOOKUP($F239,'Status Thresholds'!$E:$AS,39,FALSE)</f>
        <v>0</v>
      </c>
      <c r="AU239" s="36">
        <f>VLOOKUP($F239,'Status Thresholds'!$E:$AS,40,FALSE)</f>
        <v>0</v>
      </c>
      <c r="AV239" s="36">
        <f>VLOOKUP($F239,'Status Thresholds'!$E:$AS,41,FALSE)</f>
        <v>15</v>
      </c>
      <c r="AW239">
        <v>0</v>
      </c>
      <c r="AX239">
        <v>0</v>
      </c>
    </row>
    <row r="240" spans="1:50" x14ac:dyDescent="0.25">
      <c r="A240" s="36"/>
      <c r="B240" t="s">
        <v>120</v>
      </c>
      <c r="C240" s="36" t="str">
        <f>'Status Thresholds'!B231</f>
        <v>Diablos</v>
      </c>
      <c r="E240" s="36" t="str">
        <f t="shared" si="9"/>
        <v>Diablos</v>
      </c>
      <c r="F240" s="36" t="str">
        <f>IFERROR(VLOOKUP($E240,'Status Thresholds'!$E:$AS,1,FALSE),"")</f>
        <v/>
      </c>
      <c r="G240" t="s">
        <v>21</v>
      </c>
      <c r="H240" s="55" t="str">
        <f t="shared" si="10"/>
        <v>DiablosTriblast</v>
      </c>
      <c r="I240" s="50">
        <v>2</v>
      </c>
      <c r="J240" s="36">
        <v>2</v>
      </c>
      <c r="K240" s="36">
        <v>1</v>
      </c>
      <c r="L240" s="36">
        <v>2</v>
      </c>
      <c r="M240" s="36">
        <v>0</v>
      </c>
      <c r="N240" s="50">
        <v>0</v>
      </c>
      <c r="O240" s="36">
        <v>0</v>
      </c>
      <c r="P240" s="36">
        <v>0</v>
      </c>
      <c r="Q240" s="36">
        <v>0</v>
      </c>
      <c r="R240" s="36">
        <v>0</v>
      </c>
      <c r="S240" s="50">
        <v>0</v>
      </c>
      <c r="T240" s="36">
        <v>0</v>
      </c>
      <c r="U240" s="36">
        <v>0</v>
      </c>
      <c r="V240" s="36">
        <v>0</v>
      </c>
      <c r="W240" s="36">
        <v>0</v>
      </c>
      <c r="X240" s="50">
        <v>0</v>
      </c>
      <c r="Y240" s="36">
        <v>0</v>
      </c>
      <c r="Z240" s="36">
        <v>0</v>
      </c>
      <c r="AA240" s="36">
        <v>0</v>
      </c>
      <c r="AB240" s="36">
        <v>0</v>
      </c>
      <c r="AC240" s="50">
        <v>2</v>
      </c>
      <c r="AD240" s="36">
        <v>1</v>
      </c>
      <c r="AE240" s="36">
        <v>1</v>
      </c>
      <c r="AF240" s="36">
        <v>2</v>
      </c>
      <c r="AG240" s="36">
        <v>0</v>
      </c>
      <c r="AH240" s="50">
        <v>0</v>
      </c>
      <c r="AI240" s="36">
        <v>0</v>
      </c>
      <c r="AJ240" s="36">
        <v>0</v>
      </c>
      <c r="AK240" s="36">
        <v>0</v>
      </c>
      <c r="AL240" s="36">
        <v>0</v>
      </c>
      <c r="AM240" s="50">
        <v>2</v>
      </c>
      <c r="AN240" s="36">
        <v>1</v>
      </c>
      <c r="AO240" s="36">
        <v>2</v>
      </c>
      <c r="AP240" s="36">
        <v>2</v>
      </c>
      <c r="AQ240" s="36">
        <v>0</v>
      </c>
      <c r="AR240" s="50">
        <v>0</v>
      </c>
      <c r="AS240" s="36">
        <v>0</v>
      </c>
      <c r="AT240" s="36">
        <v>0</v>
      </c>
      <c r="AU240" s="36">
        <v>0</v>
      </c>
      <c r="AV240" s="36">
        <v>0</v>
      </c>
      <c r="AW240">
        <v>0</v>
      </c>
    </row>
    <row r="241" spans="1:50" x14ac:dyDescent="0.25">
      <c r="A241" s="36"/>
      <c r="B241" t="s">
        <v>120</v>
      </c>
      <c r="C241" s="36" t="str">
        <f>'Status Thresholds'!B232</f>
        <v>Diablos</v>
      </c>
      <c r="E241" s="36" t="str">
        <f t="shared" si="9"/>
        <v>Diablos</v>
      </c>
      <c r="F241" s="36" t="str">
        <f>IFERROR(VLOOKUP($E241,'Status Thresholds'!$E:$AS,1,FALSE),"")</f>
        <v/>
      </c>
      <c r="G241" t="s">
        <v>13</v>
      </c>
      <c r="H241" s="55" t="str">
        <f t="shared" si="10"/>
        <v>DiablosCrag 3</v>
      </c>
      <c r="I241" s="50">
        <v>0</v>
      </c>
      <c r="J241" s="36">
        <v>0</v>
      </c>
      <c r="K241" s="36">
        <v>3</v>
      </c>
      <c r="L241" s="36">
        <v>4</v>
      </c>
      <c r="M241" s="36">
        <v>0</v>
      </c>
      <c r="N241" s="50">
        <v>0</v>
      </c>
      <c r="O241" s="36">
        <v>0</v>
      </c>
      <c r="P241" s="36">
        <v>0</v>
      </c>
      <c r="Q241" s="36">
        <v>0</v>
      </c>
      <c r="R241" s="36">
        <v>0</v>
      </c>
      <c r="S241" s="50">
        <v>0</v>
      </c>
      <c r="T241" s="36">
        <v>0</v>
      </c>
      <c r="U241" s="36">
        <v>0</v>
      </c>
      <c r="V241" s="36">
        <v>0</v>
      </c>
      <c r="W241" s="36">
        <v>0</v>
      </c>
      <c r="X241" s="50">
        <v>0</v>
      </c>
      <c r="Y241" s="36">
        <v>0</v>
      </c>
      <c r="Z241" s="36">
        <v>0</v>
      </c>
      <c r="AA241" s="36">
        <v>0</v>
      </c>
      <c r="AB241" s="36">
        <v>0</v>
      </c>
      <c r="AC241" s="50">
        <v>0</v>
      </c>
      <c r="AD241" s="36">
        <v>3</v>
      </c>
      <c r="AE241" s="36">
        <v>4</v>
      </c>
      <c r="AF241" s="36">
        <v>4</v>
      </c>
      <c r="AG241" s="36">
        <v>0</v>
      </c>
      <c r="AH241" s="50">
        <v>0</v>
      </c>
      <c r="AI241" s="36">
        <v>0</v>
      </c>
      <c r="AJ241" s="36">
        <v>0</v>
      </c>
      <c r="AK241" s="36">
        <v>0</v>
      </c>
      <c r="AL241" s="36">
        <v>0</v>
      </c>
      <c r="AM241" s="50">
        <v>3</v>
      </c>
      <c r="AN241" s="36">
        <v>4</v>
      </c>
      <c r="AO241" s="36">
        <v>4</v>
      </c>
      <c r="AP241" s="36">
        <v>4</v>
      </c>
      <c r="AQ241" s="36">
        <v>0</v>
      </c>
      <c r="AR241" s="50">
        <v>0</v>
      </c>
      <c r="AS241" s="36">
        <v>0</v>
      </c>
      <c r="AT241" s="36">
        <v>0</v>
      </c>
      <c r="AU241" s="36">
        <v>0</v>
      </c>
      <c r="AV241" s="36">
        <v>0</v>
      </c>
      <c r="AW241">
        <v>0</v>
      </c>
      <c r="AX241">
        <v>0</v>
      </c>
    </row>
    <row r="242" spans="1:50" x14ac:dyDescent="0.25">
      <c r="A242" s="36"/>
      <c r="B242" t="s">
        <v>120</v>
      </c>
      <c r="C242" s="36" t="str">
        <f>'Status Thresholds'!B233</f>
        <v>Diablos</v>
      </c>
      <c r="E242" s="36" t="str">
        <f t="shared" si="9"/>
        <v>Diablos</v>
      </c>
      <c r="F242" s="36" t="str">
        <f>IFERROR(VLOOKUP($E242,'Status Thresholds'!$E:$AS,1,FALSE),"")</f>
        <v/>
      </c>
      <c r="G242" t="s">
        <v>12</v>
      </c>
      <c r="H242" s="55" t="str">
        <f t="shared" si="10"/>
        <v>DiablosCrag 2</v>
      </c>
      <c r="I242" s="50">
        <v>2</v>
      </c>
      <c r="J242" s="36">
        <v>0</v>
      </c>
      <c r="K242" s="36">
        <v>4</v>
      </c>
      <c r="L242" s="36">
        <v>4</v>
      </c>
      <c r="M242" s="36">
        <v>0</v>
      </c>
      <c r="N242" s="50">
        <v>0</v>
      </c>
      <c r="O242" s="36">
        <v>0</v>
      </c>
      <c r="P242" s="36">
        <v>0</v>
      </c>
      <c r="Q242" s="36">
        <v>0</v>
      </c>
      <c r="R242" s="36">
        <v>0</v>
      </c>
      <c r="S242" s="50">
        <v>0</v>
      </c>
      <c r="T242" s="36">
        <v>0</v>
      </c>
      <c r="U242" s="36">
        <v>0</v>
      </c>
      <c r="V242" s="36">
        <v>0</v>
      </c>
      <c r="W242" s="36">
        <v>0</v>
      </c>
      <c r="X242" s="50">
        <v>0</v>
      </c>
      <c r="Y242" s="36">
        <v>0</v>
      </c>
      <c r="Z242" s="36">
        <v>0</v>
      </c>
      <c r="AA242" s="36">
        <v>0</v>
      </c>
      <c r="AB242" s="36">
        <v>0</v>
      </c>
      <c r="AC242" s="50">
        <v>0</v>
      </c>
      <c r="AD242" s="36">
        <v>1</v>
      </c>
      <c r="AE242" s="36">
        <v>3</v>
      </c>
      <c r="AF242" s="36">
        <v>4</v>
      </c>
      <c r="AG242" s="36">
        <v>0</v>
      </c>
      <c r="AH242" s="50">
        <v>0</v>
      </c>
      <c r="AI242" s="36">
        <v>0</v>
      </c>
      <c r="AJ242" s="36">
        <v>0</v>
      </c>
      <c r="AK242" s="36">
        <v>0</v>
      </c>
      <c r="AL242" s="36">
        <v>0</v>
      </c>
      <c r="AM242" s="50">
        <v>1</v>
      </c>
      <c r="AN242" s="36">
        <v>3</v>
      </c>
      <c r="AO242" s="36">
        <v>4</v>
      </c>
      <c r="AP242" s="36">
        <v>4</v>
      </c>
      <c r="AQ242" s="36">
        <v>0</v>
      </c>
      <c r="AR242" s="50">
        <v>0</v>
      </c>
      <c r="AS242" s="36">
        <v>0</v>
      </c>
      <c r="AT242" s="36">
        <v>0</v>
      </c>
      <c r="AU242" s="36">
        <v>0</v>
      </c>
      <c r="AV242" s="36">
        <v>0</v>
      </c>
      <c r="AW242">
        <v>0</v>
      </c>
      <c r="AX242">
        <v>0</v>
      </c>
    </row>
    <row r="243" spans="1:50" x14ac:dyDescent="0.25">
      <c r="A243" s="36"/>
      <c r="B243" t="s">
        <v>120</v>
      </c>
      <c r="C243" s="36" t="str">
        <f>'Status Thresholds'!B234</f>
        <v>Diablos</v>
      </c>
      <c r="E243" s="36" t="str">
        <f t="shared" si="9"/>
        <v>Diablos</v>
      </c>
      <c r="F243" s="36" t="str">
        <f>IFERROR(VLOOKUP($E243,'Status Thresholds'!$E:$AS,1,FALSE),"")</f>
        <v/>
      </c>
      <c r="G243" t="s">
        <v>11</v>
      </c>
      <c r="H243" s="55" t="str">
        <f t="shared" si="10"/>
        <v>DiablosCrag 1</v>
      </c>
      <c r="I243" s="50">
        <v>0</v>
      </c>
      <c r="J243" s="36">
        <v>8</v>
      </c>
      <c r="K243" s="36">
        <v>7</v>
      </c>
      <c r="L243" s="36">
        <v>8</v>
      </c>
      <c r="M243" s="36">
        <v>0</v>
      </c>
      <c r="N243" s="50">
        <v>0</v>
      </c>
      <c r="O243" s="36">
        <v>0</v>
      </c>
      <c r="P243" s="36">
        <v>0</v>
      </c>
      <c r="Q243" s="36">
        <v>0</v>
      </c>
      <c r="R243" s="36">
        <v>0</v>
      </c>
      <c r="S243" s="50">
        <v>0</v>
      </c>
      <c r="T243" s="36">
        <v>0</v>
      </c>
      <c r="U243" s="36">
        <v>0</v>
      </c>
      <c r="V243" s="36">
        <v>0</v>
      </c>
      <c r="W243" s="36">
        <v>0</v>
      </c>
      <c r="X243" s="50">
        <v>0</v>
      </c>
      <c r="Y243" s="36">
        <v>0</v>
      </c>
      <c r="Z243" s="36">
        <v>0</v>
      </c>
      <c r="AA243" s="36">
        <v>0</v>
      </c>
      <c r="AB243" s="36">
        <v>0</v>
      </c>
      <c r="AC243" s="50">
        <v>3</v>
      </c>
      <c r="AD243" s="36">
        <v>6</v>
      </c>
      <c r="AE243" s="36">
        <v>8</v>
      </c>
      <c r="AF243" s="36">
        <v>8</v>
      </c>
      <c r="AG243" s="36">
        <v>0</v>
      </c>
      <c r="AH243" s="50">
        <v>0</v>
      </c>
      <c r="AI243" s="36">
        <v>0</v>
      </c>
      <c r="AJ243" s="36">
        <v>0</v>
      </c>
      <c r="AK243" s="36">
        <v>0</v>
      </c>
      <c r="AL243" s="36">
        <v>0</v>
      </c>
      <c r="AM243" s="50">
        <v>0</v>
      </c>
      <c r="AN243" s="36">
        <v>7</v>
      </c>
      <c r="AO243" s="36">
        <v>8</v>
      </c>
      <c r="AP243" s="36">
        <v>8</v>
      </c>
      <c r="AQ243" s="36">
        <v>0</v>
      </c>
      <c r="AR243" s="50">
        <v>0</v>
      </c>
      <c r="AS243" s="36">
        <v>0</v>
      </c>
      <c r="AT243" s="36">
        <v>0</v>
      </c>
      <c r="AU243" s="36">
        <v>0</v>
      </c>
      <c r="AV243" s="36">
        <v>1</v>
      </c>
      <c r="AW243">
        <v>0</v>
      </c>
      <c r="AX243">
        <v>0</v>
      </c>
    </row>
    <row r="244" spans="1:50" x14ac:dyDescent="0.25">
      <c r="A244" s="36"/>
      <c r="B244" t="s">
        <v>119</v>
      </c>
      <c r="C244" s="36" t="str">
        <f>'Status Thresholds'!B235</f>
        <v>Diablos</v>
      </c>
      <c r="E244" s="36" t="str">
        <f t="shared" si="9"/>
        <v>Diablos</v>
      </c>
      <c r="F244" s="36" t="str">
        <f>IFERROR(VLOOKUP($E244,'Status Thresholds'!$E:$AS,1,FALSE),"")</f>
        <v/>
      </c>
      <c r="G244" t="s">
        <v>21</v>
      </c>
      <c r="H244" s="55" t="str">
        <f t="shared" si="10"/>
        <v>DiablosTriblast</v>
      </c>
      <c r="I244" s="50">
        <v>0</v>
      </c>
      <c r="J244" s="36">
        <v>1</v>
      </c>
      <c r="K244" s="36">
        <v>1</v>
      </c>
      <c r="L244" s="36">
        <v>2</v>
      </c>
      <c r="M244" s="36">
        <v>0</v>
      </c>
      <c r="N244" s="50">
        <v>0</v>
      </c>
      <c r="O244" s="36">
        <v>0</v>
      </c>
      <c r="P244" s="36">
        <v>0</v>
      </c>
      <c r="Q244" s="36">
        <v>0</v>
      </c>
      <c r="R244" s="36">
        <v>0</v>
      </c>
      <c r="S244" s="50">
        <v>0</v>
      </c>
      <c r="T244" s="36">
        <v>0</v>
      </c>
      <c r="U244" s="36">
        <v>0</v>
      </c>
      <c r="V244" s="36">
        <v>0</v>
      </c>
      <c r="W244" s="36">
        <v>0</v>
      </c>
      <c r="X244" s="50">
        <v>0</v>
      </c>
      <c r="Y244" s="36">
        <v>0</v>
      </c>
      <c r="Z244" s="36">
        <v>0</v>
      </c>
      <c r="AA244" s="36">
        <v>0</v>
      </c>
      <c r="AB244" s="36">
        <v>0</v>
      </c>
      <c r="AC244" s="50">
        <v>0</v>
      </c>
      <c r="AD244" s="36">
        <v>1</v>
      </c>
      <c r="AE244" s="36">
        <v>2</v>
      </c>
      <c r="AF244" s="36">
        <v>2</v>
      </c>
      <c r="AG244" s="36">
        <v>0</v>
      </c>
      <c r="AH244" s="50">
        <v>0</v>
      </c>
      <c r="AI244" s="36">
        <v>0</v>
      </c>
      <c r="AJ244" s="36">
        <v>0</v>
      </c>
      <c r="AK244" s="36">
        <v>0</v>
      </c>
      <c r="AL244" s="36">
        <v>0</v>
      </c>
      <c r="AM244" s="50">
        <v>1</v>
      </c>
      <c r="AN244" s="36">
        <v>2</v>
      </c>
      <c r="AO244" s="36">
        <v>2</v>
      </c>
      <c r="AP244" s="36">
        <v>2</v>
      </c>
      <c r="AQ244" s="36">
        <v>0</v>
      </c>
      <c r="AR244" s="50">
        <v>0</v>
      </c>
      <c r="AS244" s="36">
        <v>0</v>
      </c>
      <c r="AT244" s="36">
        <v>0</v>
      </c>
      <c r="AU244" s="36">
        <v>0</v>
      </c>
      <c r="AV244" s="36">
        <v>0</v>
      </c>
      <c r="AW244">
        <v>0</v>
      </c>
      <c r="AX244">
        <v>0</v>
      </c>
    </row>
    <row r="245" spans="1:50" x14ac:dyDescent="0.25">
      <c r="A245" s="36"/>
      <c r="B245" t="s">
        <v>119</v>
      </c>
      <c r="C245" s="36" t="str">
        <f>'Status Thresholds'!B236</f>
        <v>Diablos</v>
      </c>
      <c r="E245" s="36" t="str">
        <f t="shared" si="9"/>
        <v>Diablos</v>
      </c>
      <c r="F245" s="36" t="str">
        <f>IFERROR(VLOOKUP($E245,'Status Thresholds'!$E:$AS,1,FALSE),"")</f>
        <v/>
      </c>
      <c r="G245" t="s">
        <v>13</v>
      </c>
      <c r="H245" s="55" t="str">
        <f t="shared" si="10"/>
        <v>DiablosCrag 3</v>
      </c>
      <c r="I245" s="50">
        <v>1</v>
      </c>
      <c r="J245" s="36">
        <v>4</v>
      </c>
      <c r="K245" s="36">
        <v>2</v>
      </c>
      <c r="L245" s="36">
        <v>4</v>
      </c>
      <c r="M245" s="36">
        <v>0</v>
      </c>
      <c r="N245" s="50">
        <v>0</v>
      </c>
      <c r="O245" s="36">
        <v>0</v>
      </c>
      <c r="P245" s="36">
        <v>0</v>
      </c>
      <c r="Q245" s="36">
        <v>0</v>
      </c>
      <c r="R245" s="36">
        <v>0</v>
      </c>
      <c r="S245" s="50">
        <v>0</v>
      </c>
      <c r="T245" s="36">
        <v>0</v>
      </c>
      <c r="U245" s="36">
        <v>0</v>
      </c>
      <c r="V245" s="36">
        <v>0</v>
      </c>
      <c r="W245" s="36">
        <v>0</v>
      </c>
      <c r="X245" s="50">
        <v>0</v>
      </c>
      <c r="Y245" s="36">
        <v>0</v>
      </c>
      <c r="Z245" s="36">
        <v>0</v>
      </c>
      <c r="AA245" s="36">
        <v>0</v>
      </c>
      <c r="AB245" s="36">
        <v>0</v>
      </c>
      <c r="AC245" s="50">
        <v>3</v>
      </c>
      <c r="AD245" s="36">
        <v>3</v>
      </c>
      <c r="AE245" s="36">
        <v>4</v>
      </c>
      <c r="AF245" s="36">
        <v>4</v>
      </c>
      <c r="AG245" s="36">
        <v>0</v>
      </c>
      <c r="AH245" s="50">
        <v>0</v>
      </c>
      <c r="AI245" s="36">
        <v>0</v>
      </c>
      <c r="AJ245" s="36">
        <v>0</v>
      </c>
      <c r="AK245" s="36">
        <v>0</v>
      </c>
      <c r="AL245" s="36">
        <v>0</v>
      </c>
      <c r="AM245" s="50">
        <v>3</v>
      </c>
      <c r="AN245" s="36">
        <v>1</v>
      </c>
      <c r="AO245" s="36">
        <v>4</v>
      </c>
      <c r="AP245" s="36">
        <v>4</v>
      </c>
      <c r="AQ245" s="36">
        <v>0</v>
      </c>
      <c r="AR245" s="50">
        <v>0</v>
      </c>
      <c r="AS245" s="36">
        <v>0</v>
      </c>
      <c r="AT245" s="36">
        <v>0</v>
      </c>
      <c r="AU245" s="36">
        <v>0</v>
      </c>
      <c r="AV245" s="36">
        <v>0</v>
      </c>
      <c r="AW245">
        <v>0</v>
      </c>
      <c r="AX245">
        <v>0</v>
      </c>
    </row>
    <row r="246" spans="1:50" x14ac:dyDescent="0.25">
      <c r="A246" s="36"/>
      <c r="B246" t="s">
        <v>119</v>
      </c>
      <c r="C246" s="36" t="str">
        <f>'Status Thresholds'!B237</f>
        <v>Diablos</v>
      </c>
      <c r="E246" s="36" t="str">
        <f t="shared" si="9"/>
        <v>Diablos</v>
      </c>
      <c r="F246" s="36" t="str">
        <f>IFERROR(VLOOKUP($E246,'Status Thresholds'!$E:$AS,1,FALSE),"")</f>
        <v/>
      </c>
      <c r="G246" t="s">
        <v>12</v>
      </c>
      <c r="H246" s="55" t="str">
        <f t="shared" si="10"/>
        <v>DiablosCrag 2</v>
      </c>
      <c r="I246" s="50">
        <v>1</v>
      </c>
      <c r="J246" s="36">
        <v>2</v>
      </c>
      <c r="K246" s="36">
        <v>4</v>
      </c>
      <c r="L246" s="36">
        <v>4</v>
      </c>
      <c r="M246" s="36">
        <v>0</v>
      </c>
      <c r="N246" s="50">
        <v>0</v>
      </c>
      <c r="O246" s="36">
        <v>0</v>
      </c>
      <c r="P246" s="36">
        <v>0</v>
      </c>
      <c r="Q246" s="36">
        <v>0</v>
      </c>
      <c r="R246" s="36">
        <v>0</v>
      </c>
      <c r="S246" s="50">
        <v>0</v>
      </c>
      <c r="T246" s="36">
        <v>0</v>
      </c>
      <c r="U246" s="36">
        <v>0</v>
      </c>
      <c r="V246" s="36">
        <v>0</v>
      </c>
      <c r="W246" s="36">
        <v>0</v>
      </c>
      <c r="X246" s="50">
        <v>0</v>
      </c>
      <c r="Y246" s="36">
        <v>0</v>
      </c>
      <c r="Z246" s="36">
        <v>0</v>
      </c>
      <c r="AA246" s="36">
        <v>0</v>
      </c>
      <c r="AB246" s="36">
        <v>0</v>
      </c>
      <c r="AC246" s="50">
        <v>2</v>
      </c>
      <c r="AD246" s="36">
        <v>0</v>
      </c>
      <c r="AE246" s="36">
        <v>0</v>
      </c>
      <c r="AF246" s="36">
        <v>4</v>
      </c>
      <c r="AG246" s="36">
        <v>0</v>
      </c>
      <c r="AH246" s="50">
        <v>0</v>
      </c>
      <c r="AI246" s="36">
        <v>0</v>
      </c>
      <c r="AJ246" s="36">
        <v>0</v>
      </c>
      <c r="AK246" s="36">
        <v>0</v>
      </c>
      <c r="AL246" s="36">
        <v>0</v>
      </c>
      <c r="AM246" s="50">
        <v>1</v>
      </c>
      <c r="AN246" s="36">
        <v>4</v>
      </c>
      <c r="AO246" s="36">
        <v>4</v>
      </c>
      <c r="AP246" s="36">
        <v>4</v>
      </c>
      <c r="AQ246" s="36">
        <v>0</v>
      </c>
      <c r="AR246" s="50">
        <v>0</v>
      </c>
      <c r="AS246" s="36">
        <v>0</v>
      </c>
      <c r="AT246" s="36">
        <v>0</v>
      </c>
      <c r="AU246" s="36">
        <v>0</v>
      </c>
      <c r="AV246" s="36">
        <v>0</v>
      </c>
      <c r="AW246">
        <v>0</v>
      </c>
      <c r="AX246">
        <v>0</v>
      </c>
    </row>
    <row r="247" spans="1:50" x14ac:dyDescent="0.25">
      <c r="A247" s="36"/>
      <c r="B247" t="s">
        <v>119</v>
      </c>
      <c r="C247" s="36" t="str">
        <f>'Status Thresholds'!B238</f>
        <v>Diablos</v>
      </c>
      <c r="E247" s="36" t="str">
        <f t="shared" si="9"/>
        <v>Diablos</v>
      </c>
      <c r="F247" s="36" t="str">
        <f>IFERROR(VLOOKUP($E247,'Status Thresholds'!$E:$AS,1,FALSE),"")</f>
        <v/>
      </c>
      <c r="G247" t="s">
        <v>11</v>
      </c>
      <c r="H247" s="55" t="str">
        <f t="shared" si="10"/>
        <v>DiablosCrag 1</v>
      </c>
      <c r="I247" s="50">
        <v>5</v>
      </c>
      <c r="J247" s="36">
        <v>1</v>
      </c>
      <c r="K247" s="36">
        <v>7</v>
      </c>
      <c r="L247" s="36">
        <v>6</v>
      </c>
      <c r="M247" s="36">
        <v>0</v>
      </c>
      <c r="N247" s="50">
        <v>0</v>
      </c>
      <c r="O247" s="36">
        <v>0</v>
      </c>
      <c r="P247" s="36">
        <v>0</v>
      </c>
      <c r="Q247" s="36">
        <v>0</v>
      </c>
      <c r="R247" s="36">
        <v>0</v>
      </c>
      <c r="S247" s="50">
        <v>0</v>
      </c>
      <c r="T247" s="36">
        <v>0</v>
      </c>
      <c r="U247" s="36">
        <v>0</v>
      </c>
      <c r="V247" s="36">
        <v>0</v>
      </c>
      <c r="W247" s="36">
        <v>0</v>
      </c>
      <c r="X247" s="50">
        <v>0</v>
      </c>
      <c r="Y247" s="36">
        <v>0</v>
      </c>
      <c r="Z247" s="36">
        <v>0</v>
      </c>
      <c r="AA247" s="36">
        <v>0</v>
      </c>
      <c r="AB247" s="36">
        <v>0</v>
      </c>
      <c r="AC247" s="50">
        <v>1</v>
      </c>
      <c r="AD247" s="36">
        <v>6</v>
      </c>
      <c r="AE247" s="36">
        <v>7</v>
      </c>
      <c r="AF247" s="36">
        <v>8</v>
      </c>
      <c r="AG247" s="36">
        <v>0</v>
      </c>
      <c r="AH247" s="50">
        <v>0</v>
      </c>
      <c r="AI247" s="36">
        <v>0</v>
      </c>
      <c r="AJ247" s="36">
        <v>0</v>
      </c>
      <c r="AK247" s="36">
        <v>0</v>
      </c>
      <c r="AL247" s="36">
        <v>0</v>
      </c>
      <c r="AM247" s="50">
        <v>2</v>
      </c>
      <c r="AN247" s="36">
        <v>6</v>
      </c>
      <c r="AO247" s="36">
        <v>8</v>
      </c>
      <c r="AP247" s="36">
        <v>8</v>
      </c>
      <c r="AQ247" s="36">
        <v>0</v>
      </c>
      <c r="AR247" s="50">
        <v>0</v>
      </c>
      <c r="AS247" s="36">
        <v>0</v>
      </c>
      <c r="AT247" s="36">
        <v>0</v>
      </c>
      <c r="AU247" s="36">
        <v>0</v>
      </c>
      <c r="AV247" s="36">
        <v>1</v>
      </c>
      <c r="AW247">
        <v>0</v>
      </c>
      <c r="AX247">
        <v>0</v>
      </c>
    </row>
    <row r="248" spans="1:50" x14ac:dyDescent="0.25">
      <c r="A248" s="36"/>
      <c r="B248" t="s">
        <v>121</v>
      </c>
      <c r="C248" s="36" t="str">
        <f>'Status Thresholds'!B239</f>
        <v>Dreadking Rathalos</v>
      </c>
      <c r="D248" t="s">
        <v>14</v>
      </c>
      <c r="E248" s="36" t="str">
        <f t="shared" si="9"/>
        <v>Dreadking RathalosKO</v>
      </c>
      <c r="F248" s="36" t="str">
        <f>IFERROR(VLOOKUP($E248,'Status Thresholds'!$E:$AS,1,FALSE),"")</f>
        <v>Dreadking RathalosKO</v>
      </c>
      <c r="H248" s="55" t="str">
        <f t="shared" si="10"/>
        <v>Dreadking RathalosKO</v>
      </c>
      <c r="I248" s="50">
        <f>VLOOKUP($F248,'Status Thresholds'!$E:$AS,2,FALSE)</f>
        <v>0</v>
      </c>
      <c r="J248" s="36">
        <f>VLOOKUP($F248,'Status Thresholds'!$E:$AS,3,FALSE)</f>
        <v>0</v>
      </c>
      <c r="K248" s="36">
        <f>VLOOKUP($F248,'Status Thresholds'!$E:$AS,4,FALSE)</f>
        <v>0</v>
      </c>
      <c r="L248" s="36">
        <f>VLOOKUP($F248,'Status Thresholds'!$E:$AS,5,FALSE)</f>
        <v>0</v>
      </c>
      <c r="M248" s="36">
        <f>VLOOKUP($F248,'Status Thresholds'!$E:$AS,6,FALSE)</f>
        <v>0</v>
      </c>
      <c r="N248" s="50">
        <f>VLOOKUP($F248,'Status Thresholds'!$E:$AS,7,FALSE)</f>
        <v>0</v>
      </c>
      <c r="O248" s="36">
        <f>VLOOKUP($F248,'Status Thresholds'!$E:$AS,8,FALSE)</f>
        <v>0</v>
      </c>
      <c r="P248" s="36">
        <f>VLOOKUP($F248,'Status Thresholds'!$E:$AS,9,FALSE)</f>
        <v>0</v>
      </c>
      <c r="Q248" s="36">
        <f>VLOOKUP($F248,'Status Thresholds'!$E:$AS,10,FALSE)</f>
        <v>0</v>
      </c>
      <c r="R248" s="36">
        <f>VLOOKUP($F248,'Status Thresholds'!$E:$AS,11,FALSE)</f>
        <v>0</v>
      </c>
      <c r="S248" s="50">
        <f>VLOOKUP($F248,'Status Thresholds'!$E:$AS,12,FALSE)</f>
        <v>0</v>
      </c>
      <c r="T248" s="36">
        <f>VLOOKUP($F248,'Status Thresholds'!$E:$AS,13,FALSE)</f>
        <v>0</v>
      </c>
      <c r="U248" s="36">
        <f>VLOOKUP($F248,'Status Thresholds'!$E:$AS,14,FALSE)</f>
        <v>0</v>
      </c>
      <c r="V248" s="36">
        <f>VLOOKUP($F248,'Status Thresholds'!$E:$AS,15,FALSE)</f>
        <v>0</v>
      </c>
      <c r="W248" s="36">
        <f>VLOOKUP($F248,'Status Thresholds'!$E:$AS,16,FALSE)</f>
        <v>0</v>
      </c>
      <c r="X248" s="50">
        <f>VLOOKUP($F248,'Status Thresholds'!$E:$AS,17,FALSE)</f>
        <v>0</v>
      </c>
      <c r="Y248" s="36">
        <f>VLOOKUP($F248,'Status Thresholds'!$E:$AS,18,FALSE)</f>
        <v>0</v>
      </c>
      <c r="Z248" s="36">
        <f>VLOOKUP($F248,'Status Thresholds'!$E:$AS,19,FALSE)</f>
        <v>0</v>
      </c>
      <c r="AA248" s="36">
        <f>VLOOKUP($F248,'Status Thresholds'!$E:$AS,20,FALSE)</f>
        <v>0</v>
      </c>
      <c r="AB248" s="36">
        <f>VLOOKUP($F248,'Status Thresholds'!$E:$AS,21,FALSE)</f>
        <v>0</v>
      </c>
      <c r="AC248" s="50">
        <f>VLOOKUP($F248,'Status Thresholds'!$E:$AS,22,FALSE)</f>
        <v>0</v>
      </c>
      <c r="AD248" s="36">
        <f>VLOOKUP($F248,'Status Thresholds'!$E:$AS,23,FALSE)</f>
        <v>0</v>
      </c>
      <c r="AE248" s="36">
        <f>VLOOKUP($F248,'Status Thresholds'!$E:$AS,24,FALSE)</f>
        <v>0</v>
      </c>
      <c r="AF248" s="36">
        <f>VLOOKUP($F248,'Status Thresholds'!$E:$AS,25,FALSE)</f>
        <v>0</v>
      </c>
      <c r="AG248" s="36">
        <f>VLOOKUP($F248,'Status Thresholds'!$E:$AS,26,FALSE)</f>
        <v>0</v>
      </c>
      <c r="AH248" s="50">
        <f>VLOOKUP($F248,'Status Thresholds'!$E:$AS,27,FALSE)</f>
        <v>0</v>
      </c>
      <c r="AI248" s="36">
        <f>VLOOKUP($F248,'Status Thresholds'!$E:$AS,28,FALSE)</f>
        <v>0</v>
      </c>
      <c r="AJ248" s="36">
        <f>VLOOKUP($F248,'Status Thresholds'!$E:$AS,29,FALSE)</f>
        <v>0</v>
      </c>
      <c r="AK248" s="36">
        <f>VLOOKUP($F248,'Status Thresholds'!$E:$AS,30,FALSE)</f>
        <v>0</v>
      </c>
      <c r="AL248" s="36">
        <f>VLOOKUP($F248,'Status Thresholds'!$E:$AS,31,FALSE)</f>
        <v>0</v>
      </c>
      <c r="AM248" s="50">
        <f>VLOOKUP($F248,'Status Thresholds'!$E:$AS,32,FALSE)</f>
        <v>0</v>
      </c>
      <c r="AN248" s="36">
        <f>VLOOKUP($F248,'Status Thresholds'!$E:$AS,33,FALSE)</f>
        <v>0</v>
      </c>
      <c r="AO248" s="36">
        <f>VLOOKUP($F248,'Status Thresholds'!$E:$AS,34,FALSE)</f>
        <v>0</v>
      </c>
      <c r="AP248" s="36">
        <f>VLOOKUP($F248,'Status Thresholds'!$E:$AS,35,FALSE)</f>
        <v>0</v>
      </c>
      <c r="AQ248" s="36">
        <f>VLOOKUP($F248,'Status Thresholds'!$E:$AS,36,FALSE)</f>
        <v>0</v>
      </c>
      <c r="AR248" s="50">
        <f>VLOOKUP($F248,'Status Thresholds'!$E:$AS,37,FALSE)</f>
        <v>0</v>
      </c>
      <c r="AS248" s="36">
        <f>VLOOKUP($F248,'Status Thresholds'!$E:$AS,38,FALSE)</f>
        <v>0</v>
      </c>
      <c r="AT248" s="36">
        <f>VLOOKUP($F248,'Status Thresholds'!$E:$AS,39,FALSE)</f>
        <v>0</v>
      </c>
      <c r="AU248" s="36">
        <f>VLOOKUP($F248,'Status Thresholds'!$E:$AS,40,FALSE)</f>
        <v>0</v>
      </c>
      <c r="AV248" s="36">
        <f>VLOOKUP($F248,'Status Thresholds'!$E:$AS,41,FALSE)</f>
        <v>10</v>
      </c>
      <c r="AW248">
        <v>0</v>
      </c>
      <c r="AX248">
        <v>0</v>
      </c>
    </row>
    <row r="249" spans="1:50" x14ac:dyDescent="0.25">
      <c r="A249" s="36"/>
      <c r="B249" t="s">
        <v>120</v>
      </c>
      <c r="C249" s="36" t="str">
        <f>'Status Thresholds'!B240</f>
        <v>Dreadking Rathalos</v>
      </c>
      <c r="E249" s="36" t="str">
        <f t="shared" si="9"/>
        <v>Dreadking Rathalos</v>
      </c>
      <c r="F249" s="36" t="str">
        <f>IFERROR(VLOOKUP($E249,'Status Thresholds'!$E:$AS,1,FALSE),"")</f>
        <v/>
      </c>
      <c r="G249" t="s">
        <v>21</v>
      </c>
      <c r="H249" s="55" t="str">
        <f t="shared" si="10"/>
        <v>Dreadking RathalosTriblast</v>
      </c>
      <c r="I249" s="50">
        <v>0</v>
      </c>
      <c r="J249" s="36">
        <v>0</v>
      </c>
      <c r="K249" s="36">
        <v>0</v>
      </c>
      <c r="L249" s="36">
        <v>0</v>
      </c>
      <c r="M249" s="36">
        <v>0</v>
      </c>
      <c r="N249" s="50">
        <v>0</v>
      </c>
      <c r="O249" s="36">
        <v>0</v>
      </c>
      <c r="P249" s="36">
        <v>0</v>
      </c>
      <c r="Q249" s="36">
        <v>0</v>
      </c>
      <c r="R249" s="36">
        <v>0</v>
      </c>
      <c r="S249" s="50">
        <v>0</v>
      </c>
      <c r="T249" s="36">
        <v>0</v>
      </c>
      <c r="U249" s="36">
        <v>0</v>
      </c>
      <c r="V249" s="36">
        <v>0</v>
      </c>
      <c r="W249" s="36">
        <v>0</v>
      </c>
      <c r="X249" s="50">
        <v>0</v>
      </c>
      <c r="Y249" s="36">
        <v>0</v>
      </c>
      <c r="Z249" s="36">
        <v>0</v>
      </c>
      <c r="AA249" s="36">
        <v>0</v>
      </c>
      <c r="AB249" s="36">
        <v>0</v>
      </c>
      <c r="AC249" s="50">
        <v>0</v>
      </c>
      <c r="AD249" s="36">
        <v>0</v>
      </c>
      <c r="AE249" s="36">
        <v>0</v>
      </c>
      <c r="AF249" s="36">
        <v>0</v>
      </c>
      <c r="AG249" s="36">
        <v>0</v>
      </c>
      <c r="AH249" s="50">
        <v>0</v>
      </c>
      <c r="AI249" s="36">
        <v>0</v>
      </c>
      <c r="AJ249" s="36">
        <v>0</v>
      </c>
      <c r="AK249" s="36">
        <v>0</v>
      </c>
      <c r="AL249" s="36">
        <v>0</v>
      </c>
      <c r="AM249" s="50">
        <v>0</v>
      </c>
      <c r="AN249" s="36">
        <v>0</v>
      </c>
      <c r="AO249" s="36">
        <v>0</v>
      </c>
      <c r="AP249" s="36">
        <v>0</v>
      </c>
      <c r="AQ249" s="36">
        <v>0</v>
      </c>
      <c r="AR249" s="50">
        <v>0</v>
      </c>
      <c r="AS249" s="36">
        <v>0</v>
      </c>
      <c r="AT249" s="36">
        <v>0</v>
      </c>
      <c r="AU249" s="36">
        <v>0</v>
      </c>
      <c r="AV249" s="36">
        <v>0</v>
      </c>
      <c r="AW249">
        <v>0</v>
      </c>
    </row>
    <row r="250" spans="1:50" x14ac:dyDescent="0.25">
      <c r="A250" s="36"/>
      <c r="B250" t="s">
        <v>120</v>
      </c>
      <c r="C250" s="36" t="str">
        <f>'Status Thresholds'!B241</f>
        <v>Dreadking Rathalos</v>
      </c>
      <c r="E250" s="36" t="str">
        <f t="shared" si="9"/>
        <v>Dreadking Rathalos</v>
      </c>
      <c r="F250" s="36" t="str">
        <f>IFERROR(VLOOKUP($E250,'Status Thresholds'!$E:$AS,1,FALSE),"")</f>
        <v/>
      </c>
      <c r="G250" t="s">
        <v>13</v>
      </c>
      <c r="H250" s="55" t="str">
        <f t="shared" si="10"/>
        <v>Dreadking RathalosCrag 3</v>
      </c>
      <c r="I250" s="50">
        <v>0</v>
      </c>
      <c r="J250" s="36">
        <v>0</v>
      </c>
      <c r="K250" s="36">
        <v>0</v>
      </c>
      <c r="L250" s="36">
        <v>0</v>
      </c>
      <c r="M250" s="36">
        <v>0</v>
      </c>
      <c r="N250" s="50">
        <v>0</v>
      </c>
      <c r="O250" s="36">
        <v>0</v>
      </c>
      <c r="P250" s="36">
        <v>0</v>
      </c>
      <c r="Q250" s="36">
        <v>0</v>
      </c>
      <c r="R250" s="36">
        <v>0</v>
      </c>
      <c r="S250" s="50">
        <v>0</v>
      </c>
      <c r="T250" s="36">
        <v>0</v>
      </c>
      <c r="U250" s="36">
        <v>0</v>
      </c>
      <c r="V250" s="36">
        <v>0</v>
      </c>
      <c r="W250" s="36">
        <v>0</v>
      </c>
      <c r="X250" s="50">
        <v>0</v>
      </c>
      <c r="Y250" s="36">
        <v>0</v>
      </c>
      <c r="Z250" s="36">
        <v>0</v>
      </c>
      <c r="AA250" s="36">
        <v>0</v>
      </c>
      <c r="AB250" s="36">
        <v>0</v>
      </c>
      <c r="AC250" s="50">
        <v>0</v>
      </c>
      <c r="AD250" s="36">
        <v>0</v>
      </c>
      <c r="AE250" s="36">
        <v>0</v>
      </c>
      <c r="AF250" s="36">
        <v>0</v>
      </c>
      <c r="AG250" s="36">
        <v>0</v>
      </c>
      <c r="AH250" s="50">
        <v>0</v>
      </c>
      <c r="AI250" s="36">
        <v>0</v>
      </c>
      <c r="AJ250" s="36">
        <v>0</v>
      </c>
      <c r="AK250" s="36">
        <v>0</v>
      </c>
      <c r="AL250" s="36">
        <v>0</v>
      </c>
      <c r="AM250" s="50">
        <v>0</v>
      </c>
      <c r="AN250" s="36">
        <v>0</v>
      </c>
      <c r="AO250" s="36">
        <v>0</v>
      </c>
      <c r="AP250" s="36">
        <v>0</v>
      </c>
      <c r="AQ250" s="36">
        <v>0</v>
      </c>
      <c r="AR250" s="50">
        <v>0</v>
      </c>
      <c r="AS250" s="36">
        <v>0</v>
      </c>
      <c r="AT250" s="36">
        <v>0</v>
      </c>
      <c r="AU250" s="36">
        <v>0</v>
      </c>
      <c r="AV250" s="36">
        <v>0</v>
      </c>
      <c r="AW250">
        <v>0</v>
      </c>
      <c r="AX250">
        <v>0</v>
      </c>
    </row>
    <row r="251" spans="1:50" x14ac:dyDescent="0.25">
      <c r="A251" s="36"/>
      <c r="B251" t="s">
        <v>120</v>
      </c>
      <c r="C251" s="36" t="str">
        <f>'Status Thresholds'!B242</f>
        <v>Dreadking Rathalos</v>
      </c>
      <c r="E251" s="36" t="str">
        <f t="shared" si="9"/>
        <v>Dreadking Rathalos</v>
      </c>
      <c r="F251" s="36" t="str">
        <f>IFERROR(VLOOKUP($E251,'Status Thresholds'!$E:$AS,1,FALSE),"")</f>
        <v/>
      </c>
      <c r="G251" t="s">
        <v>12</v>
      </c>
      <c r="H251" s="55" t="str">
        <f t="shared" si="10"/>
        <v>Dreadking RathalosCrag 2</v>
      </c>
      <c r="I251" s="50">
        <v>0</v>
      </c>
      <c r="J251" s="36">
        <v>0</v>
      </c>
      <c r="K251" s="36">
        <v>0</v>
      </c>
      <c r="L251" s="36">
        <v>0</v>
      </c>
      <c r="M251" s="36">
        <v>0</v>
      </c>
      <c r="N251" s="50">
        <v>0</v>
      </c>
      <c r="O251" s="36">
        <v>0</v>
      </c>
      <c r="P251" s="36">
        <v>0</v>
      </c>
      <c r="Q251" s="36">
        <v>0</v>
      </c>
      <c r="R251" s="36">
        <v>0</v>
      </c>
      <c r="S251" s="50">
        <v>0</v>
      </c>
      <c r="T251" s="36">
        <v>0</v>
      </c>
      <c r="U251" s="36">
        <v>0</v>
      </c>
      <c r="V251" s="36">
        <v>0</v>
      </c>
      <c r="W251" s="36">
        <v>0</v>
      </c>
      <c r="X251" s="50">
        <v>0</v>
      </c>
      <c r="Y251" s="36">
        <v>0</v>
      </c>
      <c r="Z251" s="36">
        <v>0</v>
      </c>
      <c r="AA251" s="36">
        <v>0</v>
      </c>
      <c r="AB251" s="36">
        <v>0</v>
      </c>
      <c r="AC251" s="50">
        <v>0</v>
      </c>
      <c r="AD251" s="36">
        <v>0</v>
      </c>
      <c r="AE251" s="36">
        <v>0</v>
      </c>
      <c r="AF251" s="36">
        <v>0</v>
      </c>
      <c r="AG251" s="36">
        <v>0</v>
      </c>
      <c r="AH251" s="50">
        <v>0</v>
      </c>
      <c r="AI251" s="36">
        <v>0</v>
      </c>
      <c r="AJ251" s="36">
        <v>0</v>
      </c>
      <c r="AK251" s="36">
        <v>0</v>
      </c>
      <c r="AL251" s="36">
        <v>0</v>
      </c>
      <c r="AM251" s="50">
        <v>0</v>
      </c>
      <c r="AN251" s="36">
        <v>0</v>
      </c>
      <c r="AO251" s="36">
        <v>0</v>
      </c>
      <c r="AP251" s="36">
        <v>0</v>
      </c>
      <c r="AQ251" s="36">
        <v>0</v>
      </c>
      <c r="AR251" s="50">
        <v>0</v>
      </c>
      <c r="AS251" s="36">
        <v>0</v>
      </c>
      <c r="AT251" s="36">
        <v>0</v>
      </c>
      <c r="AU251" s="36">
        <v>0</v>
      </c>
      <c r="AV251" s="36">
        <v>0</v>
      </c>
      <c r="AW251">
        <v>0</v>
      </c>
      <c r="AX251">
        <v>0</v>
      </c>
    </row>
    <row r="252" spans="1:50" x14ac:dyDescent="0.25">
      <c r="A252" s="36"/>
      <c r="B252" t="s">
        <v>120</v>
      </c>
      <c r="C252" s="36" t="str">
        <f>'Status Thresholds'!B243</f>
        <v>Dreadking Rathalos</v>
      </c>
      <c r="E252" s="36" t="str">
        <f t="shared" si="9"/>
        <v>Dreadking Rathalos</v>
      </c>
      <c r="F252" s="36" t="str">
        <f>IFERROR(VLOOKUP($E252,'Status Thresholds'!$E:$AS,1,FALSE),"")</f>
        <v/>
      </c>
      <c r="G252" t="s">
        <v>11</v>
      </c>
      <c r="H252" s="55" t="str">
        <f t="shared" si="10"/>
        <v>Dreadking RathalosCrag 1</v>
      </c>
      <c r="I252" s="50">
        <v>0</v>
      </c>
      <c r="J252" s="36">
        <v>0</v>
      </c>
      <c r="K252" s="36">
        <v>0</v>
      </c>
      <c r="L252" s="36">
        <v>0</v>
      </c>
      <c r="M252" s="36">
        <v>0</v>
      </c>
      <c r="N252" s="50">
        <v>0</v>
      </c>
      <c r="O252" s="36">
        <v>0</v>
      </c>
      <c r="P252" s="36">
        <v>0</v>
      </c>
      <c r="Q252" s="36">
        <v>0</v>
      </c>
      <c r="R252" s="36">
        <v>0</v>
      </c>
      <c r="S252" s="50">
        <v>0</v>
      </c>
      <c r="T252" s="36">
        <v>0</v>
      </c>
      <c r="U252" s="36">
        <v>0</v>
      </c>
      <c r="V252" s="36">
        <v>0</v>
      </c>
      <c r="W252" s="36">
        <v>0</v>
      </c>
      <c r="X252" s="50">
        <v>0</v>
      </c>
      <c r="Y252" s="36">
        <v>0</v>
      </c>
      <c r="Z252" s="36">
        <v>0</v>
      </c>
      <c r="AA252" s="36">
        <v>0</v>
      </c>
      <c r="AB252" s="36">
        <v>0</v>
      </c>
      <c r="AC252" s="50">
        <v>0</v>
      </c>
      <c r="AD252" s="36">
        <v>0</v>
      </c>
      <c r="AE252" s="36">
        <v>0</v>
      </c>
      <c r="AF252" s="36">
        <v>0</v>
      </c>
      <c r="AG252" s="36">
        <v>0</v>
      </c>
      <c r="AH252" s="50">
        <v>0</v>
      </c>
      <c r="AI252" s="36">
        <v>0</v>
      </c>
      <c r="AJ252" s="36">
        <v>0</v>
      </c>
      <c r="AK252" s="36">
        <v>0</v>
      </c>
      <c r="AL252" s="36">
        <v>0</v>
      </c>
      <c r="AM252" s="50">
        <v>0</v>
      </c>
      <c r="AN252" s="36">
        <v>0</v>
      </c>
      <c r="AO252" s="36">
        <v>0</v>
      </c>
      <c r="AP252" s="36">
        <v>0</v>
      </c>
      <c r="AQ252" s="36">
        <v>0</v>
      </c>
      <c r="AR252" s="50">
        <v>0</v>
      </c>
      <c r="AS252" s="36">
        <v>0</v>
      </c>
      <c r="AT252" s="36">
        <v>0</v>
      </c>
      <c r="AU252" s="36">
        <v>0</v>
      </c>
      <c r="AV252" s="36">
        <v>1</v>
      </c>
      <c r="AW252">
        <v>0</v>
      </c>
      <c r="AX252">
        <v>0</v>
      </c>
    </row>
    <row r="253" spans="1:50" x14ac:dyDescent="0.25">
      <c r="A253" s="36"/>
      <c r="B253" t="s">
        <v>119</v>
      </c>
      <c r="C253" s="36" t="str">
        <f>'Status Thresholds'!B244</f>
        <v>Dreadking Rathalos</v>
      </c>
      <c r="E253" s="36" t="str">
        <f t="shared" si="9"/>
        <v>Dreadking Rathalos</v>
      </c>
      <c r="F253" s="36" t="str">
        <f>IFERROR(VLOOKUP($E253,'Status Thresholds'!$E:$AS,1,FALSE),"")</f>
        <v/>
      </c>
      <c r="G253" t="s">
        <v>21</v>
      </c>
      <c r="H253" s="55" t="str">
        <f t="shared" si="10"/>
        <v>Dreadking RathalosTriblast</v>
      </c>
      <c r="I253" s="50">
        <v>0</v>
      </c>
      <c r="J253" s="36">
        <v>0</v>
      </c>
      <c r="K253" s="36">
        <v>0</v>
      </c>
      <c r="L253" s="36">
        <v>0</v>
      </c>
      <c r="M253" s="36">
        <v>0</v>
      </c>
      <c r="N253" s="50">
        <v>0</v>
      </c>
      <c r="O253" s="36">
        <v>0</v>
      </c>
      <c r="P253" s="36">
        <v>0</v>
      </c>
      <c r="Q253" s="36">
        <v>0</v>
      </c>
      <c r="R253" s="36">
        <v>0</v>
      </c>
      <c r="S253" s="50">
        <v>0</v>
      </c>
      <c r="T253" s="36">
        <v>0</v>
      </c>
      <c r="U253" s="36">
        <v>0</v>
      </c>
      <c r="V253" s="36">
        <v>0</v>
      </c>
      <c r="W253" s="36">
        <v>0</v>
      </c>
      <c r="X253" s="50">
        <v>0</v>
      </c>
      <c r="Y253" s="36">
        <v>0</v>
      </c>
      <c r="Z253" s="36">
        <v>0</v>
      </c>
      <c r="AA253" s="36">
        <v>0</v>
      </c>
      <c r="AB253" s="36">
        <v>0</v>
      </c>
      <c r="AC253" s="50">
        <v>0</v>
      </c>
      <c r="AD253" s="36">
        <v>0</v>
      </c>
      <c r="AE253" s="36">
        <v>0</v>
      </c>
      <c r="AF253" s="36">
        <v>0</v>
      </c>
      <c r="AG253" s="36">
        <v>0</v>
      </c>
      <c r="AH253" s="50">
        <v>0</v>
      </c>
      <c r="AI253" s="36">
        <v>0</v>
      </c>
      <c r="AJ253" s="36">
        <v>0</v>
      </c>
      <c r="AK253" s="36">
        <v>0</v>
      </c>
      <c r="AL253" s="36">
        <v>0</v>
      </c>
      <c r="AM253" s="50">
        <v>0</v>
      </c>
      <c r="AN253" s="36">
        <v>0</v>
      </c>
      <c r="AO253" s="36">
        <v>0</v>
      </c>
      <c r="AP253" s="36">
        <v>0</v>
      </c>
      <c r="AQ253" s="36">
        <v>0</v>
      </c>
      <c r="AR253" s="50">
        <v>0</v>
      </c>
      <c r="AS253" s="36">
        <v>0</v>
      </c>
      <c r="AT253" s="36">
        <v>0</v>
      </c>
      <c r="AU253" s="36">
        <v>0</v>
      </c>
      <c r="AV253" s="36">
        <v>0</v>
      </c>
      <c r="AW253">
        <v>0</v>
      </c>
      <c r="AX253">
        <v>0</v>
      </c>
    </row>
    <row r="254" spans="1:50" x14ac:dyDescent="0.25">
      <c r="A254" s="36"/>
      <c r="B254" t="s">
        <v>119</v>
      </c>
      <c r="C254" s="36" t="str">
        <f>'Status Thresholds'!B245</f>
        <v>Dreadking Rathalos</v>
      </c>
      <c r="E254" s="36" t="str">
        <f t="shared" si="9"/>
        <v>Dreadking Rathalos</v>
      </c>
      <c r="F254" s="36" t="str">
        <f>IFERROR(VLOOKUP($E254,'Status Thresholds'!$E:$AS,1,FALSE),"")</f>
        <v/>
      </c>
      <c r="G254" t="s">
        <v>13</v>
      </c>
      <c r="H254" s="55" t="str">
        <f t="shared" si="10"/>
        <v>Dreadking RathalosCrag 3</v>
      </c>
      <c r="I254" s="50">
        <v>0</v>
      </c>
      <c r="J254" s="36">
        <v>0</v>
      </c>
      <c r="K254" s="36">
        <v>0</v>
      </c>
      <c r="L254" s="36">
        <v>0</v>
      </c>
      <c r="M254" s="36">
        <v>0</v>
      </c>
      <c r="N254" s="50">
        <v>0</v>
      </c>
      <c r="O254" s="36">
        <v>0</v>
      </c>
      <c r="P254" s="36">
        <v>0</v>
      </c>
      <c r="Q254" s="36">
        <v>0</v>
      </c>
      <c r="R254" s="36">
        <v>0</v>
      </c>
      <c r="S254" s="50">
        <v>0</v>
      </c>
      <c r="T254" s="36">
        <v>0</v>
      </c>
      <c r="U254" s="36">
        <v>0</v>
      </c>
      <c r="V254" s="36">
        <v>0</v>
      </c>
      <c r="W254" s="36">
        <v>0</v>
      </c>
      <c r="X254" s="50">
        <v>0</v>
      </c>
      <c r="Y254" s="36">
        <v>0</v>
      </c>
      <c r="Z254" s="36">
        <v>0</v>
      </c>
      <c r="AA254" s="36">
        <v>0</v>
      </c>
      <c r="AB254" s="36">
        <v>0</v>
      </c>
      <c r="AC254" s="50">
        <v>0</v>
      </c>
      <c r="AD254" s="36">
        <v>0</v>
      </c>
      <c r="AE254" s="36">
        <v>0</v>
      </c>
      <c r="AF254" s="36">
        <v>0</v>
      </c>
      <c r="AG254" s="36">
        <v>0</v>
      </c>
      <c r="AH254" s="50">
        <v>0</v>
      </c>
      <c r="AI254" s="36">
        <v>0</v>
      </c>
      <c r="AJ254" s="36">
        <v>0</v>
      </c>
      <c r="AK254" s="36">
        <v>0</v>
      </c>
      <c r="AL254" s="36">
        <v>0</v>
      </c>
      <c r="AM254" s="50">
        <v>0</v>
      </c>
      <c r="AN254" s="36">
        <v>0</v>
      </c>
      <c r="AO254" s="36">
        <v>0</v>
      </c>
      <c r="AP254" s="36">
        <v>0</v>
      </c>
      <c r="AQ254" s="36">
        <v>0</v>
      </c>
      <c r="AR254" s="50">
        <v>0</v>
      </c>
      <c r="AS254" s="36">
        <v>0</v>
      </c>
      <c r="AT254" s="36">
        <v>0</v>
      </c>
      <c r="AU254" s="36">
        <v>0</v>
      </c>
      <c r="AV254" s="36">
        <v>0</v>
      </c>
      <c r="AW254">
        <v>0</v>
      </c>
      <c r="AX254">
        <v>0</v>
      </c>
    </row>
    <row r="255" spans="1:50" x14ac:dyDescent="0.25">
      <c r="A255" s="36"/>
      <c r="B255" t="s">
        <v>119</v>
      </c>
      <c r="C255" s="36" t="str">
        <f>'Status Thresholds'!B246</f>
        <v>Dreadking Rathalos</v>
      </c>
      <c r="E255" s="36" t="str">
        <f t="shared" si="9"/>
        <v>Dreadking Rathalos</v>
      </c>
      <c r="F255" s="36" t="str">
        <f>IFERROR(VLOOKUP($E255,'Status Thresholds'!$E:$AS,1,FALSE),"")</f>
        <v/>
      </c>
      <c r="G255" t="s">
        <v>12</v>
      </c>
      <c r="H255" s="55" t="str">
        <f t="shared" si="10"/>
        <v>Dreadking RathalosCrag 2</v>
      </c>
      <c r="I255" s="50">
        <v>0</v>
      </c>
      <c r="J255" s="36">
        <v>0</v>
      </c>
      <c r="K255" s="36">
        <v>0</v>
      </c>
      <c r="L255" s="36">
        <v>0</v>
      </c>
      <c r="M255" s="36">
        <v>0</v>
      </c>
      <c r="N255" s="50">
        <v>0</v>
      </c>
      <c r="O255" s="36">
        <v>0</v>
      </c>
      <c r="P255" s="36">
        <v>0</v>
      </c>
      <c r="Q255" s="36">
        <v>0</v>
      </c>
      <c r="R255" s="36">
        <v>0</v>
      </c>
      <c r="S255" s="50">
        <v>0</v>
      </c>
      <c r="T255" s="36">
        <v>0</v>
      </c>
      <c r="U255" s="36">
        <v>0</v>
      </c>
      <c r="V255" s="36">
        <v>0</v>
      </c>
      <c r="W255" s="36">
        <v>0</v>
      </c>
      <c r="X255" s="50">
        <v>0</v>
      </c>
      <c r="Y255" s="36">
        <v>0</v>
      </c>
      <c r="Z255" s="36">
        <v>0</v>
      </c>
      <c r="AA255" s="36">
        <v>0</v>
      </c>
      <c r="AB255" s="36">
        <v>0</v>
      </c>
      <c r="AC255" s="50">
        <v>0</v>
      </c>
      <c r="AD255" s="36">
        <v>0</v>
      </c>
      <c r="AE255" s="36">
        <v>0</v>
      </c>
      <c r="AF255" s="36">
        <v>0</v>
      </c>
      <c r="AG255" s="36">
        <v>0</v>
      </c>
      <c r="AH255" s="50">
        <v>0</v>
      </c>
      <c r="AI255" s="36">
        <v>0</v>
      </c>
      <c r="AJ255" s="36">
        <v>0</v>
      </c>
      <c r="AK255" s="36">
        <v>0</v>
      </c>
      <c r="AL255" s="36">
        <v>0</v>
      </c>
      <c r="AM255" s="50">
        <v>0</v>
      </c>
      <c r="AN255" s="36">
        <v>0</v>
      </c>
      <c r="AO255" s="36">
        <v>0</v>
      </c>
      <c r="AP255" s="36">
        <v>0</v>
      </c>
      <c r="AQ255" s="36">
        <v>0</v>
      </c>
      <c r="AR255" s="50">
        <v>0</v>
      </c>
      <c r="AS255" s="36">
        <v>0</v>
      </c>
      <c r="AT255" s="36">
        <v>0</v>
      </c>
      <c r="AU255" s="36">
        <v>0</v>
      </c>
      <c r="AV255" s="36">
        <v>0</v>
      </c>
      <c r="AW255">
        <v>0</v>
      </c>
      <c r="AX255">
        <v>0</v>
      </c>
    </row>
    <row r="256" spans="1:50" x14ac:dyDescent="0.25">
      <c r="A256" s="36"/>
      <c r="B256" t="s">
        <v>119</v>
      </c>
      <c r="C256" s="36" t="str">
        <f>'Status Thresholds'!B247</f>
        <v>Dreadking Rathalos</v>
      </c>
      <c r="E256" s="36" t="str">
        <f t="shared" si="9"/>
        <v>Dreadking Rathalos</v>
      </c>
      <c r="F256" s="36" t="str">
        <f>IFERROR(VLOOKUP($E256,'Status Thresholds'!$E:$AS,1,FALSE),"")</f>
        <v/>
      </c>
      <c r="G256" t="s">
        <v>11</v>
      </c>
      <c r="H256" s="55" t="str">
        <f t="shared" si="10"/>
        <v>Dreadking RathalosCrag 1</v>
      </c>
      <c r="I256" s="50">
        <v>0</v>
      </c>
      <c r="J256" s="36">
        <v>0</v>
      </c>
      <c r="K256" s="36">
        <v>0</v>
      </c>
      <c r="L256" s="36">
        <v>0</v>
      </c>
      <c r="M256" s="36">
        <v>0</v>
      </c>
      <c r="N256" s="50">
        <v>0</v>
      </c>
      <c r="O256" s="36">
        <v>0</v>
      </c>
      <c r="P256" s="36">
        <v>0</v>
      </c>
      <c r="Q256" s="36">
        <v>0</v>
      </c>
      <c r="R256" s="36">
        <v>0</v>
      </c>
      <c r="S256" s="50">
        <v>0</v>
      </c>
      <c r="T256" s="36">
        <v>0</v>
      </c>
      <c r="U256" s="36">
        <v>0</v>
      </c>
      <c r="V256" s="36">
        <v>0</v>
      </c>
      <c r="W256" s="36">
        <v>0</v>
      </c>
      <c r="X256" s="50">
        <v>0</v>
      </c>
      <c r="Y256" s="36">
        <v>0</v>
      </c>
      <c r="Z256" s="36">
        <v>0</v>
      </c>
      <c r="AA256" s="36">
        <v>0</v>
      </c>
      <c r="AB256" s="36">
        <v>0</v>
      </c>
      <c r="AC256" s="50">
        <v>0</v>
      </c>
      <c r="AD256" s="36">
        <v>0</v>
      </c>
      <c r="AE256" s="36">
        <v>0</v>
      </c>
      <c r="AF256" s="36">
        <v>0</v>
      </c>
      <c r="AG256" s="36">
        <v>0</v>
      </c>
      <c r="AH256" s="50">
        <v>0</v>
      </c>
      <c r="AI256" s="36">
        <v>0</v>
      </c>
      <c r="AJ256" s="36">
        <v>0</v>
      </c>
      <c r="AK256" s="36">
        <v>0</v>
      </c>
      <c r="AL256" s="36">
        <v>0</v>
      </c>
      <c r="AM256" s="50">
        <v>0</v>
      </c>
      <c r="AN256" s="36">
        <v>0</v>
      </c>
      <c r="AO256" s="36">
        <v>0</v>
      </c>
      <c r="AP256" s="36">
        <v>0</v>
      </c>
      <c r="AQ256" s="36">
        <v>0</v>
      </c>
      <c r="AR256" s="50">
        <v>0</v>
      </c>
      <c r="AS256" s="36">
        <v>0</v>
      </c>
      <c r="AT256" s="36">
        <v>0</v>
      </c>
      <c r="AU256" s="36">
        <v>0</v>
      </c>
      <c r="AV256" s="36">
        <v>1</v>
      </c>
      <c r="AW256">
        <v>0</v>
      </c>
      <c r="AX256">
        <v>0</v>
      </c>
    </row>
    <row r="257" spans="1:50" x14ac:dyDescent="0.25">
      <c r="A257" s="36"/>
      <c r="B257" s="36" t="s">
        <v>121</v>
      </c>
      <c r="C257" s="36" t="str">
        <f>'Status Thresholds'!B248</f>
        <v>Dreadqueen Rathian</v>
      </c>
      <c r="D257" t="s">
        <v>14</v>
      </c>
      <c r="E257" s="36" t="str">
        <f t="shared" si="9"/>
        <v>Dreadqueen RathianKO</v>
      </c>
      <c r="F257" s="36" t="str">
        <f>IFERROR(VLOOKUP($E257,'Status Thresholds'!$E:$AS,1,FALSE),"")</f>
        <v>Dreadqueen RathianKO</v>
      </c>
      <c r="H257" s="55" t="str">
        <f t="shared" si="10"/>
        <v>Dreadqueen RathianKO</v>
      </c>
      <c r="I257" s="50">
        <f>VLOOKUP($F257,'Status Thresholds'!$E:$AS,2,FALSE)</f>
        <v>0</v>
      </c>
      <c r="J257" s="36">
        <f>VLOOKUP($F257,'Status Thresholds'!$E:$AS,3,FALSE)</f>
        <v>0</v>
      </c>
      <c r="K257" s="36">
        <f>VLOOKUP($F257,'Status Thresholds'!$E:$AS,4,FALSE)</f>
        <v>0</v>
      </c>
      <c r="L257" s="36">
        <f>VLOOKUP($F257,'Status Thresholds'!$E:$AS,5,FALSE)</f>
        <v>0</v>
      </c>
      <c r="M257" s="36">
        <f>VLOOKUP($F257,'Status Thresholds'!$E:$AS,6,FALSE)</f>
        <v>0</v>
      </c>
      <c r="N257" s="50">
        <f>VLOOKUP($F257,'Status Thresholds'!$E:$AS,7,FALSE)</f>
        <v>0</v>
      </c>
      <c r="O257" s="36">
        <f>VLOOKUP($F257,'Status Thresholds'!$E:$AS,8,FALSE)</f>
        <v>0</v>
      </c>
      <c r="P257" s="36">
        <f>VLOOKUP($F257,'Status Thresholds'!$E:$AS,9,FALSE)</f>
        <v>0</v>
      </c>
      <c r="Q257" s="36">
        <f>VLOOKUP($F257,'Status Thresholds'!$E:$AS,10,FALSE)</f>
        <v>0</v>
      </c>
      <c r="R257" s="36">
        <f>VLOOKUP($F257,'Status Thresholds'!$E:$AS,11,FALSE)</f>
        <v>0</v>
      </c>
      <c r="S257" s="50">
        <f>VLOOKUP($F257,'Status Thresholds'!$E:$AS,12,FALSE)</f>
        <v>0</v>
      </c>
      <c r="T257" s="36">
        <f>VLOOKUP($F257,'Status Thresholds'!$E:$AS,13,FALSE)</f>
        <v>0</v>
      </c>
      <c r="U257" s="36">
        <f>VLOOKUP($F257,'Status Thresholds'!$E:$AS,14,FALSE)</f>
        <v>0</v>
      </c>
      <c r="V257" s="36">
        <f>VLOOKUP($F257,'Status Thresholds'!$E:$AS,15,FALSE)</f>
        <v>0</v>
      </c>
      <c r="W257" s="36">
        <f>VLOOKUP($F257,'Status Thresholds'!$E:$AS,16,FALSE)</f>
        <v>0</v>
      </c>
      <c r="X257" s="50">
        <f>VLOOKUP($F257,'Status Thresholds'!$E:$AS,17,FALSE)</f>
        <v>0</v>
      </c>
      <c r="Y257" s="36">
        <f>VLOOKUP($F257,'Status Thresholds'!$E:$AS,18,FALSE)</f>
        <v>0</v>
      </c>
      <c r="Z257" s="36">
        <f>VLOOKUP($F257,'Status Thresholds'!$E:$AS,19,FALSE)</f>
        <v>0</v>
      </c>
      <c r="AA257" s="36">
        <f>VLOOKUP($F257,'Status Thresholds'!$E:$AS,20,FALSE)</f>
        <v>0</v>
      </c>
      <c r="AB257" s="36">
        <f>VLOOKUP($F257,'Status Thresholds'!$E:$AS,21,FALSE)</f>
        <v>0</v>
      </c>
      <c r="AC257" s="50">
        <f>VLOOKUP($F257,'Status Thresholds'!$E:$AS,22,FALSE)</f>
        <v>0</v>
      </c>
      <c r="AD257" s="36">
        <f>VLOOKUP($F257,'Status Thresholds'!$E:$AS,23,FALSE)</f>
        <v>0</v>
      </c>
      <c r="AE257" s="36">
        <f>VLOOKUP($F257,'Status Thresholds'!$E:$AS,24,FALSE)</f>
        <v>0</v>
      </c>
      <c r="AF257" s="36">
        <f>VLOOKUP($F257,'Status Thresholds'!$E:$AS,25,FALSE)</f>
        <v>0</v>
      </c>
      <c r="AG257" s="36">
        <f>VLOOKUP($F257,'Status Thresholds'!$E:$AS,26,FALSE)</f>
        <v>0</v>
      </c>
      <c r="AH257" s="50">
        <f>VLOOKUP($F257,'Status Thresholds'!$E:$AS,27,FALSE)</f>
        <v>0</v>
      </c>
      <c r="AI257" s="36">
        <f>VLOOKUP($F257,'Status Thresholds'!$E:$AS,28,FALSE)</f>
        <v>0</v>
      </c>
      <c r="AJ257" s="36">
        <f>VLOOKUP($F257,'Status Thresholds'!$E:$AS,29,FALSE)</f>
        <v>0</v>
      </c>
      <c r="AK257" s="36">
        <f>VLOOKUP($F257,'Status Thresholds'!$E:$AS,30,FALSE)</f>
        <v>0</v>
      </c>
      <c r="AL257" s="36">
        <f>VLOOKUP($F257,'Status Thresholds'!$E:$AS,31,FALSE)</f>
        <v>0</v>
      </c>
      <c r="AM257" s="50">
        <f>VLOOKUP($F257,'Status Thresholds'!$E:$AS,32,FALSE)</f>
        <v>0</v>
      </c>
      <c r="AN257" s="36">
        <f>VLOOKUP($F257,'Status Thresholds'!$E:$AS,33,FALSE)</f>
        <v>0</v>
      </c>
      <c r="AO257" s="36">
        <f>VLOOKUP($F257,'Status Thresholds'!$E:$AS,34,FALSE)</f>
        <v>0</v>
      </c>
      <c r="AP257" s="36">
        <f>VLOOKUP($F257,'Status Thresholds'!$E:$AS,35,FALSE)</f>
        <v>0</v>
      </c>
      <c r="AQ257" s="36">
        <f>VLOOKUP($F257,'Status Thresholds'!$E:$AS,36,FALSE)</f>
        <v>0</v>
      </c>
      <c r="AR257" s="50">
        <f>VLOOKUP($F257,'Status Thresholds'!$E:$AS,37,FALSE)</f>
        <v>0</v>
      </c>
      <c r="AS257" s="36">
        <f>VLOOKUP($F257,'Status Thresholds'!$E:$AS,38,FALSE)</f>
        <v>0</v>
      </c>
      <c r="AT257" s="36">
        <f>VLOOKUP($F257,'Status Thresholds'!$E:$AS,39,FALSE)</f>
        <v>0</v>
      </c>
      <c r="AU257" s="36">
        <f>VLOOKUP($F257,'Status Thresholds'!$E:$AS,40,FALSE)</f>
        <v>0</v>
      </c>
      <c r="AV257" s="36">
        <f>VLOOKUP($F257,'Status Thresholds'!$E:$AS,41,FALSE)</f>
        <v>10</v>
      </c>
      <c r="AW257">
        <v>0</v>
      </c>
      <c r="AX257">
        <v>0</v>
      </c>
    </row>
    <row r="258" spans="1:50" x14ac:dyDescent="0.25">
      <c r="A258" s="36"/>
      <c r="B258" s="46" t="s">
        <v>120</v>
      </c>
      <c r="C258" s="36" t="str">
        <f>'Status Thresholds'!B249</f>
        <v>Dreadqueen Rathian</v>
      </c>
      <c r="E258" s="36" t="str">
        <f t="shared" si="9"/>
        <v>Dreadqueen Rathian</v>
      </c>
      <c r="F258" s="36" t="str">
        <f>IFERROR(VLOOKUP($E258,'Status Thresholds'!$E:$AS,1,FALSE),"")</f>
        <v/>
      </c>
      <c r="G258" t="s">
        <v>21</v>
      </c>
      <c r="H258" s="55" t="str">
        <f t="shared" si="10"/>
        <v>Dreadqueen RathianTriblast</v>
      </c>
      <c r="I258" s="50">
        <v>0</v>
      </c>
      <c r="J258" s="36">
        <v>0</v>
      </c>
      <c r="K258" s="36">
        <v>0</v>
      </c>
      <c r="L258" s="36">
        <v>0</v>
      </c>
      <c r="M258" s="36">
        <v>0</v>
      </c>
      <c r="N258" s="50">
        <v>0</v>
      </c>
      <c r="O258" s="36">
        <v>0</v>
      </c>
      <c r="P258" s="36">
        <v>0</v>
      </c>
      <c r="Q258" s="36">
        <v>0</v>
      </c>
      <c r="R258" s="36">
        <v>0</v>
      </c>
      <c r="S258" s="50">
        <v>0</v>
      </c>
      <c r="T258" s="36">
        <v>0</v>
      </c>
      <c r="U258" s="36">
        <v>0</v>
      </c>
      <c r="V258" s="36">
        <v>0</v>
      </c>
      <c r="W258" s="36">
        <v>0</v>
      </c>
      <c r="X258" s="50">
        <v>0</v>
      </c>
      <c r="Y258" s="36">
        <v>0</v>
      </c>
      <c r="Z258" s="36">
        <v>0</v>
      </c>
      <c r="AA258" s="36">
        <v>0</v>
      </c>
      <c r="AB258" s="36">
        <v>0</v>
      </c>
      <c r="AC258" s="50">
        <v>0</v>
      </c>
      <c r="AD258" s="36">
        <v>0</v>
      </c>
      <c r="AE258" s="36">
        <v>0</v>
      </c>
      <c r="AF258" s="36">
        <v>0</v>
      </c>
      <c r="AG258" s="36">
        <v>0</v>
      </c>
      <c r="AH258" s="50">
        <v>0</v>
      </c>
      <c r="AI258" s="36">
        <v>0</v>
      </c>
      <c r="AJ258" s="36">
        <v>0</v>
      </c>
      <c r="AK258" s="36">
        <v>0</v>
      </c>
      <c r="AL258" s="36">
        <v>0</v>
      </c>
      <c r="AM258" s="50">
        <v>0</v>
      </c>
      <c r="AN258" s="36">
        <v>0</v>
      </c>
      <c r="AO258" s="36">
        <v>0</v>
      </c>
      <c r="AP258" s="36">
        <v>0</v>
      </c>
      <c r="AQ258" s="36">
        <v>0</v>
      </c>
      <c r="AR258" s="50">
        <v>0</v>
      </c>
      <c r="AS258" s="36">
        <v>0</v>
      </c>
      <c r="AT258" s="36">
        <v>0</v>
      </c>
      <c r="AU258" s="36">
        <v>0</v>
      </c>
      <c r="AV258" s="36">
        <v>0</v>
      </c>
      <c r="AW258">
        <v>0</v>
      </c>
    </row>
    <row r="259" spans="1:50" x14ac:dyDescent="0.25">
      <c r="A259" s="36"/>
      <c r="B259" t="s">
        <v>120</v>
      </c>
      <c r="C259" s="36" t="str">
        <f>'Status Thresholds'!B250</f>
        <v>Dreadqueen Rathian</v>
      </c>
      <c r="E259" s="36" t="str">
        <f t="shared" si="9"/>
        <v>Dreadqueen Rathian</v>
      </c>
      <c r="F259" s="36" t="str">
        <f>IFERROR(VLOOKUP($E259,'Status Thresholds'!$E:$AS,1,FALSE),"")</f>
        <v/>
      </c>
      <c r="G259" t="s">
        <v>13</v>
      </c>
      <c r="H259" s="55" t="str">
        <f t="shared" si="10"/>
        <v>Dreadqueen RathianCrag 3</v>
      </c>
      <c r="I259" s="50">
        <v>0</v>
      </c>
      <c r="J259" s="36">
        <v>0</v>
      </c>
      <c r="K259" s="36">
        <v>0</v>
      </c>
      <c r="L259" s="36">
        <v>0</v>
      </c>
      <c r="M259" s="36">
        <v>0</v>
      </c>
      <c r="N259" s="50">
        <v>0</v>
      </c>
      <c r="O259" s="36">
        <v>0</v>
      </c>
      <c r="P259" s="36">
        <v>0</v>
      </c>
      <c r="Q259" s="36">
        <v>0</v>
      </c>
      <c r="R259" s="36">
        <v>0</v>
      </c>
      <c r="S259" s="50">
        <v>0</v>
      </c>
      <c r="T259" s="36">
        <v>0</v>
      </c>
      <c r="U259" s="36">
        <v>0</v>
      </c>
      <c r="V259" s="36">
        <v>0</v>
      </c>
      <c r="W259" s="36">
        <v>0</v>
      </c>
      <c r="X259" s="50">
        <v>0</v>
      </c>
      <c r="Y259" s="36">
        <v>0</v>
      </c>
      <c r="Z259" s="36">
        <v>0</v>
      </c>
      <c r="AA259" s="36">
        <v>0</v>
      </c>
      <c r="AB259" s="36">
        <v>0</v>
      </c>
      <c r="AC259" s="50">
        <v>0</v>
      </c>
      <c r="AD259" s="36">
        <v>0</v>
      </c>
      <c r="AE259" s="36">
        <v>0</v>
      </c>
      <c r="AF259" s="36">
        <v>0</v>
      </c>
      <c r="AG259" s="36">
        <v>0</v>
      </c>
      <c r="AH259" s="50">
        <v>0</v>
      </c>
      <c r="AI259" s="36">
        <v>0</v>
      </c>
      <c r="AJ259" s="36">
        <v>0</v>
      </c>
      <c r="AK259" s="36">
        <v>0</v>
      </c>
      <c r="AL259" s="36">
        <v>0</v>
      </c>
      <c r="AM259" s="50">
        <v>0</v>
      </c>
      <c r="AN259" s="36">
        <v>0</v>
      </c>
      <c r="AO259" s="36">
        <v>0</v>
      </c>
      <c r="AP259" s="36">
        <v>0</v>
      </c>
      <c r="AQ259" s="36">
        <v>0</v>
      </c>
      <c r="AR259" s="50">
        <v>0</v>
      </c>
      <c r="AS259" s="36">
        <v>0</v>
      </c>
      <c r="AT259" s="36">
        <v>0</v>
      </c>
      <c r="AU259" s="36">
        <v>0</v>
      </c>
      <c r="AV259" s="36">
        <v>0</v>
      </c>
      <c r="AW259">
        <v>0</v>
      </c>
      <c r="AX259">
        <v>0</v>
      </c>
    </row>
    <row r="260" spans="1:50" x14ac:dyDescent="0.25">
      <c r="A260" s="36"/>
      <c r="B260" t="s">
        <v>120</v>
      </c>
      <c r="C260" s="36" t="str">
        <f>'Status Thresholds'!B251</f>
        <v>Dreadqueen Rathian</v>
      </c>
      <c r="E260" s="36" t="str">
        <f t="shared" si="9"/>
        <v>Dreadqueen Rathian</v>
      </c>
      <c r="F260" s="36" t="str">
        <f>IFERROR(VLOOKUP($E260,'Status Thresholds'!$E:$AS,1,FALSE),"")</f>
        <v/>
      </c>
      <c r="G260" t="s">
        <v>12</v>
      </c>
      <c r="H260" s="55" t="str">
        <f t="shared" si="10"/>
        <v>Dreadqueen RathianCrag 2</v>
      </c>
      <c r="I260" s="50">
        <v>0</v>
      </c>
      <c r="J260" s="36">
        <v>0</v>
      </c>
      <c r="K260" s="36">
        <v>0</v>
      </c>
      <c r="L260" s="36">
        <v>0</v>
      </c>
      <c r="M260" s="36">
        <v>0</v>
      </c>
      <c r="N260" s="50">
        <v>0</v>
      </c>
      <c r="O260" s="36">
        <v>0</v>
      </c>
      <c r="P260" s="36">
        <v>0</v>
      </c>
      <c r="Q260" s="36">
        <v>0</v>
      </c>
      <c r="R260" s="36">
        <v>0</v>
      </c>
      <c r="S260" s="50">
        <v>0</v>
      </c>
      <c r="T260" s="36">
        <v>0</v>
      </c>
      <c r="U260" s="36">
        <v>0</v>
      </c>
      <c r="V260" s="36">
        <v>0</v>
      </c>
      <c r="W260" s="36">
        <v>0</v>
      </c>
      <c r="X260" s="50">
        <v>0</v>
      </c>
      <c r="Y260" s="36">
        <v>0</v>
      </c>
      <c r="Z260" s="36">
        <v>0</v>
      </c>
      <c r="AA260" s="36">
        <v>0</v>
      </c>
      <c r="AB260" s="36">
        <v>0</v>
      </c>
      <c r="AC260" s="50">
        <v>0</v>
      </c>
      <c r="AD260" s="36">
        <v>0</v>
      </c>
      <c r="AE260" s="36">
        <v>0</v>
      </c>
      <c r="AF260" s="36">
        <v>0</v>
      </c>
      <c r="AG260" s="36">
        <v>0</v>
      </c>
      <c r="AH260" s="50">
        <v>0</v>
      </c>
      <c r="AI260" s="36">
        <v>0</v>
      </c>
      <c r="AJ260" s="36">
        <v>0</v>
      </c>
      <c r="AK260" s="36">
        <v>0</v>
      </c>
      <c r="AL260" s="36">
        <v>0</v>
      </c>
      <c r="AM260" s="50">
        <v>0</v>
      </c>
      <c r="AN260" s="36">
        <v>0</v>
      </c>
      <c r="AO260" s="36">
        <v>0</v>
      </c>
      <c r="AP260" s="36">
        <v>0</v>
      </c>
      <c r="AQ260" s="36">
        <v>0</v>
      </c>
      <c r="AR260" s="50">
        <v>0</v>
      </c>
      <c r="AS260" s="36">
        <v>0</v>
      </c>
      <c r="AT260" s="36">
        <v>0</v>
      </c>
      <c r="AU260" s="36">
        <v>0</v>
      </c>
      <c r="AV260" s="36">
        <v>0</v>
      </c>
      <c r="AW260">
        <v>0</v>
      </c>
      <c r="AX260">
        <v>0</v>
      </c>
    </row>
    <row r="261" spans="1:50" x14ac:dyDescent="0.25">
      <c r="A261" s="36"/>
      <c r="B261" t="s">
        <v>120</v>
      </c>
      <c r="C261" s="36" t="str">
        <f>'Status Thresholds'!B252</f>
        <v>Dreadqueen Rathian</v>
      </c>
      <c r="E261" s="36" t="str">
        <f t="shared" si="9"/>
        <v>Dreadqueen Rathian</v>
      </c>
      <c r="F261" s="36" t="str">
        <f>IFERROR(VLOOKUP($E261,'Status Thresholds'!$E:$AS,1,FALSE),"")</f>
        <v/>
      </c>
      <c r="G261" t="s">
        <v>11</v>
      </c>
      <c r="H261" s="55" t="str">
        <f t="shared" si="10"/>
        <v>Dreadqueen RathianCrag 1</v>
      </c>
      <c r="I261" s="50">
        <v>0</v>
      </c>
      <c r="J261" s="36">
        <v>0</v>
      </c>
      <c r="K261" s="36">
        <v>0</v>
      </c>
      <c r="L261" s="36">
        <v>0</v>
      </c>
      <c r="M261" s="36">
        <v>0</v>
      </c>
      <c r="N261" s="50">
        <v>0</v>
      </c>
      <c r="O261" s="36">
        <v>0</v>
      </c>
      <c r="P261" s="36">
        <v>0</v>
      </c>
      <c r="Q261" s="36">
        <v>0</v>
      </c>
      <c r="R261" s="36">
        <v>0</v>
      </c>
      <c r="S261" s="50">
        <v>0</v>
      </c>
      <c r="T261" s="36">
        <v>0</v>
      </c>
      <c r="U261" s="36">
        <v>0</v>
      </c>
      <c r="V261" s="36">
        <v>0</v>
      </c>
      <c r="W261" s="36">
        <v>0</v>
      </c>
      <c r="X261" s="50">
        <v>0</v>
      </c>
      <c r="Y261" s="36">
        <v>0</v>
      </c>
      <c r="Z261" s="36">
        <v>0</v>
      </c>
      <c r="AA261" s="36">
        <v>0</v>
      </c>
      <c r="AB261" s="36">
        <v>0</v>
      </c>
      <c r="AC261" s="50">
        <v>0</v>
      </c>
      <c r="AD261" s="36">
        <v>0</v>
      </c>
      <c r="AE261" s="36">
        <v>0</v>
      </c>
      <c r="AF261" s="36">
        <v>0</v>
      </c>
      <c r="AG261" s="36">
        <v>0</v>
      </c>
      <c r="AH261" s="50">
        <v>0</v>
      </c>
      <c r="AI261" s="36">
        <v>0</v>
      </c>
      <c r="AJ261" s="36">
        <v>0</v>
      </c>
      <c r="AK261" s="36">
        <v>0</v>
      </c>
      <c r="AL261" s="36">
        <v>0</v>
      </c>
      <c r="AM261" s="50">
        <v>0</v>
      </c>
      <c r="AN261" s="36">
        <v>0</v>
      </c>
      <c r="AO261" s="36">
        <v>0</v>
      </c>
      <c r="AP261" s="36">
        <v>0</v>
      </c>
      <c r="AQ261" s="36">
        <v>0</v>
      </c>
      <c r="AR261" s="50">
        <v>0</v>
      </c>
      <c r="AS261" s="36">
        <v>0</v>
      </c>
      <c r="AT261" s="36">
        <v>0</v>
      </c>
      <c r="AU261" s="36">
        <v>0</v>
      </c>
      <c r="AV261" s="36">
        <v>1</v>
      </c>
      <c r="AW261">
        <v>0</v>
      </c>
      <c r="AX261">
        <v>0</v>
      </c>
    </row>
    <row r="262" spans="1:50" x14ac:dyDescent="0.25">
      <c r="A262" s="36"/>
      <c r="B262" s="36" t="s">
        <v>119</v>
      </c>
      <c r="C262" s="36" t="str">
        <f>'Status Thresholds'!B253</f>
        <v>Dreadqueen Rathian</v>
      </c>
      <c r="E262" s="36" t="str">
        <f t="shared" ref="E262:E325" si="11">C262&amp;D262</f>
        <v>Dreadqueen Rathian</v>
      </c>
      <c r="F262" s="36" t="str">
        <f>IFERROR(VLOOKUP($E262,'Status Thresholds'!$E:$AS,1,FALSE),"")</f>
        <v/>
      </c>
      <c r="G262" t="s">
        <v>21</v>
      </c>
      <c r="H262" s="55" t="str">
        <f t="shared" ref="H262:H325" si="12">E262&amp;G262</f>
        <v>Dreadqueen RathianTriblast</v>
      </c>
      <c r="I262" s="50">
        <v>0</v>
      </c>
      <c r="J262" s="36">
        <v>0</v>
      </c>
      <c r="K262" s="36">
        <v>0</v>
      </c>
      <c r="L262" s="36">
        <v>0</v>
      </c>
      <c r="M262" s="36">
        <v>0</v>
      </c>
      <c r="N262" s="50">
        <v>0</v>
      </c>
      <c r="O262" s="36">
        <v>0</v>
      </c>
      <c r="P262" s="36">
        <v>0</v>
      </c>
      <c r="Q262" s="36">
        <v>0</v>
      </c>
      <c r="R262" s="36">
        <v>0</v>
      </c>
      <c r="S262" s="50">
        <v>0</v>
      </c>
      <c r="T262" s="36">
        <v>0</v>
      </c>
      <c r="U262" s="36">
        <v>0</v>
      </c>
      <c r="V262" s="36">
        <v>0</v>
      </c>
      <c r="W262" s="36">
        <v>0</v>
      </c>
      <c r="X262" s="50">
        <v>0</v>
      </c>
      <c r="Y262" s="36">
        <v>0</v>
      </c>
      <c r="Z262" s="36">
        <v>0</v>
      </c>
      <c r="AA262" s="36">
        <v>0</v>
      </c>
      <c r="AB262" s="36">
        <v>0</v>
      </c>
      <c r="AC262" s="50">
        <v>0</v>
      </c>
      <c r="AD262" s="36">
        <v>0</v>
      </c>
      <c r="AE262" s="36">
        <v>0</v>
      </c>
      <c r="AF262" s="36">
        <v>0</v>
      </c>
      <c r="AG262" s="36">
        <v>0</v>
      </c>
      <c r="AH262" s="50">
        <v>0</v>
      </c>
      <c r="AI262" s="36">
        <v>0</v>
      </c>
      <c r="AJ262" s="36">
        <v>0</v>
      </c>
      <c r="AK262" s="36">
        <v>0</v>
      </c>
      <c r="AL262" s="36">
        <v>0</v>
      </c>
      <c r="AM262" s="50">
        <v>0</v>
      </c>
      <c r="AN262" s="36">
        <v>0</v>
      </c>
      <c r="AO262" s="36">
        <v>0</v>
      </c>
      <c r="AP262" s="36">
        <v>0</v>
      </c>
      <c r="AQ262" s="36">
        <v>0</v>
      </c>
      <c r="AR262" s="50">
        <v>0</v>
      </c>
      <c r="AS262" s="36">
        <v>0</v>
      </c>
      <c r="AT262" s="36">
        <v>0</v>
      </c>
      <c r="AU262" s="36">
        <v>0</v>
      </c>
      <c r="AV262" s="36">
        <v>0</v>
      </c>
      <c r="AW262">
        <v>0</v>
      </c>
      <c r="AX262">
        <v>0</v>
      </c>
    </row>
    <row r="263" spans="1:50" x14ac:dyDescent="0.25">
      <c r="A263" s="36"/>
      <c r="B263" t="s">
        <v>119</v>
      </c>
      <c r="C263" s="36" t="str">
        <f>'Status Thresholds'!B254</f>
        <v>Dreadqueen Rathian</v>
      </c>
      <c r="E263" s="36" t="str">
        <f t="shared" si="11"/>
        <v>Dreadqueen Rathian</v>
      </c>
      <c r="F263" s="36" t="str">
        <f>IFERROR(VLOOKUP($E263,'Status Thresholds'!$E:$AS,1,FALSE),"")</f>
        <v/>
      </c>
      <c r="G263" t="s">
        <v>13</v>
      </c>
      <c r="H263" s="55" t="str">
        <f t="shared" si="12"/>
        <v>Dreadqueen RathianCrag 3</v>
      </c>
      <c r="I263" s="50">
        <v>0</v>
      </c>
      <c r="J263" s="36">
        <v>0</v>
      </c>
      <c r="K263" s="36">
        <v>0</v>
      </c>
      <c r="L263" s="36">
        <v>0</v>
      </c>
      <c r="M263" s="36">
        <v>0</v>
      </c>
      <c r="N263" s="50">
        <v>0</v>
      </c>
      <c r="O263" s="36">
        <v>0</v>
      </c>
      <c r="P263" s="36">
        <v>0</v>
      </c>
      <c r="Q263" s="36">
        <v>0</v>
      </c>
      <c r="R263" s="36">
        <v>0</v>
      </c>
      <c r="S263" s="50">
        <v>0</v>
      </c>
      <c r="T263" s="36">
        <v>0</v>
      </c>
      <c r="U263" s="36">
        <v>0</v>
      </c>
      <c r="V263" s="36">
        <v>0</v>
      </c>
      <c r="W263" s="36">
        <v>0</v>
      </c>
      <c r="X263" s="50">
        <v>0</v>
      </c>
      <c r="Y263" s="36">
        <v>0</v>
      </c>
      <c r="Z263" s="36">
        <v>0</v>
      </c>
      <c r="AA263" s="36">
        <v>0</v>
      </c>
      <c r="AB263" s="36">
        <v>0</v>
      </c>
      <c r="AC263" s="50">
        <v>0</v>
      </c>
      <c r="AD263" s="36">
        <v>0</v>
      </c>
      <c r="AE263" s="36">
        <v>0</v>
      </c>
      <c r="AF263" s="36">
        <v>0</v>
      </c>
      <c r="AG263" s="36">
        <v>0</v>
      </c>
      <c r="AH263" s="50">
        <v>0</v>
      </c>
      <c r="AI263" s="36">
        <v>0</v>
      </c>
      <c r="AJ263" s="36">
        <v>0</v>
      </c>
      <c r="AK263" s="36">
        <v>0</v>
      </c>
      <c r="AL263" s="36">
        <v>0</v>
      </c>
      <c r="AM263" s="50">
        <v>0</v>
      </c>
      <c r="AN263" s="36">
        <v>0</v>
      </c>
      <c r="AO263" s="36">
        <v>0</v>
      </c>
      <c r="AP263" s="36">
        <v>0</v>
      </c>
      <c r="AQ263" s="36">
        <v>0</v>
      </c>
      <c r="AR263" s="50">
        <v>0</v>
      </c>
      <c r="AS263" s="36">
        <v>0</v>
      </c>
      <c r="AT263" s="36">
        <v>0</v>
      </c>
      <c r="AU263" s="36">
        <v>0</v>
      </c>
      <c r="AV263" s="36">
        <v>0</v>
      </c>
      <c r="AW263">
        <v>0</v>
      </c>
      <c r="AX263">
        <v>0</v>
      </c>
    </row>
    <row r="264" spans="1:50" x14ac:dyDescent="0.25">
      <c r="A264" s="36"/>
      <c r="B264" t="s">
        <v>119</v>
      </c>
      <c r="C264" s="36" t="str">
        <f>'Status Thresholds'!B255</f>
        <v>Dreadqueen Rathian</v>
      </c>
      <c r="E264" s="36" t="str">
        <f t="shared" si="11"/>
        <v>Dreadqueen Rathian</v>
      </c>
      <c r="F264" s="36" t="str">
        <f>IFERROR(VLOOKUP($E264,'Status Thresholds'!$E:$AS,1,FALSE),"")</f>
        <v/>
      </c>
      <c r="G264" t="s">
        <v>12</v>
      </c>
      <c r="H264" s="55" t="str">
        <f t="shared" si="12"/>
        <v>Dreadqueen RathianCrag 2</v>
      </c>
      <c r="I264" s="50">
        <v>0</v>
      </c>
      <c r="J264" s="36">
        <v>0</v>
      </c>
      <c r="K264" s="36">
        <v>0</v>
      </c>
      <c r="L264" s="36">
        <v>0</v>
      </c>
      <c r="M264" s="36">
        <v>0</v>
      </c>
      <c r="N264" s="50">
        <v>0</v>
      </c>
      <c r="O264" s="36">
        <v>0</v>
      </c>
      <c r="P264" s="36">
        <v>0</v>
      </c>
      <c r="Q264" s="36">
        <v>0</v>
      </c>
      <c r="R264" s="36">
        <v>0</v>
      </c>
      <c r="S264" s="50">
        <v>0</v>
      </c>
      <c r="T264" s="36">
        <v>0</v>
      </c>
      <c r="U264" s="36">
        <v>0</v>
      </c>
      <c r="V264" s="36">
        <v>0</v>
      </c>
      <c r="W264" s="36">
        <v>0</v>
      </c>
      <c r="X264" s="50">
        <v>0</v>
      </c>
      <c r="Y264" s="36">
        <v>0</v>
      </c>
      <c r="Z264" s="36">
        <v>0</v>
      </c>
      <c r="AA264" s="36">
        <v>0</v>
      </c>
      <c r="AB264" s="36">
        <v>0</v>
      </c>
      <c r="AC264" s="50">
        <v>0</v>
      </c>
      <c r="AD264" s="36">
        <v>0</v>
      </c>
      <c r="AE264" s="36">
        <v>0</v>
      </c>
      <c r="AF264" s="36">
        <v>0</v>
      </c>
      <c r="AG264" s="36">
        <v>0</v>
      </c>
      <c r="AH264" s="50">
        <v>0</v>
      </c>
      <c r="AI264" s="36">
        <v>0</v>
      </c>
      <c r="AJ264" s="36">
        <v>0</v>
      </c>
      <c r="AK264" s="36">
        <v>0</v>
      </c>
      <c r="AL264" s="36">
        <v>0</v>
      </c>
      <c r="AM264" s="50">
        <v>0</v>
      </c>
      <c r="AN264" s="36">
        <v>0</v>
      </c>
      <c r="AO264" s="36">
        <v>0</v>
      </c>
      <c r="AP264" s="36">
        <v>0</v>
      </c>
      <c r="AQ264" s="36">
        <v>0</v>
      </c>
      <c r="AR264" s="50">
        <v>0</v>
      </c>
      <c r="AS264" s="36">
        <v>0</v>
      </c>
      <c r="AT264" s="36">
        <v>0</v>
      </c>
      <c r="AU264" s="36">
        <v>0</v>
      </c>
      <c r="AV264" s="36">
        <v>0</v>
      </c>
      <c r="AW264">
        <v>0</v>
      </c>
      <c r="AX264">
        <v>0</v>
      </c>
    </row>
    <row r="265" spans="1:50" x14ac:dyDescent="0.25">
      <c r="A265" s="36"/>
      <c r="B265" t="s">
        <v>119</v>
      </c>
      <c r="C265" s="36" t="str">
        <f>'Status Thresholds'!B256</f>
        <v>Dreadqueen Rathian</v>
      </c>
      <c r="E265" s="36" t="str">
        <f t="shared" si="11"/>
        <v>Dreadqueen Rathian</v>
      </c>
      <c r="F265" s="36" t="str">
        <f>IFERROR(VLOOKUP($E265,'Status Thresholds'!$E:$AS,1,FALSE),"")</f>
        <v/>
      </c>
      <c r="G265" t="s">
        <v>11</v>
      </c>
      <c r="H265" s="55" t="str">
        <f t="shared" si="12"/>
        <v>Dreadqueen RathianCrag 1</v>
      </c>
      <c r="I265" s="50">
        <v>0</v>
      </c>
      <c r="J265" s="36">
        <v>0</v>
      </c>
      <c r="K265" s="36">
        <v>0</v>
      </c>
      <c r="L265" s="36">
        <v>0</v>
      </c>
      <c r="M265" s="36">
        <v>0</v>
      </c>
      <c r="N265" s="50">
        <v>0</v>
      </c>
      <c r="O265" s="36">
        <v>0</v>
      </c>
      <c r="P265" s="36">
        <v>0</v>
      </c>
      <c r="Q265" s="36">
        <v>0</v>
      </c>
      <c r="R265" s="36">
        <v>0</v>
      </c>
      <c r="S265" s="50">
        <v>0</v>
      </c>
      <c r="T265" s="36">
        <v>0</v>
      </c>
      <c r="U265" s="36">
        <v>0</v>
      </c>
      <c r="V265" s="36">
        <v>0</v>
      </c>
      <c r="W265" s="36">
        <v>0</v>
      </c>
      <c r="X265" s="50">
        <v>0</v>
      </c>
      <c r="Y265" s="36">
        <v>0</v>
      </c>
      <c r="Z265" s="36">
        <v>0</v>
      </c>
      <c r="AA265" s="36">
        <v>0</v>
      </c>
      <c r="AB265" s="36">
        <v>0</v>
      </c>
      <c r="AC265" s="50">
        <v>0</v>
      </c>
      <c r="AD265" s="36">
        <v>0</v>
      </c>
      <c r="AE265" s="36">
        <v>0</v>
      </c>
      <c r="AF265" s="36">
        <v>0</v>
      </c>
      <c r="AG265" s="36">
        <v>0</v>
      </c>
      <c r="AH265" s="50">
        <v>0</v>
      </c>
      <c r="AI265" s="36">
        <v>0</v>
      </c>
      <c r="AJ265" s="36">
        <v>0</v>
      </c>
      <c r="AK265" s="36">
        <v>0</v>
      </c>
      <c r="AL265" s="36">
        <v>0</v>
      </c>
      <c r="AM265" s="50">
        <v>0</v>
      </c>
      <c r="AN265" s="36">
        <v>0</v>
      </c>
      <c r="AO265" s="36">
        <v>0</v>
      </c>
      <c r="AP265" s="36">
        <v>0</v>
      </c>
      <c r="AQ265" s="36">
        <v>0</v>
      </c>
      <c r="AR265" s="50">
        <v>0</v>
      </c>
      <c r="AS265" s="36">
        <v>0</v>
      </c>
      <c r="AT265" s="36">
        <v>0</v>
      </c>
      <c r="AU265" s="36">
        <v>0</v>
      </c>
      <c r="AV265" s="36">
        <v>1</v>
      </c>
      <c r="AW265">
        <v>0</v>
      </c>
      <c r="AX265">
        <v>0</v>
      </c>
    </row>
    <row r="266" spans="1:50" x14ac:dyDescent="0.25">
      <c r="A266" s="36"/>
      <c r="B266" t="s">
        <v>121</v>
      </c>
      <c r="C266" s="36" t="str">
        <f>'Status Thresholds'!B257</f>
        <v>Drilltusk Tetsucabra</v>
      </c>
      <c r="D266" t="s">
        <v>14</v>
      </c>
      <c r="E266" s="36" t="str">
        <f t="shared" si="11"/>
        <v>Drilltusk TetsucabraKO</v>
      </c>
      <c r="F266" s="36" t="str">
        <f>IFERROR(VLOOKUP($E266,'Status Thresholds'!$E:$AS,1,FALSE),"")</f>
        <v>Drilltusk TetsucabraKO</v>
      </c>
      <c r="H266" s="55" t="str">
        <f t="shared" si="12"/>
        <v>Drilltusk TetsucabraKO</v>
      </c>
      <c r="I266" s="50">
        <f>VLOOKUP($F266,'Status Thresholds'!$E:$AS,2,FALSE)</f>
        <v>0</v>
      </c>
      <c r="J266" s="36">
        <f>VLOOKUP($F266,'Status Thresholds'!$E:$AS,3,FALSE)</f>
        <v>0</v>
      </c>
      <c r="K266" s="36">
        <f>VLOOKUP($F266,'Status Thresholds'!$E:$AS,4,FALSE)</f>
        <v>0</v>
      </c>
      <c r="L266" s="36">
        <f>VLOOKUP($F266,'Status Thresholds'!$E:$AS,5,FALSE)</f>
        <v>0</v>
      </c>
      <c r="M266" s="36">
        <f>VLOOKUP($F266,'Status Thresholds'!$E:$AS,6,FALSE)</f>
        <v>0</v>
      </c>
      <c r="N266" s="50">
        <f>VLOOKUP($F266,'Status Thresholds'!$E:$AS,7,FALSE)</f>
        <v>0</v>
      </c>
      <c r="O266" s="36">
        <f>VLOOKUP($F266,'Status Thresholds'!$E:$AS,8,FALSE)</f>
        <v>0</v>
      </c>
      <c r="P266" s="36">
        <f>VLOOKUP($F266,'Status Thresholds'!$E:$AS,9,FALSE)</f>
        <v>0</v>
      </c>
      <c r="Q266" s="36">
        <f>VLOOKUP($F266,'Status Thresholds'!$E:$AS,10,FALSE)</f>
        <v>0</v>
      </c>
      <c r="R266" s="36">
        <f>VLOOKUP($F266,'Status Thresholds'!$E:$AS,11,FALSE)</f>
        <v>0</v>
      </c>
      <c r="S266" s="50">
        <f>VLOOKUP($F266,'Status Thresholds'!$E:$AS,12,FALSE)</f>
        <v>0</v>
      </c>
      <c r="T266" s="36">
        <f>VLOOKUP($F266,'Status Thresholds'!$E:$AS,13,FALSE)</f>
        <v>0</v>
      </c>
      <c r="U266" s="36">
        <f>VLOOKUP($F266,'Status Thresholds'!$E:$AS,14,FALSE)</f>
        <v>0</v>
      </c>
      <c r="V266" s="36">
        <f>VLOOKUP($F266,'Status Thresholds'!$E:$AS,15,FALSE)</f>
        <v>0</v>
      </c>
      <c r="W266" s="36">
        <f>VLOOKUP($F266,'Status Thresholds'!$E:$AS,16,FALSE)</f>
        <v>0</v>
      </c>
      <c r="X266" s="50">
        <f>VLOOKUP($F266,'Status Thresholds'!$E:$AS,17,FALSE)</f>
        <v>0</v>
      </c>
      <c r="Y266" s="36">
        <f>VLOOKUP($F266,'Status Thresholds'!$E:$AS,18,FALSE)</f>
        <v>0</v>
      </c>
      <c r="Z266" s="36">
        <f>VLOOKUP($F266,'Status Thresholds'!$E:$AS,19,FALSE)</f>
        <v>0</v>
      </c>
      <c r="AA266" s="36">
        <f>VLOOKUP($F266,'Status Thresholds'!$E:$AS,20,FALSE)</f>
        <v>0</v>
      </c>
      <c r="AB266" s="36">
        <f>VLOOKUP($F266,'Status Thresholds'!$E:$AS,21,FALSE)</f>
        <v>0</v>
      </c>
      <c r="AC266" s="50">
        <f>VLOOKUP($F266,'Status Thresholds'!$E:$AS,22,FALSE)</f>
        <v>0</v>
      </c>
      <c r="AD266" s="36">
        <f>VLOOKUP($F266,'Status Thresholds'!$E:$AS,23,FALSE)</f>
        <v>0</v>
      </c>
      <c r="AE266" s="36">
        <f>VLOOKUP($F266,'Status Thresholds'!$E:$AS,24,FALSE)</f>
        <v>0</v>
      </c>
      <c r="AF266" s="36">
        <f>VLOOKUP($F266,'Status Thresholds'!$E:$AS,25,FALSE)</f>
        <v>0</v>
      </c>
      <c r="AG266" s="36">
        <f>VLOOKUP($F266,'Status Thresholds'!$E:$AS,26,FALSE)</f>
        <v>0</v>
      </c>
      <c r="AH266" s="50">
        <f>VLOOKUP($F266,'Status Thresholds'!$E:$AS,27,FALSE)</f>
        <v>0</v>
      </c>
      <c r="AI266" s="36">
        <f>VLOOKUP($F266,'Status Thresholds'!$E:$AS,28,FALSE)</f>
        <v>0</v>
      </c>
      <c r="AJ266" s="36">
        <f>VLOOKUP($F266,'Status Thresholds'!$E:$AS,29,FALSE)</f>
        <v>0</v>
      </c>
      <c r="AK266" s="36">
        <f>VLOOKUP($F266,'Status Thresholds'!$E:$AS,30,FALSE)</f>
        <v>0</v>
      </c>
      <c r="AL266" s="36">
        <f>VLOOKUP($F266,'Status Thresholds'!$E:$AS,31,FALSE)</f>
        <v>0</v>
      </c>
      <c r="AM266" s="50">
        <f>VLOOKUP($F266,'Status Thresholds'!$E:$AS,32,FALSE)</f>
        <v>0</v>
      </c>
      <c r="AN266" s="36">
        <f>VLOOKUP($F266,'Status Thresholds'!$E:$AS,33,FALSE)</f>
        <v>0</v>
      </c>
      <c r="AO266" s="36">
        <f>VLOOKUP($F266,'Status Thresholds'!$E:$AS,34,FALSE)</f>
        <v>0</v>
      </c>
      <c r="AP266" s="36">
        <f>VLOOKUP($F266,'Status Thresholds'!$E:$AS,35,FALSE)</f>
        <v>0</v>
      </c>
      <c r="AQ266" s="36">
        <f>VLOOKUP($F266,'Status Thresholds'!$E:$AS,36,FALSE)</f>
        <v>0</v>
      </c>
      <c r="AR266" s="50">
        <f>VLOOKUP($F266,'Status Thresholds'!$E:$AS,37,FALSE)</f>
        <v>0</v>
      </c>
      <c r="AS266" s="36">
        <f>VLOOKUP($F266,'Status Thresholds'!$E:$AS,38,FALSE)</f>
        <v>0</v>
      </c>
      <c r="AT266" s="36">
        <f>VLOOKUP($F266,'Status Thresholds'!$E:$AS,39,FALSE)</f>
        <v>0</v>
      </c>
      <c r="AU266" s="36">
        <f>VLOOKUP($F266,'Status Thresholds'!$E:$AS,40,FALSE)</f>
        <v>0</v>
      </c>
      <c r="AV266" s="36">
        <f>VLOOKUP($F266,'Status Thresholds'!$E:$AS,41,FALSE)</f>
        <v>10</v>
      </c>
      <c r="AW266">
        <v>0</v>
      </c>
      <c r="AX266">
        <v>0</v>
      </c>
    </row>
    <row r="267" spans="1:50" x14ac:dyDescent="0.25">
      <c r="A267" s="36"/>
      <c r="B267" t="s">
        <v>120</v>
      </c>
      <c r="C267" s="36" t="str">
        <f>'Status Thresholds'!B258</f>
        <v>Drilltusk Tetsucabra</v>
      </c>
      <c r="E267" s="36" t="str">
        <f t="shared" si="11"/>
        <v>Drilltusk Tetsucabra</v>
      </c>
      <c r="F267" s="36" t="str">
        <f>IFERROR(VLOOKUP($E267,'Status Thresholds'!$E:$AS,1,FALSE),"")</f>
        <v/>
      </c>
      <c r="G267" t="s">
        <v>21</v>
      </c>
      <c r="H267" s="55" t="str">
        <f t="shared" si="12"/>
        <v>Drilltusk TetsucabraTriblast</v>
      </c>
      <c r="I267" s="50">
        <v>0</v>
      </c>
      <c r="J267" s="36">
        <v>0</v>
      </c>
      <c r="K267" s="36">
        <v>0</v>
      </c>
      <c r="L267" s="36">
        <v>0</v>
      </c>
      <c r="M267" s="36">
        <v>0</v>
      </c>
      <c r="N267" s="50">
        <v>0</v>
      </c>
      <c r="O267" s="36">
        <v>0</v>
      </c>
      <c r="P267" s="36">
        <v>0</v>
      </c>
      <c r="Q267" s="36">
        <v>0</v>
      </c>
      <c r="R267" s="36">
        <v>0</v>
      </c>
      <c r="S267" s="50">
        <v>0</v>
      </c>
      <c r="T267" s="36">
        <v>0</v>
      </c>
      <c r="U267" s="36">
        <v>0</v>
      </c>
      <c r="V267" s="36">
        <v>0</v>
      </c>
      <c r="W267" s="36">
        <v>0</v>
      </c>
      <c r="X267" s="50">
        <v>0</v>
      </c>
      <c r="Y267" s="36">
        <v>0</v>
      </c>
      <c r="Z267" s="36">
        <v>0</v>
      </c>
      <c r="AA267" s="36">
        <v>0</v>
      </c>
      <c r="AB267" s="36">
        <v>0</v>
      </c>
      <c r="AC267" s="50">
        <v>0</v>
      </c>
      <c r="AD267" s="36">
        <v>0</v>
      </c>
      <c r="AE267" s="36">
        <v>0</v>
      </c>
      <c r="AF267" s="36">
        <v>0</v>
      </c>
      <c r="AG267" s="36">
        <v>0</v>
      </c>
      <c r="AH267" s="50">
        <v>0</v>
      </c>
      <c r="AI267" s="36">
        <v>0</v>
      </c>
      <c r="AJ267" s="36">
        <v>0</v>
      </c>
      <c r="AK267" s="36">
        <v>0</v>
      </c>
      <c r="AL267" s="36">
        <v>0</v>
      </c>
      <c r="AM267" s="50">
        <v>0</v>
      </c>
      <c r="AN267" s="36">
        <v>0</v>
      </c>
      <c r="AO267" s="36">
        <v>0</v>
      </c>
      <c r="AP267" s="36">
        <v>0</v>
      </c>
      <c r="AQ267" s="36">
        <v>0</v>
      </c>
      <c r="AR267" s="50">
        <v>0</v>
      </c>
      <c r="AS267" s="36">
        <v>0</v>
      </c>
      <c r="AT267" s="36">
        <v>0</v>
      </c>
      <c r="AU267" s="36">
        <v>0</v>
      </c>
      <c r="AV267" s="36">
        <v>0</v>
      </c>
      <c r="AW267">
        <v>0</v>
      </c>
    </row>
    <row r="268" spans="1:50" x14ac:dyDescent="0.25">
      <c r="A268" s="36"/>
      <c r="B268" t="s">
        <v>120</v>
      </c>
      <c r="C268" s="36" t="str">
        <f>'Status Thresholds'!B259</f>
        <v>Drilltusk Tetsucabra</v>
      </c>
      <c r="E268" s="36" t="str">
        <f t="shared" si="11"/>
        <v>Drilltusk Tetsucabra</v>
      </c>
      <c r="F268" s="36" t="str">
        <f>IFERROR(VLOOKUP($E268,'Status Thresholds'!$E:$AS,1,FALSE),"")</f>
        <v/>
      </c>
      <c r="G268" t="s">
        <v>13</v>
      </c>
      <c r="H268" s="55" t="str">
        <f t="shared" si="12"/>
        <v>Drilltusk TetsucabraCrag 3</v>
      </c>
      <c r="I268" s="50">
        <v>0</v>
      </c>
      <c r="J268" s="36">
        <v>0</v>
      </c>
      <c r="K268" s="36">
        <v>0</v>
      </c>
      <c r="L268" s="36">
        <v>0</v>
      </c>
      <c r="M268" s="36">
        <v>0</v>
      </c>
      <c r="N268" s="50">
        <v>0</v>
      </c>
      <c r="O268" s="36">
        <v>0</v>
      </c>
      <c r="P268" s="36">
        <v>0</v>
      </c>
      <c r="Q268" s="36">
        <v>0</v>
      </c>
      <c r="R268" s="36">
        <v>0</v>
      </c>
      <c r="S268" s="50">
        <v>0</v>
      </c>
      <c r="T268" s="36">
        <v>0</v>
      </c>
      <c r="U268" s="36">
        <v>0</v>
      </c>
      <c r="V268" s="36">
        <v>0</v>
      </c>
      <c r="W268" s="36">
        <v>0</v>
      </c>
      <c r="X268" s="50">
        <v>0</v>
      </c>
      <c r="Y268" s="36">
        <v>0</v>
      </c>
      <c r="Z268" s="36">
        <v>0</v>
      </c>
      <c r="AA268" s="36">
        <v>0</v>
      </c>
      <c r="AB268" s="36">
        <v>0</v>
      </c>
      <c r="AC268" s="50">
        <v>0</v>
      </c>
      <c r="AD268" s="36">
        <v>0</v>
      </c>
      <c r="AE268" s="36">
        <v>0</v>
      </c>
      <c r="AF268" s="36">
        <v>0</v>
      </c>
      <c r="AG268" s="36">
        <v>0</v>
      </c>
      <c r="AH268" s="50">
        <v>0</v>
      </c>
      <c r="AI268" s="36">
        <v>0</v>
      </c>
      <c r="AJ268" s="36">
        <v>0</v>
      </c>
      <c r="AK268" s="36">
        <v>0</v>
      </c>
      <c r="AL268" s="36">
        <v>0</v>
      </c>
      <c r="AM268" s="50">
        <v>0</v>
      </c>
      <c r="AN268" s="36">
        <v>0</v>
      </c>
      <c r="AO268" s="36">
        <v>0</v>
      </c>
      <c r="AP268" s="36">
        <v>0</v>
      </c>
      <c r="AQ268" s="36">
        <v>0</v>
      </c>
      <c r="AR268" s="50">
        <v>0</v>
      </c>
      <c r="AS268" s="36">
        <v>0</v>
      </c>
      <c r="AT268" s="36">
        <v>0</v>
      </c>
      <c r="AU268" s="36">
        <v>0</v>
      </c>
      <c r="AV268" s="36">
        <v>0</v>
      </c>
      <c r="AW268">
        <v>0</v>
      </c>
      <c r="AX268">
        <v>0</v>
      </c>
    </row>
    <row r="269" spans="1:50" x14ac:dyDescent="0.25">
      <c r="A269" s="36"/>
      <c r="B269" t="s">
        <v>120</v>
      </c>
      <c r="C269" s="36" t="str">
        <f>'Status Thresholds'!B260</f>
        <v>Drilltusk Tetsucabra</v>
      </c>
      <c r="E269" s="36" t="str">
        <f t="shared" si="11"/>
        <v>Drilltusk Tetsucabra</v>
      </c>
      <c r="F269" s="36" t="str">
        <f>IFERROR(VLOOKUP($E269,'Status Thresholds'!$E:$AS,1,FALSE),"")</f>
        <v/>
      </c>
      <c r="G269" t="s">
        <v>12</v>
      </c>
      <c r="H269" s="55" t="str">
        <f t="shared" si="12"/>
        <v>Drilltusk TetsucabraCrag 2</v>
      </c>
      <c r="I269" s="50">
        <v>0</v>
      </c>
      <c r="J269" s="36">
        <v>0</v>
      </c>
      <c r="K269" s="36">
        <v>0</v>
      </c>
      <c r="L269" s="36">
        <v>0</v>
      </c>
      <c r="M269" s="36">
        <v>0</v>
      </c>
      <c r="N269" s="50">
        <v>0</v>
      </c>
      <c r="O269" s="36">
        <v>0</v>
      </c>
      <c r="P269" s="36">
        <v>0</v>
      </c>
      <c r="Q269" s="36">
        <v>0</v>
      </c>
      <c r="R269" s="36">
        <v>0</v>
      </c>
      <c r="S269" s="50">
        <v>0</v>
      </c>
      <c r="T269" s="36">
        <v>0</v>
      </c>
      <c r="U269" s="36">
        <v>0</v>
      </c>
      <c r="V269" s="36">
        <v>0</v>
      </c>
      <c r="W269" s="36">
        <v>0</v>
      </c>
      <c r="X269" s="50">
        <v>0</v>
      </c>
      <c r="Y269" s="36">
        <v>0</v>
      </c>
      <c r="Z269" s="36">
        <v>0</v>
      </c>
      <c r="AA269" s="36">
        <v>0</v>
      </c>
      <c r="AB269" s="36">
        <v>0</v>
      </c>
      <c r="AC269" s="50">
        <v>0</v>
      </c>
      <c r="AD269" s="36">
        <v>0</v>
      </c>
      <c r="AE269" s="36">
        <v>0</v>
      </c>
      <c r="AF269" s="36">
        <v>0</v>
      </c>
      <c r="AG269" s="36">
        <v>0</v>
      </c>
      <c r="AH269" s="50">
        <v>0</v>
      </c>
      <c r="AI269" s="36">
        <v>0</v>
      </c>
      <c r="AJ269" s="36">
        <v>0</v>
      </c>
      <c r="AK269" s="36">
        <v>0</v>
      </c>
      <c r="AL269" s="36">
        <v>0</v>
      </c>
      <c r="AM269" s="50">
        <v>0</v>
      </c>
      <c r="AN269" s="36">
        <v>0</v>
      </c>
      <c r="AO269" s="36">
        <v>0</v>
      </c>
      <c r="AP269" s="36">
        <v>0</v>
      </c>
      <c r="AQ269" s="36">
        <v>0</v>
      </c>
      <c r="AR269" s="50">
        <v>0</v>
      </c>
      <c r="AS269" s="36">
        <v>0</v>
      </c>
      <c r="AT269" s="36">
        <v>0</v>
      </c>
      <c r="AU269" s="36">
        <v>0</v>
      </c>
      <c r="AV269" s="36">
        <v>0</v>
      </c>
      <c r="AW269">
        <v>0</v>
      </c>
      <c r="AX269">
        <v>0</v>
      </c>
    </row>
    <row r="270" spans="1:50" x14ac:dyDescent="0.25">
      <c r="A270" s="36"/>
      <c r="B270" t="s">
        <v>120</v>
      </c>
      <c r="C270" s="36" t="str">
        <f>'Status Thresholds'!B261</f>
        <v>Drilltusk Tetsucabra</v>
      </c>
      <c r="E270" s="36" t="str">
        <f t="shared" si="11"/>
        <v>Drilltusk Tetsucabra</v>
      </c>
      <c r="F270" s="36" t="str">
        <f>IFERROR(VLOOKUP($E270,'Status Thresholds'!$E:$AS,1,FALSE),"")</f>
        <v/>
      </c>
      <c r="G270" t="s">
        <v>11</v>
      </c>
      <c r="H270" s="55" t="str">
        <f t="shared" si="12"/>
        <v>Drilltusk TetsucabraCrag 1</v>
      </c>
      <c r="I270" s="50">
        <v>0</v>
      </c>
      <c r="J270" s="36">
        <v>0</v>
      </c>
      <c r="K270" s="36">
        <v>0</v>
      </c>
      <c r="L270" s="36">
        <v>0</v>
      </c>
      <c r="M270" s="36">
        <v>0</v>
      </c>
      <c r="N270" s="50">
        <v>0</v>
      </c>
      <c r="O270" s="36">
        <v>0</v>
      </c>
      <c r="P270" s="36">
        <v>0</v>
      </c>
      <c r="Q270" s="36">
        <v>0</v>
      </c>
      <c r="R270" s="36">
        <v>0</v>
      </c>
      <c r="S270" s="50">
        <v>0</v>
      </c>
      <c r="T270" s="36">
        <v>0</v>
      </c>
      <c r="U270" s="36">
        <v>0</v>
      </c>
      <c r="V270" s="36">
        <v>0</v>
      </c>
      <c r="W270" s="36">
        <v>0</v>
      </c>
      <c r="X270" s="50">
        <v>0</v>
      </c>
      <c r="Y270" s="36">
        <v>0</v>
      </c>
      <c r="Z270" s="36">
        <v>0</v>
      </c>
      <c r="AA270" s="36">
        <v>0</v>
      </c>
      <c r="AB270" s="36">
        <v>0</v>
      </c>
      <c r="AC270" s="50">
        <v>0</v>
      </c>
      <c r="AD270" s="36">
        <v>0</v>
      </c>
      <c r="AE270" s="36">
        <v>0</v>
      </c>
      <c r="AF270" s="36">
        <v>0</v>
      </c>
      <c r="AG270" s="36">
        <v>0</v>
      </c>
      <c r="AH270" s="50">
        <v>0</v>
      </c>
      <c r="AI270" s="36">
        <v>0</v>
      </c>
      <c r="AJ270" s="36">
        <v>0</v>
      </c>
      <c r="AK270" s="36">
        <v>0</v>
      </c>
      <c r="AL270" s="36">
        <v>0</v>
      </c>
      <c r="AM270" s="50">
        <v>0</v>
      </c>
      <c r="AN270" s="36">
        <v>0</v>
      </c>
      <c r="AO270" s="36">
        <v>0</v>
      </c>
      <c r="AP270" s="36">
        <v>0</v>
      </c>
      <c r="AQ270" s="36">
        <v>0</v>
      </c>
      <c r="AR270" s="50">
        <v>0</v>
      </c>
      <c r="AS270" s="36">
        <v>0</v>
      </c>
      <c r="AT270" s="36">
        <v>0</v>
      </c>
      <c r="AU270" s="36">
        <v>0</v>
      </c>
      <c r="AV270" s="36">
        <v>1</v>
      </c>
      <c r="AW270">
        <v>0</v>
      </c>
      <c r="AX270">
        <v>0</v>
      </c>
    </row>
    <row r="271" spans="1:50" x14ac:dyDescent="0.25">
      <c r="A271" s="36"/>
      <c r="B271" t="s">
        <v>119</v>
      </c>
      <c r="C271" s="36" t="str">
        <f>'Status Thresholds'!B262</f>
        <v>Drilltusk Tetsucabra</v>
      </c>
      <c r="E271" s="36" t="str">
        <f t="shared" si="11"/>
        <v>Drilltusk Tetsucabra</v>
      </c>
      <c r="F271" s="36" t="str">
        <f>IFERROR(VLOOKUP($E271,'Status Thresholds'!$E:$AS,1,FALSE),"")</f>
        <v/>
      </c>
      <c r="G271" t="s">
        <v>21</v>
      </c>
      <c r="H271" s="55" t="str">
        <f t="shared" si="12"/>
        <v>Drilltusk TetsucabraTriblast</v>
      </c>
      <c r="I271" s="50">
        <v>0</v>
      </c>
      <c r="J271" s="36">
        <v>0</v>
      </c>
      <c r="K271" s="36">
        <v>0</v>
      </c>
      <c r="L271" s="36">
        <v>0</v>
      </c>
      <c r="M271" s="36">
        <v>0</v>
      </c>
      <c r="N271" s="50">
        <v>0</v>
      </c>
      <c r="O271" s="36">
        <v>0</v>
      </c>
      <c r="P271" s="36">
        <v>0</v>
      </c>
      <c r="Q271" s="36">
        <v>0</v>
      </c>
      <c r="R271" s="36">
        <v>0</v>
      </c>
      <c r="S271" s="50">
        <v>0</v>
      </c>
      <c r="T271" s="36">
        <v>0</v>
      </c>
      <c r="U271" s="36">
        <v>0</v>
      </c>
      <c r="V271" s="36">
        <v>0</v>
      </c>
      <c r="W271" s="36">
        <v>0</v>
      </c>
      <c r="X271" s="50">
        <v>0</v>
      </c>
      <c r="Y271" s="36">
        <v>0</v>
      </c>
      <c r="Z271" s="36">
        <v>0</v>
      </c>
      <c r="AA271" s="36">
        <v>0</v>
      </c>
      <c r="AB271" s="36">
        <v>0</v>
      </c>
      <c r="AC271" s="50">
        <v>0</v>
      </c>
      <c r="AD271" s="36">
        <v>0</v>
      </c>
      <c r="AE271" s="36">
        <v>0</v>
      </c>
      <c r="AF271" s="36">
        <v>0</v>
      </c>
      <c r="AG271" s="36">
        <v>0</v>
      </c>
      <c r="AH271" s="50">
        <v>0</v>
      </c>
      <c r="AI271" s="36">
        <v>0</v>
      </c>
      <c r="AJ271" s="36">
        <v>0</v>
      </c>
      <c r="AK271" s="36">
        <v>0</v>
      </c>
      <c r="AL271" s="36">
        <v>0</v>
      </c>
      <c r="AM271" s="50">
        <v>0</v>
      </c>
      <c r="AN271" s="36">
        <v>0</v>
      </c>
      <c r="AO271" s="36">
        <v>0</v>
      </c>
      <c r="AP271" s="36">
        <v>0</v>
      </c>
      <c r="AQ271" s="36">
        <v>0</v>
      </c>
      <c r="AR271" s="50">
        <v>0</v>
      </c>
      <c r="AS271" s="36">
        <v>0</v>
      </c>
      <c r="AT271" s="36">
        <v>0</v>
      </c>
      <c r="AU271" s="36">
        <v>0</v>
      </c>
      <c r="AV271" s="36">
        <v>0</v>
      </c>
      <c r="AW271">
        <v>0</v>
      </c>
      <c r="AX271">
        <v>0</v>
      </c>
    </row>
    <row r="272" spans="1:50" x14ac:dyDescent="0.25">
      <c r="A272" s="36"/>
      <c r="B272" t="s">
        <v>119</v>
      </c>
      <c r="C272" s="36" t="str">
        <f>'Status Thresholds'!B263</f>
        <v>Drilltusk Tetsucabra</v>
      </c>
      <c r="E272" s="36" t="str">
        <f t="shared" si="11"/>
        <v>Drilltusk Tetsucabra</v>
      </c>
      <c r="F272" s="36" t="str">
        <f>IFERROR(VLOOKUP($E272,'Status Thresholds'!$E:$AS,1,FALSE),"")</f>
        <v/>
      </c>
      <c r="G272" t="s">
        <v>13</v>
      </c>
      <c r="H272" s="55" t="str">
        <f t="shared" si="12"/>
        <v>Drilltusk TetsucabraCrag 3</v>
      </c>
      <c r="I272" s="50">
        <v>0</v>
      </c>
      <c r="J272" s="36">
        <v>0</v>
      </c>
      <c r="K272" s="36">
        <v>0</v>
      </c>
      <c r="L272" s="36">
        <v>0</v>
      </c>
      <c r="M272" s="36">
        <v>0</v>
      </c>
      <c r="N272" s="50">
        <v>0</v>
      </c>
      <c r="O272" s="36">
        <v>0</v>
      </c>
      <c r="P272" s="36">
        <v>0</v>
      </c>
      <c r="Q272" s="36">
        <v>0</v>
      </c>
      <c r="R272" s="36">
        <v>0</v>
      </c>
      <c r="S272" s="50">
        <v>0</v>
      </c>
      <c r="T272" s="36">
        <v>0</v>
      </c>
      <c r="U272" s="36">
        <v>0</v>
      </c>
      <c r="V272" s="36">
        <v>0</v>
      </c>
      <c r="W272" s="36">
        <v>0</v>
      </c>
      <c r="X272" s="50">
        <v>0</v>
      </c>
      <c r="Y272" s="36">
        <v>0</v>
      </c>
      <c r="Z272" s="36">
        <v>0</v>
      </c>
      <c r="AA272" s="36">
        <v>0</v>
      </c>
      <c r="AB272" s="36">
        <v>0</v>
      </c>
      <c r="AC272" s="50">
        <v>0</v>
      </c>
      <c r="AD272" s="36">
        <v>0</v>
      </c>
      <c r="AE272" s="36">
        <v>0</v>
      </c>
      <c r="AF272" s="36">
        <v>0</v>
      </c>
      <c r="AG272" s="36">
        <v>0</v>
      </c>
      <c r="AH272" s="50">
        <v>0</v>
      </c>
      <c r="AI272" s="36">
        <v>0</v>
      </c>
      <c r="AJ272" s="36">
        <v>0</v>
      </c>
      <c r="AK272" s="36">
        <v>0</v>
      </c>
      <c r="AL272" s="36">
        <v>0</v>
      </c>
      <c r="AM272" s="50">
        <v>0</v>
      </c>
      <c r="AN272" s="36">
        <v>0</v>
      </c>
      <c r="AO272" s="36">
        <v>0</v>
      </c>
      <c r="AP272" s="36">
        <v>0</v>
      </c>
      <c r="AQ272" s="36">
        <v>0</v>
      </c>
      <c r="AR272" s="50">
        <v>0</v>
      </c>
      <c r="AS272" s="36">
        <v>0</v>
      </c>
      <c r="AT272" s="36">
        <v>0</v>
      </c>
      <c r="AU272" s="36">
        <v>0</v>
      </c>
      <c r="AV272" s="36">
        <v>0</v>
      </c>
      <c r="AW272">
        <v>0</v>
      </c>
      <c r="AX272">
        <v>0</v>
      </c>
    </row>
    <row r="273" spans="1:50" x14ac:dyDescent="0.25">
      <c r="A273" s="36"/>
      <c r="B273" t="s">
        <v>119</v>
      </c>
      <c r="C273" s="36" t="str">
        <f>'Status Thresholds'!B264</f>
        <v>Drilltusk Tetsucabra</v>
      </c>
      <c r="E273" s="36" t="str">
        <f t="shared" si="11"/>
        <v>Drilltusk Tetsucabra</v>
      </c>
      <c r="F273" s="36" t="str">
        <f>IFERROR(VLOOKUP($E273,'Status Thresholds'!$E:$AS,1,FALSE),"")</f>
        <v/>
      </c>
      <c r="G273" t="s">
        <v>12</v>
      </c>
      <c r="H273" s="55" t="str">
        <f t="shared" si="12"/>
        <v>Drilltusk TetsucabraCrag 2</v>
      </c>
      <c r="I273" s="50">
        <v>0</v>
      </c>
      <c r="J273" s="36">
        <v>0</v>
      </c>
      <c r="K273" s="36">
        <v>0</v>
      </c>
      <c r="L273" s="36">
        <v>0</v>
      </c>
      <c r="M273" s="36">
        <v>0</v>
      </c>
      <c r="N273" s="50">
        <v>0</v>
      </c>
      <c r="O273" s="36">
        <v>0</v>
      </c>
      <c r="P273" s="36">
        <v>0</v>
      </c>
      <c r="Q273" s="36">
        <v>0</v>
      </c>
      <c r="R273" s="36">
        <v>0</v>
      </c>
      <c r="S273" s="50">
        <v>0</v>
      </c>
      <c r="T273" s="36">
        <v>0</v>
      </c>
      <c r="U273" s="36">
        <v>0</v>
      </c>
      <c r="V273" s="36">
        <v>0</v>
      </c>
      <c r="W273" s="36">
        <v>0</v>
      </c>
      <c r="X273" s="50">
        <v>0</v>
      </c>
      <c r="Y273" s="36">
        <v>0</v>
      </c>
      <c r="Z273" s="36">
        <v>0</v>
      </c>
      <c r="AA273" s="36">
        <v>0</v>
      </c>
      <c r="AB273" s="36">
        <v>0</v>
      </c>
      <c r="AC273" s="50">
        <v>0</v>
      </c>
      <c r="AD273" s="36">
        <v>0</v>
      </c>
      <c r="AE273" s="36">
        <v>0</v>
      </c>
      <c r="AF273" s="36">
        <v>0</v>
      </c>
      <c r="AG273" s="36">
        <v>0</v>
      </c>
      <c r="AH273" s="50">
        <v>0</v>
      </c>
      <c r="AI273" s="36">
        <v>0</v>
      </c>
      <c r="AJ273" s="36">
        <v>0</v>
      </c>
      <c r="AK273" s="36">
        <v>0</v>
      </c>
      <c r="AL273" s="36">
        <v>0</v>
      </c>
      <c r="AM273" s="50">
        <v>0</v>
      </c>
      <c r="AN273" s="36">
        <v>0</v>
      </c>
      <c r="AO273" s="36">
        <v>0</v>
      </c>
      <c r="AP273" s="36">
        <v>0</v>
      </c>
      <c r="AQ273" s="36">
        <v>0</v>
      </c>
      <c r="AR273" s="50">
        <v>0</v>
      </c>
      <c r="AS273" s="36">
        <v>0</v>
      </c>
      <c r="AT273" s="36">
        <v>0</v>
      </c>
      <c r="AU273" s="36">
        <v>0</v>
      </c>
      <c r="AV273" s="36">
        <v>0</v>
      </c>
      <c r="AW273">
        <v>0</v>
      </c>
      <c r="AX273">
        <v>0</v>
      </c>
    </row>
    <row r="274" spans="1:50" x14ac:dyDescent="0.25">
      <c r="A274" s="36"/>
      <c r="B274" t="s">
        <v>119</v>
      </c>
      <c r="C274" s="36" t="str">
        <f>'Status Thresholds'!B265</f>
        <v>Drilltusk Tetsucabra</v>
      </c>
      <c r="E274" s="36" t="str">
        <f t="shared" si="11"/>
        <v>Drilltusk Tetsucabra</v>
      </c>
      <c r="F274" s="36" t="str">
        <f>IFERROR(VLOOKUP($E274,'Status Thresholds'!$E:$AS,1,FALSE),"")</f>
        <v/>
      </c>
      <c r="G274" t="s">
        <v>11</v>
      </c>
      <c r="H274" s="55" t="str">
        <f t="shared" si="12"/>
        <v>Drilltusk TetsucabraCrag 1</v>
      </c>
      <c r="I274" s="50">
        <v>0</v>
      </c>
      <c r="J274" s="36">
        <v>0</v>
      </c>
      <c r="K274" s="36">
        <v>0</v>
      </c>
      <c r="L274" s="36">
        <v>0</v>
      </c>
      <c r="M274" s="36">
        <v>0</v>
      </c>
      <c r="N274" s="50">
        <v>0</v>
      </c>
      <c r="O274" s="36">
        <v>0</v>
      </c>
      <c r="P274" s="36">
        <v>0</v>
      </c>
      <c r="Q274" s="36">
        <v>0</v>
      </c>
      <c r="R274" s="36">
        <v>0</v>
      </c>
      <c r="S274" s="50">
        <v>0</v>
      </c>
      <c r="T274" s="36">
        <v>0</v>
      </c>
      <c r="U274" s="36">
        <v>0</v>
      </c>
      <c r="V274" s="36">
        <v>0</v>
      </c>
      <c r="W274" s="36">
        <v>0</v>
      </c>
      <c r="X274" s="50">
        <v>0</v>
      </c>
      <c r="Y274" s="36">
        <v>0</v>
      </c>
      <c r="Z274" s="36">
        <v>0</v>
      </c>
      <c r="AA274" s="36">
        <v>0</v>
      </c>
      <c r="AB274" s="36">
        <v>0</v>
      </c>
      <c r="AC274" s="50">
        <v>0</v>
      </c>
      <c r="AD274" s="36">
        <v>0</v>
      </c>
      <c r="AE274" s="36">
        <v>0</v>
      </c>
      <c r="AF274" s="36">
        <v>0</v>
      </c>
      <c r="AG274" s="36">
        <v>0</v>
      </c>
      <c r="AH274" s="50">
        <v>0</v>
      </c>
      <c r="AI274" s="36">
        <v>0</v>
      </c>
      <c r="AJ274" s="36">
        <v>0</v>
      </c>
      <c r="AK274" s="36">
        <v>0</v>
      </c>
      <c r="AL274" s="36">
        <v>0</v>
      </c>
      <c r="AM274" s="50">
        <v>0</v>
      </c>
      <c r="AN274" s="36">
        <v>0</v>
      </c>
      <c r="AO274" s="36">
        <v>0</v>
      </c>
      <c r="AP274" s="36">
        <v>0</v>
      </c>
      <c r="AQ274" s="36">
        <v>0</v>
      </c>
      <c r="AR274" s="50">
        <v>0</v>
      </c>
      <c r="AS274" s="36">
        <v>0</v>
      </c>
      <c r="AT274" s="36">
        <v>0</v>
      </c>
      <c r="AU274" s="36">
        <v>0</v>
      </c>
      <c r="AV274" s="36">
        <v>1</v>
      </c>
      <c r="AW274">
        <v>0</v>
      </c>
      <c r="AX274">
        <v>0</v>
      </c>
    </row>
    <row r="275" spans="1:50" x14ac:dyDescent="0.25">
      <c r="A275" s="36"/>
      <c r="B275" t="s">
        <v>121</v>
      </c>
      <c r="C275" s="36" t="str">
        <f>'Status Thresholds'!B266</f>
        <v>Durambros</v>
      </c>
      <c r="D275" t="s">
        <v>14</v>
      </c>
      <c r="E275" s="36" t="str">
        <f t="shared" si="11"/>
        <v>DurambrosKO</v>
      </c>
      <c r="F275" s="36" t="str">
        <f>IFERROR(VLOOKUP($E275,'Status Thresholds'!$E:$AS,1,FALSE),"")</f>
        <v>DurambrosKO</v>
      </c>
      <c r="H275" s="55" t="str">
        <f t="shared" si="12"/>
        <v>DurambrosKO</v>
      </c>
      <c r="I275" s="50">
        <f>VLOOKUP($F275,'Status Thresholds'!$E:$AS,2,FALSE)</f>
        <v>195</v>
      </c>
      <c r="J275" s="36">
        <f>VLOOKUP($F275,'Status Thresholds'!$E:$AS,3,FALSE)</f>
        <v>390</v>
      </c>
      <c r="K275" s="36">
        <f>VLOOKUP($F275,'Status Thresholds'!$E:$AS,4,FALSE)</f>
        <v>585</v>
      </c>
      <c r="L275" s="36">
        <f>VLOOKUP($F275,'Status Thresholds'!$E:$AS,5,FALSE)</f>
        <v>780</v>
      </c>
      <c r="M275" s="36">
        <f>VLOOKUP($F275,'Status Thresholds'!$E:$AS,6,FALSE)</f>
        <v>0</v>
      </c>
      <c r="N275" s="50">
        <f>VLOOKUP($F275,'Status Thresholds'!$E:$AS,7,FALSE)</f>
        <v>0</v>
      </c>
      <c r="O275" s="36">
        <f>VLOOKUP($F275,'Status Thresholds'!$E:$AS,8,FALSE)</f>
        <v>0</v>
      </c>
      <c r="P275" s="36">
        <f>VLOOKUP($F275,'Status Thresholds'!$E:$AS,9,FALSE)</f>
        <v>0</v>
      </c>
      <c r="Q275" s="36">
        <f>VLOOKUP($F275,'Status Thresholds'!$E:$AS,10,FALSE)</f>
        <v>0</v>
      </c>
      <c r="R275" s="36">
        <f>VLOOKUP($F275,'Status Thresholds'!$E:$AS,11,FALSE)</f>
        <v>0</v>
      </c>
      <c r="S275" s="50">
        <f>VLOOKUP($F275,'Status Thresholds'!$E:$AS,12,FALSE)</f>
        <v>195</v>
      </c>
      <c r="T275" s="36">
        <f>VLOOKUP($F275,'Status Thresholds'!$E:$AS,13,FALSE)</f>
        <v>390</v>
      </c>
      <c r="U275" s="36">
        <f>VLOOKUP($F275,'Status Thresholds'!$E:$AS,14,FALSE)</f>
        <v>585</v>
      </c>
      <c r="V275" s="36">
        <f>VLOOKUP($F275,'Status Thresholds'!$E:$AS,15,FALSE)</f>
        <v>780</v>
      </c>
      <c r="W275" s="36">
        <f>VLOOKUP($F275,'Status Thresholds'!$E:$AS,16,FALSE)</f>
        <v>0</v>
      </c>
      <c r="X275" s="50">
        <f>VLOOKUP($F275,'Status Thresholds'!$E:$AS,17,FALSE)</f>
        <v>0</v>
      </c>
      <c r="Y275" s="36">
        <f>VLOOKUP($F275,'Status Thresholds'!$E:$AS,18,FALSE)</f>
        <v>0</v>
      </c>
      <c r="Z275" s="36">
        <f>VLOOKUP($F275,'Status Thresholds'!$E:$AS,19,FALSE)</f>
        <v>0</v>
      </c>
      <c r="AA275" s="36">
        <f>VLOOKUP($F275,'Status Thresholds'!$E:$AS,20,FALSE)</f>
        <v>0</v>
      </c>
      <c r="AB275" s="36">
        <f>VLOOKUP($F275,'Status Thresholds'!$E:$AS,21,FALSE)</f>
        <v>0</v>
      </c>
      <c r="AC275" s="50">
        <f>VLOOKUP($F275,'Status Thresholds'!$E:$AS,22,FALSE)</f>
        <v>225</v>
      </c>
      <c r="AD275" s="36">
        <f>VLOOKUP($F275,'Status Thresholds'!$E:$AS,23,FALSE)</f>
        <v>450</v>
      </c>
      <c r="AE275" s="36">
        <f>VLOOKUP($F275,'Status Thresholds'!$E:$AS,24,FALSE)</f>
        <v>675</v>
      </c>
      <c r="AF275" s="36">
        <f>VLOOKUP($F275,'Status Thresholds'!$E:$AS,25,FALSE)</f>
        <v>900</v>
      </c>
      <c r="AG275" s="36">
        <f>VLOOKUP($F275,'Status Thresholds'!$E:$AS,26,FALSE)</f>
        <v>0</v>
      </c>
      <c r="AH275" s="50">
        <f>VLOOKUP($F275,'Status Thresholds'!$E:$AS,27,FALSE)</f>
        <v>225</v>
      </c>
      <c r="AI275" s="36">
        <f>VLOOKUP($F275,'Status Thresholds'!$E:$AS,28,FALSE)</f>
        <v>450</v>
      </c>
      <c r="AJ275" s="36">
        <f>VLOOKUP($F275,'Status Thresholds'!$E:$AS,29,FALSE)</f>
        <v>675</v>
      </c>
      <c r="AK275" s="36">
        <f>VLOOKUP($F275,'Status Thresholds'!$E:$AS,30,FALSE)</f>
        <v>900</v>
      </c>
      <c r="AL275" s="36">
        <f>VLOOKUP($F275,'Status Thresholds'!$E:$AS,31,FALSE)</f>
        <v>0</v>
      </c>
      <c r="AM275" s="50">
        <f>VLOOKUP($F275,'Status Thresholds'!$E:$AS,32,FALSE)</f>
        <v>0</v>
      </c>
      <c r="AN275" s="36">
        <f>VLOOKUP($F275,'Status Thresholds'!$E:$AS,33,FALSE)</f>
        <v>0</v>
      </c>
      <c r="AO275" s="36">
        <f>VLOOKUP($F275,'Status Thresholds'!$E:$AS,34,FALSE)</f>
        <v>0</v>
      </c>
      <c r="AP275" s="36">
        <f>VLOOKUP($F275,'Status Thresholds'!$E:$AS,35,FALSE)</f>
        <v>0</v>
      </c>
      <c r="AQ275" s="36">
        <f>VLOOKUP($F275,'Status Thresholds'!$E:$AS,36,FALSE)</f>
        <v>0</v>
      </c>
      <c r="AR275" s="50">
        <f>VLOOKUP($F275,'Status Thresholds'!$E:$AS,37,FALSE)</f>
        <v>0</v>
      </c>
      <c r="AS275" s="36">
        <f>VLOOKUP($F275,'Status Thresholds'!$E:$AS,38,FALSE)</f>
        <v>0</v>
      </c>
      <c r="AT275" s="36">
        <f>VLOOKUP($F275,'Status Thresholds'!$E:$AS,39,FALSE)</f>
        <v>0</v>
      </c>
      <c r="AU275" s="36">
        <f>VLOOKUP($F275,'Status Thresholds'!$E:$AS,40,FALSE)</f>
        <v>0</v>
      </c>
      <c r="AV275" s="36">
        <f>VLOOKUP($F275,'Status Thresholds'!$E:$AS,41,FALSE)</f>
        <v>15</v>
      </c>
      <c r="AW275">
        <v>0</v>
      </c>
      <c r="AX275">
        <v>0</v>
      </c>
    </row>
    <row r="276" spans="1:50" x14ac:dyDescent="0.25">
      <c r="A276" s="36"/>
      <c r="B276" t="s">
        <v>120</v>
      </c>
      <c r="C276" s="36" t="str">
        <f>'Status Thresholds'!B267</f>
        <v>Durambros</v>
      </c>
      <c r="E276" s="36" t="str">
        <f t="shared" si="11"/>
        <v>Durambros</v>
      </c>
      <c r="F276" s="36" t="str">
        <f>IFERROR(VLOOKUP($E276,'Status Thresholds'!$E:$AS,1,FALSE),"")</f>
        <v/>
      </c>
      <c r="G276" t="s">
        <v>21</v>
      </c>
      <c r="H276" s="55" t="str">
        <f t="shared" si="12"/>
        <v>DurambrosTriblast</v>
      </c>
      <c r="I276" s="50">
        <v>1</v>
      </c>
      <c r="J276" s="36">
        <v>2</v>
      </c>
      <c r="K276" s="36">
        <v>2</v>
      </c>
      <c r="L276" s="36">
        <v>2</v>
      </c>
      <c r="M276" s="36">
        <v>0</v>
      </c>
      <c r="N276" s="50">
        <v>0</v>
      </c>
      <c r="O276" s="36">
        <v>0</v>
      </c>
      <c r="P276" s="36">
        <v>0</v>
      </c>
      <c r="Q276" s="36">
        <v>0</v>
      </c>
      <c r="R276" s="36">
        <v>0</v>
      </c>
      <c r="S276" s="50">
        <v>1</v>
      </c>
      <c r="T276" s="36">
        <v>2</v>
      </c>
      <c r="U276" s="36">
        <v>2</v>
      </c>
      <c r="V276" s="36">
        <v>2</v>
      </c>
      <c r="W276" s="36">
        <v>0</v>
      </c>
      <c r="X276" s="50">
        <v>0</v>
      </c>
      <c r="Y276" s="36">
        <v>0</v>
      </c>
      <c r="Z276" s="36">
        <v>0</v>
      </c>
      <c r="AA276" s="36">
        <v>0</v>
      </c>
      <c r="AB276" s="36">
        <v>0</v>
      </c>
      <c r="AC276" s="50">
        <v>2</v>
      </c>
      <c r="AD276" s="36">
        <v>0</v>
      </c>
      <c r="AE276" s="36">
        <v>2</v>
      </c>
      <c r="AF276" s="36">
        <v>2</v>
      </c>
      <c r="AG276" s="36">
        <v>0</v>
      </c>
      <c r="AH276" s="50">
        <v>2</v>
      </c>
      <c r="AI276" s="36">
        <v>0</v>
      </c>
      <c r="AJ276" s="36">
        <v>2</v>
      </c>
      <c r="AK276" s="36">
        <v>2</v>
      </c>
      <c r="AL276" s="36">
        <v>0</v>
      </c>
      <c r="AM276" s="50">
        <v>0</v>
      </c>
      <c r="AN276" s="36">
        <v>0</v>
      </c>
      <c r="AO276" s="36">
        <v>0</v>
      </c>
      <c r="AP276" s="36">
        <v>0</v>
      </c>
      <c r="AQ276" s="36">
        <v>0</v>
      </c>
      <c r="AR276" s="50">
        <v>0</v>
      </c>
      <c r="AS276" s="36">
        <v>0</v>
      </c>
      <c r="AT276" s="36">
        <v>0</v>
      </c>
      <c r="AU276" s="36">
        <v>0</v>
      </c>
      <c r="AV276" s="36">
        <v>0</v>
      </c>
      <c r="AW276">
        <v>0</v>
      </c>
    </row>
    <row r="277" spans="1:50" x14ac:dyDescent="0.25">
      <c r="A277" s="36"/>
      <c r="B277" t="s">
        <v>120</v>
      </c>
      <c r="C277" s="36" t="str">
        <f>'Status Thresholds'!B268</f>
        <v>Durambros</v>
      </c>
      <c r="E277" s="36" t="str">
        <f t="shared" si="11"/>
        <v>Durambros</v>
      </c>
      <c r="F277" s="36" t="str">
        <f>IFERROR(VLOOKUP($E277,'Status Thresholds'!$E:$AS,1,FALSE),"")</f>
        <v/>
      </c>
      <c r="G277" t="s">
        <v>13</v>
      </c>
      <c r="H277" s="55" t="str">
        <f t="shared" si="12"/>
        <v>DurambrosCrag 3</v>
      </c>
      <c r="I277" s="50">
        <v>0</v>
      </c>
      <c r="J277" s="36">
        <v>4</v>
      </c>
      <c r="K277" s="36">
        <v>3</v>
      </c>
      <c r="L277" s="36">
        <v>4</v>
      </c>
      <c r="M277" s="36">
        <v>0</v>
      </c>
      <c r="N277" s="50">
        <v>0</v>
      </c>
      <c r="O277" s="36">
        <v>0</v>
      </c>
      <c r="P277" s="36">
        <v>0</v>
      </c>
      <c r="Q277" s="36">
        <v>0</v>
      </c>
      <c r="R277" s="36">
        <v>0</v>
      </c>
      <c r="S277" s="50">
        <v>0</v>
      </c>
      <c r="T277" s="36">
        <v>4</v>
      </c>
      <c r="U277" s="36">
        <v>3</v>
      </c>
      <c r="V277" s="36">
        <v>4</v>
      </c>
      <c r="W277" s="36">
        <v>0</v>
      </c>
      <c r="X277" s="50">
        <v>0</v>
      </c>
      <c r="Y277" s="36">
        <v>0</v>
      </c>
      <c r="Z277" s="36">
        <v>0</v>
      </c>
      <c r="AA277" s="36">
        <v>0</v>
      </c>
      <c r="AB277" s="36">
        <v>0</v>
      </c>
      <c r="AC277" s="50">
        <v>0</v>
      </c>
      <c r="AD277" s="36">
        <v>4</v>
      </c>
      <c r="AE277" s="36">
        <v>4</v>
      </c>
      <c r="AF277" s="36">
        <v>4</v>
      </c>
      <c r="AG277" s="36">
        <v>0</v>
      </c>
      <c r="AH277" s="50">
        <v>0</v>
      </c>
      <c r="AI277" s="36">
        <v>4</v>
      </c>
      <c r="AJ277" s="36">
        <v>4</v>
      </c>
      <c r="AK277" s="36">
        <v>4</v>
      </c>
      <c r="AL277" s="36">
        <v>0</v>
      </c>
      <c r="AM277" s="50">
        <v>0</v>
      </c>
      <c r="AN277" s="36">
        <v>0</v>
      </c>
      <c r="AO277" s="36">
        <v>0</v>
      </c>
      <c r="AP277" s="36">
        <v>0</v>
      </c>
      <c r="AQ277" s="36">
        <v>0</v>
      </c>
      <c r="AR277" s="50">
        <v>0</v>
      </c>
      <c r="AS277" s="36">
        <v>0</v>
      </c>
      <c r="AT277" s="36">
        <v>0</v>
      </c>
      <c r="AU277" s="36">
        <v>0</v>
      </c>
      <c r="AV277" s="36">
        <v>0</v>
      </c>
      <c r="AW277">
        <v>0</v>
      </c>
      <c r="AX277">
        <v>0</v>
      </c>
    </row>
    <row r="278" spans="1:50" x14ac:dyDescent="0.25">
      <c r="A278" s="36"/>
      <c r="B278" t="s">
        <v>120</v>
      </c>
      <c r="C278" s="36" t="str">
        <f>'Status Thresholds'!B269</f>
        <v>Durambros</v>
      </c>
      <c r="E278" s="36" t="str">
        <f t="shared" si="11"/>
        <v>Durambros</v>
      </c>
      <c r="F278" s="36" t="str">
        <f>IFERROR(VLOOKUP($E278,'Status Thresholds'!$E:$AS,1,FALSE),"")</f>
        <v/>
      </c>
      <c r="G278" t="s">
        <v>12</v>
      </c>
      <c r="H278" s="55" t="str">
        <f t="shared" si="12"/>
        <v>DurambrosCrag 2</v>
      </c>
      <c r="I278" s="50">
        <v>4</v>
      </c>
      <c r="J278" s="36">
        <v>1</v>
      </c>
      <c r="K278" s="36">
        <v>4</v>
      </c>
      <c r="L278" s="36">
        <v>4</v>
      </c>
      <c r="M278" s="36">
        <v>0</v>
      </c>
      <c r="N278" s="50">
        <v>0</v>
      </c>
      <c r="O278" s="36">
        <v>0</v>
      </c>
      <c r="P278" s="36">
        <v>0</v>
      </c>
      <c r="Q278" s="36">
        <v>0</v>
      </c>
      <c r="R278" s="36">
        <v>0</v>
      </c>
      <c r="S278" s="50">
        <v>4</v>
      </c>
      <c r="T278" s="36">
        <v>1</v>
      </c>
      <c r="U278" s="36">
        <v>4</v>
      </c>
      <c r="V278" s="36">
        <v>4</v>
      </c>
      <c r="W278" s="36">
        <v>0</v>
      </c>
      <c r="X278" s="50">
        <v>0</v>
      </c>
      <c r="Y278" s="36">
        <v>0</v>
      </c>
      <c r="Z278" s="36">
        <v>0</v>
      </c>
      <c r="AA278" s="36">
        <v>0</v>
      </c>
      <c r="AB278" s="36">
        <v>0</v>
      </c>
      <c r="AC278" s="50">
        <v>0</v>
      </c>
      <c r="AD278" s="36">
        <v>3</v>
      </c>
      <c r="AE278" s="36">
        <v>4</v>
      </c>
      <c r="AF278" s="36">
        <v>4</v>
      </c>
      <c r="AG278" s="36">
        <v>0</v>
      </c>
      <c r="AH278" s="50">
        <v>0</v>
      </c>
      <c r="AI278" s="36">
        <v>3</v>
      </c>
      <c r="AJ278" s="36">
        <v>4</v>
      </c>
      <c r="AK278" s="36">
        <v>4</v>
      </c>
      <c r="AL278" s="36">
        <v>0</v>
      </c>
      <c r="AM278" s="50">
        <v>0</v>
      </c>
      <c r="AN278" s="36">
        <v>0</v>
      </c>
      <c r="AO278" s="36">
        <v>0</v>
      </c>
      <c r="AP278" s="36">
        <v>0</v>
      </c>
      <c r="AQ278" s="36">
        <v>0</v>
      </c>
      <c r="AR278" s="50">
        <v>0</v>
      </c>
      <c r="AS278" s="36">
        <v>0</v>
      </c>
      <c r="AT278" s="36">
        <v>0</v>
      </c>
      <c r="AU278" s="36">
        <v>0</v>
      </c>
      <c r="AV278" s="36">
        <v>0</v>
      </c>
      <c r="AW278">
        <v>0</v>
      </c>
      <c r="AX278">
        <v>0</v>
      </c>
    </row>
    <row r="279" spans="1:50" x14ac:dyDescent="0.25">
      <c r="A279" s="36"/>
      <c r="B279" t="s">
        <v>120</v>
      </c>
      <c r="C279" s="36" t="str">
        <f>'Status Thresholds'!B270</f>
        <v>Durambros</v>
      </c>
      <c r="E279" s="36" t="str">
        <f t="shared" si="11"/>
        <v>Durambros</v>
      </c>
      <c r="F279" s="36" t="str">
        <f>IFERROR(VLOOKUP($E279,'Status Thresholds'!$E:$AS,1,FALSE),"")</f>
        <v/>
      </c>
      <c r="G279" t="s">
        <v>11</v>
      </c>
      <c r="H279" s="55" t="str">
        <f t="shared" si="12"/>
        <v>DurambrosCrag 1</v>
      </c>
      <c r="I279" s="50">
        <v>0</v>
      </c>
      <c r="J279" s="36">
        <v>2</v>
      </c>
      <c r="K279" s="36">
        <v>8</v>
      </c>
      <c r="L279" s="36">
        <v>8</v>
      </c>
      <c r="M279" s="36">
        <v>0</v>
      </c>
      <c r="N279" s="50">
        <v>0</v>
      </c>
      <c r="O279" s="36">
        <v>0</v>
      </c>
      <c r="P279" s="36">
        <v>0</v>
      </c>
      <c r="Q279" s="36">
        <v>0</v>
      </c>
      <c r="R279" s="36">
        <v>0</v>
      </c>
      <c r="S279" s="50">
        <v>0</v>
      </c>
      <c r="T279" s="36">
        <v>2</v>
      </c>
      <c r="U279" s="36">
        <v>8</v>
      </c>
      <c r="V279" s="36">
        <v>8</v>
      </c>
      <c r="W279" s="36">
        <v>0</v>
      </c>
      <c r="X279" s="50">
        <v>0</v>
      </c>
      <c r="Y279" s="36">
        <v>0</v>
      </c>
      <c r="Z279" s="36">
        <v>0</v>
      </c>
      <c r="AA279" s="36">
        <v>0</v>
      </c>
      <c r="AB279" s="36">
        <v>0</v>
      </c>
      <c r="AC279" s="50">
        <v>3</v>
      </c>
      <c r="AD279" s="36">
        <v>8</v>
      </c>
      <c r="AE279" s="36">
        <v>8</v>
      </c>
      <c r="AF279" s="36">
        <v>8</v>
      </c>
      <c r="AG279" s="36">
        <v>0</v>
      </c>
      <c r="AH279" s="50">
        <v>3</v>
      </c>
      <c r="AI279" s="36">
        <v>8</v>
      </c>
      <c r="AJ279" s="36">
        <v>8</v>
      </c>
      <c r="AK279" s="36">
        <v>8</v>
      </c>
      <c r="AL279" s="36">
        <v>0</v>
      </c>
      <c r="AM279" s="50">
        <v>0</v>
      </c>
      <c r="AN279" s="36">
        <v>0</v>
      </c>
      <c r="AO279" s="36">
        <v>0</v>
      </c>
      <c r="AP279" s="36">
        <v>0</v>
      </c>
      <c r="AQ279" s="36">
        <v>0</v>
      </c>
      <c r="AR279" s="50">
        <v>0</v>
      </c>
      <c r="AS279" s="36">
        <v>0</v>
      </c>
      <c r="AT279" s="36">
        <v>0</v>
      </c>
      <c r="AU279" s="36">
        <v>0</v>
      </c>
      <c r="AV279" s="36">
        <v>1</v>
      </c>
      <c r="AW279">
        <v>0</v>
      </c>
      <c r="AX279">
        <v>0</v>
      </c>
    </row>
    <row r="280" spans="1:50" x14ac:dyDescent="0.25">
      <c r="A280" s="36"/>
      <c r="B280" t="s">
        <v>119</v>
      </c>
      <c r="C280" s="36" t="str">
        <f>'Status Thresholds'!B271</f>
        <v>Durambros</v>
      </c>
      <c r="E280" s="36" t="str">
        <f t="shared" si="11"/>
        <v>Durambros</v>
      </c>
      <c r="F280" s="36" t="str">
        <f>IFERROR(VLOOKUP($E280,'Status Thresholds'!$E:$AS,1,FALSE),"")</f>
        <v/>
      </c>
      <c r="G280" t="s">
        <v>21</v>
      </c>
      <c r="H280" s="55" t="str">
        <f t="shared" si="12"/>
        <v>DurambrosTriblast</v>
      </c>
      <c r="I280" s="50">
        <v>2</v>
      </c>
      <c r="J280" s="36">
        <v>2</v>
      </c>
      <c r="K280" s="36">
        <v>2</v>
      </c>
      <c r="L280" s="36">
        <v>2</v>
      </c>
      <c r="M280" s="36">
        <v>0</v>
      </c>
      <c r="N280" s="50">
        <v>0</v>
      </c>
      <c r="O280" s="36">
        <v>0</v>
      </c>
      <c r="P280" s="36">
        <v>0</v>
      </c>
      <c r="Q280" s="36">
        <v>0</v>
      </c>
      <c r="R280" s="36">
        <v>0</v>
      </c>
      <c r="S280" s="50">
        <v>2</v>
      </c>
      <c r="T280" s="36">
        <v>2</v>
      </c>
      <c r="U280" s="36">
        <v>2</v>
      </c>
      <c r="V280" s="36">
        <v>2</v>
      </c>
      <c r="W280" s="36">
        <v>0</v>
      </c>
      <c r="X280" s="50">
        <v>0</v>
      </c>
      <c r="Y280" s="36">
        <v>0</v>
      </c>
      <c r="Z280" s="36">
        <v>0</v>
      </c>
      <c r="AA280" s="36">
        <v>0</v>
      </c>
      <c r="AB280" s="36">
        <v>0</v>
      </c>
      <c r="AC280" s="50">
        <v>0</v>
      </c>
      <c r="AD280" s="36">
        <v>2</v>
      </c>
      <c r="AE280" s="36">
        <v>2</v>
      </c>
      <c r="AF280" s="36">
        <v>2</v>
      </c>
      <c r="AG280" s="36">
        <v>0</v>
      </c>
      <c r="AH280" s="50">
        <v>0</v>
      </c>
      <c r="AI280" s="36">
        <v>2</v>
      </c>
      <c r="AJ280" s="36">
        <v>2</v>
      </c>
      <c r="AK280" s="36">
        <v>2</v>
      </c>
      <c r="AL280" s="36">
        <v>0</v>
      </c>
      <c r="AM280" s="50">
        <v>0</v>
      </c>
      <c r="AN280" s="36">
        <v>0</v>
      </c>
      <c r="AO280" s="36">
        <v>0</v>
      </c>
      <c r="AP280" s="36">
        <v>0</v>
      </c>
      <c r="AQ280" s="36">
        <v>0</v>
      </c>
      <c r="AR280" s="50">
        <v>0</v>
      </c>
      <c r="AS280" s="36">
        <v>0</v>
      </c>
      <c r="AT280" s="36">
        <v>0</v>
      </c>
      <c r="AU280" s="36">
        <v>0</v>
      </c>
      <c r="AV280" s="36">
        <v>0</v>
      </c>
      <c r="AW280">
        <v>0</v>
      </c>
      <c r="AX280">
        <v>0</v>
      </c>
    </row>
    <row r="281" spans="1:50" x14ac:dyDescent="0.25">
      <c r="A281" s="36"/>
      <c r="B281" t="s">
        <v>119</v>
      </c>
      <c r="C281" s="36" t="str">
        <f>'Status Thresholds'!B272</f>
        <v>Durambros</v>
      </c>
      <c r="E281" s="36" t="str">
        <f t="shared" si="11"/>
        <v>Durambros</v>
      </c>
      <c r="F281" s="36" t="str">
        <f>IFERROR(VLOOKUP($E281,'Status Thresholds'!$E:$AS,1,FALSE),"")</f>
        <v/>
      </c>
      <c r="G281" t="s">
        <v>13</v>
      </c>
      <c r="H281" s="55" t="str">
        <f t="shared" si="12"/>
        <v>DurambrosCrag 3</v>
      </c>
      <c r="I281" s="50">
        <v>0</v>
      </c>
      <c r="J281" s="36">
        <v>0</v>
      </c>
      <c r="K281" s="36">
        <v>4</v>
      </c>
      <c r="L281" s="36">
        <v>4</v>
      </c>
      <c r="M281" s="36">
        <v>0</v>
      </c>
      <c r="N281" s="50">
        <v>0</v>
      </c>
      <c r="O281" s="36">
        <v>0</v>
      </c>
      <c r="P281" s="36">
        <v>0</v>
      </c>
      <c r="Q281" s="36">
        <v>0</v>
      </c>
      <c r="R281" s="36">
        <v>0</v>
      </c>
      <c r="S281" s="50">
        <v>0</v>
      </c>
      <c r="T281" s="36">
        <v>0</v>
      </c>
      <c r="U281" s="36">
        <v>4</v>
      </c>
      <c r="V281" s="36">
        <v>4</v>
      </c>
      <c r="W281" s="36">
        <v>0</v>
      </c>
      <c r="X281" s="50">
        <v>0</v>
      </c>
      <c r="Y281" s="36">
        <v>0</v>
      </c>
      <c r="Z281" s="36">
        <v>0</v>
      </c>
      <c r="AA281" s="36">
        <v>0</v>
      </c>
      <c r="AB281" s="36">
        <v>0</v>
      </c>
      <c r="AC281" s="50">
        <v>3</v>
      </c>
      <c r="AD281" s="36">
        <v>0</v>
      </c>
      <c r="AE281" s="36">
        <v>4</v>
      </c>
      <c r="AF281" s="36">
        <v>4</v>
      </c>
      <c r="AG281" s="36">
        <v>0</v>
      </c>
      <c r="AH281" s="50">
        <v>3</v>
      </c>
      <c r="AI281" s="36">
        <v>0</v>
      </c>
      <c r="AJ281" s="36">
        <v>4</v>
      </c>
      <c r="AK281" s="36">
        <v>4</v>
      </c>
      <c r="AL281" s="36">
        <v>0</v>
      </c>
      <c r="AM281" s="50">
        <v>0</v>
      </c>
      <c r="AN281" s="36">
        <v>0</v>
      </c>
      <c r="AO281" s="36">
        <v>0</v>
      </c>
      <c r="AP281" s="36">
        <v>0</v>
      </c>
      <c r="AQ281" s="36">
        <v>0</v>
      </c>
      <c r="AR281" s="50">
        <v>0</v>
      </c>
      <c r="AS281" s="36">
        <v>0</v>
      </c>
      <c r="AT281" s="36">
        <v>0</v>
      </c>
      <c r="AU281" s="36">
        <v>0</v>
      </c>
      <c r="AV281" s="36">
        <v>0</v>
      </c>
      <c r="AW281">
        <v>0</v>
      </c>
      <c r="AX281">
        <v>0</v>
      </c>
    </row>
    <row r="282" spans="1:50" x14ac:dyDescent="0.25">
      <c r="A282" s="36"/>
      <c r="B282" t="s">
        <v>119</v>
      </c>
      <c r="C282" s="36" t="str">
        <f>'Status Thresholds'!B273</f>
        <v>Durambros</v>
      </c>
      <c r="E282" s="36" t="str">
        <f t="shared" si="11"/>
        <v>Durambros</v>
      </c>
      <c r="F282" s="36" t="str">
        <f>IFERROR(VLOOKUP($E282,'Status Thresholds'!$E:$AS,1,FALSE),"")</f>
        <v/>
      </c>
      <c r="G282" t="s">
        <v>12</v>
      </c>
      <c r="H282" s="55" t="str">
        <f t="shared" si="12"/>
        <v>DurambrosCrag 2</v>
      </c>
      <c r="I282" s="50">
        <v>1</v>
      </c>
      <c r="J282" s="36">
        <v>2</v>
      </c>
      <c r="K282" s="36">
        <v>1</v>
      </c>
      <c r="L282" s="36">
        <v>4</v>
      </c>
      <c r="M282" s="36">
        <v>0</v>
      </c>
      <c r="N282" s="50">
        <v>0</v>
      </c>
      <c r="O282" s="36">
        <v>0</v>
      </c>
      <c r="P282" s="36">
        <v>0</v>
      </c>
      <c r="Q282" s="36">
        <v>0</v>
      </c>
      <c r="R282" s="36">
        <v>0</v>
      </c>
      <c r="S282" s="50">
        <v>1</v>
      </c>
      <c r="T282" s="36">
        <v>2</v>
      </c>
      <c r="U282" s="36">
        <v>1</v>
      </c>
      <c r="V282" s="36">
        <v>4</v>
      </c>
      <c r="W282" s="36">
        <v>0</v>
      </c>
      <c r="X282" s="50">
        <v>0</v>
      </c>
      <c r="Y282" s="36">
        <v>0</v>
      </c>
      <c r="Z282" s="36">
        <v>0</v>
      </c>
      <c r="AA282" s="36">
        <v>0</v>
      </c>
      <c r="AB282" s="36">
        <v>0</v>
      </c>
      <c r="AC282" s="50">
        <v>2</v>
      </c>
      <c r="AD282" s="36">
        <v>3</v>
      </c>
      <c r="AE282" s="36">
        <v>4</v>
      </c>
      <c r="AF282" s="36">
        <v>4</v>
      </c>
      <c r="AG282" s="36">
        <v>0</v>
      </c>
      <c r="AH282" s="50">
        <v>2</v>
      </c>
      <c r="AI282" s="36">
        <v>3</v>
      </c>
      <c r="AJ282" s="36">
        <v>4</v>
      </c>
      <c r="AK282" s="36">
        <v>4</v>
      </c>
      <c r="AL282" s="36">
        <v>0</v>
      </c>
      <c r="AM282" s="50">
        <v>0</v>
      </c>
      <c r="AN282" s="36">
        <v>0</v>
      </c>
      <c r="AO282" s="36">
        <v>0</v>
      </c>
      <c r="AP282" s="36">
        <v>0</v>
      </c>
      <c r="AQ282" s="36">
        <v>0</v>
      </c>
      <c r="AR282" s="50">
        <v>0</v>
      </c>
      <c r="AS282" s="36">
        <v>0</v>
      </c>
      <c r="AT282" s="36">
        <v>0</v>
      </c>
      <c r="AU282" s="36">
        <v>0</v>
      </c>
      <c r="AV282" s="36">
        <v>0</v>
      </c>
      <c r="AW282">
        <v>0</v>
      </c>
      <c r="AX282">
        <v>0</v>
      </c>
    </row>
    <row r="283" spans="1:50" x14ac:dyDescent="0.25">
      <c r="A283" s="36"/>
      <c r="B283" t="s">
        <v>119</v>
      </c>
      <c r="C283" s="36" t="str">
        <f>'Status Thresholds'!B274</f>
        <v>Durambros</v>
      </c>
      <c r="E283" s="36" t="str">
        <f t="shared" si="11"/>
        <v>Durambros</v>
      </c>
      <c r="F283" s="36" t="str">
        <f>IFERROR(VLOOKUP($E283,'Status Thresholds'!$E:$AS,1,FALSE),"")</f>
        <v/>
      </c>
      <c r="G283" t="s">
        <v>11</v>
      </c>
      <c r="H283" s="55" t="str">
        <f t="shared" si="12"/>
        <v>DurambrosCrag 1</v>
      </c>
      <c r="I283" s="50">
        <v>0</v>
      </c>
      <c r="J283" s="36">
        <v>6</v>
      </c>
      <c r="K283" s="36">
        <v>8</v>
      </c>
      <c r="L283" s="36">
        <v>8</v>
      </c>
      <c r="M283" s="36">
        <v>0</v>
      </c>
      <c r="N283" s="50">
        <v>0</v>
      </c>
      <c r="O283" s="36">
        <v>0</v>
      </c>
      <c r="P283" s="36">
        <v>0</v>
      </c>
      <c r="Q283" s="36">
        <v>0</v>
      </c>
      <c r="R283" s="36">
        <v>0</v>
      </c>
      <c r="S283" s="50">
        <v>0</v>
      </c>
      <c r="T283" s="36">
        <v>6</v>
      </c>
      <c r="U283" s="36">
        <v>8</v>
      </c>
      <c r="V283" s="36">
        <v>8</v>
      </c>
      <c r="W283" s="36">
        <v>0</v>
      </c>
      <c r="X283" s="50">
        <v>0</v>
      </c>
      <c r="Y283" s="36">
        <v>0</v>
      </c>
      <c r="Z283" s="36">
        <v>0</v>
      </c>
      <c r="AA283" s="36">
        <v>0</v>
      </c>
      <c r="AB283" s="36">
        <v>0</v>
      </c>
      <c r="AC283" s="50">
        <v>1</v>
      </c>
      <c r="AD283" s="36">
        <v>7</v>
      </c>
      <c r="AE283" s="36">
        <v>8</v>
      </c>
      <c r="AF283" s="36">
        <v>8</v>
      </c>
      <c r="AG283" s="36">
        <v>0</v>
      </c>
      <c r="AH283" s="50">
        <v>1</v>
      </c>
      <c r="AI283" s="36">
        <v>7</v>
      </c>
      <c r="AJ283" s="36">
        <v>8</v>
      </c>
      <c r="AK283" s="36">
        <v>8</v>
      </c>
      <c r="AL283" s="36">
        <v>0</v>
      </c>
      <c r="AM283" s="50">
        <v>0</v>
      </c>
      <c r="AN283" s="36">
        <v>0</v>
      </c>
      <c r="AO283" s="36">
        <v>0</v>
      </c>
      <c r="AP283" s="36">
        <v>0</v>
      </c>
      <c r="AQ283" s="36">
        <v>0</v>
      </c>
      <c r="AR283" s="50">
        <v>0</v>
      </c>
      <c r="AS283" s="36">
        <v>0</v>
      </c>
      <c r="AT283" s="36">
        <v>0</v>
      </c>
      <c r="AU283" s="36">
        <v>0</v>
      </c>
      <c r="AV283" s="36">
        <v>1</v>
      </c>
      <c r="AW283">
        <v>0</v>
      </c>
      <c r="AX283">
        <v>0</v>
      </c>
    </row>
    <row r="284" spans="1:50" x14ac:dyDescent="0.25">
      <c r="A284" s="36"/>
      <c r="B284" t="s">
        <v>121</v>
      </c>
      <c r="C284" s="36" t="str">
        <f>'Status Thresholds'!B275</f>
        <v>Elderfrost Gammoth</v>
      </c>
      <c r="D284" t="s">
        <v>14</v>
      </c>
      <c r="E284" s="36" t="str">
        <f t="shared" si="11"/>
        <v>Elderfrost GammothKO</v>
      </c>
      <c r="F284" s="36" t="str">
        <f>IFERROR(VLOOKUP($E284,'Status Thresholds'!$E:$AS,1,FALSE),"")</f>
        <v>Elderfrost GammothKO</v>
      </c>
      <c r="H284" s="55" t="str">
        <f t="shared" si="12"/>
        <v>Elderfrost GammothKO</v>
      </c>
      <c r="I284" s="50">
        <f>VLOOKUP($F284,'Status Thresholds'!$E:$AS,2,FALSE)</f>
        <v>0</v>
      </c>
      <c r="J284" s="36">
        <f>VLOOKUP($F284,'Status Thresholds'!$E:$AS,3,FALSE)</f>
        <v>0</v>
      </c>
      <c r="K284" s="36">
        <f>VLOOKUP($F284,'Status Thresholds'!$E:$AS,4,FALSE)</f>
        <v>0</v>
      </c>
      <c r="L284" s="36">
        <f>VLOOKUP($F284,'Status Thresholds'!$E:$AS,5,FALSE)</f>
        <v>0</v>
      </c>
      <c r="M284" s="36">
        <f>VLOOKUP($F284,'Status Thresholds'!$E:$AS,6,FALSE)</f>
        <v>0</v>
      </c>
      <c r="N284" s="50">
        <f>VLOOKUP($F284,'Status Thresholds'!$E:$AS,7,FALSE)</f>
        <v>0</v>
      </c>
      <c r="O284" s="36">
        <f>VLOOKUP($F284,'Status Thresholds'!$E:$AS,8,FALSE)</f>
        <v>0</v>
      </c>
      <c r="P284" s="36">
        <f>VLOOKUP($F284,'Status Thresholds'!$E:$AS,9,FALSE)</f>
        <v>0</v>
      </c>
      <c r="Q284" s="36">
        <f>VLOOKUP($F284,'Status Thresholds'!$E:$AS,10,FALSE)</f>
        <v>0</v>
      </c>
      <c r="R284" s="36">
        <f>VLOOKUP($F284,'Status Thresholds'!$E:$AS,11,FALSE)</f>
        <v>0</v>
      </c>
      <c r="S284" s="50">
        <f>VLOOKUP($F284,'Status Thresholds'!$E:$AS,12,FALSE)</f>
        <v>0</v>
      </c>
      <c r="T284" s="36">
        <f>VLOOKUP($F284,'Status Thresholds'!$E:$AS,13,FALSE)</f>
        <v>0</v>
      </c>
      <c r="U284" s="36">
        <f>VLOOKUP($F284,'Status Thresholds'!$E:$AS,14,FALSE)</f>
        <v>0</v>
      </c>
      <c r="V284" s="36">
        <f>VLOOKUP($F284,'Status Thresholds'!$E:$AS,15,FALSE)</f>
        <v>0</v>
      </c>
      <c r="W284" s="36">
        <f>VLOOKUP($F284,'Status Thresholds'!$E:$AS,16,FALSE)</f>
        <v>0</v>
      </c>
      <c r="X284" s="50">
        <f>VLOOKUP($F284,'Status Thresholds'!$E:$AS,17,FALSE)</f>
        <v>0</v>
      </c>
      <c r="Y284" s="36">
        <f>VLOOKUP($F284,'Status Thresholds'!$E:$AS,18,FALSE)</f>
        <v>0</v>
      </c>
      <c r="Z284" s="36">
        <f>VLOOKUP($F284,'Status Thresholds'!$E:$AS,19,FALSE)</f>
        <v>0</v>
      </c>
      <c r="AA284" s="36">
        <f>VLOOKUP($F284,'Status Thresholds'!$E:$AS,20,FALSE)</f>
        <v>0</v>
      </c>
      <c r="AB284" s="36">
        <f>VLOOKUP($F284,'Status Thresholds'!$E:$AS,21,FALSE)</f>
        <v>0</v>
      </c>
      <c r="AC284" s="50">
        <f>VLOOKUP($F284,'Status Thresholds'!$E:$AS,22,FALSE)</f>
        <v>0</v>
      </c>
      <c r="AD284" s="36">
        <f>VLOOKUP($F284,'Status Thresholds'!$E:$AS,23,FALSE)</f>
        <v>0</v>
      </c>
      <c r="AE284" s="36">
        <f>VLOOKUP($F284,'Status Thresholds'!$E:$AS,24,FALSE)</f>
        <v>0</v>
      </c>
      <c r="AF284" s="36">
        <f>VLOOKUP($F284,'Status Thresholds'!$E:$AS,25,FALSE)</f>
        <v>0</v>
      </c>
      <c r="AG284" s="36">
        <f>VLOOKUP($F284,'Status Thresholds'!$E:$AS,26,FALSE)</f>
        <v>0</v>
      </c>
      <c r="AH284" s="50">
        <f>VLOOKUP($F284,'Status Thresholds'!$E:$AS,27,FALSE)</f>
        <v>0</v>
      </c>
      <c r="AI284" s="36">
        <f>VLOOKUP($F284,'Status Thresholds'!$E:$AS,28,FALSE)</f>
        <v>0</v>
      </c>
      <c r="AJ284" s="36">
        <f>VLOOKUP($F284,'Status Thresholds'!$E:$AS,29,FALSE)</f>
        <v>0</v>
      </c>
      <c r="AK284" s="36">
        <f>VLOOKUP($F284,'Status Thresholds'!$E:$AS,30,FALSE)</f>
        <v>0</v>
      </c>
      <c r="AL284" s="36">
        <f>VLOOKUP($F284,'Status Thresholds'!$E:$AS,31,FALSE)</f>
        <v>0</v>
      </c>
      <c r="AM284" s="50">
        <f>VLOOKUP($F284,'Status Thresholds'!$E:$AS,32,FALSE)</f>
        <v>0</v>
      </c>
      <c r="AN284" s="36">
        <f>VLOOKUP($F284,'Status Thresholds'!$E:$AS,33,FALSE)</f>
        <v>0</v>
      </c>
      <c r="AO284" s="36">
        <f>VLOOKUP($F284,'Status Thresholds'!$E:$AS,34,FALSE)</f>
        <v>0</v>
      </c>
      <c r="AP284" s="36">
        <f>VLOOKUP($F284,'Status Thresholds'!$E:$AS,35,FALSE)</f>
        <v>0</v>
      </c>
      <c r="AQ284" s="36">
        <f>VLOOKUP($F284,'Status Thresholds'!$E:$AS,36,FALSE)</f>
        <v>0</v>
      </c>
      <c r="AR284" s="50">
        <f>VLOOKUP($F284,'Status Thresholds'!$E:$AS,37,FALSE)</f>
        <v>0</v>
      </c>
      <c r="AS284" s="36">
        <f>VLOOKUP($F284,'Status Thresholds'!$E:$AS,38,FALSE)</f>
        <v>0</v>
      </c>
      <c r="AT284" s="36">
        <f>VLOOKUP($F284,'Status Thresholds'!$E:$AS,39,FALSE)</f>
        <v>0</v>
      </c>
      <c r="AU284" s="36">
        <f>VLOOKUP($F284,'Status Thresholds'!$E:$AS,40,FALSE)</f>
        <v>0</v>
      </c>
      <c r="AV284" s="36">
        <f>VLOOKUP($F284,'Status Thresholds'!$E:$AS,41,FALSE)</f>
        <v>15</v>
      </c>
      <c r="AW284">
        <v>0</v>
      </c>
      <c r="AX284">
        <v>0</v>
      </c>
    </row>
    <row r="285" spans="1:50" x14ac:dyDescent="0.25">
      <c r="A285" s="36"/>
      <c r="B285" t="s">
        <v>120</v>
      </c>
      <c r="C285" s="36" t="str">
        <f>'Status Thresholds'!B276</f>
        <v>Elderfrost Gammoth</v>
      </c>
      <c r="E285" s="36" t="str">
        <f t="shared" si="11"/>
        <v>Elderfrost Gammoth</v>
      </c>
      <c r="F285" s="36" t="str">
        <f>IFERROR(VLOOKUP($E285,'Status Thresholds'!$E:$AS,1,FALSE),"")</f>
        <v/>
      </c>
      <c r="G285" t="s">
        <v>21</v>
      </c>
      <c r="H285" s="55" t="str">
        <f t="shared" si="12"/>
        <v>Elderfrost GammothTriblast</v>
      </c>
      <c r="I285" s="50">
        <v>0</v>
      </c>
      <c r="J285" s="36">
        <v>0</v>
      </c>
      <c r="K285" s="36">
        <v>0</v>
      </c>
      <c r="L285" s="36">
        <v>0</v>
      </c>
      <c r="M285" s="36">
        <v>0</v>
      </c>
      <c r="N285" s="50">
        <v>0</v>
      </c>
      <c r="O285" s="36">
        <v>0</v>
      </c>
      <c r="P285" s="36">
        <v>0</v>
      </c>
      <c r="Q285" s="36">
        <v>0</v>
      </c>
      <c r="R285" s="36">
        <v>0</v>
      </c>
      <c r="S285" s="50">
        <v>0</v>
      </c>
      <c r="T285" s="36">
        <v>0</v>
      </c>
      <c r="U285" s="36">
        <v>0</v>
      </c>
      <c r="V285" s="36">
        <v>0</v>
      </c>
      <c r="W285" s="36">
        <v>0</v>
      </c>
      <c r="X285" s="50">
        <v>0</v>
      </c>
      <c r="Y285" s="36">
        <v>0</v>
      </c>
      <c r="Z285" s="36">
        <v>0</v>
      </c>
      <c r="AA285" s="36">
        <v>0</v>
      </c>
      <c r="AB285" s="36">
        <v>0</v>
      </c>
      <c r="AC285" s="50">
        <v>0</v>
      </c>
      <c r="AD285" s="36">
        <v>0</v>
      </c>
      <c r="AE285" s="36">
        <v>0</v>
      </c>
      <c r="AF285" s="36">
        <v>0</v>
      </c>
      <c r="AG285" s="36">
        <v>0</v>
      </c>
      <c r="AH285" s="50">
        <v>0</v>
      </c>
      <c r="AI285" s="36">
        <v>0</v>
      </c>
      <c r="AJ285" s="36">
        <v>0</v>
      </c>
      <c r="AK285" s="36">
        <v>0</v>
      </c>
      <c r="AL285" s="36">
        <v>0</v>
      </c>
      <c r="AM285" s="50">
        <v>0</v>
      </c>
      <c r="AN285" s="36">
        <v>0</v>
      </c>
      <c r="AO285" s="36">
        <v>0</v>
      </c>
      <c r="AP285" s="36">
        <v>0</v>
      </c>
      <c r="AQ285" s="36">
        <v>0</v>
      </c>
      <c r="AR285" s="50">
        <v>0</v>
      </c>
      <c r="AS285" s="36">
        <v>0</v>
      </c>
      <c r="AT285" s="36">
        <v>0</v>
      </c>
      <c r="AU285" s="36">
        <v>0</v>
      </c>
      <c r="AV285" s="36">
        <v>0</v>
      </c>
      <c r="AW285">
        <v>0</v>
      </c>
    </row>
    <row r="286" spans="1:50" x14ac:dyDescent="0.25">
      <c r="A286" s="36"/>
      <c r="B286" t="s">
        <v>120</v>
      </c>
      <c r="C286" s="36" t="str">
        <f>'Status Thresholds'!B277</f>
        <v>Elderfrost Gammoth</v>
      </c>
      <c r="E286" s="36" t="str">
        <f t="shared" si="11"/>
        <v>Elderfrost Gammoth</v>
      </c>
      <c r="F286" s="36" t="str">
        <f>IFERROR(VLOOKUP($E286,'Status Thresholds'!$E:$AS,1,FALSE),"")</f>
        <v/>
      </c>
      <c r="G286" t="s">
        <v>13</v>
      </c>
      <c r="H286" s="55" t="str">
        <f t="shared" si="12"/>
        <v>Elderfrost GammothCrag 3</v>
      </c>
      <c r="I286" s="50">
        <v>0</v>
      </c>
      <c r="J286" s="36">
        <v>0</v>
      </c>
      <c r="K286" s="36">
        <v>0</v>
      </c>
      <c r="L286" s="36">
        <v>0</v>
      </c>
      <c r="M286" s="36">
        <v>0</v>
      </c>
      <c r="N286" s="50">
        <v>0</v>
      </c>
      <c r="O286" s="36">
        <v>0</v>
      </c>
      <c r="P286" s="36">
        <v>0</v>
      </c>
      <c r="Q286" s="36">
        <v>0</v>
      </c>
      <c r="R286" s="36">
        <v>0</v>
      </c>
      <c r="S286" s="50">
        <v>0</v>
      </c>
      <c r="T286" s="36">
        <v>0</v>
      </c>
      <c r="U286" s="36">
        <v>0</v>
      </c>
      <c r="V286" s="36">
        <v>0</v>
      </c>
      <c r="W286" s="36">
        <v>0</v>
      </c>
      <c r="X286" s="50">
        <v>0</v>
      </c>
      <c r="Y286" s="36">
        <v>0</v>
      </c>
      <c r="Z286" s="36">
        <v>0</v>
      </c>
      <c r="AA286" s="36">
        <v>0</v>
      </c>
      <c r="AB286" s="36">
        <v>0</v>
      </c>
      <c r="AC286" s="50">
        <v>0</v>
      </c>
      <c r="AD286" s="36">
        <v>0</v>
      </c>
      <c r="AE286" s="36">
        <v>0</v>
      </c>
      <c r="AF286" s="36">
        <v>0</v>
      </c>
      <c r="AG286" s="36">
        <v>0</v>
      </c>
      <c r="AH286" s="50">
        <v>0</v>
      </c>
      <c r="AI286" s="36">
        <v>0</v>
      </c>
      <c r="AJ286" s="36">
        <v>0</v>
      </c>
      <c r="AK286" s="36">
        <v>0</v>
      </c>
      <c r="AL286" s="36">
        <v>0</v>
      </c>
      <c r="AM286" s="50">
        <v>0</v>
      </c>
      <c r="AN286" s="36">
        <v>0</v>
      </c>
      <c r="AO286" s="36">
        <v>0</v>
      </c>
      <c r="AP286" s="36">
        <v>0</v>
      </c>
      <c r="AQ286" s="36">
        <v>0</v>
      </c>
      <c r="AR286" s="50">
        <v>0</v>
      </c>
      <c r="AS286" s="36">
        <v>0</v>
      </c>
      <c r="AT286" s="36">
        <v>0</v>
      </c>
      <c r="AU286" s="36">
        <v>0</v>
      </c>
      <c r="AV286" s="36">
        <v>0</v>
      </c>
      <c r="AW286">
        <v>0</v>
      </c>
      <c r="AX286">
        <v>0</v>
      </c>
    </row>
    <row r="287" spans="1:50" x14ac:dyDescent="0.25">
      <c r="A287" s="36"/>
      <c r="B287" t="s">
        <v>120</v>
      </c>
      <c r="C287" s="36" t="str">
        <f>'Status Thresholds'!B278</f>
        <v>Elderfrost Gammoth</v>
      </c>
      <c r="E287" s="36" t="str">
        <f t="shared" si="11"/>
        <v>Elderfrost Gammoth</v>
      </c>
      <c r="F287" s="36" t="str">
        <f>IFERROR(VLOOKUP($E287,'Status Thresholds'!$E:$AS,1,FALSE),"")</f>
        <v/>
      </c>
      <c r="G287" t="s">
        <v>12</v>
      </c>
      <c r="H287" s="55" t="str">
        <f t="shared" si="12"/>
        <v>Elderfrost GammothCrag 2</v>
      </c>
      <c r="I287" s="50">
        <v>0</v>
      </c>
      <c r="J287" s="36">
        <v>0</v>
      </c>
      <c r="K287" s="36">
        <v>0</v>
      </c>
      <c r="L287" s="36">
        <v>0</v>
      </c>
      <c r="M287" s="36">
        <v>0</v>
      </c>
      <c r="N287" s="50">
        <v>0</v>
      </c>
      <c r="O287" s="36">
        <v>0</v>
      </c>
      <c r="P287" s="36">
        <v>0</v>
      </c>
      <c r="Q287" s="36">
        <v>0</v>
      </c>
      <c r="R287" s="36">
        <v>0</v>
      </c>
      <c r="S287" s="50">
        <v>0</v>
      </c>
      <c r="T287" s="36">
        <v>0</v>
      </c>
      <c r="U287" s="36">
        <v>0</v>
      </c>
      <c r="V287" s="36">
        <v>0</v>
      </c>
      <c r="W287" s="36">
        <v>0</v>
      </c>
      <c r="X287" s="50">
        <v>0</v>
      </c>
      <c r="Y287" s="36">
        <v>0</v>
      </c>
      <c r="Z287" s="36">
        <v>0</v>
      </c>
      <c r="AA287" s="36">
        <v>0</v>
      </c>
      <c r="AB287" s="36">
        <v>0</v>
      </c>
      <c r="AC287" s="50">
        <v>0</v>
      </c>
      <c r="AD287" s="36">
        <v>0</v>
      </c>
      <c r="AE287" s="36">
        <v>0</v>
      </c>
      <c r="AF287" s="36">
        <v>0</v>
      </c>
      <c r="AG287" s="36">
        <v>0</v>
      </c>
      <c r="AH287" s="50">
        <v>0</v>
      </c>
      <c r="AI287" s="36">
        <v>0</v>
      </c>
      <c r="AJ287" s="36">
        <v>0</v>
      </c>
      <c r="AK287" s="36">
        <v>0</v>
      </c>
      <c r="AL287" s="36">
        <v>0</v>
      </c>
      <c r="AM287" s="50">
        <v>0</v>
      </c>
      <c r="AN287" s="36">
        <v>0</v>
      </c>
      <c r="AO287" s="36">
        <v>0</v>
      </c>
      <c r="AP287" s="36">
        <v>0</v>
      </c>
      <c r="AQ287" s="36">
        <v>0</v>
      </c>
      <c r="AR287" s="50">
        <v>0</v>
      </c>
      <c r="AS287" s="36">
        <v>0</v>
      </c>
      <c r="AT287" s="36">
        <v>0</v>
      </c>
      <c r="AU287" s="36">
        <v>0</v>
      </c>
      <c r="AV287" s="36">
        <v>0</v>
      </c>
      <c r="AW287">
        <v>0</v>
      </c>
      <c r="AX287">
        <v>0</v>
      </c>
    </row>
    <row r="288" spans="1:50" x14ac:dyDescent="0.25">
      <c r="A288" s="36"/>
      <c r="B288" t="s">
        <v>120</v>
      </c>
      <c r="C288" s="36" t="str">
        <f>'Status Thresholds'!B279</f>
        <v>Elderfrost Gammoth</v>
      </c>
      <c r="E288" s="36" t="str">
        <f t="shared" si="11"/>
        <v>Elderfrost Gammoth</v>
      </c>
      <c r="F288" s="36" t="str">
        <f>IFERROR(VLOOKUP($E288,'Status Thresholds'!$E:$AS,1,FALSE),"")</f>
        <v/>
      </c>
      <c r="G288" t="s">
        <v>11</v>
      </c>
      <c r="H288" s="55" t="str">
        <f t="shared" si="12"/>
        <v>Elderfrost GammothCrag 1</v>
      </c>
      <c r="I288" s="50">
        <v>0</v>
      </c>
      <c r="J288" s="36">
        <v>0</v>
      </c>
      <c r="K288" s="36">
        <v>0</v>
      </c>
      <c r="L288" s="36">
        <v>0</v>
      </c>
      <c r="M288" s="36">
        <v>0</v>
      </c>
      <c r="N288" s="50">
        <v>0</v>
      </c>
      <c r="O288" s="36">
        <v>0</v>
      </c>
      <c r="P288" s="36">
        <v>0</v>
      </c>
      <c r="Q288" s="36">
        <v>0</v>
      </c>
      <c r="R288" s="36">
        <v>0</v>
      </c>
      <c r="S288" s="50">
        <v>0</v>
      </c>
      <c r="T288" s="36">
        <v>0</v>
      </c>
      <c r="U288" s="36">
        <v>0</v>
      </c>
      <c r="V288" s="36">
        <v>0</v>
      </c>
      <c r="W288" s="36">
        <v>0</v>
      </c>
      <c r="X288" s="50">
        <v>0</v>
      </c>
      <c r="Y288" s="36">
        <v>0</v>
      </c>
      <c r="Z288" s="36">
        <v>0</v>
      </c>
      <c r="AA288" s="36">
        <v>0</v>
      </c>
      <c r="AB288" s="36">
        <v>0</v>
      </c>
      <c r="AC288" s="50">
        <v>0</v>
      </c>
      <c r="AD288" s="36">
        <v>0</v>
      </c>
      <c r="AE288" s="36">
        <v>0</v>
      </c>
      <c r="AF288" s="36">
        <v>0</v>
      </c>
      <c r="AG288" s="36">
        <v>0</v>
      </c>
      <c r="AH288" s="50">
        <v>0</v>
      </c>
      <c r="AI288" s="36">
        <v>0</v>
      </c>
      <c r="AJ288" s="36">
        <v>0</v>
      </c>
      <c r="AK288" s="36">
        <v>0</v>
      </c>
      <c r="AL288" s="36">
        <v>0</v>
      </c>
      <c r="AM288" s="50">
        <v>0</v>
      </c>
      <c r="AN288" s="36">
        <v>0</v>
      </c>
      <c r="AO288" s="36">
        <v>0</v>
      </c>
      <c r="AP288" s="36">
        <v>0</v>
      </c>
      <c r="AQ288" s="36">
        <v>0</v>
      </c>
      <c r="AR288" s="50">
        <v>0</v>
      </c>
      <c r="AS288" s="36">
        <v>0</v>
      </c>
      <c r="AT288" s="36">
        <v>0</v>
      </c>
      <c r="AU288" s="36">
        <v>0</v>
      </c>
      <c r="AV288" s="36">
        <v>1</v>
      </c>
      <c r="AW288">
        <v>0</v>
      </c>
      <c r="AX288">
        <v>0</v>
      </c>
    </row>
    <row r="289" spans="1:50" x14ac:dyDescent="0.25">
      <c r="A289" s="36"/>
      <c r="B289" t="s">
        <v>119</v>
      </c>
      <c r="C289" s="36" t="str">
        <f>'Status Thresholds'!B280</f>
        <v>Elderfrost Gammoth</v>
      </c>
      <c r="E289" s="36" t="str">
        <f t="shared" si="11"/>
        <v>Elderfrost Gammoth</v>
      </c>
      <c r="F289" s="36" t="str">
        <f>IFERROR(VLOOKUP($E289,'Status Thresholds'!$E:$AS,1,FALSE),"")</f>
        <v/>
      </c>
      <c r="G289" t="s">
        <v>21</v>
      </c>
      <c r="H289" s="55" t="str">
        <f t="shared" si="12"/>
        <v>Elderfrost GammothTriblast</v>
      </c>
      <c r="I289" s="50">
        <v>0</v>
      </c>
      <c r="J289" s="36">
        <v>0</v>
      </c>
      <c r="K289" s="36">
        <v>0</v>
      </c>
      <c r="L289" s="36">
        <v>0</v>
      </c>
      <c r="M289" s="36">
        <v>0</v>
      </c>
      <c r="N289" s="50">
        <v>0</v>
      </c>
      <c r="O289" s="36">
        <v>0</v>
      </c>
      <c r="P289" s="36">
        <v>0</v>
      </c>
      <c r="Q289" s="36">
        <v>0</v>
      </c>
      <c r="R289" s="36">
        <v>0</v>
      </c>
      <c r="S289" s="50">
        <v>0</v>
      </c>
      <c r="T289" s="36">
        <v>0</v>
      </c>
      <c r="U289" s="36">
        <v>0</v>
      </c>
      <c r="V289" s="36">
        <v>0</v>
      </c>
      <c r="W289" s="36">
        <v>0</v>
      </c>
      <c r="X289" s="50">
        <v>0</v>
      </c>
      <c r="Y289" s="36">
        <v>0</v>
      </c>
      <c r="Z289" s="36">
        <v>0</v>
      </c>
      <c r="AA289" s="36">
        <v>0</v>
      </c>
      <c r="AB289" s="36">
        <v>0</v>
      </c>
      <c r="AC289" s="50">
        <v>0</v>
      </c>
      <c r="AD289" s="36">
        <v>0</v>
      </c>
      <c r="AE289" s="36">
        <v>0</v>
      </c>
      <c r="AF289" s="36">
        <v>0</v>
      </c>
      <c r="AG289" s="36">
        <v>0</v>
      </c>
      <c r="AH289" s="50">
        <v>0</v>
      </c>
      <c r="AI289" s="36">
        <v>0</v>
      </c>
      <c r="AJ289" s="36">
        <v>0</v>
      </c>
      <c r="AK289" s="36">
        <v>0</v>
      </c>
      <c r="AL289" s="36">
        <v>0</v>
      </c>
      <c r="AM289" s="50">
        <v>0</v>
      </c>
      <c r="AN289" s="36">
        <v>0</v>
      </c>
      <c r="AO289" s="36">
        <v>0</v>
      </c>
      <c r="AP289" s="36">
        <v>0</v>
      </c>
      <c r="AQ289" s="36">
        <v>0</v>
      </c>
      <c r="AR289" s="50">
        <v>0</v>
      </c>
      <c r="AS289" s="36">
        <v>0</v>
      </c>
      <c r="AT289" s="36">
        <v>0</v>
      </c>
      <c r="AU289" s="36">
        <v>0</v>
      </c>
      <c r="AV289" s="36">
        <v>0</v>
      </c>
      <c r="AW289">
        <v>0</v>
      </c>
      <c r="AX289">
        <v>0</v>
      </c>
    </row>
    <row r="290" spans="1:50" x14ac:dyDescent="0.25">
      <c r="A290" s="36"/>
      <c r="B290" t="s">
        <v>119</v>
      </c>
      <c r="C290" s="36" t="str">
        <f>'Status Thresholds'!B281</f>
        <v>Elderfrost Gammoth</v>
      </c>
      <c r="E290" s="36" t="str">
        <f t="shared" si="11"/>
        <v>Elderfrost Gammoth</v>
      </c>
      <c r="F290" s="36" t="str">
        <f>IFERROR(VLOOKUP($E290,'Status Thresholds'!$E:$AS,1,FALSE),"")</f>
        <v/>
      </c>
      <c r="G290" t="s">
        <v>13</v>
      </c>
      <c r="H290" s="55" t="str">
        <f t="shared" si="12"/>
        <v>Elderfrost GammothCrag 3</v>
      </c>
      <c r="I290" s="50">
        <v>0</v>
      </c>
      <c r="J290" s="36">
        <v>0</v>
      </c>
      <c r="K290" s="36">
        <v>0</v>
      </c>
      <c r="L290" s="36">
        <v>0</v>
      </c>
      <c r="M290" s="36">
        <v>0</v>
      </c>
      <c r="N290" s="50">
        <v>0</v>
      </c>
      <c r="O290" s="36">
        <v>0</v>
      </c>
      <c r="P290" s="36">
        <v>0</v>
      </c>
      <c r="Q290" s="36">
        <v>0</v>
      </c>
      <c r="R290" s="36">
        <v>0</v>
      </c>
      <c r="S290" s="50">
        <v>0</v>
      </c>
      <c r="T290" s="36">
        <v>0</v>
      </c>
      <c r="U290" s="36">
        <v>0</v>
      </c>
      <c r="V290" s="36">
        <v>0</v>
      </c>
      <c r="W290" s="36">
        <v>0</v>
      </c>
      <c r="X290" s="50">
        <v>0</v>
      </c>
      <c r="Y290" s="36">
        <v>0</v>
      </c>
      <c r="Z290" s="36">
        <v>0</v>
      </c>
      <c r="AA290" s="36">
        <v>0</v>
      </c>
      <c r="AB290" s="36">
        <v>0</v>
      </c>
      <c r="AC290" s="50">
        <v>0</v>
      </c>
      <c r="AD290" s="36">
        <v>0</v>
      </c>
      <c r="AE290" s="36">
        <v>0</v>
      </c>
      <c r="AF290" s="36">
        <v>0</v>
      </c>
      <c r="AG290" s="36">
        <v>0</v>
      </c>
      <c r="AH290" s="50">
        <v>0</v>
      </c>
      <c r="AI290" s="36">
        <v>0</v>
      </c>
      <c r="AJ290" s="36">
        <v>0</v>
      </c>
      <c r="AK290" s="36">
        <v>0</v>
      </c>
      <c r="AL290" s="36">
        <v>0</v>
      </c>
      <c r="AM290" s="50">
        <v>0</v>
      </c>
      <c r="AN290" s="36">
        <v>0</v>
      </c>
      <c r="AO290" s="36">
        <v>0</v>
      </c>
      <c r="AP290" s="36">
        <v>0</v>
      </c>
      <c r="AQ290" s="36">
        <v>0</v>
      </c>
      <c r="AR290" s="50">
        <v>0</v>
      </c>
      <c r="AS290" s="36">
        <v>0</v>
      </c>
      <c r="AT290" s="36">
        <v>0</v>
      </c>
      <c r="AU290" s="36">
        <v>0</v>
      </c>
      <c r="AV290" s="36">
        <v>0</v>
      </c>
      <c r="AW290">
        <v>0</v>
      </c>
      <c r="AX290">
        <v>0</v>
      </c>
    </row>
    <row r="291" spans="1:50" x14ac:dyDescent="0.25">
      <c r="A291" s="36"/>
      <c r="B291" t="s">
        <v>119</v>
      </c>
      <c r="C291" s="36" t="str">
        <f>'Status Thresholds'!B282</f>
        <v>Elderfrost Gammoth</v>
      </c>
      <c r="E291" s="36" t="str">
        <f t="shared" si="11"/>
        <v>Elderfrost Gammoth</v>
      </c>
      <c r="F291" s="36" t="str">
        <f>IFERROR(VLOOKUP($E291,'Status Thresholds'!$E:$AS,1,FALSE),"")</f>
        <v/>
      </c>
      <c r="G291" t="s">
        <v>12</v>
      </c>
      <c r="H291" s="55" t="str">
        <f t="shared" si="12"/>
        <v>Elderfrost GammothCrag 2</v>
      </c>
      <c r="I291" s="50">
        <v>0</v>
      </c>
      <c r="J291" s="36">
        <v>0</v>
      </c>
      <c r="K291" s="36">
        <v>0</v>
      </c>
      <c r="L291" s="36">
        <v>0</v>
      </c>
      <c r="M291" s="36">
        <v>0</v>
      </c>
      <c r="N291" s="50">
        <v>0</v>
      </c>
      <c r="O291" s="36">
        <v>0</v>
      </c>
      <c r="P291" s="36">
        <v>0</v>
      </c>
      <c r="Q291" s="36">
        <v>0</v>
      </c>
      <c r="R291" s="36">
        <v>0</v>
      </c>
      <c r="S291" s="50">
        <v>0</v>
      </c>
      <c r="T291" s="36">
        <v>0</v>
      </c>
      <c r="U291" s="36">
        <v>0</v>
      </c>
      <c r="V291" s="36">
        <v>0</v>
      </c>
      <c r="W291" s="36">
        <v>0</v>
      </c>
      <c r="X291" s="50">
        <v>0</v>
      </c>
      <c r="Y291" s="36">
        <v>0</v>
      </c>
      <c r="Z291" s="36">
        <v>0</v>
      </c>
      <c r="AA291" s="36">
        <v>0</v>
      </c>
      <c r="AB291" s="36">
        <v>0</v>
      </c>
      <c r="AC291" s="50">
        <v>0</v>
      </c>
      <c r="AD291" s="36">
        <v>0</v>
      </c>
      <c r="AE291" s="36">
        <v>0</v>
      </c>
      <c r="AF291" s="36">
        <v>0</v>
      </c>
      <c r="AG291" s="36">
        <v>0</v>
      </c>
      <c r="AH291" s="50">
        <v>0</v>
      </c>
      <c r="AI291" s="36">
        <v>0</v>
      </c>
      <c r="AJ291" s="36">
        <v>0</v>
      </c>
      <c r="AK291" s="36">
        <v>0</v>
      </c>
      <c r="AL291" s="36">
        <v>0</v>
      </c>
      <c r="AM291" s="50">
        <v>0</v>
      </c>
      <c r="AN291" s="36">
        <v>0</v>
      </c>
      <c r="AO291" s="36">
        <v>0</v>
      </c>
      <c r="AP291" s="36">
        <v>0</v>
      </c>
      <c r="AQ291" s="36">
        <v>0</v>
      </c>
      <c r="AR291" s="50">
        <v>0</v>
      </c>
      <c r="AS291" s="36">
        <v>0</v>
      </c>
      <c r="AT291" s="36">
        <v>0</v>
      </c>
      <c r="AU291" s="36">
        <v>0</v>
      </c>
      <c r="AV291" s="36">
        <v>0</v>
      </c>
      <c r="AW291">
        <v>0</v>
      </c>
      <c r="AX291">
        <v>0</v>
      </c>
    </row>
    <row r="292" spans="1:50" x14ac:dyDescent="0.25">
      <c r="A292" s="36"/>
      <c r="B292" t="s">
        <v>119</v>
      </c>
      <c r="C292" s="36" t="str">
        <f>'Status Thresholds'!B283</f>
        <v>Elderfrost Gammoth</v>
      </c>
      <c r="E292" s="36" t="str">
        <f t="shared" si="11"/>
        <v>Elderfrost Gammoth</v>
      </c>
      <c r="F292" s="36" t="str">
        <f>IFERROR(VLOOKUP($E292,'Status Thresholds'!$E:$AS,1,FALSE),"")</f>
        <v/>
      </c>
      <c r="G292" t="s">
        <v>11</v>
      </c>
      <c r="H292" s="55" t="str">
        <f t="shared" si="12"/>
        <v>Elderfrost GammothCrag 1</v>
      </c>
      <c r="I292" s="50">
        <v>0</v>
      </c>
      <c r="J292" s="36">
        <v>0</v>
      </c>
      <c r="K292" s="36">
        <v>0</v>
      </c>
      <c r="L292" s="36">
        <v>0</v>
      </c>
      <c r="M292" s="36">
        <v>0</v>
      </c>
      <c r="N292" s="50">
        <v>0</v>
      </c>
      <c r="O292" s="36">
        <v>0</v>
      </c>
      <c r="P292" s="36">
        <v>0</v>
      </c>
      <c r="Q292" s="36">
        <v>0</v>
      </c>
      <c r="R292" s="36">
        <v>0</v>
      </c>
      <c r="S292" s="50">
        <v>0</v>
      </c>
      <c r="T292" s="36">
        <v>0</v>
      </c>
      <c r="U292" s="36">
        <v>0</v>
      </c>
      <c r="V292" s="36">
        <v>0</v>
      </c>
      <c r="W292" s="36">
        <v>0</v>
      </c>
      <c r="X292" s="50">
        <v>0</v>
      </c>
      <c r="Y292" s="36">
        <v>0</v>
      </c>
      <c r="Z292" s="36">
        <v>0</v>
      </c>
      <c r="AA292" s="36">
        <v>0</v>
      </c>
      <c r="AB292" s="36">
        <v>0</v>
      </c>
      <c r="AC292" s="50">
        <v>0</v>
      </c>
      <c r="AD292" s="36">
        <v>0</v>
      </c>
      <c r="AE292" s="36">
        <v>0</v>
      </c>
      <c r="AF292" s="36">
        <v>0</v>
      </c>
      <c r="AG292" s="36">
        <v>0</v>
      </c>
      <c r="AH292" s="50">
        <v>0</v>
      </c>
      <c r="AI292" s="36">
        <v>0</v>
      </c>
      <c r="AJ292" s="36">
        <v>0</v>
      </c>
      <c r="AK292" s="36">
        <v>0</v>
      </c>
      <c r="AL292" s="36">
        <v>0</v>
      </c>
      <c r="AM292" s="50">
        <v>0</v>
      </c>
      <c r="AN292" s="36">
        <v>0</v>
      </c>
      <c r="AO292" s="36">
        <v>0</v>
      </c>
      <c r="AP292" s="36">
        <v>0</v>
      </c>
      <c r="AQ292" s="36">
        <v>0</v>
      </c>
      <c r="AR292" s="50">
        <v>0</v>
      </c>
      <c r="AS292" s="36">
        <v>0</v>
      </c>
      <c r="AT292" s="36">
        <v>0</v>
      </c>
      <c r="AU292" s="36">
        <v>0</v>
      </c>
      <c r="AV292" s="36">
        <v>1</v>
      </c>
      <c r="AW292">
        <v>0</v>
      </c>
      <c r="AX292">
        <v>0</v>
      </c>
    </row>
    <row r="293" spans="1:50" x14ac:dyDescent="0.25">
      <c r="A293" s="36"/>
      <c r="B293" t="s">
        <v>121</v>
      </c>
      <c r="C293" s="36" t="str">
        <f>'Status Thresholds'!B284</f>
        <v>Fatalis (Black)</v>
      </c>
      <c r="D293" t="s">
        <v>14</v>
      </c>
      <c r="E293" s="36" t="str">
        <f t="shared" si="11"/>
        <v>Fatalis (Black)KO</v>
      </c>
      <c r="F293" s="36" t="str">
        <f>IFERROR(VLOOKUP($E293,'Status Thresholds'!$E:$AS,1,FALSE),"")</f>
        <v>Fatalis (Black)KO</v>
      </c>
      <c r="H293" s="55" t="str">
        <f t="shared" si="12"/>
        <v>Fatalis (Black)KO</v>
      </c>
      <c r="I293" s="50">
        <f>VLOOKUP($F293,'Status Thresholds'!$E:$AS,2,FALSE)</f>
        <v>0</v>
      </c>
      <c r="J293" s="36">
        <f>VLOOKUP($F293,'Status Thresholds'!$E:$AS,3,FALSE)</f>
        <v>0</v>
      </c>
      <c r="K293" s="36">
        <f>VLOOKUP($F293,'Status Thresholds'!$E:$AS,4,FALSE)</f>
        <v>0</v>
      </c>
      <c r="L293" s="36">
        <f>VLOOKUP($F293,'Status Thresholds'!$E:$AS,5,FALSE)</f>
        <v>0</v>
      </c>
      <c r="M293" s="36">
        <f>VLOOKUP($F293,'Status Thresholds'!$E:$AS,6,FALSE)</f>
        <v>0</v>
      </c>
      <c r="N293" s="50">
        <f>VLOOKUP($F293,'Status Thresholds'!$E:$AS,7,FALSE)</f>
        <v>0</v>
      </c>
      <c r="O293" s="36">
        <f>VLOOKUP($F293,'Status Thresholds'!$E:$AS,8,FALSE)</f>
        <v>0</v>
      </c>
      <c r="P293" s="36">
        <f>VLOOKUP($F293,'Status Thresholds'!$E:$AS,9,FALSE)</f>
        <v>0</v>
      </c>
      <c r="Q293" s="36">
        <f>VLOOKUP($F293,'Status Thresholds'!$E:$AS,10,FALSE)</f>
        <v>0</v>
      </c>
      <c r="R293" s="36">
        <f>VLOOKUP($F293,'Status Thresholds'!$E:$AS,11,FALSE)</f>
        <v>0</v>
      </c>
      <c r="S293" s="50">
        <f>VLOOKUP($F293,'Status Thresholds'!$E:$AS,12,FALSE)</f>
        <v>0</v>
      </c>
      <c r="T293" s="36">
        <f>VLOOKUP($F293,'Status Thresholds'!$E:$AS,13,FALSE)</f>
        <v>0</v>
      </c>
      <c r="U293" s="36">
        <f>VLOOKUP($F293,'Status Thresholds'!$E:$AS,14,FALSE)</f>
        <v>0</v>
      </c>
      <c r="V293" s="36">
        <f>VLOOKUP($F293,'Status Thresholds'!$E:$AS,15,FALSE)</f>
        <v>0</v>
      </c>
      <c r="W293" s="36">
        <f>VLOOKUP($F293,'Status Thresholds'!$E:$AS,16,FALSE)</f>
        <v>0</v>
      </c>
      <c r="X293" s="50">
        <f>VLOOKUP($F293,'Status Thresholds'!$E:$AS,17,FALSE)</f>
        <v>0</v>
      </c>
      <c r="Y293" s="36">
        <f>VLOOKUP($F293,'Status Thresholds'!$E:$AS,18,FALSE)</f>
        <v>0</v>
      </c>
      <c r="Z293" s="36">
        <f>VLOOKUP($F293,'Status Thresholds'!$E:$AS,19,FALSE)</f>
        <v>0</v>
      </c>
      <c r="AA293" s="36">
        <f>VLOOKUP($F293,'Status Thresholds'!$E:$AS,20,FALSE)</f>
        <v>0</v>
      </c>
      <c r="AB293" s="36">
        <f>VLOOKUP($F293,'Status Thresholds'!$E:$AS,21,FALSE)</f>
        <v>0</v>
      </c>
      <c r="AC293" s="50">
        <f>VLOOKUP($F293,'Status Thresholds'!$E:$AS,22,FALSE)</f>
        <v>0</v>
      </c>
      <c r="AD293" s="36">
        <f>VLOOKUP($F293,'Status Thresholds'!$E:$AS,23,FALSE)</f>
        <v>0</v>
      </c>
      <c r="AE293" s="36">
        <f>VLOOKUP($F293,'Status Thresholds'!$E:$AS,24,FALSE)</f>
        <v>0</v>
      </c>
      <c r="AF293" s="36">
        <f>VLOOKUP($F293,'Status Thresholds'!$E:$AS,25,FALSE)</f>
        <v>0</v>
      </c>
      <c r="AG293" s="36">
        <f>VLOOKUP($F293,'Status Thresholds'!$E:$AS,26,FALSE)</f>
        <v>0</v>
      </c>
      <c r="AH293" s="50">
        <f>VLOOKUP($F293,'Status Thresholds'!$E:$AS,27,FALSE)</f>
        <v>0</v>
      </c>
      <c r="AI293" s="36">
        <f>VLOOKUP($F293,'Status Thresholds'!$E:$AS,28,FALSE)</f>
        <v>0</v>
      </c>
      <c r="AJ293" s="36">
        <f>VLOOKUP($F293,'Status Thresholds'!$E:$AS,29,FALSE)</f>
        <v>0</v>
      </c>
      <c r="AK293" s="36">
        <f>VLOOKUP($F293,'Status Thresholds'!$E:$AS,30,FALSE)</f>
        <v>0</v>
      </c>
      <c r="AL293" s="36">
        <f>VLOOKUP($F293,'Status Thresholds'!$E:$AS,31,FALSE)</f>
        <v>0</v>
      </c>
      <c r="AM293" s="50">
        <f>VLOOKUP($F293,'Status Thresholds'!$E:$AS,32,FALSE)</f>
        <v>0</v>
      </c>
      <c r="AN293" s="36">
        <f>VLOOKUP($F293,'Status Thresholds'!$E:$AS,33,FALSE)</f>
        <v>0</v>
      </c>
      <c r="AO293" s="36">
        <f>VLOOKUP($F293,'Status Thresholds'!$E:$AS,34,FALSE)</f>
        <v>0</v>
      </c>
      <c r="AP293" s="36">
        <f>VLOOKUP($F293,'Status Thresholds'!$E:$AS,35,FALSE)</f>
        <v>0</v>
      </c>
      <c r="AQ293" s="36">
        <f>VLOOKUP($F293,'Status Thresholds'!$E:$AS,36,FALSE)</f>
        <v>0</v>
      </c>
      <c r="AR293" s="50">
        <f>VLOOKUP($F293,'Status Thresholds'!$E:$AS,37,FALSE)</f>
        <v>0</v>
      </c>
      <c r="AS293" s="36">
        <f>VLOOKUP($F293,'Status Thresholds'!$E:$AS,38,FALSE)</f>
        <v>0</v>
      </c>
      <c r="AT293" s="36">
        <f>VLOOKUP($F293,'Status Thresholds'!$E:$AS,39,FALSE)</f>
        <v>0</v>
      </c>
      <c r="AU293" s="36">
        <f>VLOOKUP($F293,'Status Thresholds'!$E:$AS,40,FALSE)</f>
        <v>0</v>
      </c>
      <c r="AV293" s="36">
        <f>VLOOKUP($F293,'Status Thresholds'!$E:$AS,41,FALSE)</f>
        <v>0</v>
      </c>
      <c r="AW293">
        <v>0</v>
      </c>
      <c r="AX293">
        <v>0</v>
      </c>
    </row>
    <row r="294" spans="1:50" x14ac:dyDescent="0.25">
      <c r="A294" s="36"/>
      <c r="B294" t="s">
        <v>120</v>
      </c>
      <c r="C294" s="36" t="str">
        <f>'Status Thresholds'!B285</f>
        <v>Fatalis (Black)</v>
      </c>
      <c r="E294" s="36" t="str">
        <f t="shared" si="11"/>
        <v>Fatalis (Black)</v>
      </c>
      <c r="F294" s="36" t="str">
        <f>IFERROR(VLOOKUP($E294,'Status Thresholds'!$E:$AS,1,FALSE),"")</f>
        <v/>
      </c>
      <c r="G294" t="s">
        <v>21</v>
      </c>
      <c r="H294" s="55" t="str">
        <f t="shared" si="12"/>
        <v>Fatalis (Black)Triblast</v>
      </c>
      <c r="I294" s="50">
        <v>0</v>
      </c>
      <c r="J294" s="36">
        <v>0</v>
      </c>
      <c r="K294" s="36">
        <v>0</v>
      </c>
      <c r="L294" s="36">
        <v>0</v>
      </c>
      <c r="M294" s="36">
        <v>0</v>
      </c>
      <c r="N294" s="50">
        <v>0</v>
      </c>
      <c r="O294" s="36">
        <v>0</v>
      </c>
      <c r="P294" s="36">
        <v>0</v>
      </c>
      <c r="Q294" s="36">
        <v>0</v>
      </c>
      <c r="R294" s="36">
        <v>0</v>
      </c>
      <c r="S294" s="50">
        <v>0</v>
      </c>
      <c r="T294" s="36">
        <v>0</v>
      </c>
      <c r="U294" s="36">
        <v>0</v>
      </c>
      <c r="V294" s="36">
        <v>0</v>
      </c>
      <c r="W294" s="36">
        <v>0</v>
      </c>
      <c r="X294" s="50">
        <v>0</v>
      </c>
      <c r="Y294" s="36">
        <v>0</v>
      </c>
      <c r="Z294" s="36">
        <v>0</v>
      </c>
      <c r="AA294" s="36">
        <v>0</v>
      </c>
      <c r="AB294" s="36">
        <v>0</v>
      </c>
      <c r="AC294" s="50">
        <v>0</v>
      </c>
      <c r="AD294" s="36">
        <v>0</v>
      </c>
      <c r="AE294" s="36">
        <v>0</v>
      </c>
      <c r="AF294" s="36">
        <v>0</v>
      </c>
      <c r="AG294" s="36">
        <v>0</v>
      </c>
      <c r="AH294" s="50">
        <v>0</v>
      </c>
      <c r="AI294" s="36">
        <v>0</v>
      </c>
      <c r="AJ294" s="36">
        <v>0</v>
      </c>
      <c r="AK294" s="36">
        <v>0</v>
      </c>
      <c r="AL294" s="36">
        <v>0</v>
      </c>
      <c r="AM294" s="50">
        <v>0</v>
      </c>
      <c r="AN294" s="36">
        <v>0</v>
      </c>
      <c r="AO294" s="36">
        <v>0</v>
      </c>
      <c r="AP294" s="36">
        <v>0</v>
      </c>
      <c r="AQ294" s="36">
        <v>0</v>
      </c>
      <c r="AR294" s="50">
        <v>0</v>
      </c>
      <c r="AS294" s="36">
        <v>0</v>
      </c>
      <c r="AT294" s="36">
        <v>0</v>
      </c>
      <c r="AU294" s="36">
        <v>0</v>
      </c>
      <c r="AV294" s="36">
        <v>0</v>
      </c>
      <c r="AW294">
        <v>0</v>
      </c>
    </row>
    <row r="295" spans="1:50" x14ac:dyDescent="0.25">
      <c r="A295" s="36"/>
      <c r="B295" t="s">
        <v>120</v>
      </c>
      <c r="C295" s="36" t="str">
        <f>'Status Thresholds'!B286</f>
        <v>Fatalis (Black)</v>
      </c>
      <c r="E295" s="36" t="str">
        <f t="shared" si="11"/>
        <v>Fatalis (Black)</v>
      </c>
      <c r="F295" s="36" t="str">
        <f>IFERROR(VLOOKUP($E295,'Status Thresholds'!$E:$AS,1,FALSE),"")</f>
        <v/>
      </c>
      <c r="G295" t="s">
        <v>13</v>
      </c>
      <c r="H295" s="55" t="str">
        <f t="shared" si="12"/>
        <v>Fatalis (Black)Crag 3</v>
      </c>
      <c r="I295" s="50">
        <v>0</v>
      </c>
      <c r="J295" s="36">
        <v>0</v>
      </c>
      <c r="K295" s="36">
        <v>0</v>
      </c>
      <c r="L295" s="36">
        <v>0</v>
      </c>
      <c r="M295" s="36">
        <v>0</v>
      </c>
      <c r="N295" s="50">
        <v>0</v>
      </c>
      <c r="O295" s="36">
        <v>0</v>
      </c>
      <c r="P295" s="36">
        <v>0</v>
      </c>
      <c r="Q295" s="36">
        <v>0</v>
      </c>
      <c r="R295" s="36">
        <v>0</v>
      </c>
      <c r="S295" s="50">
        <v>0</v>
      </c>
      <c r="T295" s="36">
        <v>0</v>
      </c>
      <c r="U295" s="36">
        <v>0</v>
      </c>
      <c r="V295" s="36">
        <v>0</v>
      </c>
      <c r="W295" s="36">
        <v>0</v>
      </c>
      <c r="X295" s="50">
        <v>0</v>
      </c>
      <c r="Y295" s="36">
        <v>0</v>
      </c>
      <c r="Z295" s="36">
        <v>0</v>
      </c>
      <c r="AA295" s="36">
        <v>0</v>
      </c>
      <c r="AB295" s="36">
        <v>0</v>
      </c>
      <c r="AC295" s="50">
        <v>0</v>
      </c>
      <c r="AD295" s="36">
        <v>0</v>
      </c>
      <c r="AE295" s="36">
        <v>0</v>
      </c>
      <c r="AF295" s="36">
        <v>0</v>
      </c>
      <c r="AG295" s="36">
        <v>0</v>
      </c>
      <c r="AH295" s="50">
        <v>0</v>
      </c>
      <c r="AI295" s="36">
        <v>0</v>
      </c>
      <c r="AJ295" s="36">
        <v>0</v>
      </c>
      <c r="AK295" s="36">
        <v>0</v>
      </c>
      <c r="AL295" s="36">
        <v>0</v>
      </c>
      <c r="AM295" s="50">
        <v>0</v>
      </c>
      <c r="AN295" s="36">
        <v>0</v>
      </c>
      <c r="AO295" s="36">
        <v>0</v>
      </c>
      <c r="AP295" s="36">
        <v>0</v>
      </c>
      <c r="AQ295" s="36">
        <v>0</v>
      </c>
      <c r="AR295" s="50">
        <v>0</v>
      </c>
      <c r="AS295" s="36">
        <v>0</v>
      </c>
      <c r="AT295" s="36">
        <v>0</v>
      </c>
      <c r="AU295" s="36">
        <v>0</v>
      </c>
      <c r="AV295" s="36">
        <v>0</v>
      </c>
      <c r="AW295">
        <v>0</v>
      </c>
      <c r="AX295">
        <v>0</v>
      </c>
    </row>
    <row r="296" spans="1:50" x14ac:dyDescent="0.25">
      <c r="A296" s="36"/>
      <c r="B296" t="s">
        <v>120</v>
      </c>
      <c r="C296" s="36" t="str">
        <f>'Status Thresholds'!B287</f>
        <v>Fatalis (Black)</v>
      </c>
      <c r="E296" s="36" t="str">
        <f t="shared" si="11"/>
        <v>Fatalis (Black)</v>
      </c>
      <c r="F296" s="36" t="str">
        <f>IFERROR(VLOOKUP($E296,'Status Thresholds'!$E:$AS,1,FALSE),"")</f>
        <v/>
      </c>
      <c r="G296" t="s">
        <v>12</v>
      </c>
      <c r="H296" s="55" t="str">
        <f t="shared" si="12"/>
        <v>Fatalis (Black)Crag 2</v>
      </c>
      <c r="I296" s="50">
        <v>0</v>
      </c>
      <c r="J296" s="36">
        <v>0</v>
      </c>
      <c r="K296" s="36">
        <v>0</v>
      </c>
      <c r="L296" s="36">
        <v>0</v>
      </c>
      <c r="M296" s="36">
        <v>0</v>
      </c>
      <c r="N296" s="50">
        <v>0</v>
      </c>
      <c r="O296" s="36">
        <v>0</v>
      </c>
      <c r="P296" s="36">
        <v>0</v>
      </c>
      <c r="Q296" s="36">
        <v>0</v>
      </c>
      <c r="R296" s="36">
        <v>0</v>
      </c>
      <c r="S296" s="50">
        <v>0</v>
      </c>
      <c r="T296" s="36">
        <v>0</v>
      </c>
      <c r="U296" s="36">
        <v>0</v>
      </c>
      <c r="V296" s="36">
        <v>0</v>
      </c>
      <c r="W296" s="36">
        <v>0</v>
      </c>
      <c r="X296" s="50">
        <v>0</v>
      </c>
      <c r="Y296" s="36">
        <v>0</v>
      </c>
      <c r="Z296" s="36">
        <v>0</v>
      </c>
      <c r="AA296" s="36">
        <v>0</v>
      </c>
      <c r="AB296" s="36">
        <v>0</v>
      </c>
      <c r="AC296" s="50">
        <v>0</v>
      </c>
      <c r="AD296" s="36">
        <v>0</v>
      </c>
      <c r="AE296" s="36">
        <v>0</v>
      </c>
      <c r="AF296" s="36">
        <v>0</v>
      </c>
      <c r="AG296" s="36">
        <v>0</v>
      </c>
      <c r="AH296" s="50">
        <v>0</v>
      </c>
      <c r="AI296" s="36">
        <v>0</v>
      </c>
      <c r="AJ296" s="36">
        <v>0</v>
      </c>
      <c r="AK296" s="36">
        <v>0</v>
      </c>
      <c r="AL296" s="36">
        <v>0</v>
      </c>
      <c r="AM296" s="50">
        <v>0</v>
      </c>
      <c r="AN296" s="36">
        <v>0</v>
      </c>
      <c r="AO296" s="36">
        <v>0</v>
      </c>
      <c r="AP296" s="36">
        <v>0</v>
      </c>
      <c r="AQ296" s="36">
        <v>0</v>
      </c>
      <c r="AR296" s="50">
        <v>0</v>
      </c>
      <c r="AS296" s="36">
        <v>0</v>
      </c>
      <c r="AT296" s="36">
        <v>0</v>
      </c>
      <c r="AU296" s="36">
        <v>0</v>
      </c>
      <c r="AV296" s="36">
        <v>0</v>
      </c>
      <c r="AW296">
        <v>0</v>
      </c>
      <c r="AX296">
        <v>0</v>
      </c>
    </row>
    <row r="297" spans="1:50" x14ac:dyDescent="0.25">
      <c r="A297" s="36"/>
      <c r="B297" t="s">
        <v>120</v>
      </c>
      <c r="C297" s="36" t="str">
        <f>'Status Thresholds'!B288</f>
        <v>Fatalis (Black)</v>
      </c>
      <c r="E297" s="36" t="str">
        <f t="shared" si="11"/>
        <v>Fatalis (Black)</v>
      </c>
      <c r="F297" s="36" t="str">
        <f>IFERROR(VLOOKUP($E297,'Status Thresholds'!$E:$AS,1,FALSE),"")</f>
        <v/>
      </c>
      <c r="G297" t="s">
        <v>11</v>
      </c>
      <c r="H297" s="55" t="str">
        <f t="shared" si="12"/>
        <v>Fatalis (Black)Crag 1</v>
      </c>
      <c r="I297" s="50">
        <v>0</v>
      </c>
      <c r="J297" s="36">
        <v>0</v>
      </c>
      <c r="K297" s="36">
        <v>0</v>
      </c>
      <c r="L297" s="36">
        <v>0</v>
      </c>
      <c r="M297" s="36">
        <v>0</v>
      </c>
      <c r="N297" s="50">
        <v>0</v>
      </c>
      <c r="O297" s="36">
        <v>0</v>
      </c>
      <c r="P297" s="36">
        <v>0</v>
      </c>
      <c r="Q297" s="36">
        <v>0</v>
      </c>
      <c r="R297" s="36">
        <v>0</v>
      </c>
      <c r="S297" s="50">
        <v>0</v>
      </c>
      <c r="T297" s="36">
        <v>0</v>
      </c>
      <c r="U297" s="36">
        <v>0</v>
      </c>
      <c r="V297" s="36">
        <v>0</v>
      </c>
      <c r="W297" s="36">
        <v>0</v>
      </c>
      <c r="X297" s="50">
        <v>0</v>
      </c>
      <c r="Y297" s="36">
        <v>0</v>
      </c>
      <c r="Z297" s="36">
        <v>0</v>
      </c>
      <c r="AA297" s="36">
        <v>0</v>
      </c>
      <c r="AB297" s="36">
        <v>0</v>
      </c>
      <c r="AC297" s="50">
        <v>0</v>
      </c>
      <c r="AD297" s="36">
        <v>0</v>
      </c>
      <c r="AE297" s="36">
        <v>0</v>
      </c>
      <c r="AF297" s="36">
        <v>0</v>
      </c>
      <c r="AG297" s="36">
        <v>0</v>
      </c>
      <c r="AH297" s="50">
        <v>0</v>
      </c>
      <c r="AI297" s="36">
        <v>0</v>
      </c>
      <c r="AJ297" s="36">
        <v>0</v>
      </c>
      <c r="AK297" s="36">
        <v>0</v>
      </c>
      <c r="AL297" s="36">
        <v>0</v>
      </c>
      <c r="AM297" s="50">
        <v>0</v>
      </c>
      <c r="AN297" s="36">
        <v>0</v>
      </c>
      <c r="AO297" s="36">
        <v>0</v>
      </c>
      <c r="AP297" s="36">
        <v>0</v>
      </c>
      <c r="AQ297" s="36">
        <v>0</v>
      </c>
      <c r="AR297" s="50">
        <v>0</v>
      </c>
      <c r="AS297" s="36">
        <v>0</v>
      </c>
      <c r="AT297" s="36">
        <v>0</v>
      </c>
      <c r="AU297" s="36">
        <v>0</v>
      </c>
      <c r="AV297" s="36">
        <v>0</v>
      </c>
      <c r="AW297">
        <v>0</v>
      </c>
      <c r="AX297">
        <v>0</v>
      </c>
    </row>
    <row r="298" spans="1:50" x14ac:dyDescent="0.25">
      <c r="A298" s="36"/>
      <c r="B298" t="s">
        <v>119</v>
      </c>
      <c r="C298" s="36" t="str">
        <f>'Status Thresholds'!B289</f>
        <v>Fatalis (Black)</v>
      </c>
      <c r="E298" s="36" t="str">
        <f t="shared" si="11"/>
        <v>Fatalis (Black)</v>
      </c>
      <c r="F298" s="36" t="str">
        <f>IFERROR(VLOOKUP($E298,'Status Thresholds'!$E:$AS,1,FALSE),"")</f>
        <v/>
      </c>
      <c r="G298" t="s">
        <v>21</v>
      </c>
      <c r="H298" s="55" t="str">
        <f t="shared" si="12"/>
        <v>Fatalis (Black)Triblast</v>
      </c>
      <c r="I298" s="50">
        <v>0</v>
      </c>
      <c r="J298" s="36">
        <v>0</v>
      </c>
      <c r="K298" s="36">
        <v>0</v>
      </c>
      <c r="L298" s="36">
        <v>0</v>
      </c>
      <c r="M298" s="36">
        <v>0</v>
      </c>
      <c r="N298" s="50">
        <v>0</v>
      </c>
      <c r="O298" s="36">
        <v>0</v>
      </c>
      <c r="P298" s="36">
        <v>0</v>
      </c>
      <c r="Q298" s="36">
        <v>0</v>
      </c>
      <c r="R298" s="36">
        <v>0</v>
      </c>
      <c r="S298" s="50">
        <v>0</v>
      </c>
      <c r="T298" s="36">
        <v>0</v>
      </c>
      <c r="U298" s="36">
        <v>0</v>
      </c>
      <c r="V298" s="36">
        <v>0</v>
      </c>
      <c r="W298" s="36">
        <v>0</v>
      </c>
      <c r="X298" s="50">
        <v>0</v>
      </c>
      <c r="Y298" s="36">
        <v>0</v>
      </c>
      <c r="Z298" s="36">
        <v>0</v>
      </c>
      <c r="AA298" s="36">
        <v>0</v>
      </c>
      <c r="AB298" s="36">
        <v>0</v>
      </c>
      <c r="AC298" s="50">
        <v>0</v>
      </c>
      <c r="AD298" s="36">
        <v>0</v>
      </c>
      <c r="AE298" s="36">
        <v>0</v>
      </c>
      <c r="AF298" s="36">
        <v>0</v>
      </c>
      <c r="AG298" s="36">
        <v>0</v>
      </c>
      <c r="AH298" s="50">
        <v>0</v>
      </c>
      <c r="AI298" s="36">
        <v>0</v>
      </c>
      <c r="AJ298" s="36">
        <v>0</v>
      </c>
      <c r="AK298" s="36">
        <v>0</v>
      </c>
      <c r="AL298" s="36">
        <v>0</v>
      </c>
      <c r="AM298" s="50">
        <v>0</v>
      </c>
      <c r="AN298" s="36">
        <v>0</v>
      </c>
      <c r="AO298" s="36">
        <v>0</v>
      </c>
      <c r="AP298" s="36">
        <v>0</v>
      </c>
      <c r="AQ298" s="36">
        <v>0</v>
      </c>
      <c r="AR298" s="50">
        <v>0</v>
      </c>
      <c r="AS298" s="36">
        <v>0</v>
      </c>
      <c r="AT298" s="36">
        <v>0</v>
      </c>
      <c r="AU298" s="36">
        <v>0</v>
      </c>
      <c r="AV298" s="36">
        <v>0</v>
      </c>
      <c r="AW298">
        <v>0</v>
      </c>
      <c r="AX298">
        <v>0</v>
      </c>
    </row>
    <row r="299" spans="1:50" x14ac:dyDescent="0.25">
      <c r="A299" s="36"/>
      <c r="B299" t="s">
        <v>119</v>
      </c>
      <c r="C299" s="36" t="str">
        <f>'Status Thresholds'!B290</f>
        <v>Fatalis (Black)</v>
      </c>
      <c r="E299" s="36" t="str">
        <f t="shared" si="11"/>
        <v>Fatalis (Black)</v>
      </c>
      <c r="F299" s="36" t="str">
        <f>IFERROR(VLOOKUP($E299,'Status Thresholds'!$E:$AS,1,FALSE),"")</f>
        <v/>
      </c>
      <c r="G299" t="s">
        <v>13</v>
      </c>
      <c r="H299" s="55" t="str">
        <f t="shared" si="12"/>
        <v>Fatalis (Black)Crag 3</v>
      </c>
      <c r="I299" s="50">
        <v>0</v>
      </c>
      <c r="J299" s="36">
        <v>0</v>
      </c>
      <c r="K299" s="36">
        <v>0</v>
      </c>
      <c r="L299" s="36">
        <v>0</v>
      </c>
      <c r="M299" s="36">
        <v>0</v>
      </c>
      <c r="N299" s="50">
        <v>0</v>
      </c>
      <c r="O299" s="36">
        <v>0</v>
      </c>
      <c r="P299" s="36">
        <v>0</v>
      </c>
      <c r="Q299" s="36">
        <v>0</v>
      </c>
      <c r="R299" s="36">
        <v>0</v>
      </c>
      <c r="S299" s="50">
        <v>0</v>
      </c>
      <c r="T299" s="36">
        <v>0</v>
      </c>
      <c r="U299" s="36">
        <v>0</v>
      </c>
      <c r="V299" s="36">
        <v>0</v>
      </c>
      <c r="W299" s="36">
        <v>0</v>
      </c>
      <c r="X299" s="50">
        <v>0</v>
      </c>
      <c r="Y299" s="36">
        <v>0</v>
      </c>
      <c r="Z299" s="36">
        <v>0</v>
      </c>
      <c r="AA299" s="36">
        <v>0</v>
      </c>
      <c r="AB299" s="36">
        <v>0</v>
      </c>
      <c r="AC299" s="50">
        <v>0</v>
      </c>
      <c r="AD299" s="36">
        <v>0</v>
      </c>
      <c r="AE299" s="36">
        <v>0</v>
      </c>
      <c r="AF299" s="36">
        <v>0</v>
      </c>
      <c r="AG299" s="36">
        <v>0</v>
      </c>
      <c r="AH299" s="50">
        <v>0</v>
      </c>
      <c r="AI299" s="36">
        <v>0</v>
      </c>
      <c r="AJ299" s="36">
        <v>0</v>
      </c>
      <c r="AK299" s="36">
        <v>0</v>
      </c>
      <c r="AL299" s="36">
        <v>0</v>
      </c>
      <c r="AM299" s="50">
        <v>0</v>
      </c>
      <c r="AN299" s="36">
        <v>0</v>
      </c>
      <c r="AO299" s="36">
        <v>0</v>
      </c>
      <c r="AP299" s="36">
        <v>0</v>
      </c>
      <c r="AQ299" s="36">
        <v>0</v>
      </c>
      <c r="AR299" s="50">
        <v>0</v>
      </c>
      <c r="AS299" s="36">
        <v>0</v>
      </c>
      <c r="AT299" s="36">
        <v>0</v>
      </c>
      <c r="AU299" s="36">
        <v>0</v>
      </c>
      <c r="AV299" s="36">
        <v>0</v>
      </c>
      <c r="AW299">
        <v>0</v>
      </c>
      <c r="AX299">
        <v>0</v>
      </c>
    </row>
    <row r="300" spans="1:50" x14ac:dyDescent="0.25">
      <c r="A300" s="36"/>
      <c r="B300" t="s">
        <v>119</v>
      </c>
      <c r="C300" s="36" t="str">
        <f>'Status Thresholds'!B291</f>
        <v>Fatalis (Black)</v>
      </c>
      <c r="E300" s="36" t="str">
        <f t="shared" si="11"/>
        <v>Fatalis (Black)</v>
      </c>
      <c r="F300" s="36" t="str">
        <f>IFERROR(VLOOKUP($E300,'Status Thresholds'!$E:$AS,1,FALSE),"")</f>
        <v/>
      </c>
      <c r="G300" t="s">
        <v>12</v>
      </c>
      <c r="H300" s="55" t="str">
        <f t="shared" si="12"/>
        <v>Fatalis (Black)Crag 2</v>
      </c>
      <c r="I300" s="50">
        <v>0</v>
      </c>
      <c r="J300" s="36">
        <v>0</v>
      </c>
      <c r="K300" s="36">
        <v>0</v>
      </c>
      <c r="L300" s="36">
        <v>0</v>
      </c>
      <c r="M300" s="36">
        <v>0</v>
      </c>
      <c r="N300" s="50">
        <v>0</v>
      </c>
      <c r="O300" s="36">
        <v>0</v>
      </c>
      <c r="P300" s="36">
        <v>0</v>
      </c>
      <c r="Q300" s="36">
        <v>0</v>
      </c>
      <c r="R300" s="36">
        <v>0</v>
      </c>
      <c r="S300" s="50">
        <v>0</v>
      </c>
      <c r="T300" s="36">
        <v>0</v>
      </c>
      <c r="U300" s="36">
        <v>0</v>
      </c>
      <c r="V300" s="36">
        <v>0</v>
      </c>
      <c r="W300" s="36">
        <v>0</v>
      </c>
      <c r="X300" s="50">
        <v>0</v>
      </c>
      <c r="Y300" s="36">
        <v>0</v>
      </c>
      <c r="Z300" s="36">
        <v>0</v>
      </c>
      <c r="AA300" s="36">
        <v>0</v>
      </c>
      <c r="AB300" s="36">
        <v>0</v>
      </c>
      <c r="AC300" s="50">
        <v>0</v>
      </c>
      <c r="AD300" s="36">
        <v>0</v>
      </c>
      <c r="AE300" s="36">
        <v>0</v>
      </c>
      <c r="AF300" s="36">
        <v>0</v>
      </c>
      <c r="AG300" s="36">
        <v>0</v>
      </c>
      <c r="AH300" s="50">
        <v>0</v>
      </c>
      <c r="AI300" s="36">
        <v>0</v>
      </c>
      <c r="AJ300" s="36">
        <v>0</v>
      </c>
      <c r="AK300" s="36">
        <v>0</v>
      </c>
      <c r="AL300" s="36">
        <v>0</v>
      </c>
      <c r="AM300" s="50">
        <v>0</v>
      </c>
      <c r="AN300" s="36">
        <v>0</v>
      </c>
      <c r="AO300" s="36">
        <v>0</v>
      </c>
      <c r="AP300" s="36">
        <v>0</v>
      </c>
      <c r="AQ300" s="36">
        <v>0</v>
      </c>
      <c r="AR300" s="50">
        <v>0</v>
      </c>
      <c r="AS300" s="36">
        <v>0</v>
      </c>
      <c r="AT300" s="36">
        <v>0</v>
      </c>
      <c r="AU300" s="36">
        <v>0</v>
      </c>
      <c r="AV300" s="36">
        <v>0</v>
      </c>
      <c r="AW300">
        <v>0</v>
      </c>
      <c r="AX300">
        <v>0</v>
      </c>
    </row>
    <row r="301" spans="1:50" x14ac:dyDescent="0.25">
      <c r="A301" s="36"/>
      <c r="B301" t="s">
        <v>119</v>
      </c>
      <c r="C301" s="36" t="str">
        <f>'Status Thresholds'!B292</f>
        <v>Fatalis (Black)</v>
      </c>
      <c r="E301" s="36" t="str">
        <f t="shared" si="11"/>
        <v>Fatalis (Black)</v>
      </c>
      <c r="F301" s="36" t="str">
        <f>IFERROR(VLOOKUP($E301,'Status Thresholds'!$E:$AS,1,FALSE),"")</f>
        <v/>
      </c>
      <c r="G301" t="s">
        <v>11</v>
      </c>
      <c r="H301" s="55" t="str">
        <f t="shared" si="12"/>
        <v>Fatalis (Black)Crag 1</v>
      </c>
      <c r="I301" s="50">
        <v>0</v>
      </c>
      <c r="J301" s="36">
        <v>0</v>
      </c>
      <c r="K301" s="36">
        <v>0</v>
      </c>
      <c r="L301" s="36">
        <v>0</v>
      </c>
      <c r="M301" s="36">
        <v>0</v>
      </c>
      <c r="N301" s="50">
        <v>0</v>
      </c>
      <c r="O301" s="36">
        <v>0</v>
      </c>
      <c r="P301" s="36">
        <v>0</v>
      </c>
      <c r="Q301" s="36">
        <v>0</v>
      </c>
      <c r="R301" s="36">
        <v>0</v>
      </c>
      <c r="S301" s="50">
        <v>0</v>
      </c>
      <c r="T301" s="36">
        <v>0</v>
      </c>
      <c r="U301" s="36">
        <v>0</v>
      </c>
      <c r="V301" s="36">
        <v>0</v>
      </c>
      <c r="W301" s="36">
        <v>0</v>
      </c>
      <c r="X301" s="50">
        <v>0</v>
      </c>
      <c r="Y301" s="36">
        <v>0</v>
      </c>
      <c r="Z301" s="36">
        <v>0</v>
      </c>
      <c r="AA301" s="36">
        <v>0</v>
      </c>
      <c r="AB301" s="36">
        <v>0</v>
      </c>
      <c r="AC301" s="50">
        <v>0</v>
      </c>
      <c r="AD301" s="36">
        <v>0</v>
      </c>
      <c r="AE301" s="36">
        <v>0</v>
      </c>
      <c r="AF301" s="36">
        <v>0</v>
      </c>
      <c r="AG301" s="36">
        <v>0</v>
      </c>
      <c r="AH301" s="50">
        <v>0</v>
      </c>
      <c r="AI301" s="36">
        <v>0</v>
      </c>
      <c r="AJ301" s="36">
        <v>0</v>
      </c>
      <c r="AK301" s="36">
        <v>0</v>
      </c>
      <c r="AL301" s="36">
        <v>0</v>
      </c>
      <c r="AM301" s="50">
        <v>0</v>
      </c>
      <c r="AN301" s="36">
        <v>0</v>
      </c>
      <c r="AO301" s="36">
        <v>0</v>
      </c>
      <c r="AP301" s="36">
        <v>0</v>
      </c>
      <c r="AQ301" s="36">
        <v>0</v>
      </c>
      <c r="AR301" s="50">
        <v>0</v>
      </c>
      <c r="AS301" s="36">
        <v>0</v>
      </c>
      <c r="AT301" s="36">
        <v>0</v>
      </c>
      <c r="AU301" s="36">
        <v>0</v>
      </c>
      <c r="AV301" s="36">
        <v>0</v>
      </c>
      <c r="AW301">
        <v>0</v>
      </c>
      <c r="AX301">
        <v>0</v>
      </c>
    </row>
    <row r="302" spans="1:50" x14ac:dyDescent="0.25">
      <c r="A302" s="36"/>
      <c r="B302" t="s">
        <v>121</v>
      </c>
      <c r="C302" s="36" t="str">
        <f>'Status Thresholds'!B293</f>
        <v>Fatalis (Crimson)</v>
      </c>
      <c r="D302" t="s">
        <v>14</v>
      </c>
      <c r="E302" s="36" t="str">
        <f t="shared" si="11"/>
        <v>Fatalis (Crimson)KO</v>
      </c>
      <c r="F302" s="36" t="str">
        <f>IFERROR(VLOOKUP($E302,'Status Thresholds'!$E:$AS,1,FALSE),"")</f>
        <v>Fatalis (Crimson)KO</v>
      </c>
      <c r="G302" s="36"/>
      <c r="H302" s="55" t="str">
        <f t="shared" si="12"/>
        <v>Fatalis (Crimson)KO</v>
      </c>
      <c r="I302" s="50">
        <f>VLOOKUP($F302,'Status Thresholds'!$E:$AS,2,FALSE)</f>
        <v>0</v>
      </c>
      <c r="J302" s="36">
        <f>VLOOKUP($F302,'Status Thresholds'!$E:$AS,3,FALSE)</f>
        <v>0</v>
      </c>
      <c r="K302" s="36">
        <f>VLOOKUP($F302,'Status Thresholds'!$E:$AS,4,FALSE)</f>
        <v>0</v>
      </c>
      <c r="L302" s="36">
        <f>VLOOKUP($F302,'Status Thresholds'!$E:$AS,5,FALSE)</f>
        <v>0</v>
      </c>
      <c r="M302" s="36">
        <f>VLOOKUP($F302,'Status Thresholds'!$E:$AS,6,FALSE)</f>
        <v>0</v>
      </c>
      <c r="N302" s="50">
        <f>VLOOKUP($F302,'Status Thresholds'!$E:$AS,7,FALSE)</f>
        <v>0</v>
      </c>
      <c r="O302" s="36">
        <f>VLOOKUP($F302,'Status Thresholds'!$E:$AS,8,FALSE)</f>
        <v>0</v>
      </c>
      <c r="P302" s="36">
        <f>VLOOKUP($F302,'Status Thresholds'!$E:$AS,9,FALSE)</f>
        <v>0</v>
      </c>
      <c r="Q302" s="36">
        <f>VLOOKUP($F302,'Status Thresholds'!$E:$AS,10,FALSE)</f>
        <v>0</v>
      </c>
      <c r="R302" s="36">
        <f>VLOOKUP($F302,'Status Thresholds'!$E:$AS,11,FALSE)</f>
        <v>0</v>
      </c>
      <c r="S302" s="50">
        <f>VLOOKUP($F302,'Status Thresholds'!$E:$AS,12,FALSE)</f>
        <v>0</v>
      </c>
      <c r="T302" s="36">
        <f>VLOOKUP($F302,'Status Thresholds'!$E:$AS,13,FALSE)</f>
        <v>0</v>
      </c>
      <c r="U302" s="36">
        <f>VLOOKUP($F302,'Status Thresholds'!$E:$AS,14,FALSE)</f>
        <v>0</v>
      </c>
      <c r="V302" s="36">
        <f>VLOOKUP($F302,'Status Thresholds'!$E:$AS,15,FALSE)</f>
        <v>0</v>
      </c>
      <c r="W302" s="36">
        <f>VLOOKUP($F302,'Status Thresholds'!$E:$AS,16,FALSE)</f>
        <v>0</v>
      </c>
      <c r="X302" s="50">
        <f>VLOOKUP($F302,'Status Thresholds'!$E:$AS,17,FALSE)</f>
        <v>0</v>
      </c>
      <c r="Y302" s="36">
        <f>VLOOKUP($F302,'Status Thresholds'!$E:$AS,18,FALSE)</f>
        <v>0</v>
      </c>
      <c r="Z302" s="36">
        <f>VLOOKUP($F302,'Status Thresholds'!$E:$AS,19,FALSE)</f>
        <v>0</v>
      </c>
      <c r="AA302" s="36">
        <f>VLOOKUP($F302,'Status Thresholds'!$E:$AS,20,FALSE)</f>
        <v>0</v>
      </c>
      <c r="AB302" s="36">
        <f>VLOOKUP($F302,'Status Thresholds'!$E:$AS,21,FALSE)</f>
        <v>0</v>
      </c>
      <c r="AC302" s="50">
        <f>VLOOKUP($F302,'Status Thresholds'!$E:$AS,22,FALSE)</f>
        <v>0</v>
      </c>
      <c r="AD302" s="36">
        <f>VLOOKUP($F302,'Status Thresholds'!$E:$AS,23,FALSE)</f>
        <v>0</v>
      </c>
      <c r="AE302" s="36">
        <f>VLOOKUP($F302,'Status Thresholds'!$E:$AS,24,FALSE)</f>
        <v>0</v>
      </c>
      <c r="AF302" s="36">
        <f>VLOOKUP($F302,'Status Thresholds'!$E:$AS,25,FALSE)</f>
        <v>0</v>
      </c>
      <c r="AG302" s="36">
        <f>VLOOKUP($F302,'Status Thresholds'!$E:$AS,26,FALSE)</f>
        <v>0</v>
      </c>
      <c r="AH302" s="50">
        <f>VLOOKUP($F302,'Status Thresholds'!$E:$AS,27,FALSE)</f>
        <v>0</v>
      </c>
      <c r="AI302" s="36">
        <f>VLOOKUP($F302,'Status Thresholds'!$E:$AS,28,FALSE)</f>
        <v>0</v>
      </c>
      <c r="AJ302" s="36">
        <f>VLOOKUP($F302,'Status Thresholds'!$E:$AS,29,FALSE)</f>
        <v>0</v>
      </c>
      <c r="AK302" s="36">
        <f>VLOOKUP($F302,'Status Thresholds'!$E:$AS,30,FALSE)</f>
        <v>0</v>
      </c>
      <c r="AL302" s="36">
        <f>VLOOKUP($F302,'Status Thresholds'!$E:$AS,31,FALSE)</f>
        <v>0</v>
      </c>
      <c r="AM302" s="50">
        <f>VLOOKUP($F302,'Status Thresholds'!$E:$AS,32,FALSE)</f>
        <v>0</v>
      </c>
      <c r="AN302" s="36">
        <f>VLOOKUP($F302,'Status Thresholds'!$E:$AS,33,FALSE)</f>
        <v>0</v>
      </c>
      <c r="AO302" s="36">
        <f>VLOOKUP($F302,'Status Thresholds'!$E:$AS,34,FALSE)</f>
        <v>0</v>
      </c>
      <c r="AP302" s="36">
        <f>VLOOKUP($F302,'Status Thresholds'!$E:$AS,35,FALSE)</f>
        <v>0</v>
      </c>
      <c r="AQ302" s="36">
        <f>VLOOKUP($F302,'Status Thresholds'!$E:$AS,36,FALSE)</f>
        <v>0</v>
      </c>
      <c r="AR302" s="50">
        <f>VLOOKUP($F302,'Status Thresholds'!$E:$AS,37,FALSE)</f>
        <v>0</v>
      </c>
      <c r="AS302" s="36">
        <f>VLOOKUP($F302,'Status Thresholds'!$E:$AS,38,FALSE)</f>
        <v>0</v>
      </c>
      <c r="AT302" s="36">
        <f>VLOOKUP($F302,'Status Thresholds'!$E:$AS,39,FALSE)</f>
        <v>0</v>
      </c>
      <c r="AU302" s="36">
        <f>VLOOKUP($F302,'Status Thresholds'!$E:$AS,40,FALSE)</f>
        <v>0</v>
      </c>
      <c r="AV302" s="36">
        <f>VLOOKUP($F302,'Status Thresholds'!$E:$AS,41,FALSE)</f>
        <v>0</v>
      </c>
      <c r="AW302">
        <v>0</v>
      </c>
      <c r="AX302">
        <v>0</v>
      </c>
    </row>
    <row r="303" spans="1:50" x14ac:dyDescent="0.25">
      <c r="A303" s="36"/>
      <c r="B303" t="s">
        <v>120</v>
      </c>
      <c r="C303" s="36" t="str">
        <f>'Status Thresholds'!B294</f>
        <v>Fatalis (Crimson)</v>
      </c>
      <c r="E303" s="36" t="str">
        <f t="shared" si="11"/>
        <v>Fatalis (Crimson)</v>
      </c>
      <c r="F303" s="36" t="str">
        <f>IFERROR(VLOOKUP($E303,'Status Thresholds'!$E:$AS,1,FALSE),"")</f>
        <v/>
      </c>
      <c r="G303" s="46" t="s">
        <v>21</v>
      </c>
      <c r="H303" s="55" t="str">
        <f t="shared" si="12"/>
        <v>Fatalis (Crimson)Triblast</v>
      </c>
      <c r="I303" s="50">
        <v>0</v>
      </c>
      <c r="J303" s="36">
        <v>0</v>
      </c>
      <c r="K303" s="36">
        <v>0</v>
      </c>
      <c r="L303" s="36">
        <v>0</v>
      </c>
      <c r="M303" s="36">
        <v>0</v>
      </c>
      <c r="N303" s="50">
        <v>0</v>
      </c>
      <c r="O303" s="36">
        <v>0</v>
      </c>
      <c r="P303" s="36">
        <v>0</v>
      </c>
      <c r="Q303" s="36">
        <v>0</v>
      </c>
      <c r="R303" s="36">
        <v>0</v>
      </c>
      <c r="S303" s="50">
        <v>0</v>
      </c>
      <c r="T303" s="36">
        <v>0</v>
      </c>
      <c r="U303" s="36">
        <v>0</v>
      </c>
      <c r="V303" s="36">
        <v>0</v>
      </c>
      <c r="W303" s="36">
        <v>0</v>
      </c>
      <c r="X303" s="50">
        <v>0</v>
      </c>
      <c r="Y303" s="36">
        <v>0</v>
      </c>
      <c r="Z303" s="36">
        <v>0</v>
      </c>
      <c r="AA303" s="36">
        <v>0</v>
      </c>
      <c r="AB303" s="36">
        <v>0</v>
      </c>
      <c r="AC303" s="50">
        <v>0</v>
      </c>
      <c r="AD303" s="36">
        <v>0</v>
      </c>
      <c r="AE303" s="36">
        <v>0</v>
      </c>
      <c r="AF303" s="36">
        <v>0</v>
      </c>
      <c r="AG303" s="36">
        <v>0</v>
      </c>
      <c r="AH303" s="50">
        <v>0</v>
      </c>
      <c r="AI303" s="36">
        <v>0</v>
      </c>
      <c r="AJ303" s="36">
        <v>0</v>
      </c>
      <c r="AK303" s="36">
        <v>0</v>
      </c>
      <c r="AL303" s="36">
        <v>0</v>
      </c>
      <c r="AM303" s="50">
        <v>0</v>
      </c>
      <c r="AN303" s="36">
        <v>0</v>
      </c>
      <c r="AO303" s="36">
        <v>0</v>
      </c>
      <c r="AP303" s="36">
        <v>0</v>
      </c>
      <c r="AQ303" s="36">
        <v>0</v>
      </c>
      <c r="AR303" s="50">
        <v>0</v>
      </c>
      <c r="AS303" s="36">
        <v>0</v>
      </c>
      <c r="AT303" s="36">
        <v>0</v>
      </c>
      <c r="AU303" s="36">
        <v>0</v>
      </c>
      <c r="AV303" s="36">
        <v>0</v>
      </c>
      <c r="AW303">
        <v>0</v>
      </c>
    </row>
    <row r="304" spans="1:50" x14ac:dyDescent="0.25">
      <c r="A304" s="36"/>
      <c r="B304" t="s">
        <v>120</v>
      </c>
      <c r="C304" s="36" t="str">
        <f>'Status Thresholds'!B295</f>
        <v>Fatalis (Crimson)</v>
      </c>
      <c r="E304" s="36" t="str">
        <f t="shared" si="11"/>
        <v>Fatalis (Crimson)</v>
      </c>
      <c r="F304" s="36" t="str">
        <f>IFERROR(VLOOKUP($E304,'Status Thresholds'!$E:$AS,1,FALSE),"")</f>
        <v/>
      </c>
      <c r="G304" t="s">
        <v>13</v>
      </c>
      <c r="H304" s="55" t="str">
        <f t="shared" si="12"/>
        <v>Fatalis (Crimson)Crag 3</v>
      </c>
      <c r="I304" s="50">
        <v>0</v>
      </c>
      <c r="J304" s="36">
        <v>0</v>
      </c>
      <c r="K304" s="36">
        <v>0</v>
      </c>
      <c r="L304" s="36">
        <v>0</v>
      </c>
      <c r="M304" s="36">
        <v>0</v>
      </c>
      <c r="N304" s="50">
        <v>0</v>
      </c>
      <c r="O304" s="36">
        <v>0</v>
      </c>
      <c r="P304" s="36">
        <v>0</v>
      </c>
      <c r="Q304" s="36">
        <v>0</v>
      </c>
      <c r="R304" s="36">
        <v>0</v>
      </c>
      <c r="S304" s="50">
        <v>0</v>
      </c>
      <c r="T304" s="36">
        <v>0</v>
      </c>
      <c r="U304" s="36">
        <v>0</v>
      </c>
      <c r="V304" s="36">
        <v>0</v>
      </c>
      <c r="W304" s="36">
        <v>0</v>
      </c>
      <c r="X304" s="50">
        <v>0</v>
      </c>
      <c r="Y304" s="36">
        <v>0</v>
      </c>
      <c r="Z304" s="36">
        <v>0</v>
      </c>
      <c r="AA304" s="36">
        <v>0</v>
      </c>
      <c r="AB304" s="36">
        <v>0</v>
      </c>
      <c r="AC304" s="50">
        <v>0</v>
      </c>
      <c r="AD304" s="36">
        <v>0</v>
      </c>
      <c r="AE304" s="36">
        <v>0</v>
      </c>
      <c r="AF304" s="36">
        <v>0</v>
      </c>
      <c r="AG304" s="36">
        <v>0</v>
      </c>
      <c r="AH304" s="50">
        <v>0</v>
      </c>
      <c r="AI304" s="36">
        <v>0</v>
      </c>
      <c r="AJ304" s="36">
        <v>0</v>
      </c>
      <c r="AK304" s="36">
        <v>0</v>
      </c>
      <c r="AL304" s="36">
        <v>0</v>
      </c>
      <c r="AM304" s="50">
        <v>0</v>
      </c>
      <c r="AN304" s="36">
        <v>0</v>
      </c>
      <c r="AO304" s="36">
        <v>0</v>
      </c>
      <c r="AP304" s="36">
        <v>0</v>
      </c>
      <c r="AQ304" s="36">
        <v>0</v>
      </c>
      <c r="AR304" s="50">
        <v>0</v>
      </c>
      <c r="AS304" s="36">
        <v>0</v>
      </c>
      <c r="AT304" s="36">
        <v>0</v>
      </c>
      <c r="AU304" s="36">
        <v>0</v>
      </c>
      <c r="AV304" s="36">
        <v>0</v>
      </c>
      <c r="AW304">
        <v>0</v>
      </c>
      <c r="AX304">
        <v>0</v>
      </c>
    </row>
    <row r="305" spans="1:50" x14ac:dyDescent="0.25">
      <c r="A305" s="36"/>
      <c r="B305" t="s">
        <v>120</v>
      </c>
      <c r="C305" s="36" t="str">
        <f>'Status Thresholds'!B296</f>
        <v>Fatalis (Crimson)</v>
      </c>
      <c r="E305" s="36" t="str">
        <f t="shared" si="11"/>
        <v>Fatalis (Crimson)</v>
      </c>
      <c r="F305" s="36" t="str">
        <f>IFERROR(VLOOKUP($E305,'Status Thresholds'!$E:$AS,1,FALSE),"")</f>
        <v/>
      </c>
      <c r="G305" t="s">
        <v>12</v>
      </c>
      <c r="H305" s="55" t="str">
        <f t="shared" si="12"/>
        <v>Fatalis (Crimson)Crag 2</v>
      </c>
      <c r="I305" s="50">
        <v>0</v>
      </c>
      <c r="J305" s="36">
        <v>0</v>
      </c>
      <c r="K305" s="36">
        <v>0</v>
      </c>
      <c r="L305" s="36">
        <v>0</v>
      </c>
      <c r="M305" s="36">
        <v>0</v>
      </c>
      <c r="N305" s="50">
        <v>0</v>
      </c>
      <c r="O305" s="36">
        <v>0</v>
      </c>
      <c r="P305" s="36">
        <v>0</v>
      </c>
      <c r="Q305" s="36">
        <v>0</v>
      </c>
      <c r="R305" s="36">
        <v>0</v>
      </c>
      <c r="S305" s="50">
        <v>0</v>
      </c>
      <c r="T305" s="36">
        <v>0</v>
      </c>
      <c r="U305" s="36">
        <v>0</v>
      </c>
      <c r="V305" s="36">
        <v>0</v>
      </c>
      <c r="W305" s="36">
        <v>0</v>
      </c>
      <c r="X305" s="50">
        <v>0</v>
      </c>
      <c r="Y305" s="36">
        <v>0</v>
      </c>
      <c r="Z305" s="36">
        <v>0</v>
      </c>
      <c r="AA305" s="36">
        <v>0</v>
      </c>
      <c r="AB305" s="36">
        <v>0</v>
      </c>
      <c r="AC305" s="50">
        <v>0</v>
      </c>
      <c r="AD305" s="36">
        <v>0</v>
      </c>
      <c r="AE305" s="36">
        <v>0</v>
      </c>
      <c r="AF305" s="36">
        <v>0</v>
      </c>
      <c r="AG305" s="36">
        <v>0</v>
      </c>
      <c r="AH305" s="50">
        <v>0</v>
      </c>
      <c r="AI305" s="36">
        <v>0</v>
      </c>
      <c r="AJ305" s="36">
        <v>0</v>
      </c>
      <c r="AK305" s="36">
        <v>0</v>
      </c>
      <c r="AL305" s="36">
        <v>0</v>
      </c>
      <c r="AM305" s="50">
        <v>0</v>
      </c>
      <c r="AN305" s="36">
        <v>0</v>
      </c>
      <c r="AO305" s="36">
        <v>0</v>
      </c>
      <c r="AP305" s="36">
        <v>0</v>
      </c>
      <c r="AQ305" s="36">
        <v>0</v>
      </c>
      <c r="AR305" s="50">
        <v>0</v>
      </c>
      <c r="AS305" s="36">
        <v>0</v>
      </c>
      <c r="AT305" s="36">
        <v>0</v>
      </c>
      <c r="AU305" s="36">
        <v>0</v>
      </c>
      <c r="AV305" s="36">
        <v>0</v>
      </c>
      <c r="AW305">
        <v>0</v>
      </c>
      <c r="AX305">
        <v>0</v>
      </c>
    </row>
    <row r="306" spans="1:50" x14ac:dyDescent="0.25">
      <c r="A306" s="36"/>
      <c r="B306" t="s">
        <v>120</v>
      </c>
      <c r="C306" s="36" t="str">
        <f>'Status Thresholds'!B297</f>
        <v>Fatalis (Crimson)</v>
      </c>
      <c r="E306" s="36" t="str">
        <f t="shared" si="11"/>
        <v>Fatalis (Crimson)</v>
      </c>
      <c r="F306" s="36" t="str">
        <f>IFERROR(VLOOKUP($E306,'Status Thresholds'!$E:$AS,1,FALSE),"")</f>
        <v/>
      </c>
      <c r="G306" t="s">
        <v>11</v>
      </c>
      <c r="H306" s="55" t="str">
        <f t="shared" si="12"/>
        <v>Fatalis (Crimson)Crag 1</v>
      </c>
      <c r="I306" s="50">
        <v>0</v>
      </c>
      <c r="J306" s="36">
        <v>0</v>
      </c>
      <c r="K306" s="36">
        <v>0</v>
      </c>
      <c r="L306" s="36">
        <v>0</v>
      </c>
      <c r="M306" s="36">
        <v>0</v>
      </c>
      <c r="N306" s="50">
        <v>0</v>
      </c>
      <c r="O306" s="36">
        <v>0</v>
      </c>
      <c r="P306" s="36">
        <v>0</v>
      </c>
      <c r="Q306" s="36">
        <v>0</v>
      </c>
      <c r="R306" s="36">
        <v>0</v>
      </c>
      <c r="S306" s="50">
        <v>0</v>
      </c>
      <c r="T306" s="36">
        <v>0</v>
      </c>
      <c r="U306" s="36">
        <v>0</v>
      </c>
      <c r="V306" s="36">
        <v>0</v>
      </c>
      <c r="W306" s="36">
        <v>0</v>
      </c>
      <c r="X306" s="50">
        <v>0</v>
      </c>
      <c r="Y306" s="36">
        <v>0</v>
      </c>
      <c r="Z306" s="36">
        <v>0</v>
      </c>
      <c r="AA306" s="36">
        <v>0</v>
      </c>
      <c r="AB306" s="36">
        <v>0</v>
      </c>
      <c r="AC306" s="50">
        <v>0</v>
      </c>
      <c r="AD306" s="36">
        <v>0</v>
      </c>
      <c r="AE306" s="36">
        <v>0</v>
      </c>
      <c r="AF306" s="36">
        <v>0</v>
      </c>
      <c r="AG306" s="36">
        <v>0</v>
      </c>
      <c r="AH306" s="50">
        <v>0</v>
      </c>
      <c r="AI306" s="36">
        <v>0</v>
      </c>
      <c r="AJ306" s="36">
        <v>0</v>
      </c>
      <c r="AK306" s="36">
        <v>0</v>
      </c>
      <c r="AL306" s="36">
        <v>0</v>
      </c>
      <c r="AM306" s="50">
        <v>0</v>
      </c>
      <c r="AN306" s="36">
        <v>0</v>
      </c>
      <c r="AO306" s="36">
        <v>0</v>
      </c>
      <c r="AP306" s="36">
        <v>0</v>
      </c>
      <c r="AQ306" s="36">
        <v>0</v>
      </c>
      <c r="AR306" s="50">
        <v>0</v>
      </c>
      <c r="AS306" s="36">
        <v>0</v>
      </c>
      <c r="AT306" s="36">
        <v>0</v>
      </c>
      <c r="AU306" s="36">
        <v>0</v>
      </c>
      <c r="AV306" s="36">
        <v>0</v>
      </c>
      <c r="AW306">
        <v>0</v>
      </c>
      <c r="AX306">
        <v>0</v>
      </c>
    </row>
    <row r="307" spans="1:50" x14ac:dyDescent="0.25">
      <c r="A307" s="36"/>
      <c r="B307" t="s">
        <v>119</v>
      </c>
      <c r="C307" s="36" t="str">
        <f>'Status Thresholds'!B298</f>
        <v>Fatalis (Crimson)</v>
      </c>
      <c r="E307" s="36" t="str">
        <f t="shared" si="11"/>
        <v>Fatalis (Crimson)</v>
      </c>
      <c r="F307" s="36" t="str">
        <f>IFERROR(VLOOKUP($E307,'Status Thresholds'!$E:$AS,1,FALSE),"")</f>
        <v/>
      </c>
      <c r="G307" s="36" t="s">
        <v>21</v>
      </c>
      <c r="H307" s="55" t="str">
        <f t="shared" si="12"/>
        <v>Fatalis (Crimson)Triblast</v>
      </c>
      <c r="I307" s="50">
        <v>0</v>
      </c>
      <c r="J307" s="36">
        <v>0</v>
      </c>
      <c r="K307" s="36">
        <v>0</v>
      </c>
      <c r="L307" s="36">
        <v>0</v>
      </c>
      <c r="M307" s="36">
        <v>0</v>
      </c>
      <c r="N307" s="50">
        <v>0</v>
      </c>
      <c r="O307" s="36">
        <v>0</v>
      </c>
      <c r="P307" s="36">
        <v>0</v>
      </c>
      <c r="Q307" s="36">
        <v>0</v>
      </c>
      <c r="R307" s="36">
        <v>0</v>
      </c>
      <c r="S307" s="50">
        <v>0</v>
      </c>
      <c r="T307" s="36">
        <v>0</v>
      </c>
      <c r="U307" s="36">
        <v>0</v>
      </c>
      <c r="V307" s="36">
        <v>0</v>
      </c>
      <c r="W307" s="36">
        <v>0</v>
      </c>
      <c r="X307" s="50">
        <v>0</v>
      </c>
      <c r="Y307" s="36">
        <v>0</v>
      </c>
      <c r="Z307" s="36">
        <v>0</v>
      </c>
      <c r="AA307" s="36">
        <v>0</v>
      </c>
      <c r="AB307" s="36">
        <v>0</v>
      </c>
      <c r="AC307" s="50">
        <v>0</v>
      </c>
      <c r="AD307" s="36">
        <v>0</v>
      </c>
      <c r="AE307" s="36">
        <v>0</v>
      </c>
      <c r="AF307" s="36">
        <v>0</v>
      </c>
      <c r="AG307" s="36">
        <v>0</v>
      </c>
      <c r="AH307" s="50">
        <v>0</v>
      </c>
      <c r="AI307" s="36">
        <v>0</v>
      </c>
      <c r="AJ307" s="36">
        <v>0</v>
      </c>
      <c r="AK307" s="36">
        <v>0</v>
      </c>
      <c r="AL307" s="36">
        <v>0</v>
      </c>
      <c r="AM307" s="50">
        <v>0</v>
      </c>
      <c r="AN307" s="36">
        <v>0</v>
      </c>
      <c r="AO307" s="36">
        <v>0</v>
      </c>
      <c r="AP307" s="36">
        <v>0</v>
      </c>
      <c r="AQ307" s="36">
        <v>0</v>
      </c>
      <c r="AR307" s="50">
        <v>0</v>
      </c>
      <c r="AS307" s="36">
        <v>0</v>
      </c>
      <c r="AT307" s="36">
        <v>0</v>
      </c>
      <c r="AU307" s="36">
        <v>0</v>
      </c>
      <c r="AV307" s="36">
        <v>0</v>
      </c>
      <c r="AW307">
        <v>0</v>
      </c>
      <c r="AX307">
        <v>0</v>
      </c>
    </row>
    <row r="308" spans="1:50" x14ac:dyDescent="0.25">
      <c r="A308" s="36"/>
      <c r="B308" t="s">
        <v>119</v>
      </c>
      <c r="C308" s="36" t="str">
        <f>'Status Thresholds'!B299</f>
        <v>Fatalis (Crimson)</v>
      </c>
      <c r="E308" s="36" t="str">
        <f t="shared" si="11"/>
        <v>Fatalis (Crimson)</v>
      </c>
      <c r="F308" s="36" t="str">
        <f>IFERROR(VLOOKUP($E308,'Status Thresholds'!$E:$AS,1,FALSE),"")</f>
        <v/>
      </c>
      <c r="G308" t="s">
        <v>13</v>
      </c>
      <c r="H308" s="55" t="str">
        <f t="shared" si="12"/>
        <v>Fatalis (Crimson)Crag 3</v>
      </c>
      <c r="I308" s="50">
        <v>0</v>
      </c>
      <c r="J308" s="36">
        <v>0</v>
      </c>
      <c r="K308" s="36">
        <v>0</v>
      </c>
      <c r="L308" s="36">
        <v>0</v>
      </c>
      <c r="M308" s="36">
        <v>0</v>
      </c>
      <c r="N308" s="50">
        <v>0</v>
      </c>
      <c r="O308" s="36">
        <v>0</v>
      </c>
      <c r="P308" s="36">
        <v>0</v>
      </c>
      <c r="Q308" s="36">
        <v>0</v>
      </c>
      <c r="R308" s="36">
        <v>0</v>
      </c>
      <c r="S308" s="50">
        <v>0</v>
      </c>
      <c r="T308" s="36">
        <v>0</v>
      </c>
      <c r="U308" s="36">
        <v>0</v>
      </c>
      <c r="V308" s="36">
        <v>0</v>
      </c>
      <c r="W308" s="36">
        <v>0</v>
      </c>
      <c r="X308" s="50">
        <v>0</v>
      </c>
      <c r="Y308" s="36">
        <v>0</v>
      </c>
      <c r="Z308" s="36">
        <v>0</v>
      </c>
      <c r="AA308" s="36">
        <v>0</v>
      </c>
      <c r="AB308" s="36">
        <v>0</v>
      </c>
      <c r="AC308" s="50">
        <v>0</v>
      </c>
      <c r="AD308" s="36">
        <v>0</v>
      </c>
      <c r="AE308" s="36">
        <v>0</v>
      </c>
      <c r="AF308" s="36">
        <v>0</v>
      </c>
      <c r="AG308" s="36">
        <v>0</v>
      </c>
      <c r="AH308" s="50">
        <v>0</v>
      </c>
      <c r="AI308" s="36">
        <v>0</v>
      </c>
      <c r="AJ308" s="36">
        <v>0</v>
      </c>
      <c r="AK308" s="36">
        <v>0</v>
      </c>
      <c r="AL308" s="36">
        <v>0</v>
      </c>
      <c r="AM308" s="50">
        <v>0</v>
      </c>
      <c r="AN308" s="36">
        <v>0</v>
      </c>
      <c r="AO308" s="36">
        <v>0</v>
      </c>
      <c r="AP308" s="36">
        <v>0</v>
      </c>
      <c r="AQ308" s="36">
        <v>0</v>
      </c>
      <c r="AR308" s="50">
        <v>0</v>
      </c>
      <c r="AS308" s="36">
        <v>0</v>
      </c>
      <c r="AT308" s="36">
        <v>0</v>
      </c>
      <c r="AU308" s="36">
        <v>0</v>
      </c>
      <c r="AV308" s="36">
        <v>0</v>
      </c>
      <c r="AW308">
        <v>0</v>
      </c>
      <c r="AX308">
        <v>0</v>
      </c>
    </row>
    <row r="309" spans="1:50" x14ac:dyDescent="0.25">
      <c r="A309" s="36"/>
      <c r="B309" t="s">
        <v>119</v>
      </c>
      <c r="C309" s="36" t="str">
        <f>'Status Thresholds'!B300</f>
        <v>Fatalis (Crimson)</v>
      </c>
      <c r="E309" s="36" t="str">
        <f t="shared" si="11"/>
        <v>Fatalis (Crimson)</v>
      </c>
      <c r="F309" s="36" t="str">
        <f>IFERROR(VLOOKUP($E309,'Status Thresholds'!$E:$AS,1,FALSE),"")</f>
        <v/>
      </c>
      <c r="G309" t="s">
        <v>12</v>
      </c>
      <c r="H309" s="55" t="str">
        <f t="shared" si="12"/>
        <v>Fatalis (Crimson)Crag 2</v>
      </c>
      <c r="I309" s="50">
        <v>0</v>
      </c>
      <c r="J309" s="36">
        <v>0</v>
      </c>
      <c r="K309" s="36">
        <v>0</v>
      </c>
      <c r="L309" s="36">
        <v>0</v>
      </c>
      <c r="M309" s="36">
        <v>0</v>
      </c>
      <c r="N309" s="50">
        <v>0</v>
      </c>
      <c r="O309" s="36">
        <v>0</v>
      </c>
      <c r="P309" s="36">
        <v>0</v>
      </c>
      <c r="Q309" s="36">
        <v>0</v>
      </c>
      <c r="R309" s="36">
        <v>0</v>
      </c>
      <c r="S309" s="50">
        <v>0</v>
      </c>
      <c r="T309" s="36">
        <v>0</v>
      </c>
      <c r="U309" s="36">
        <v>0</v>
      </c>
      <c r="V309" s="36">
        <v>0</v>
      </c>
      <c r="W309" s="36">
        <v>0</v>
      </c>
      <c r="X309" s="50">
        <v>0</v>
      </c>
      <c r="Y309" s="36">
        <v>0</v>
      </c>
      <c r="Z309" s="36">
        <v>0</v>
      </c>
      <c r="AA309" s="36">
        <v>0</v>
      </c>
      <c r="AB309" s="36">
        <v>0</v>
      </c>
      <c r="AC309" s="50">
        <v>0</v>
      </c>
      <c r="AD309" s="36">
        <v>0</v>
      </c>
      <c r="AE309" s="36">
        <v>0</v>
      </c>
      <c r="AF309" s="36">
        <v>0</v>
      </c>
      <c r="AG309" s="36">
        <v>0</v>
      </c>
      <c r="AH309" s="50">
        <v>0</v>
      </c>
      <c r="AI309" s="36">
        <v>0</v>
      </c>
      <c r="AJ309" s="36">
        <v>0</v>
      </c>
      <c r="AK309" s="36">
        <v>0</v>
      </c>
      <c r="AL309" s="36">
        <v>0</v>
      </c>
      <c r="AM309" s="50">
        <v>0</v>
      </c>
      <c r="AN309" s="36">
        <v>0</v>
      </c>
      <c r="AO309" s="36">
        <v>0</v>
      </c>
      <c r="AP309" s="36">
        <v>0</v>
      </c>
      <c r="AQ309" s="36">
        <v>0</v>
      </c>
      <c r="AR309" s="50">
        <v>0</v>
      </c>
      <c r="AS309" s="36">
        <v>0</v>
      </c>
      <c r="AT309" s="36">
        <v>0</v>
      </c>
      <c r="AU309" s="36">
        <v>0</v>
      </c>
      <c r="AV309" s="36">
        <v>0</v>
      </c>
      <c r="AW309">
        <v>0</v>
      </c>
      <c r="AX309">
        <v>0</v>
      </c>
    </row>
    <row r="310" spans="1:50" x14ac:dyDescent="0.25">
      <c r="A310" s="36"/>
      <c r="B310" t="s">
        <v>119</v>
      </c>
      <c r="C310" s="36" t="str">
        <f>'Status Thresholds'!B301</f>
        <v>Fatalis (Crimson)</v>
      </c>
      <c r="E310" s="36" t="str">
        <f t="shared" si="11"/>
        <v>Fatalis (Crimson)</v>
      </c>
      <c r="F310" s="36" t="str">
        <f>IFERROR(VLOOKUP($E310,'Status Thresholds'!$E:$AS,1,FALSE),"")</f>
        <v/>
      </c>
      <c r="G310" t="s">
        <v>11</v>
      </c>
      <c r="H310" s="55" t="str">
        <f t="shared" si="12"/>
        <v>Fatalis (Crimson)Crag 1</v>
      </c>
      <c r="I310" s="50">
        <v>0</v>
      </c>
      <c r="J310" s="36">
        <v>0</v>
      </c>
      <c r="K310" s="36">
        <v>0</v>
      </c>
      <c r="L310" s="36">
        <v>0</v>
      </c>
      <c r="M310" s="36">
        <v>0</v>
      </c>
      <c r="N310" s="50">
        <v>0</v>
      </c>
      <c r="O310" s="36">
        <v>0</v>
      </c>
      <c r="P310" s="36">
        <v>0</v>
      </c>
      <c r="Q310" s="36">
        <v>0</v>
      </c>
      <c r="R310" s="36">
        <v>0</v>
      </c>
      <c r="S310" s="50">
        <v>0</v>
      </c>
      <c r="T310" s="36">
        <v>0</v>
      </c>
      <c r="U310" s="36">
        <v>0</v>
      </c>
      <c r="V310" s="36">
        <v>0</v>
      </c>
      <c r="W310" s="36">
        <v>0</v>
      </c>
      <c r="X310" s="50">
        <v>0</v>
      </c>
      <c r="Y310" s="36">
        <v>0</v>
      </c>
      <c r="Z310" s="36">
        <v>0</v>
      </c>
      <c r="AA310" s="36">
        <v>0</v>
      </c>
      <c r="AB310" s="36">
        <v>0</v>
      </c>
      <c r="AC310" s="50">
        <v>0</v>
      </c>
      <c r="AD310" s="36">
        <v>0</v>
      </c>
      <c r="AE310" s="36">
        <v>0</v>
      </c>
      <c r="AF310" s="36">
        <v>0</v>
      </c>
      <c r="AG310" s="36">
        <v>0</v>
      </c>
      <c r="AH310" s="50">
        <v>0</v>
      </c>
      <c r="AI310" s="36">
        <v>0</v>
      </c>
      <c r="AJ310" s="36">
        <v>0</v>
      </c>
      <c r="AK310" s="36">
        <v>0</v>
      </c>
      <c r="AL310" s="36">
        <v>0</v>
      </c>
      <c r="AM310" s="50">
        <v>0</v>
      </c>
      <c r="AN310" s="36">
        <v>0</v>
      </c>
      <c r="AO310" s="36">
        <v>0</v>
      </c>
      <c r="AP310" s="36">
        <v>0</v>
      </c>
      <c r="AQ310" s="36">
        <v>0</v>
      </c>
      <c r="AR310" s="50">
        <v>0</v>
      </c>
      <c r="AS310" s="36">
        <v>0</v>
      </c>
      <c r="AT310" s="36">
        <v>0</v>
      </c>
      <c r="AU310" s="36">
        <v>0</v>
      </c>
      <c r="AV310" s="36">
        <v>0</v>
      </c>
      <c r="AW310">
        <v>0</v>
      </c>
      <c r="AX310">
        <v>0</v>
      </c>
    </row>
    <row r="311" spans="1:50" x14ac:dyDescent="0.25">
      <c r="A311" s="36"/>
      <c r="B311" t="s">
        <v>121</v>
      </c>
      <c r="C311" s="36" t="str">
        <f>'Status Thresholds'!B302</f>
        <v>Fatalis (White, Old)</v>
      </c>
      <c r="D311" t="s">
        <v>14</v>
      </c>
      <c r="E311" s="36" t="str">
        <f t="shared" si="11"/>
        <v>Fatalis (White, Old)KO</v>
      </c>
      <c r="F311" s="36" t="str">
        <f>IFERROR(VLOOKUP($E311,'Status Thresholds'!$E:$AS,1,FALSE),"")</f>
        <v>Fatalis (White, Old)KO</v>
      </c>
      <c r="H311" s="55" t="str">
        <f t="shared" si="12"/>
        <v>Fatalis (White, Old)KO</v>
      </c>
      <c r="I311" s="50">
        <f>VLOOKUP($F311,'Status Thresholds'!$E:$AS,2,FALSE)</f>
        <v>0</v>
      </c>
      <c r="J311" s="36">
        <f>VLOOKUP($F311,'Status Thresholds'!$E:$AS,3,FALSE)</f>
        <v>0</v>
      </c>
      <c r="K311" s="36">
        <f>VLOOKUP($F311,'Status Thresholds'!$E:$AS,4,FALSE)</f>
        <v>0</v>
      </c>
      <c r="L311" s="36">
        <f>VLOOKUP($F311,'Status Thresholds'!$E:$AS,5,FALSE)</f>
        <v>0</v>
      </c>
      <c r="M311" s="36">
        <f>VLOOKUP($F311,'Status Thresholds'!$E:$AS,6,FALSE)</f>
        <v>0</v>
      </c>
      <c r="N311" s="50">
        <f>VLOOKUP($F311,'Status Thresholds'!$E:$AS,7,FALSE)</f>
        <v>0</v>
      </c>
      <c r="O311" s="36">
        <f>VLOOKUP($F311,'Status Thresholds'!$E:$AS,8,FALSE)</f>
        <v>0</v>
      </c>
      <c r="P311" s="36">
        <f>VLOOKUP($F311,'Status Thresholds'!$E:$AS,9,FALSE)</f>
        <v>0</v>
      </c>
      <c r="Q311" s="36">
        <f>VLOOKUP($F311,'Status Thresholds'!$E:$AS,10,FALSE)</f>
        <v>0</v>
      </c>
      <c r="R311" s="36">
        <f>VLOOKUP($F311,'Status Thresholds'!$E:$AS,11,FALSE)</f>
        <v>0</v>
      </c>
      <c r="S311" s="50">
        <f>VLOOKUP($F311,'Status Thresholds'!$E:$AS,12,FALSE)</f>
        <v>0</v>
      </c>
      <c r="T311" s="36">
        <f>VLOOKUP($F311,'Status Thresholds'!$E:$AS,13,FALSE)</f>
        <v>0</v>
      </c>
      <c r="U311" s="36">
        <f>VLOOKUP($F311,'Status Thresholds'!$E:$AS,14,FALSE)</f>
        <v>0</v>
      </c>
      <c r="V311" s="36">
        <f>VLOOKUP($F311,'Status Thresholds'!$E:$AS,15,FALSE)</f>
        <v>0</v>
      </c>
      <c r="W311" s="36">
        <f>VLOOKUP($F311,'Status Thresholds'!$E:$AS,16,FALSE)</f>
        <v>0</v>
      </c>
      <c r="X311" s="50">
        <f>VLOOKUP($F311,'Status Thresholds'!$E:$AS,17,FALSE)</f>
        <v>0</v>
      </c>
      <c r="Y311" s="36">
        <f>VLOOKUP($F311,'Status Thresholds'!$E:$AS,18,FALSE)</f>
        <v>0</v>
      </c>
      <c r="Z311" s="36">
        <f>VLOOKUP($F311,'Status Thresholds'!$E:$AS,19,FALSE)</f>
        <v>0</v>
      </c>
      <c r="AA311" s="36">
        <f>VLOOKUP($F311,'Status Thresholds'!$E:$AS,20,FALSE)</f>
        <v>0</v>
      </c>
      <c r="AB311" s="36">
        <f>VLOOKUP($F311,'Status Thresholds'!$E:$AS,21,FALSE)</f>
        <v>0</v>
      </c>
      <c r="AC311" s="50">
        <f>VLOOKUP($F311,'Status Thresholds'!$E:$AS,22,FALSE)</f>
        <v>0</v>
      </c>
      <c r="AD311" s="36">
        <f>VLOOKUP($F311,'Status Thresholds'!$E:$AS,23,FALSE)</f>
        <v>0</v>
      </c>
      <c r="AE311" s="36">
        <f>VLOOKUP($F311,'Status Thresholds'!$E:$AS,24,FALSE)</f>
        <v>0</v>
      </c>
      <c r="AF311" s="36">
        <f>VLOOKUP($F311,'Status Thresholds'!$E:$AS,25,FALSE)</f>
        <v>0</v>
      </c>
      <c r="AG311" s="36">
        <f>VLOOKUP($F311,'Status Thresholds'!$E:$AS,26,FALSE)</f>
        <v>0</v>
      </c>
      <c r="AH311" s="50">
        <f>VLOOKUP($F311,'Status Thresholds'!$E:$AS,27,FALSE)</f>
        <v>0</v>
      </c>
      <c r="AI311" s="36">
        <f>VLOOKUP($F311,'Status Thresholds'!$E:$AS,28,FALSE)</f>
        <v>0</v>
      </c>
      <c r="AJ311" s="36">
        <f>VLOOKUP($F311,'Status Thresholds'!$E:$AS,29,FALSE)</f>
        <v>0</v>
      </c>
      <c r="AK311" s="36">
        <f>VLOOKUP($F311,'Status Thresholds'!$E:$AS,30,FALSE)</f>
        <v>0</v>
      </c>
      <c r="AL311" s="36">
        <f>VLOOKUP($F311,'Status Thresholds'!$E:$AS,31,FALSE)</f>
        <v>0</v>
      </c>
      <c r="AM311" s="50">
        <f>VLOOKUP($F311,'Status Thresholds'!$E:$AS,32,FALSE)</f>
        <v>0</v>
      </c>
      <c r="AN311" s="36">
        <f>VLOOKUP($F311,'Status Thresholds'!$E:$AS,33,FALSE)</f>
        <v>0</v>
      </c>
      <c r="AO311" s="36">
        <f>VLOOKUP($F311,'Status Thresholds'!$E:$AS,34,FALSE)</f>
        <v>0</v>
      </c>
      <c r="AP311" s="36">
        <f>VLOOKUP($F311,'Status Thresholds'!$E:$AS,35,FALSE)</f>
        <v>0</v>
      </c>
      <c r="AQ311" s="36">
        <f>VLOOKUP($F311,'Status Thresholds'!$E:$AS,36,FALSE)</f>
        <v>0</v>
      </c>
      <c r="AR311" s="50">
        <f>VLOOKUP($F311,'Status Thresholds'!$E:$AS,37,FALSE)</f>
        <v>0</v>
      </c>
      <c r="AS311" s="36">
        <f>VLOOKUP($F311,'Status Thresholds'!$E:$AS,38,FALSE)</f>
        <v>0</v>
      </c>
      <c r="AT311" s="36">
        <f>VLOOKUP($F311,'Status Thresholds'!$E:$AS,39,FALSE)</f>
        <v>0</v>
      </c>
      <c r="AU311" s="36">
        <f>VLOOKUP($F311,'Status Thresholds'!$E:$AS,40,FALSE)</f>
        <v>0</v>
      </c>
      <c r="AV311" s="36">
        <f>VLOOKUP($F311,'Status Thresholds'!$E:$AS,41,FALSE)</f>
        <v>0</v>
      </c>
      <c r="AW311">
        <v>0</v>
      </c>
      <c r="AX311">
        <v>0</v>
      </c>
    </row>
    <row r="312" spans="1:50" x14ac:dyDescent="0.25">
      <c r="A312" s="36"/>
      <c r="B312" t="s">
        <v>120</v>
      </c>
      <c r="C312" s="36" t="str">
        <f>'Status Thresholds'!B303</f>
        <v>Fatalis (White, Old)</v>
      </c>
      <c r="E312" s="36" t="str">
        <f t="shared" si="11"/>
        <v>Fatalis (White, Old)</v>
      </c>
      <c r="F312" s="36" t="str">
        <f>IFERROR(VLOOKUP($E312,'Status Thresholds'!$E:$AS,1,FALSE),"")</f>
        <v/>
      </c>
      <c r="G312" t="s">
        <v>21</v>
      </c>
      <c r="H312" s="55" t="str">
        <f t="shared" si="12"/>
        <v>Fatalis (White, Old)Triblast</v>
      </c>
      <c r="I312" s="50">
        <v>0</v>
      </c>
      <c r="J312" s="36">
        <v>0</v>
      </c>
      <c r="K312" s="36">
        <v>0</v>
      </c>
      <c r="L312" s="36">
        <v>0</v>
      </c>
      <c r="M312" s="36">
        <v>0</v>
      </c>
      <c r="N312" s="50">
        <v>0</v>
      </c>
      <c r="O312" s="36">
        <v>0</v>
      </c>
      <c r="P312" s="36">
        <v>0</v>
      </c>
      <c r="Q312" s="36">
        <v>0</v>
      </c>
      <c r="R312" s="36">
        <v>0</v>
      </c>
      <c r="S312" s="50">
        <v>0</v>
      </c>
      <c r="T312" s="36">
        <v>0</v>
      </c>
      <c r="U312" s="36">
        <v>0</v>
      </c>
      <c r="V312" s="36">
        <v>0</v>
      </c>
      <c r="W312" s="36">
        <v>0</v>
      </c>
      <c r="X312" s="50">
        <v>0</v>
      </c>
      <c r="Y312" s="36">
        <v>0</v>
      </c>
      <c r="Z312" s="36">
        <v>0</v>
      </c>
      <c r="AA312" s="36">
        <v>0</v>
      </c>
      <c r="AB312" s="36">
        <v>0</v>
      </c>
      <c r="AC312" s="50">
        <v>0</v>
      </c>
      <c r="AD312" s="36">
        <v>0</v>
      </c>
      <c r="AE312" s="36">
        <v>0</v>
      </c>
      <c r="AF312" s="36">
        <v>0</v>
      </c>
      <c r="AG312" s="36">
        <v>0</v>
      </c>
      <c r="AH312" s="50">
        <v>0</v>
      </c>
      <c r="AI312" s="36">
        <v>0</v>
      </c>
      <c r="AJ312" s="36">
        <v>0</v>
      </c>
      <c r="AK312" s="36">
        <v>0</v>
      </c>
      <c r="AL312" s="36">
        <v>0</v>
      </c>
      <c r="AM312" s="50">
        <v>0</v>
      </c>
      <c r="AN312" s="36">
        <v>0</v>
      </c>
      <c r="AO312" s="36">
        <v>0</v>
      </c>
      <c r="AP312" s="36">
        <v>0</v>
      </c>
      <c r="AQ312" s="36">
        <v>0</v>
      </c>
      <c r="AR312" s="50">
        <v>0</v>
      </c>
      <c r="AS312" s="36">
        <v>0</v>
      </c>
      <c r="AT312" s="36">
        <v>0</v>
      </c>
      <c r="AU312" s="36">
        <v>0</v>
      </c>
      <c r="AV312" s="36">
        <v>0</v>
      </c>
      <c r="AW312">
        <v>0</v>
      </c>
    </row>
    <row r="313" spans="1:50" x14ac:dyDescent="0.25">
      <c r="A313" s="36"/>
      <c r="B313" t="s">
        <v>120</v>
      </c>
      <c r="C313" s="36" t="str">
        <f>'Status Thresholds'!B304</f>
        <v>Fatalis (White, Old)</v>
      </c>
      <c r="E313" s="36" t="str">
        <f t="shared" si="11"/>
        <v>Fatalis (White, Old)</v>
      </c>
      <c r="F313" s="36" t="str">
        <f>IFERROR(VLOOKUP($E313,'Status Thresholds'!$E:$AS,1,FALSE),"")</f>
        <v/>
      </c>
      <c r="G313" t="s">
        <v>13</v>
      </c>
      <c r="H313" s="55" t="str">
        <f t="shared" si="12"/>
        <v>Fatalis (White, Old)Crag 3</v>
      </c>
      <c r="I313" s="50">
        <v>0</v>
      </c>
      <c r="J313" s="36">
        <v>0</v>
      </c>
      <c r="K313" s="36">
        <v>0</v>
      </c>
      <c r="L313" s="36">
        <v>0</v>
      </c>
      <c r="M313" s="36">
        <v>0</v>
      </c>
      <c r="N313" s="50">
        <v>0</v>
      </c>
      <c r="O313" s="36">
        <v>0</v>
      </c>
      <c r="P313" s="36">
        <v>0</v>
      </c>
      <c r="Q313" s="36">
        <v>0</v>
      </c>
      <c r="R313" s="36">
        <v>0</v>
      </c>
      <c r="S313" s="50">
        <v>0</v>
      </c>
      <c r="T313" s="36">
        <v>0</v>
      </c>
      <c r="U313" s="36">
        <v>0</v>
      </c>
      <c r="V313" s="36">
        <v>0</v>
      </c>
      <c r="W313" s="36">
        <v>0</v>
      </c>
      <c r="X313" s="50">
        <v>0</v>
      </c>
      <c r="Y313" s="36">
        <v>0</v>
      </c>
      <c r="Z313" s="36">
        <v>0</v>
      </c>
      <c r="AA313" s="36">
        <v>0</v>
      </c>
      <c r="AB313" s="36">
        <v>0</v>
      </c>
      <c r="AC313" s="50">
        <v>0</v>
      </c>
      <c r="AD313" s="36">
        <v>0</v>
      </c>
      <c r="AE313" s="36">
        <v>0</v>
      </c>
      <c r="AF313" s="36">
        <v>0</v>
      </c>
      <c r="AG313" s="36">
        <v>0</v>
      </c>
      <c r="AH313" s="50">
        <v>0</v>
      </c>
      <c r="AI313" s="36">
        <v>0</v>
      </c>
      <c r="AJ313" s="36">
        <v>0</v>
      </c>
      <c r="AK313" s="36">
        <v>0</v>
      </c>
      <c r="AL313" s="36">
        <v>0</v>
      </c>
      <c r="AM313" s="50">
        <v>0</v>
      </c>
      <c r="AN313" s="36">
        <v>0</v>
      </c>
      <c r="AO313" s="36">
        <v>0</v>
      </c>
      <c r="AP313" s="36">
        <v>0</v>
      </c>
      <c r="AQ313" s="36">
        <v>0</v>
      </c>
      <c r="AR313" s="50">
        <v>0</v>
      </c>
      <c r="AS313" s="36">
        <v>0</v>
      </c>
      <c r="AT313" s="36">
        <v>0</v>
      </c>
      <c r="AU313" s="36">
        <v>0</v>
      </c>
      <c r="AV313" s="36">
        <v>0</v>
      </c>
      <c r="AW313">
        <v>0</v>
      </c>
      <c r="AX313">
        <v>0</v>
      </c>
    </row>
    <row r="314" spans="1:50" x14ac:dyDescent="0.25">
      <c r="A314" s="36"/>
      <c r="B314" t="s">
        <v>120</v>
      </c>
      <c r="C314" s="36" t="str">
        <f>'Status Thresholds'!B305</f>
        <v>Fatalis (White, Old)</v>
      </c>
      <c r="E314" s="36" t="str">
        <f t="shared" si="11"/>
        <v>Fatalis (White, Old)</v>
      </c>
      <c r="F314" s="36" t="str">
        <f>IFERROR(VLOOKUP($E314,'Status Thresholds'!$E:$AS,1,FALSE),"")</f>
        <v/>
      </c>
      <c r="G314" t="s">
        <v>12</v>
      </c>
      <c r="H314" s="55" t="str">
        <f t="shared" si="12"/>
        <v>Fatalis (White, Old)Crag 2</v>
      </c>
      <c r="I314" s="50">
        <v>0</v>
      </c>
      <c r="J314" s="36">
        <v>0</v>
      </c>
      <c r="K314" s="36">
        <v>0</v>
      </c>
      <c r="L314" s="36">
        <v>0</v>
      </c>
      <c r="M314" s="36">
        <v>0</v>
      </c>
      <c r="N314" s="50">
        <v>0</v>
      </c>
      <c r="O314" s="36">
        <v>0</v>
      </c>
      <c r="P314" s="36">
        <v>0</v>
      </c>
      <c r="Q314" s="36">
        <v>0</v>
      </c>
      <c r="R314" s="36">
        <v>0</v>
      </c>
      <c r="S314" s="50">
        <v>0</v>
      </c>
      <c r="T314" s="36">
        <v>0</v>
      </c>
      <c r="U314" s="36">
        <v>0</v>
      </c>
      <c r="V314" s="36">
        <v>0</v>
      </c>
      <c r="W314" s="36">
        <v>0</v>
      </c>
      <c r="X314" s="50">
        <v>0</v>
      </c>
      <c r="Y314" s="36">
        <v>0</v>
      </c>
      <c r="Z314" s="36">
        <v>0</v>
      </c>
      <c r="AA314" s="36">
        <v>0</v>
      </c>
      <c r="AB314" s="36">
        <v>0</v>
      </c>
      <c r="AC314" s="50">
        <v>0</v>
      </c>
      <c r="AD314" s="36">
        <v>0</v>
      </c>
      <c r="AE314" s="36">
        <v>0</v>
      </c>
      <c r="AF314" s="36">
        <v>0</v>
      </c>
      <c r="AG314" s="36">
        <v>0</v>
      </c>
      <c r="AH314" s="50">
        <v>0</v>
      </c>
      <c r="AI314" s="36">
        <v>0</v>
      </c>
      <c r="AJ314" s="36">
        <v>0</v>
      </c>
      <c r="AK314" s="36">
        <v>0</v>
      </c>
      <c r="AL314" s="36">
        <v>0</v>
      </c>
      <c r="AM314" s="50">
        <v>0</v>
      </c>
      <c r="AN314" s="36">
        <v>0</v>
      </c>
      <c r="AO314" s="36">
        <v>0</v>
      </c>
      <c r="AP314" s="36">
        <v>0</v>
      </c>
      <c r="AQ314" s="36">
        <v>0</v>
      </c>
      <c r="AR314" s="50">
        <v>0</v>
      </c>
      <c r="AS314" s="36">
        <v>0</v>
      </c>
      <c r="AT314" s="36">
        <v>0</v>
      </c>
      <c r="AU314" s="36">
        <v>0</v>
      </c>
      <c r="AV314" s="36">
        <v>0</v>
      </c>
      <c r="AW314">
        <v>0</v>
      </c>
      <c r="AX314">
        <v>0</v>
      </c>
    </row>
    <row r="315" spans="1:50" x14ac:dyDescent="0.25">
      <c r="A315" s="36"/>
      <c r="B315" t="s">
        <v>120</v>
      </c>
      <c r="C315" s="36" t="str">
        <f>'Status Thresholds'!B306</f>
        <v>Fatalis (White, Old)</v>
      </c>
      <c r="E315" s="36" t="str">
        <f t="shared" si="11"/>
        <v>Fatalis (White, Old)</v>
      </c>
      <c r="F315" s="36" t="str">
        <f>IFERROR(VLOOKUP($E315,'Status Thresholds'!$E:$AS,1,FALSE),"")</f>
        <v/>
      </c>
      <c r="G315" t="s">
        <v>11</v>
      </c>
      <c r="H315" s="55" t="str">
        <f t="shared" si="12"/>
        <v>Fatalis (White, Old)Crag 1</v>
      </c>
      <c r="I315" s="50">
        <v>0</v>
      </c>
      <c r="J315" s="36">
        <v>0</v>
      </c>
      <c r="K315" s="36">
        <v>0</v>
      </c>
      <c r="L315" s="36">
        <v>0</v>
      </c>
      <c r="M315" s="36">
        <v>0</v>
      </c>
      <c r="N315" s="50">
        <v>0</v>
      </c>
      <c r="O315" s="36">
        <v>0</v>
      </c>
      <c r="P315" s="36">
        <v>0</v>
      </c>
      <c r="Q315" s="36">
        <v>0</v>
      </c>
      <c r="R315" s="36">
        <v>0</v>
      </c>
      <c r="S315" s="50">
        <v>0</v>
      </c>
      <c r="T315" s="36">
        <v>0</v>
      </c>
      <c r="U315" s="36">
        <v>0</v>
      </c>
      <c r="V315" s="36">
        <v>0</v>
      </c>
      <c r="W315" s="36">
        <v>0</v>
      </c>
      <c r="X315" s="50">
        <v>0</v>
      </c>
      <c r="Y315" s="36">
        <v>0</v>
      </c>
      <c r="Z315" s="36">
        <v>0</v>
      </c>
      <c r="AA315" s="36">
        <v>0</v>
      </c>
      <c r="AB315" s="36">
        <v>0</v>
      </c>
      <c r="AC315" s="50">
        <v>0</v>
      </c>
      <c r="AD315" s="36">
        <v>0</v>
      </c>
      <c r="AE315" s="36">
        <v>0</v>
      </c>
      <c r="AF315" s="36">
        <v>0</v>
      </c>
      <c r="AG315" s="36">
        <v>0</v>
      </c>
      <c r="AH315" s="50">
        <v>0</v>
      </c>
      <c r="AI315" s="36">
        <v>0</v>
      </c>
      <c r="AJ315" s="36">
        <v>0</v>
      </c>
      <c r="AK315" s="36">
        <v>0</v>
      </c>
      <c r="AL315" s="36">
        <v>0</v>
      </c>
      <c r="AM315" s="50">
        <v>0</v>
      </c>
      <c r="AN315" s="36">
        <v>0</v>
      </c>
      <c r="AO315" s="36">
        <v>0</v>
      </c>
      <c r="AP315" s="36">
        <v>0</v>
      </c>
      <c r="AQ315" s="36">
        <v>0</v>
      </c>
      <c r="AR315" s="50">
        <v>0</v>
      </c>
      <c r="AS315" s="36">
        <v>0</v>
      </c>
      <c r="AT315" s="36">
        <v>0</v>
      </c>
      <c r="AU315" s="36">
        <v>0</v>
      </c>
      <c r="AV315" s="36">
        <v>0</v>
      </c>
      <c r="AW315">
        <v>0</v>
      </c>
      <c r="AX315">
        <v>0</v>
      </c>
    </row>
    <row r="316" spans="1:50" x14ac:dyDescent="0.25">
      <c r="A316" s="36"/>
      <c r="B316" t="s">
        <v>119</v>
      </c>
      <c r="C316" s="36" t="str">
        <f>'Status Thresholds'!B307</f>
        <v>Fatalis (White, Old)</v>
      </c>
      <c r="E316" s="36" t="str">
        <f t="shared" si="11"/>
        <v>Fatalis (White, Old)</v>
      </c>
      <c r="F316" s="36" t="str">
        <f>IFERROR(VLOOKUP($E316,'Status Thresholds'!$E:$AS,1,FALSE),"")</f>
        <v/>
      </c>
      <c r="G316" t="s">
        <v>21</v>
      </c>
      <c r="H316" s="55" t="str">
        <f t="shared" si="12"/>
        <v>Fatalis (White, Old)Triblast</v>
      </c>
      <c r="I316" s="50">
        <v>0</v>
      </c>
      <c r="J316" s="36">
        <v>0</v>
      </c>
      <c r="K316" s="36">
        <v>0</v>
      </c>
      <c r="L316" s="36">
        <v>0</v>
      </c>
      <c r="M316" s="36">
        <v>0</v>
      </c>
      <c r="N316" s="50">
        <v>0</v>
      </c>
      <c r="O316" s="36">
        <v>0</v>
      </c>
      <c r="P316" s="36">
        <v>0</v>
      </c>
      <c r="Q316" s="36">
        <v>0</v>
      </c>
      <c r="R316" s="36">
        <v>0</v>
      </c>
      <c r="S316" s="50">
        <v>0</v>
      </c>
      <c r="T316" s="36">
        <v>0</v>
      </c>
      <c r="U316" s="36">
        <v>0</v>
      </c>
      <c r="V316" s="36">
        <v>0</v>
      </c>
      <c r="W316" s="36">
        <v>0</v>
      </c>
      <c r="X316" s="50">
        <v>0</v>
      </c>
      <c r="Y316" s="36">
        <v>0</v>
      </c>
      <c r="Z316" s="36">
        <v>0</v>
      </c>
      <c r="AA316" s="36">
        <v>0</v>
      </c>
      <c r="AB316" s="36">
        <v>0</v>
      </c>
      <c r="AC316" s="50">
        <v>0</v>
      </c>
      <c r="AD316" s="36">
        <v>0</v>
      </c>
      <c r="AE316" s="36">
        <v>0</v>
      </c>
      <c r="AF316" s="36">
        <v>0</v>
      </c>
      <c r="AG316" s="36">
        <v>0</v>
      </c>
      <c r="AH316" s="50">
        <v>0</v>
      </c>
      <c r="AI316" s="36">
        <v>0</v>
      </c>
      <c r="AJ316" s="36">
        <v>0</v>
      </c>
      <c r="AK316" s="36">
        <v>0</v>
      </c>
      <c r="AL316" s="36">
        <v>0</v>
      </c>
      <c r="AM316" s="50">
        <v>0</v>
      </c>
      <c r="AN316" s="36">
        <v>0</v>
      </c>
      <c r="AO316" s="36">
        <v>0</v>
      </c>
      <c r="AP316" s="36">
        <v>0</v>
      </c>
      <c r="AQ316" s="36">
        <v>0</v>
      </c>
      <c r="AR316" s="50">
        <v>0</v>
      </c>
      <c r="AS316" s="36">
        <v>0</v>
      </c>
      <c r="AT316" s="36">
        <v>0</v>
      </c>
      <c r="AU316" s="36">
        <v>0</v>
      </c>
      <c r="AV316" s="36">
        <v>0</v>
      </c>
      <c r="AW316">
        <v>0</v>
      </c>
      <c r="AX316">
        <v>0</v>
      </c>
    </row>
    <row r="317" spans="1:50" x14ac:dyDescent="0.25">
      <c r="A317" s="36"/>
      <c r="B317" t="s">
        <v>119</v>
      </c>
      <c r="C317" s="36" t="str">
        <f>'Status Thresholds'!B308</f>
        <v>Fatalis (White, Old)</v>
      </c>
      <c r="E317" s="36" t="str">
        <f t="shared" si="11"/>
        <v>Fatalis (White, Old)</v>
      </c>
      <c r="F317" s="36" t="str">
        <f>IFERROR(VLOOKUP($E317,'Status Thresholds'!$E:$AS,1,FALSE),"")</f>
        <v/>
      </c>
      <c r="G317" t="s">
        <v>13</v>
      </c>
      <c r="H317" s="55" t="str">
        <f t="shared" si="12"/>
        <v>Fatalis (White, Old)Crag 3</v>
      </c>
      <c r="I317" s="50">
        <v>0</v>
      </c>
      <c r="J317" s="36">
        <v>0</v>
      </c>
      <c r="K317" s="36">
        <v>0</v>
      </c>
      <c r="L317" s="36">
        <v>0</v>
      </c>
      <c r="M317" s="36">
        <v>0</v>
      </c>
      <c r="N317" s="50">
        <v>0</v>
      </c>
      <c r="O317" s="36">
        <v>0</v>
      </c>
      <c r="P317" s="36">
        <v>0</v>
      </c>
      <c r="Q317" s="36">
        <v>0</v>
      </c>
      <c r="R317" s="36">
        <v>0</v>
      </c>
      <c r="S317" s="50">
        <v>0</v>
      </c>
      <c r="T317" s="36">
        <v>0</v>
      </c>
      <c r="U317" s="36">
        <v>0</v>
      </c>
      <c r="V317" s="36">
        <v>0</v>
      </c>
      <c r="W317" s="36">
        <v>0</v>
      </c>
      <c r="X317" s="50">
        <v>0</v>
      </c>
      <c r="Y317" s="36">
        <v>0</v>
      </c>
      <c r="Z317" s="36">
        <v>0</v>
      </c>
      <c r="AA317" s="36">
        <v>0</v>
      </c>
      <c r="AB317" s="36">
        <v>0</v>
      </c>
      <c r="AC317" s="50">
        <v>0</v>
      </c>
      <c r="AD317" s="36">
        <v>0</v>
      </c>
      <c r="AE317" s="36">
        <v>0</v>
      </c>
      <c r="AF317" s="36">
        <v>0</v>
      </c>
      <c r="AG317" s="36">
        <v>0</v>
      </c>
      <c r="AH317" s="50">
        <v>0</v>
      </c>
      <c r="AI317" s="36">
        <v>0</v>
      </c>
      <c r="AJ317" s="36">
        <v>0</v>
      </c>
      <c r="AK317" s="36">
        <v>0</v>
      </c>
      <c r="AL317" s="36">
        <v>0</v>
      </c>
      <c r="AM317" s="50">
        <v>0</v>
      </c>
      <c r="AN317" s="36">
        <v>0</v>
      </c>
      <c r="AO317" s="36">
        <v>0</v>
      </c>
      <c r="AP317" s="36">
        <v>0</v>
      </c>
      <c r="AQ317" s="36">
        <v>0</v>
      </c>
      <c r="AR317" s="50">
        <v>0</v>
      </c>
      <c r="AS317" s="36">
        <v>0</v>
      </c>
      <c r="AT317" s="36">
        <v>0</v>
      </c>
      <c r="AU317" s="36">
        <v>0</v>
      </c>
      <c r="AV317" s="36">
        <v>0</v>
      </c>
      <c r="AW317">
        <v>0</v>
      </c>
      <c r="AX317">
        <v>0</v>
      </c>
    </row>
    <row r="318" spans="1:50" x14ac:dyDescent="0.25">
      <c r="A318" s="36"/>
      <c r="B318" t="s">
        <v>119</v>
      </c>
      <c r="C318" s="36" t="str">
        <f>'Status Thresholds'!B309</f>
        <v>Fatalis (White, Old)</v>
      </c>
      <c r="E318" s="36" t="str">
        <f t="shared" si="11"/>
        <v>Fatalis (White, Old)</v>
      </c>
      <c r="F318" s="36" t="str">
        <f>IFERROR(VLOOKUP($E318,'Status Thresholds'!$E:$AS,1,FALSE),"")</f>
        <v/>
      </c>
      <c r="G318" t="s">
        <v>12</v>
      </c>
      <c r="H318" s="55" t="str">
        <f t="shared" si="12"/>
        <v>Fatalis (White, Old)Crag 2</v>
      </c>
      <c r="I318" s="50">
        <v>0</v>
      </c>
      <c r="J318" s="36">
        <v>0</v>
      </c>
      <c r="K318" s="36">
        <v>0</v>
      </c>
      <c r="L318" s="36">
        <v>0</v>
      </c>
      <c r="M318" s="36">
        <v>0</v>
      </c>
      <c r="N318" s="50">
        <v>0</v>
      </c>
      <c r="O318" s="36">
        <v>0</v>
      </c>
      <c r="P318" s="36">
        <v>0</v>
      </c>
      <c r="Q318" s="36">
        <v>0</v>
      </c>
      <c r="R318" s="36">
        <v>0</v>
      </c>
      <c r="S318" s="50">
        <v>0</v>
      </c>
      <c r="T318" s="36">
        <v>0</v>
      </c>
      <c r="U318" s="36">
        <v>0</v>
      </c>
      <c r="V318" s="36">
        <v>0</v>
      </c>
      <c r="W318" s="36">
        <v>0</v>
      </c>
      <c r="X318" s="50">
        <v>0</v>
      </c>
      <c r="Y318" s="36">
        <v>0</v>
      </c>
      <c r="Z318" s="36">
        <v>0</v>
      </c>
      <c r="AA318" s="36">
        <v>0</v>
      </c>
      <c r="AB318" s="36">
        <v>0</v>
      </c>
      <c r="AC318" s="50">
        <v>0</v>
      </c>
      <c r="AD318" s="36">
        <v>0</v>
      </c>
      <c r="AE318" s="36">
        <v>0</v>
      </c>
      <c r="AF318" s="36">
        <v>0</v>
      </c>
      <c r="AG318" s="36">
        <v>0</v>
      </c>
      <c r="AH318" s="50">
        <v>0</v>
      </c>
      <c r="AI318" s="36">
        <v>0</v>
      </c>
      <c r="AJ318" s="36">
        <v>0</v>
      </c>
      <c r="AK318" s="36">
        <v>0</v>
      </c>
      <c r="AL318" s="36">
        <v>0</v>
      </c>
      <c r="AM318" s="50">
        <v>0</v>
      </c>
      <c r="AN318" s="36">
        <v>0</v>
      </c>
      <c r="AO318" s="36">
        <v>0</v>
      </c>
      <c r="AP318" s="36">
        <v>0</v>
      </c>
      <c r="AQ318" s="36">
        <v>0</v>
      </c>
      <c r="AR318" s="50">
        <v>0</v>
      </c>
      <c r="AS318" s="36">
        <v>0</v>
      </c>
      <c r="AT318" s="36">
        <v>0</v>
      </c>
      <c r="AU318" s="36">
        <v>0</v>
      </c>
      <c r="AV318" s="36">
        <v>0</v>
      </c>
      <c r="AW318">
        <v>0</v>
      </c>
      <c r="AX318">
        <v>0</v>
      </c>
    </row>
    <row r="319" spans="1:50" x14ac:dyDescent="0.25">
      <c r="A319" s="36"/>
      <c r="B319" t="s">
        <v>119</v>
      </c>
      <c r="C319" s="36" t="str">
        <f>'Status Thresholds'!B310</f>
        <v>Fatalis (White, Old)</v>
      </c>
      <c r="E319" s="36" t="str">
        <f t="shared" si="11"/>
        <v>Fatalis (White, Old)</v>
      </c>
      <c r="F319" s="36" t="str">
        <f>IFERROR(VLOOKUP($E319,'Status Thresholds'!$E:$AS,1,FALSE),"")</f>
        <v/>
      </c>
      <c r="G319" t="s">
        <v>11</v>
      </c>
      <c r="H319" s="55" t="str">
        <f t="shared" si="12"/>
        <v>Fatalis (White, Old)Crag 1</v>
      </c>
      <c r="I319" s="50">
        <v>0</v>
      </c>
      <c r="J319" s="36">
        <v>0</v>
      </c>
      <c r="K319" s="36">
        <v>0</v>
      </c>
      <c r="L319" s="36">
        <v>0</v>
      </c>
      <c r="M319" s="36">
        <v>0</v>
      </c>
      <c r="N319" s="50">
        <v>0</v>
      </c>
      <c r="O319" s="36">
        <v>0</v>
      </c>
      <c r="P319" s="36">
        <v>0</v>
      </c>
      <c r="Q319" s="36">
        <v>0</v>
      </c>
      <c r="R319" s="36">
        <v>0</v>
      </c>
      <c r="S319" s="50">
        <v>0</v>
      </c>
      <c r="T319" s="36">
        <v>0</v>
      </c>
      <c r="U319" s="36">
        <v>0</v>
      </c>
      <c r="V319" s="36">
        <v>0</v>
      </c>
      <c r="W319" s="36">
        <v>0</v>
      </c>
      <c r="X319" s="50">
        <v>0</v>
      </c>
      <c r="Y319" s="36">
        <v>0</v>
      </c>
      <c r="Z319" s="36">
        <v>0</v>
      </c>
      <c r="AA319" s="36">
        <v>0</v>
      </c>
      <c r="AB319" s="36">
        <v>0</v>
      </c>
      <c r="AC319" s="50">
        <v>0</v>
      </c>
      <c r="AD319" s="36">
        <v>0</v>
      </c>
      <c r="AE319" s="36">
        <v>0</v>
      </c>
      <c r="AF319" s="36">
        <v>0</v>
      </c>
      <c r="AG319" s="36">
        <v>0</v>
      </c>
      <c r="AH319" s="50">
        <v>0</v>
      </c>
      <c r="AI319" s="36">
        <v>0</v>
      </c>
      <c r="AJ319" s="36">
        <v>0</v>
      </c>
      <c r="AK319" s="36">
        <v>0</v>
      </c>
      <c r="AL319" s="36">
        <v>0</v>
      </c>
      <c r="AM319" s="50">
        <v>0</v>
      </c>
      <c r="AN319" s="36">
        <v>0</v>
      </c>
      <c r="AO319" s="36">
        <v>0</v>
      </c>
      <c r="AP319" s="36">
        <v>0</v>
      </c>
      <c r="AQ319" s="36">
        <v>0</v>
      </c>
      <c r="AR319" s="50">
        <v>0</v>
      </c>
      <c r="AS319" s="36">
        <v>0</v>
      </c>
      <c r="AT319" s="36">
        <v>0</v>
      </c>
      <c r="AU319" s="36">
        <v>0</v>
      </c>
      <c r="AV319" s="36">
        <v>0</v>
      </c>
      <c r="AW319">
        <v>0</v>
      </c>
      <c r="AX319">
        <v>0</v>
      </c>
    </row>
    <row r="320" spans="1:50" x14ac:dyDescent="0.25">
      <c r="A320" s="36"/>
      <c r="B320" t="s">
        <v>121</v>
      </c>
      <c r="C320" s="36" t="str">
        <f>'Status Thresholds'!B311</f>
        <v>Gammoth</v>
      </c>
      <c r="D320" t="s">
        <v>14</v>
      </c>
      <c r="E320" s="36" t="str">
        <f t="shared" si="11"/>
        <v>GammothKO</v>
      </c>
      <c r="F320" s="36" t="str">
        <f>IFERROR(VLOOKUP($E320,'Status Thresholds'!$E:$AS,1,FALSE),"")</f>
        <v>GammothKO</v>
      </c>
      <c r="H320" s="55" t="str">
        <f t="shared" si="12"/>
        <v>GammothKO</v>
      </c>
      <c r="I320" s="50">
        <f>VLOOKUP($F320,'Status Thresholds'!$E:$AS,2,FALSE)</f>
        <v>273</v>
      </c>
      <c r="J320" s="36">
        <f>VLOOKUP($F320,'Status Thresholds'!$E:$AS,3,FALSE)</f>
        <v>467</v>
      </c>
      <c r="K320" s="36">
        <f>VLOOKUP($F320,'Status Thresholds'!$E:$AS,4,FALSE)</f>
        <v>663</v>
      </c>
      <c r="L320" s="36">
        <f>VLOOKUP($F320,'Status Thresholds'!$E:$AS,5,FALSE)</f>
        <v>857</v>
      </c>
      <c r="M320" s="36">
        <f>VLOOKUP($F320,'Status Thresholds'!$E:$AS,6,FALSE)</f>
        <v>0</v>
      </c>
      <c r="N320" s="50">
        <f>VLOOKUP($F320,'Status Thresholds'!$E:$AS,7,FALSE)</f>
        <v>273</v>
      </c>
      <c r="O320" s="36">
        <f>VLOOKUP($F320,'Status Thresholds'!$E:$AS,8,FALSE)</f>
        <v>467</v>
      </c>
      <c r="P320" s="36">
        <f>VLOOKUP($F320,'Status Thresholds'!$E:$AS,9,FALSE)</f>
        <v>661</v>
      </c>
      <c r="Q320" s="36">
        <f>VLOOKUP($F320,'Status Thresholds'!$E:$AS,10,FALSE)</f>
        <v>855</v>
      </c>
      <c r="R320" s="36">
        <f>VLOOKUP($F320,'Status Thresholds'!$E:$AS,11,FALSE)</f>
        <v>0</v>
      </c>
      <c r="S320" s="50">
        <f>VLOOKUP($F320,'Status Thresholds'!$E:$AS,12,FALSE)</f>
        <v>294</v>
      </c>
      <c r="T320" s="36">
        <f>VLOOKUP($F320,'Status Thresholds'!$E:$AS,13,FALSE)</f>
        <v>504</v>
      </c>
      <c r="U320" s="36">
        <f>VLOOKUP($F320,'Status Thresholds'!$E:$AS,14,FALSE)</f>
        <v>714</v>
      </c>
      <c r="V320" s="36">
        <f>VLOOKUP($F320,'Status Thresholds'!$E:$AS,15,FALSE)</f>
        <v>924</v>
      </c>
      <c r="W320" s="36">
        <f>VLOOKUP($F320,'Status Thresholds'!$E:$AS,16,FALSE)</f>
        <v>0</v>
      </c>
      <c r="X320" s="50">
        <f>VLOOKUP($F320,'Status Thresholds'!$E:$AS,17,FALSE)</f>
        <v>0</v>
      </c>
      <c r="Y320" s="36">
        <f>VLOOKUP($F320,'Status Thresholds'!$E:$AS,18,FALSE)</f>
        <v>0</v>
      </c>
      <c r="Z320" s="36">
        <f>VLOOKUP($F320,'Status Thresholds'!$E:$AS,19,FALSE)</f>
        <v>0</v>
      </c>
      <c r="AA320" s="36">
        <f>VLOOKUP($F320,'Status Thresholds'!$E:$AS,20,FALSE)</f>
        <v>0</v>
      </c>
      <c r="AB320" s="36">
        <f>VLOOKUP($F320,'Status Thresholds'!$E:$AS,21,FALSE)</f>
        <v>0</v>
      </c>
      <c r="AC320" s="50">
        <f>VLOOKUP($F320,'Status Thresholds'!$E:$AS,22,FALSE)</f>
        <v>315</v>
      </c>
      <c r="AD320" s="36">
        <f>VLOOKUP($F320,'Status Thresholds'!$E:$AS,23,FALSE)</f>
        <v>540</v>
      </c>
      <c r="AE320" s="36">
        <f>VLOOKUP($F320,'Status Thresholds'!$E:$AS,24,FALSE)</f>
        <v>765</v>
      </c>
      <c r="AF320" s="36">
        <f>VLOOKUP($F320,'Status Thresholds'!$E:$AS,25,FALSE)</f>
        <v>990</v>
      </c>
      <c r="AG320" s="36">
        <f>VLOOKUP($F320,'Status Thresholds'!$E:$AS,26,FALSE)</f>
        <v>0</v>
      </c>
      <c r="AH320" s="50">
        <f>VLOOKUP($F320,'Status Thresholds'!$E:$AS,27,FALSE)</f>
        <v>0</v>
      </c>
      <c r="AI320" s="36">
        <f>VLOOKUP($F320,'Status Thresholds'!$E:$AS,28,FALSE)</f>
        <v>0</v>
      </c>
      <c r="AJ320" s="36">
        <f>VLOOKUP($F320,'Status Thresholds'!$E:$AS,29,FALSE)</f>
        <v>0</v>
      </c>
      <c r="AK320" s="36">
        <f>VLOOKUP($F320,'Status Thresholds'!$E:$AS,30,FALSE)</f>
        <v>0</v>
      </c>
      <c r="AL320" s="36">
        <f>VLOOKUP($F320,'Status Thresholds'!$E:$AS,31,FALSE)</f>
        <v>0</v>
      </c>
      <c r="AM320" s="50">
        <f>VLOOKUP($F320,'Status Thresholds'!$E:$AS,32,FALSE)</f>
        <v>420</v>
      </c>
      <c r="AN320" s="36">
        <f>VLOOKUP($F320,'Status Thresholds'!$E:$AS,33,FALSE)</f>
        <v>720</v>
      </c>
      <c r="AO320" s="36">
        <f>VLOOKUP($F320,'Status Thresholds'!$E:$AS,34,FALSE)</f>
        <v>1020</v>
      </c>
      <c r="AP320" s="36">
        <f>VLOOKUP($F320,'Status Thresholds'!$E:$AS,35,FALSE)</f>
        <v>1320</v>
      </c>
      <c r="AQ320" s="36">
        <f>VLOOKUP($F320,'Status Thresholds'!$E:$AS,36,FALSE)</f>
        <v>0</v>
      </c>
      <c r="AR320" s="50">
        <f>VLOOKUP($F320,'Status Thresholds'!$E:$AS,37,FALSE)</f>
        <v>0</v>
      </c>
      <c r="AS320" s="36">
        <f>VLOOKUP($F320,'Status Thresholds'!$E:$AS,38,FALSE)</f>
        <v>0</v>
      </c>
      <c r="AT320" s="36">
        <f>VLOOKUP($F320,'Status Thresholds'!$E:$AS,39,FALSE)</f>
        <v>0</v>
      </c>
      <c r="AU320" s="36">
        <f>VLOOKUP($F320,'Status Thresholds'!$E:$AS,40,FALSE)</f>
        <v>0</v>
      </c>
      <c r="AV320" s="36">
        <f>VLOOKUP($F320,'Status Thresholds'!$E:$AS,41,FALSE)</f>
        <v>15</v>
      </c>
      <c r="AW320">
        <v>0</v>
      </c>
      <c r="AX320">
        <v>0</v>
      </c>
    </row>
    <row r="321" spans="1:50" x14ac:dyDescent="0.25">
      <c r="A321" s="36"/>
      <c r="B321" t="s">
        <v>120</v>
      </c>
      <c r="C321" s="36" t="str">
        <f>'Status Thresholds'!B312</f>
        <v>Gammoth</v>
      </c>
      <c r="E321" s="36" t="str">
        <f t="shared" si="11"/>
        <v>Gammoth</v>
      </c>
      <c r="F321" s="36" t="str">
        <f>IFERROR(VLOOKUP($E321,'Status Thresholds'!$E:$AS,1,FALSE),"")</f>
        <v/>
      </c>
      <c r="G321" t="s">
        <v>21</v>
      </c>
      <c r="H321" s="55" t="str">
        <f t="shared" si="12"/>
        <v>GammothTriblast</v>
      </c>
      <c r="I321" s="50">
        <v>0</v>
      </c>
      <c r="J321" s="36">
        <v>2</v>
      </c>
      <c r="K321" s="36">
        <v>2</v>
      </c>
      <c r="L321" s="36">
        <v>2</v>
      </c>
      <c r="M321" s="36">
        <v>0</v>
      </c>
      <c r="N321" s="50">
        <v>0</v>
      </c>
      <c r="O321" s="36">
        <v>2</v>
      </c>
      <c r="P321" s="36">
        <v>2</v>
      </c>
      <c r="Q321" s="36">
        <v>2</v>
      </c>
      <c r="R321" s="36">
        <v>0</v>
      </c>
      <c r="S321" s="50">
        <v>2</v>
      </c>
      <c r="T321" s="36">
        <v>2</v>
      </c>
      <c r="U321" s="36">
        <v>2</v>
      </c>
      <c r="V321" s="36">
        <v>2</v>
      </c>
      <c r="W321" s="36">
        <v>0</v>
      </c>
      <c r="X321" s="50">
        <v>0</v>
      </c>
      <c r="Y321" s="36">
        <v>0</v>
      </c>
      <c r="Z321" s="36">
        <v>0</v>
      </c>
      <c r="AA321" s="36">
        <v>0</v>
      </c>
      <c r="AB321" s="36">
        <v>0</v>
      </c>
      <c r="AC321" s="50">
        <v>1</v>
      </c>
      <c r="AD321" s="36">
        <v>2</v>
      </c>
      <c r="AE321" s="36">
        <v>2</v>
      </c>
      <c r="AF321" s="36">
        <v>2</v>
      </c>
      <c r="AG321" s="36">
        <v>0</v>
      </c>
      <c r="AH321" s="50">
        <v>0</v>
      </c>
      <c r="AI321" s="36">
        <v>0</v>
      </c>
      <c r="AJ321" s="36">
        <v>0</v>
      </c>
      <c r="AK321" s="36">
        <v>0</v>
      </c>
      <c r="AL321" s="36">
        <v>0</v>
      </c>
      <c r="AM321" s="50">
        <v>2</v>
      </c>
      <c r="AN321" s="36">
        <v>2</v>
      </c>
      <c r="AO321" s="36">
        <v>2</v>
      </c>
      <c r="AP321" s="36">
        <v>2</v>
      </c>
      <c r="AQ321" s="36">
        <v>0</v>
      </c>
      <c r="AR321" s="50">
        <v>0</v>
      </c>
      <c r="AS321" s="36">
        <v>0</v>
      </c>
      <c r="AT321" s="36">
        <v>0</v>
      </c>
      <c r="AU321" s="36">
        <v>0</v>
      </c>
      <c r="AV321" s="36">
        <v>0</v>
      </c>
      <c r="AW321">
        <v>0</v>
      </c>
    </row>
    <row r="322" spans="1:50" x14ac:dyDescent="0.25">
      <c r="A322" s="36"/>
      <c r="B322" t="s">
        <v>120</v>
      </c>
      <c r="C322" s="36" t="str">
        <f>'Status Thresholds'!B313</f>
        <v>Gammoth</v>
      </c>
      <c r="E322" s="36" t="str">
        <f t="shared" si="11"/>
        <v>Gammoth</v>
      </c>
      <c r="F322" s="36" t="str">
        <f>IFERROR(VLOOKUP($E322,'Status Thresholds'!$E:$AS,1,FALSE),"")</f>
        <v/>
      </c>
      <c r="G322" t="s">
        <v>13</v>
      </c>
      <c r="H322" s="55" t="str">
        <f t="shared" si="12"/>
        <v>GammothCrag 3</v>
      </c>
      <c r="I322" s="50">
        <v>4</v>
      </c>
      <c r="J322" s="36">
        <v>0</v>
      </c>
      <c r="K322" s="36">
        <v>4</v>
      </c>
      <c r="L322" s="36">
        <v>4</v>
      </c>
      <c r="M322" s="36">
        <v>0</v>
      </c>
      <c r="N322" s="50">
        <v>4</v>
      </c>
      <c r="O322" s="36">
        <v>0</v>
      </c>
      <c r="P322" s="36">
        <v>4</v>
      </c>
      <c r="Q322" s="36">
        <v>4</v>
      </c>
      <c r="R322" s="36">
        <v>0</v>
      </c>
      <c r="S322" s="50">
        <v>0</v>
      </c>
      <c r="T322" s="36">
        <v>3</v>
      </c>
      <c r="U322" s="36">
        <v>4</v>
      </c>
      <c r="V322" s="36">
        <v>4</v>
      </c>
      <c r="W322" s="36">
        <v>0</v>
      </c>
      <c r="X322" s="50">
        <v>0</v>
      </c>
      <c r="Y322" s="36">
        <v>0</v>
      </c>
      <c r="Z322" s="36">
        <v>0</v>
      </c>
      <c r="AA322" s="36">
        <v>0</v>
      </c>
      <c r="AB322" s="36">
        <v>0</v>
      </c>
      <c r="AC322" s="50">
        <v>1</v>
      </c>
      <c r="AD322" s="36">
        <v>3</v>
      </c>
      <c r="AE322" s="36">
        <v>4</v>
      </c>
      <c r="AF322" s="36">
        <v>4</v>
      </c>
      <c r="AG322" s="36">
        <v>0</v>
      </c>
      <c r="AH322" s="50">
        <v>0</v>
      </c>
      <c r="AI322" s="36">
        <v>0</v>
      </c>
      <c r="AJ322" s="36">
        <v>0</v>
      </c>
      <c r="AK322" s="36">
        <v>0</v>
      </c>
      <c r="AL322" s="36">
        <v>0</v>
      </c>
      <c r="AM322" s="50">
        <v>4</v>
      </c>
      <c r="AN322" s="36">
        <v>4</v>
      </c>
      <c r="AO322" s="36">
        <v>4</v>
      </c>
      <c r="AP322" s="36">
        <v>4</v>
      </c>
      <c r="AQ322" s="36">
        <v>0</v>
      </c>
      <c r="AR322" s="50">
        <v>0</v>
      </c>
      <c r="AS322" s="36">
        <v>0</v>
      </c>
      <c r="AT322" s="36">
        <v>0</v>
      </c>
      <c r="AU322" s="36">
        <v>0</v>
      </c>
      <c r="AV322" s="36">
        <v>0</v>
      </c>
      <c r="AW322">
        <v>0</v>
      </c>
      <c r="AX322">
        <v>0</v>
      </c>
    </row>
    <row r="323" spans="1:50" x14ac:dyDescent="0.25">
      <c r="A323" s="36"/>
      <c r="B323" t="s">
        <v>120</v>
      </c>
      <c r="C323" s="36" t="str">
        <f>'Status Thresholds'!B314</f>
        <v>Gammoth</v>
      </c>
      <c r="E323" s="36" t="str">
        <f t="shared" si="11"/>
        <v>Gammoth</v>
      </c>
      <c r="F323" s="36" t="str">
        <f>IFERROR(VLOOKUP($E323,'Status Thresholds'!$E:$AS,1,FALSE),"")</f>
        <v/>
      </c>
      <c r="G323" t="s">
        <v>12</v>
      </c>
      <c r="H323" s="55" t="str">
        <f t="shared" si="12"/>
        <v>GammothCrag 2</v>
      </c>
      <c r="I323" s="50">
        <v>3</v>
      </c>
      <c r="J323" s="36">
        <v>4</v>
      </c>
      <c r="K323" s="36">
        <v>4</v>
      </c>
      <c r="L323" s="36">
        <v>4</v>
      </c>
      <c r="M323" s="36">
        <v>0</v>
      </c>
      <c r="N323" s="50">
        <v>3</v>
      </c>
      <c r="O323" s="36">
        <v>4</v>
      </c>
      <c r="P323" s="36">
        <v>4</v>
      </c>
      <c r="Q323" s="36">
        <v>4</v>
      </c>
      <c r="R323" s="36">
        <v>0</v>
      </c>
      <c r="S323" s="50">
        <v>4</v>
      </c>
      <c r="T323" s="36">
        <v>2</v>
      </c>
      <c r="U323" s="36">
        <v>4</v>
      </c>
      <c r="V323" s="36">
        <v>4</v>
      </c>
      <c r="W323" s="36">
        <v>0</v>
      </c>
      <c r="X323" s="50">
        <v>0</v>
      </c>
      <c r="Y323" s="36">
        <v>0</v>
      </c>
      <c r="Z323" s="36">
        <v>0</v>
      </c>
      <c r="AA323" s="36">
        <v>0</v>
      </c>
      <c r="AB323" s="36">
        <v>0</v>
      </c>
      <c r="AC323" s="50">
        <v>0</v>
      </c>
      <c r="AD323" s="36">
        <v>4</v>
      </c>
      <c r="AE323" s="36">
        <v>4</v>
      </c>
      <c r="AF323" s="36">
        <v>4</v>
      </c>
      <c r="AG323" s="36">
        <v>0</v>
      </c>
      <c r="AH323" s="50">
        <v>0</v>
      </c>
      <c r="AI323" s="36">
        <v>0</v>
      </c>
      <c r="AJ323" s="36">
        <v>0</v>
      </c>
      <c r="AK323" s="36">
        <v>0</v>
      </c>
      <c r="AL323" s="36">
        <v>0</v>
      </c>
      <c r="AM323" s="50">
        <v>2</v>
      </c>
      <c r="AN323" s="36">
        <v>4</v>
      </c>
      <c r="AO323" s="36">
        <v>4</v>
      </c>
      <c r="AP323" s="36">
        <v>4</v>
      </c>
      <c r="AQ323" s="36">
        <v>0</v>
      </c>
      <c r="AR323" s="50">
        <v>0</v>
      </c>
      <c r="AS323" s="36">
        <v>0</v>
      </c>
      <c r="AT323" s="36">
        <v>0</v>
      </c>
      <c r="AU323" s="36">
        <v>0</v>
      </c>
      <c r="AV323" s="36">
        <v>0</v>
      </c>
      <c r="AW323">
        <v>0</v>
      </c>
      <c r="AX323">
        <v>0</v>
      </c>
    </row>
    <row r="324" spans="1:50" x14ac:dyDescent="0.25">
      <c r="A324" s="36"/>
      <c r="B324" t="s">
        <v>120</v>
      </c>
      <c r="C324" s="36" t="str">
        <f>'Status Thresholds'!B315</f>
        <v>Gammoth</v>
      </c>
      <c r="E324" s="36" t="str">
        <f t="shared" si="11"/>
        <v>Gammoth</v>
      </c>
      <c r="F324" s="36" t="str">
        <f>IFERROR(VLOOKUP($E324,'Status Thresholds'!$E:$AS,1,FALSE),"")</f>
        <v/>
      </c>
      <c r="G324" t="s">
        <v>11</v>
      </c>
      <c r="H324" s="55" t="str">
        <f t="shared" si="12"/>
        <v>GammothCrag 1</v>
      </c>
      <c r="I324" s="50">
        <v>1</v>
      </c>
      <c r="J324" s="36">
        <v>8</v>
      </c>
      <c r="K324" s="36">
        <v>8</v>
      </c>
      <c r="L324" s="36">
        <v>8</v>
      </c>
      <c r="M324" s="36">
        <v>0</v>
      </c>
      <c r="N324" s="50">
        <v>1</v>
      </c>
      <c r="O324" s="36">
        <v>8</v>
      </c>
      <c r="P324" s="36">
        <v>8</v>
      </c>
      <c r="Q324" s="36">
        <v>8</v>
      </c>
      <c r="R324" s="36">
        <v>0</v>
      </c>
      <c r="S324" s="50">
        <v>1</v>
      </c>
      <c r="T324" s="36">
        <v>7</v>
      </c>
      <c r="U324" s="36">
        <v>8</v>
      </c>
      <c r="V324" s="36">
        <v>8</v>
      </c>
      <c r="W324" s="36">
        <v>0</v>
      </c>
      <c r="X324" s="50">
        <v>0</v>
      </c>
      <c r="Y324" s="36">
        <v>0</v>
      </c>
      <c r="Z324" s="36">
        <v>0</v>
      </c>
      <c r="AA324" s="36">
        <v>0</v>
      </c>
      <c r="AB324" s="36">
        <v>0</v>
      </c>
      <c r="AC324" s="50">
        <v>8</v>
      </c>
      <c r="AD324" s="36">
        <v>6</v>
      </c>
      <c r="AE324" s="36">
        <v>8</v>
      </c>
      <c r="AF324" s="36">
        <v>8</v>
      </c>
      <c r="AG324" s="36">
        <v>0</v>
      </c>
      <c r="AH324" s="50">
        <v>0</v>
      </c>
      <c r="AI324" s="36">
        <v>0</v>
      </c>
      <c r="AJ324" s="36">
        <v>0</v>
      </c>
      <c r="AK324" s="36">
        <v>0</v>
      </c>
      <c r="AL324" s="36">
        <v>0</v>
      </c>
      <c r="AM324" s="50">
        <v>2</v>
      </c>
      <c r="AN324" s="36">
        <v>8</v>
      </c>
      <c r="AO324" s="36">
        <v>8</v>
      </c>
      <c r="AP324" s="36">
        <v>8</v>
      </c>
      <c r="AQ324" s="36">
        <v>0</v>
      </c>
      <c r="AR324" s="50">
        <v>0</v>
      </c>
      <c r="AS324" s="36">
        <v>0</v>
      </c>
      <c r="AT324" s="36">
        <v>0</v>
      </c>
      <c r="AU324" s="36">
        <v>0</v>
      </c>
      <c r="AV324" s="36">
        <v>1</v>
      </c>
      <c r="AW324">
        <v>0</v>
      </c>
      <c r="AX324">
        <v>0</v>
      </c>
    </row>
    <row r="325" spans="1:50" x14ac:dyDescent="0.25">
      <c r="A325" s="36"/>
      <c r="B325" t="s">
        <v>119</v>
      </c>
      <c r="C325" s="36" t="str">
        <f>'Status Thresholds'!B316</f>
        <v>Gammoth</v>
      </c>
      <c r="E325" s="36" t="str">
        <f t="shared" si="11"/>
        <v>Gammoth</v>
      </c>
      <c r="F325" s="36" t="str">
        <f>IFERROR(VLOOKUP($E325,'Status Thresholds'!$E:$AS,1,FALSE),"")</f>
        <v/>
      </c>
      <c r="G325" t="s">
        <v>21</v>
      </c>
      <c r="H325" s="55" t="str">
        <f t="shared" si="12"/>
        <v>GammothTriblast</v>
      </c>
      <c r="I325" s="50">
        <v>1</v>
      </c>
      <c r="J325" s="36">
        <v>2</v>
      </c>
      <c r="K325" s="36">
        <v>2</v>
      </c>
      <c r="L325" s="36">
        <v>2</v>
      </c>
      <c r="M325" s="36">
        <v>0</v>
      </c>
      <c r="N325" s="50">
        <v>1</v>
      </c>
      <c r="O325" s="36">
        <v>2</v>
      </c>
      <c r="P325" s="36">
        <v>2</v>
      </c>
      <c r="Q325" s="36">
        <v>2</v>
      </c>
      <c r="R325" s="36">
        <v>0</v>
      </c>
      <c r="S325" s="50">
        <v>2</v>
      </c>
      <c r="T325" s="36">
        <v>2</v>
      </c>
      <c r="U325" s="36">
        <v>2</v>
      </c>
      <c r="V325" s="36">
        <v>2</v>
      </c>
      <c r="W325" s="36">
        <v>0</v>
      </c>
      <c r="X325" s="50">
        <v>0</v>
      </c>
      <c r="Y325" s="36">
        <v>0</v>
      </c>
      <c r="Z325" s="36">
        <v>0</v>
      </c>
      <c r="AA325" s="36">
        <v>0</v>
      </c>
      <c r="AB325" s="36">
        <v>0</v>
      </c>
      <c r="AC325" s="50">
        <v>2</v>
      </c>
      <c r="AD325" s="36">
        <v>2</v>
      </c>
      <c r="AE325" s="36">
        <v>2</v>
      </c>
      <c r="AF325" s="36">
        <v>2</v>
      </c>
      <c r="AG325" s="36">
        <v>0</v>
      </c>
      <c r="AH325" s="50">
        <v>0</v>
      </c>
      <c r="AI325" s="36">
        <v>0</v>
      </c>
      <c r="AJ325" s="36">
        <v>0</v>
      </c>
      <c r="AK325" s="36">
        <v>0</v>
      </c>
      <c r="AL325" s="36">
        <v>0</v>
      </c>
      <c r="AM325" s="50">
        <v>0</v>
      </c>
      <c r="AN325" s="36">
        <v>2</v>
      </c>
      <c r="AO325" s="36">
        <v>2</v>
      </c>
      <c r="AP325" s="36">
        <v>2</v>
      </c>
      <c r="AQ325" s="36">
        <v>0</v>
      </c>
      <c r="AR325" s="50">
        <v>0</v>
      </c>
      <c r="AS325" s="36">
        <v>0</v>
      </c>
      <c r="AT325" s="36">
        <v>0</v>
      </c>
      <c r="AU325" s="36">
        <v>0</v>
      </c>
      <c r="AV325" s="36">
        <v>0</v>
      </c>
      <c r="AW325">
        <v>0</v>
      </c>
      <c r="AX325">
        <v>0</v>
      </c>
    </row>
    <row r="326" spans="1:50" x14ac:dyDescent="0.25">
      <c r="A326" s="36"/>
      <c r="B326" t="s">
        <v>119</v>
      </c>
      <c r="C326" s="36" t="str">
        <f>'Status Thresholds'!B317</f>
        <v>Gammoth</v>
      </c>
      <c r="E326" s="36" t="str">
        <f t="shared" ref="E326:E389" si="13">C326&amp;D326</f>
        <v>Gammoth</v>
      </c>
      <c r="F326" s="36" t="str">
        <f>IFERROR(VLOOKUP($E326,'Status Thresholds'!$E:$AS,1,FALSE),"")</f>
        <v/>
      </c>
      <c r="G326" t="s">
        <v>13</v>
      </c>
      <c r="H326" s="55" t="str">
        <f t="shared" ref="H326:H389" si="14">E326&amp;G326</f>
        <v>GammothCrag 3</v>
      </c>
      <c r="I326" s="50">
        <v>3</v>
      </c>
      <c r="J326" s="36">
        <v>1</v>
      </c>
      <c r="K326" s="36">
        <v>4</v>
      </c>
      <c r="L326" s="36">
        <v>4</v>
      </c>
      <c r="M326" s="36">
        <v>0</v>
      </c>
      <c r="N326" s="50">
        <v>3</v>
      </c>
      <c r="O326" s="36">
        <v>1</v>
      </c>
      <c r="P326" s="36">
        <v>4</v>
      </c>
      <c r="Q326" s="36">
        <v>4</v>
      </c>
      <c r="R326" s="36">
        <v>0</v>
      </c>
      <c r="S326" s="50">
        <v>3</v>
      </c>
      <c r="T326" s="36">
        <v>2</v>
      </c>
      <c r="U326" s="36">
        <v>4</v>
      </c>
      <c r="V326" s="36">
        <v>4</v>
      </c>
      <c r="W326" s="36">
        <v>0</v>
      </c>
      <c r="X326" s="50">
        <v>0</v>
      </c>
      <c r="Y326" s="36">
        <v>0</v>
      </c>
      <c r="Z326" s="36">
        <v>0</v>
      </c>
      <c r="AA326" s="36">
        <v>0</v>
      </c>
      <c r="AB326" s="36">
        <v>0</v>
      </c>
      <c r="AC326" s="50">
        <v>0</v>
      </c>
      <c r="AD326" s="36">
        <v>3</v>
      </c>
      <c r="AE326" s="36">
        <v>4</v>
      </c>
      <c r="AF326" s="36">
        <v>4</v>
      </c>
      <c r="AG326" s="36">
        <v>0</v>
      </c>
      <c r="AH326" s="50">
        <v>0</v>
      </c>
      <c r="AI326" s="36">
        <v>0</v>
      </c>
      <c r="AJ326" s="36">
        <v>0</v>
      </c>
      <c r="AK326" s="36">
        <v>0</v>
      </c>
      <c r="AL326" s="36">
        <v>0</v>
      </c>
      <c r="AM326" s="50">
        <v>3</v>
      </c>
      <c r="AN326" s="36">
        <v>4</v>
      </c>
      <c r="AO326" s="36">
        <v>4</v>
      </c>
      <c r="AP326" s="36">
        <v>4</v>
      </c>
      <c r="AQ326" s="36">
        <v>0</v>
      </c>
      <c r="AR326" s="50">
        <v>0</v>
      </c>
      <c r="AS326" s="36">
        <v>0</v>
      </c>
      <c r="AT326" s="36">
        <v>0</v>
      </c>
      <c r="AU326" s="36">
        <v>0</v>
      </c>
      <c r="AV326" s="36">
        <v>0</v>
      </c>
      <c r="AW326">
        <v>0</v>
      </c>
      <c r="AX326">
        <v>0</v>
      </c>
    </row>
    <row r="327" spans="1:50" x14ac:dyDescent="0.25">
      <c r="A327" s="36"/>
      <c r="B327" t="s">
        <v>119</v>
      </c>
      <c r="C327" s="36" t="str">
        <f>'Status Thresholds'!B318</f>
        <v>Gammoth</v>
      </c>
      <c r="E327" s="36" t="str">
        <f t="shared" si="13"/>
        <v>Gammoth</v>
      </c>
      <c r="F327" s="36" t="str">
        <f>IFERROR(VLOOKUP($E327,'Status Thresholds'!$E:$AS,1,FALSE),"")</f>
        <v/>
      </c>
      <c r="G327" t="s">
        <v>12</v>
      </c>
      <c r="H327" s="55" t="str">
        <f t="shared" si="14"/>
        <v>GammothCrag 2</v>
      </c>
      <c r="I327" s="50">
        <v>1</v>
      </c>
      <c r="J327" s="36">
        <v>3</v>
      </c>
      <c r="K327" s="36">
        <v>4</v>
      </c>
      <c r="L327" s="36">
        <v>4</v>
      </c>
      <c r="M327" s="36">
        <v>0</v>
      </c>
      <c r="N327" s="50">
        <v>1</v>
      </c>
      <c r="O327" s="36">
        <v>3</v>
      </c>
      <c r="P327" s="36">
        <v>4</v>
      </c>
      <c r="Q327" s="36">
        <v>4</v>
      </c>
      <c r="R327" s="36">
        <v>0</v>
      </c>
      <c r="S327" s="50">
        <v>0</v>
      </c>
      <c r="T327" s="36">
        <v>2</v>
      </c>
      <c r="U327" s="36">
        <v>4</v>
      </c>
      <c r="V327" s="36">
        <v>4</v>
      </c>
      <c r="W327" s="36">
        <v>0</v>
      </c>
      <c r="X327" s="50">
        <v>0</v>
      </c>
      <c r="Y327" s="36">
        <v>0</v>
      </c>
      <c r="Z327" s="36">
        <v>0</v>
      </c>
      <c r="AA327" s="36">
        <v>0</v>
      </c>
      <c r="AB327" s="36">
        <v>0</v>
      </c>
      <c r="AC327" s="50">
        <v>3</v>
      </c>
      <c r="AD327" s="36">
        <v>1</v>
      </c>
      <c r="AE327" s="36">
        <v>4</v>
      </c>
      <c r="AF327" s="36">
        <v>4</v>
      </c>
      <c r="AG327" s="36">
        <v>0</v>
      </c>
      <c r="AH327" s="50">
        <v>0</v>
      </c>
      <c r="AI327" s="36">
        <v>0</v>
      </c>
      <c r="AJ327" s="36">
        <v>0</v>
      </c>
      <c r="AK327" s="36">
        <v>0</v>
      </c>
      <c r="AL327" s="36">
        <v>0</v>
      </c>
      <c r="AM327" s="50">
        <v>3</v>
      </c>
      <c r="AN327" s="36">
        <v>4</v>
      </c>
      <c r="AO327" s="36">
        <v>4</v>
      </c>
      <c r="AP327" s="36">
        <v>4</v>
      </c>
      <c r="AQ327" s="36">
        <v>0</v>
      </c>
      <c r="AR327" s="50">
        <v>0</v>
      </c>
      <c r="AS327" s="36">
        <v>0</v>
      </c>
      <c r="AT327" s="36">
        <v>0</v>
      </c>
      <c r="AU327" s="36">
        <v>0</v>
      </c>
      <c r="AV327" s="36">
        <v>0</v>
      </c>
      <c r="AW327">
        <v>0</v>
      </c>
      <c r="AX327">
        <v>0</v>
      </c>
    </row>
    <row r="328" spans="1:50" x14ac:dyDescent="0.25">
      <c r="A328" s="36"/>
      <c r="B328" t="s">
        <v>119</v>
      </c>
      <c r="C328" s="36" t="str">
        <f>'Status Thresholds'!B319</f>
        <v>Gammoth</v>
      </c>
      <c r="E328" s="36" t="str">
        <f t="shared" si="13"/>
        <v>Gammoth</v>
      </c>
      <c r="F328" s="36" t="str">
        <f>IFERROR(VLOOKUP($E328,'Status Thresholds'!$E:$AS,1,FALSE),"")</f>
        <v/>
      </c>
      <c r="G328" t="s">
        <v>11</v>
      </c>
      <c r="H328" s="55" t="str">
        <f t="shared" si="14"/>
        <v>GammothCrag 1</v>
      </c>
      <c r="I328" s="50">
        <v>1</v>
      </c>
      <c r="J328" s="36">
        <v>6</v>
      </c>
      <c r="K328" s="36">
        <v>8</v>
      </c>
      <c r="L328" s="36">
        <v>8</v>
      </c>
      <c r="M328" s="36">
        <v>0</v>
      </c>
      <c r="N328" s="50">
        <v>1</v>
      </c>
      <c r="O328" s="36">
        <v>6</v>
      </c>
      <c r="P328" s="36">
        <v>8</v>
      </c>
      <c r="Q328" s="36">
        <v>8</v>
      </c>
      <c r="R328" s="36">
        <v>0</v>
      </c>
      <c r="S328" s="50">
        <v>0</v>
      </c>
      <c r="T328" s="36">
        <v>7</v>
      </c>
      <c r="U328" s="36">
        <v>8</v>
      </c>
      <c r="V328" s="36">
        <v>8</v>
      </c>
      <c r="W328" s="36">
        <v>0</v>
      </c>
      <c r="X328" s="50">
        <v>0</v>
      </c>
      <c r="Y328" s="36">
        <v>0</v>
      </c>
      <c r="Z328" s="36">
        <v>0</v>
      </c>
      <c r="AA328" s="36">
        <v>0</v>
      </c>
      <c r="AB328" s="36">
        <v>0</v>
      </c>
      <c r="AC328" s="50">
        <v>2</v>
      </c>
      <c r="AD328" s="36">
        <v>8</v>
      </c>
      <c r="AE328" s="36">
        <v>8</v>
      </c>
      <c r="AF328" s="36">
        <v>8</v>
      </c>
      <c r="AG328" s="36">
        <v>0</v>
      </c>
      <c r="AH328" s="50">
        <v>0</v>
      </c>
      <c r="AI328" s="36">
        <v>0</v>
      </c>
      <c r="AJ328" s="36">
        <v>0</v>
      </c>
      <c r="AK328" s="36">
        <v>0</v>
      </c>
      <c r="AL328" s="36">
        <v>0</v>
      </c>
      <c r="AM328" s="50">
        <v>7</v>
      </c>
      <c r="AN328" s="36">
        <v>8</v>
      </c>
      <c r="AO328" s="36">
        <v>8</v>
      </c>
      <c r="AP328" s="36">
        <v>8</v>
      </c>
      <c r="AQ328" s="36">
        <v>0</v>
      </c>
      <c r="AR328" s="50">
        <v>0</v>
      </c>
      <c r="AS328" s="36">
        <v>0</v>
      </c>
      <c r="AT328" s="36">
        <v>0</v>
      </c>
      <c r="AU328" s="36">
        <v>0</v>
      </c>
      <c r="AV328" s="36">
        <v>1</v>
      </c>
      <c r="AW328">
        <v>0</v>
      </c>
      <c r="AX328">
        <v>0</v>
      </c>
    </row>
    <row r="329" spans="1:50" x14ac:dyDescent="0.25">
      <c r="A329" s="36"/>
      <c r="B329" t="s">
        <v>121</v>
      </c>
      <c r="C329" s="36" t="str">
        <f>'Status Thresholds'!B320</f>
        <v>Gendrome</v>
      </c>
      <c r="D329" t="s">
        <v>14</v>
      </c>
      <c r="E329" s="36" t="str">
        <f t="shared" si="13"/>
        <v>GendromeKO</v>
      </c>
      <c r="F329" s="36" t="str">
        <f>IFERROR(VLOOKUP($E329,'Status Thresholds'!$E:$AS,1,FALSE),"")</f>
        <v>GendromeKO</v>
      </c>
      <c r="H329" s="55" t="str">
        <f t="shared" si="14"/>
        <v>GendromeKO</v>
      </c>
      <c r="I329" s="50">
        <f>VLOOKUP($F329,'Status Thresholds'!$E:$AS,2,FALSE)</f>
        <v>156</v>
      </c>
      <c r="J329" s="36">
        <f>VLOOKUP($F329,'Status Thresholds'!$E:$AS,3,FALSE)</f>
        <v>233</v>
      </c>
      <c r="K329" s="36">
        <f>VLOOKUP($F329,'Status Thresholds'!$E:$AS,4,FALSE)</f>
        <v>312</v>
      </c>
      <c r="L329" s="36">
        <f>VLOOKUP($F329,'Status Thresholds'!$E:$AS,5,FALSE)</f>
        <v>390</v>
      </c>
      <c r="M329" s="36">
        <f>VLOOKUP($F329,'Status Thresholds'!$E:$AS,6,FALSE)</f>
        <v>0</v>
      </c>
      <c r="N329" s="50">
        <f>VLOOKUP($F329,'Status Thresholds'!$E:$AS,7,FALSE)</f>
        <v>156</v>
      </c>
      <c r="O329" s="36">
        <f>VLOOKUP($F329,'Status Thresholds'!$E:$AS,8,FALSE)</f>
        <v>233</v>
      </c>
      <c r="P329" s="36">
        <f>VLOOKUP($F329,'Status Thresholds'!$E:$AS,9,FALSE)</f>
        <v>310</v>
      </c>
      <c r="Q329" s="36">
        <f>VLOOKUP($F329,'Status Thresholds'!$E:$AS,10,FALSE)</f>
        <v>387</v>
      </c>
      <c r="R329" s="36">
        <f>VLOOKUP($F329,'Status Thresholds'!$E:$AS,11,FALSE)</f>
        <v>0</v>
      </c>
      <c r="S329" s="50">
        <f>VLOOKUP($F329,'Status Thresholds'!$E:$AS,12,FALSE)</f>
        <v>0</v>
      </c>
      <c r="T329" s="36">
        <f>VLOOKUP($F329,'Status Thresholds'!$E:$AS,13,FALSE)</f>
        <v>0</v>
      </c>
      <c r="U329" s="36">
        <f>VLOOKUP($F329,'Status Thresholds'!$E:$AS,14,FALSE)</f>
        <v>0</v>
      </c>
      <c r="V329" s="36">
        <f>VLOOKUP($F329,'Status Thresholds'!$E:$AS,15,FALSE)</f>
        <v>0</v>
      </c>
      <c r="W329" s="36">
        <f>VLOOKUP($F329,'Status Thresholds'!$E:$AS,16,FALSE)</f>
        <v>0</v>
      </c>
      <c r="X329" s="50">
        <f>VLOOKUP($F329,'Status Thresholds'!$E:$AS,17,FALSE)</f>
        <v>0</v>
      </c>
      <c r="Y329" s="36">
        <f>VLOOKUP($F329,'Status Thresholds'!$E:$AS,18,FALSE)</f>
        <v>0</v>
      </c>
      <c r="Z329" s="36">
        <f>VLOOKUP($F329,'Status Thresholds'!$E:$AS,19,FALSE)</f>
        <v>0</v>
      </c>
      <c r="AA329" s="36">
        <f>VLOOKUP($F329,'Status Thresholds'!$E:$AS,20,FALSE)</f>
        <v>0</v>
      </c>
      <c r="AB329" s="36">
        <f>VLOOKUP($F329,'Status Thresholds'!$E:$AS,21,FALSE)</f>
        <v>0</v>
      </c>
      <c r="AC329" s="50">
        <f>VLOOKUP($F329,'Status Thresholds'!$E:$AS,22,FALSE)</f>
        <v>0</v>
      </c>
      <c r="AD329" s="36">
        <f>VLOOKUP($F329,'Status Thresholds'!$E:$AS,23,FALSE)</f>
        <v>0</v>
      </c>
      <c r="AE329" s="36">
        <f>VLOOKUP($F329,'Status Thresholds'!$E:$AS,24,FALSE)</f>
        <v>0</v>
      </c>
      <c r="AF329" s="36">
        <f>VLOOKUP($F329,'Status Thresholds'!$E:$AS,25,FALSE)</f>
        <v>0</v>
      </c>
      <c r="AG329" s="36">
        <f>VLOOKUP($F329,'Status Thresholds'!$E:$AS,26,FALSE)</f>
        <v>0</v>
      </c>
      <c r="AH329" s="50">
        <f>VLOOKUP($F329,'Status Thresholds'!$E:$AS,27,FALSE)</f>
        <v>140</v>
      </c>
      <c r="AI329" s="36">
        <f>VLOOKUP($F329,'Status Thresholds'!$E:$AS,28,FALSE)</f>
        <v>196</v>
      </c>
      <c r="AJ329" s="36">
        <f>VLOOKUP($F329,'Status Thresholds'!$E:$AS,29,FALSE)</f>
        <v>252</v>
      </c>
      <c r="AK329" s="36">
        <f>VLOOKUP($F329,'Status Thresholds'!$E:$AS,30,FALSE)</f>
        <v>308</v>
      </c>
      <c r="AL329" s="36">
        <f>VLOOKUP($F329,'Status Thresholds'!$E:$AS,31,FALSE)</f>
        <v>0</v>
      </c>
      <c r="AM329" s="50">
        <f>VLOOKUP($F329,'Status Thresholds'!$E:$AS,32,FALSE)</f>
        <v>0</v>
      </c>
      <c r="AN329" s="36">
        <f>VLOOKUP($F329,'Status Thresholds'!$E:$AS,33,FALSE)</f>
        <v>0</v>
      </c>
      <c r="AO329" s="36">
        <f>VLOOKUP($F329,'Status Thresholds'!$E:$AS,34,FALSE)</f>
        <v>0</v>
      </c>
      <c r="AP329" s="36">
        <f>VLOOKUP($F329,'Status Thresholds'!$E:$AS,35,FALSE)</f>
        <v>0</v>
      </c>
      <c r="AQ329" s="36">
        <f>VLOOKUP($F329,'Status Thresholds'!$E:$AS,36,FALSE)</f>
        <v>0</v>
      </c>
      <c r="AR329" s="50">
        <f>VLOOKUP($F329,'Status Thresholds'!$E:$AS,37,FALSE)</f>
        <v>0</v>
      </c>
      <c r="AS329" s="36">
        <f>VLOOKUP($F329,'Status Thresholds'!$E:$AS,38,FALSE)</f>
        <v>0</v>
      </c>
      <c r="AT329" s="36">
        <f>VLOOKUP($F329,'Status Thresholds'!$E:$AS,39,FALSE)</f>
        <v>0</v>
      </c>
      <c r="AU329" s="36">
        <f>VLOOKUP($F329,'Status Thresholds'!$E:$AS,40,FALSE)</f>
        <v>0</v>
      </c>
      <c r="AV329" s="36">
        <f>VLOOKUP($F329,'Status Thresholds'!$E:$AS,41,FALSE)</f>
        <v>10</v>
      </c>
      <c r="AW329">
        <v>0</v>
      </c>
      <c r="AX329">
        <v>0</v>
      </c>
    </row>
    <row r="330" spans="1:50" x14ac:dyDescent="0.25">
      <c r="A330" s="36"/>
      <c r="B330" t="s">
        <v>120</v>
      </c>
      <c r="C330" s="36" t="str">
        <f>'Status Thresholds'!B321</f>
        <v>Gendrome</v>
      </c>
      <c r="E330" s="36" t="str">
        <f t="shared" si="13"/>
        <v>Gendrome</v>
      </c>
      <c r="F330" s="36" t="str">
        <f>IFERROR(VLOOKUP($E330,'Status Thresholds'!$E:$AS,1,FALSE),"")</f>
        <v/>
      </c>
      <c r="G330" t="s">
        <v>21</v>
      </c>
      <c r="H330" s="55" t="str">
        <f t="shared" si="14"/>
        <v>GendromeTriblast</v>
      </c>
      <c r="I330" s="50">
        <v>0</v>
      </c>
      <c r="J330" s="36">
        <v>0</v>
      </c>
      <c r="K330" s="36">
        <v>1</v>
      </c>
      <c r="L330" s="36">
        <v>2</v>
      </c>
      <c r="M330" s="36">
        <v>0</v>
      </c>
      <c r="N330" s="50">
        <v>0</v>
      </c>
      <c r="O330" s="36">
        <v>0</v>
      </c>
      <c r="P330" s="36">
        <v>2</v>
      </c>
      <c r="Q330" s="36">
        <v>0</v>
      </c>
      <c r="R330" s="36">
        <v>0</v>
      </c>
      <c r="S330" s="50">
        <v>0</v>
      </c>
      <c r="T330" s="36">
        <v>0</v>
      </c>
      <c r="U330" s="36">
        <v>0</v>
      </c>
      <c r="V330" s="36">
        <v>0</v>
      </c>
      <c r="W330" s="36">
        <v>0</v>
      </c>
      <c r="X330" s="50">
        <v>0</v>
      </c>
      <c r="Y330" s="36">
        <v>0</v>
      </c>
      <c r="Z330" s="36">
        <v>0</v>
      </c>
      <c r="AA330" s="36">
        <v>0</v>
      </c>
      <c r="AB330" s="36">
        <v>0</v>
      </c>
      <c r="AC330" s="50">
        <v>0</v>
      </c>
      <c r="AD330" s="36">
        <v>0</v>
      </c>
      <c r="AE330" s="36">
        <v>0</v>
      </c>
      <c r="AF330" s="36">
        <v>0</v>
      </c>
      <c r="AG330" s="36">
        <v>0</v>
      </c>
      <c r="AH330" s="50">
        <v>1</v>
      </c>
      <c r="AI330" s="36">
        <v>0</v>
      </c>
      <c r="AJ330" s="36">
        <v>0</v>
      </c>
      <c r="AK330" s="36">
        <v>0</v>
      </c>
      <c r="AL330" s="36">
        <v>0</v>
      </c>
      <c r="AM330" s="50">
        <v>0</v>
      </c>
      <c r="AN330" s="36">
        <v>0</v>
      </c>
      <c r="AO330" s="36">
        <v>0</v>
      </c>
      <c r="AP330" s="36">
        <v>0</v>
      </c>
      <c r="AQ330" s="36">
        <v>0</v>
      </c>
      <c r="AR330" s="50">
        <v>0</v>
      </c>
      <c r="AS330" s="36">
        <v>0</v>
      </c>
      <c r="AT330" s="36">
        <v>0</v>
      </c>
      <c r="AU330" s="36">
        <v>0</v>
      </c>
      <c r="AV330" s="36">
        <v>0</v>
      </c>
      <c r="AW330">
        <v>0</v>
      </c>
    </row>
    <row r="331" spans="1:50" x14ac:dyDescent="0.25">
      <c r="A331" s="36"/>
      <c r="B331" t="s">
        <v>120</v>
      </c>
      <c r="C331" s="36" t="str">
        <f>'Status Thresholds'!B322</f>
        <v>Gendrome</v>
      </c>
      <c r="E331" s="36" t="str">
        <f t="shared" si="13"/>
        <v>Gendrome</v>
      </c>
      <c r="F331" s="36" t="str">
        <f>IFERROR(VLOOKUP($E331,'Status Thresholds'!$E:$AS,1,FALSE),"")</f>
        <v/>
      </c>
      <c r="G331" t="s">
        <v>13</v>
      </c>
      <c r="H331" s="55" t="str">
        <f t="shared" si="14"/>
        <v>GendromeCrag 3</v>
      </c>
      <c r="I331" s="50">
        <v>4</v>
      </c>
      <c r="J331" s="36">
        <v>4</v>
      </c>
      <c r="K331" s="36">
        <v>3</v>
      </c>
      <c r="L331" s="36">
        <v>4</v>
      </c>
      <c r="M331" s="36">
        <v>0</v>
      </c>
      <c r="N331" s="50">
        <v>4</v>
      </c>
      <c r="O331" s="36">
        <v>4</v>
      </c>
      <c r="P331" s="36">
        <v>4</v>
      </c>
      <c r="Q331" s="36">
        <v>3</v>
      </c>
      <c r="R331" s="36">
        <v>0</v>
      </c>
      <c r="S331" s="50">
        <v>0</v>
      </c>
      <c r="T331" s="36">
        <v>0</v>
      </c>
      <c r="U331" s="36">
        <v>0</v>
      </c>
      <c r="V331" s="36">
        <v>0</v>
      </c>
      <c r="W331" s="36">
        <v>0</v>
      </c>
      <c r="X331" s="50">
        <v>0</v>
      </c>
      <c r="Y331" s="36">
        <v>0</v>
      </c>
      <c r="Z331" s="36">
        <v>0</v>
      </c>
      <c r="AA331" s="36">
        <v>0</v>
      </c>
      <c r="AB331" s="36">
        <v>0</v>
      </c>
      <c r="AC331" s="50">
        <v>0</v>
      </c>
      <c r="AD331" s="36">
        <v>0</v>
      </c>
      <c r="AE331" s="36">
        <v>0</v>
      </c>
      <c r="AF331" s="36">
        <v>0</v>
      </c>
      <c r="AG331" s="36">
        <v>0</v>
      </c>
      <c r="AH331" s="50">
        <v>1</v>
      </c>
      <c r="AI331" s="36">
        <v>3</v>
      </c>
      <c r="AJ331" s="36">
        <v>3</v>
      </c>
      <c r="AK331" s="36">
        <v>4</v>
      </c>
      <c r="AL331" s="36">
        <v>0</v>
      </c>
      <c r="AM331" s="50">
        <v>0</v>
      </c>
      <c r="AN331" s="36">
        <v>0</v>
      </c>
      <c r="AO331" s="36">
        <v>0</v>
      </c>
      <c r="AP331" s="36">
        <v>0</v>
      </c>
      <c r="AQ331" s="36">
        <v>0</v>
      </c>
      <c r="AR331" s="50">
        <v>0</v>
      </c>
      <c r="AS331" s="36">
        <v>0</v>
      </c>
      <c r="AT331" s="36">
        <v>0</v>
      </c>
      <c r="AU331" s="36">
        <v>0</v>
      </c>
      <c r="AV331" s="36">
        <v>0</v>
      </c>
      <c r="AW331">
        <v>0</v>
      </c>
      <c r="AX331">
        <v>0</v>
      </c>
    </row>
    <row r="332" spans="1:50" x14ac:dyDescent="0.25">
      <c r="A332" s="36"/>
      <c r="B332" t="s">
        <v>120</v>
      </c>
      <c r="C332" s="36" t="str">
        <f>'Status Thresholds'!B323</f>
        <v>Gendrome</v>
      </c>
      <c r="E332" s="36" t="str">
        <f t="shared" si="13"/>
        <v>Gendrome</v>
      </c>
      <c r="F332" s="36" t="str">
        <f>IFERROR(VLOOKUP($E332,'Status Thresholds'!$E:$AS,1,FALSE),"")</f>
        <v/>
      </c>
      <c r="G332" t="s">
        <v>12</v>
      </c>
      <c r="H332" s="55" t="str">
        <f t="shared" si="14"/>
        <v>GendromeCrag 2</v>
      </c>
      <c r="I332" s="50">
        <v>0</v>
      </c>
      <c r="J332" s="36">
        <v>0</v>
      </c>
      <c r="K332" s="36">
        <v>4</v>
      </c>
      <c r="L332" s="36">
        <v>1</v>
      </c>
      <c r="M332" s="36">
        <v>0</v>
      </c>
      <c r="N332" s="50">
        <v>0</v>
      </c>
      <c r="O332" s="36">
        <v>0</v>
      </c>
      <c r="P332" s="36">
        <v>0</v>
      </c>
      <c r="Q332" s="36">
        <v>4</v>
      </c>
      <c r="R332" s="36">
        <v>0</v>
      </c>
      <c r="S332" s="50">
        <v>0</v>
      </c>
      <c r="T332" s="36">
        <v>0</v>
      </c>
      <c r="U332" s="36">
        <v>0</v>
      </c>
      <c r="V332" s="36">
        <v>0</v>
      </c>
      <c r="W332" s="36">
        <v>0</v>
      </c>
      <c r="X332" s="50">
        <v>0</v>
      </c>
      <c r="Y332" s="36">
        <v>0</v>
      </c>
      <c r="Z332" s="36">
        <v>0</v>
      </c>
      <c r="AA332" s="36">
        <v>0</v>
      </c>
      <c r="AB332" s="36">
        <v>0</v>
      </c>
      <c r="AC332" s="50">
        <v>0</v>
      </c>
      <c r="AD332" s="36">
        <v>0</v>
      </c>
      <c r="AE332" s="36">
        <v>0</v>
      </c>
      <c r="AF332" s="36">
        <v>0</v>
      </c>
      <c r="AG332" s="36">
        <v>0</v>
      </c>
      <c r="AH332" s="50">
        <v>0</v>
      </c>
      <c r="AI332" s="36">
        <v>1</v>
      </c>
      <c r="AJ332" s="36">
        <v>2</v>
      </c>
      <c r="AK332" s="36">
        <v>0</v>
      </c>
      <c r="AL332" s="36">
        <v>0</v>
      </c>
      <c r="AM332" s="50">
        <v>0</v>
      </c>
      <c r="AN332" s="36">
        <v>0</v>
      </c>
      <c r="AO332" s="36">
        <v>0</v>
      </c>
      <c r="AP332" s="36">
        <v>0</v>
      </c>
      <c r="AQ332" s="36">
        <v>0</v>
      </c>
      <c r="AR332" s="50">
        <v>0</v>
      </c>
      <c r="AS332" s="36">
        <v>0</v>
      </c>
      <c r="AT332" s="36">
        <v>0</v>
      </c>
      <c r="AU332" s="36">
        <v>0</v>
      </c>
      <c r="AV332" s="36">
        <v>0</v>
      </c>
      <c r="AW332">
        <v>0</v>
      </c>
      <c r="AX332">
        <v>0</v>
      </c>
    </row>
    <row r="333" spans="1:50" x14ac:dyDescent="0.25">
      <c r="A333" s="36"/>
      <c r="B333" t="s">
        <v>120</v>
      </c>
      <c r="C333" s="36" t="str">
        <f>'Status Thresholds'!B324</f>
        <v>Gendrome</v>
      </c>
      <c r="E333" s="36" t="str">
        <f t="shared" si="13"/>
        <v>Gendrome</v>
      </c>
      <c r="F333" s="36" t="str">
        <f>IFERROR(VLOOKUP($E333,'Status Thresholds'!$E:$AS,1,FALSE),"")</f>
        <v/>
      </c>
      <c r="G333" t="s">
        <v>11</v>
      </c>
      <c r="H333" s="55" t="str">
        <f t="shared" si="14"/>
        <v>GendromeCrag 1</v>
      </c>
      <c r="I333" s="50">
        <v>0</v>
      </c>
      <c r="J333" s="36">
        <v>3</v>
      </c>
      <c r="K333" s="36">
        <v>0</v>
      </c>
      <c r="L333" s="36">
        <v>2</v>
      </c>
      <c r="M333" s="36">
        <v>0</v>
      </c>
      <c r="N333" s="50">
        <v>0</v>
      </c>
      <c r="O333" s="36">
        <v>3</v>
      </c>
      <c r="P333" s="36">
        <v>0</v>
      </c>
      <c r="Q333" s="36">
        <v>6</v>
      </c>
      <c r="R333" s="36">
        <v>0</v>
      </c>
      <c r="S333" s="50">
        <v>0</v>
      </c>
      <c r="T333" s="36">
        <v>0</v>
      </c>
      <c r="U333" s="36">
        <v>0</v>
      </c>
      <c r="V333" s="36">
        <v>0</v>
      </c>
      <c r="W333" s="36">
        <v>0</v>
      </c>
      <c r="X333" s="50">
        <v>0</v>
      </c>
      <c r="Y333" s="36">
        <v>0</v>
      </c>
      <c r="Z333" s="36">
        <v>0</v>
      </c>
      <c r="AA333" s="36">
        <v>0</v>
      </c>
      <c r="AB333" s="36">
        <v>0</v>
      </c>
      <c r="AC333" s="50">
        <v>0</v>
      </c>
      <c r="AD333" s="36">
        <v>0</v>
      </c>
      <c r="AE333" s="36">
        <v>0</v>
      </c>
      <c r="AF333" s="36">
        <v>0</v>
      </c>
      <c r="AG333" s="36">
        <v>0</v>
      </c>
      <c r="AH333" s="50">
        <v>1</v>
      </c>
      <c r="AI333" s="36">
        <v>2</v>
      </c>
      <c r="AJ333" s="36">
        <v>3</v>
      </c>
      <c r="AK333" s="36">
        <v>6</v>
      </c>
      <c r="AL333" s="36">
        <v>0</v>
      </c>
      <c r="AM333" s="50">
        <v>0</v>
      </c>
      <c r="AN333" s="36">
        <v>0</v>
      </c>
      <c r="AO333" s="36">
        <v>0</v>
      </c>
      <c r="AP333" s="36">
        <v>0</v>
      </c>
      <c r="AQ333" s="36">
        <v>0</v>
      </c>
      <c r="AR333" s="50">
        <v>0</v>
      </c>
      <c r="AS333" s="36">
        <v>0</v>
      </c>
      <c r="AT333" s="36">
        <v>0</v>
      </c>
      <c r="AU333" s="36">
        <v>0</v>
      </c>
      <c r="AV333" s="36">
        <v>1</v>
      </c>
      <c r="AW333">
        <v>0</v>
      </c>
      <c r="AX333">
        <v>0</v>
      </c>
    </row>
    <row r="334" spans="1:50" x14ac:dyDescent="0.25">
      <c r="A334" s="36"/>
      <c r="B334" t="s">
        <v>119</v>
      </c>
      <c r="C334" s="36" t="str">
        <f>'Status Thresholds'!B325</f>
        <v>Gendrome</v>
      </c>
      <c r="E334" s="36" t="str">
        <f t="shared" si="13"/>
        <v>Gendrome</v>
      </c>
      <c r="F334" s="36" t="str">
        <f>IFERROR(VLOOKUP($E334,'Status Thresholds'!$E:$AS,1,FALSE),"")</f>
        <v/>
      </c>
      <c r="G334" t="s">
        <v>21</v>
      </c>
      <c r="H334" s="55" t="str">
        <f t="shared" si="14"/>
        <v>GendromeTriblast</v>
      </c>
      <c r="I334" s="50">
        <v>0</v>
      </c>
      <c r="J334" s="36">
        <v>2</v>
      </c>
      <c r="K334" s="36">
        <v>1</v>
      </c>
      <c r="L334" s="36">
        <v>2</v>
      </c>
      <c r="M334" s="36">
        <v>0</v>
      </c>
      <c r="N334" s="50">
        <v>0</v>
      </c>
      <c r="O334" s="36">
        <v>2</v>
      </c>
      <c r="P334" s="36">
        <v>2</v>
      </c>
      <c r="Q334" s="36">
        <v>0</v>
      </c>
      <c r="R334" s="36">
        <v>0</v>
      </c>
      <c r="S334" s="50">
        <v>0</v>
      </c>
      <c r="T334" s="36">
        <v>0</v>
      </c>
      <c r="U334" s="36">
        <v>0</v>
      </c>
      <c r="V334" s="36">
        <v>0</v>
      </c>
      <c r="W334" s="36">
        <v>0</v>
      </c>
      <c r="X334" s="50">
        <v>0</v>
      </c>
      <c r="Y334" s="36">
        <v>0</v>
      </c>
      <c r="Z334" s="36">
        <v>0</v>
      </c>
      <c r="AA334" s="36">
        <v>0</v>
      </c>
      <c r="AB334" s="36">
        <v>0</v>
      </c>
      <c r="AC334" s="50">
        <v>0</v>
      </c>
      <c r="AD334" s="36">
        <v>0</v>
      </c>
      <c r="AE334" s="36">
        <v>0</v>
      </c>
      <c r="AF334" s="36">
        <v>0</v>
      </c>
      <c r="AG334" s="36">
        <v>0</v>
      </c>
      <c r="AH334" s="50">
        <v>0</v>
      </c>
      <c r="AI334" s="36">
        <v>1</v>
      </c>
      <c r="AJ334" s="36">
        <v>0</v>
      </c>
      <c r="AK334" s="36">
        <v>0</v>
      </c>
      <c r="AL334" s="36">
        <v>0</v>
      </c>
      <c r="AM334" s="50">
        <v>0</v>
      </c>
      <c r="AN334" s="36">
        <v>0</v>
      </c>
      <c r="AO334" s="36">
        <v>0</v>
      </c>
      <c r="AP334" s="36">
        <v>0</v>
      </c>
      <c r="AQ334" s="36">
        <v>0</v>
      </c>
      <c r="AR334" s="50">
        <v>0</v>
      </c>
      <c r="AS334" s="36">
        <v>0</v>
      </c>
      <c r="AT334" s="36">
        <v>0</v>
      </c>
      <c r="AU334" s="36">
        <v>0</v>
      </c>
      <c r="AV334" s="36">
        <v>0</v>
      </c>
      <c r="AW334">
        <v>0</v>
      </c>
      <c r="AX334">
        <v>0</v>
      </c>
    </row>
    <row r="335" spans="1:50" x14ac:dyDescent="0.25">
      <c r="A335" s="36"/>
      <c r="B335" t="s">
        <v>119</v>
      </c>
      <c r="C335" s="36" t="str">
        <f>'Status Thresholds'!B326</f>
        <v>Gendrome</v>
      </c>
      <c r="E335" s="36" t="str">
        <f t="shared" si="13"/>
        <v>Gendrome</v>
      </c>
      <c r="F335" s="36" t="str">
        <f>IFERROR(VLOOKUP($E335,'Status Thresholds'!$E:$AS,1,FALSE),"")</f>
        <v/>
      </c>
      <c r="G335" t="s">
        <v>13</v>
      </c>
      <c r="H335" s="55" t="str">
        <f t="shared" si="14"/>
        <v>GendromeCrag 3</v>
      </c>
      <c r="I335" s="50">
        <v>1</v>
      </c>
      <c r="J335" s="36">
        <v>1</v>
      </c>
      <c r="K335" s="36">
        <v>3</v>
      </c>
      <c r="L335" s="36">
        <v>0</v>
      </c>
      <c r="M335" s="36">
        <v>0</v>
      </c>
      <c r="N335" s="50">
        <v>1</v>
      </c>
      <c r="O335" s="36">
        <v>1</v>
      </c>
      <c r="P335" s="36">
        <v>2</v>
      </c>
      <c r="Q335" s="36">
        <v>3</v>
      </c>
      <c r="R335" s="36">
        <v>0</v>
      </c>
      <c r="S335" s="50">
        <v>0</v>
      </c>
      <c r="T335" s="36">
        <v>0</v>
      </c>
      <c r="U335" s="36">
        <v>0</v>
      </c>
      <c r="V335" s="36">
        <v>0</v>
      </c>
      <c r="W335" s="36">
        <v>0</v>
      </c>
      <c r="X335" s="50">
        <v>0</v>
      </c>
      <c r="Y335" s="36">
        <v>0</v>
      </c>
      <c r="Z335" s="36">
        <v>0</v>
      </c>
      <c r="AA335" s="36">
        <v>0</v>
      </c>
      <c r="AB335" s="36">
        <v>0</v>
      </c>
      <c r="AC335" s="50">
        <v>0</v>
      </c>
      <c r="AD335" s="36">
        <v>0</v>
      </c>
      <c r="AE335" s="36">
        <v>0</v>
      </c>
      <c r="AF335" s="36">
        <v>0</v>
      </c>
      <c r="AG335" s="36">
        <v>0</v>
      </c>
      <c r="AH335" s="50">
        <v>0</v>
      </c>
      <c r="AI335" s="36">
        <v>2</v>
      </c>
      <c r="AJ335" s="36">
        <v>3</v>
      </c>
      <c r="AK335" s="36">
        <v>4</v>
      </c>
      <c r="AL335" s="36">
        <v>0</v>
      </c>
      <c r="AM335" s="50">
        <v>0</v>
      </c>
      <c r="AN335" s="36">
        <v>0</v>
      </c>
      <c r="AO335" s="36">
        <v>0</v>
      </c>
      <c r="AP335" s="36">
        <v>0</v>
      </c>
      <c r="AQ335" s="36">
        <v>0</v>
      </c>
      <c r="AR335" s="50">
        <v>0</v>
      </c>
      <c r="AS335" s="36">
        <v>0</v>
      </c>
      <c r="AT335" s="36">
        <v>0</v>
      </c>
      <c r="AU335" s="36">
        <v>0</v>
      </c>
      <c r="AV335" s="36">
        <v>0</v>
      </c>
      <c r="AW335">
        <v>0</v>
      </c>
      <c r="AX335">
        <v>0</v>
      </c>
    </row>
    <row r="336" spans="1:50" x14ac:dyDescent="0.25">
      <c r="A336" s="36"/>
      <c r="B336" t="s">
        <v>119</v>
      </c>
      <c r="C336" s="36" t="str">
        <f>'Status Thresholds'!B327</f>
        <v>Gendrome</v>
      </c>
      <c r="E336" s="36" t="str">
        <f t="shared" si="13"/>
        <v>Gendrome</v>
      </c>
      <c r="F336" s="36" t="str">
        <f>IFERROR(VLOOKUP($E336,'Status Thresholds'!$E:$AS,1,FALSE),"")</f>
        <v/>
      </c>
      <c r="G336" t="s">
        <v>12</v>
      </c>
      <c r="H336" s="55" t="str">
        <f t="shared" si="14"/>
        <v>GendromeCrag 2</v>
      </c>
      <c r="I336" s="50">
        <v>1</v>
      </c>
      <c r="J336" s="36">
        <v>0</v>
      </c>
      <c r="K336" s="36">
        <v>3</v>
      </c>
      <c r="L336" s="36">
        <v>2</v>
      </c>
      <c r="M336" s="36">
        <v>0</v>
      </c>
      <c r="N336" s="50">
        <v>1</v>
      </c>
      <c r="O336" s="36">
        <v>0</v>
      </c>
      <c r="P336" s="36">
        <v>1</v>
      </c>
      <c r="Q336" s="36">
        <v>2</v>
      </c>
      <c r="R336" s="36">
        <v>0</v>
      </c>
      <c r="S336" s="50">
        <v>0</v>
      </c>
      <c r="T336" s="36">
        <v>0</v>
      </c>
      <c r="U336" s="36">
        <v>0</v>
      </c>
      <c r="V336" s="36">
        <v>0</v>
      </c>
      <c r="W336" s="36">
        <v>0</v>
      </c>
      <c r="X336" s="50">
        <v>0</v>
      </c>
      <c r="Y336" s="36">
        <v>0</v>
      </c>
      <c r="Z336" s="36">
        <v>0</v>
      </c>
      <c r="AA336" s="36">
        <v>0</v>
      </c>
      <c r="AB336" s="36">
        <v>0</v>
      </c>
      <c r="AC336" s="50">
        <v>0</v>
      </c>
      <c r="AD336" s="36">
        <v>0</v>
      </c>
      <c r="AE336" s="36">
        <v>0</v>
      </c>
      <c r="AF336" s="36">
        <v>0</v>
      </c>
      <c r="AG336" s="36">
        <v>0</v>
      </c>
      <c r="AH336" s="50">
        <v>1</v>
      </c>
      <c r="AI336" s="36">
        <v>0</v>
      </c>
      <c r="AJ336" s="36">
        <v>2</v>
      </c>
      <c r="AK336" s="36">
        <v>4</v>
      </c>
      <c r="AL336" s="36">
        <v>0</v>
      </c>
      <c r="AM336" s="50">
        <v>0</v>
      </c>
      <c r="AN336" s="36">
        <v>0</v>
      </c>
      <c r="AO336" s="36">
        <v>0</v>
      </c>
      <c r="AP336" s="36">
        <v>0</v>
      </c>
      <c r="AQ336" s="36">
        <v>0</v>
      </c>
      <c r="AR336" s="50">
        <v>0</v>
      </c>
      <c r="AS336" s="36">
        <v>0</v>
      </c>
      <c r="AT336" s="36">
        <v>0</v>
      </c>
      <c r="AU336" s="36">
        <v>0</v>
      </c>
      <c r="AV336" s="36">
        <v>0</v>
      </c>
      <c r="AW336">
        <v>0</v>
      </c>
      <c r="AX336">
        <v>0</v>
      </c>
    </row>
    <row r="337" spans="1:50" x14ac:dyDescent="0.25">
      <c r="A337" s="36"/>
      <c r="B337" t="s">
        <v>119</v>
      </c>
      <c r="C337" s="36" t="str">
        <f>'Status Thresholds'!B328</f>
        <v>Gendrome</v>
      </c>
      <c r="E337" s="36" t="str">
        <f t="shared" si="13"/>
        <v>Gendrome</v>
      </c>
      <c r="F337" s="36" t="str">
        <f>IFERROR(VLOOKUP($E337,'Status Thresholds'!$E:$AS,1,FALSE),"")</f>
        <v/>
      </c>
      <c r="G337" t="s">
        <v>11</v>
      </c>
      <c r="H337" s="55" t="str">
        <f t="shared" si="14"/>
        <v>GendromeCrag 1</v>
      </c>
      <c r="I337" s="50">
        <v>3</v>
      </c>
      <c r="J337" s="36">
        <v>1</v>
      </c>
      <c r="K337" s="36">
        <v>0</v>
      </c>
      <c r="L337" s="36">
        <v>6</v>
      </c>
      <c r="M337" s="36">
        <v>0</v>
      </c>
      <c r="N337" s="50">
        <v>3</v>
      </c>
      <c r="O337" s="36">
        <v>1</v>
      </c>
      <c r="P337" s="36">
        <v>1</v>
      </c>
      <c r="Q337" s="36">
        <v>7</v>
      </c>
      <c r="R337" s="36">
        <v>0</v>
      </c>
      <c r="S337" s="50">
        <v>0</v>
      </c>
      <c r="T337" s="36">
        <v>0</v>
      </c>
      <c r="U337" s="36">
        <v>0</v>
      </c>
      <c r="V337" s="36">
        <v>0</v>
      </c>
      <c r="W337" s="36">
        <v>0</v>
      </c>
      <c r="X337" s="50">
        <v>0</v>
      </c>
      <c r="Y337" s="36">
        <v>0</v>
      </c>
      <c r="Z337" s="36">
        <v>0</v>
      </c>
      <c r="AA337" s="36">
        <v>0</v>
      </c>
      <c r="AB337" s="36">
        <v>0</v>
      </c>
      <c r="AC337" s="50">
        <v>0</v>
      </c>
      <c r="AD337" s="36">
        <v>0</v>
      </c>
      <c r="AE337" s="36">
        <v>0</v>
      </c>
      <c r="AF337" s="36">
        <v>0</v>
      </c>
      <c r="AG337" s="36">
        <v>0</v>
      </c>
      <c r="AH337" s="50">
        <v>4</v>
      </c>
      <c r="AI337" s="36">
        <v>1</v>
      </c>
      <c r="AJ337" s="36">
        <v>2</v>
      </c>
      <c r="AK337" s="36">
        <v>0</v>
      </c>
      <c r="AL337" s="36">
        <v>0</v>
      </c>
      <c r="AM337" s="50">
        <v>0</v>
      </c>
      <c r="AN337" s="36">
        <v>0</v>
      </c>
      <c r="AO337" s="36">
        <v>0</v>
      </c>
      <c r="AP337" s="36">
        <v>0</v>
      </c>
      <c r="AQ337" s="36">
        <v>0</v>
      </c>
      <c r="AR337" s="50">
        <v>0</v>
      </c>
      <c r="AS337" s="36">
        <v>0</v>
      </c>
      <c r="AT337" s="36">
        <v>0</v>
      </c>
      <c r="AU337" s="36">
        <v>0</v>
      </c>
      <c r="AV337" s="36">
        <v>1</v>
      </c>
      <c r="AW337">
        <v>0</v>
      </c>
      <c r="AX337">
        <v>0</v>
      </c>
    </row>
    <row r="338" spans="1:50" x14ac:dyDescent="0.25">
      <c r="A338" s="36"/>
      <c r="B338" t="s">
        <v>121</v>
      </c>
      <c r="C338" s="36" t="str">
        <f>'Status Thresholds'!B329</f>
        <v>Glavenus</v>
      </c>
      <c r="D338" t="s">
        <v>14</v>
      </c>
      <c r="E338" s="36" t="str">
        <f t="shared" si="13"/>
        <v>GlavenusKO</v>
      </c>
      <c r="F338" s="36" t="str">
        <f>IFERROR(VLOOKUP($E338,'Status Thresholds'!$E:$AS,1,FALSE),"")</f>
        <v>GlavenusKO</v>
      </c>
      <c r="H338" s="55" t="str">
        <f t="shared" si="14"/>
        <v>GlavenusKO</v>
      </c>
      <c r="I338" s="50">
        <f>VLOOKUP($F338,'Status Thresholds'!$E:$AS,2,FALSE)</f>
        <v>233</v>
      </c>
      <c r="J338" s="36">
        <f>VLOOKUP($F338,'Status Thresholds'!$E:$AS,3,FALSE)</f>
        <v>428</v>
      </c>
      <c r="K338" s="36">
        <f>VLOOKUP($F338,'Status Thresholds'!$E:$AS,4,FALSE)</f>
        <v>623</v>
      </c>
      <c r="L338" s="36">
        <f>VLOOKUP($F338,'Status Thresholds'!$E:$AS,5,FALSE)</f>
        <v>818</v>
      </c>
      <c r="M338" s="36">
        <f>VLOOKUP($F338,'Status Thresholds'!$E:$AS,6,FALSE)</f>
        <v>0</v>
      </c>
      <c r="N338" s="50">
        <f>VLOOKUP($F338,'Status Thresholds'!$E:$AS,7,FALSE)</f>
        <v>233</v>
      </c>
      <c r="O338" s="36">
        <f>VLOOKUP($F338,'Status Thresholds'!$E:$AS,8,FALSE)</f>
        <v>428</v>
      </c>
      <c r="P338" s="36">
        <f>VLOOKUP($F338,'Status Thresholds'!$E:$AS,9,FALSE)</f>
        <v>623</v>
      </c>
      <c r="Q338" s="36">
        <f>VLOOKUP($F338,'Status Thresholds'!$E:$AS,10,FALSE)</f>
        <v>818</v>
      </c>
      <c r="R338" s="36">
        <f>VLOOKUP($F338,'Status Thresholds'!$E:$AS,11,FALSE)</f>
        <v>0</v>
      </c>
      <c r="S338" s="50">
        <f>VLOOKUP($F338,'Status Thresholds'!$E:$AS,12,FALSE)</f>
        <v>252</v>
      </c>
      <c r="T338" s="36">
        <f>VLOOKUP($F338,'Status Thresholds'!$E:$AS,13,FALSE)</f>
        <v>462</v>
      </c>
      <c r="U338" s="36">
        <f>VLOOKUP($F338,'Status Thresholds'!$E:$AS,14,FALSE)</f>
        <v>672</v>
      </c>
      <c r="V338" s="36">
        <f>VLOOKUP($F338,'Status Thresholds'!$E:$AS,15,FALSE)</f>
        <v>882</v>
      </c>
      <c r="W338" s="36">
        <f>VLOOKUP($F338,'Status Thresholds'!$E:$AS,16,FALSE)</f>
        <v>0</v>
      </c>
      <c r="X338" s="50">
        <f>VLOOKUP($F338,'Status Thresholds'!$E:$AS,17,FALSE)</f>
        <v>0</v>
      </c>
      <c r="Y338" s="36">
        <f>VLOOKUP($F338,'Status Thresholds'!$E:$AS,18,FALSE)</f>
        <v>0</v>
      </c>
      <c r="Z338" s="36">
        <f>VLOOKUP($F338,'Status Thresholds'!$E:$AS,19,FALSE)</f>
        <v>0</v>
      </c>
      <c r="AA338" s="36">
        <f>VLOOKUP($F338,'Status Thresholds'!$E:$AS,20,FALSE)</f>
        <v>0</v>
      </c>
      <c r="AB338" s="36">
        <f>VLOOKUP($F338,'Status Thresholds'!$E:$AS,21,FALSE)</f>
        <v>0</v>
      </c>
      <c r="AC338" s="50">
        <f>VLOOKUP($F338,'Status Thresholds'!$E:$AS,22,FALSE)</f>
        <v>306</v>
      </c>
      <c r="AD338" s="36">
        <f>VLOOKUP($F338,'Status Thresholds'!$E:$AS,23,FALSE)</f>
        <v>561</v>
      </c>
      <c r="AE338" s="36">
        <f>VLOOKUP($F338,'Status Thresholds'!$E:$AS,24,FALSE)</f>
        <v>816</v>
      </c>
      <c r="AF338" s="36">
        <f>VLOOKUP($F338,'Status Thresholds'!$E:$AS,25,FALSE)</f>
        <v>1071</v>
      </c>
      <c r="AG338" s="36">
        <f>VLOOKUP($F338,'Status Thresholds'!$E:$AS,26,FALSE)</f>
        <v>0</v>
      </c>
      <c r="AH338" s="50">
        <f>VLOOKUP($F338,'Status Thresholds'!$E:$AS,27,FALSE)</f>
        <v>324</v>
      </c>
      <c r="AI338" s="36">
        <f>VLOOKUP($F338,'Status Thresholds'!$E:$AS,28,FALSE)</f>
        <v>594</v>
      </c>
      <c r="AJ338" s="36">
        <f>VLOOKUP($F338,'Status Thresholds'!$E:$AS,29,FALSE)</f>
        <v>864</v>
      </c>
      <c r="AK338" s="36">
        <f>VLOOKUP($F338,'Status Thresholds'!$E:$AS,30,FALSE)</f>
        <v>1134</v>
      </c>
      <c r="AL338" s="36">
        <f>VLOOKUP($F338,'Status Thresholds'!$E:$AS,31,FALSE)</f>
        <v>0</v>
      </c>
      <c r="AM338" s="50">
        <f>VLOOKUP($F338,'Status Thresholds'!$E:$AS,32,FALSE)</f>
        <v>360</v>
      </c>
      <c r="AN338" s="36">
        <f>VLOOKUP($F338,'Status Thresholds'!$E:$AS,33,FALSE)</f>
        <v>660</v>
      </c>
      <c r="AO338" s="36">
        <f>VLOOKUP($F338,'Status Thresholds'!$E:$AS,34,FALSE)</f>
        <v>960</v>
      </c>
      <c r="AP338" s="36">
        <f>VLOOKUP($F338,'Status Thresholds'!$E:$AS,35,FALSE)</f>
        <v>1260</v>
      </c>
      <c r="AQ338" s="36">
        <f>VLOOKUP($F338,'Status Thresholds'!$E:$AS,36,FALSE)</f>
        <v>0</v>
      </c>
      <c r="AR338" s="50">
        <f>VLOOKUP($F338,'Status Thresholds'!$E:$AS,37,FALSE)</f>
        <v>0</v>
      </c>
      <c r="AS338" s="36">
        <f>VLOOKUP($F338,'Status Thresholds'!$E:$AS,38,FALSE)</f>
        <v>0</v>
      </c>
      <c r="AT338" s="36">
        <f>VLOOKUP($F338,'Status Thresholds'!$E:$AS,39,FALSE)</f>
        <v>0</v>
      </c>
      <c r="AU338" s="36">
        <f>VLOOKUP($F338,'Status Thresholds'!$E:$AS,40,FALSE)</f>
        <v>0</v>
      </c>
      <c r="AV338" s="36">
        <f>VLOOKUP($F338,'Status Thresholds'!$E:$AS,41,FALSE)</f>
        <v>10</v>
      </c>
      <c r="AW338">
        <v>0</v>
      </c>
      <c r="AX338">
        <v>0</v>
      </c>
    </row>
    <row r="339" spans="1:50" x14ac:dyDescent="0.25">
      <c r="A339" s="36"/>
      <c r="B339" t="s">
        <v>120</v>
      </c>
      <c r="C339" s="36" t="str">
        <f>'Status Thresholds'!B330</f>
        <v>Glavenus</v>
      </c>
      <c r="E339" s="36" t="str">
        <f t="shared" si="13"/>
        <v>Glavenus</v>
      </c>
      <c r="F339" s="36" t="str">
        <f>IFERROR(VLOOKUP($E339,'Status Thresholds'!$E:$AS,1,FALSE),"")</f>
        <v/>
      </c>
      <c r="G339" t="s">
        <v>21</v>
      </c>
      <c r="H339" s="55" t="str">
        <f t="shared" si="14"/>
        <v>GlavenusTriblast</v>
      </c>
      <c r="I339" s="50">
        <v>0</v>
      </c>
      <c r="J339" s="36">
        <v>1</v>
      </c>
      <c r="K339" s="36">
        <v>2</v>
      </c>
      <c r="L339" s="36">
        <v>2</v>
      </c>
      <c r="M339" s="36">
        <v>0</v>
      </c>
      <c r="N339" s="50">
        <v>0</v>
      </c>
      <c r="O339" s="36">
        <v>1</v>
      </c>
      <c r="P339" s="36">
        <v>2</v>
      </c>
      <c r="Q339" s="36">
        <v>2</v>
      </c>
      <c r="R339" s="36">
        <v>0</v>
      </c>
      <c r="S339" s="50">
        <v>0</v>
      </c>
      <c r="T339" s="36">
        <v>2</v>
      </c>
      <c r="U339" s="36">
        <v>2</v>
      </c>
      <c r="V339" s="36">
        <v>2</v>
      </c>
      <c r="W339" s="36">
        <v>0</v>
      </c>
      <c r="X339" s="50">
        <v>0</v>
      </c>
      <c r="Y339" s="36">
        <v>0</v>
      </c>
      <c r="Z339" s="36">
        <v>0</v>
      </c>
      <c r="AA339" s="36">
        <v>0</v>
      </c>
      <c r="AB339" s="36">
        <v>0</v>
      </c>
      <c r="AC339" s="50">
        <v>0</v>
      </c>
      <c r="AD339" s="36">
        <v>2</v>
      </c>
      <c r="AE339" s="36">
        <v>2</v>
      </c>
      <c r="AF339" s="36">
        <v>2</v>
      </c>
      <c r="AG339" s="36">
        <v>0</v>
      </c>
      <c r="AH339" s="50">
        <v>2</v>
      </c>
      <c r="AI339" s="36">
        <v>2</v>
      </c>
      <c r="AJ339" s="36">
        <v>2</v>
      </c>
      <c r="AK339" s="36">
        <v>2</v>
      </c>
      <c r="AL339" s="36">
        <v>0</v>
      </c>
      <c r="AM339" s="50">
        <v>2</v>
      </c>
      <c r="AN339" s="36">
        <v>2</v>
      </c>
      <c r="AO339" s="36">
        <v>2</v>
      </c>
      <c r="AP339" s="36">
        <v>2</v>
      </c>
      <c r="AQ339" s="36">
        <v>0</v>
      </c>
      <c r="AR339" s="50">
        <v>0</v>
      </c>
      <c r="AS339" s="36">
        <v>0</v>
      </c>
      <c r="AT339" s="36">
        <v>0</v>
      </c>
      <c r="AU339" s="36">
        <v>0</v>
      </c>
      <c r="AV339" s="36">
        <v>0</v>
      </c>
      <c r="AW339">
        <v>0</v>
      </c>
    </row>
    <row r="340" spans="1:50" x14ac:dyDescent="0.25">
      <c r="A340" s="36"/>
      <c r="B340" t="s">
        <v>120</v>
      </c>
      <c r="C340" s="36" t="str">
        <f>'Status Thresholds'!B331</f>
        <v>Glavenus</v>
      </c>
      <c r="E340" s="36" t="str">
        <f t="shared" si="13"/>
        <v>Glavenus</v>
      </c>
      <c r="F340" s="36" t="str">
        <f>IFERROR(VLOOKUP($E340,'Status Thresholds'!$E:$AS,1,FALSE),"")</f>
        <v/>
      </c>
      <c r="G340" t="s">
        <v>13</v>
      </c>
      <c r="H340" s="55" t="str">
        <f t="shared" si="14"/>
        <v>GlavenusCrag 3</v>
      </c>
      <c r="I340" s="50">
        <v>4</v>
      </c>
      <c r="J340" s="36">
        <v>4</v>
      </c>
      <c r="K340" s="36">
        <v>4</v>
      </c>
      <c r="L340" s="36">
        <v>4</v>
      </c>
      <c r="M340" s="36">
        <v>0</v>
      </c>
      <c r="N340" s="50">
        <v>4</v>
      </c>
      <c r="O340" s="36">
        <v>4</v>
      </c>
      <c r="P340" s="36">
        <v>4</v>
      </c>
      <c r="Q340" s="36">
        <v>4</v>
      </c>
      <c r="R340" s="36">
        <v>0</v>
      </c>
      <c r="S340" s="50">
        <v>3</v>
      </c>
      <c r="T340" s="36">
        <v>2</v>
      </c>
      <c r="U340" s="36">
        <v>4</v>
      </c>
      <c r="V340" s="36">
        <v>4</v>
      </c>
      <c r="W340" s="36">
        <v>0</v>
      </c>
      <c r="X340" s="50">
        <v>0</v>
      </c>
      <c r="Y340" s="36">
        <v>0</v>
      </c>
      <c r="Z340" s="36">
        <v>0</v>
      </c>
      <c r="AA340" s="36">
        <v>0</v>
      </c>
      <c r="AB340" s="36">
        <v>0</v>
      </c>
      <c r="AC340" s="50">
        <v>4</v>
      </c>
      <c r="AD340" s="36">
        <v>3</v>
      </c>
      <c r="AE340" s="36">
        <v>4</v>
      </c>
      <c r="AF340" s="36">
        <v>4</v>
      </c>
      <c r="AG340" s="36">
        <v>0</v>
      </c>
      <c r="AH340" s="50">
        <v>1</v>
      </c>
      <c r="AI340" s="36">
        <v>4</v>
      </c>
      <c r="AJ340" s="36">
        <v>4</v>
      </c>
      <c r="AK340" s="36">
        <v>4</v>
      </c>
      <c r="AL340" s="36">
        <v>0</v>
      </c>
      <c r="AM340" s="50">
        <v>4</v>
      </c>
      <c r="AN340" s="36">
        <v>4</v>
      </c>
      <c r="AO340" s="36">
        <v>4</v>
      </c>
      <c r="AP340" s="36">
        <v>4</v>
      </c>
      <c r="AQ340" s="36">
        <v>0</v>
      </c>
      <c r="AR340" s="50">
        <v>0</v>
      </c>
      <c r="AS340" s="36">
        <v>0</v>
      </c>
      <c r="AT340" s="36">
        <v>0</v>
      </c>
      <c r="AU340" s="36">
        <v>0</v>
      </c>
      <c r="AV340" s="36">
        <v>0</v>
      </c>
      <c r="AW340">
        <v>0</v>
      </c>
      <c r="AX340">
        <v>0</v>
      </c>
    </row>
    <row r="341" spans="1:50" x14ac:dyDescent="0.25">
      <c r="A341" s="36"/>
      <c r="B341" t="s">
        <v>120</v>
      </c>
      <c r="C341" s="36" t="str">
        <f>'Status Thresholds'!B332</f>
        <v>Glavenus</v>
      </c>
      <c r="E341" s="36" t="str">
        <f t="shared" si="13"/>
        <v>Glavenus</v>
      </c>
      <c r="F341" s="36" t="str">
        <f>IFERROR(VLOOKUP($E341,'Status Thresholds'!$E:$AS,1,FALSE),"")</f>
        <v/>
      </c>
      <c r="G341" t="s">
        <v>12</v>
      </c>
      <c r="H341" s="55" t="str">
        <f t="shared" si="14"/>
        <v>GlavenusCrag 2</v>
      </c>
      <c r="I341" s="50">
        <v>0</v>
      </c>
      <c r="J341" s="36">
        <v>4</v>
      </c>
      <c r="K341" s="36">
        <v>4</v>
      </c>
      <c r="L341" s="36">
        <v>4</v>
      </c>
      <c r="M341" s="36">
        <v>0</v>
      </c>
      <c r="N341" s="50">
        <v>0</v>
      </c>
      <c r="O341" s="36">
        <v>4</v>
      </c>
      <c r="P341" s="36">
        <v>4</v>
      </c>
      <c r="Q341" s="36">
        <v>4</v>
      </c>
      <c r="R341" s="36">
        <v>0</v>
      </c>
      <c r="S341" s="50">
        <v>2</v>
      </c>
      <c r="T341" s="36">
        <v>2</v>
      </c>
      <c r="U341" s="36">
        <v>4</v>
      </c>
      <c r="V341" s="36">
        <v>4</v>
      </c>
      <c r="W341" s="36">
        <v>0</v>
      </c>
      <c r="X341" s="50">
        <v>0</v>
      </c>
      <c r="Y341" s="36">
        <v>0</v>
      </c>
      <c r="Z341" s="36">
        <v>0</v>
      </c>
      <c r="AA341" s="36">
        <v>0</v>
      </c>
      <c r="AB341" s="36">
        <v>0</v>
      </c>
      <c r="AC341" s="50">
        <v>0</v>
      </c>
      <c r="AD341" s="36">
        <v>4</v>
      </c>
      <c r="AE341" s="36">
        <v>4</v>
      </c>
      <c r="AF341" s="36">
        <v>4</v>
      </c>
      <c r="AG341" s="36">
        <v>0</v>
      </c>
      <c r="AH341" s="50">
        <v>2</v>
      </c>
      <c r="AI341" s="36">
        <v>3</v>
      </c>
      <c r="AJ341" s="36">
        <v>4</v>
      </c>
      <c r="AK341" s="36">
        <v>4</v>
      </c>
      <c r="AL341" s="36">
        <v>0</v>
      </c>
      <c r="AM341" s="50">
        <v>0</v>
      </c>
      <c r="AN341" s="36">
        <v>4</v>
      </c>
      <c r="AO341" s="36">
        <v>4</v>
      </c>
      <c r="AP341" s="36">
        <v>4</v>
      </c>
      <c r="AQ341" s="36">
        <v>0</v>
      </c>
      <c r="AR341" s="50">
        <v>0</v>
      </c>
      <c r="AS341" s="36">
        <v>0</v>
      </c>
      <c r="AT341" s="36">
        <v>0</v>
      </c>
      <c r="AU341" s="36">
        <v>0</v>
      </c>
      <c r="AV341" s="36">
        <v>0</v>
      </c>
      <c r="AW341">
        <v>0</v>
      </c>
      <c r="AX341">
        <v>0</v>
      </c>
    </row>
    <row r="342" spans="1:50" x14ac:dyDescent="0.25">
      <c r="A342" s="36"/>
      <c r="B342" t="s">
        <v>120</v>
      </c>
      <c r="C342" s="36" t="str">
        <f>'Status Thresholds'!B333</f>
        <v>Glavenus</v>
      </c>
      <c r="E342" s="36" t="str">
        <f t="shared" si="13"/>
        <v>Glavenus</v>
      </c>
      <c r="F342" s="36" t="str">
        <f>IFERROR(VLOOKUP($E342,'Status Thresholds'!$E:$AS,1,FALSE),"")</f>
        <v/>
      </c>
      <c r="G342" t="s">
        <v>11</v>
      </c>
      <c r="H342" s="55" t="str">
        <f t="shared" si="14"/>
        <v>GlavenusCrag 1</v>
      </c>
      <c r="I342" s="50">
        <v>3</v>
      </c>
      <c r="J342" s="36">
        <v>3</v>
      </c>
      <c r="K342" s="36">
        <v>8</v>
      </c>
      <c r="L342" s="36">
        <v>8</v>
      </c>
      <c r="M342" s="36">
        <v>0</v>
      </c>
      <c r="N342" s="50">
        <v>3</v>
      </c>
      <c r="O342" s="36">
        <v>3</v>
      </c>
      <c r="P342" s="36">
        <v>8</v>
      </c>
      <c r="Q342" s="36">
        <v>8</v>
      </c>
      <c r="R342" s="36">
        <v>0</v>
      </c>
      <c r="S342" s="50">
        <v>3</v>
      </c>
      <c r="T342" s="36">
        <v>7</v>
      </c>
      <c r="U342" s="36">
        <v>8</v>
      </c>
      <c r="V342" s="36">
        <v>8</v>
      </c>
      <c r="W342" s="36">
        <v>0</v>
      </c>
      <c r="X342" s="50">
        <v>0</v>
      </c>
      <c r="Y342" s="36">
        <v>0</v>
      </c>
      <c r="Z342" s="36">
        <v>0</v>
      </c>
      <c r="AA342" s="36">
        <v>0</v>
      </c>
      <c r="AB342" s="36">
        <v>0</v>
      </c>
      <c r="AC342" s="50">
        <v>6</v>
      </c>
      <c r="AD342" s="36">
        <v>7</v>
      </c>
      <c r="AE342" s="36">
        <v>8</v>
      </c>
      <c r="AF342" s="36">
        <v>8</v>
      </c>
      <c r="AG342" s="36">
        <v>0</v>
      </c>
      <c r="AH342" s="50">
        <v>3</v>
      </c>
      <c r="AI342" s="36">
        <v>8</v>
      </c>
      <c r="AJ342" s="36">
        <v>8</v>
      </c>
      <c r="AK342" s="36">
        <v>8</v>
      </c>
      <c r="AL342" s="36">
        <v>0</v>
      </c>
      <c r="AM342" s="50">
        <v>2</v>
      </c>
      <c r="AN342" s="36">
        <v>8</v>
      </c>
      <c r="AO342" s="36">
        <v>8</v>
      </c>
      <c r="AP342" s="36">
        <v>8</v>
      </c>
      <c r="AQ342" s="36">
        <v>0</v>
      </c>
      <c r="AR342" s="50">
        <v>0</v>
      </c>
      <c r="AS342" s="36">
        <v>0</v>
      </c>
      <c r="AT342" s="36">
        <v>0</v>
      </c>
      <c r="AU342" s="36">
        <v>0</v>
      </c>
      <c r="AV342" s="36">
        <v>1</v>
      </c>
      <c r="AW342">
        <v>0</v>
      </c>
      <c r="AX342">
        <v>0</v>
      </c>
    </row>
    <row r="343" spans="1:50" x14ac:dyDescent="0.25">
      <c r="A343" s="36"/>
      <c r="B343" t="s">
        <v>119</v>
      </c>
      <c r="C343" s="36" t="str">
        <f>'Status Thresholds'!B334</f>
        <v>Glavenus</v>
      </c>
      <c r="E343" s="36" t="str">
        <f t="shared" si="13"/>
        <v>Glavenus</v>
      </c>
      <c r="F343" s="36" t="str">
        <f>IFERROR(VLOOKUP($E343,'Status Thresholds'!$E:$AS,1,FALSE),"")</f>
        <v/>
      </c>
      <c r="G343" t="s">
        <v>21</v>
      </c>
      <c r="H343" s="55" t="str">
        <f t="shared" si="14"/>
        <v>GlavenusTriblast</v>
      </c>
      <c r="I343" s="50">
        <v>2</v>
      </c>
      <c r="J343" s="36">
        <v>2</v>
      </c>
      <c r="K343" s="36">
        <v>2</v>
      </c>
      <c r="L343" s="36">
        <v>2</v>
      </c>
      <c r="M343" s="36">
        <v>0</v>
      </c>
      <c r="N343" s="50">
        <v>2</v>
      </c>
      <c r="O343" s="36">
        <v>2</v>
      </c>
      <c r="P343" s="36">
        <v>2</v>
      </c>
      <c r="Q343" s="36">
        <v>2</v>
      </c>
      <c r="R343" s="36">
        <v>0</v>
      </c>
      <c r="S343" s="50">
        <v>0</v>
      </c>
      <c r="T343" s="36">
        <v>1</v>
      </c>
      <c r="U343" s="36">
        <v>2</v>
      </c>
      <c r="V343" s="36">
        <v>2</v>
      </c>
      <c r="W343" s="36">
        <v>0</v>
      </c>
      <c r="X343" s="50">
        <v>0</v>
      </c>
      <c r="Y343" s="36">
        <v>0</v>
      </c>
      <c r="Z343" s="36">
        <v>0</v>
      </c>
      <c r="AA343" s="36">
        <v>0</v>
      </c>
      <c r="AB343" s="36">
        <v>0</v>
      </c>
      <c r="AC343" s="50">
        <v>1</v>
      </c>
      <c r="AD343" s="36">
        <v>1</v>
      </c>
      <c r="AE343" s="36">
        <v>2</v>
      </c>
      <c r="AF343" s="36">
        <v>2</v>
      </c>
      <c r="AG343" s="36">
        <v>0</v>
      </c>
      <c r="AH343" s="50">
        <v>2</v>
      </c>
      <c r="AI343" s="36">
        <v>2</v>
      </c>
      <c r="AJ343" s="36">
        <v>2</v>
      </c>
      <c r="AK343" s="36">
        <v>2</v>
      </c>
      <c r="AL343" s="36">
        <v>0</v>
      </c>
      <c r="AM343" s="50">
        <v>0</v>
      </c>
      <c r="AN343" s="36">
        <v>2</v>
      </c>
      <c r="AO343" s="36">
        <v>2</v>
      </c>
      <c r="AP343" s="36">
        <v>2</v>
      </c>
      <c r="AQ343" s="36">
        <v>0</v>
      </c>
      <c r="AR343" s="50">
        <v>0</v>
      </c>
      <c r="AS343" s="36">
        <v>0</v>
      </c>
      <c r="AT343" s="36">
        <v>0</v>
      </c>
      <c r="AU343" s="36">
        <v>0</v>
      </c>
      <c r="AV343" s="36">
        <v>0</v>
      </c>
      <c r="AW343">
        <v>0</v>
      </c>
      <c r="AX343">
        <v>0</v>
      </c>
    </row>
    <row r="344" spans="1:50" x14ac:dyDescent="0.25">
      <c r="A344" s="36"/>
      <c r="B344" t="s">
        <v>119</v>
      </c>
      <c r="C344" s="36" t="str">
        <f>'Status Thresholds'!B335</f>
        <v>Glavenus</v>
      </c>
      <c r="E344" s="36" t="str">
        <f t="shared" si="13"/>
        <v>Glavenus</v>
      </c>
      <c r="F344" s="36" t="str">
        <f>IFERROR(VLOOKUP($E344,'Status Thresholds'!$E:$AS,1,FALSE),"")</f>
        <v/>
      </c>
      <c r="G344" t="s">
        <v>13</v>
      </c>
      <c r="H344" s="55" t="str">
        <f t="shared" si="14"/>
        <v>GlavenusCrag 3</v>
      </c>
      <c r="I344" s="50">
        <v>1</v>
      </c>
      <c r="J344" s="36">
        <v>1</v>
      </c>
      <c r="K344" s="36">
        <v>4</v>
      </c>
      <c r="L344" s="36">
        <v>4</v>
      </c>
      <c r="M344" s="36">
        <v>0</v>
      </c>
      <c r="N344" s="50">
        <v>1</v>
      </c>
      <c r="O344" s="36">
        <v>1</v>
      </c>
      <c r="P344" s="36">
        <v>4</v>
      </c>
      <c r="Q344" s="36">
        <v>4</v>
      </c>
      <c r="R344" s="36">
        <v>0</v>
      </c>
      <c r="S344" s="50">
        <v>3</v>
      </c>
      <c r="T344" s="36">
        <v>3</v>
      </c>
      <c r="U344" s="36">
        <v>4</v>
      </c>
      <c r="V344" s="36">
        <v>4</v>
      </c>
      <c r="W344" s="36">
        <v>0</v>
      </c>
      <c r="X344" s="50">
        <v>0</v>
      </c>
      <c r="Y344" s="36">
        <v>0</v>
      </c>
      <c r="Z344" s="36">
        <v>0</v>
      </c>
      <c r="AA344" s="36">
        <v>0</v>
      </c>
      <c r="AB344" s="36">
        <v>0</v>
      </c>
      <c r="AC344" s="50">
        <v>3</v>
      </c>
      <c r="AD344" s="36">
        <v>3</v>
      </c>
      <c r="AE344" s="36">
        <v>4</v>
      </c>
      <c r="AF344" s="36">
        <v>4</v>
      </c>
      <c r="AG344" s="36">
        <v>0</v>
      </c>
      <c r="AH344" s="50">
        <v>0</v>
      </c>
      <c r="AI344" s="36">
        <v>2</v>
      </c>
      <c r="AJ344" s="36">
        <v>4</v>
      </c>
      <c r="AK344" s="36">
        <v>4</v>
      </c>
      <c r="AL344" s="36">
        <v>0</v>
      </c>
      <c r="AM344" s="50">
        <v>3</v>
      </c>
      <c r="AN344" s="36">
        <v>4</v>
      </c>
      <c r="AO344" s="36">
        <v>4</v>
      </c>
      <c r="AP344" s="36">
        <v>4</v>
      </c>
      <c r="AQ344" s="36">
        <v>0</v>
      </c>
      <c r="AR344" s="50">
        <v>0</v>
      </c>
      <c r="AS344" s="36">
        <v>0</v>
      </c>
      <c r="AT344" s="36">
        <v>0</v>
      </c>
      <c r="AU344" s="36">
        <v>0</v>
      </c>
      <c r="AV344" s="36">
        <v>0</v>
      </c>
      <c r="AW344">
        <v>0</v>
      </c>
      <c r="AX344">
        <v>0</v>
      </c>
    </row>
    <row r="345" spans="1:50" x14ac:dyDescent="0.25">
      <c r="A345" s="36"/>
      <c r="B345" t="s">
        <v>119</v>
      </c>
      <c r="C345" s="36" t="str">
        <f>'Status Thresholds'!B336</f>
        <v>Glavenus</v>
      </c>
      <c r="E345" s="36" t="str">
        <f t="shared" si="13"/>
        <v>Glavenus</v>
      </c>
      <c r="F345" s="36" t="str">
        <f>IFERROR(VLOOKUP($E345,'Status Thresholds'!$E:$AS,1,FALSE),"")</f>
        <v/>
      </c>
      <c r="G345" t="s">
        <v>12</v>
      </c>
      <c r="H345" s="55" t="str">
        <f t="shared" si="14"/>
        <v>GlavenusCrag 2</v>
      </c>
      <c r="I345" s="50">
        <v>0</v>
      </c>
      <c r="J345" s="36">
        <v>1</v>
      </c>
      <c r="K345" s="36">
        <v>3</v>
      </c>
      <c r="L345" s="36">
        <v>4</v>
      </c>
      <c r="M345" s="36">
        <v>0</v>
      </c>
      <c r="N345" s="50">
        <v>0</v>
      </c>
      <c r="O345" s="36">
        <v>1</v>
      </c>
      <c r="P345" s="36">
        <v>3</v>
      </c>
      <c r="Q345" s="36">
        <v>4</v>
      </c>
      <c r="R345" s="36">
        <v>0</v>
      </c>
      <c r="S345" s="50">
        <v>2</v>
      </c>
      <c r="T345" s="36">
        <v>1</v>
      </c>
      <c r="U345" s="36">
        <v>4</v>
      </c>
      <c r="V345" s="36">
        <v>4</v>
      </c>
      <c r="W345" s="36">
        <v>0</v>
      </c>
      <c r="X345" s="50">
        <v>0</v>
      </c>
      <c r="Y345" s="36">
        <v>0</v>
      </c>
      <c r="Z345" s="36">
        <v>0</v>
      </c>
      <c r="AA345" s="36">
        <v>0</v>
      </c>
      <c r="AB345" s="36">
        <v>0</v>
      </c>
      <c r="AC345" s="50">
        <v>2</v>
      </c>
      <c r="AD345" s="36">
        <v>4</v>
      </c>
      <c r="AE345" s="36">
        <v>4</v>
      </c>
      <c r="AF345" s="36">
        <v>4</v>
      </c>
      <c r="AG345" s="36">
        <v>0</v>
      </c>
      <c r="AH345" s="50">
        <v>0</v>
      </c>
      <c r="AI345" s="36">
        <v>4</v>
      </c>
      <c r="AJ345" s="36">
        <v>4</v>
      </c>
      <c r="AK345" s="36">
        <v>4</v>
      </c>
      <c r="AL345" s="36">
        <v>0</v>
      </c>
      <c r="AM345" s="50">
        <v>2</v>
      </c>
      <c r="AN345" s="36">
        <v>4</v>
      </c>
      <c r="AO345" s="36">
        <v>4</v>
      </c>
      <c r="AP345" s="36">
        <v>4</v>
      </c>
      <c r="AQ345" s="36">
        <v>0</v>
      </c>
      <c r="AR345" s="50">
        <v>0</v>
      </c>
      <c r="AS345" s="36">
        <v>0</v>
      </c>
      <c r="AT345" s="36">
        <v>0</v>
      </c>
      <c r="AU345" s="36">
        <v>0</v>
      </c>
      <c r="AV345" s="36">
        <v>0</v>
      </c>
      <c r="AW345">
        <v>0</v>
      </c>
      <c r="AX345">
        <v>0</v>
      </c>
    </row>
    <row r="346" spans="1:50" x14ac:dyDescent="0.25">
      <c r="A346" s="36"/>
      <c r="B346" t="s">
        <v>119</v>
      </c>
      <c r="C346" s="36" t="str">
        <f>'Status Thresholds'!B337</f>
        <v>Glavenus</v>
      </c>
      <c r="E346" s="36" t="str">
        <f t="shared" si="13"/>
        <v>Glavenus</v>
      </c>
      <c r="F346" s="36" t="str">
        <f>IFERROR(VLOOKUP($E346,'Status Thresholds'!$E:$AS,1,FALSE),"")</f>
        <v/>
      </c>
      <c r="G346" t="s">
        <v>11</v>
      </c>
      <c r="H346" s="55" t="str">
        <f t="shared" si="14"/>
        <v>GlavenusCrag 1</v>
      </c>
      <c r="I346" s="50">
        <v>1</v>
      </c>
      <c r="J346" s="36">
        <v>7</v>
      </c>
      <c r="K346" s="36">
        <v>7</v>
      </c>
      <c r="L346" s="36">
        <v>8</v>
      </c>
      <c r="M346" s="36">
        <v>0</v>
      </c>
      <c r="N346" s="50">
        <v>1</v>
      </c>
      <c r="O346" s="36">
        <v>7</v>
      </c>
      <c r="P346" s="36">
        <v>7</v>
      </c>
      <c r="Q346" s="36">
        <v>8</v>
      </c>
      <c r="R346" s="36">
        <v>0</v>
      </c>
      <c r="S346" s="50">
        <v>2</v>
      </c>
      <c r="T346" s="36">
        <v>8</v>
      </c>
      <c r="U346" s="36">
        <v>8</v>
      </c>
      <c r="V346" s="36">
        <v>8</v>
      </c>
      <c r="W346" s="36">
        <v>0</v>
      </c>
      <c r="X346" s="50">
        <v>0</v>
      </c>
      <c r="Y346" s="36">
        <v>0</v>
      </c>
      <c r="Z346" s="36">
        <v>0</v>
      </c>
      <c r="AA346" s="36">
        <v>0</v>
      </c>
      <c r="AB346" s="36">
        <v>0</v>
      </c>
      <c r="AC346" s="50">
        <v>1</v>
      </c>
      <c r="AD346" s="36">
        <v>8</v>
      </c>
      <c r="AE346" s="36">
        <v>8</v>
      </c>
      <c r="AF346" s="36">
        <v>8</v>
      </c>
      <c r="AG346" s="36">
        <v>0</v>
      </c>
      <c r="AH346" s="50">
        <v>6</v>
      </c>
      <c r="AI346" s="36">
        <v>8</v>
      </c>
      <c r="AJ346" s="36">
        <v>8</v>
      </c>
      <c r="AK346" s="36">
        <v>8</v>
      </c>
      <c r="AL346" s="36">
        <v>0</v>
      </c>
      <c r="AM346" s="50">
        <v>6</v>
      </c>
      <c r="AN346" s="36">
        <v>8</v>
      </c>
      <c r="AO346" s="36">
        <v>8</v>
      </c>
      <c r="AP346" s="36">
        <v>8</v>
      </c>
      <c r="AQ346" s="36">
        <v>0</v>
      </c>
      <c r="AR346" s="50">
        <v>0</v>
      </c>
      <c r="AS346" s="36">
        <v>0</v>
      </c>
      <c r="AT346" s="36">
        <v>0</v>
      </c>
      <c r="AU346" s="36">
        <v>0</v>
      </c>
      <c r="AV346" s="36">
        <v>1</v>
      </c>
      <c r="AW346">
        <v>0</v>
      </c>
      <c r="AX346">
        <v>0</v>
      </c>
    </row>
    <row r="347" spans="1:50" x14ac:dyDescent="0.25">
      <c r="A347" s="36"/>
      <c r="B347" t="s">
        <v>121</v>
      </c>
      <c r="C347" s="36" t="str">
        <f>'Status Thresholds'!B338</f>
        <v>Gore Magala</v>
      </c>
      <c r="D347" t="s">
        <v>14</v>
      </c>
      <c r="E347" s="36" t="str">
        <f t="shared" si="13"/>
        <v>Gore MagalaKO</v>
      </c>
      <c r="F347" s="36" t="str">
        <f>IFERROR(VLOOKUP($E347,'Status Thresholds'!$E:$AS,1,FALSE),"")</f>
        <v>Gore MagalaKO</v>
      </c>
      <c r="H347" s="55" t="str">
        <f t="shared" si="14"/>
        <v>Gore MagalaKO</v>
      </c>
      <c r="I347" s="50">
        <f>VLOOKUP($F347,'Status Thresholds'!$E:$AS,2,FALSE)</f>
        <v>260</v>
      </c>
      <c r="J347" s="36">
        <f>VLOOKUP($F347,'Status Thresholds'!$E:$AS,3,FALSE)</f>
        <v>454</v>
      </c>
      <c r="K347" s="36">
        <f>VLOOKUP($F347,'Status Thresholds'!$E:$AS,4,FALSE)</f>
        <v>650</v>
      </c>
      <c r="L347" s="36">
        <f>VLOOKUP($F347,'Status Thresholds'!$E:$AS,5,FALSE)</f>
        <v>844</v>
      </c>
      <c r="M347" s="36">
        <f>VLOOKUP($F347,'Status Thresholds'!$E:$AS,6,FALSE)</f>
        <v>0</v>
      </c>
      <c r="N347" s="50">
        <f>VLOOKUP($F347,'Status Thresholds'!$E:$AS,7,FALSE)</f>
        <v>0</v>
      </c>
      <c r="O347" s="36">
        <f>VLOOKUP($F347,'Status Thresholds'!$E:$AS,8,FALSE)</f>
        <v>0</v>
      </c>
      <c r="P347" s="36">
        <f>VLOOKUP($F347,'Status Thresholds'!$E:$AS,9,FALSE)</f>
        <v>0</v>
      </c>
      <c r="Q347" s="36">
        <f>VLOOKUP($F347,'Status Thresholds'!$E:$AS,10,FALSE)</f>
        <v>0</v>
      </c>
      <c r="R347" s="36">
        <f>VLOOKUP($F347,'Status Thresholds'!$E:$AS,11,FALSE)</f>
        <v>0</v>
      </c>
      <c r="S347" s="50">
        <f>VLOOKUP($F347,'Status Thresholds'!$E:$AS,12,FALSE)</f>
        <v>260</v>
      </c>
      <c r="T347" s="36">
        <f>VLOOKUP($F347,'Status Thresholds'!$E:$AS,13,FALSE)</f>
        <v>454</v>
      </c>
      <c r="U347" s="36">
        <f>VLOOKUP($F347,'Status Thresholds'!$E:$AS,14,FALSE)</f>
        <v>648</v>
      </c>
      <c r="V347" s="36">
        <f>VLOOKUP($F347,'Status Thresholds'!$E:$AS,15,FALSE)</f>
        <v>842</v>
      </c>
      <c r="W347" s="36">
        <f>VLOOKUP($F347,'Status Thresholds'!$E:$AS,16,FALSE)</f>
        <v>0</v>
      </c>
      <c r="X347" s="50">
        <f>VLOOKUP($F347,'Status Thresholds'!$E:$AS,17,FALSE)</f>
        <v>0</v>
      </c>
      <c r="Y347" s="36">
        <f>VLOOKUP($F347,'Status Thresholds'!$E:$AS,18,FALSE)</f>
        <v>0</v>
      </c>
      <c r="Z347" s="36">
        <f>VLOOKUP($F347,'Status Thresholds'!$E:$AS,19,FALSE)</f>
        <v>0</v>
      </c>
      <c r="AA347" s="36">
        <f>VLOOKUP($F347,'Status Thresholds'!$E:$AS,20,FALSE)</f>
        <v>0</v>
      </c>
      <c r="AB347" s="36">
        <f>VLOOKUP($F347,'Status Thresholds'!$E:$AS,21,FALSE)</f>
        <v>0</v>
      </c>
      <c r="AC347" s="50">
        <f>VLOOKUP($F347,'Status Thresholds'!$E:$AS,22,FALSE)</f>
        <v>300</v>
      </c>
      <c r="AD347" s="36">
        <f>VLOOKUP($F347,'Status Thresholds'!$E:$AS,23,FALSE)</f>
        <v>525</v>
      </c>
      <c r="AE347" s="36">
        <f>VLOOKUP($F347,'Status Thresholds'!$E:$AS,24,FALSE)</f>
        <v>750</v>
      </c>
      <c r="AF347" s="36">
        <f>VLOOKUP($F347,'Status Thresholds'!$E:$AS,25,FALSE)</f>
        <v>975</v>
      </c>
      <c r="AG347" s="36">
        <f>VLOOKUP($F347,'Status Thresholds'!$E:$AS,26,FALSE)</f>
        <v>0</v>
      </c>
      <c r="AH347" s="50">
        <f>VLOOKUP($F347,'Status Thresholds'!$E:$AS,27,FALSE)</f>
        <v>0</v>
      </c>
      <c r="AI347" s="36">
        <f>VLOOKUP($F347,'Status Thresholds'!$E:$AS,28,FALSE)</f>
        <v>0</v>
      </c>
      <c r="AJ347" s="36">
        <f>VLOOKUP($F347,'Status Thresholds'!$E:$AS,29,FALSE)</f>
        <v>0</v>
      </c>
      <c r="AK347" s="36">
        <f>VLOOKUP($F347,'Status Thresholds'!$E:$AS,30,FALSE)</f>
        <v>0</v>
      </c>
      <c r="AL347" s="36">
        <f>VLOOKUP($F347,'Status Thresholds'!$E:$AS,31,FALSE)</f>
        <v>0</v>
      </c>
      <c r="AM347" s="50">
        <f>VLOOKUP($F347,'Status Thresholds'!$E:$AS,32,FALSE)</f>
        <v>400</v>
      </c>
      <c r="AN347" s="36">
        <f>VLOOKUP($F347,'Status Thresholds'!$E:$AS,33,FALSE)</f>
        <v>700</v>
      </c>
      <c r="AO347" s="36">
        <f>VLOOKUP($F347,'Status Thresholds'!$E:$AS,34,FALSE)</f>
        <v>1000</v>
      </c>
      <c r="AP347" s="36">
        <f>VLOOKUP($F347,'Status Thresholds'!$E:$AS,35,FALSE)</f>
        <v>1300</v>
      </c>
      <c r="AQ347" s="36">
        <f>VLOOKUP($F347,'Status Thresholds'!$E:$AS,36,FALSE)</f>
        <v>0</v>
      </c>
      <c r="AR347" s="50">
        <f>VLOOKUP($F347,'Status Thresholds'!$E:$AS,37,FALSE)</f>
        <v>0</v>
      </c>
      <c r="AS347" s="36">
        <f>VLOOKUP($F347,'Status Thresholds'!$E:$AS,38,FALSE)</f>
        <v>0</v>
      </c>
      <c r="AT347" s="36">
        <f>VLOOKUP($F347,'Status Thresholds'!$E:$AS,39,FALSE)</f>
        <v>0</v>
      </c>
      <c r="AU347" s="36">
        <f>VLOOKUP($F347,'Status Thresholds'!$E:$AS,40,FALSE)</f>
        <v>0</v>
      </c>
      <c r="AV347" s="36">
        <f>VLOOKUP($F347,'Status Thresholds'!$E:$AS,41,FALSE)</f>
        <v>10</v>
      </c>
      <c r="AW347">
        <v>0</v>
      </c>
      <c r="AX347">
        <v>0</v>
      </c>
    </row>
    <row r="348" spans="1:50" x14ac:dyDescent="0.25">
      <c r="A348" s="36"/>
      <c r="B348" t="s">
        <v>120</v>
      </c>
      <c r="C348" s="36" t="str">
        <f>'Status Thresholds'!B339</f>
        <v>Gore Magala</v>
      </c>
      <c r="E348" s="36" t="str">
        <f t="shared" si="13"/>
        <v>Gore Magala</v>
      </c>
      <c r="F348" s="36" t="str">
        <f>IFERROR(VLOOKUP($E348,'Status Thresholds'!$E:$AS,1,FALSE),"")</f>
        <v/>
      </c>
      <c r="G348" t="s">
        <v>21</v>
      </c>
      <c r="H348" s="55" t="str">
        <f t="shared" si="14"/>
        <v>Gore MagalaTriblast</v>
      </c>
      <c r="I348" s="50">
        <v>2</v>
      </c>
      <c r="J348" s="36">
        <v>2</v>
      </c>
      <c r="K348" s="36">
        <v>2</v>
      </c>
      <c r="L348" s="36">
        <v>2</v>
      </c>
      <c r="M348" s="36">
        <v>0</v>
      </c>
      <c r="N348" s="50">
        <v>0</v>
      </c>
      <c r="O348" s="36">
        <v>0</v>
      </c>
      <c r="P348" s="36">
        <v>0</v>
      </c>
      <c r="Q348" s="36">
        <v>0</v>
      </c>
      <c r="R348" s="36">
        <v>0</v>
      </c>
      <c r="S348" s="50">
        <v>2</v>
      </c>
      <c r="T348" s="36">
        <v>2</v>
      </c>
      <c r="U348" s="36">
        <v>2</v>
      </c>
      <c r="V348" s="36">
        <v>2</v>
      </c>
      <c r="W348" s="36">
        <v>0</v>
      </c>
      <c r="X348" s="50">
        <v>0</v>
      </c>
      <c r="Y348" s="36">
        <v>0</v>
      </c>
      <c r="Z348" s="36">
        <v>0</v>
      </c>
      <c r="AA348" s="36">
        <v>0</v>
      </c>
      <c r="AB348" s="36">
        <v>0</v>
      </c>
      <c r="AC348" s="50">
        <v>2</v>
      </c>
      <c r="AD348" s="36">
        <v>1</v>
      </c>
      <c r="AE348" s="36">
        <v>2</v>
      </c>
      <c r="AF348" s="36">
        <v>2</v>
      </c>
      <c r="AG348" s="36">
        <v>0</v>
      </c>
      <c r="AH348" s="50">
        <v>0</v>
      </c>
      <c r="AI348" s="36">
        <v>0</v>
      </c>
      <c r="AJ348" s="36">
        <v>0</v>
      </c>
      <c r="AK348" s="36">
        <v>0</v>
      </c>
      <c r="AL348" s="36">
        <v>0</v>
      </c>
      <c r="AM348" s="50">
        <v>2</v>
      </c>
      <c r="AN348" s="36">
        <v>2</v>
      </c>
      <c r="AO348" s="36">
        <v>2</v>
      </c>
      <c r="AP348" s="36">
        <v>2</v>
      </c>
      <c r="AQ348" s="36">
        <v>0</v>
      </c>
      <c r="AR348" s="50">
        <v>0</v>
      </c>
      <c r="AS348" s="36">
        <v>0</v>
      </c>
      <c r="AT348" s="36">
        <v>0</v>
      </c>
      <c r="AU348" s="36">
        <v>0</v>
      </c>
      <c r="AV348" s="36">
        <v>0</v>
      </c>
      <c r="AW348">
        <v>0</v>
      </c>
    </row>
    <row r="349" spans="1:50" x14ac:dyDescent="0.25">
      <c r="A349" s="36"/>
      <c r="B349" t="s">
        <v>120</v>
      </c>
      <c r="C349" s="36" t="str">
        <f>'Status Thresholds'!B340</f>
        <v>Gore Magala</v>
      </c>
      <c r="E349" s="36" t="str">
        <f t="shared" si="13"/>
        <v>Gore Magala</v>
      </c>
      <c r="F349" s="36" t="str">
        <f>IFERROR(VLOOKUP($E349,'Status Thresholds'!$E:$AS,1,FALSE),"")</f>
        <v/>
      </c>
      <c r="G349" t="s">
        <v>13</v>
      </c>
      <c r="H349" s="55" t="str">
        <f t="shared" si="14"/>
        <v>Gore MagalaCrag 3</v>
      </c>
      <c r="I349" s="50">
        <v>2</v>
      </c>
      <c r="J349" s="36">
        <v>1</v>
      </c>
      <c r="K349" s="36">
        <v>4</v>
      </c>
      <c r="L349" s="36">
        <v>4</v>
      </c>
      <c r="M349" s="36">
        <v>0</v>
      </c>
      <c r="N349" s="50">
        <v>0</v>
      </c>
      <c r="O349" s="36">
        <v>0</v>
      </c>
      <c r="P349" s="36">
        <v>0</v>
      </c>
      <c r="Q349" s="36">
        <v>0</v>
      </c>
      <c r="R349" s="36">
        <v>0</v>
      </c>
      <c r="S349" s="50">
        <v>2</v>
      </c>
      <c r="T349" s="36">
        <v>1</v>
      </c>
      <c r="U349" s="36">
        <v>4</v>
      </c>
      <c r="V349" s="36">
        <v>4</v>
      </c>
      <c r="W349" s="36">
        <v>0</v>
      </c>
      <c r="X349" s="50">
        <v>0</v>
      </c>
      <c r="Y349" s="36">
        <v>0</v>
      </c>
      <c r="Z349" s="36">
        <v>0</v>
      </c>
      <c r="AA349" s="36">
        <v>0</v>
      </c>
      <c r="AB349" s="36">
        <v>0</v>
      </c>
      <c r="AC349" s="50">
        <v>3</v>
      </c>
      <c r="AD349" s="36">
        <v>4</v>
      </c>
      <c r="AE349" s="36">
        <v>4</v>
      </c>
      <c r="AF349" s="36">
        <v>4</v>
      </c>
      <c r="AG349" s="36">
        <v>0</v>
      </c>
      <c r="AH349" s="50">
        <v>0</v>
      </c>
      <c r="AI349" s="36">
        <v>0</v>
      </c>
      <c r="AJ349" s="36">
        <v>0</v>
      </c>
      <c r="AK349" s="36">
        <v>0</v>
      </c>
      <c r="AL349" s="36">
        <v>0</v>
      </c>
      <c r="AM349" s="50">
        <v>4</v>
      </c>
      <c r="AN349" s="36">
        <v>4</v>
      </c>
      <c r="AO349" s="36">
        <v>4</v>
      </c>
      <c r="AP349" s="36">
        <v>4</v>
      </c>
      <c r="AQ349" s="36">
        <v>0</v>
      </c>
      <c r="AR349" s="50">
        <v>0</v>
      </c>
      <c r="AS349" s="36">
        <v>0</v>
      </c>
      <c r="AT349" s="36">
        <v>0</v>
      </c>
      <c r="AU349" s="36">
        <v>0</v>
      </c>
      <c r="AV349" s="36">
        <v>0</v>
      </c>
      <c r="AW349">
        <v>0</v>
      </c>
      <c r="AX349">
        <v>0</v>
      </c>
    </row>
    <row r="350" spans="1:50" x14ac:dyDescent="0.25">
      <c r="A350" s="36"/>
      <c r="B350" t="s">
        <v>120</v>
      </c>
      <c r="C350" s="36" t="str">
        <f>'Status Thresholds'!B341</f>
        <v>Gore Magala</v>
      </c>
      <c r="E350" s="36" t="str">
        <f t="shared" si="13"/>
        <v>Gore Magala</v>
      </c>
      <c r="F350" s="36" t="str">
        <f>IFERROR(VLOOKUP($E350,'Status Thresholds'!$E:$AS,1,FALSE),"")</f>
        <v/>
      </c>
      <c r="G350" t="s">
        <v>12</v>
      </c>
      <c r="H350" s="55" t="str">
        <f t="shared" si="14"/>
        <v>Gore MagalaCrag 2</v>
      </c>
      <c r="I350" s="50">
        <v>1</v>
      </c>
      <c r="J350" s="36">
        <v>3</v>
      </c>
      <c r="K350" s="36">
        <v>4</v>
      </c>
      <c r="L350" s="36">
        <v>4</v>
      </c>
      <c r="M350" s="36">
        <v>0</v>
      </c>
      <c r="N350" s="50">
        <v>0</v>
      </c>
      <c r="O350" s="36">
        <v>0</v>
      </c>
      <c r="P350" s="36">
        <v>0</v>
      </c>
      <c r="Q350" s="36">
        <v>0</v>
      </c>
      <c r="R350" s="36">
        <v>0</v>
      </c>
      <c r="S350" s="50">
        <v>1</v>
      </c>
      <c r="T350" s="36">
        <v>3</v>
      </c>
      <c r="U350" s="36">
        <v>4</v>
      </c>
      <c r="V350" s="36">
        <v>4</v>
      </c>
      <c r="W350" s="36">
        <v>0</v>
      </c>
      <c r="X350" s="50">
        <v>0</v>
      </c>
      <c r="Y350" s="36">
        <v>0</v>
      </c>
      <c r="Z350" s="36">
        <v>0</v>
      </c>
      <c r="AA350" s="36">
        <v>0</v>
      </c>
      <c r="AB350" s="36">
        <v>0</v>
      </c>
      <c r="AC350" s="50">
        <v>1</v>
      </c>
      <c r="AD350" s="36">
        <v>3</v>
      </c>
      <c r="AE350" s="36">
        <v>4</v>
      </c>
      <c r="AF350" s="36">
        <v>4</v>
      </c>
      <c r="AG350" s="36">
        <v>0</v>
      </c>
      <c r="AH350" s="50">
        <v>0</v>
      </c>
      <c r="AI350" s="36">
        <v>0</v>
      </c>
      <c r="AJ350" s="36">
        <v>0</v>
      </c>
      <c r="AK350" s="36">
        <v>0</v>
      </c>
      <c r="AL350" s="36">
        <v>0</v>
      </c>
      <c r="AM350" s="50">
        <v>3</v>
      </c>
      <c r="AN350" s="36">
        <v>4</v>
      </c>
      <c r="AO350" s="36">
        <v>4</v>
      </c>
      <c r="AP350" s="36">
        <v>4</v>
      </c>
      <c r="AQ350" s="36">
        <v>0</v>
      </c>
      <c r="AR350" s="50">
        <v>0</v>
      </c>
      <c r="AS350" s="36">
        <v>0</v>
      </c>
      <c r="AT350" s="36">
        <v>0</v>
      </c>
      <c r="AU350" s="36">
        <v>0</v>
      </c>
      <c r="AV350" s="36">
        <v>0</v>
      </c>
      <c r="AW350">
        <v>0</v>
      </c>
      <c r="AX350">
        <v>0</v>
      </c>
    </row>
    <row r="351" spans="1:50" x14ac:dyDescent="0.25">
      <c r="A351" s="36"/>
      <c r="B351" t="s">
        <v>120</v>
      </c>
      <c r="C351" s="36" t="str">
        <f>'Status Thresholds'!B342</f>
        <v>Gore Magala</v>
      </c>
      <c r="E351" s="36" t="str">
        <f t="shared" si="13"/>
        <v>Gore Magala</v>
      </c>
      <c r="F351" s="36" t="str">
        <f>IFERROR(VLOOKUP($E351,'Status Thresholds'!$E:$AS,1,FALSE),"")</f>
        <v/>
      </c>
      <c r="G351" t="s">
        <v>11</v>
      </c>
      <c r="H351" s="55" t="str">
        <f t="shared" si="14"/>
        <v>Gore MagalaCrag 1</v>
      </c>
      <c r="I351" s="50">
        <v>0</v>
      </c>
      <c r="J351" s="36">
        <v>7</v>
      </c>
      <c r="K351" s="36">
        <v>8</v>
      </c>
      <c r="L351" s="36">
        <v>8</v>
      </c>
      <c r="M351" s="36">
        <v>0</v>
      </c>
      <c r="N351" s="50">
        <v>0</v>
      </c>
      <c r="O351" s="36">
        <v>0</v>
      </c>
      <c r="P351" s="36">
        <v>0</v>
      </c>
      <c r="Q351" s="36">
        <v>0</v>
      </c>
      <c r="R351" s="36">
        <v>0</v>
      </c>
      <c r="S351" s="50">
        <v>0</v>
      </c>
      <c r="T351" s="36">
        <v>7</v>
      </c>
      <c r="U351" s="36">
        <v>8</v>
      </c>
      <c r="V351" s="36">
        <v>8</v>
      </c>
      <c r="W351" s="36">
        <v>0</v>
      </c>
      <c r="X351" s="50">
        <v>0</v>
      </c>
      <c r="Y351" s="36">
        <v>0</v>
      </c>
      <c r="Z351" s="36">
        <v>0</v>
      </c>
      <c r="AA351" s="36">
        <v>0</v>
      </c>
      <c r="AB351" s="36">
        <v>0</v>
      </c>
      <c r="AC351" s="50">
        <v>0</v>
      </c>
      <c r="AD351" s="36">
        <v>8</v>
      </c>
      <c r="AE351" s="36">
        <v>8</v>
      </c>
      <c r="AF351" s="36">
        <v>8</v>
      </c>
      <c r="AG351" s="36">
        <v>0</v>
      </c>
      <c r="AH351" s="50">
        <v>0</v>
      </c>
      <c r="AI351" s="36">
        <v>0</v>
      </c>
      <c r="AJ351" s="36">
        <v>0</v>
      </c>
      <c r="AK351" s="36">
        <v>0</v>
      </c>
      <c r="AL351" s="36">
        <v>0</v>
      </c>
      <c r="AM351" s="50">
        <v>0</v>
      </c>
      <c r="AN351" s="36">
        <v>8</v>
      </c>
      <c r="AO351" s="36">
        <v>8</v>
      </c>
      <c r="AP351" s="36">
        <v>8</v>
      </c>
      <c r="AQ351" s="36">
        <v>0</v>
      </c>
      <c r="AR351" s="50">
        <v>0</v>
      </c>
      <c r="AS351" s="36">
        <v>0</v>
      </c>
      <c r="AT351" s="36">
        <v>0</v>
      </c>
      <c r="AU351" s="36">
        <v>0</v>
      </c>
      <c r="AV351" s="36">
        <v>1</v>
      </c>
      <c r="AW351">
        <v>0</v>
      </c>
      <c r="AX351">
        <v>0</v>
      </c>
    </row>
    <row r="352" spans="1:50" x14ac:dyDescent="0.25">
      <c r="A352" s="36"/>
      <c r="B352" t="s">
        <v>119</v>
      </c>
      <c r="C352" s="36" t="str">
        <f>'Status Thresholds'!B343</f>
        <v>Gore Magala</v>
      </c>
      <c r="E352" s="36" t="str">
        <f t="shared" si="13"/>
        <v>Gore Magala</v>
      </c>
      <c r="F352" s="36" t="str">
        <f>IFERROR(VLOOKUP($E352,'Status Thresholds'!$E:$AS,1,FALSE),"")</f>
        <v/>
      </c>
      <c r="G352" t="s">
        <v>21</v>
      </c>
      <c r="H352" s="55" t="str">
        <f t="shared" si="14"/>
        <v>Gore MagalaTriblast</v>
      </c>
      <c r="I352" s="50">
        <v>2</v>
      </c>
      <c r="J352" s="36">
        <v>2</v>
      </c>
      <c r="K352" s="36">
        <v>2</v>
      </c>
      <c r="L352" s="36">
        <v>2</v>
      </c>
      <c r="M352" s="36">
        <v>0</v>
      </c>
      <c r="N352" s="50">
        <v>0</v>
      </c>
      <c r="O352" s="36">
        <v>0</v>
      </c>
      <c r="P352" s="36">
        <v>0</v>
      </c>
      <c r="Q352" s="36">
        <v>0</v>
      </c>
      <c r="R352" s="36">
        <v>0</v>
      </c>
      <c r="S352" s="50">
        <v>2</v>
      </c>
      <c r="T352" s="36">
        <v>2</v>
      </c>
      <c r="U352" s="36">
        <v>2</v>
      </c>
      <c r="V352" s="36">
        <v>2</v>
      </c>
      <c r="W352" s="36">
        <v>0</v>
      </c>
      <c r="X352" s="50">
        <v>0</v>
      </c>
      <c r="Y352" s="36">
        <v>0</v>
      </c>
      <c r="Z352" s="36">
        <v>0</v>
      </c>
      <c r="AA352" s="36">
        <v>0</v>
      </c>
      <c r="AB352" s="36">
        <v>0</v>
      </c>
      <c r="AC352" s="50">
        <v>1</v>
      </c>
      <c r="AD352" s="36">
        <v>2</v>
      </c>
      <c r="AE352" s="36">
        <v>2</v>
      </c>
      <c r="AF352" s="36">
        <v>2</v>
      </c>
      <c r="AG352" s="36">
        <v>0</v>
      </c>
      <c r="AH352" s="50">
        <v>0</v>
      </c>
      <c r="AI352" s="36">
        <v>0</v>
      </c>
      <c r="AJ352" s="36">
        <v>0</v>
      </c>
      <c r="AK352" s="36">
        <v>0</v>
      </c>
      <c r="AL352" s="36">
        <v>0</v>
      </c>
      <c r="AM352" s="50">
        <v>2</v>
      </c>
      <c r="AN352" s="36">
        <v>2</v>
      </c>
      <c r="AO352" s="36">
        <v>2</v>
      </c>
      <c r="AP352" s="36">
        <v>2</v>
      </c>
      <c r="AQ352" s="36">
        <v>0</v>
      </c>
      <c r="AR352" s="50">
        <v>0</v>
      </c>
      <c r="AS352" s="36">
        <v>0</v>
      </c>
      <c r="AT352" s="36">
        <v>0</v>
      </c>
      <c r="AU352" s="36">
        <v>0</v>
      </c>
      <c r="AV352" s="36">
        <v>0</v>
      </c>
      <c r="AW352">
        <v>0</v>
      </c>
      <c r="AX352">
        <v>0</v>
      </c>
    </row>
    <row r="353" spans="1:50" x14ac:dyDescent="0.25">
      <c r="A353" s="36"/>
      <c r="B353" t="s">
        <v>119</v>
      </c>
      <c r="C353" s="36" t="str">
        <f>'Status Thresholds'!B344</f>
        <v>Gore Magala</v>
      </c>
      <c r="E353" s="36" t="str">
        <f t="shared" si="13"/>
        <v>Gore Magala</v>
      </c>
      <c r="F353" s="36" t="str">
        <f>IFERROR(VLOOKUP($E353,'Status Thresholds'!$E:$AS,1,FALSE),"")</f>
        <v/>
      </c>
      <c r="G353" t="s">
        <v>13</v>
      </c>
      <c r="H353" s="55" t="str">
        <f t="shared" si="14"/>
        <v>Gore MagalaCrag 3</v>
      </c>
      <c r="I353" s="50">
        <v>1</v>
      </c>
      <c r="J353" s="36">
        <v>1</v>
      </c>
      <c r="K353" s="36">
        <v>4</v>
      </c>
      <c r="L353" s="36">
        <v>4</v>
      </c>
      <c r="M353" s="36">
        <v>0</v>
      </c>
      <c r="N353" s="50">
        <v>0</v>
      </c>
      <c r="O353" s="36">
        <v>0</v>
      </c>
      <c r="P353" s="36">
        <v>0</v>
      </c>
      <c r="Q353" s="36">
        <v>0</v>
      </c>
      <c r="R353" s="36">
        <v>0</v>
      </c>
      <c r="S353" s="50">
        <v>1</v>
      </c>
      <c r="T353" s="36">
        <v>1</v>
      </c>
      <c r="U353" s="36">
        <v>4</v>
      </c>
      <c r="V353" s="36">
        <v>4</v>
      </c>
      <c r="W353" s="36">
        <v>0</v>
      </c>
      <c r="X353" s="50">
        <v>0</v>
      </c>
      <c r="Y353" s="36">
        <v>0</v>
      </c>
      <c r="Z353" s="36">
        <v>0</v>
      </c>
      <c r="AA353" s="36">
        <v>0</v>
      </c>
      <c r="AB353" s="36">
        <v>0</v>
      </c>
      <c r="AC353" s="50">
        <v>3</v>
      </c>
      <c r="AD353" s="36">
        <v>4</v>
      </c>
      <c r="AE353" s="36">
        <v>4</v>
      </c>
      <c r="AF353" s="36">
        <v>4</v>
      </c>
      <c r="AG353" s="36">
        <v>0</v>
      </c>
      <c r="AH353" s="50">
        <v>0</v>
      </c>
      <c r="AI353" s="36">
        <v>0</v>
      </c>
      <c r="AJ353" s="36">
        <v>0</v>
      </c>
      <c r="AK353" s="36">
        <v>0</v>
      </c>
      <c r="AL353" s="36">
        <v>0</v>
      </c>
      <c r="AM353" s="50">
        <v>1</v>
      </c>
      <c r="AN353" s="36">
        <v>4</v>
      </c>
      <c r="AO353" s="36">
        <v>4</v>
      </c>
      <c r="AP353" s="36">
        <v>4</v>
      </c>
      <c r="AQ353" s="36">
        <v>0</v>
      </c>
      <c r="AR353" s="50">
        <v>0</v>
      </c>
      <c r="AS353" s="36">
        <v>0</v>
      </c>
      <c r="AT353" s="36">
        <v>0</v>
      </c>
      <c r="AU353" s="36">
        <v>0</v>
      </c>
      <c r="AV353" s="36">
        <v>0</v>
      </c>
      <c r="AW353">
        <v>0</v>
      </c>
      <c r="AX353">
        <v>0</v>
      </c>
    </row>
    <row r="354" spans="1:50" x14ac:dyDescent="0.25">
      <c r="A354" s="36"/>
      <c r="B354" t="s">
        <v>119</v>
      </c>
      <c r="C354" s="36" t="str">
        <f>'Status Thresholds'!B345</f>
        <v>Gore Magala</v>
      </c>
      <c r="E354" s="36" t="str">
        <f t="shared" si="13"/>
        <v>Gore Magala</v>
      </c>
      <c r="F354" s="36" t="str">
        <f>IFERROR(VLOOKUP($E354,'Status Thresholds'!$E:$AS,1,FALSE),"")</f>
        <v/>
      </c>
      <c r="G354" t="s">
        <v>12</v>
      </c>
      <c r="H354" s="55" t="str">
        <f t="shared" si="14"/>
        <v>Gore MagalaCrag 2</v>
      </c>
      <c r="I354" s="50">
        <v>0</v>
      </c>
      <c r="J354" s="36">
        <v>1</v>
      </c>
      <c r="K354" s="36">
        <v>3</v>
      </c>
      <c r="L354" s="36">
        <v>4</v>
      </c>
      <c r="M354" s="36">
        <v>0</v>
      </c>
      <c r="N354" s="50">
        <v>0</v>
      </c>
      <c r="O354" s="36">
        <v>0</v>
      </c>
      <c r="P354" s="36">
        <v>0</v>
      </c>
      <c r="Q354" s="36">
        <v>0</v>
      </c>
      <c r="R354" s="36">
        <v>0</v>
      </c>
      <c r="S354" s="50">
        <v>0</v>
      </c>
      <c r="T354" s="36">
        <v>1</v>
      </c>
      <c r="U354" s="36">
        <v>3</v>
      </c>
      <c r="V354" s="36">
        <v>4</v>
      </c>
      <c r="W354" s="36">
        <v>0</v>
      </c>
      <c r="X354" s="50">
        <v>0</v>
      </c>
      <c r="Y354" s="36">
        <v>0</v>
      </c>
      <c r="Z354" s="36">
        <v>0</v>
      </c>
      <c r="AA354" s="36">
        <v>0</v>
      </c>
      <c r="AB354" s="36">
        <v>0</v>
      </c>
      <c r="AC354" s="50">
        <v>1</v>
      </c>
      <c r="AD354" s="36">
        <v>0</v>
      </c>
      <c r="AE354" s="36">
        <v>4</v>
      </c>
      <c r="AF354" s="36">
        <v>4</v>
      </c>
      <c r="AG354" s="36">
        <v>0</v>
      </c>
      <c r="AH354" s="50">
        <v>0</v>
      </c>
      <c r="AI354" s="36">
        <v>0</v>
      </c>
      <c r="AJ354" s="36">
        <v>0</v>
      </c>
      <c r="AK354" s="36">
        <v>0</v>
      </c>
      <c r="AL354" s="36">
        <v>0</v>
      </c>
      <c r="AM354" s="50">
        <v>1</v>
      </c>
      <c r="AN354" s="36">
        <v>4</v>
      </c>
      <c r="AO354" s="36">
        <v>4</v>
      </c>
      <c r="AP354" s="36">
        <v>4</v>
      </c>
      <c r="AQ354" s="36">
        <v>0</v>
      </c>
      <c r="AR354" s="50">
        <v>0</v>
      </c>
      <c r="AS354" s="36">
        <v>0</v>
      </c>
      <c r="AT354" s="36">
        <v>0</v>
      </c>
      <c r="AU354" s="36">
        <v>0</v>
      </c>
      <c r="AV354" s="36">
        <v>0</v>
      </c>
      <c r="AW354">
        <v>0</v>
      </c>
      <c r="AX354">
        <v>0</v>
      </c>
    </row>
    <row r="355" spans="1:50" x14ac:dyDescent="0.25">
      <c r="A355" s="36"/>
      <c r="B355" t="s">
        <v>119</v>
      </c>
      <c r="C355" s="36" t="str">
        <f>'Status Thresholds'!B346</f>
        <v>Gore Magala</v>
      </c>
      <c r="E355" s="36" t="str">
        <f t="shared" si="13"/>
        <v>Gore Magala</v>
      </c>
      <c r="F355" s="36" t="str">
        <f>IFERROR(VLOOKUP($E355,'Status Thresholds'!$E:$AS,1,FALSE),"")</f>
        <v/>
      </c>
      <c r="G355" t="s">
        <v>11</v>
      </c>
      <c r="H355" s="55" t="str">
        <f t="shared" si="14"/>
        <v>Gore MagalaCrag 1</v>
      </c>
      <c r="I355" s="50">
        <v>2</v>
      </c>
      <c r="J355" s="36">
        <v>8</v>
      </c>
      <c r="K355" s="36">
        <v>8</v>
      </c>
      <c r="L355" s="36">
        <v>8</v>
      </c>
      <c r="M355" s="36">
        <v>0</v>
      </c>
      <c r="N355" s="50">
        <v>0</v>
      </c>
      <c r="O355" s="36">
        <v>0</v>
      </c>
      <c r="P355" s="36">
        <v>0</v>
      </c>
      <c r="Q355" s="36">
        <v>0</v>
      </c>
      <c r="R355" s="36">
        <v>0</v>
      </c>
      <c r="S355" s="50">
        <v>2</v>
      </c>
      <c r="T355" s="36">
        <v>8</v>
      </c>
      <c r="U355" s="36">
        <v>8</v>
      </c>
      <c r="V355" s="36">
        <v>8</v>
      </c>
      <c r="W355" s="36">
        <v>0</v>
      </c>
      <c r="X355" s="50">
        <v>0</v>
      </c>
      <c r="Y355" s="36">
        <v>0</v>
      </c>
      <c r="Z355" s="36">
        <v>0</v>
      </c>
      <c r="AA355" s="36">
        <v>0</v>
      </c>
      <c r="AB355" s="36">
        <v>0</v>
      </c>
      <c r="AC355" s="50">
        <v>2</v>
      </c>
      <c r="AD355" s="36">
        <v>7</v>
      </c>
      <c r="AE355" s="36">
        <v>8</v>
      </c>
      <c r="AF355" s="36">
        <v>8</v>
      </c>
      <c r="AG355" s="36">
        <v>0</v>
      </c>
      <c r="AH355" s="50">
        <v>0</v>
      </c>
      <c r="AI355" s="36">
        <v>0</v>
      </c>
      <c r="AJ355" s="36">
        <v>0</v>
      </c>
      <c r="AK355" s="36">
        <v>0</v>
      </c>
      <c r="AL355" s="36">
        <v>0</v>
      </c>
      <c r="AM355" s="50">
        <v>6</v>
      </c>
      <c r="AN355" s="36">
        <v>8</v>
      </c>
      <c r="AO355" s="36">
        <v>8</v>
      </c>
      <c r="AP355" s="36">
        <v>8</v>
      </c>
      <c r="AQ355" s="36">
        <v>0</v>
      </c>
      <c r="AR355" s="50">
        <v>0</v>
      </c>
      <c r="AS355" s="36">
        <v>0</v>
      </c>
      <c r="AT355" s="36">
        <v>0</v>
      </c>
      <c r="AU355" s="36">
        <v>0</v>
      </c>
      <c r="AV355" s="36">
        <v>1</v>
      </c>
      <c r="AW355">
        <v>0</v>
      </c>
      <c r="AX355">
        <v>0</v>
      </c>
    </row>
    <row r="356" spans="1:50" x14ac:dyDescent="0.25">
      <c r="A356" s="36"/>
      <c r="B356" t="s">
        <v>121</v>
      </c>
      <c r="C356" s="36" t="str">
        <f>'Status Thresholds'!B347</f>
        <v>Gore Magala (Chaotic)</v>
      </c>
      <c r="D356" t="s">
        <v>14</v>
      </c>
      <c r="E356" s="36" t="str">
        <f t="shared" si="13"/>
        <v>Gore Magala (Chaotic)KO</v>
      </c>
      <c r="F356" s="36" t="str">
        <f>IFERROR(VLOOKUP($E356,'Status Thresholds'!$E:$AS,1,FALSE),"")</f>
        <v>Gore Magala (Chaotic)KO</v>
      </c>
      <c r="G356" s="36"/>
      <c r="H356" s="55" t="str">
        <f t="shared" si="14"/>
        <v>Gore Magala (Chaotic)KO</v>
      </c>
      <c r="I356" s="50">
        <f>VLOOKUP($F356,'Status Thresholds'!$E:$AS,2,FALSE)</f>
        <v>0</v>
      </c>
      <c r="J356" s="36">
        <f>VLOOKUP($F356,'Status Thresholds'!$E:$AS,3,FALSE)</f>
        <v>0</v>
      </c>
      <c r="K356" s="36">
        <f>VLOOKUP($F356,'Status Thresholds'!$E:$AS,4,FALSE)</f>
        <v>0</v>
      </c>
      <c r="L356" s="36">
        <f>VLOOKUP($F356,'Status Thresholds'!$E:$AS,5,FALSE)</f>
        <v>0</v>
      </c>
      <c r="M356" s="36">
        <f>VLOOKUP($F356,'Status Thresholds'!$E:$AS,6,FALSE)</f>
        <v>0</v>
      </c>
      <c r="N356" s="50">
        <f>VLOOKUP($F356,'Status Thresholds'!$E:$AS,7,FALSE)</f>
        <v>0</v>
      </c>
      <c r="O356" s="36">
        <f>VLOOKUP($F356,'Status Thresholds'!$E:$AS,8,FALSE)</f>
        <v>0</v>
      </c>
      <c r="P356" s="36">
        <f>VLOOKUP($F356,'Status Thresholds'!$E:$AS,9,FALSE)</f>
        <v>0</v>
      </c>
      <c r="Q356" s="36">
        <f>VLOOKUP($F356,'Status Thresholds'!$E:$AS,10,FALSE)</f>
        <v>0</v>
      </c>
      <c r="R356" s="36">
        <f>VLOOKUP($F356,'Status Thresholds'!$E:$AS,11,FALSE)</f>
        <v>0</v>
      </c>
      <c r="S356" s="50">
        <f>VLOOKUP($F356,'Status Thresholds'!$E:$AS,12,FALSE)</f>
        <v>0</v>
      </c>
      <c r="T356" s="36">
        <f>VLOOKUP($F356,'Status Thresholds'!$E:$AS,13,FALSE)</f>
        <v>0</v>
      </c>
      <c r="U356" s="36">
        <f>VLOOKUP($F356,'Status Thresholds'!$E:$AS,14,FALSE)</f>
        <v>0</v>
      </c>
      <c r="V356" s="36">
        <f>VLOOKUP($F356,'Status Thresholds'!$E:$AS,15,FALSE)</f>
        <v>0</v>
      </c>
      <c r="W356" s="36">
        <f>VLOOKUP($F356,'Status Thresholds'!$E:$AS,16,FALSE)</f>
        <v>0</v>
      </c>
      <c r="X356" s="50">
        <f>VLOOKUP($F356,'Status Thresholds'!$E:$AS,17,FALSE)</f>
        <v>0</v>
      </c>
      <c r="Y356" s="36">
        <f>VLOOKUP($F356,'Status Thresholds'!$E:$AS,18,FALSE)</f>
        <v>0</v>
      </c>
      <c r="Z356" s="36">
        <f>VLOOKUP($F356,'Status Thresholds'!$E:$AS,19,FALSE)</f>
        <v>0</v>
      </c>
      <c r="AA356" s="36">
        <f>VLOOKUP($F356,'Status Thresholds'!$E:$AS,20,FALSE)</f>
        <v>0</v>
      </c>
      <c r="AB356" s="36">
        <f>VLOOKUP($F356,'Status Thresholds'!$E:$AS,21,FALSE)</f>
        <v>0</v>
      </c>
      <c r="AC356" s="50">
        <f>VLOOKUP($F356,'Status Thresholds'!$E:$AS,22,FALSE)</f>
        <v>300</v>
      </c>
      <c r="AD356" s="36">
        <f>VLOOKUP($F356,'Status Thresholds'!$E:$AS,23,FALSE)</f>
        <v>525</v>
      </c>
      <c r="AE356" s="36">
        <f>VLOOKUP($F356,'Status Thresholds'!$E:$AS,24,FALSE)</f>
        <v>750</v>
      </c>
      <c r="AF356" s="36">
        <f>VLOOKUP($F356,'Status Thresholds'!$E:$AS,25,FALSE)</f>
        <v>975</v>
      </c>
      <c r="AG356" s="36">
        <f>VLOOKUP($F356,'Status Thresholds'!$E:$AS,26,FALSE)</f>
        <v>0</v>
      </c>
      <c r="AH356" s="50">
        <f>VLOOKUP($F356,'Status Thresholds'!$E:$AS,27,FALSE)</f>
        <v>0</v>
      </c>
      <c r="AI356" s="36">
        <f>VLOOKUP($F356,'Status Thresholds'!$E:$AS,28,FALSE)</f>
        <v>0</v>
      </c>
      <c r="AJ356" s="36">
        <f>VLOOKUP($F356,'Status Thresholds'!$E:$AS,29,FALSE)</f>
        <v>0</v>
      </c>
      <c r="AK356" s="36">
        <f>VLOOKUP($F356,'Status Thresholds'!$E:$AS,30,FALSE)</f>
        <v>0</v>
      </c>
      <c r="AL356" s="36">
        <f>VLOOKUP($F356,'Status Thresholds'!$E:$AS,31,FALSE)</f>
        <v>0</v>
      </c>
      <c r="AM356" s="50">
        <f>VLOOKUP($F356,'Status Thresholds'!$E:$AS,32,FALSE)</f>
        <v>0</v>
      </c>
      <c r="AN356" s="36">
        <f>VLOOKUP($F356,'Status Thresholds'!$E:$AS,33,FALSE)</f>
        <v>0</v>
      </c>
      <c r="AO356" s="36">
        <f>VLOOKUP($F356,'Status Thresholds'!$E:$AS,34,FALSE)</f>
        <v>0</v>
      </c>
      <c r="AP356" s="36">
        <f>VLOOKUP($F356,'Status Thresholds'!$E:$AS,35,FALSE)</f>
        <v>0</v>
      </c>
      <c r="AQ356" s="36">
        <f>VLOOKUP($F356,'Status Thresholds'!$E:$AS,36,FALSE)</f>
        <v>0</v>
      </c>
      <c r="AR356" s="50">
        <f>VLOOKUP($F356,'Status Thresholds'!$E:$AS,37,FALSE)</f>
        <v>0</v>
      </c>
      <c r="AS356" s="36">
        <f>VLOOKUP($F356,'Status Thresholds'!$E:$AS,38,FALSE)</f>
        <v>0</v>
      </c>
      <c r="AT356" s="36">
        <f>VLOOKUP($F356,'Status Thresholds'!$E:$AS,39,FALSE)</f>
        <v>0</v>
      </c>
      <c r="AU356" s="36">
        <f>VLOOKUP($F356,'Status Thresholds'!$E:$AS,40,FALSE)</f>
        <v>0</v>
      </c>
      <c r="AV356" s="36">
        <f>VLOOKUP($F356,'Status Thresholds'!$E:$AS,41,FALSE)</f>
        <v>10</v>
      </c>
      <c r="AW356">
        <v>0</v>
      </c>
      <c r="AX356">
        <v>0</v>
      </c>
    </row>
    <row r="357" spans="1:50" x14ac:dyDescent="0.25">
      <c r="A357" s="36"/>
      <c r="B357" t="s">
        <v>120</v>
      </c>
      <c r="C357" s="36" t="str">
        <f>'Status Thresholds'!B348</f>
        <v>Gore Magala (Chaotic)</v>
      </c>
      <c r="E357" s="36" t="str">
        <f t="shared" si="13"/>
        <v>Gore Magala (Chaotic)</v>
      </c>
      <c r="F357" s="36" t="str">
        <f>IFERROR(VLOOKUP($E357,'Status Thresholds'!$E:$AS,1,FALSE),"")</f>
        <v/>
      </c>
      <c r="G357" s="46" t="s">
        <v>21</v>
      </c>
      <c r="H357" s="55" t="str">
        <f t="shared" si="14"/>
        <v>Gore Magala (Chaotic)Triblast</v>
      </c>
      <c r="I357" s="50">
        <v>0</v>
      </c>
      <c r="J357" s="36">
        <v>0</v>
      </c>
      <c r="K357" s="36">
        <v>0</v>
      </c>
      <c r="L357" s="36">
        <v>0</v>
      </c>
      <c r="M357" s="36">
        <v>0</v>
      </c>
      <c r="N357" s="50">
        <v>0</v>
      </c>
      <c r="O357" s="36">
        <v>0</v>
      </c>
      <c r="P357" s="36">
        <v>0</v>
      </c>
      <c r="Q357" s="36">
        <v>0</v>
      </c>
      <c r="R357" s="36">
        <v>0</v>
      </c>
      <c r="S357" s="50">
        <v>0</v>
      </c>
      <c r="T357" s="36">
        <v>0</v>
      </c>
      <c r="U357" s="36">
        <v>0</v>
      </c>
      <c r="V357" s="36">
        <v>0</v>
      </c>
      <c r="W357" s="36">
        <v>0</v>
      </c>
      <c r="X357" s="50">
        <v>0</v>
      </c>
      <c r="Y357" s="36">
        <v>0</v>
      </c>
      <c r="Z357" s="36">
        <v>0</v>
      </c>
      <c r="AA357" s="36">
        <v>0</v>
      </c>
      <c r="AB357" s="36">
        <v>0</v>
      </c>
      <c r="AC357" s="50">
        <v>2</v>
      </c>
      <c r="AD357" s="36">
        <v>1</v>
      </c>
      <c r="AE357" s="36">
        <v>2</v>
      </c>
      <c r="AF357" s="36">
        <v>2</v>
      </c>
      <c r="AG357" s="36">
        <v>0</v>
      </c>
      <c r="AH357" s="50">
        <v>0</v>
      </c>
      <c r="AI357" s="36">
        <v>0</v>
      </c>
      <c r="AJ357" s="36">
        <v>0</v>
      </c>
      <c r="AK357" s="36">
        <v>0</v>
      </c>
      <c r="AL357" s="36">
        <v>0</v>
      </c>
      <c r="AM357" s="50">
        <v>0</v>
      </c>
      <c r="AN357" s="36">
        <v>0</v>
      </c>
      <c r="AO357" s="36">
        <v>0</v>
      </c>
      <c r="AP357" s="36">
        <v>0</v>
      </c>
      <c r="AQ357" s="36">
        <v>0</v>
      </c>
      <c r="AR357" s="50">
        <v>0</v>
      </c>
      <c r="AS357" s="36">
        <v>0</v>
      </c>
      <c r="AT357" s="36">
        <v>0</v>
      </c>
      <c r="AU357" s="36">
        <v>0</v>
      </c>
      <c r="AV357" s="36">
        <v>0</v>
      </c>
      <c r="AW357">
        <v>0</v>
      </c>
    </row>
    <row r="358" spans="1:50" x14ac:dyDescent="0.25">
      <c r="A358" s="36"/>
      <c r="B358" t="s">
        <v>120</v>
      </c>
      <c r="C358" s="36" t="str">
        <f>'Status Thresholds'!B349</f>
        <v>Gore Magala (Chaotic)</v>
      </c>
      <c r="E358" s="36" t="str">
        <f t="shared" si="13"/>
        <v>Gore Magala (Chaotic)</v>
      </c>
      <c r="F358" s="36" t="str">
        <f>IFERROR(VLOOKUP($E358,'Status Thresholds'!$E:$AS,1,FALSE),"")</f>
        <v/>
      </c>
      <c r="G358" t="s">
        <v>13</v>
      </c>
      <c r="H358" s="55" t="str">
        <f t="shared" si="14"/>
        <v>Gore Magala (Chaotic)Crag 3</v>
      </c>
      <c r="I358" s="50">
        <v>0</v>
      </c>
      <c r="J358" s="36">
        <v>0</v>
      </c>
      <c r="K358" s="36">
        <v>0</v>
      </c>
      <c r="L358" s="36">
        <v>0</v>
      </c>
      <c r="M358" s="36">
        <v>0</v>
      </c>
      <c r="N358" s="50">
        <v>0</v>
      </c>
      <c r="O358" s="36">
        <v>0</v>
      </c>
      <c r="P358" s="36">
        <v>0</v>
      </c>
      <c r="Q358" s="36">
        <v>0</v>
      </c>
      <c r="R358" s="36">
        <v>0</v>
      </c>
      <c r="S358" s="50">
        <v>0</v>
      </c>
      <c r="T358" s="36">
        <v>0</v>
      </c>
      <c r="U358" s="36">
        <v>0</v>
      </c>
      <c r="V358" s="36">
        <v>0</v>
      </c>
      <c r="W358" s="36">
        <v>0</v>
      </c>
      <c r="X358" s="50">
        <v>0</v>
      </c>
      <c r="Y358" s="36">
        <v>0</v>
      </c>
      <c r="Z358" s="36">
        <v>0</v>
      </c>
      <c r="AA358" s="36">
        <v>0</v>
      </c>
      <c r="AB358" s="36">
        <v>0</v>
      </c>
      <c r="AC358" s="50">
        <v>3</v>
      </c>
      <c r="AD358" s="36">
        <v>4</v>
      </c>
      <c r="AE358" s="36">
        <v>4</v>
      </c>
      <c r="AF358" s="36">
        <v>4</v>
      </c>
      <c r="AG358" s="36">
        <v>0</v>
      </c>
      <c r="AH358" s="50">
        <v>0</v>
      </c>
      <c r="AI358" s="36">
        <v>0</v>
      </c>
      <c r="AJ358" s="36">
        <v>0</v>
      </c>
      <c r="AK358" s="36">
        <v>0</v>
      </c>
      <c r="AL358" s="36">
        <v>0</v>
      </c>
      <c r="AM358" s="50">
        <v>0</v>
      </c>
      <c r="AN358" s="36">
        <v>0</v>
      </c>
      <c r="AO358" s="36">
        <v>0</v>
      </c>
      <c r="AP358" s="36">
        <v>0</v>
      </c>
      <c r="AQ358" s="36">
        <v>0</v>
      </c>
      <c r="AR358" s="50">
        <v>0</v>
      </c>
      <c r="AS358" s="36">
        <v>0</v>
      </c>
      <c r="AT358" s="36">
        <v>0</v>
      </c>
      <c r="AU358" s="36">
        <v>0</v>
      </c>
      <c r="AV358" s="36">
        <v>0</v>
      </c>
      <c r="AW358">
        <v>0</v>
      </c>
      <c r="AX358">
        <v>0</v>
      </c>
    </row>
    <row r="359" spans="1:50" x14ac:dyDescent="0.25">
      <c r="A359" s="36"/>
      <c r="B359" t="s">
        <v>120</v>
      </c>
      <c r="C359" s="36" t="str">
        <f>'Status Thresholds'!B350</f>
        <v>Gore Magala (Chaotic)</v>
      </c>
      <c r="E359" s="36" t="str">
        <f t="shared" si="13"/>
        <v>Gore Magala (Chaotic)</v>
      </c>
      <c r="F359" s="36" t="str">
        <f>IFERROR(VLOOKUP($E359,'Status Thresholds'!$E:$AS,1,FALSE),"")</f>
        <v/>
      </c>
      <c r="G359" t="s">
        <v>12</v>
      </c>
      <c r="H359" s="55" t="str">
        <f t="shared" si="14"/>
        <v>Gore Magala (Chaotic)Crag 2</v>
      </c>
      <c r="I359" s="50">
        <v>0</v>
      </c>
      <c r="J359" s="36">
        <v>0</v>
      </c>
      <c r="K359" s="36">
        <v>0</v>
      </c>
      <c r="L359" s="36">
        <v>0</v>
      </c>
      <c r="M359" s="36">
        <v>0</v>
      </c>
      <c r="N359" s="50">
        <v>0</v>
      </c>
      <c r="O359" s="36">
        <v>0</v>
      </c>
      <c r="P359" s="36">
        <v>0</v>
      </c>
      <c r="Q359" s="36">
        <v>0</v>
      </c>
      <c r="R359" s="36">
        <v>0</v>
      </c>
      <c r="S359" s="50">
        <v>0</v>
      </c>
      <c r="T359" s="36">
        <v>0</v>
      </c>
      <c r="U359" s="36">
        <v>0</v>
      </c>
      <c r="V359" s="36">
        <v>0</v>
      </c>
      <c r="W359" s="36">
        <v>0</v>
      </c>
      <c r="X359" s="50">
        <v>0</v>
      </c>
      <c r="Y359" s="36">
        <v>0</v>
      </c>
      <c r="Z359" s="36">
        <v>0</v>
      </c>
      <c r="AA359" s="36">
        <v>0</v>
      </c>
      <c r="AB359" s="36">
        <v>0</v>
      </c>
      <c r="AC359" s="50">
        <v>1</v>
      </c>
      <c r="AD359" s="36">
        <v>3</v>
      </c>
      <c r="AE359" s="36">
        <v>4</v>
      </c>
      <c r="AF359" s="36">
        <v>4</v>
      </c>
      <c r="AG359" s="36">
        <v>0</v>
      </c>
      <c r="AH359" s="50">
        <v>0</v>
      </c>
      <c r="AI359" s="36">
        <v>0</v>
      </c>
      <c r="AJ359" s="36">
        <v>0</v>
      </c>
      <c r="AK359" s="36">
        <v>0</v>
      </c>
      <c r="AL359" s="36">
        <v>0</v>
      </c>
      <c r="AM359" s="50">
        <v>0</v>
      </c>
      <c r="AN359" s="36">
        <v>0</v>
      </c>
      <c r="AO359" s="36">
        <v>0</v>
      </c>
      <c r="AP359" s="36">
        <v>0</v>
      </c>
      <c r="AQ359" s="36">
        <v>0</v>
      </c>
      <c r="AR359" s="50">
        <v>0</v>
      </c>
      <c r="AS359" s="36">
        <v>0</v>
      </c>
      <c r="AT359" s="36">
        <v>0</v>
      </c>
      <c r="AU359" s="36">
        <v>0</v>
      </c>
      <c r="AV359" s="36">
        <v>0</v>
      </c>
      <c r="AW359">
        <v>0</v>
      </c>
      <c r="AX359">
        <v>0</v>
      </c>
    </row>
    <row r="360" spans="1:50" x14ac:dyDescent="0.25">
      <c r="A360" s="36"/>
      <c r="B360" t="s">
        <v>120</v>
      </c>
      <c r="C360" s="36" t="str">
        <f>'Status Thresholds'!B351</f>
        <v>Gore Magala (Chaotic)</v>
      </c>
      <c r="E360" s="36" t="str">
        <f t="shared" si="13"/>
        <v>Gore Magala (Chaotic)</v>
      </c>
      <c r="F360" s="36" t="str">
        <f>IFERROR(VLOOKUP($E360,'Status Thresholds'!$E:$AS,1,FALSE),"")</f>
        <v/>
      </c>
      <c r="G360" t="s">
        <v>11</v>
      </c>
      <c r="H360" s="55" t="str">
        <f t="shared" si="14"/>
        <v>Gore Magala (Chaotic)Crag 1</v>
      </c>
      <c r="I360" s="50">
        <v>0</v>
      </c>
      <c r="J360" s="36">
        <v>0</v>
      </c>
      <c r="K360" s="36">
        <v>0</v>
      </c>
      <c r="L360" s="36">
        <v>0</v>
      </c>
      <c r="M360" s="36">
        <v>0</v>
      </c>
      <c r="N360" s="50">
        <v>0</v>
      </c>
      <c r="O360" s="36">
        <v>0</v>
      </c>
      <c r="P360" s="36">
        <v>0</v>
      </c>
      <c r="Q360" s="36">
        <v>0</v>
      </c>
      <c r="R360" s="36">
        <v>0</v>
      </c>
      <c r="S360" s="50">
        <v>0</v>
      </c>
      <c r="T360" s="36">
        <v>0</v>
      </c>
      <c r="U360" s="36">
        <v>0</v>
      </c>
      <c r="V360" s="36">
        <v>0</v>
      </c>
      <c r="W360" s="36">
        <v>0</v>
      </c>
      <c r="X360" s="50">
        <v>0</v>
      </c>
      <c r="Y360" s="36">
        <v>0</v>
      </c>
      <c r="Z360" s="36">
        <v>0</v>
      </c>
      <c r="AA360" s="36">
        <v>0</v>
      </c>
      <c r="AB360" s="36">
        <v>0</v>
      </c>
      <c r="AC360" s="50">
        <v>0</v>
      </c>
      <c r="AD360" s="36">
        <v>8</v>
      </c>
      <c r="AE360" s="36">
        <v>8</v>
      </c>
      <c r="AF360" s="36">
        <v>8</v>
      </c>
      <c r="AG360" s="36">
        <v>0</v>
      </c>
      <c r="AH360" s="50">
        <v>0</v>
      </c>
      <c r="AI360" s="36">
        <v>0</v>
      </c>
      <c r="AJ360" s="36">
        <v>0</v>
      </c>
      <c r="AK360" s="36">
        <v>0</v>
      </c>
      <c r="AL360" s="36">
        <v>0</v>
      </c>
      <c r="AM360" s="50">
        <v>0</v>
      </c>
      <c r="AN360" s="36">
        <v>0</v>
      </c>
      <c r="AO360" s="36">
        <v>0</v>
      </c>
      <c r="AP360" s="36">
        <v>0</v>
      </c>
      <c r="AQ360" s="36">
        <v>0</v>
      </c>
      <c r="AR360" s="50">
        <v>0</v>
      </c>
      <c r="AS360" s="36">
        <v>0</v>
      </c>
      <c r="AT360" s="36">
        <v>0</v>
      </c>
      <c r="AU360" s="36">
        <v>0</v>
      </c>
      <c r="AV360" s="36">
        <v>1</v>
      </c>
      <c r="AW360">
        <v>0</v>
      </c>
      <c r="AX360">
        <v>0</v>
      </c>
    </row>
    <row r="361" spans="1:50" x14ac:dyDescent="0.25">
      <c r="A361" s="36"/>
      <c r="B361" t="s">
        <v>119</v>
      </c>
      <c r="C361" s="36" t="str">
        <f>'Status Thresholds'!B352</f>
        <v>Gore Magala (Chaotic)</v>
      </c>
      <c r="E361" s="36" t="str">
        <f t="shared" si="13"/>
        <v>Gore Magala (Chaotic)</v>
      </c>
      <c r="F361" s="36" t="str">
        <f>IFERROR(VLOOKUP($E361,'Status Thresholds'!$E:$AS,1,FALSE),"")</f>
        <v/>
      </c>
      <c r="G361" s="36" t="s">
        <v>21</v>
      </c>
      <c r="H361" s="55" t="str">
        <f t="shared" si="14"/>
        <v>Gore Magala (Chaotic)Triblast</v>
      </c>
      <c r="I361" s="50">
        <v>0</v>
      </c>
      <c r="J361" s="36">
        <v>0</v>
      </c>
      <c r="K361" s="36">
        <v>0</v>
      </c>
      <c r="L361" s="36">
        <v>0</v>
      </c>
      <c r="M361" s="36">
        <v>0</v>
      </c>
      <c r="N361" s="50">
        <v>0</v>
      </c>
      <c r="O361" s="36">
        <v>0</v>
      </c>
      <c r="P361" s="36">
        <v>0</v>
      </c>
      <c r="Q361" s="36">
        <v>0</v>
      </c>
      <c r="R361" s="36">
        <v>0</v>
      </c>
      <c r="S361" s="50">
        <v>0</v>
      </c>
      <c r="T361" s="36">
        <v>0</v>
      </c>
      <c r="U361" s="36">
        <v>0</v>
      </c>
      <c r="V361" s="36">
        <v>0</v>
      </c>
      <c r="W361" s="36">
        <v>0</v>
      </c>
      <c r="X361" s="50">
        <v>0</v>
      </c>
      <c r="Y361" s="36">
        <v>0</v>
      </c>
      <c r="Z361" s="36">
        <v>0</v>
      </c>
      <c r="AA361" s="36">
        <v>0</v>
      </c>
      <c r="AB361" s="36">
        <v>0</v>
      </c>
      <c r="AC361" s="50">
        <v>1</v>
      </c>
      <c r="AD361" s="36">
        <v>2</v>
      </c>
      <c r="AE361" s="36">
        <v>2</v>
      </c>
      <c r="AF361" s="36">
        <v>2</v>
      </c>
      <c r="AG361" s="36">
        <v>0</v>
      </c>
      <c r="AH361" s="50">
        <v>0</v>
      </c>
      <c r="AI361" s="36">
        <v>0</v>
      </c>
      <c r="AJ361" s="36">
        <v>0</v>
      </c>
      <c r="AK361" s="36">
        <v>0</v>
      </c>
      <c r="AL361" s="36">
        <v>0</v>
      </c>
      <c r="AM361" s="50">
        <v>0</v>
      </c>
      <c r="AN361" s="36">
        <v>0</v>
      </c>
      <c r="AO361" s="36">
        <v>0</v>
      </c>
      <c r="AP361" s="36">
        <v>0</v>
      </c>
      <c r="AQ361" s="36">
        <v>0</v>
      </c>
      <c r="AR361" s="50">
        <v>0</v>
      </c>
      <c r="AS361" s="36">
        <v>0</v>
      </c>
      <c r="AT361" s="36">
        <v>0</v>
      </c>
      <c r="AU361" s="36">
        <v>0</v>
      </c>
      <c r="AV361" s="36">
        <v>0</v>
      </c>
      <c r="AW361">
        <v>0</v>
      </c>
      <c r="AX361">
        <v>0</v>
      </c>
    </row>
    <row r="362" spans="1:50" x14ac:dyDescent="0.25">
      <c r="A362" s="36"/>
      <c r="B362" t="s">
        <v>119</v>
      </c>
      <c r="C362" s="36" t="str">
        <f>'Status Thresholds'!B353</f>
        <v>Gore Magala (Chaotic)</v>
      </c>
      <c r="E362" s="36" t="str">
        <f t="shared" si="13"/>
        <v>Gore Magala (Chaotic)</v>
      </c>
      <c r="F362" s="36" t="str">
        <f>IFERROR(VLOOKUP($E362,'Status Thresholds'!$E:$AS,1,FALSE),"")</f>
        <v/>
      </c>
      <c r="G362" t="s">
        <v>13</v>
      </c>
      <c r="H362" s="55" t="str">
        <f t="shared" si="14"/>
        <v>Gore Magala (Chaotic)Crag 3</v>
      </c>
      <c r="I362" s="50">
        <v>0</v>
      </c>
      <c r="J362" s="36">
        <v>0</v>
      </c>
      <c r="K362" s="36">
        <v>0</v>
      </c>
      <c r="L362" s="36">
        <v>0</v>
      </c>
      <c r="M362" s="36">
        <v>0</v>
      </c>
      <c r="N362" s="50">
        <v>0</v>
      </c>
      <c r="O362" s="36">
        <v>0</v>
      </c>
      <c r="P362" s="36">
        <v>0</v>
      </c>
      <c r="Q362" s="36">
        <v>0</v>
      </c>
      <c r="R362" s="36">
        <v>0</v>
      </c>
      <c r="S362" s="50">
        <v>0</v>
      </c>
      <c r="T362" s="36">
        <v>0</v>
      </c>
      <c r="U362" s="36">
        <v>0</v>
      </c>
      <c r="V362" s="36">
        <v>0</v>
      </c>
      <c r="W362" s="36">
        <v>0</v>
      </c>
      <c r="X362" s="50">
        <v>0</v>
      </c>
      <c r="Y362" s="36">
        <v>0</v>
      </c>
      <c r="Z362" s="36">
        <v>0</v>
      </c>
      <c r="AA362" s="36">
        <v>0</v>
      </c>
      <c r="AB362" s="36">
        <v>0</v>
      </c>
      <c r="AC362" s="50">
        <v>3</v>
      </c>
      <c r="AD362" s="36">
        <v>4</v>
      </c>
      <c r="AE362" s="36">
        <v>4</v>
      </c>
      <c r="AF362" s="36">
        <v>4</v>
      </c>
      <c r="AG362" s="36">
        <v>0</v>
      </c>
      <c r="AH362" s="50">
        <v>0</v>
      </c>
      <c r="AI362" s="36">
        <v>0</v>
      </c>
      <c r="AJ362" s="36">
        <v>0</v>
      </c>
      <c r="AK362" s="36">
        <v>0</v>
      </c>
      <c r="AL362" s="36">
        <v>0</v>
      </c>
      <c r="AM362" s="50">
        <v>0</v>
      </c>
      <c r="AN362" s="36">
        <v>0</v>
      </c>
      <c r="AO362" s="36">
        <v>0</v>
      </c>
      <c r="AP362" s="36">
        <v>0</v>
      </c>
      <c r="AQ362" s="36">
        <v>0</v>
      </c>
      <c r="AR362" s="50">
        <v>0</v>
      </c>
      <c r="AS362" s="36">
        <v>0</v>
      </c>
      <c r="AT362" s="36">
        <v>0</v>
      </c>
      <c r="AU362" s="36">
        <v>0</v>
      </c>
      <c r="AV362" s="36">
        <v>0</v>
      </c>
      <c r="AW362">
        <v>0</v>
      </c>
      <c r="AX362">
        <v>0</v>
      </c>
    </row>
    <row r="363" spans="1:50" x14ac:dyDescent="0.25">
      <c r="A363" s="36"/>
      <c r="B363" t="s">
        <v>119</v>
      </c>
      <c r="C363" s="36" t="str">
        <f>'Status Thresholds'!B354</f>
        <v>Gore Magala (Chaotic)</v>
      </c>
      <c r="E363" s="36" t="str">
        <f t="shared" si="13"/>
        <v>Gore Magala (Chaotic)</v>
      </c>
      <c r="F363" s="36" t="str">
        <f>IFERROR(VLOOKUP($E363,'Status Thresholds'!$E:$AS,1,FALSE),"")</f>
        <v/>
      </c>
      <c r="G363" t="s">
        <v>12</v>
      </c>
      <c r="H363" s="55" t="str">
        <f t="shared" si="14"/>
        <v>Gore Magala (Chaotic)Crag 2</v>
      </c>
      <c r="I363" s="50">
        <v>0</v>
      </c>
      <c r="J363" s="36">
        <v>0</v>
      </c>
      <c r="K363" s="36">
        <v>0</v>
      </c>
      <c r="L363" s="36">
        <v>0</v>
      </c>
      <c r="M363" s="36">
        <v>0</v>
      </c>
      <c r="N363" s="50">
        <v>0</v>
      </c>
      <c r="O363" s="36">
        <v>0</v>
      </c>
      <c r="P363" s="36">
        <v>0</v>
      </c>
      <c r="Q363" s="36">
        <v>0</v>
      </c>
      <c r="R363" s="36">
        <v>0</v>
      </c>
      <c r="S363" s="50">
        <v>0</v>
      </c>
      <c r="T363" s="36">
        <v>0</v>
      </c>
      <c r="U363" s="36">
        <v>0</v>
      </c>
      <c r="V363" s="36">
        <v>0</v>
      </c>
      <c r="W363" s="36">
        <v>0</v>
      </c>
      <c r="X363" s="50">
        <v>0</v>
      </c>
      <c r="Y363" s="36">
        <v>0</v>
      </c>
      <c r="Z363" s="36">
        <v>0</v>
      </c>
      <c r="AA363" s="36">
        <v>0</v>
      </c>
      <c r="AB363" s="36">
        <v>0</v>
      </c>
      <c r="AC363" s="50">
        <v>1</v>
      </c>
      <c r="AD363" s="36">
        <v>0</v>
      </c>
      <c r="AE363" s="36">
        <v>4</v>
      </c>
      <c r="AF363" s="36">
        <v>4</v>
      </c>
      <c r="AG363" s="36">
        <v>0</v>
      </c>
      <c r="AH363" s="50">
        <v>0</v>
      </c>
      <c r="AI363" s="36">
        <v>0</v>
      </c>
      <c r="AJ363" s="36">
        <v>0</v>
      </c>
      <c r="AK363" s="36">
        <v>0</v>
      </c>
      <c r="AL363" s="36">
        <v>0</v>
      </c>
      <c r="AM363" s="50">
        <v>0</v>
      </c>
      <c r="AN363" s="36">
        <v>0</v>
      </c>
      <c r="AO363" s="36">
        <v>0</v>
      </c>
      <c r="AP363" s="36">
        <v>0</v>
      </c>
      <c r="AQ363" s="36">
        <v>0</v>
      </c>
      <c r="AR363" s="50">
        <v>0</v>
      </c>
      <c r="AS363" s="36">
        <v>0</v>
      </c>
      <c r="AT363" s="36">
        <v>0</v>
      </c>
      <c r="AU363" s="36">
        <v>0</v>
      </c>
      <c r="AV363" s="36">
        <v>0</v>
      </c>
      <c r="AW363">
        <v>0</v>
      </c>
      <c r="AX363">
        <v>0</v>
      </c>
    </row>
    <row r="364" spans="1:50" x14ac:dyDescent="0.25">
      <c r="A364" s="36"/>
      <c r="B364" t="s">
        <v>119</v>
      </c>
      <c r="C364" s="36" t="str">
        <f>'Status Thresholds'!B355</f>
        <v>Gore Magala (Chaotic)</v>
      </c>
      <c r="E364" s="36" t="str">
        <f t="shared" si="13"/>
        <v>Gore Magala (Chaotic)</v>
      </c>
      <c r="F364" s="36" t="str">
        <f>IFERROR(VLOOKUP($E364,'Status Thresholds'!$E:$AS,1,FALSE),"")</f>
        <v/>
      </c>
      <c r="G364" t="s">
        <v>11</v>
      </c>
      <c r="H364" s="55" t="str">
        <f t="shared" si="14"/>
        <v>Gore Magala (Chaotic)Crag 1</v>
      </c>
      <c r="I364" s="50">
        <v>0</v>
      </c>
      <c r="J364" s="36">
        <v>0</v>
      </c>
      <c r="K364" s="36">
        <v>0</v>
      </c>
      <c r="L364" s="36">
        <v>0</v>
      </c>
      <c r="M364" s="36">
        <v>0</v>
      </c>
      <c r="N364" s="50">
        <v>0</v>
      </c>
      <c r="O364" s="36">
        <v>0</v>
      </c>
      <c r="P364" s="36">
        <v>0</v>
      </c>
      <c r="Q364" s="36">
        <v>0</v>
      </c>
      <c r="R364" s="36">
        <v>0</v>
      </c>
      <c r="S364" s="50">
        <v>0</v>
      </c>
      <c r="T364" s="36">
        <v>0</v>
      </c>
      <c r="U364" s="36">
        <v>0</v>
      </c>
      <c r="V364" s="36">
        <v>0</v>
      </c>
      <c r="W364" s="36">
        <v>0</v>
      </c>
      <c r="X364" s="50">
        <v>0</v>
      </c>
      <c r="Y364" s="36">
        <v>0</v>
      </c>
      <c r="Z364" s="36">
        <v>0</v>
      </c>
      <c r="AA364" s="36">
        <v>0</v>
      </c>
      <c r="AB364" s="36">
        <v>0</v>
      </c>
      <c r="AC364" s="50">
        <v>2</v>
      </c>
      <c r="AD364" s="36">
        <v>7</v>
      </c>
      <c r="AE364" s="36">
        <v>8</v>
      </c>
      <c r="AF364" s="36">
        <v>8</v>
      </c>
      <c r="AG364" s="36">
        <v>0</v>
      </c>
      <c r="AH364" s="50">
        <v>0</v>
      </c>
      <c r="AI364" s="36">
        <v>0</v>
      </c>
      <c r="AJ364" s="36">
        <v>0</v>
      </c>
      <c r="AK364" s="36">
        <v>0</v>
      </c>
      <c r="AL364" s="36">
        <v>0</v>
      </c>
      <c r="AM364" s="50">
        <v>0</v>
      </c>
      <c r="AN364" s="36">
        <v>0</v>
      </c>
      <c r="AO364" s="36">
        <v>0</v>
      </c>
      <c r="AP364" s="36">
        <v>0</v>
      </c>
      <c r="AQ364" s="36">
        <v>0</v>
      </c>
      <c r="AR364" s="50">
        <v>0</v>
      </c>
      <c r="AS364" s="36">
        <v>0</v>
      </c>
      <c r="AT364" s="36">
        <v>0</v>
      </c>
      <c r="AU364" s="36">
        <v>0</v>
      </c>
      <c r="AV364" s="36">
        <v>1</v>
      </c>
      <c r="AW364">
        <v>0</v>
      </c>
      <c r="AX364">
        <v>0</v>
      </c>
    </row>
    <row r="365" spans="1:50" x14ac:dyDescent="0.25">
      <c r="A365" s="36"/>
      <c r="B365" t="s">
        <v>121</v>
      </c>
      <c r="C365" s="36" t="str">
        <f>'Status Thresholds'!B356</f>
        <v>Gore Magala (Shagaru)</v>
      </c>
      <c r="D365" t="s">
        <v>14</v>
      </c>
      <c r="E365" s="36" t="str">
        <f t="shared" si="13"/>
        <v>Gore Magala (Shagaru)KO</v>
      </c>
      <c r="F365" s="36" t="str">
        <f>IFERROR(VLOOKUP($E365,'Status Thresholds'!$E:$AS,1,FALSE),"")</f>
        <v>Gore Magala (Shagaru)KO</v>
      </c>
      <c r="H365" s="55" t="str">
        <f t="shared" si="14"/>
        <v>Gore Magala (Shagaru)KO</v>
      </c>
      <c r="I365" s="50">
        <f>VLOOKUP($F365,'Status Thresholds'!$E:$AS,2,FALSE)</f>
        <v>260</v>
      </c>
      <c r="J365" s="36">
        <f>VLOOKUP($F365,'Status Thresholds'!$E:$AS,3,FALSE)</f>
        <v>454</v>
      </c>
      <c r="K365" s="36">
        <f>VLOOKUP($F365,'Status Thresholds'!$E:$AS,4,FALSE)</f>
        <v>648</v>
      </c>
      <c r="L365" s="36">
        <f>VLOOKUP($F365,'Status Thresholds'!$E:$AS,5,FALSE)</f>
        <v>842</v>
      </c>
      <c r="M365" s="36">
        <f>VLOOKUP($F365,'Status Thresholds'!$E:$AS,6,FALSE)</f>
        <v>0</v>
      </c>
      <c r="N365" s="50">
        <f>VLOOKUP($F365,'Status Thresholds'!$E:$AS,7,FALSE)</f>
        <v>0</v>
      </c>
      <c r="O365" s="36">
        <f>VLOOKUP($F365,'Status Thresholds'!$E:$AS,8,FALSE)</f>
        <v>0</v>
      </c>
      <c r="P365" s="36">
        <f>VLOOKUP($F365,'Status Thresholds'!$E:$AS,9,FALSE)</f>
        <v>0</v>
      </c>
      <c r="Q365" s="36">
        <f>VLOOKUP($F365,'Status Thresholds'!$E:$AS,10,FALSE)</f>
        <v>0</v>
      </c>
      <c r="R365" s="36">
        <f>VLOOKUP($F365,'Status Thresholds'!$E:$AS,11,FALSE)</f>
        <v>0</v>
      </c>
      <c r="S365" s="50">
        <f>VLOOKUP($F365,'Status Thresholds'!$E:$AS,12,FALSE)</f>
        <v>0</v>
      </c>
      <c r="T365" s="36">
        <f>VLOOKUP($F365,'Status Thresholds'!$E:$AS,13,FALSE)</f>
        <v>0</v>
      </c>
      <c r="U365" s="36">
        <f>VLOOKUP($F365,'Status Thresholds'!$E:$AS,14,FALSE)</f>
        <v>0</v>
      </c>
      <c r="V365" s="36">
        <f>VLOOKUP($F365,'Status Thresholds'!$E:$AS,15,FALSE)</f>
        <v>0</v>
      </c>
      <c r="W365" s="36">
        <f>VLOOKUP($F365,'Status Thresholds'!$E:$AS,16,FALSE)</f>
        <v>0</v>
      </c>
      <c r="X365" s="50">
        <f>VLOOKUP($F365,'Status Thresholds'!$E:$AS,17,FALSE)</f>
        <v>0</v>
      </c>
      <c r="Y365" s="36">
        <f>VLOOKUP($F365,'Status Thresholds'!$E:$AS,18,FALSE)</f>
        <v>0</v>
      </c>
      <c r="Z365" s="36">
        <f>VLOOKUP($F365,'Status Thresholds'!$E:$AS,19,FALSE)</f>
        <v>0</v>
      </c>
      <c r="AA365" s="36">
        <f>VLOOKUP($F365,'Status Thresholds'!$E:$AS,20,FALSE)</f>
        <v>0</v>
      </c>
      <c r="AB365" s="36">
        <f>VLOOKUP($F365,'Status Thresholds'!$E:$AS,21,FALSE)</f>
        <v>0</v>
      </c>
      <c r="AC365" s="50">
        <f>VLOOKUP($F365,'Status Thresholds'!$E:$AS,22,FALSE)</f>
        <v>300</v>
      </c>
      <c r="AD365" s="36">
        <f>VLOOKUP($F365,'Status Thresholds'!$E:$AS,23,FALSE)</f>
        <v>525</v>
      </c>
      <c r="AE365" s="36">
        <f>VLOOKUP($F365,'Status Thresholds'!$E:$AS,24,FALSE)</f>
        <v>750</v>
      </c>
      <c r="AF365" s="36">
        <f>VLOOKUP($F365,'Status Thresholds'!$E:$AS,25,FALSE)</f>
        <v>975</v>
      </c>
      <c r="AG365" s="36">
        <f>VLOOKUP($F365,'Status Thresholds'!$E:$AS,26,FALSE)</f>
        <v>0</v>
      </c>
      <c r="AH365" s="50">
        <f>VLOOKUP($F365,'Status Thresholds'!$E:$AS,27,FALSE)</f>
        <v>0</v>
      </c>
      <c r="AI365" s="36">
        <f>VLOOKUP($F365,'Status Thresholds'!$E:$AS,28,FALSE)</f>
        <v>0</v>
      </c>
      <c r="AJ365" s="36">
        <f>VLOOKUP($F365,'Status Thresholds'!$E:$AS,29,FALSE)</f>
        <v>0</v>
      </c>
      <c r="AK365" s="36">
        <f>VLOOKUP($F365,'Status Thresholds'!$E:$AS,30,FALSE)</f>
        <v>0</v>
      </c>
      <c r="AL365" s="36">
        <f>VLOOKUP($F365,'Status Thresholds'!$E:$AS,31,FALSE)</f>
        <v>0</v>
      </c>
      <c r="AM365" s="50">
        <f>VLOOKUP($F365,'Status Thresholds'!$E:$AS,32,FALSE)</f>
        <v>0</v>
      </c>
      <c r="AN365" s="36">
        <f>VLOOKUP($F365,'Status Thresholds'!$E:$AS,33,FALSE)</f>
        <v>0</v>
      </c>
      <c r="AO365" s="36">
        <f>VLOOKUP($F365,'Status Thresholds'!$E:$AS,34,FALSE)</f>
        <v>0</v>
      </c>
      <c r="AP365" s="36">
        <f>VLOOKUP($F365,'Status Thresholds'!$E:$AS,35,FALSE)</f>
        <v>0</v>
      </c>
      <c r="AQ365" s="36">
        <f>VLOOKUP($F365,'Status Thresholds'!$E:$AS,36,FALSE)</f>
        <v>0</v>
      </c>
      <c r="AR365" s="50">
        <f>VLOOKUP($F365,'Status Thresholds'!$E:$AS,37,FALSE)</f>
        <v>0</v>
      </c>
      <c r="AS365" s="36">
        <f>VLOOKUP($F365,'Status Thresholds'!$E:$AS,38,FALSE)</f>
        <v>0</v>
      </c>
      <c r="AT365" s="36">
        <f>VLOOKUP($F365,'Status Thresholds'!$E:$AS,39,FALSE)</f>
        <v>0</v>
      </c>
      <c r="AU365" s="36">
        <f>VLOOKUP($F365,'Status Thresholds'!$E:$AS,40,FALSE)</f>
        <v>0</v>
      </c>
      <c r="AV365" s="36">
        <f>VLOOKUP($F365,'Status Thresholds'!$E:$AS,41,FALSE)</f>
        <v>10</v>
      </c>
      <c r="AW365">
        <v>0</v>
      </c>
      <c r="AX365">
        <v>0</v>
      </c>
    </row>
    <row r="366" spans="1:50" x14ac:dyDescent="0.25">
      <c r="A366" s="36"/>
      <c r="B366" t="s">
        <v>120</v>
      </c>
      <c r="C366" s="36" t="str">
        <f>'Status Thresholds'!B357</f>
        <v>Gore Magala (Shagaru)</v>
      </c>
      <c r="E366" s="36" t="str">
        <f t="shared" si="13"/>
        <v>Gore Magala (Shagaru)</v>
      </c>
      <c r="F366" s="36" t="str">
        <f>IFERROR(VLOOKUP($E366,'Status Thresholds'!$E:$AS,1,FALSE),"")</f>
        <v/>
      </c>
      <c r="G366" t="s">
        <v>21</v>
      </c>
      <c r="H366" s="55" t="str">
        <f t="shared" si="14"/>
        <v>Gore Magala (Shagaru)Triblast</v>
      </c>
      <c r="I366" s="50">
        <v>2</v>
      </c>
      <c r="J366" s="36">
        <v>2</v>
      </c>
      <c r="K366" s="36">
        <v>2</v>
      </c>
      <c r="L366" s="36">
        <v>2</v>
      </c>
      <c r="M366" s="36">
        <v>0</v>
      </c>
      <c r="N366" s="50">
        <v>0</v>
      </c>
      <c r="O366" s="36">
        <v>0</v>
      </c>
      <c r="P366" s="36">
        <v>0</v>
      </c>
      <c r="Q366" s="36">
        <v>0</v>
      </c>
      <c r="R366" s="36">
        <v>0</v>
      </c>
      <c r="S366" s="50">
        <v>0</v>
      </c>
      <c r="T366" s="36">
        <v>0</v>
      </c>
      <c r="U366" s="36">
        <v>0</v>
      </c>
      <c r="V366" s="36">
        <v>0</v>
      </c>
      <c r="W366" s="36">
        <v>0</v>
      </c>
      <c r="X366" s="50">
        <v>0</v>
      </c>
      <c r="Y366" s="36">
        <v>0</v>
      </c>
      <c r="Z366" s="36">
        <v>0</v>
      </c>
      <c r="AA366" s="36">
        <v>0</v>
      </c>
      <c r="AB366" s="36">
        <v>0</v>
      </c>
      <c r="AC366" s="50">
        <v>2</v>
      </c>
      <c r="AD366" s="36">
        <v>1</v>
      </c>
      <c r="AE366" s="36">
        <v>2</v>
      </c>
      <c r="AF366" s="36">
        <v>2</v>
      </c>
      <c r="AG366" s="36">
        <v>0</v>
      </c>
      <c r="AH366" s="50">
        <v>0</v>
      </c>
      <c r="AI366" s="36">
        <v>0</v>
      </c>
      <c r="AJ366" s="36">
        <v>0</v>
      </c>
      <c r="AK366" s="36">
        <v>0</v>
      </c>
      <c r="AL366" s="36">
        <v>0</v>
      </c>
      <c r="AM366" s="50">
        <v>0</v>
      </c>
      <c r="AN366" s="36">
        <v>0</v>
      </c>
      <c r="AO366" s="36">
        <v>0</v>
      </c>
      <c r="AP366" s="36">
        <v>0</v>
      </c>
      <c r="AQ366" s="36">
        <v>0</v>
      </c>
      <c r="AR366" s="50">
        <v>0</v>
      </c>
      <c r="AS366" s="36">
        <v>0</v>
      </c>
      <c r="AT366" s="36">
        <v>0</v>
      </c>
      <c r="AU366" s="36">
        <v>0</v>
      </c>
      <c r="AV366" s="36">
        <v>0</v>
      </c>
      <c r="AW366">
        <v>0</v>
      </c>
    </row>
    <row r="367" spans="1:50" x14ac:dyDescent="0.25">
      <c r="A367" s="36"/>
      <c r="B367" t="s">
        <v>120</v>
      </c>
      <c r="C367" s="36" t="str">
        <f>'Status Thresholds'!B358</f>
        <v>Gore Magala (Shagaru)</v>
      </c>
      <c r="E367" s="36" t="str">
        <f t="shared" si="13"/>
        <v>Gore Magala (Shagaru)</v>
      </c>
      <c r="F367" s="36" t="str">
        <f>IFERROR(VLOOKUP($E367,'Status Thresholds'!$E:$AS,1,FALSE),"")</f>
        <v/>
      </c>
      <c r="G367" t="s">
        <v>13</v>
      </c>
      <c r="H367" s="55" t="str">
        <f t="shared" si="14"/>
        <v>Gore Magala (Shagaru)Crag 3</v>
      </c>
      <c r="I367" s="50">
        <v>2</v>
      </c>
      <c r="J367" s="36">
        <v>1</v>
      </c>
      <c r="K367" s="36">
        <v>4</v>
      </c>
      <c r="L367" s="36">
        <v>4</v>
      </c>
      <c r="M367" s="36">
        <v>0</v>
      </c>
      <c r="N367" s="50">
        <v>0</v>
      </c>
      <c r="O367" s="36">
        <v>0</v>
      </c>
      <c r="P367" s="36">
        <v>0</v>
      </c>
      <c r="Q367" s="36">
        <v>0</v>
      </c>
      <c r="R367" s="36">
        <v>0</v>
      </c>
      <c r="S367" s="50">
        <v>0</v>
      </c>
      <c r="T367" s="36">
        <v>0</v>
      </c>
      <c r="U367" s="36">
        <v>0</v>
      </c>
      <c r="V367" s="36">
        <v>0</v>
      </c>
      <c r="W367" s="36">
        <v>0</v>
      </c>
      <c r="X367" s="50">
        <v>0</v>
      </c>
      <c r="Y367" s="36">
        <v>0</v>
      </c>
      <c r="Z367" s="36">
        <v>0</v>
      </c>
      <c r="AA367" s="36">
        <v>0</v>
      </c>
      <c r="AB367" s="36">
        <v>0</v>
      </c>
      <c r="AC367" s="50">
        <v>3</v>
      </c>
      <c r="AD367" s="36">
        <v>4</v>
      </c>
      <c r="AE367" s="36">
        <v>4</v>
      </c>
      <c r="AF367" s="36">
        <v>4</v>
      </c>
      <c r="AG367" s="36">
        <v>0</v>
      </c>
      <c r="AH367" s="50">
        <v>0</v>
      </c>
      <c r="AI367" s="36">
        <v>0</v>
      </c>
      <c r="AJ367" s="36">
        <v>0</v>
      </c>
      <c r="AK367" s="36">
        <v>0</v>
      </c>
      <c r="AL367" s="36">
        <v>0</v>
      </c>
      <c r="AM367" s="50">
        <v>0</v>
      </c>
      <c r="AN367" s="36">
        <v>0</v>
      </c>
      <c r="AO367" s="36">
        <v>0</v>
      </c>
      <c r="AP367" s="36">
        <v>0</v>
      </c>
      <c r="AQ367" s="36">
        <v>0</v>
      </c>
      <c r="AR367" s="50">
        <v>0</v>
      </c>
      <c r="AS367" s="36">
        <v>0</v>
      </c>
      <c r="AT367" s="36">
        <v>0</v>
      </c>
      <c r="AU367" s="36">
        <v>0</v>
      </c>
      <c r="AV367" s="36">
        <v>0</v>
      </c>
      <c r="AW367">
        <v>0</v>
      </c>
      <c r="AX367">
        <v>0</v>
      </c>
    </row>
    <row r="368" spans="1:50" x14ac:dyDescent="0.25">
      <c r="A368" s="36"/>
      <c r="B368" t="s">
        <v>120</v>
      </c>
      <c r="C368" s="36" t="str">
        <f>'Status Thresholds'!B359</f>
        <v>Gore Magala (Shagaru)</v>
      </c>
      <c r="E368" s="36" t="str">
        <f t="shared" si="13"/>
        <v>Gore Magala (Shagaru)</v>
      </c>
      <c r="F368" s="36" t="str">
        <f>IFERROR(VLOOKUP($E368,'Status Thresholds'!$E:$AS,1,FALSE),"")</f>
        <v/>
      </c>
      <c r="G368" t="s">
        <v>12</v>
      </c>
      <c r="H368" s="55" t="str">
        <f t="shared" si="14"/>
        <v>Gore Magala (Shagaru)Crag 2</v>
      </c>
      <c r="I368" s="50">
        <v>1</v>
      </c>
      <c r="J368" s="36">
        <v>3</v>
      </c>
      <c r="K368" s="36">
        <v>4</v>
      </c>
      <c r="L368" s="36">
        <v>4</v>
      </c>
      <c r="M368" s="36">
        <v>0</v>
      </c>
      <c r="N368" s="50">
        <v>0</v>
      </c>
      <c r="O368" s="36">
        <v>0</v>
      </c>
      <c r="P368" s="36">
        <v>0</v>
      </c>
      <c r="Q368" s="36">
        <v>0</v>
      </c>
      <c r="R368" s="36">
        <v>0</v>
      </c>
      <c r="S368" s="50">
        <v>0</v>
      </c>
      <c r="T368" s="36">
        <v>0</v>
      </c>
      <c r="U368" s="36">
        <v>0</v>
      </c>
      <c r="V368" s="36">
        <v>0</v>
      </c>
      <c r="W368" s="36">
        <v>0</v>
      </c>
      <c r="X368" s="50">
        <v>0</v>
      </c>
      <c r="Y368" s="36">
        <v>0</v>
      </c>
      <c r="Z368" s="36">
        <v>0</v>
      </c>
      <c r="AA368" s="36">
        <v>0</v>
      </c>
      <c r="AB368" s="36">
        <v>0</v>
      </c>
      <c r="AC368" s="50">
        <v>1</v>
      </c>
      <c r="AD368" s="36">
        <v>3</v>
      </c>
      <c r="AE368" s="36">
        <v>4</v>
      </c>
      <c r="AF368" s="36">
        <v>4</v>
      </c>
      <c r="AG368" s="36">
        <v>0</v>
      </c>
      <c r="AH368" s="50">
        <v>0</v>
      </c>
      <c r="AI368" s="36">
        <v>0</v>
      </c>
      <c r="AJ368" s="36">
        <v>0</v>
      </c>
      <c r="AK368" s="36">
        <v>0</v>
      </c>
      <c r="AL368" s="36">
        <v>0</v>
      </c>
      <c r="AM368" s="50">
        <v>0</v>
      </c>
      <c r="AN368" s="36">
        <v>0</v>
      </c>
      <c r="AO368" s="36">
        <v>0</v>
      </c>
      <c r="AP368" s="36">
        <v>0</v>
      </c>
      <c r="AQ368" s="36">
        <v>0</v>
      </c>
      <c r="AR368" s="50">
        <v>0</v>
      </c>
      <c r="AS368" s="36">
        <v>0</v>
      </c>
      <c r="AT368" s="36">
        <v>0</v>
      </c>
      <c r="AU368" s="36">
        <v>0</v>
      </c>
      <c r="AV368" s="36">
        <v>0</v>
      </c>
      <c r="AW368">
        <v>0</v>
      </c>
      <c r="AX368">
        <v>0</v>
      </c>
    </row>
    <row r="369" spans="1:50" x14ac:dyDescent="0.25">
      <c r="A369" s="36"/>
      <c r="B369" t="s">
        <v>120</v>
      </c>
      <c r="C369" s="36" t="str">
        <f>'Status Thresholds'!B360</f>
        <v>Gore Magala (Shagaru)</v>
      </c>
      <c r="E369" s="36" t="str">
        <f t="shared" si="13"/>
        <v>Gore Magala (Shagaru)</v>
      </c>
      <c r="F369" s="36" t="str">
        <f>IFERROR(VLOOKUP($E369,'Status Thresholds'!$E:$AS,1,FALSE),"")</f>
        <v/>
      </c>
      <c r="G369" t="s">
        <v>11</v>
      </c>
      <c r="H369" s="55" t="str">
        <f t="shared" si="14"/>
        <v>Gore Magala (Shagaru)Crag 1</v>
      </c>
      <c r="I369" s="50">
        <v>0</v>
      </c>
      <c r="J369" s="36">
        <v>7</v>
      </c>
      <c r="K369" s="36">
        <v>8</v>
      </c>
      <c r="L369" s="36">
        <v>8</v>
      </c>
      <c r="M369" s="36">
        <v>0</v>
      </c>
      <c r="N369" s="50">
        <v>0</v>
      </c>
      <c r="O369" s="36">
        <v>0</v>
      </c>
      <c r="P369" s="36">
        <v>0</v>
      </c>
      <c r="Q369" s="36">
        <v>0</v>
      </c>
      <c r="R369" s="36">
        <v>0</v>
      </c>
      <c r="S369" s="50">
        <v>0</v>
      </c>
      <c r="T369" s="36">
        <v>0</v>
      </c>
      <c r="U369" s="36">
        <v>0</v>
      </c>
      <c r="V369" s="36">
        <v>0</v>
      </c>
      <c r="W369" s="36">
        <v>0</v>
      </c>
      <c r="X369" s="50">
        <v>0</v>
      </c>
      <c r="Y369" s="36">
        <v>0</v>
      </c>
      <c r="Z369" s="36">
        <v>0</v>
      </c>
      <c r="AA369" s="36">
        <v>0</v>
      </c>
      <c r="AB369" s="36">
        <v>0</v>
      </c>
      <c r="AC369" s="50">
        <v>0</v>
      </c>
      <c r="AD369" s="36">
        <v>8</v>
      </c>
      <c r="AE369" s="36">
        <v>8</v>
      </c>
      <c r="AF369" s="36">
        <v>8</v>
      </c>
      <c r="AG369" s="36">
        <v>0</v>
      </c>
      <c r="AH369" s="50">
        <v>0</v>
      </c>
      <c r="AI369" s="36">
        <v>0</v>
      </c>
      <c r="AJ369" s="36">
        <v>0</v>
      </c>
      <c r="AK369" s="36">
        <v>0</v>
      </c>
      <c r="AL369" s="36">
        <v>0</v>
      </c>
      <c r="AM369" s="50">
        <v>0</v>
      </c>
      <c r="AN369" s="36">
        <v>0</v>
      </c>
      <c r="AO369" s="36">
        <v>0</v>
      </c>
      <c r="AP369" s="36">
        <v>0</v>
      </c>
      <c r="AQ369" s="36">
        <v>0</v>
      </c>
      <c r="AR369" s="50">
        <v>0</v>
      </c>
      <c r="AS369" s="36">
        <v>0</v>
      </c>
      <c r="AT369" s="36">
        <v>0</v>
      </c>
      <c r="AU369" s="36">
        <v>0</v>
      </c>
      <c r="AV369" s="36">
        <v>1</v>
      </c>
      <c r="AW369">
        <v>0</v>
      </c>
      <c r="AX369">
        <v>0</v>
      </c>
    </row>
    <row r="370" spans="1:50" x14ac:dyDescent="0.25">
      <c r="A370" s="36"/>
      <c r="B370" t="s">
        <v>119</v>
      </c>
      <c r="C370" s="36" t="str">
        <f>'Status Thresholds'!B361</f>
        <v>Gore Magala (Shagaru)</v>
      </c>
      <c r="E370" s="36" t="str">
        <f t="shared" si="13"/>
        <v>Gore Magala (Shagaru)</v>
      </c>
      <c r="F370" s="36" t="str">
        <f>IFERROR(VLOOKUP($E370,'Status Thresholds'!$E:$AS,1,FALSE),"")</f>
        <v/>
      </c>
      <c r="G370" t="s">
        <v>21</v>
      </c>
      <c r="H370" s="55" t="str">
        <f t="shared" si="14"/>
        <v>Gore Magala (Shagaru)Triblast</v>
      </c>
      <c r="I370" s="50">
        <v>2</v>
      </c>
      <c r="J370" s="36">
        <v>2</v>
      </c>
      <c r="K370" s="36">
        <v>2</v>
      </c>
      <c r="L370" s="36">
        <v>2</v>
      </c>
      <c r="M370" s="36">
        <v>0</v>
      </c>
      <c r="N370" s="50">
        <v>0</v>
      </c>
      <c r="O370" s="36">
        <v>0</v>
      </c>
      <c r="P370" s="36">
        <v>0</v>
      </c>
      <c r="Q370" s="36">
        <v>0</v>
      </c>
      <c r="R370" s="36">
        <v>0</v>
      </c>
      <c r="S370" s="50">
        <v>0</v>
      </c>
      <c r="T370" s="36">
        <v>0</v>
      </c>
      <c r="U370" s="36">
        <v>0</v>
      </c>
      <c r="V370" s="36">
        <v>0</v>
      </c>
      <c r="W370" s="36">
        <v>0</v>
      </c>
      <c r="X370" s="50">
        <v>0</v>
      </c>
      <c r="Y370" s="36">
        <v>0</v>
      </c>
      <c r="Z370" s="36">
        <v>0</v>
      </c>
      <c r="AA370" s="36">
        <v>0</v>
      </c>
      <c r="AB370" s="36">
        <v>0</v>
      </c>
      <c r="AC370" s="50">
        <v>1</v>
      </c>
      <c r="AD370" s="36">
        <v>2</v>
      </c>
      <c r="AE370" s="36">
        <v>2</v>
      </c>
      <c r="AF370" s="36">
        <v>2</v>
      </c>
      <c r="AG370" s="36">
        <v>0</v>
      </c>
      <c r="AH370" s="50">
        <v>0</v>
      </c>
      <c r="AI370" s="36">
        <v>0</v>
      </c>
      <c r="AJ370" s="36">
        <v>0</v>
      </c>
      <c r="AK370" s="36">
        <v>0</v>
      </c>
      <c r="AL370" s="36">
        <v>0</v>
      </c>
      <c r="AM370" s="50">
        <v>0</v>
      </c>
      <c r="AN370" s="36">
        <v>0</v>
      </c>
      <c r="AO370" s="36">
        <v>0</v>
      </c>
      <c r="AP370" s="36">
        <v>0</v>
      </c>
      <c r="AQ370" s="36">
        <v>0</v>
      </c>
      <c r="AR370" s="50">
        <v>0</v>
      </c>
      <c r="AS370" s="36">
        <v>0</v>
      </c>
      <c r="AT370" s="36">
        <v>0</v>
      </c>
      <c r="AU370" s="36">
        <v>0</v>
      </c>
      <c r="AV370" s="36">
        <v>0</v>
      </c>
      <c r="AW370">
        <v>0</v>
      </c>
      <c r="AX370">
        <v>0</v>
      </c>
    </row>
    <row r="371" spans="1:50" x14ac:dyDescent="0.25">
      <c r="A371" s="36"/>
      <c r="B371" t="s">
        <v>119</v>
      </c>
      <c r="C371" s="36" t="str">
        <f>'Status Thresholds'!B362</f>
        <v>Gore Magala (Shagaru)</v>
      </c>
      <c r="E371" s="36" t="str">
        <f t="shared" si="13"/>
        <v>Gore Magala (Shagaru)</v>
      </c>
      <c r="F371" s="36" t="str">
        <f>IFERROR(VLOOKUP($E371,'Status Thresholds'!$E:$AS,1,FALSE),"")</f>
        <v/>
      </c>
      <c r="G371" t="s">
        <v>13</v>
      </c>
      <c r="H371" s="55" t="str">
        <f t="shared" si="14"/>
        <v>Gore Magala (Shagaru)Crag 3</v>
      </c>
      <c r="I371" s="50">
        <v>1</v>
      </c>
      <c r="J371" s="36">
        <v>1</v>
      </c>
      <c r="K371" s="36">
        <v>4</v>
      </c>
      <c r="L371" s="36">
        <v>4</v>
      </c>
      <c r="M371" s="36">
        <v>0</v>
      </c>
      <c r="N371" s="50">
        <v>0</v>
      </c>
      <c r="O371" s="36">
        <v>0</v>
      </c>
      <c r="P371" s="36">
        <v>0</v>
      </c>
      <c r="Q371" s="36">
        <v>0</v>
      </c>
      <c r="R371" s="36">
        <v>0</v>
      </c>
      <c r="S371" s="50">
        <v>0</v>
      </c>
      <c r="T371" s="36">
        <v>0</v>
      </c>
      <c r="U371" s="36">
        <v>0</v>
      </c>
      <c r="V371" s="36">
        <v>0</v>
      </c>
      <c r="W371" s="36">
        <v>0</v>
      </c>
      <c r="X371" s="50">
        <v>0</v>
      </c>
      <c r="Y371" s="36">
        <v>0</v>
      </c>
      <c r="Z371" s="36">
        <v>0</v>
      </c>
      <c r="AA371" s="36">
        <v>0</v>
      </c>
      <c r="AB371" s="36">
        <v>0</v>
      </c>
      <c r="AC371" s="50">
        <v>3</v>
      </c>
      <c r="AD371" s="36">
        <v>4</v>
      </c>
      <c r="AE371" s="36">
        <v>4</v>
      </c>
      <c r="AF371" s="36">
        <v>4</v>
      </c>
      <c r="AG371" s="36">
        <v>0</v>
      </c>
      <c r="AH371" s="50">
        <v>0</v>
      </c>
      <c r="AI371" s="36">
        <v>0</v>
      </c>
      <c r="AJ371" s="36">
        <v>0</v>
      </c>
      <c r="AK371" s="36">
        <v>0</v>
      </c>
      <c r="AL371" s="36">
        <v>0</v>
      </c>
      <c r="AM371" s="50">
        <v>0</v>
      </c>
      <c r="AN371" s="36">
        <v>0</v>
      </c>
      <c r="AO371" s="36">
        <v>0</v>
      </c>
      <c r="AP371" s="36">
        <v>0</v>
      </c>
      <c r="AQ371" s="36">
        <v>0</v>
      </c>
      <c r="AR371" s="50">
        <v>0</v>
      </c>
      <c r="AS371" s="36">
        <v>0</v>
      </c>
      <c r="AT371" s="36">
        <v>0</v>
      </c>
      <c r="AU371" s="36">
        <v>0</v>
      </c>
      <c r="AV371" s="36">
        <v>0</v>
      </c>
      <c r="AW371">
        <v>0</v>
      </c>
      <c r="AX371">
        <v>0</v>
      </c>
    </row>
    <row r="372" spans="1:50" x14ac:dyDescent="0.25">
      <c r="A372" s="36"/>
      <c r="B372" t="s">
        <v>119</v>
      </c>
      <c r="C372" s="36" t="str">
        <f>'Status Thresholds'!B363</f>
        <v>Gore Magala (Shagaru)</v>
      </c>
      <c r="E372" s="36" t="str">
        <f t="shared" si="13"/>
        <v>Gore Magala (Shagaru)</v>
      </c>
      <c r="F372" s="36" t="str">
        <f>IFERROR(VLOOKUP($E372,'Status Thresholds'!$E:$AS,1,FALSE),"")</f>
        <v/>
      </c>
      <c r="G372" t="s">
        <v>12</v>
      </c>
      <c r="H372" s="55" t="str">
        <f t="shared" si="14"/>
        <v>Gore Magala (Shagaru)Crag 2</v>
      </c>
      <c r="I372" s="50">
        <v>0</v>
      </c>
      <c r="J372" s="36">
        <v>1</v>
      </c>
      <c r="K372" s="36">
        <v>3</v>
      </c>
      <c r="L372" s="36">
        <v>4</v>
      </c>
      <c r="M372" s="36">
        <v>0</v>
      </c>
      <c r="N372" s="50">
        <v>0</v>
      </c>
      <c r="O372" s="36">
        <v>0</v>
      </c>
      <c r="P372" s="36">
        <v>0</v>
      </c>
      <c r="Q372" s="36">
        <v>0</v>
      </c>
      <c r="R372" s="36">
        <v>0</v>
      </c>
      <c r="S372" s="50">
        <v>0</v>
      </c>
      <c r="T372" s="36">
        <v>0</v>
      </c>
      <c r="U372" s="36">
        <v>0</v>
      </c>
      <c r="V372" s="36">
        <v>0</v>
      </c>
      <c r="W372" s="36">
        <v>0</v>
      </c>
      <c r="X372" s="50">
        <v>0</v>
      </c>
      <c r="Y372" s="36">
        <v>0</v>
      </c>
      <c r="Z372" s="36">
        <v>0</v>
      </c>
      <c r="AA372" s="36">
        <v>0</v>
      </c>
      <c r="AB372" s="36">
        <v>0</v>
      </c>
      <c r="AC372" s="50">
        <v>1</v>
      </c>
      <c r="AD372" s="36">
        <v>0</v>
      </c>
      <c r="AE372" s="36">
        <v>4</v>
      </c>
      <c r="AF372" s="36">
        <v>4</v>
      </c>
      <c r="AG372" s="36">
        <v>0</v>
      </c>
      <c r="AH372" s="50">
        <v>0</v>
      </c>
      <c r="AI372" s="36">
        <v>0</v>
      </c>
      <c r="AJ372" s="36">
        <v>0</v>
      </c>
      <c r="AK372" s="36">
        <v>0</v>
      </c>
      <c r="AL372" s="36">
        <v>0</v>
      </c>
      <c r="AM372" s="50">
        <v>0</v>
      </c>
      <c r="AN372" s="36">
        <v>0</v>
      </c>
      <c r="AO372" s="36">
        <v>0</v>
      </c>
      <c r="AP372" s="36">
        <v>0</v>
      </c>
      <c r="AQ372" s="36">
        <v>0</v>
      </c>
      <c r="AR372" s="50">
        <v>0</v>
      </c>
      <c r="AS372" s="36">
        <v>0</v>
      </c>
      <c r="AT372" s="36">
        <v>0</v>
      </c>
      <c r="AU372" s="36">
        <v>0</v>
      </c>
      <c r="AV372" s="36">
        <v>0</v>
      </c>
      <c r="AW372">
        <v>0</v>
      </c>
      <c r="AX372">
        <v>0</v>
      </c>
    </row>
    <row r="373" spans="1:50" x14ac:dyDescent="0.25">
      <c r="A373" s="36"/>
      <c r="B373" t="s">
        <v>119</v>
      </c>
      <c r="C373" s="36" t="str">
        <f>'Status Thresholds'!B364</f>
        <v>Gore Magala (Shagaru)</v>
      </c>
      <c r="E373" s="36" t="str">
        <f t="shared" si="13"/>
        <v>Gore Magala (Shagaru)</v>
      </c>
      <c r="F373" s="36" t="str">
        <f>IFERROR(VLOOKUP($E373,'Status Thresholds'!$E:$AS,1,FALSE),"")</f>
        <v/>
      </c>
      <c r="G373" t="s">
        <v>11</v>
      </c>
      <c r="H373" s="55" t="str">
        <f t="shared" si="14"/>
        <v>Gore Magala (Shagaru)Crag 1</v>
      </c>
      <c r="I373" s="50">
        <v>2</v>
      </c>
      <c r="J373" s="36">
        <v>8</v>
      </c>
      <c r="K373" s="36">
        <v>8</v>
      </c>
      <c r="L373" s="36">
        <v>8</v>
      </c>
      <c r="M373" s="36">
        <v>0</v>
      </c>
      <c r="N373" s="50">
        <v>0</v>
      </c>
      <c r="O373" s="36">
        <v>0</v>
      </c>
      <c r="P373" s="36">
        <v>0</v>
      </c>
      <c r="Q373" s="36">
        <v>0</v>
      </c>
      <c r="R373" s="36">
        <v>0</v>
      </c>
      <c r="S373" s="50">
        <v>0</v>
      </c>
      <c r="T373" s="36">
        <v>0</v>
      </c>
      <c r="U373" s="36">
        <v>0</v>
      </c>
      <c r="V373" s="36">
        <v>0</v>
      </c>
      <c r="W373" s="36">
        <v>0</v>
      </c>
      <c r="X373" s="50">
        <v>0</v>
      </c>
      <c r="Y373" s="36">
        <v>0</v>
      </c>
      <c r="Z373" s="36">
        <v>0</v>
      </c>
      <c r="AA373" s="36">
        <v>0</v>
      </c>
      <c r="AB373" s="36">
        <v>0</v>
      </c>
      <c r="AC373" s="50">
        <v>2</v>
      </c>
      <c r="AD373" s="36">
        <v>7</v>
      </c>
      <c r="AE373" s="36">
        <v>8</v>
      </c>
      <c r="AF373" s="36">
        <v>8</v>
      </c>
      <c r="AG373" s="36">
        <v>0</v>
      </c>
      <c r="AH373" s="50">
        <v>0</v>
      </c>
      <c r="AI373" s="36">
        <v>0</v>
      </c>
      <c r="AJ373" s="36">
        <v>0</v>
      </c>
      <c r="AK373" s="36">
        <v>0</v>
      </c>
      <c r="AL373" s="36">
        <v>0</v>
      </c>
      <c r="AM373" s="50">
        <v>0</v>
      </c>
      <c r="AN373" s="36">
        <v>0</v>
      </c>
      <c r="AO373" s="36">
        <v>0</v>
      </c>
      <c r="AP373" s="36">
        <v>0</v>
      </c>
      <c r="AQ373" s="36">
        <v>0</v>
      </c>
      <c r="AR373" s="50">
        <v>0</v>
      </c>
      <c r="AS373" s="36">
        <v>0</v>
      </c>
      <c r="AT373" s="36">
        <v>0</v>
      </c>
      <c r="AU373" s="36">
        <v>0</v>
      </c>
      <c r="AV373" s="36">
        <v>1</v>
      </c>
      <c r="AW373">
        <v>0</v>
      </c>
      <c r="AX373">
        <v>0</v>
      </c>
    </row>
    <row r="374" spans="1:50" x14ac:dyDescent="0.25">
      <c r="A374" s="36"/>
      <c r="B374" t="s">
        <v>121</v>
      </c>
      <c r="C374" s="36" t="str">
        <f>'Status Thresholds'!B365</f>
        <v>Gravious</v>
      </c>
      <c r="D374" t="s">
        <v>14</v>
      </c>
      <c r="E374" s="36" t="str">
        <f t="shared" si="13"/>
        <v>GraviousKO</v>
      </c>
      <c r="F374" s="36" t="str">
        <f>IFERROR(VLOOKUP($E374,'Status Thresholds'!$E:$AS,1,FALSE),"")</f>
        <v>GraviousKO</v>
      </c>
      <c r="H374" s="55" t="str">
        <f t="shared" si="14"/>
        <v>GraviousKO</v>
      </c>
      <c r="I374" s="50">
        <f>VLOOKUP($F374,'Status Thresholds'!$E:$AS,2,FALSE)</f>
        <v>260</v>
      </c>
      <c r="J374" s="36">
        <f>VLOOKUP($F374,'Status Thresholds'!$E:$AS,3,FALSE)</f>
        <v>420</v>
      </c>
      <c r="K374" s="36">
        <f>VLOOKUP($F374,'Status Thresholds'!$E:$AS,4,FALSE)</f>
        <v>580</v>
      </c>
      <c r="L374" s="36">
        <f>VLOOKUP($F374,'Status Thresholds'!$E:$AS,5,FALSE)</f>
        <v>740</v>
      </c>
      <c r="M374" s="36">
        <f>VLOOKUP($F374,'Status Thresholds'!$E:$AS,6,FALSE)</f>
        <v>0</v>
      </c>
      <c r="N374" s="50">
        <f>VLOOKUP($F374,'Status Thresholds'!$E:$AS,7,FALSE)</f>
        <v>0</v>
      </c>
      <c r="O374" s="36">
        <f>VLOOKUP($F374,'Status Thresholds'!$E:$AS,8,FALSE)</f>
        <v>0</v>
      </c>
      <c r="P374" s="36">
        <f>VLOOKUP($F374,'Status Thresholds'!$E:$AS,9,FALSE)</f>
        <v>0</v>
      </c>
      <c r="Q374" s="36">
        <f>VLOOKUP($F374,'Status Thresholds'!$E:$AS,10,FALSE)</f>
        <v>0</v>
      </c>
      <c r="R374" s="36">
        <f>VLOOKUP($F374,'Status Thresholds'!$E:$AS,11,FALSE)</f>
        <v>0</v>
      </c>
      <c r="S374" s="50">
        <f>VLOOKUP($F374,'Status Thresholds'!$E:$AS,12,FALSE)</f>
        <v>0</v>
      </c>
      <c r="T374" s="36">
        <f>VLOOKUP($F374,'Status Thresholds'!$E:$AS,13,FALSE)</f>
        <v>0</v>
      </c>
      <c r="U374" s="36">
        <f>VLOOKUP($F374,'Status Thresholds'!$E:$AS,14,FALSE)</f>
        <v>0</v>
      </c>
      <c r="V374" s="36">
        <f>VLOOKUP($F374,'Status Thresholds'!$E:$AS,15,FALSE)</f>
        <v>0</v>
      </c>
      <c r="W374" s="36">
        <f>VLOOKUP($F374,'Status Thresholds'!$E:$AS,16,FALSE)</f>
        <v>0</v>
      </c>
      <c r="X374" s="50">
        <f>VLOOKUP($F374,'Status Thresholds'!$E:$AS,17,FALSE)</f>
        <v>0</v>
      </c>
      <c r="Y374" s="36">
        <f>VLOOKUP($F374,'Status Thresholds'!$E:$AS,18,FALSE)</f>
        <v>0</v>
      </c>
      <c r="Z374" s="36">
        <f>VLOOKUP($F374,'Status Thresholds'!$E:$AS,19,FALSE)</f>
        <v>0</v>
      </c>
      <c r="AA374" s="36">
        <f>VLOOKUP($F374,'Status Thresholds'!$E:$AS,20,FALSE)</f>
        <v>0</v>
      </c>
      <c r="AB374" s="36">
        <f>VLOOKUP($F374,'Status Thresholds'!$E:$AS,21,FALSE)</f>
        <v>0</v>
      </c>
      <c r="AC374" s="50">
        <f>VLOOKUP($F374,'Status Thresholds'!$E:$AS,22,FALSE)</f>
        <v>300</v>
      </c>
      <c r="AD374" s="36">
        <f>VLOOKUP($F374,'Status Thresholds'!$E:$AS,23,FALSE)</f>
        <v>412</v>
      </c>
      <c r="AE374" s="36">
        <f>VLOOKUP($F374,'Status Thresholds'!$E:$AS,24,FALSE)</f>
        <v>524</v>
      </c>
      <c r="AF374" s="36">
        <f>VLOOKUP($F374,'Status Thresholds'!$E:$AS,25,FALSE)</f>
        <v>636</v>
      </c>
      <c r="AG374" s="36">
        <f>VLOOKUP($F374,'Status Thresholds'!$E:$AS,26,FALSE)</f>
        <v>0</v>
      </c>
      <c r="AH374" s="50">
        <f>VLOOKUP($F374,'Status Thresholds'!$E:$AS,27,FALSE)</f>
        <v>300</v>
      </c>
      <c r="AI374" s="36">
        <f>VLOOKUP($F374,'Status Thresholds'!$E:$AS,28,FALSE)</f>
        <v>412</v>
      </c>
      <c r="AJ374" s="36">
        <f>VLOOKUP($F374,'Status Thresholds'!$E:$AS,29,FALSE)</f>
        <v>524</v>
      </c>
      <c r="AK374" s="36">
        <f>VLOOKUP($F374,'Status Thresholds'!$E:$AS,30,FALSE)</f>
        <v>636</v>
      </c>
      <c r="AL374" s="36">
        <f>VLOOKUP($F374,'Status Thresholds'!$E:$AS,31,FALSE)</f>
        <v>0</v>
      </c>
      <c r="AM374" s="50">
        <f>VLOOKUP($F374,'Status Thresholds'!$E:$AS,32,FALSE)</f>
        <v>400</v>
      </c>
      <c r="AN374" s="36">
        <f>VLOOKUP($F374,'Status Thresholds'!$E:$AS,33,FALSE)</f>
        <v>550</v>
      </c>
      <c r="AO374" s="36">
        <f>VLOOKUP($F374,'Status Thresholds'!$E:$AS,34,FALSE)</f>
        <v>700</v>
      </c>
      <c r="AP374" s="36">
        <f>VLOOKUP($F374,'Status Thresholds'!$E:$AS,35,FALSE)</f>
        <v>850</v>
      </c>
      <c r="AQ374" s="36">
        <f>VLOOKUP($F374,'Status Thresholds'!$E:$AS,36,FALSE)</f>
        <v>0</v>
      </c>
      <c r="AR374" s="50">
        <f>VLOOKUP($F374,'Status Thresholds'!$E:$AS,37,FALSE)</f>
        <v>0</v>
      </c>
      <c r="AS374" s="36">
        <f>VLOOKUP($F374,'Status Thresholds'!$E:$AS,38,FALSE)</f>
        <v>0</v>
      </c>
      <c r="AT374" s="36">
        <f>VLOOKUP($F374,'Status Thresholds'!$E:$AS,39,FALSE)</f>
        <v>0</v>
      </c>
      <c r="AU374" s="36">
        <f>VLOOKUP($F374,'Status Thresholds'!$E:$AS,40,FALSE)</f>
        <v>0</v>
      </c>
      <c r="AV374" s="36">
        <f>VLOOKUP($F374,'Status Thresholds'!$E:$AS,41,FALSE)</f>
        <v>10</v>
      </c>
      <c r="AW374">
        <v>0</v>
      </c>
      <c r="AX374">
        <v>0</v>
      </c>
    </row>
    <row r="375" spans="1:50" x14ac:dyDescent="0.25">
      <c r="A375" s="36"/>
      <c r="B375" t="s">
        <v>120</v>
      </c>
      <c r="C375" s="36" t="str">
        <f>'Status Thresholds'!B366</f>
        <v>Gravious</v>
      </c>
      <c r="E375" s="36" t="str">
        <f t="shared" si="13"/>
        <v>Gravious</v>
      </c>
      <c r="F375" s="36" t="str">
        <f>IFERROR(VLOOKUP($E375,'Status Thresholds'!$E:$AS,1,FALSE),"")</f>
        <v/>
      </c>
      <c r="G375" t="s">
        <v>21</v>
      </c>
      <c r="H375" s="55" t="str">
        <f t="shared" si="14"/>
        <v>GraviousTriblast</v>
      </c>
      <c r="I375" s="50">
        <v>2</v>
      </c>
      <c r="J375" s="36">
        <v>2</v>
      </c>
      <c r="K375" s="36">
        <v>2</v>
      </c>
      <c r="L375" s="36">
        <v>2</v>
      </c>
      <c r="M375" s="36">
        <v>0</v>
      </c>
      <c r="N375" s="50">
        <v>0</v>
      </c>
      <c r="O375" s="36">
        <v>0</v>
      </c>
      <c r="P375" s="36">
        <v>0</v>
      </c>
      <c r="Q375" s="36">
        <v>0</v>
      </c>
      <c r="R375" s="36">
        <v>0</v>
      </c>
      <c r="S375" s="50">
        <v>0</v>
      </c>
      <c r="T375" s="36">
        <v>0</v>
      </c>
      <c r="U375" s="36">
        <v>0</v>
      </c>
      <c r="V375" s="36">
        <v>0</v>
      </c>
      <c r="W375" s="36">
        <v>0</v>
      </c>
      <c r="X375" s="50">
        <v>0</v>
      </c>
      <c r="Y375" s="36">
        <v>0</v>
      </c>
      <c r="Z375" s="36">
        <v>0</v>
      </c>
      <c r="AA375" s="36">
        <v>0</v>
      </c>
      <c r="AB375" s="36">
        <v>0</v>
      </c>
      <c r="AC375" s="50">
        <v>2</v>
      </c>
      <c r="AD375" s="36">
        <v>0</v>
      </c>
      <c r="AE375" s="36">
        <v>2</v>
      </c>
      <c r="AF375" s="36">
        <v>2</v>
      </c>
      <c r="AG375" s="36">
        <v>0</v>
      </c>
      <c r="AH375" s="50">
        <v>2</v>
      </c>
      <c r="AI375" s="36">
        <v>0</v>
      </c>
      <c r="AJ375" s="36">
        <v>2</v>
      </c>
      <c r="AK375" s="36">
        <v>2</v>
      </c>
      <c r="AL375" s="36">
        <v>0</v>
      </c>
      <c r="AM375" s="50">
        <v>2</v>
      </c>
      <c r="AN375" s="36">
        <v>2</v>
      </c>
      <c r="AO375" s="36">
        <v>2</v>
      </c>
      <c r="AP375" s="36">
        <v>2</v>
      </c>
      <c r="AQ375" s="36">
        <v>0</v>
      </c>
      <c r="AR375" s="50">
        <v>0</v>
      </c>
      <c r="AS375" s="36">
        <v>0</v>
      </c>
      <c r="AT375" s="36">
        <v>0</v>
      </c>
      <c r="AU375" s="36">
        <v>0</v>
      </c>
      <c r="AV375" s="36">
        <v>0</v>
      </c>
      <c r="AW375">
        <v>0</v>
      </c>
    </row>
    <row r="376" spans="1:50" x14ac:dyDescent="0.25">
      <c r="A376" s="36"/>
      <c r="B376" t="s">
        <v>120</v>
      </c>
      <c r="C376" s="36" t="str">
        <f>'Status Thresholds'!B367</f>
        <v>Gravious</v>
      </c>
      <c r="E376" s="36" t="str">
        <f t="shared" si="13"/>
        <v>Gravious</v>
      </c>
      <c r="F376" s="36" t="str">
        <f>IFERROR(VLOOKUP($E376,'Status Thresholds'!$E:$AS,1,FALSE),"")</f>
        <v/>
      </c>
      <c r="G376" t="s">
        <v>13</v>
      </c>
      <c r="H376" s="55" t="str">
        <f t="shared" si="14"/>
        <v>GraviousCrag 3</v>
      </c>
      <c r="I376" s="50">
        <v>2</v>
      </c>
      <c r="J376" s="36">
        <v>4</v>
      </c>
      <c r="K376" s="36">
        <v>4</v>
      </c>
      <c r="L376" s="36">
        <v>4</v>
      </c>
      <c r="M376" s="36">
        <v>0</v>
      </c>
      <c r="N376" s="50">
        <v>0</v>
      </c>
      <c r="O376" s="36">
        <v>0</v>
      </c>
      <c r="P376" s="36">
        <v>0</v>
      </c>
      <c r="Q376" s="36">
        <v>0</v>
      </c>
      <c r="R376" s="36">
        <v>0</v>
      </c>
      <c r="S376" s="50">
        <v>0</v>
      </c>
      <c r="T376" s="36">
        <v>0</v>
      </c>
      <c r="U376" s="36">
        <v>0</v>
      </c>
      <c r="V376" s="36">
        <v>0</v>
      </c>
      <c r="W376" s="36">
        <v>0</v>
      </c>
      <c r="X376" s="50">
        <v>0</v>
      </c>
      <c r="Y376" s="36">
        <v>0</v>
      </c>
      <c r="Z376" s="36">
        <v>0</v>
      </c>
      <c r="AA376" s="36">
        <v>0</v>
      </c>
      <c r="AB376" s="36">
        <v>0</v>
      </c>
      <c r="AC376" s="50">
        <v>3</v>
      </c>
      <c r="AD376" s="36">
        <v>3</v>
      </c>
      <c r="AE376" s="36">
        <v>2</v>
      </c>
      <c r="AF376" s="36">
        <v>4</v>
      </c>
      <c r="AG376" s="36">
        <v>0</v>
      </c>
      <c r="AH376" s="50">
        <v>3</v>
      </c>
      <c r="AI376" s="36">
        <v>3</v>
      </c>
      <c r="AJ376" s="36">
        <v>2</v>
      </c>
      <c r="AK376" s="36">
        <v>4</v>
      </c>
      <c r="AL376" s="36">
        <v>0</v>
      </c>
      <c r="AM376" s="50">
        <v>4</v>
      </c>
      <c r="AN376" s="36">
        <v>2</v>
      </c>
      <c r="AO376" s="36">
        <v>4</v>
      </c>
      <c r="AP376" s="36">
        <v>4</v>
      </c>
      <c r="AQ376" s="36">
        <v>0</v>
      </c>
      <c r="AR376" s="50">
        <v>0</v>
      </c>
      <c r="AS376" s="36">
        <v>0</v>
      </c>
      <c r="AT376" s="36">
        <v>0</v>
      </c>
      <c r="AU376" s="36">
        <v>0</v>
      </c>
      <c r="AV376" s="36">
        <v>0</v>
      </c>
      <c r="AW376">
        <v>0</v>
      </c>
      <c r="AX376">
        <v>0</v>
      </c>
    </row>
    <row r="377" spans="1:50" x14ac:dyDescent="0.25">
      <c r="A377" s="36"/>
      <c r="B377" t="s">
        <v>120</v>
      </c>
      <c r="C377" s="36" t="str">
        <f>'Status Thresholds'!B368</f>
        <v>Gravious</v>
      </c>
      <c r="E377" s="36" t="str">
        <f t="shared" si="13"/>
        <v>Gravious</v>
      </c>
      <c r="F377" s="36" t="str">
        <f>IFERROR(VLOOKUP($E377,'Status Thresholds'!$E:$AS,1,FALSE),"")</f>
        <v/>
      </c>
      <c r="G377" t="s">
        <v>12</v>
      </c>
      <c r="H377" s="55" t="str">
        <f t="shared" si="14"/>
        <v>GraviousCrag 2</v>
      </c>
      <c r="I377" s="50">
        <v>1</v>
      </c>
      <c r="J377" s="36">
        <v>2</v>
      </c>
      <c r="K377" s="36">
        <v>4</v>
      </c>
      <c r="L377" s="36">
        <v>4</v>
      </c>
      <c r="M377" s="36">
        <v>0</v>
      </c>
      <c r="N377" s="50">
        <v>0</v>
      </c>
      <c r="O377" s="36">
        <v>0</v>
      </c>
      <c r="P377" s="36">
        <v>0</v>
      </c>
      <c r="Q377" s="36">
        <v>0</v>
      </c>
      <c r="R377" s="36">
        <v>0</v>
      </c>
      <c r="S377" s="50">
        <v>0</v>
      </c>
      <c r="T377" s="36">
        <v>0</v>
      </c>
      <c r="U377" s="36">
        <v>0</v>
      </c>
      <c r="V377" s="36">
        <v>0</v>
      </c>
      <c r="W377" s="36">
        <v>0</v>
      </c>
      <c r="X377" s="50">
        <v>0</v>
      </c>
      <c r="Y377" s="36">
        <v>0</v>
      </c>
      <c r="Z377" s="36">
        <v>0</v>
      </c>
      <c r="AA377" s="36">
        <v>0</v>
      </c>
      <c r="AB377" s="36">
        <v>0</v>
      </c>
      <c r="AC377" s="50">
        <v>1</v>
      </c>
      <c r="AD377" s="36">
        <v>4</v>
      </c>
      <c r="AE377" s="36">
        <v>4</v>
      </c>
      <c r="AF377" s="36">
        <v>4</v>
      </c>
      <c r="AG377" s="36">
        <v>0</v>
      </c>
      <c r="AH377" s="50">
        <v>1</v>
      </c>
      <c r="AI377" s="36">
        <v>4</v>
      </c>
      <c r="AJ377" s="36">
        <v>4</v>
      </c>
      <c r="AK377" s="36">
        <v>4</v>
      </c>
      <c r="AL377" s="36">
        <v>0</v>
      </c>
      <c r="AM377" s="50">
        <v>3</v>
      </c>
      <c r="AN377" s="36">
        <v>4</v>
      </c>
      <c r="AO377" s="36">
        <v>4</v>
      </c>
      <c r="AP377" s="36">
        <v>4</v>
      </c>
      <c r="AQ377" s="36">
        <v>0</v>
      </c>
      <c r="AR377" s="50">
        <v>0</v>
      </c>
      <c r="AS377" s="36">
        <v>0</v>
      </c>
      <c r="AT377" s="36">
        <v>0</v>
      </c>
      <c r="AU377" s="36">
        <v>0</v>
      </c>
      <c r="AV377" s="36">
        <v>0</v>
      </c>
      <c r="AW377">
        <v>0</v>
      </c>
      <c r="AX377">
        <v>0</v>
      </c>
    </row>
    <row r="378" spans="1:50" x14ac:dyDescent="0.25">
      <c r="A378" s="36"/>
      <c r="B378" t="s">
        <v>120</v>
      </c>
      <c r="C378" s="36" t="str">
        <f>'Status Thresholds'!B369</f>
        <v>Gravious</v>
      </c>
      <c r="E378" s="36" t="str">
        <f t="shared" si="13"/>
        <v>Gravious</v>
      </c>
      <c r="F378" s="36" t="str">
        <f>IFERROR(VLOOKUP($E378,'Status Thresholds'!$E:$AS,1,FALSE),"")</f>
        <v/>
      </c>
      <c r="G378" t="s">
        <v>11</v>
      </c>
      <c r="H378" s="55" t="str">
        <f t="shared" si="14"/>
        <v>GraviousCrag 1</v>
      </c>
      <c r="I378" s="50">
        <v>0</v>
      </c>
      <c r="J378" s="36">
        <v>2</v>
      </c>
      <c r="K378" s="36">
        <v>6</v>
      </c>
      <c r="L378" s="36">
        <v>8</v>
      </c>
      <c r="M378" s="36">
        <v>0</v>
      </c>
      <c r="N378" s="50">
        <v>0</v>
      </c>
      <c r="O378" s="36">
        <v>0</v>
      </c>
      <c r="P378" s="36">
        <v>0</v>
      </c>
      <c r="Q378" s="36">
        <v>0</v>
      </c>
      <c r="R378" s="36">
        <v>0</v>
      </c>
      <c r="S378" s="50">
        <v>0</v>
      </c>
      <c r="T378" s="36">
        <v>0</v>
      </c>
      <c r="U378" s="36">
        <v>0</v>
      </c>
      <c r="V378" s="36">
        <v>0</v>
      </c>
      <c r="W378" s="36">
        <v>0</v>
      </c>
      <c r="X378" s="50">
        <v>0</v>
      </c>
      <c r="Y378" s="36">
        <v>0</v>
      </c>
      <c r="Z378" s="36">
        <v>0</v>
      </c>
      <c r="AA378" s="36">
        <v>0</v>
      </c>
      <c r="AB378" s="36">
        <v>0</v>
      </c>
      <c r="AC378" s="50">
        <v>0</v>
      </c>
      <c r="AD378" s="36">
        <v>7</v>
      </c>
      <c r="AE378" s="36">
        <v>7</v>
      </c>
      <c r="AF378" s="36">
        <v>8</v>
      </c>
      <c r="AG378" s="36">
        <v>0</v>
      </c>
      <c r="AH378" s="50">
        <v>0</v>
      </c>
      <c r="AI378" s="36">
        <v>7</v>
      </c>
      <c r="AJ378" s="36">
        <v>7</v>
      </c>
      <c r="AK378" s="36">
        <v>8</v>
      </c>
      <c r="AL378" s="36">
        <v>0</v>
      </c>
      <c r="AM378" s="50">
        <v>0</v>
      </c>
      <c r="AN378" s="36">
        <v>8</v>
      </c>
      <c r="AO378" s="36">
        <v>8</v>
      </c>
      <c r="AP378" s="36">
        <v>8</v>
      </c>
      <c r="AQ378" s="36">
        <v>0</v>
      </c>
      <c r="AR378" s="50">
        <v>0</v>
      </c>
      <c r="AS378" s="36">
        <v>0</v>
      </c>
      <c r="AT378" s="36">
        <v>0</v>
      </c>
      <c r="AU378" s="36">
        <v>0</v>
      </c>
      <c r="AV378" s="36">
        <v>1</v>
      </c>
      <c r="AW378">
        <v>0</v>
      </c>
      <c r="AX378">
        <v>0</v>
      </c>
    </row>
    <row r="379" spans="1:50" x14ac:dyDescent="0.25">
      <c r="A379" s="36"/>
      <c r="B379" t="s">
        <v>119</v>
      </c>
      <c r="C379" s="36" t="str">
        <f>'Status Thresholds'!B370</f>
        <v>Gravious</v>
      </c>
      <c r="E379" s="36" t="str">
        <f t="shared" si="13"/>
        <v>Gravious</v>
      </c>
      <c r="F379" s="36" t="str">
        <f>IFERROR(VLOOKUP($E379,'Status Thresholds'!$E:$AS,1,FALSE),"")</f>
        <v/>
      </c>
      <c r="G379" t="s">
        <v>21</v>
      </c>
      <c r="H379" s="55" t="str">
        <f t="shared" si="14"/>
        <v>GraviousTriblast</v>
      </c>
      <c r="I379" s="50">
        <v>2</v>
      </c>
      <c r="J379" s="36">
        <v>0</v>
      </c>
      <c r="K379" s="36">
        <v>2</v>
      </c>
      <c r="L379" s="36">
        <v>2</v>
      </c>
      <c r="M379" s="36">
        <v>0</v>
      </c>
      <c r="N379" s="50">
        <v>0</v>
      </c>
      <c r="O379" s="36">
        <v>0</v>
      </c>
      <c r="P379" s="36">
        <v>0</v>
      </c>
      <c r="Q379" s="36">
        <v>0</v>
      </c>
      <c r="R379" s="36">
        <v>0</v>
      </c>
      <c r="S379" s="50">
        <v>0</v>
      </c>
      <c r="T379" s="36">
        <v>0</v>
      </c>
      <c r="U379" s="36">
        <v>0</v>
      </c>
      <c r="V379" s="36">
        <v>0</v>
      </c>
      <c r="W379" s="36">
        <v>0</v>
      </c>
      <c r="X379" s="50">
        <v>0</v>
      </c>
      <c r="Y379" s="36">
        <v>0</v>
      </c>
      <c r="Z379" s="36">
        <v>0</v>
      </c>
      <c r="AA379" s="36">
        <v>0</v>
      </c>
      <c r="AB379" s="36">
        <v>0</v>
      </c>
      <c r="AC379" s="50">
        <v>1</v>
      </c>
      <c r="AD379" s="36">
        <v>2</v>
      </c>
      <c r="AE379" s="36">
        <v>2</v>
      </c>
      <c r="AF379" s="36">
        <v>2</v>
      </c>
      <c r="AG379" s="36">
        <v>0</v>
      </c>
      <c r="AH379" s="50">
        <v>1</v>
      </c>
      <c r="AI379" s="36">
        <v>2</v>
      </c>
      <c r="AJ379" s="36">
        <v>2</v>
      </c>
      <c r="AK379" s="36">
        <v>2</v>
      </c>
      <c r="AL379" s="36">
        <v>0</v>
      </c>
      <c r="AM379" s="50">
        <v>2</v>
      </c>
      <c r="AN379" s="36">
        <v>2</v>
      </c>
      <c r="AO379" s="36">
        <v>2</v>
      </c>
      <c r="AP379" s="36">
        <v>2</v>
      </c>
      <c r="AQ379" s="36">
        <v>0</v>
      </c>
      <c r="AR379" s="50">
        <v>0</v>
      </c>
      <c r="AS379" s="36">
        <v>0</v>
      </c>
      <c r="AT379" s="36">
        <v>0</v>
      </c>
      <c r="AU379" s="36">
        <v>0</v>
      </c>
      <c r="AV379" s="36">
        <v>0</v>
      </c>
      <c r="AW379">
        <v>0</v>
      </c>
      <c r="AX379">
        <v>0</v>
      </c>
    </row>
    <row r="380" spans="1:50" x14ac:dyDescent="0.25">
      <c r="A380" s="36"/>
      <c r="B380" t="s">
        <v>119</v>
      </c>
      <c r="C380" s="36" t="str">
        <f>'Status Thresholds'!B371</f>
        <v>Gravious</v>
      </c>
      <c r="E380" s="36" t="str">
        <f t="shared" si="13"/>
        <v>Gravious</v>
      </c>
      <c r="F380" s="36" t="str">
        <f>IFERROR(VLOOKUP($E380,'Status Thresholds'!$E:$AS,1,FALSE),"")</f>
        <v/>
      </c>
      <c r="G380" t="s">
        <v>13</v>
      </c>
      <c r="H380" s="55" t="str">
        <f t="shared" si="14"/>
        <v>GraviousCrag 3</v>
      </c>
      <c r="I380" s="50">
        <v>1</v>
      </c>
      <c r="J380" s="36">
        <v>3</v>
      </c>
      <c r="K380" s="36">
        <v>3</v>
      </c>
      <c r="L380" s="36">
        <v>4</v>
      </c>
      <c r="M380" s="36">
        <v>0</v>
      </c>
      <c r="N380" s="50">
        <v>0</v>
      </c>
      <c r="O380" s="36">
        <v>0</v>
      </c>
      <c r="P380" s="36">
        <v>0</v>
      </c>
      <c r="Q380" s="36">
        <v>0</v>
      </c>
      <c r="R380" s="36">
        <v>0</v>
      </c>
      <c r="S380" s="50">
        <v>0</v>
      </c>
      <c r="T380" s="36">
        <v>0</v>
      </c>
      <c r="U380" s="36">
        <v>0</v>
      </c>
      <c r="V380" s="36">
        <v>0</v>
      </c>
      <c r="W380" s="36">
        <v>0</v>
      </c>
      <c r="X380" s="50">
        <v>0</v>
      </c>
      <c r="Y380" s="36">
        <v>0</v>
      </c>
      <c r="Z380" s="36">
        <v>0</v>
      </c>
      <c r="AA380" s="36">
        <v>0</v>
      </c>
      <c r="AB380" s="36">
        <v>0</v>
      </c>
      <c r="AC380" s="50">
        <v>3</v>
      </c>
      <c r="AD380" s="36">
        <v>2</v>
      </c>
      <c r="AE380" s="36">
        <v>4</v>
      </c>
      <c r="AF380" s="36">
        <v>3</v>
      </c>
      <c r="AG380" s="36">
        <v>0</v>
      </c>
      <c r="AH380" s="50">
        <v>3</v>
      </c>
      <c r="AI380" s="36">
        <v>2</v>
      </c>
      <c r="AJ380" s="36">
        <v>4</v>
      </c>
      <c r="AK380" s="36">
        <v>3</v>
      </c>
      <c r="AL380" s="36">
        <v>0</v>
      </c>
      <c r="AM380" s="50">
        <v>1</v>
      </c>
      <c r="AN380" s="36">
        <v>4</v>
      </c>
      <c r="AO380" s="36">
        <v>4</v>
      </c>
      <c r="AP380" s="36">
        <v>4</v>
      </c>
      <c r="AQ380" s="36">
        <v>0</v>
      </c>
      <c r="AR380" s="50">
        <v>0</v>
      </c>
      <c r="AS380" s="36">
        <v>0</v>
      </c>
      <c r="AT380" s="36">
        <v>0</v>
      </c>
      <c r="AU380" s="36">
        <v>0</v>
      </c>
      <c r="AV380" s="36">
        <v>0</v>
      </c>
      <c r="AW380">
        <v>0</v>
      </c>
      <c r="AX380">
        <v>0</v>
      </c>
    </row>
    <row r="381" spans="1:50" x14ac:dyDescent="0.25">
      <c r="A381" s="36"/>
      <c r="B381" t="s">
        <v>119</v>
      </c>
      <c r="C381" s="36" t="str">
        <f>'Status Thresholds'!B372</f>
        <v>Gravious</v>
      </c>
      <c r="E381" s="36" t="str">
        <f t="shared" si="13"/>
        <v>Gravious</v>
      </c>
      <c r="F381" s="36" t="str">
        <f>IFERROR(VLOOKUP($E381,'Status Thresholds'!$E:$AS,1,FALSE),"")</f>
        <v/>
      </c>
      <c r="G381" t="s">
        <v>12</v>
      </c>
      <c r="H381" s="55" t="str">
        <f t="shared" si="14"/>
        <v>GraviousCrag 2</v>
      </c>
      <c r="I381" s="50">
        <v>0</v>
      </c>
      <c r="J381" s="36">
        <v>3</v>
      </c>
      <c r="K381" s="36">
        <v>3</v>
      </c>
      <c r="L381" s="36">
        <v>4</v>
      </c>
      <c r="M381" s="36">
        <v>0</v>
      </c>
      <c r="N381" s="50">
        <v>0</v>
      </c>
      <c r="O381" s="36">
        <v>0</v>
      </c>
      <c r="P381" s="36">
        <v>0</v>
      </c>
      <c r="Q381" s="36">
        <v>0</v>
      </c>
      <c r="R381" s="36">
        <v>0</v>
      </c>
      <c r="S381" s="50">
        <v>0</v>
      </c>
      <c r="T381" s="36">
        <v>0</v>
      </c>
      <c r="U381" s="36">
        <v>0</v>
      </c>
      <c r="V381" s="36">
        <v>0</v>
      </c>
      <c r="W381" s="36">
        <v>0</v>
      </c>
      <c r="X381" s="50">
        <v>0</v>
      </c>
      <c r="Y381" s="36">
        <v>0</v>
      </c>
      <c r="Z381" s="36">
        <v>0</v>
      </c>
      <c r="AA381" s="36">
        <v>0</v>
      </c>
      <c r="AB381" s="36">
        <v>0</v>
      </c>
      <c r="AC381" s="50">
        <v>1</v>
      </c>
      <c r="AD381" s="36">
        <v>0</v>
      </c>
      <c r="AE381" s="36">
        <v>4</v>
      </c>
      <c r="AF381" s="36">
        <v>4</v>
      </c>
      <c r="AG381" s="36">
        <v>0</v>
      </c>
      <c r="AH381" s="50">
        <v>1</v>
      </c>
      <c r="AI381" s="36">
        <v>0</v>
      </c>
      <c r="AJ381" s="36">
        <v>4</v>
      </c>
      <c r="AK381" s="36">
        <v>4</v>
      </c>
      <c r="AL381" s="36">
        <v>0</v>
      </c>
      <c r="AM381" s="50">
        <v>1</v>
      </c>
      <c r="AN381" s="36">
        <v>4</v>
      </c>
      <c r="AO381" s="36">
        <v>4</v>
      </c>
      <c r="AP381" s="36">
        <v>4</v>
      </c>
      <c r="AQ381" s="36">
        <v>0</v>
      </c>
      <c r="AR381" s="50">
        <v>0</v>
      </c>
      <c r="AS381" s="36">
        <v>0</v>
      </c>
      <c r="AT381" s="36">
        <v>0</v>
      </c>
      <c r="AU381" s="36">
        <v>0</v>
      </c>
      <c r="AV381" s="36">
        <v>0</v>
      </c>
      <c r="AW381">
        <v>0</v>
      </c>
      <c r="AX381">
        <v>0</v>
      </c>
    </row>
    <row r="382" spans="1:50" x14ac:dyDescent="0.25">
      <c r="A382" s="36"/>
      <c r="B382" t="s">
        <v>119</v>
      </c>
      <c r="C382" s="36" t="str">
        <f>'Status Thresholds'!B373</f>
        <v>Gravious</v>
      </c>
      <c r="E382" s="36" t="str">
        <f t="shared" si="13"/>
        <v>Gravious</v>
      </c>
      <c r="F382" s="36" t="str">
        <f>IFERROR(VLOOKUP($E382,'Status Thresholds'!$E:$AS,1,FALSE),"")</f>
        <v/>
      </c>
      <c r="G382" t="s">
        <v>11</v>
      </c>
      <c r="H382" s="55" t="str">
        <f t="shared" si="14"/>
        <v>GraviousCrag 1</v>
      </c>
      <c r="I382" s="50">
        <v>2</v>
      </c>
      <c r="J382" s="36">
        <v>7</v>
      </c>
      <c r="K382" s="36">
        <v>7</v>
      </c>
      <c r="L382" s="36">
        <v>8</v>
      </c>
      <c r="M382" s="36">
        <v>0</v>
      </c>
      <c r="N382" s="50">
        <v>0</v>
      </c>
      <c r="O382" s="36">
        <v>0</v>
      </c>
      <c r="P382" s="36">
        <v>0</v>
      </c>
      <c r="Q382" s="36">
        <v>0</v>
      </c>
      <c r="R382" s="36">
        <v>0</v>
      </c>
      <c r="S382" s="50">
        <v>0</v>
      </c>
      <c r="T382" s="36">
        <v>0</v>
      </c>
      <c r="U382" s="36">
        <v>0</v>
      </c>
      <c r="V382" s="36">
        <v>0</v>
      </c>
      <c r="W382" s="36">
        <v>0</v>
      </c>
      <c r="X382" s="50">
        <v>0</v>
      </c>
      <c r="Y382" s="36">
        <v>0</v>
      </c>
      <c r="Z382" s="36">
        <v>0</v>
      </c>
      <c r="AA382" s="36">
        <v>0</v>
      </c>
      <c r="AB382" s="36">
        <v>0</v>
      </c>
      <c r="AC382" s="50">
        <v>2</v>
      </c>
      <c r="AD382" s="36">
        <v>6</v>
      </c>
      <c r="AE382" s="36">
        <v>2</v>
      </c>
      <c r="AF382" s="36">
        <v>8</v>
      </c>
      <c r="AG382" s="36">
        <v>0</v>
      </c>
      <c r="AH382" s="50">
        <v>2</v>
      </c>
      <c r="AI382" s="36">
        <v>6</v>
      </c>
      <c r="AJ382" s="36">
        <v>2</v>
      </c>
      <c r="AK382" s="36">
        <v>8</v>
      </c>
      <c r="AL382" s="36">
        <v>0</v>
      </c>
      <c r="AM382" s="50">
        <v>6</v>
      </c>
      <c r="AN382" s="36">
        <v>3</v>
      </c>
      <c r="AO382" s="36">
        <v>8</v>
      </c>
      <c r="AP382" s="36">
        <v>8</v>
      </c>
      <c r="AQ382" s="36">
        <v>0</v>
      </c>
      <c r="AR382" s="50">
        <v>0</v>
      </c>
      <c r="AS382" s="36">
        <v>0</v>
      </c>
      <c r="AT382" s="36">
        <v>0</v>
      </c>
      <c r="AU382" s="36">
        <v>0</v>
      </c>
      <c r="AV382" s="36">
        <v>1</v>
      </c>
      <c r="AW382">
        <v>0</v>
      </c>
      <c r="AX382">
        <v>0</v>
      </c>
    </row>
    <row r="383" spans="1:50" x14ac:dyDescent="0.25">
      <c r="A383" s="36"/>
      <c r="B383" t="s">
        <v>121</v>
      </c>
      <c r="C383" s="36" t="str">
        <f>'Status Thresholds'!B374</f>
        <v>Great Maccao</v>
      </c>
      <c r="D383" t="s">
        <v>14</v>
      </c>
      <c r="E383" s="36" t="str">
        <f t="shared" si="13"/>
        <v>Great MaccaoKO</v>
      </c>
      <c r="F383" s="36" t="str">
        <f>IFERROR(VLOOKUP($E383,'Status Thresholds'!$E:$AS,1,FALSE),"")</f>
        <v>Great MaccaoKO</v>
      </c>
      <c r="H383" s="55" t="str">
        <f t="shared" si="14"/>
        <v>Great MaccaoKO</v>
      </c>
      <c r="I383" s="50">
        <f>VLOOKUP($F383,'Status Thresholds'!$E:$AS,2,FALSE)</f>
        <v>156</v>
      </c>
      <c r="J383" s="36">
        <f>VLOOKUP($F383,'Status Thresholds'!$E:$AS,3,FALSE)</f>
        <v>195</v>
      </c>
      <c r="K383" s="36">
        <f>VLOOKUP($F383,'Status Thresholds'!$E:$AS,4,FALSE)</f>
        <v>233</v>
      </c>
      <c r="L383" s="36">
        <f>VLOOKUP($F383,'Status Thresholds'!$E:$AS,5,FALSE)</f>
        <v>312</v>
      </c>
      <c r="M383" s="36">
        <f>VLOOKUP($F383,'Status Thresholds'!$E:$AS,6,FALSE)</f>
        <v>0</v>
      </c>
      <c r="N383" s="50">
        <f>VLOOKUP($F383,'Status Thresholds'!$E:$AS,7,FALSE)</f>
        <v>156</v>
      </c>
      <c r="O383" s="36">
        <f>VLOOKUP($F383,'Status Thresholds'!$E:$AS,8,FALSE)</f>
        <v>195</v>
      </c>
      <c r="P383" s="36">
        <f>VLOOKUP($F383,'Status Thresholds'!$E:$AS,9,FALSE)</f>
        <v>234</v>
      </c>
      <c r="Q383" s="36">
        <f>VLOOKUP($F383,'Status Thresholds'!$E:$AS,10,FALSE)</f>
        <v>273</v>
      </c>
      <c r="R383" s="36">
        <f>VLOOKUP($F383,'Status Thresholds'!$E:$AS,11,FALSE)</f>
        <v>0</v>
      </c>
      <c r="S383" s="50">
        <f>VLOOKUP($F383,'Status Thresholds'!$E:$AS,12,FALSE)</f>
        <v>0</v>
      </c>
      <c r="T383" s="36">
        <f>VLOOKUP($F383,'Status Thresholds'!$E:$AS,13,FALSE)</f>
        <v>0</v>
      </c>
      <c r="U383" s="36">
        <f>VLOOKUP($F383,'Status Thresholds'!$E:$AS,14,FALSE)</f>
        <v>0</v>
      </c>
      <c r="V383" s="36">
        <f>VLOOKUP($F383,'Status Thresholds'!$E:$AS,15,FALSE)</f>
        <v>0</v>
      </c>
      <c r="W383" s="36">
        <f>VLOOKUP($F383,'Status Thresholds'!$E:$AS,16,FALSE)</f>
        <v>0</v>
      </c>
      <c r="X383" s="50">
        <f>VLOOKUP($F383,'Status Thresholds'!$E:$AS,17,FALSE)</f>
        <v>0</v>
      </c>
      <c r="Y383" s="36">
        <f>VLOOKUP($F383,'Status Thresholds'!$E:$AS,18,FALSE)</f>
        <v>0</v>
      </c>
      <c r="Z383" s="36">
        <f>VLOOKUP($F383,'Status Thresholds'!$E:$AS,19,FALSE)</f>
        <v>0</v>
      </c>
      <c r="AA383" s="36">
        <f>VLOOKUP($F383,'Status Thresholds'!$E:$AS,20,FALSE)</f>
        <v>0</v>
      </c>
      <c r="AB383" s="36">
        <f>VLOOKUP($F383,'Status Thresholds'!$E:$AS,21,FALSE)</f>
        <v>0</v>
      </c>
      <c r="AC383" s="50">
        <f>VLOOKUP($F383,'Status Thresholds'!$E:$AS,22,FALSE)</f>
        <v>180</v>
      </c>
      <c r="AD383" s="36">
        <f>VLOOKUP($F383,'Status Thresholds'!$E:$AS,23,FALSE)</f>
        <v>225</v>
      </c>
      <c r="AE383" s="36">
        <f>VLOOKUP($F383,'Status Thresholds'!$E:$AS,24,FALSE)</f>
        <v>270</v>
      </c>
      <c r="AF383" s="36">
        <f>VLOOKUP($F383,'Status Thresholds'!$E:$AS,25,FALSE)</f>
        <v>315</v>
      </c>
      <c r="AG383" s="36">
        <f>VLOOKUP($F383,'Status Thresholds'!$E:$AS,26,FALSE)</f>
        <v>0</v>
      </c>
      <c r="AH383" s="50">
        <f>VLOOKUP($F383,'Status Thresholds'!$E:$AS,27,FALSE)</f>
        <v>180</v>
      </c>
      <c r="AI383" s="36">
        <f>VLOOKUP($F383,'Status Thresholds'!$E:$AS,28,FALSE)</f>
        <v>225</v>
      </c>
      <c r="AJ383" s="36">
        <f>VLOOKUP($F383,'Status Thresholds'!$E:$AS,29,FALSE)</f>
        <v>270</v>
      </c>
      <c r="AK383" s="36">
        <f>VLOOKUP($F383,'Status Thresholds'!$E:$AS,30,FALSE)</f>
        <v>315</v>
      </c>
      <c r="AL383" s="36">
        <f>VLOOKUP($F383,'Status Thresholds'!$E:$AS,31,FALSE)</f>
        <v>0</v>
      </c>
      <c r="AM383" s="50">
        <f>VLOOKUP($F383,'Status Thresholds'!$E:$AS,32,FALSE)</f>
        <v>0</v>
      </c>
      <c r="AN383" s="36">
        <f>VLOOKUP($F383,'Status Thresholds'!$E:$AS,33,FALSE)</f>
        <v>0</v>
      </c>
      <c r="AO383" s="36">
        <f>VLOOKUP($F383,'Status Thresholds'!$E:$AS,34,FALSE)</f>
        <v>0</v>
      </c>
      <c r="AP383" s="36">
        <f>VLOOKUP($F383,'Status Thresholds'!$E:$AS,35,FALSE)</f>
        <v>0</v>
      </c>
      <c r="AQ383" s="36">
        <f>VLOOKUP($F383,'Status Thresholds'!$E:$AS,36,FALSE)</f>
        <v>0</v>
      </c>
      <c r="AR383" s="50">
        <f>VLOOKUP($F383,'Status Thresholds'!$E:$AS,37,FALSE)</f>
        <v>0</v>
      </c>
      <c r="AS383" s="36">
        <f>VLOOKUP($F383,'Status Thresholds'!$E:$AS,38,FALSE)</f>
        <v>0</v>
      </c>
      <c r="AT383" s="36">
        <f>VLOOKUP($F383,'Status Thresholds'!$E:$AS,39,FALSE)</f>
        <v>0</v>
      </c>
      <c r="AU383" s="36">
        <f>VLOOKUP($F383,'Status Thresholds'!$E:$AS,40,FALSE)</f>
        <v>0</v>
      </c>
      <c r="AV383" s="36">
        <f>VLOOKUP($F383,'Status Thresholds'!$E:$AS,41,FALSE)</f>
        <v>10</v>
      </c>
      <c r="AW383">
        <v>0</v>
      </c>
      <c r="AX383">
        <v>0</v>
      </c>
    </row>
    <row r="384" spans="1:50" x14ac:dyDescent="0.25">
      <c r="A384" s="36"/>
      <c r="B384" t="s">
        <v>120</v>
      </c>
      <c r="C384" s="36" t="str">
        <f>'Status Thresholds'!B375</f>
        <v>Great Maccao</v>
      </c>
      <c r="E384" s="36" t="str">
        <f t="shared" si="13"/>
        <v>Great Maccao</v>
      </c>
      <c r="F384" s="36" t="str">
        <f>IFERROR(VLOOKUP($E384,'Status Thresholds'!$E:$AS,1,FALSE),"")</f>
        <v/>
      </c>
      <c r="G384" t="s">
        <v>21</v>
      </c>
      <c r="H384" s="55" t="str">
        <f t="shared" si="14"/>
        <v>Great MaccaoTriblast</v>
      </c>
      <c r="I384" s="50">
        <v>0</v>
      </c>
      <c r="J384" s="36">
        <v>1</v>
      </c>
      <c r="K384" s="36">
        <v>0</v>
      </c>
      <c r="L384" s="36">
        <v>1</v>
      </c>
      <c r="M384" s="36">
        <v>0</v>
      </c>
      <c r="N384" s="50">
        <v>0</v>
      </c>
      <c r="O384" s="36">
        <v>1</v>
      </c>
      <c r="P384" s="36">
        <v>1</v>
      </c>
      <c r="Q384" s="36">
        <v>0</v>
      </c>
      <c r="R384" s="36">
        <v>0</v>
      </c>
      <c r="S384" s="50">
        <v>0</v>
      </c>
      <c r="T384" s="36">
        <v>0</v>
      </c>
      <c r="U384" s="36">
        <v>0</v>
      </c>
      <c r="V384" s="36">
        <v>0</v>
      </c>
      <c r="W384" s="36">
        <v>0</v>
      </c>
      <c r="X384" s="50">
        <v>0</v>
      </c>
      <c r="Y384" s="36">
        <v>0</v>
      </c>
      <c r="Z384" s="36">
        <v>0</v>
      </c>
      <c r="AA384" s="36">
        <v>0</v>
      </c>
      <c r="AB384" s="36">
        <v>0</v>
      </c>
      <c r="AC384" s="50">
        <v>2</v>
      </c>
      <c r="AD384" s="36">
        <v>2</v>
      </c>
      <c r="AE384" s="36">
        <v>2</v>
      </c>
      <c r="AF384" s="36">
        <v>1</v>
      </c>
      <c r="AG384" s="36">
        <v>0</v>
      </c>
      <c r="AH384" s="50">
        <v>2</v>
      </c>
      <c r="AI384" s="36">
        <v>2</v>
      </c>
      <c r="AJ384" s="36">
        <v>2</v>
      </c>
      <c r="AK384" s="36">
        <v>1</v>
      </c>
      <c r="AL384" s="36">
        <v>0</v>
      </c>
      <c r="AM384" s="50">
        <v>0</v>
      </c>
      <c r="AN384" s="36">
        <v>0</v>
      </c>
      <c r="AO384" s="36">
        <v>0</v>
      </c>
      <c r="AP384" s="36">
        <v>0</v>
      </c>
      <c r="AQ384" s="36">
        <v>0</v>
      </c>
      <c r="AR384" s="50">
        <v>0</v>
      </c>
      <c r="AS384" s="36">
        <v>0</v>
      </c>
      <c r="AT384" s="36">
        <v>0</v>
      </c>
      <c r="AU384" s="36">
        <v>0</v>
      </c>
      <c r="AV384" s="36">
        <v>0</v>
      </c>
      <c r="AW384">
        <v>0</v>
      </c>
    </row>
    <row r="385" spans="1:50" x14ac:dyDescent="0.25">
      <c r="A385" s="36"/>
      <c r="B385" t="s">
        <v>120</v>
      </c>
      <c r="C385" s="36" t="str">
        <f>'Status Thresholds'!B376</f>
        <v>Great Maccao</v>
      </c>
      <c r="E385" s="36" t="str">
        <f t="shared" si="13"/>
        <v>Great Maccao</v>
      </c>
      <c r="F385" s="36" t="str">
        <f>IFERROR(VLOOKUP($E385,'Status Thresholds'!$E:$AS,1,FALSE),"")</f>
        <v/>
      </c>
      <c r="G385" t="s">
        <v>13</v>
      </c>
      <c r="H385" s="55" t="str">
        <f t="shared" si="14"/>
        <v>Great MaccaoCrag 3</v>
      </c>
      <c r="I385" s="50">
        <v>4</v>
      </c>
      <c r="J385" s="36">
        <v>0</v>
      </c>
      <c r="K385" s="36">
        <v>4</v>
      </c>
      <c r="L385" s="36">
        <v>3</v>
      </c>
      <c r="M385" s="36">
        <v>0</v>
      </c>
      <c r="N385" s="50">
        <v>4</v>
      </c>
      <c r="O385" s="36">
        <v>0</v>
      </c>
      <c r="P385" s="36">
        <v>4</v>
      </c>
      <c r="Q385" s="36">
        <v>4</v>
      </c>
      <c r="R385" s="36">
        <v>0</v>
      </c>
      <c r="S385" s="50">
        <v>0</v>
      </c>
      <c r="T385" s="36">
        <v>0</v>
      </c>
      <c r="U385" s="36">
        <v>0</v>
      </c>
      <c r="V385" s="36">
        <v>0</v>
      </c>
      <c r="W385" s="36">
        <v>0</v>
      </c>
      <c r="X385" s="50">
        <v>0</v>
      </c>
      <c r="Y385" s="36">
        <v>0</v>
      </c>
      <c r="Z385" s="36">
        <v>0</v>
      </c>
      <c r="AA385" s="36">
        <v>0</v>
      </c>
      <c r="AB385" s="36">
        <v>0</v>
      </c>
      <c r="AC385" s="50">
        <v>0</v>
      </c>
      <c r="AD385" s="36">
        <v>0</v>
      </c>
      <c r="AE385" s="36">
        <v>3</v>
      </c>
      <c r="AF385" s="36">
        <v>1</v>
      </c>
      <c r="AG385" s="36">
        <v>0</v>
      </c>
      <c r="AH385" s="50">
        <v>0</v>
      </c>
      <c r="AI385" s="36">
        <v>0</v>
      </c>
      <c r="AJ385" s="36">
        <v>3</v>
      </c>
      <c r="AK385" s="36">
        <v>1</v>
      </c>
      <c r="AL385" s="36">
        <v>0</v>
      </c>
      <c r="AM385" s="50">
        <v>0</v>
      </c>
      <c r="AN385" s="36">
        <v>0</v>
      </c>
      <c r="AO385" s="36">
        <v>0</v>
      </c>
      <c r="AP385" s="36">
        <v>0</v>
      </c>
      <c r="AQ385" s="36">
        <v>0</v>
      </c>
      <c r="AR385" s="50">
        <v>0</v>
      </c>
      <c r="AS385" s="36">
        <v>0</v>
      </c>
      <c r="AT385" s="36">
        <v>0</v>
      </c>
      <c r="AU385" s="36">
        <v>0</v>
      </c>
      <c r="AV385" s="36">
        <v>0</v>
      </c>
      <c r="AW385">
        <v>0</v>
      </c>
      <c r="AX385">
        <v>0</v>
      </c>
    </row>
    <row r="386" spans="1:50" x14ac:dyDescent="0.25">
      <c r="A386" s="36"/>
      <c r="B386" t="s">
        <v>120</v>
      </c>
      <c r="C386" s="36" t="str">
        <f>'Status Thresholds'!B377</f>
        <v>Great Maccao</v>
      </c>
      <c r="E386" s="36" t="str">
        <f t="shared" si="13"/>
        <v>Great Maccao</v>
      </c>
      <c r="F386" s="36" t="str">
        <f>IFERROR(VLOOKUP($E386,'Status Thresholds'!$E:$AS,1,FALSE),"")</f>
        <v/>
      </c>
      <c r="G386" t="s">
        <v>12</v>
      </c>
      <c r="H386" s="55" t="str">
        <f t="shared" si="14"/>
        <v>Great MaccaoCrag 2</v>
      </c>
      <c r="I386" s="50">
        <v>0</v>
      </c>
      <c r="J386" s="36">
        <v>4</v>
      </c>
      <c r="K386" s="36">
        <v>0</v>
      </c>
      <c r="L386" s="36">
        <v>4</v>
      </c>
      <c r="M386" s="36">
        <v>0</v>
      </c>
      <c r="N386" s="50">
        <v>0</v>
      </c>
      <c r="O386" s="36">
        <v>4</v>
      </c>
      <c r="P386" s="36">
        <v>0</v>
      </c>
      <c r="Q386" s="36">
        <v>3</v>
      </c>
      <c r="R386" s="36">
        <v>0</v>
      </c>
      <c r="S386" s="50">
        <v>0</v>
      </c>
      <c r="T386" s="36">
        <v>0</v>
      </c>
      <c r="U386" s="36">
        <v>0</v>
      </c>
      <c r="V386" s="36">
        <v>0</v>
      </c>
      <c r="W386" s="36">
        <v>0</v>
      </c>
      <c r="X386" s="50">
        <v>0</v>
      </c>
      <c r="Y386" s="36">
        <v>0</v>
      </c>
      <c r="Z386" s="36">
        <v>0</v>
      </c>
      <c r="AA386" s="36">
        <v>0</v>
      </c>
      <c r="AB386" s="36">
        <v>0</v>
      </c>
      <c r="AC386" s="50">
        <v>1</v>
      </c>
      <c r="AD386" s="36">
        <v>0</v>
      </c>
      <c r="AE386" s="36">
        <v>0</v>
      </c>
      <c r="AF386" s="36">
        <v>0</v>
      </c>
      <c r="AG386" s="36">
        <v>0</v>
      </c>
      <c r="AH386" s="50">
        <v>1</v>
      </c>
      <c r="AI386" s="36">
        <v>0</v>
      </c>
      <c r="AJ386" s="36">
        <v>0</v>
      </c>
      <c r="AK386" s="36">
        <v>0</v>
      </c>
      <c r="AL386" s="36">
        <v>0</v>
      </c>
      <c r="AM386" s="50">
        <v>0</v>
      </c>
      <c r="AN386" s="36">
        <v>0</v>
      </c>
      <c r="AO386" s="36">
        <v>0</v>
      </c>
      <c r="AP386" s="36">
        <v>0</v>
      </c>
      <c r="AQ386" s="36">
        <v>0</v>
      </c>
      <c r="AR386" s="50">
        <v>0</v>
      </c>
      <c r="AS386" s="36">
        <v>0</v>
      </c>
      <c r="AT386" s="36">
        <v>0</v>
      </c>
      <c r="AU386" s="36">
        <v>0</v>
      </c>
      <c r="AV386" s="36">
        <v>0</v>
      </c>
      <c r="AW386">
        <v>0</v>
      </c>
      <c r="AX386">
        <v>0</v>
      </c>
    </row>
    <row r="387" spans="1:50" x14ac:dyDescent="0.25">
      <c r="A387" s="36"/>
      <c r="B387" t="s">
        <v>120</v>
      </c>
      <c r="C387" s="36" t="str">
        <f>'Status Thresholds'!B378</f>
        <v>Great Maccao</v>
      </c>
      <c r="E387" s="36" t="str">
        <f t="shared" si="13"/>
        <v>Great Maccao</v>
      </c>
      <c r="F387" s="36" t="str">
        <f>IFERROR(VLOOKUP($E387,'Status Thresholds'!$E:$AS,1,FALSE),"")</f>
        <v/>
      </c>
      <c r="G387" t="s">
        <v>11</v>
      </c>
      <c r="H387" s="55" t="str">
        <f t="shared" si="14"/>
        <v>Great MaccaoCrag 1</v>
      </c>
      <c r="I387" s="50">
        <v>0</v>
      </c>
      <c r="J387" s="36">
        <v>0</v>
      </c>
      <c r="K387" s="36">
        <v>3</v>
      </c>
      <c r="L387" s="36">
        <v>0</v>
      </c>
      <c r="M387" s="36">
        <v>0</v>
      </c>
      <c r="N387" s="50">
        <v>0</v>
      </c>
      <c r="O387" s="36">
        <v>0</v>
      </c>
      <c r="P387" s="36">
        <v>0</v>
      </c>
      <c r="Q387" s="36">
        <v>1</v>
      </c>
      <c r="R387" s="36">
        <v>0</v>
      </c>
      <c r="S387" s="50">
        <v>0</v>
      </c>
      <c r="T387" s="36">
        <v>0</v>
      </c>
      <c r="U387" s="36">
        <v>0</v>
      </c>
      <c r="V387" s="36">
        <v>0</v>
      </c>
      <c r="W387" s="36">
        <v>0</v>
      </c>
      <c r="X387" s="50">
        <v>0</v>
      </c>
      <c r="Y387" s="36">
        <v>0</v>
      </c>
      <c r="Z387" s="36">
        <v>0</v>
      </c>
      <c r="AA387" s="36">
        <v>0</v>
      </c>
      <c r="AB387" s="36">
        <v>0</v>
      </c>
      <c r="AC387" s="50">
        <v>0</v>
      </c>
      <c r="AD387" s="36">
        <v>3</v>
      </c>
      <c r="AE387" s="36">
        <v>0</v>
      </c>
      <c r="AF387" s="36">
        <v>8</v>
      </c>
      <c r="AG387" s="36">
        <v>0</v>
      </c>
      <c r="AH387" s="50">
        <v>0</v>
      </c>
      <c r="AI387" s="36">
        <v>3</v>
      </c>
      <c r="AJ387" s="36">
        <v>0</v>
      </c>
      <c r="AK387" s="36">
        <v>8</v>
      </c>
      <c r="AL387" s="36">
        <v>0</v>
      </c>
      <c r="AM387" s="50">
        <v>0</v>
      </c>
      <c r="AN387" s="36">
        <v>0</v>
      </c>
      <c r="AO387" s="36">
        <v>0</v>
      </c>
      <c r="AP387" s="36">
        <v>0</v>
      </c>
      <c r="AQ387" s="36">
        <v>0</v>
      </c>
      <c r="AR387" s="50">
        <v>0</v>
      </c>
      <c r="AS387" s="36">
        <v>0</v>
      </c>
      <c r="AT387" s="36">
        <v>0</v>
      </c>
      <c r="AU387" s="36">
        <v>0</v>
      </c>
      <c r="AV387" s="36">
        <v>1</v>
      </c>
      <c r="AW387">
        <v>0</v>
      </c>
      <c r="AX387">
        <v>0</v>
      </c>
    </row>
    <row r="388" spans="1:50" x14ac:dyDescent="0.25">
      <c r="A388" s="36"/>
      <c r="B388" t="s">
        <v>119</v>
      </c>
      <c r="C388" s="36" t="str">
        <f>'Status Thresholds'!B379</f>
        <v>Great Maccao</v>
      </c>
      <c r="E388" s="36" t="str">
        <f t="shared" si="13"/>
        <v>Great Maccao</v>
      </c>
      <c r="F388" s="36" t="str">
        <f>IFERROR(VLOOKUP($E388,'Status Thresholds'!$E:$AS,1,FALSE),"")</f>
        <v/>
      </c>
      <c r="G388" t="s">
        <v>21</v>
      </c>
      <c r="H388" s="55" t="str">
        <f t="shared" si="14"/>
        <v>Great MaccaoTriblast</v>
      </c>
      <c r="I388" s="50">
        <v>0</v>
      </c>
      <c r="J388" s="36">
        <v>2</v>
      </c>
      <c r="K388" s="36">
        <v>2</v>
      </c>
      <c r="L388" s="36">
        <v>1</v>
      </c>
      <c r="M388" s="36">
        <v>0</v>
      </c>
      <c r="N388" s="50">
        <v>0</v>
      </c>
      <c r="O388" s="36">
        <v>2</v>
      </c>
      <c r="P388" s="36">
        <v>1</v>
      </c>
      <c r="Q388" s="36">
        <v>1</v>
      </c>
      <c r="R388" s="36">
        <v>0</v>
      </c>
      <c r="S388" s="50">
        <v>0</v>
      </c>
      <c r="T388" s="36">
        <v>0</v>
      </c>
      <c r="U388" s="36">
        <v>0</v>
      </c>
      <c r="V388" s="36">
        <v>0</v>
      </c>
      <c r="W388" s="36">
        <v>0</v>
      </c>
      <c r="X388" s="50">
        <v>0</v>
      </c>
      <c r="Y388" s="36">
        <v>0</v>
      </c>
      <c r="Z388" s="36">
        <v>0</v>
      </c>
      <c r="AA388" s="36">
        <v>0</v>
      </c>
      <c r="AB388" s="36">
        <v>0</v>
      </c>
      <c r="AC388" s="50">
        <v>1</v>
      </c>
      <c r="AD388" s="36">
        <v>0</v>
      </c>
      <c r="AE388" s="36">
        <v>2</v>
      </c>
      <c r="AF388" s="36">
        <v>2</v>
      </c>
      <c r="AG388" s="36">
        <v>0</v>
      </c>
      <c r="AH388" s="50">
        <v>1</v>
      </c>
      <c r="AI388" s="36">
        <v>0</v>
      </c>
      <c r="AJ388" s="36">
        <v>2</v>
      </c>
      <c r="AK388" s="36">
        <v>2</v>
      </c>
      <c r="AL388" s="36">
        <v>0</v>
      </c>
      <c r="AM388" s="50">
        <v>0</v>
      </c>
      <c r="AN388" s="36">
        <v>0</v>
      </c>
      <c r="AO388" s="36">
        <v>0</v>
      </c>
      <c r="AP388" s="36">
        <v>0</v>
      </c>
      <c r="AQ388" s="36">
        <v>0</v>
      </c>
      <c r="AR388" s="50">
        <v>0</v>
      </c>
      <c r="AS388" s="36">
        <v>0</v>
      </c>
      <c r="AT388" s="36">
        <v>0</v>
      </c>
      <c r="AU388" s="36">
        <v>0</v>
      </c>
      <c r="AV388" s="36">
        <v>0</v>
      </c>
      <c r="AW388">
        <v>0</v>
      </c>
      <c r="AX388">
        <v>0</v>
      </c>
    </row>
    <row r="389" spans="1:50" x14ac:dyDescent="0.25">
      <c r="A389" s="36"/>
      <c r="B389" t="s">
        <v>119</v>
      </c>
      <c r="C389" s="36" t="str">
        <f>'Status Thresholds'!B380</f>
        <v>Great Maccao</v>
      </c>
      <c r="E389" s="36" t="str">
        <f t="shared" si="13"/>
        <v>Great Maccao</v>
      </c>
      <c r="F389" s="36" t="str">
        <f>IFERROR(VLOOKUP($E389,'Status Thresholds'!$E:$AS,1,FALSE),"")</f>
        <v/>
      </c>
      <c r="G389" t="s">
        <v>13</v>
      </c>
      <c r="H389" s="55" t="str">
        <f t="shared" si="14"/>
        <v>Great MaccaoCrag 3</v>
      </c>
      <c r="I389" s="50">
        <v>1</v>
      </c>
      <c r="J389" s="36">
        <v>0</v>
      </c>
      <c r="K389" s="36">
        <v>1</v>
      </c>
      <c r="L389" s="36">
        <v>3</v>
      </c>
      <c r="M389" s="36">
        <v>0</v>
      </c>
      <c r="N389" s="50">
        <v>1</v>
      </c>
      <c r="O389" s="36">
        <v>0</v>
      </c>
      <c r="P389" s="36">
        <v>0</v>
      </c>
      <c r="Q389" s="36">
        <v>3</v>
      </c>
      <c r="R389" s="36">
        <v>0</v>
      </c>
      <c r="S389" s="50">
        <v>0</v>
      </c>
      <c r="T389" s="36">
        <v>0</v>
      </c>
      <c r="U389" s="36">
        <v>0</v>
      </c>
      <c r="V389" s="36">
        <v>0</v>
      </c>
      <c r="W389" s="36">
        <v>0</v>
      </c>
      <c r="X389" s="50">
        <v>0</v>
      </c>
      <c r="Y389" s="36">
        <v>0</v>
      </c>
      <c r="Z389" s="36">
        <v>0</v>
      </c>
      <c r="AA389" s="36">
        <v>0</v>
      </c>
      <c r="AB389" s="36">
        <v>0</v>
      </c>
      <c r="AC389" s="50">
        <v>0</v>
      </c>
      <c r="AD389" s="36">
        <v>3</v>
      </c>
      <c r="AE389" s="36">
        <v>0</v>
      </c>
      <c r="AF389" s="36">
        <v>0</v>
      </c>
      <c r="AG389" s="36">
        <v>0</v>
      </c>
      <c r="AH389" s="50">
        <v>0</v>
      </c>
      <c r="AI389" s="36">
        <v>3</v>
      </c>
      <c r="AJ389" s="36">
        <v>0</v>
      </c>
      <c r="AK389" s="36">
        <v>0</v>
      </c>
      <c r="AL389" s="36">
        <v>0</v>
      </c>
      <c r="AM389" s="50">
        <v>0</v>
      </c>
      <c r="AN389" s="36">
        <v>0</v>
      </c>
      <c r="AO389" s="36">
        <v>0</v>
      </c>
      <c r="AP389" s="36">
        <v>0</v>
      </c>
      <c r="AQ389" s="36">
        <v>0</v>
      </c>
      <c r="AR389" s="50">
        <v>0</v>
      </c>
      <c r="AS389" s="36">
        <v>0</v>
      </c>
      <c r="AT389" s="36">
        <v>0</v>
      </c>
      <c r="AU389" s="36">
        <v>0</v>
      </c>
      <c r="AV389" s="36">
        <v>0</v>
      </c>
      <c r="AW389">
        <v>0</v>
      </c>
      <c r="AX389">
        <v>0</v>
      </c>
    </row>
    <row r="390" spans="1:50" x14ac:dyDescent="0.25">
      <c r="A390" s="36"/>
      <c r="B390" t="s">
        <v>119</v>
      </c>
      <c r="C390" s="36" t="str">
        <f>'Status Thresholds'!B381</f>
        <v>Great Maccao</v>
      </c>
      <c r="E390" s="36" t="str">
        <f t="shared" ref="E390:E453" si="15">C390&amp;D390</f>
        <v>Great Maccao</v>
      </c>
      <c r="F390" s="36" t="str">
        <f>IFERROR(VLOOKUP($E390,'Status Thresholds'!$E:$AS,1,FALSE),"")</f>
        <v/>
      </c>
      <c r="G390" t="s">
        <v>12</v>
      </c>
      <c r="H390" s="55" t="str">
        <f t="shared" ref="H390:H453" si="16">E390&amp;G390</f>
        <v>Great MaccaoCrag 2</v>
      </c>
      <c r="I390" s="50">
        <v>1</v>
      </c>
      <c r="J390" s="36">
        <v>1</v>
      </c>
      <c r="K390" s="36">
        <v>0</v>
      </c>
      <c r="L390" s="36">
        <v>3</v>
      </c>
      <c r="M390" s="36">
        <v>0</v>
      </c>
      <c r="N390" s="50">
        <v>1</v>
      </c>
      <c r="O390" s="36">
        <v>1</v>
      </c>
      <c r="P390" s="36">
        <v>3</v>
      </c>
      <c r="Q390" s="36">
        <v>1</v>
      </c>
      <c r="R390" s="36">
        <v>0</v>
      </c>
      <c r="S390" s="50">
        <v>0</v>
      </c>
      <c r="T390" s="36">
        <v>0</v>
      </c>
      <c r="U390" s="36">
        <v>0</v>
      </c>
      <c r="V390" s="36">
        <v>0</v>
      </c>
      <c r="W390" s="36">
        <v>0</v>
      </c>
      <c r="X390" s="50">
        <v>0</v>
      </c>
      <c r="Y390" s="36">
        <v>0</v>
      </c>
      <c r="Z390" s="36">
        <v>0</v>
      </c>
      <c r="AA390" s="36">
        <v>0</v>
      </c>
      <c r="AB390" s="36">
        <v>0</v>
      </c>
      <c r="AC390" s="50">
        <v>3</v>
      </c>
      <c r="AD390" s="36">
        <v>2</v>
      </c>
      <c r="AE390" s="36">
        <v>0</v>
      </c>
      <c r="AF390" s="36">
        <v>3</v>
      </c>
      <c r="AG390" s="36">
        <v>0</v>
      </c>
      <c r="AH390" s="50">
        <v>3</v>
      </c>
      <c r="AI390" s="36">
        <v>2</v>
      </c>
      <c r="AJ390" s="36">
        <v>0</v>
      </c>
      <c r="AK390" s="36">
        <v>3</v>
      </c>
      <c r="AL390" s="36">
        <v>0</v>
      </c>
      <c r="AM390" s="50">
        <v>0</v>
      </c>
      <c r="AN390" s="36">
        <v>0</v>
      </c>
      <c r="AO390" s="36">
        <v>0</v>
      </c>
      <c r="AP390" s="36">
        <v>0</v>
      </c>
      <c r="AQ390" s="36">
        <v>0</v>
      </c>
      <c r="AR390" s="50">
        <v>0</v>
      </c>
      <c r="AS390" s="36">
        <v>0</v>
      </c>
      <c r="AT390" s="36">
        <v>0</v>
      </c>
      <c r="AU390" s="36">
        <v>0</v>
      </c>
      <c r="AV390" s="36">
        <v>0</v>
      </c>
      <c r="AW390">
        <v>0</v>
      </c>
      <c r="AX390">
        <v>0</v>
      </c>
    </row>
    <row r="391" spans="1:50" x14ac:dyDescent="0.25">
      <c r="A391" s="36"/>
      <c r="B391" t="s">
        <v>119</v>
      </c>
      <c r="C391" s="36" t="str">
        <f>'Status Thresholds'!B382</f>
        <v>Great Maccao</v>
      </c>
      <c r="E391" s="36" t="str">
        <f t="shared" si="15"/>
        <v>Great Maccao</v>
      </c>
      <c r="F391" s="36" t="str">
        <f>IFERROR(VLOOKUP($E391,'Status Thresholds'!$E:$AS,1,FALSE),"")</f>
        <v/>
      </c>
      <c r="G391" t="s">
        <v>11</v>
      </c>
      <c r="H391" s="55" t="str">
        <f t="shared" si="16"/>
        <v>Great MaccaoCrag 1</v>
      </c>
      <c r="I391" s="50">
        <v>3</v>
      </c>
      <c r="J391" s="36">
        <v>0</v>
      </c>
      <c r="K391" s="36">
        <v>1</v>
      </c>
      <c r="L391" s="36">
        <v>0</v>
      </c>
      <c r="M391" s="36">
        <v>0</v>
      </c>
      <c r="N391" s="50">
        <v>3</v>
      </c>
      <c r="O391" s="36">
        <v>0</v>
      </c>
      <c r="P391" s="36">
        <v>2</v>
      </c>
      <c r="Q391" s="36">
        <v>1</v>
      </c>
      <c r="R391" s="36">
        <v>0</v>
      </c>
      <c r="S391" s="50">
        <v>0</v>
      </c>
      <c r="T391" s="36">
        <v>0</v>
      </c>
      <c r="U391" s="36">
        <v>0</v>
      </c>
      <c r="V391" s="36">
        <v>0</v>
      </c>
      <c r="W391" s="36">
        <v>0</v>
      </c>
      <c r="X391" s="50">
        <v>0</v>
      </c>
      <c r="Y391" s="36">
        <v>0</v>
      </c>
      <c r="Z391" s="36">
        <v>0</v>
      </c>
      <c r="AA391" s="36">
        <v>0</v>
      </c>
      <c r="AB391" s="36">
        <v>0</v>
      </c>
      <c r="AC391" s="50">
        <v>0</v>
      </c>
      <c r="AD391" s="36">
        <v>1</v>
      </c>
      <c r="AE391" s="36">
        <v>4</v>
      </c>
      <c r="AF391" s="36">
        <v>2</v>
      </c>
      <c r="AG391" s="36">
        <v>0</v>
      </c>
      <c r="AH391" s="50">
        <v>0</v>
      </c>
      <c r="AI391" s="36">
        <v>1</v>
      </c>
      <c r="AJ391" s="36">
        <v>4</v>
      </c>
      <c r="AK391" s="36">
        <v>2</v>
      </c>
      <c r="AL391" s="36">
        <v>0</v>
      </c>
      <c r="AM391" s="50">
        <v>0</v>
      </c>
      <c r="AN391" s="36">
        <v>0</v>
      </c>
      <c r="AO391" s="36">
        <v>0</v>
      </c>
      <c r="AP391" s="36">
        <v>0</v>
      </c>
      <c r="AQ391" s="36">
        <v>0</v>
      </c>
      <c r="AR391" s="50">
        <v>0</v>
      </c>
      <c r="AS391" s="36">
        <v>0</v>
      </c>
      <c r="AT391" s="36">
        <v>0</v>
      </c>
      <c r="AU391" s="36">
        <v>0</v>
      </c>
      <c r="AV391" s="36">
        <v>1</v>
      </c>
      <c r="AW391">
        <v>0</v>
      </c>
      <c r="AX391">
        <v>0</v>
      </c>
    </row>
    <row r="392" spans="1:50" x14ac:dyDescent="0.25">
      <c r="A392" s="36"/>
      <c r="B392" s="36" t="s">
        <v>121</v>
      </c>
      <c r="C392" s="36" t="str">
        <f>'Status Thresholds'!B383</f>
        <v>Grimclaw Tigrex</v>
      </c>
      <c r="D392" t="s">
        <v>14</v>
      </c>
      <c r="E392" s="36" t="str">
        <f t="shared" si="15"/>
        <v>Grimclaw TigrexKO</v>
      </c>
      <c r="F392" s="36" t="str">
        <f>IFERROR(VLOOKUP($E392,'Status Thresholds'!$E:$AS,1,FALSE),"")</f>
        <v>Grimclaw TigrexKO</v>
      </c>
      <c r="H392" s="55" t="str">
        <f t="shared" si="16"/>
        <v>Grimclaw TigrexKO</v>
      </c>
      <c r="I392" s="50">
        <f>VLOOKUP($F392,'Status Thresholds'!$E:$AS,2,FALSE)</f>
        <v>0</v>
      </c>
      <c r="J392" s="36">
        <f>VLOOKUP($F392,'Status Thresholds'!$E:$AS,3,FALSE)</f>
        <v>0</v>
      </c>
      <c r="K392" s="36">
        <f>VLOOKUP($F392,'Status Thresholds'!$E:$AS,4,FALSE)</f>
        <v>0</v>
      </c>
      <c r="L392" s="36">
        <f>VLOOKUP($F392,'Status Thresholds'!$E:$AS,5,FALSE)</f>
        <v>0</v>
      </c>
      <c r="M392" s="36">
        <f>VLOOKUP($F392,'Status Thresholds'!$E:$AS,6,FALSE)</f>
        <v>0</v>
      </c>
      <c r="N392" s="50">
        <f>VLOOKUP($F392,'Status Thresholds'!$E:$AS,7,FALSE)</f>
        <v>0</v>
      </c>
      <c r="O392" s="36">
        <f>VLOOKUP($F392,'Status Thresholds'!$E:$AS,8,FALSE)</f>
        <v>0</v>
      </c>
      <c r="P392" s="36">
        <f>VLOOKUP($F392,'Status Thresholds'!$E:$AS,9,FALSE)</f>
        <v>0</v>
      </c>
      <c r="Q392" s="36">
        <f>VLOOKUP($F392,'Status Thresholds'!$E:$AS,10,FALSE)</f>
        <v>0</v>
      </c>
      <c r="R392" s="36">
        <f>VLOOKUP($F392,'Status Thresholds'!$E:$AS,11,FALSE)</f>
        <v>0</v>
      </c>
      <c r="S392" s="50">
        <f>VLOOKUP($F392,'Status Thresholds'!$E:$AS,12,FALSE)</f>
        <v>0</v>
      </c>
      <c r="T392" s="36">
        <f>VLOOKUP($F392,'Status Thresholds'!$E:$AS,13,FALSE)</f>
        <v>0</v>
      </c>
      <c r="U392" s="36">
        <f>VLOOKUP($F392,'Status Thresholds'!$E:$AS,14,FALSE)</f>
        <v>0</v>
      </c>
      <c r="V392" s="36">
        <f>VLOOKUP($F392,'Status Thresholds'!$E:$AS,15,FALSE)</f>
        <v>0</v>
      </c>
      <c r="W392" s="36">
        <f>VLOOKUP($F392,'Status Thresholds'!$E:$AS,16,FALSE)</f>
        <v>0</v>
      </c>
      <c r="X392" s="50">
        <f>VLOOKUP($F392,'Status Thresholds'!$E:$AS,17,FALSE)</f>
        <v>0</v>
      </c>
      <c r="Y392" s="36">
        <f>VLOOKUP($F392,'Status Thresholds'!$E:$AS,18,FALSE)</f>
        <v>0</v>
      </c>
      <c r="Z392" s="36">
        <f>VLOOKUP($F392,'Status Thresholds'!$E:$AS,19,FALSE)</f>
        <v>0</v>
      </c>
      <c r="AA392" s="36">
        <f>VLOOKUP($F392,'Status Thresholds'!$E:$AS,20,FALSE)</f>
        <v>0</v>
      </c>
      <c r="AB392" s="36">
        <f>VLOOKUP($F392,'Status Thresholds'!$E:$AS,21,FALSE)</f>
        <v>0</v>
      </c>
      <c r="AC392" s="50">
        <f>VLOOKUP($F392,'Status Thresholds'!$E:$AS,22,FALSE)</f>
        <v>0</v>
      </c>
      <c r="AD392" s="36">
        <f>VLOOKUP($F392,'Status Thresholds'!$E:$AS,23,FALSE)</f>
        <v>0</v>
      </c>
      <c r="AE392" s="36">
        <f>VLOOKUP($F392,'Status Thresholds'!$E:$AS,24,FALSE)</f>
        <v>0</v>
      </c>
      <c r="AF392" s="36">
        <f>VLOOKUP($F392,'Status Thresholds'!$E:$AS,25,FALSE)</f>
        <v>0</v>
      </c>
      <c r="AG392" s="36">
        <f>VLOOKUP($F392,'Status Thresholds'!$E:$AS,26,FALSE)</f>
        <v>0</v>
      </c>
      <c r="AH392" s="50">
        <f>VLOOKUP($F392,'Status Thresholds'!$E:$AS,27,FALSE)</f>
        <v>0</v>
      </c>
      <c r="AI392" s="36">
        <f>VLOOKUP($F392,'Status Thresholds'!$E:$AS,28,FALSE)</f>
        <v>0</v>
      </c>
      <c r="AJ392" s="36">
        <f>VLOOKUP($F392,'Status Thresholds'!$E:$AS,29,FALSE)</f>
        <v>0</v>
      </c>
      <c r="AK392" s="36">
        <f>VLOOKUP($F392,'Status Thresholds'!$E:$AS,30,FALSE)</f>
        <v>0</v>
      </c>
      <c r="AL392" s="36">
        <f>VLOOKUP($F392,'Status Thresholds'!$E:$AS,31,FALSE)</f>
        <v>0</v>
      </c>
      <c r="AM392" s="50">
        <f>VLOOKUP($F392,'Status Thresholds'!$E:$AS,32,FALSE)</f>
        <v>0</v>
      </c>
      <c r="AN392" s="36">
        <f>VLOOKUP($F392,'Status Thresholds'!$E:$AS,33,FALSE)</f>
        <v>0</v>
      </c>
      <c r="AO392" s="36">
        <f>VLOOKUP($F392,'Status Thresholds'!$E:$AS,34,FALSE)</f>
        <v>0</v>
      </c>
      <c r="AP392" s="36">
        <f>VLOOKUP($F392,'Status Thresholds'!$E:$AS,35,FALSE)</f>
        <v>0</v>
      </c>
      <c r="AQ392" s="36">
        <f>VLOOKUP($F392,'Status Thresholds'!$E:$AS,36,FALSE)</f>
        <v>0</v>
      </c>
      <c r="AR392" s="50">
        <f>VLOOKUP($F392,'Status Thresholds'!$E:$AS,37,FALSE)</f>
        <v>0</v>
      </c>
      <c r="AS392" s="36">
        <f>VLOOKUP($F392,'Status Thresholds'!$E:$AS,38,FALSE)</f>
        <v>0</v>
      </c>
      <c r="AT392" s="36">
        <f>VLOOKUP($F392,'Status Thresholds'!$E:$AS,39,FALSE)</f>
        <v>0</v>
      </c>
      <c r="AU392" s="36">
        <f>VLOOKUP($F392,'Status Thresholds'!$E:$AS,40,FALSE)</f>
        <v>0</v>
      </c>
      <c r="AV392" s="36">
        <f>VLOOKUP($F392,'Status Thresholds'!$E:$AS,41,FALSE)</f>
        <v>10</v>
      </c>
      <c r="AW392">
        <v>0</v>
      </c>
      <c r="AX392">
        <v>0</v>
      </c>
    </row>
    <row r="393" spans="1:50" x14ac:dyDescent="0.25">
      <c r="A393" s="36"/>
      <c r="B393" s="46" t="s">
        <v>120</v>
      </c>
      <c r="C393" s="36" t="str">
        <f>'Status Thresholds'!B384</f>
        <v>Grimclaw Tigrex</v>
      </c>
      <c r="E393" s="36" t="str">
        <f t="shared" si="15"/>
        <v>Grimclaw Tigrex</v>
      </c>
      <c r="F393" s="36" t="str">
        <f>IFERROR(VLOOKUP($E393,'Status Thresholds'!$E:$AS,1,FALSE),"")</f>
        <v/>
      </c>
      <c r="G393" t="s">
        <v>21</v>
      </c>
      <c r="H393" s="55" t="str">
        <f t="shared" si="16"/>
        <v>Grimclaw TigrexTriblast</v>
      </c>
      <c r="I393" s="50">
        <v>0</v>
      </c>
      <c r="J393" s="36">
        <v>0</v>
      </c>
      <c r="K393" s="36">
        <v>0</v>
      </c>
      <c r="L393" s="36">
        <v>0</v>
      </c>
      <c r="M393" s="36">
        <v>0</v>
      </c>
      <c r="N393" s="50">
        <v>0</v>
      </c>
      <c r="O393" s="36">
        <v>0</v>
      </c>
      <c r="P393" s="36">
        <v>0</v>
      </c>
      <c r="Q393" s="36">
        <v>0</v>
      </c>
      <c r="R393" s="36">
        <v>0</v>
      </c>
      <c r="S393" s="50">
        <v>0</v>
      </c>
      <c r="T393" s="36">
        <v>0</v>
      </c>
      <c r="U393" s="36">
        <v>0</v>
      </c>
      <c r="V393" s="36">
        <v>0</v>
      </c>
      <c r="W393" s="36">
        <v>0</v>
      </c>
      <c r="X393" s="50">
        <v>0</v>
      </c>
      <c r="Y393" s="36">
        <v>0</v>
      </c>
      <c r="Z393" s="36">
        <v>0</v>
      </c>
      <c r="AA393" s="36">
        <v>0</v>
      </c>
      <c r="AB393" s="36">
        <v>0</v>
      </c>
      <c r="AC393" s="50">
        <v>0</v>
      </c>
      <c r="AD393" s="36">
        <v>0</v>
      </c>
      <c r="AE393" s="36">
        <v>0</v>
      </c>
      <c r="AF393" s="36">
        <v>0</v>
      </c>
      <c r="AG393" s="36">
        <v>0</v>
      </c>
      <c r="AH393" s="50">
        <v>0</v>
      </c>
      <c r="AI393" s="36">
        <v>0</v>
      </c>
      <c r="AJ393" s="36">
        <v>0</v>
      </c>
      <c r="AK393" s="36">
        <v>0</v>
      </c>
      <c r="AL393" s="36">
        <v>0</v>
      </c>
      <c r="AM393" s="50">
        <v>0</v>
      </c>
      <c r="AN393" s="36">
        <v>0</v>
      </c>
      <c r="AO393" s="36">
        <v>0</v>
      </c>
      <c r="AP393" s="36">
        <v>0</v>
      </c>
      <c r="AQ393" s="36">
        <v>0</v>
      </c>
      <c r="AR393" s="50">
        <v>0</v>
      </c>
      <c r="AS393" s="36">
        <v>0</v>
      </c>
      <c r="AT393" s="36">
        <v>0</v>
      </c>
      <c r="AU393" s="36">
        <v>0</v>
      </c>
      <c r="AV393" s="36">
        <v>0</v>
      </c>
      <c r="AW393">
        <v>0</v>
      </c>
    </row>
    <row r="394" spans="1:50" x14ac:dyDescent="0.25">
      <c r="A394" s="36"/>
      <c r="B394" t="s">
        <v>120</v>
      </c>
      <c r="C394" s="36" t="str">
        <f>'Status Thresholds'!B385</f>
        <v>Grimclaw Tigrex</v>
      </c>
      <c r="E394" s="36" t="str">
        <f t="shared" si="15"/>
        <v>Grimclaw Tigrex</v>
      </c>
      <c r="F394" s="36" t="str">
        <f>IFERROR(VLOOKUP($E394,'Status Thresholds'!$E:$AS,1,FALSE),"")</f>
        <v/>
      </c>
      <c r="G394" t="s">
        <v>13</v>
      </c>
      <c r="H394" s="55" t="str">
        <f t="shared" si="16"/>
        <v>Grimclaw TigrexCrag 3</v>
      </c>
      <c r="I394" s="50">
        <v>0</v>
      </c>
      <c r="J394" s="36">
        <v>0</v>
      </c>
      <c r="K394" s="36">
        <v>0</v>
      </c>
      <c r="L394" s="36">
        <v>0</v>
      </c>
      <c r="M394" s="36">
        <v>0</v>
      </c>
      <c r="N394" s="50">
        <v>0</v>
      </c>
      <c r="O394" s="36">
        <v>0</v>
      </c>
      <c r="P394" s="36">
        <v>0</v>
      </c>
      <c r="Q394" s="36">
        <v>0</v>
      </c>
      <c r="R394" s="36">
        <v>0</v>
      </c>
      <c r="S394" s="50">
        <v>0</v>
      </c>
      <c r="T394" s="36">
        <v>0</v>
      </c>
      <c r="U394" s="36">
        <v>0</v>
      </c>
      <c r="V394" s="36">
        <v>0</v>
      </c>
      <c r="W394" s="36">
        <v>0</v>
      </c>
      <c r="X394" s="50">
        <v>0</v>
      </c>
      <c r="Y394" s="36">
        <v>0</v>
      </c>
      <c r="Z394" s="36">
        <v>0</v>
      </c>
      <c r="AA394" s="36">
        <v>0</v>
      </c>
      <c r="AB394" s="36">
        <v>0</v>
      </c>
      <c r="AC394" s="50">
        <v>0</v>
      </c>
      <c r="AD394" s="36">
        <v>0</v>
      </c>
      <c r="AE394" s="36">
        <v>0</v>
      </c>
      <c r="AF394" s="36">
        <v>0</v>
      </c>
      <c r="AG394" s="36">
        <v>0</v>
      </c>
      <c r="AH394" s="50">
        <v>0</v>
      </c>
      <c r="AI394" s="36">
        <v>0</v>
      </c>
      <c r="AJ394" s="36">
        <v>0</v>
      </c>
      <c r="AK394" s="36">
        <v>0</v>
      </c>
      <c r="AL394" s="36">
        <v>0</v>
      </c>
      <c r="AM394" s="50">
        <v>0</v>
      </c>
      <c r="AN394" s="36">
        <v>0</v>
      </c>
      <c r="AO394" s="36">
        <v>0</v>
      </c>
      <c r="AP394" s="36">
        <v>0</v>
      </c>
      <c r="AQ394" s="36">
        <v>0</v>
      </c>
      <c r="AR394" s="50">
        <v>0</v>
      </c>
      <c r="AS394" s="36">
        <v>0</v>
      </c>
      <c r="AT394" s="36">
        <v>0</v>
      </c>
      <c r="AU394" s="36">
        <v>0</v>
      </c>
      <c r="AV394" s="36">
        <v>0</v>
      </c>
      <c r="AW394">
        <v>0</v>
      </c>
      <c r="AX394">
        <v>0</v>
      </c>
    </row>
    <row r="395" spans="1:50" x14ac:dyDescent="0.25">
      <c r="A395" s="36"/>
      <c r="B395" t="s">
        <v>120</v>
      </c>
      <c r="C395" s="36" t="str">
        <f>'Status Thresholds'!B386</f>
        <v>Grimclaw Tigrex</v>
      </c>
      <c r="E395" s="36" t="str">
        <f t="shared" si="15"/>
        <v>Grimclaw Tigrex</v>
      </c>
      <c r="F395" s="36" t="str">
        <f>IFERROR(VLOOKUP($E395,'Status Thresholds'!$E:$AS,1,FALSE),"")</f>
        <v/>
      </c>
      <c r="G395" t="s">
        <v>12</v>
      </c>
      <c r="H395" s="55" t="str">
        <f t="shared" si="16"/>
        <v>Grimclaw TigrexCrag 2</v>
      </c>
      <c r="I395" s="50">
        <v>0</v>
      </c>
      <c r="J395" s="36">
        <v>0</v>
      </c>
      <c r="K395" s="36">
        <v>0</v>
      </c>
      <c r="L395" s="36">
        <v>0</v>
      </c>
      <c r="M395" s="36">
        <v>0</v>
      </c>
      <c r="N395" s="50">
        <v>0</v>
      </c>
      <c r="O395" s="36">
        <v>0</v>
      </c>
      <c r="P395" s="36">
        <v>0</v>
      </c>
      <c r="Q395" s="36">
        <v>0</v>
      </c>
      <c r="R395" s="36">
        <v>0</v>
      </c>
      <c r="S395" s="50">
        <v>0</v>
      </c>
      <c r="T395" s="36">
        <v>0</v>
      </c>
      <c r="U395" s="36">
        <v>0</v>
      </c>
      <c r="V395" s="36">
        <v>0</v>
      </c>
      <c r="W395" s="36">
        <v>0</v>
      </c>
      <c r="X395" s="50">
        <v>0</v>
      </c>
      <c r="Y395" s="36">
        <v>0</v>
      </c>
      <c r="Z395" s="36">
        <v>0</v>
      </c>
      <c r="AA395" s="36">
        <v>0</v>
      </c>
      <c r="AB395" s="36">
        <v>0</v>
      </c>
      <c r="AC395" s="50">
        <v>0</v>
      </c>
      <c r="AD395" s="36">
        <v>0</v>
      </c>
      <c r="AE395" s="36">
        <v>0</v>
      </c>
      <c r="AF395" s="36">
        <v>0</v>
      </c>
      <c r="AG395" s="36">
        <v>0</v>
      </c>
      <c r="AH395" s="50">
        <v>0</v>
      </c>
      <c r="AI395" s="36">
        <v>0</v>
      </c>
      <c r="AJ395" s="36">
        <v>0</v>
      </c>
      <c r="AK395" s="36">
        <v>0</v>
      </c>
      <c r="AL395" s="36">
        <v>0</v>
      </c>
      <c r="AM395" s="50">
        <v>0</v>
      </c>
      <c r="AN395" s="36">
        <v>0</v>
      </c>
      <c r="AO395" s="36">
        <v>0</v>
      </c>
      <c r="AP395" s="36">
        <v>0</v>
      </c>
      <c r="AQ395" s="36">
        <v>0</v>
      </c>
      <c r="AR395" s="50">
        <v>0</v>
      </c>
      <c r="AS395" s="36">
        <v>0</v>
      </c>
      <c r="AT395" s="36">
        <v>0</v>
      </c>
      <c r="AU395" s="36">
        <v>0</v>
      </c>
      <c r="AV395" s="36">
        <v>0</v>
      </c>
      <c r="AW395">
        <v>0</v>
      </c>
      <c r="AX395">
        <v>0</v>
      </c>
    </row>
    <row r="396" spans="1:50" x14ac:dyDescent="0.25">
      <c r="A396" s="36"/>
      <c r="B396" t="s">
        <v>120</v>
      </c>
      <c r="C396" s="36" t="str">
        <f>'Status Thresholds'!B387</f>
        <v>Grimclaw Tigrex</v>
      </c>
      <c r="E396" s="36" t="str">
        <f t="shared" si="15"/>
        <v>Grimclaw Tigrex</v>
      </c>
      <c r="F396" s="36" t="str">
        <f>IFERROR(VLOOKUP($E396,'Status Thresholds'!$E:$AS,1,FALSE),"")</f>
        <v/>
      </c>
      <c r="G396" t="s">
        <v>11</v>
      </c>
      <c r="H396" s="55" t="str">
        <f t="shared" si="16"/>
        <v>Grimclaw TigrexCrag 1</v>
      </c>
      <c r="I396" s="50">
        <v>0</v>
      </c>
      <c r="J396" s="36">
        <v>0</v>
      </c>
      <c r="K396" s="36">
        <v>0</v>
      </c>
      <c r="L396" s="36">
        <v>0</v>
      </c>
      <c r="M396" s="36">
        <v>0</v>
      </c>
      <c r="N396" s="50">
        <v>0</v>
      </c>
      <c r="O396" s="36">
        <v>0</v>
      </c>
      <c r="P396" s="36">
        <v>0</v>
      </c>
      <c r="Q396" s="36">
        <v>0</v>
      </c>
      <c r="R396" s="36">
        <v>0</v>
      </c>
      <c r="S396" s="50">
        <v>0</v>
      </c>
      <c r="T396" s="36">
        <v>0</v>
      </c>
      <c r="U396" s="36">
        <v>0</v>
      </c>
      <c r="V396" s="36">
        <v>0</v>
      </c>
      <c r="W396" s="36">
        <v>0</v>
      </c>
      <c r="X396" s="50">
        <v>0</v>
      </c>
      <c r="Y396" s="36">
        <v>0</v>
      </c>
      <c r="Z396" s="36">
        <v>0</v>
      </c>
      <c r="AA396" s="36">
        <v>0</v>
      </c>
      <c r="AB396" s="36">
        <v>0</v>
      </c>
      <c r="AC396" s="50">
        <v>0</v>
      </c>
      <c r="AD396" s="36">
        <v>0</v>
      </c>
      <c r="AE396" s="36">
        <v>0</v>
      </c>
      <c r="AF396" s="36">
        <v>0</v>
      </c>
      <c r="AG396" s="36">
        <v>0</v>
      </c>
      <c r="AH396" s="50">
        <v>0</v>
      </c>
      <c r="AI396" s="36">
        <v>0</v>
      </c>
      <c r="AJ396" s="36">
        <v>0</v>
      </c>
      <c r="AK396" s="36">
        <v>0</v>
      </c>
      <c r="AL396" s="36">
        <v>0</v>
      </c>
      <c r="AM396" s="50">
        <v>0</v>
      </c>
      <c r="AN396" s="36">
        <v>0</v>
      </c>
      <c r="AO396" s="36">
        <v>0</v>
      </c>
      <c r="AP396" s="36">
        <v>0</v>
      </c>
      <c r="AQ396" s="36">
        <v>0</v>
      </c>
      <c r="AR396" s="50">
        <v>0</v>
      </c>
      <c r="AS396" s="36">
        <v>0</v>
      </c>
      <c r="AT396" s="36">
        <v>0</v>
      </c>
      <c r="AU396" s="36">
        <v>0</v>
      </c>
      <c r="AV396" s="36">
        <v>1</v>
      </c>
      <c r="AW396">
        <v>0</v>
      </c>
      <c r="AX396">
        <v>0</v>
      </c>
    </row>
    <row r="397" spans="1:50" x14ac:dyDescent="0.25">
      <c r="A397" s="36"/>
      <c r="B397" s="36" t="s">
        <v>119</v>
      </c>
      <c r="C397" s="36" t="str">
        <f>'Status Thresholds'!B388</f>
        <v>Grimclaw Tigrex</v>
      </c>
      <c r="E397" s="36" t="str">
        <f t="shared" si="15"/>
        <v>Grimclaw Tigrex</v>
      </c>
      <c r="F397" s="36" t="str">
        <f>IFERROR(VLOOKUP($E397,'Status Thresholds'!$E:$AS,1,FALSE),"")</f>
        <v/>
      </c>
      <c r="G397" t="s">
        <v>21</v>
      </c>
      <c r="H397" s="55" t="str">
        <f t="shared" si="16"/>
        <v>Grimclaw TigrexTriblast</v>
      </c>
      <c r="I397" s="50">
        <v>0</v>
      </c>
      <c r="J397" s="36">
        <v>0</v>
      </c>
      <c r="K397" s="36">
        <v>0</v>
      </c>
      <c r="L397" s="36">
        <v>0</v>
      </c>
      <c r="M397" s="36">
        <v>0</v>
      </c>
      <c r="N397" s="50">
        <v>0</v>
      </c>
      <c r="O397" s="36">
        <v>0</v>
      </c>
      <c r="P397" s="36">
        <v>0</v>
      </c>
      <c r="Q397" s="36">
        <v>0</v>
      </c>
      <c r="R397" s="36">
        <v>0</v>
      </c>
      <c r="S397" s="50">
        <v>0</v>
      </c>
      <c r="T397" s="36">
        <v>0</v>
      </c>
      <c r="U397" s="36">
        <v>0</v>
      </c>
      <c r="V397" s="36">
        <v>0</v>
      </c>
      <c r="W397" s="36">
        <v>0</v>
      </c>
      <c r="X397" s="50">
        <v>0</v>
      </c>
      <c r="Y397" s="36">
        <v>0</v>
      </c>
      <c r="Z397" s="36">
        <v>0</v>
      </c>
      <c r="AA397" s="36">
        <v>0</v>
      </c>
      <c r="AB397" s="36">
        <v>0</v>
      </c>
      <c r="AC397" s="50">
        <v>0</v>
      </c>
      <c r="AD397" s="36">
        <v>0</v>
      </c>
      <c r="AE397" s="36">
        <v>0</v>
      </c>
      <c r="AF397" s="36">
        <v>0</v>
      </c>
      <c r="AG397" s="36">
        <v>0</v>
      </c>
      <c r="AH397" s="50">
        <v>0</v>
      </c>
      <c r="AI397" s="36">
        <v>0</v>
      </c>
      <c r="AJ397" s="36">
        <v>0</v>
      </c>
      <c r="AK397" s="36">
        <v>0</v>
      </c>
      <c r="AL397" s="36">
        <v>0</v>
      </c>
      <c r="AM397" s="50">
        <v>0</v>
      </c>
      <c r="AN397" s="36">
        <v>0</v>
      </c>
      <c r="AO397" s="36">
        <v>0</v>
      </c>
      <c r="AP397" s="36">
        <v>0</v>
      </c>
      <c r="AQ397" s="36">
        <v>0</v>
      </c>
      <c r="AR397" s="50">
        <v>0</v>
      </c>
      <c r="AS397" s="36">
        <v>0</v>
      </c>
      <c r="AT397" s="36">
        <v>0</v>
      </c>
      <c r="AU397" s="36">
        <v>0</v>
      </c>
      <c r="AV397" s="36">
        <v>0</v>
      </c>
      <c r="AW397">
        <v>0</v>
      </c>
      <c r="AX397">
        <v>0</v>
      </c>
    </row>
    <row r="398" spans="1:50" x14ac:dyDescent="0.25">
      <c r="A398" s="36"/>
      <c r="B398" t="s">
        <v>119</v>
      </c>
      <c r="C398" s="36" t="str">
        <f>'Status Thresholds'!B389</f>
        <v>Grimclaw Tigrex</v>
      </c>
      <c r="E398" s="36" t="str">
        <f t="shared" si="15"/>
        <v>Grimclaw Tigrex</v>
      </c>
      <c r="F398" s="36" t="str">
        <f>IFERROR(VLOOKUP($E398,'Status Thresholds'!$E:$AS,1,FALSE),"")</f>
        <v/>
      </c>
      <c r="G398" t="s">
        <v>13</v>
      </c>
      <c r="H398" s="55" t="str">
        <f t="shared" si="16"/>
        <v>Grimclaw TigrexCrag 3</v>
      </c>
      <c r="I398" s="50">
        <v>0</v>
      </c>
      <c r="J398" s="36">
        <v>0</v>
      </c>
      <c r="K398" s="36">
        <v>0</v>
      </c>
      <c r="L398" s="36">
        <v>0</v>
      </c>
      <c r="M398" s="36">
        <v>0</v>
      </c>
      <c r="N398" s="50">
        <v>0</v>
      </c>
      <c r="O398" s="36">
        <v>0</v>
      </c>
      <c r="P398" s="36">
        <v>0</v>
      </c>
      <c r="Q398" s="36">
        <v>0</v>
      </c>
      <c r="R398" s="36">
        <v>0</v>
      </c>
      <c r="S398" s="50">
        <v>0</v>
      </c>
      <c r="T398" s="36">
        <v>0</v>
      </c>
      <c r="U398" s="36">
        <v>0</v>
      </c>
      <c r="V398" s="36">
        <v>0</v>
      </c>
      <c r="W398" s="36">
        <v>0</v>
      </c>
      <c r="X398" s="50">
        <v>0</v>
      </c>
      <c r="Y398" s="36">
        <v>0</v>
      </c>
      <c r="Z398" s="36">
        <v>0</v>
      </c>
      <c r="AA398" s="36">
        <v>0</v>
      </c>
      <c r="AB398" s="36">
        <v>0</v>
      </c>
      <c r="AC398" s="50">
        <v>0</v>
      </c>
      <c r="AD398" s="36">
        <v>0</v>
      </c>
      <c r="AE398" s="36">
        <v>0</v>
      </c>
      <c r="AF398" s="36">
        <v>0</v>
      </c>
      <c r="AG398" s="36">
        <v>0</v>
      </c>
      <c r="AH398" s="50">
        <v>0</v>
      </c>
      <c r="AI398" s="36">
        <v>0</v>
      </c>
      <c r="AJ398" s="36">
        <v>0</v>
      </c>
      <c r="AK398" s="36">
        <v>0</v>
      </c>
      <c r="AL398" s="36">
        <v>0</v>
      </c>
      <c r="AM398" s="50">
        <v>0</v>
      </c>
      <c r="AN398" s="36">
        <v>0</v>
      </c>
      <c r="AO398" s="36">
        <v>0</v>
      </c>
      <c r="AP398" s="36">
        <v>0</v>
      </c>
      <c r="AQ398" s="36">
        <v>0</v>
      </c>
      <c r="AR398" s="50">
        <v>0</v>
      </c>
      <c r="AS398" s="36">
        <v>0</v>
      </c>
      <c r="AT398" s="36">
        <v>0</v>
      </c>
      <c r="AU398" s="36">
        <v>0</v>
      </c>
      <c r="AV398" s="36">
        <v>0</v>
      </c>
      <c r="AW398">
        <v>0</v>
      </c>
      <c r="AX398">
        <v>0</v>
      </c>
    </row>
    <row r="399" spans="1:50" x14ac:dyDescent="0.25">
      <c r="A399" s="36"/>
      <c r="B399" t="s">
        <v>119</v>
      </c>
      <c r="C399" s="36" t="str">
        <f>'Status Thresholds'!B390</f>
        <v>Grimclaw Tigrex</v>
      </c>
      <c r="E399" s="36" t="str">
        <f t="shared" si="15"/>
        <v>Grimclaw Tigrex</v>
      </c>
      <c r="F399" s="36" t="str">
        <f>IFERROR(VLOOKUP($E399,'Status Thresholds'!$E:$AS,1,FALSE),"")</f>
        <v/>
      </c>
      <c r="G399" t="s">
        <v>12</v>
      </c>
      <c r="H399" s="55" t="str">
        <f t="shared" si="16"/>
        <v>Grimclaw TigrexCrag 2</v>
      </c>
      <c r="I399" s="50">
        <v>0</v>
      </c>
      <c r="J399" s="36">
        <v>0</v>
      </c>
      <c r="K399" s="36">
        <v>0</v>
      </c>
      <c r="L399" s="36">
        <v>0</v>
      </c>
      <c r="M399" s="36">
        <v>0</v>
      </c>
      <c r="N399" s="50">
        <v>0</v>
      </c>
      <c r="O399" s="36">
        <v>0</v>
      </c>
      <c r="P399" s="36">
        <v>0</v>
      </c>
      <c r="Q399" s="36">
        <v>0</v>
      </c>
      <c r="R399" s="36">
        <v>0</v>
      </c>
      <c r="S399" s="50">
        <v>0</v>
      </c>
      <c r="T399" s="36">
        <v>0</v>
      </c>
      <c r="U399" s="36">
        <v>0</v>
      </c>
      <c r="V399" s="36">
        <v>0</v>
      </c>
      <c r="W399" s="36">
        <v>0</v>
      </c>
      <c r="X399" s="50">
        <v>0</v>
      </c>
      <c r="Y399" s="36">
        <v>0</v>
      </c>
      <c r="Z399" s="36">
        <v>0</v>
      </c>
      <c r="AA399" s="36">
        <v>0</v>
      </c>
      <c r="AB399" s="36">
        <v>0</v>
      </c>
      <c r="AC399" s="50">
        <v>0</v>
      </c>
      <c r="AD399" s="36">
        <v>0</v>
      </c>
      <c r="AE399" s="36">
        <v>0</v>
      </c>
      <c r="AF399" s="36">
        <v>0</v>
      </c>
      <c r="AG399" s="36">
        <v>0</v>
      </c>
      <c r="AH399" s="50">
        <v>0</v>
      </c>
      <c r="AI399" s="36">
        <v>0</v>
      </c>
      <c r="AJ399" s="36">
        <v>0</v>
      </c>
      <c r="AK399" s="36">
        <v>0</v>
      </c>
      <c r="AL399" s="36">
        <v>0</v>
      </c>
      <c r="AM399" s="50">
        <v>0</v>
      </c>
      <c r="AN399" s="36">
        <v>0</v>
      </c>
      <c r="AO399" s="36">
        <v>0</v>
      </c>
      <c r="AP399" s="36">
        <v>0</v>
      </c>
      <c r="AQ399" s="36">
        <v>0</v>
      </c>
      <c r="AR399" s="50">
        <v>0</v>
      </c>
      <c r="AS399" s="36">
        <v>0</v>
      </c>
      <c r="AT399" s="36">
        <v>0</v>
      </c>
      <c r="AU399" s="36">
        <v>0</v>
      </c>
      <c r="AV399" s="36">
        <v>0</v>
      </c>
      <c r="AW399">
        <v>0</v>
      </c>
      <c r="AX399">
        <v>0</v>
      </c>
    </row>
    <row r="400" spans="1:50" x14ac:dyDescent="0.25">
      <c r="A400" s="36"/>
      <c r="B400" t="s">
        <v>119</v>
      </c>
      <c r="C400" s="36" t="str">
        <f>'Status Thresholds'!B391</f>
        <v>Grimclaw Tigrex</v>
      </c>
      <c r="E400" s="36" t="str">
        <f t="shared" si="15"/>
        <v>Grimclaw Tigrex</v>
      </c>
      <c r="F400" s="36" t="str">
        <f>IFERROR(VLOOKUP($E400,'Status Thresholds'!$E:$AS,1,FALSE),"")</f>
        <v/>
      </c>
      <c r="G400" t="s">
        <v>11</v>
      </c>
      <c r="H400" s="55" t="str">
        <f t="shared" si="16"/>
        <v>Grimclaw TigrexCrag 1</v>
      </c>
      <c r="I400" s="50">
        <v>0</v>
      </c>
      <c r="J400" s="36">
        <v>0</v>
      </c>
      <c r="K400" s="36">
        <v>0</v>
      </c>
      <c r="L400" s="36">
        <v>0</v>
      </c>
      <c r="M400" s="36">
        <v>0</v>
      </c>
      <c r="N400" s="50">
        <v>0</v>
      </c>
      <c r="O400" s="36">
        <v>0</v>
      </c>
      <c r="P400" s="36">
        <v>0</v>
      </c>
      <c r="Q400" s="36">
        <v>0</v>
      </c>
      <c r="R400" s="36">
        <v>0</v>
      </c>
      <c r="S400" s="50">
        <v>0</v>
      </c>
      <c r="T400" s="36">
        <v>0</v>
      </c>
      <c r="U400" s="36">
        <v>0</v>
      </c>
      <c r="V400" s="36">
        <v>0</v>
      </c>
      <c r="W400" s="36">
        <v>0</v>
      </c>
      <c r="X400" s="50">
        <v>0</v>
      </c>
      <c r="Y400" s="36">
        <v>0</v>
      </c>
      <c r="Z400" s="36">
        <v>0</v>
      </c>
      <c r="AA400" s="36">
        <v>0</v>
      </c>
      <c r="AB400" s="36">
        <v>0</v>
      </c>
      <c r="AC400" s="50">
        <v>0</v>
      </c>
      <c r="AD400" s="36">
        <v>0</v>
      </c>
      <c r="AE400" s="36">
        <v>0</v>
      </c>
      <c r="AF400" s="36">
        <v>0</v>
      </c>
      <c r="AG400" s="36">
        <v>0</v>
      </c>
      <c r="AH400" s="50">
        <v>0</v>
      </c>
      <c r="AI400" s="36">
        <v>0</v>
      </c>
      <c r="AJ400" s="36">
        <v>0</v>
      </c>
      <c r="AK400" s="36">
        <v>0</v>
      </c>
      <c r="AL400" s="36">
        <v>0</v>
      </c>
      <c r="AM400" s="50">
        <v>0</v>
      </c>
      <c r="AN400" s="36">
        <v>0</v>
      </c>
      <c r="AO400" s="36">
        <v>0</v>
      </c>
      <c r="AP400" s="36">
        <v>0</v>
      </c>
      <c r="AQ400" s="36">
        <v>0</v>
      </c>
      <c r="AR400" s="50">
        <v>0</v>
      </c>
      <c r="AS400" s="36">
        <v>0</v>
      </c>
      <c r="AT400" s="36">
        <v>0</v>
      </c>
      <c r="AU400" s="36">
        <v>0</v>
      </c>
      <c r="AV400" s="36">
        <v>1</v>
      </c>
      <c r="AW400">
        <v>0</v>
      </c>
      <c r="AX400">
        <v>0</v>
      </c>
    </row>
    <row r="401" spans="1:50" x14ac:dyDescent="0.25">
      <c r="A401" s="36"/>
      <c r="B401" t="s">
        <v>121</v>
      </c>
      <c r="C401" s="36" t="str">
        <f>'Status Thresholds'!B392</f>
        <v>Gypceros</v>
      </c>
      <c r="D401" t="s">
        <v>14</v>
      </c>
      <c r="E401" s="36" t="str">
        <f t="shared" si="15"/>
        <v>GypcerosKO</v>
      </c>
      <c r="F401" s="36" t="str">
        <f>IFERROR(VLOOKUP($E401,'Status Thresholds'!$E:$AS,1,FALSE),"")</f>
        <v>GypcerosKO</v>
      </c>
      <c r="H401" s="55" t="str">
        <f t="shared" si="16"/>
        <v>GypcerosKO</v>
      </c>
      <c r="I401" s="50">
        <f>VLOOKUP($F401,'Status Thresholds'!$E:$AS,2,FALSE)</f>
        <v>195</v>
      </c>
      <c r="J401" s="36">
        <f>VLOOKUP($F401,'Status Thresholds'!$E:$AS,3,FALSE)</f>
        <v>292</v>
      </c>
      <c r="K401" s="36">
        <f>VLOOKUP($F401,'Status Thresholds'!$E:$AS,4,FALSE)</f>
        <v>390</v>
      </c>
      <c r="L401" s="36">
        <f>VLOOKUP($F401,'Status Thresholds'!$E:$AS,5,FALSE)</f>
        <v>487</v>
      </c>
      <c r="M401" s="36">
        <f>VLOOKUP($F401,'Status Thresholds'!$E:$AS,6,FALSE)</f>
        <v>0</v>
      </c>
      <c r="N401" s="50">
        <f>VLOOKUP($F401,'Status Thresholds'!$E:$AS,7,FALSE)</f>
        <v>0</v>
      </c>
      <c r="O401" s="36">
        <f>VLOOKUP($F401,'Status Thresholds'!$E:$AS,8,FALSE)</f>
        <v>0</v>
      </c>
      <c r="P401" s="36">
        <f>VLOOKUP($F401,'Status Thresholds'!$E:$AS,9,FALSE)</f>
        <v>0</v>
      </c>
      <c r="Q401" s="36">
        <f>VLOOKUP($F401,'Status Thresholds'!$E:$AS,10,FALSE)</f>
        <v>0</v>
      </c>
      <c r="R401" s="36">
        <f>VLOOKUP($F401,'Status Thresholds'!$E:$AS,11,FALSE)</f>
        <v>0</v>
      </c>
      <c r="S401" s="50">
        <f>VLOOKUP($F401,'Status Thresholds'!$E:$AS,12,FALSE)</f>
        <v>195</v>
      </c>
      <c r="T401" s="36">
        <f>VLOOKUP($F401,'Status Thresholds'!$E:$AS,13,FALSE)</f>
        <v>292</v>
      </c>
      <c r="U401" s="36">
        <f>VLOOKUP($F401,'Status Thresholds'!$E:$AS,14,FALSE)</f>
        <v>389</v>
      </c>
      <c r="V401" s="36">
        <f>VLOOKUP($F401,'Status Thresholds'!$E:$AS,15,FALSE)</f>
        <v>486</v>
      </c>
      <c r="W401" s="36">
        <f>VLOOKUP($F401,'Status Thresholds'!$E:$AS,16,FALSE)</f>
        <v>0</v>
      </c>
      <c r="X401" s="50">
        <f>VLOOKUP($F401,'Status Thresholds'!$E:$AS,17,FALSE)</f>
        <v>0</v>
      </c>
      <c r="Y401" s="36">
        <f>VLOOKUP($F401,'Status Thresholds'!$E:$AS,18,FALSE)</f>
        <v>0</v>
      </c>
      <c r="Z401" s="36">
        <f>VLOOKUP($F401,'Status Thresholds'!$E:$AS,19,FALSE)</f>
        <v>0</v>
      </c>
      <c r="AA401" s="36">
        <f>VLOOKUP($F401,'Status Thresholds'!$E:$AS,20,FALSE)</f>
        <v>0</v>
      </c>
      <c r="AB401" s="36">
        <f>VLOOKUP($F401,'Status Thresholds'!$E:$AS,21,FALSE)</f>
        <v>0</v>
      </c>
      <c r="AC401" s="50">
        <f>VLOOKUP($F401,'Status Thresholds'!$E:$AS,22,FALSE)</f>
        <v>210</v>
      </c>
      <c r="AD401" s="36">
        <f>VLOOKUP($F401,'Status Thresholds'!$E:$AS,23,FALSE)</f>
        <v>315</v>
      </c>
      <c r="AE401" s="36">
        <f>VLOOKUP($F401,'Status Thresholds'!$E:$AS,24,FALSE)</f>
        <v>420</v>
      </c>
      <c r="AF401" s="36">
        <f>VLOOKUP($F401,'Status Thresholds'!$E:$AS,25,FALSE)</f>
        <v>525</v>
      </c>
      <c r="AG401" s="36">
        <f>VLOOKUP($F401,'Status Thresholds'!$E:$AS,26,FALSE)</f>
        <v>0</v>
      </c>
      <c r="AH401" s="50">
        <f>VLOOKUP($F401,'Status Thresholds'!$E:$AS,27,FALSE)</f>
        <v>0</v>
      </c>
      <c r="AI401" s="36">
        <f>VLOOKUP($F401,'Status Thresholds'!$E:$AS,28,FALSE)</f>
        <v>0</v>
      </c>
      <c r="AJ401" s="36">
        <f>VLOOKUP($F401,'Status Thresholds'!$E:$AS,29,FALSE)</f>
        <v>0</v>
      </c>
      <c r="AK401" s="36">
        <f>VLOOKUP($F401,'Status Thresholds'!$E:$AS,30,FALSE)</f>
        <v>0</v>
      </c>
      <c r="AL401" s="36">
        <f>VLOOKUP($F401,'Status Thresholds'!$E:$AS,31,FALSE)</f>
        <v>0</v>
      </c>
      <c r="AM401" s="50">
        <f>VLOOKUP($F401,'Status Thresholds'!$E:$AS,32,FALSE)</f>
        <v>240</v>
      </c>
      <c r="AN401" s="36">
        <f>VLOOKUP($F401,'Status Thresholds'!$E:$AS,33,FALSE)</f>
        <v>360</v>
      </c>
      <c r="AO401" s="36">
        <f>VLOOKUP($F401,'Status Thresholds'!$E:$AS,34,FALSE)</f>
        <v>480</v>
      </c>
      <c r="AP401" s="36">
        <f>VLOOKUP($F401,'Status Thresholds'!$E:$AS,35,FALSE)</f>
        <v>600</v>
      </c>
      <c r="AQ401" s="36">
        <f>VLOOKUP($F401,'Status Thresholds'!$E:$AS,36,FALSE)</f>
        <v>0</v>
      </c>
      <c r="AR401" s="50">
        <f>VLOOKUP($F401,'Status Thresholds'!$E:$AS,37,FALSE)</f>
        <v>0</v>
      </c>
      <c r="AS401" s="36">
        <f>VLOOKUP($F401,'Status Thresholds'!$E:$AS,38,FALSE)</f>
        <v>0</v>
      </c>
      <c r="AT401" s="36">
        <f>VLOOKUP($F401,'Status Thresholds'!$E:$AS,39,FALSE)</f>
        <v>0</v>
      </c>
      <c r="AU401" s="36">
        <f>VLOOKUP($F401,'Status Thresholds'!$E:$AS,40,FALSE)</f>
        <v>0</v>
      </c>
      <c r="AV401" s="36">
        <f>VLOOKUP($F401,'Status Thresholds'!$E:$AS,41,FALSE)</f>
        <v>10</v>
      </c>
      <c r="AW401">
        <v>0</v>
      </c>
      <c r="AX401">
        <v>0</v>
      </c>
    </row>
    <row r="402" spans="1:50" x14ac:dyDescent="0.25">
      <c r="A402" s="36"/>
      <c r="B402" t="s">
        <v>120</v>
      </c>
      <c r="C402" s="36" t="str">
        <f>'Status Thresholds'!B393</f>
        <v>Gypceros</v>
      </c>
      <c r="E402" s="36" t="str">
        <f t="shared" si="15"/>
        <v>Gypceros</v>
      </c>
      <c r="F402" s="36" t="str">
        <f>IFERROR(VLOOKUP($E402,'Status Thresholds'!$E:$AS,1,FALSE),"")</f>
        <v/>
      </c>
      <c r="G402" t="s">
        <v>21</v>
      </c>
      <c r="H402" s="55" t="str">
        <f t="shared" si="16"/>
        <v>GypcerosTriblast</v>
      </c>
      <c r="I402" s="50">
        <v>1</v>
      </c>
      <c r="J402" s="36">
        <v>0</v>
      </c>
      <c r="K402" s="36">
        <v>2</v>
      </c>
      <c r="L402" s="36">
        <v>2</v>
      </c>
      <c r="M402" s="36">
        <v>0</v>
      </c>
      <c r="N402" s="50">
        <v>0</v>
      </c>
      <c r="O402" s="36">
        <v>0</v>
      </c>
      <c r="P402" s="36">
        <v>0</v>
      </c>
      <c r="Q402" s="36">
        <v>0</v>
      </c>
      <c r="R402" s="36">
        <v>0</v>
      </c>
      <c r="S402" s="50">
        <v>1</v>
      </c>
      <c r="T402" s="36">
        <v>0</v>
      </c>
      <c r="U402" s="36">
        <v>2</v>
      </c>
      <c r="V402" s="36">
        <v>2</v>
      </c>
      <c r="W402" s="36">
        <v>0</v>
      </c>
      <c r="X402" s="50">
        <v>0</v>
      </c>
      <c r="Y402" s="36">
        <v>0</v>
      </c>
      <c r="Z402" s="36">
        <v>0</v>
      </c>
      <c r="AA402" s="36">
        <v>0</v>
      </c>
      <c r="AB402" s="36">
        <v>0</v>
      </c>
      <c r="AC402" s="50">
        <v>2</v>
      </c>
      <c r="AD402" s="36">
        <v>1</v>
      </c>
      <c r="AE402" s="36">
        <v>2</v>
      </c>
      <c r="AF402" s="36">
        <v>1</v>
      </c>
      <c r="AG402" s="36">
        <v>0</v>
      </c>
      <c r="AH402" s="50">
        <v>0</v>
      </c>
      <c r="AI402" s="36">
        <v>0</v>
      </c>
      <c r="AJ402" s="36">
        <v>0</v>
      </c>
      <c r="AK402" s="36">
        <v>0</v>
      </c>
      <c r="AL402" s="36">
        <v>0</v>
      </c>
      <c r="AM402" s="50">
        <v>2</v>
      </c>
      <c r="AN402" s="36">
        <v>2</v>
      </c>
      <c r="AO402" s="36">
        <v>2</v>
      </c>
      <c r="AP402" s="36">
        <v>2</v>
      </c>
      <c r="AQ402" s="36">
        <v>0</v>
      </c>
      <c r="AR402" s="50">
        <v>0</v>
      </c>
      <c r="AS402" s="36">
        <v>0</v>
      </c>
      <c r="AT402" s="36">
        <v>0</v>
      </c>
      <c r="AU402" s="36">
        <v>0</v>
      </c>
      <c r="AV402" s="36">
        <v>0</v>
      </c>
      <c r="AW402">
        <v>0</v>
      </c>
    </row>
    <row r="403" spans="1:50" x14ac:dyDescent="0.25">
      <c r="A403" s="36"/>
      <c r="B403" t="s">
        <v>120</v>
      </c>
      <c r="C403" s="36" t="str">
        <f>'Status Thresholds'!B394</f>
        <v>Gypceros</v>
      </c>
      <c r="E403" s="36" t="str">
        <f t="shared" si="15"/>
        <v>Gypceros</v>
      </c>
      <c r="F403" s="36" t="str">
        <f>IFERROR(VLOOKUP($E403,'Status Thresholds'!$E:$AS,1,FALSE),"")</f>
        <v/>
      </c>
      <c r="G403" t="s">
        <v>13</v>
      </c>
      <c r="H403" s="55" t="str">
        <f t="shared" si="16"/>
        <v>GypcerosCrag 3</v>
      </c>
      <c r="I403" s="50">
        <v>0</v>
      </c>
      <c r="J403" s="36">
        <v>4</v>
      </c>
      <c r="K403" s="36">
        <v>4</v>
      </c>
      <c r="L403" s="36">
        <v>2</v>
      </c>
      <c r="M403" s="36">
        <v>0</v>
      </c>
      <c r="N403" s="50">
        <v>0</v>
      </c>
      <c r="O403" s="36">
        <v>0</v>
      </c>
      <c r="P403" s="36">
        <v>0</v>
      </c>
      <c r="Q403" s="36">
        <v>0</v>
      </c>
      <c r="R403" s="36">
        <v>0</v>
      </c>
      <c r="S403" s="50">
        <v>0</v>
      </c>
      <c r="T403" s="36">
        <v>4</v>
      </c>
      <c r="U403" s="36">
        <v>3</v>
      </c>
      <c r="V403" s="36">
        <v>3</v>
      </c>
      <c r="W403" s="36">
        <v>0</v>
      </c>
      <c r="X403" s="50">
        <v>0</v>
      </c>
      <c r="Y403" s="36">
        <v>0</v>
      </c>
      <c r="Z403" s="36">
        <v>0</v>
      </c>
      <c r="AA403" s="36">
        <v>0</v>
      </c>
      <c r="AB403" s="36">
        <v>0</v>
      </c>
      <c r="AC403" s="50">
        <v>0</v>
      </c>
      <c r="AD403" s="36">
        <v>1</v>
      </c>
      <c r="AE403" s="36">
        <v>4</v>
      </c>
      <c r="AF403" s="36">
        <v>4</v>
      </c>
      <c r="AG403" s="36">
        <v>0</v>
      </c>
      <c r="AH403" s="50">
        <v>0</v>
      </c>
      <c r="AI403" s="36">
        <v>0</v>
      </c>
      <c r="AJ403" s="36">
        <v>0</v>
      </c>
      <c r="AK403" s="36">
        <v>0</v>
      </c>
      <c r="AL403" s="36">
        <v>0</v>
      </c>
      <c r="AM403" s="50">
        <v>1</v>
      </c>
      <c r="AN403" s="36">
        <v>4</v>
      </c>
      <c r="AO403" s="36">
        <v>4</v>
      </c>
      <c r="AP403" s="36">
        <v>4</v>
      </c>
      <c r="AQ403" s="36">
        <v>0</v>
      </c>
      <c r="AR403" s="50">
        <v>0</v>
      </c>
      <c r="AS403" s="36">
        <v>0</v>
      </c>
      <c r="AT403" s="36">
        <v>0</v>
      </c>
      <c r="AU403" s="36">
        <v>0</v>
      </c>
      <c r="AV403" s="36">
        <v>0</v>
      </c>
      <c r="AW403">
        <v>0</v>
      </c>
      <c r="AX403">
        <v>0</v>
      </c>
    </row>
    <row r="404" spans="1:50" x14ac:dyDescent="0.25">
      <c r="A404" s="36"/>
      <c r="B404" t="s">
        <v>120</v>
      </c>
      <c r="C404" s="36" t="str">
        <f>'Status Thresholds'!B395</f>
        <v>Gypceros</v>
      </c>
      <c r="E404" s="36" t="str">
        <f t="shared" si="15"/>
        <v>Gypceros</v>
      </c>
      <c r="F404" s="36" t="str">
        <f>IFERROR(VLOOKUP($E404,'Status Thresholds'!$E:$AS,1,FALSE),"")</f>
        <v/>
      </c>
      <c r="G404" t="s">
        <v>12</v>
      </c>
      <c r="H404" s="55" t="str">
        <f t="shared" si="16"/>
        <v>GypcerosCrag 2</v>
      </c>
      <c r="I404" s="50">
        <v>4</v>
      </c>
      <c r="J404" s="36">
        <v>2</v>
      </c>
      <c r="K404" s="36">
        <v>1</v>
      </c>
      <c r="L404" s="36">
        <v>2</v>
      </c>
      <c r="M404" s="36">
        <v>0</v>
      </c>
      <c r="N404" s="50">
        <v>0</v>
      </c>
      <c r="O404" s="36">
        <v>0</v>
      </c>
      <c r="P404" s="36">
        <v>0</v>
      </c>
      <c r="Q404" s="36">
        <v>0</v>
      </c>
      <c r="R404" s="36">
        <v>0</v>
      </c>
      <c r="S404" s="50">
        <v>4</v>
      </c>
      <c r="T404" s="36">
        <v>2</v>
      </c>
      <c r="U404" s="36">
        <v>4</v>
      </c>
      <c r="V404" s="36">
        <v>4</v>
      </c>
      <c r="W404" s="36">
        <v>0</v>
      </c>
      <c r="X404" s="50">
        <v>0</v>
      </c>
      <c r="Y404" s="36">
        <v>0</v>
      </c>
      <c r="Z404" s="36">
        <v>0</v>
      </c>
      <c r="AA404" s="36">
        <v>0</v>
      </c>
      <c r="AB404" s="36">
        <v>0</v>
      </c>
      <c r="AC404" s="50">
        <v>2</v>
      </c>
      <c r="AD404" s="36">
        <v>0</v>
      </c>
      <c r="AE404" s="36">
        <v>2</v>
      </c>
      <c r="AF404" s="36">
        <v>3</v>
      </c>
      <c r="AG404" s="36">
        <v>0</v>
      </c>
      <c r="AH404" s="50">
        <v>0</v>
      </c>
      <c r="AI404" s="36">
        <v>0</v>
      </c>
      <c r="AJ404" s="36">
        <v>0</v>
      </c>
      <c r="AK404" s="36">
        <v>0</v>
      </c>
      <c r="AL404" s="36">
        <v>0</v>
      </c>
      <c r="AM404" s="50">
        <v>0</v>
      </c>
      <c r="AN404" s="36">
        <v>0</v>
      </c>
      <c r="AO404" s="36">
        <v>4</v>
      </c>
      <c r="AP404" s="36">
        <v>3</v>
      </c>
      <c r="AQ404" s="36">
        <v>0</v>
      </c>
      <c r="AR404" s="50">
        <v>0</v>
      </c>
      <c r="AS404" s="36">
        <v>0</v>
      </c>
      <c r="AT404" s="36">
        <v>0</v>
      </c>
      <c r="AU404" s="36">
        <v>0</v>
      </c>
      <c r="AV404" s="36">
        <v>0</v>
      </c>
      <c r="AW404">
        <v>0</v>
      </c>
      <c r="AX404">
        <v>0</v>
      </c>
    </row>
    <row r="405" spans="1:50" x14ac:dyDescent="0.25">
      <c r="A405" s="36"/>
      <c r="B405" t="s">
        <v>120</v>
      </c>
      <c r="C405" s="36" t="str">
        <f>'Status Thresholds'!B396</f>
        <v>Gypceros</v>
      </c>
      <c r="E405" s="36" t="str">
        <f t="shared" si="15"/>
        <v>Gypceros</v>
      </c>
      <c r="F405" s="36" t="str">
        <f>IFERROR(VLOOKUP($E405,'Status Thresholds'!$E:$AS,1,FALSE),"")</f>
        <v/>
      </c>
      <c r="G405" t="s">
        <v>11</v>
      </c>
      <c r="H405" s="55" t="str">
        <f t="shared" si="16"/>
        <v>GypcerosCrag 1</v>
      </c>
      <c r="I405" s="50">
        <v>0</v>
      </c>
      <c r="J405" s="36">
        <v>3</v>
      </c>
      <c r="K405" s="36">
        <v>2</v>
      </c>
      <c r="L405" s="36">
        <v>8</v>
      </c>
      <c r="M405" s="36">
        <v>0</v>
      </c>
      <c r="N405" s="50">
        <v>0</v>
      </c>
      <c r="O405" s="36">
        <v>0</v>
      </c>
      <c r="P405" s="36">
        <v>0</v>
      </c>
      <c r="Q405" s="36">
        <v>0</v>
      </c>
      <c r="R405" s="36">
        <v>0</v>
      </c>
      <c r="S405" s="50">
        <v>0</v>
      </c>
      <c r="T405" s="36">
        <v>3</v>
      </c>
      <c r="U405" s="36">
        <v>0</v>
      </c>
      <c r="V405" s="36">
        <v>4</v>
      </c>
      <c r="W405" s="36">
        <v>0</v>
      </c>
      <c r="X405" s="50">
        <v>0</v>
      </c>
      <c r="Y405" s="36">
        <v>0</v>
      </c>
      <c r="Z405" s="36">
        <v>0</v>
      </c>
      <c r="AA405" s="36">
        <v>0</v>
      </c>
      <c r="AB405" s="36">
        <v>0</v>
      </c>
      <c r="AC405" s="50">
        <v>0</v>
      </c>
      <c r="AD405" s="36">
        <v>8</v>
      </c>
      <c r="AE405" s="36">
        <v>2</v>
      </c>
      <c r="AF405" s="36">
        <v>8</v>
      </c>
      <c r="AG405" s="36">
        <v>0</v>
      </c>
      <c r="AH405" s="50">
        <v>0</v>
      </c>
      <c r="AI405" s="36">
        <v>0</v>
      </c>
      <c r="AJ405" s="36">
        <v>0</v>
      </c>
      <c r="AK405" s="36">
        <v>0</v>
      </c>
      <c r="AL405" s="36">
        <v>0</v>
      </c>
      <c r="AM405" s="50">
        <v>2</v>
      </c>
      <c r="AN405" s="36">
        <v>2</v>
      </c>
      <c r="AO405" s="36">
        <v>2</v>
      </c>
      <c r="AP405" s="36">
        <v>8</v>
      </c>
      <c r="AQ405" s="36">
        <v>0</v>
      </c>
      <c r="AR405" s="50">
        <v>0</v>
      </c>
      <c r="AS405" s="36">
        <v>0</v>
      </c>
      <c r="AT405" s="36">
        <v>0</v>
      </c>
      <c r="AU405" s="36">
        <v>0</v>
      </c>
      <c r="AV405" s="36">
        <v>1</v>
      </c>
      <c r="AW405">
        <v>0</v>
      </c>
      <c r="AX405">
        <v>0</v>
      </c>
    </row>
    <row r="406" spans="1:50" x14ac:dyDescent="0.25">
      <c r="A406" s="36"/>
      <c r="B406" t="s">
        <v>119</v>
      </c>
      <c r="C406" s="36" t="str">
        <f>'Status Thresholds'!B397</f>
        <v>Gypceros</v>
      </c>
      <c r="E406" s="36" t="str">
        <f t="shared" si="15"/>
        <v>Gypceros</v>
      </c>
      <c r="F406" s="36" t="str">
        <f>IFERROR(VLOOKUP($E406,'Status Thresholds'!$E:$AS,1,FALSE),"")</f>
        <v/>
      </c>
      <c r="G406" t="s">
        <v>21</v>
      </c>
      <c r="H406" s="55" t="str">
        <f t="shared" si="16"/>
        <v>GypcerosTriblast</v>
      </c>
      <c r="I406" s="50">
        <v>2</v>
      </c>
      <c r="J406" s="36">
        <v>0</v>
      </c>
      <c r="K406" s="36">
        <v>2</v>
      </c>
      <c r="L406" s="36">
        <v>2</v>
      </c>
      <c r="M406" s="36">
        <v>0</v>
      </c>
      <c r="N406" s="50">
        <v>0</v>
      </c>
      <c r="O406" s="36">
        <v>0</v>
      </c>
      <c r="P406" s="36">
        <v>0</v>
      </c>
      <c r="Q406" s="36">
        <v>0</v>
      </c>
      <c r="R406" s="36">
        <v>0</v>
      </c>
      <c r="S406" s="50">
        <v>2</v>
      </c>
      <c r="T406" s="36">
        <v>0</v>
      </c>
      <c r="U406" s="36">
        <v>1</v>
      </c>
      <c r="V406" s="36">
        <v>2</v>
      </c>
      <c r="W406" s="36">
        <v>0</v>
      </c>
      <c r="X406" s="50">
        <v>0</v>
      </c>
      <c r="Y406" s="36">
        <v>0</v>
      </c>
      <c r="Z406" s="36">
        <v>0</v>
      </c>
      <c r="AA406" s="36">
        <v>0</v>
      </c>
      <c r="AB406" s="36">
        <v>0</v>
      </c>
      <c r="AC406" s="50">
        <v>0</v>
      </c>
      <c r="AD406" s="36">
        <v>2</v>
      </c>
      <c r="AE406" s="36">
        <v>0</v>
      </c>
      <c r="AF406" s="36">
        <v>2</v>
      </c>
      <c r="AG406" s="36">
        <v>0</v>
      </c>
      <c r="AH406" s="50">
        <v>0</v>
      </c>
      <c r="AI406" s="36">
        <v>0</v>
      </c>
      <c r="AJ406" s="36">
        <v>0</v>
      </c>
      <c r="AK406" s="36">
        <v>0</v>
      </c>
      <c r="AL406" s="36">
        <v>0</v>
      </c>
      <c r="AM406" s="50">
        <v>1</v>
      </c>
      <c r="AN406" s="36">
        <v>0</v>
      </c>
      <c r="AO406" s="36">
        <v>0</v>
      </c>
      <c r="AP406" s="36">
        <v>2</v>
      </c>
      <c r="AQ406" s="36">
        <v>0</v>
      </c>
      <c r="AR406" s="50">
        <v>0</v>
      </c>
      <c r="AS406" s="36">
        <v>0</v>
      </c>
      <c r="AT406" s="36">
        <v>0</v>
      </c>
      <c r="AU406" s="36">
        <v>0</v>
      </c>
      <c r="AV406" s="36">
        <v>0</v>
      </c>
      <c r="AW406">
        <v>0</v>
      </c>
      <c r="AX406">
        <v>0</v>
      </c>
    </row>
    <row r="407" spans="1:50" x14ac:dyDescent="0.25">
      <c r="A407" s="36"/>
      <c r="B407" t="s">
        <v>119</v>
      </c>
      <c r="C407" s="36" t="str">
        <f>'Status Thresholds'!B398</f>
        <v>Gypceros</v>
      </c>
      <c r="E407" s="36" t="str">
        <f t="shared" si="15"/>
        <v>Gypceros</v>
      </c>
      <c r="F407" s="36" t="str">
        <f>IFERROR(VLOOKUP($E407,'Status Thresholds'!$E:$AS,1,FALSE),"")</f>
        <v/>
      </c>
      <c r="G407" t="s">
        <v>13</v>
      </c>
      <c r="H407" s="55" t="str">
        <f t="shared" si="16"/>
        <v>GypcerosCrag 3</v>
      </c>
      <c r="I407" s="50">
        <v>0</v>
      </c>
      <c r="J407" s="36">
        <v>1</v>
      </c>
      <c r="K407" s="36">
        <v>0</v>
      </c>
      <c r="L407" s="36">
        <v>1</v>
      </c>
      <c r="M407" s="36">
        <v>0</v>
      </c>
      <c r="N407" s="50">
        <v>0</v>
      </c>
      <c r="O407" s="36">
        <v>0</v>
      </c>
      <c r="P407" s="36">
        <v>0</v>
      </c>
      <c r="Q407" s="36">
        <v>0</v>
      </c>
      <c r="R407" s="36">
        <v>0</v>
      </c>
      <c r="S407" s="50">
        <v>0</v>
      </c>
      <c r="T407" s="36">
        <v>1</v>
      </c>
      <c r="U407" s="36">
        <v>4</v>
      </c>
      <c r="V407" s="36">
        <v>1</v>
      </c>
      <c r="W407" s="36">
        <v>0</v>
      </c>
      <c r="X407" s="50">
        <v>0</v>
      </c>
      <c r="Y407" s="36">
        <v>0</v>
      </c>
      <c r="Z407" s="36">
        <v>0</v>
      </c>
      <c r="AA407" s="36">
        <v>0</v>
      </c>
      <c r="AB407" s="36">
        <v>0</v>
      </c>
      <c r="AC407" s="50">
        <v>1</v>
      </c>
      <c r="AD407" s="36">
        <v>0</v>
      </c>
      <c r="AE407" s="36">
        <v>3</v>
      </c>
      <c r="AF407" s="36">
        <v>4</v>
      </c>
      <c r="AG407" s="36">
        <v>0</v>
      </c>
      <c r="AH407" s="50">
        <v>0</v>
      </c>
      <c r="AI407" s="36">
        <v>0</v>
      </c>
      <c r="AJ407" s="36">
        <v>0</v>
      </c>
      <c r="AK407" s="36">
        <v>0</v>
      </c>
      <c r="AL407" s="36">
        <v>0</v>
      </c>
      <c r="AM407" s="50">
        <v>0</v>
      </c>
      <c r="AN407" s="36">
        <v>3</v>
      </c>
      <c r="AO407" s="36">
        <v>3</v>
      </c>
      <c r="AP407" s="36">
        <v>4</v>
      </c>
      <c r="AQ407" s="36">
        <v>0</v>
      </c>
      <c r="AR407" s="50">
        <v>0</v>
      </c>
      <c r="AS407" s="36">
        <v>0</v>
      </c>
      <c r="AT407" s="36">
        <v>0</v>
      </c>
      <c r="AU407" s="36">
        <v>0</v>
      </c>
      <c r="AV407" s="36">
        <v>0</v>
      </c>
      <c r="AW407">
        <v>0</v>
      </c>
      <c r="AX407">
        <v>0</v>
      </c>
    </row>
    <row r="408" spans="1:50" x14ac:dyDescent="0.25">
      <c r="A408" s="36"/>
      <c r="B408" t="s">
        <v>119</v>
      </c>
      <c r="C408" s="36" t="str">
        <f>'Status Thresholds'!B399</f>
        <v>Gypceros</v>
      </c>
      <c r="E408" s="36" t="str">
        <f t="shared" si="15"/>
        <v>Gypceros</v>
      </c>
      <c r="F408" s="36" t="str">
        <f>IFERROR(VLOOKUP($E408,'Status Thresholds'!$E:$AS,1,FALSE),"")</f>
        <v/>
      </c>
      <c r="G408" t="s">
        <v>12</v>
      </c>
      <c r="H408" s="55" t="str">
        <f t="shared" si="16"/>
        <v>GypcerosCrag 2</v>
      </c>
      <c r="I408" s="50">
        <v>1</v>
      </c>
      <c r="J408" s="36">
        <v>1</v>
      </c>
      <c r="K408" s="36">
        <v>2</v>
      </c>
      <c r="L408" s="36">
        <v>2</v>
      </c>
      <c r="M408" s="36">
        <v>0</v>
      </c>
      <c r="N408" s="50">
        <v>0</v>
      </c>
      <c r="O408" s="36">
        <v>0</v>
      </c>
      <c r="P408" s="36">
        <v>0</v>
      </c>
      <c r="Q408" s="36">
        <v>0</v>
      </c>
      <c r="R408" s="36">
        <v>0</v>
      </c>
      <c r="S408" s="50">
        <v>1</v>
      </c>
      <c r="T408" s="36">
        <v>1</v>
      </c>
      <c r="U408" s="36">
        <v>4</v>
      </c>
      <c r="V408" s="36">
        <v>2</v>
      </c>
      <c r="W408" s="36">
        <v>0</v>
      </c>
      <c r="X408" s="50">
        <v>0</v>
      </c>
      <c r="Y408" s="36">
        <v>0</v>
      </c>
      <c r="Z408" s="36">
        <v>0</v>
      </c>
      <c r="AA408" s="36">
        <v>0</v>
      </c>
      <c r="AB408" s="36">
        <v>0</v>
      </c>
      <c r="AC408" s="50">
        <v>1</v>
      </c>
      <c r="AD408" s="36">
        <v>3</v>
      </c>
      <c r="AE408" s="36">
        <v>3</v>
      </c>
      <c r="AF408" s="36">
        <v>0</v>
      </c>
      <c r="AG408" s="36">
        <v>0</v>
      </c>
      <c r="AH408" s="50">
        <v>0</v>
      </c>
      <c r="AI408" s="36">
        <v>0</v>
      </c>
      <c r="AJ408" s="36">
        <v>0</v>
      </c>
      <c r="AK408" s="36">
        <v>0</v>
      </c>
      <c r="AL408" s="36">
        <v>0</v>
      </c>
      <c r="AM408" s="50">
        <v>4</v>
      </c>
      <c r="AN408" s="36">
        <v>2</v>
      </c>
      <c r="AO408" s="36">
        <v>4</v>
      </c>
      <c r="AP408" s="36">
        <v>4</v>
      </c>
      <c r="AQ408" s="36">
        <v>0</v>
      </c>
      <c r="AR408" s="50">
        <v>0</v>
      </c>
      <c r="AS408" s="36">
        <v>0</v>
      </c>
      <c r="AT408" s="36">
        <v>0</v>
      </c>
      <c r="AU408" s="36">
        <v>0</v>
      </c>
      <c r="AV408" s="36">
        <v>0</v>
      </c>
      <c r="AW408">
        <v>0</v>
      </c>
      <c r="AX408">
        <v>0</v>
      </c>
    </row>
    <row r="409" spans="1:50" x14ac:dyDescent="0.25">
      <c r="A409" s="36"/>
      <c r="B409" t="s">
        <v>119</v>
      </c>
      <c r="C409" s="36" t="str">
        <f>'Status Thresholds'!B400</f>
        <v>Gypceros</v>
      </c>
      <c r="E409" s="36" t="str">
        <f t="shared" si="15"/>
        <v>Gypceros</v>
      </c>
      <c r="F409" s="36" t="str">
        <f>IFERROR(VLOOKUP($E409,'Status Thresholds'!$E:$AS,1,FALSE),"")</f>
        <v/>
      </c>
      <c r="G409" t="s">
        <v>11</v>
      </c>
      <c r="H409" s="55" t="str">
        <f t="shared" si="16"/>
        <v>GypcerosCrag 1</v>
      </c>
      <c r="I409" s="50">
        <v>0</v>
      </c>
      <c r="J409" s="36">
        <v>8</v>
      </c>
      <c r="K409" s="36">
        <v>6</v>
      </c>
      <c r="L409" s="36">
        <v>8</v>
      </c>
      <c r="M409" s="36">
        <v>0</v>
      </c>
      <c r="N409" s="50">
        <v>0</v>
      </c>
      <c r="O409" s="36">
        <v>0</v>
      </c>
      <c r="P409" s="36">
        <v>0</v>
      </c>
      <c r="Q409" s="36">
        <v>0</v>
      </c>
      <c r="R409" s="36">
        <v>0</v>
      </c>
      <c r="S409" s="50">
        <v>0</v>
      </c>
      <c r="T409" s="36">
        <v>8</v>
      </c>
      <c r="U409" s="36">
        <v>0</v>
      </c>
      <c r="V409" s="36">
        <v>8</v>
      </c>
      <c r="W409" s="36">
        <v>0</v>
      </c>
      <c r="X409" s="50">
        <v>0</v>
      </c>
      <c r="Y409" s="36">
        <v>0</v>
      </c>
      <c r="Z409" s="36">
        <v>0</v>
      </c>
      <c r="AA409" s="36">
        <v>0</v>
      </c>
      <c r="AB409" s="36">
        <v>0</v>
      </c>
      <c r="AC409" s="50">
        <v>5</v>
      </c>
      <c r="AD409" s="36">
        <v>2</v>
      </c>
      <c r="AE409" s="36">
        <v>7</v>
      </c>
      <c r="AF409" s="36">
        <v>7</v>
      </c>
      <c r="AG409" s="36">
        <v>0</v>
      </c>
      <c r="AH409" s="50">
        <v>0</v>
      </c>
      <c r="AI409" s="36">
        <v>0</v>
      </c>
      <c r="AJ409" s="36">
        <v>0</v>
      </c>
      <c r="AK409" s="36">
        <v>0</v>
      </c>
      <c r="AL409" s="36">
        <v>0</v>
      </c>
      <c r="AM409" s="50">
        <v>1</v>
      </c>
      <c r="AN409" s="36">
        <v>6</v>
      </c>
      <c r="AO409" s="36">
        <v>8</v>
      </c>
      <c r="AP409" s="36">
        <v>5</v>
      </c>
      <c r="AQ409" s="36">
        <v>0</v>
      </c>
      <c r="AR409" s="50">
        <v>0</v>
      </c>
      <c r="AS409" s="36">
        <v>0</v>
      </c>
      <c r="AT409" s="36">
        <v>0</v>
      </c>
      <c r="AU409" s="36">
        <v>0</v>
      </c>
      <c r="AV409" s="36">
        <v>1</v>
      </c>
      <c r="AW409">
        <v>0</v>
      </c>
      <c r="AX409">
        <v>0</v>
      </c>
    </row>
    <row r="410" spans="1:50" x14ac:dyDescent="0.25">
      <c r="A410" s="36"/>
      <c r="B410" t="s">
        <v>121</v>
      </c>
      <c r="C410" s="36" t="str">
        <f>'Status Thresholds'!B401</f>
        <v>Hellblade Glavenus</v>
      </c>
      <c r="D410" t="s">
        <v>14</v>
      </c>
      <c r="E410" s="36" t="str">
        <f t="shared" si="15"/>
        <v>Hellblade GlavenusKO</v>
      </c>
      <c r="F410" s="36" t="str">
        <f>IFERROR(VLOOKUP($E410,'Status Thresholds'!$E:$AS,1,FALSE),"")</f>
        <v>Hellblade GlavenusKO</v>
      </c>
      <c r="H410" s="55" t="str">
        <f t="shared" si="16"/>
        <v>Hellblade GlavenusKO</v>
      </c>
      <c r="I410" s="50">
        <f>VLOOKUP($F410,'Status Thresholds'!$E:$AS,2,FALSE)</f>
        <v>0</v>
      </c>
      <c r="J410" s="36">
        <f>VLOOKUP($F410,'Status Thresholds'!$E:$AS,3,FALSE)</f>
        <v>0</v>
      </c>
      <c r="K410" s="36">
        <f>VLOOKUP($F410,'Status Thresholds'!$E:$AS,4,FALSE)</f>
        <v>0</v>
      </c>
      <c r="L410" s="36">
        <f>VLOOKUP($F410,'Status Thresholds'!$E:$AS,5,FALSE)</f>
        <v>0</v>
      </c>
      <c r="M410" s="36">
        <f>VLOOKUP($F410,'Status Thresholds'!$E:$AS,6,FALSE)</f>
        <v>0</v>
      </c>
      <c r="N410" s="50">
        <f>VLOOKUP($F410,'Status Thresholds'!$E:$AS,7,FALSE)</f>
        <v>0</v>
      </c>
      <c r="O410" s="36">
        <f>VLOOKUP($F410,'Status Thresholds'!$E:$AS,8,FALSE)</f>
        <v>0</v>
      </c>
      <c r="P410" s="36">
        <f>VLOOKUP($F410,'Status Thresholds'!$E:$AS,9,FALSE)</f>
        <v>0</v>
      </c>
      <c r="Q410" s="36">
        <f>VLOOKUP($F410,'Status Thresholds'!$E:$AS,10,FALSE)</f>
        <v>0</v>
      </c>
      <c r="R410" s="36">
        <f>VLOOKUP($F410,'Status Thresholds'!$E:$AS,11,FALSE)</f>
        <v>0</v>
      </c>
      <c r="S410" s="50">
        <f>VLOOKUP($F410,'Status Thresholds'!$E:$AS,12,FALSE)</f>
        <v>0</v>
      </c>
      <c r="T410" s="36">
        <f>VLOOKUP($F410,'Status Thresholds'!$E:$AS,13,FALSE)</f>
        <v>0</v>
      </c>
      <c r="U410" s="36">
        <f>VLOOKUP($F410,'Status Thresholds'!$E:$AS,14,FALSE)</f>
        <v>0</v>
      </c>
      <c r="V410" s="36">
        <f>VLOOKUP($F410,'Status Thresholds'!$E:$AS,15,FALSE)</f>
        <v>0</v>
      </c>
      <c r="W410" s="36">
        <f>VLOOKUP($F410,'Status Thresholds'!$E:$AS,16,FALSE)</f>
        <v>0</v>
      </c>
      <c r="X410" s="50">
        <f>VLOOKUP($F410,'Status Thresholds'!$E:$AS,17,FALSE)</f>
        <v>0</v>
      </c>
      <c r="Y410" s="36">
        <f>VLOOKUP($F410,'Status Thresholds'!$E:$AS,18,FALSE)</f>
        <v>0</v>
      </c>
      <c r="Z410" s="36">
        <f>VLOOKUP($F410,'Status Thresholds'!$E:$AS,19,FALSE)</f>
        <v>0</v>
      </c>
      <c r="AA410" s="36">
        <f>VLOOKUP($F410,'Status Thresholds'!$E:$AS,20,FALSE)</f>
        <v>0</v>
      </c>
      <c r="AB410" s="36">
        <f>VLOOKUP($F410,'Status Thresholds'!$E:$AS,21,FALSE)</f>
        <v>0</v>
      </c>
      <c r="AC410" s="50">
        <f>VLOOKUP($F410,'Status Thresholds'!$E:$AS,22,FALSE)</f>
        <v>0</v>
      </c>
      <c r="AD410" s="36">
        <f>VLOOKUP($F410,'Status Thresholds'!$E:$AS,23,FALSE)</f>
        <v>0</v>
      </c>
      <c r="AE410" s="36">
        <f>VLOOKUP($F410,'Status Thresholds'!$E:$AS,24,FALSE)</f>
        <v>0</v>
      </c>
      <c r="AF410" s="36">
        <f>VLOOKUP($F410,'Status Thresholds'!$E:$AS,25,FALSE)</f>
        <v>0</v>
      </c>
      <c r="AG410" s="36">
        <f>VLOOKUP($F410,'Status Thresholds'!$E:$AS,26,FALSE)</f>
        <v>0</v>
      </c>
      <c r="AH410" s="50">
        <f>VLOOKUP($F410,'Status Thresholds'!$E:$AS,27,FALSE)</f>
        <v>0</v>
      </c>
      <c r="AI410" s="36">
        <f>VLOOKUP($F410,'Status Thresholds'!$E:$AS,28,FALSE)</f>
        <v>0</v>
      </c>
      <c r="AJ410" s="36">
        <f>VLOOKUP($F410,'Status Thresholds'!$E:$AS,29,FALSE)</f>
        <v>0</v>
      </c>
      <c r="AK410" s="36">
        <f>VLOOKUP($F410,'Status Thresholds'!$E:$AS,30,FALSE)</f>
        <v>0</v>
      </c>
      <c r="AL410" s="36">
        <f>VLOOKUP($F410,'Status Thresholds'!$E:$AS,31,FALSE)</f>
        <v>0</v>
      </c>
      <c r="AM410" s="50">
        <f>VLOOKUP($F410,'Status Thresholds'!$E:$AS,32,FALSE)</f>
        <v>0</v>
      </c>
      <c r="AN410" s="36">
        <f>VLOOKUP($F410,'Status Thresholds'!$E:$AS,33,FALSE)</f>
        <v>0</v>
      </c>
      <c r="AO410" s="36">
        <f>VLOOKUP($F410,'Status Thresholds'!$E:$AS,34,FALSE)</f>
        <v>0</v>
      </c>
      <c r="AP410" s="36">
        <f>VLOOKUP($F410,'Status Thresholds'!$E:$AS,35,FALSE)</f>
        <v>0</v>
      </c>
      <c r="AQ410" s="36">
        <f>VLOOKUP($F410,'Status Thresholds'!$E:$AS,36,FALSE)</f>
        <v>0</v>
      </c>
      <c r="AR410" s="50">
        <f>VLOOKUP($F410,'Status Thresholds'!$E:$AS,37,FALSE)</f>
        <v>0</v>
      </c>
      <c r="AS410" s="36">
        <f>VLOOKUP($F410,'Status Thresholds'!$E:$AS,38,FALSE)</f>
        <v>0</v>
      </c>
      <c r="AT410" s="36">
        <f>VLOOKUP($F410,'Status Thresholds'!$E:$AS,39,FALSE)</f>
        <v>0</v>
      </c>
      <c r="AU410" s="36">
        <f>VLOOKUP($F410,'Status Thresholds'!$E:$AS,40,FALSE)</f>
        <v>0</v>
      </c>
      <c r="AV410" s="36">
        <f>VLOOKUP($F410,'Status Thresholds'!$E:$AS,41,FALSE)</f>
        <v>10</v>
      </c>
      <c r="AW410">
        <v>0</v>
      </c>
      <c r="AX410">
        <v>0</v>
      </c>
    </row>
    <row r="411" spans="1:50" x14ac:dyDescent="0.25">
      <c r="A411" s="36"/>
      <c r="B411" t="s">
        <v>120</v>
      </c>
      <c r="C411" s="36" t="str">
        <f>'Status Thresholds'!B402</f>
        <v>Hellblade Glavenus</v>
      </c>
      <c r="E411" s="36" t="str">
        <f t="shared" si="15"/>
        <v>Hellblade Glavenus</v>
      </c>
      <c r="F411" s="36" t="str">
        <f>IFERROR(VLOOKUP($E411,'Status Thresholds'!$E:$AS,1,FALSE),"")</f>
        <v/>
      </c>
      <c r="G411" t="s">
        <v>21</v>
      </c>
      <c r="H411" s="55" t="str">
        <f t="shared" si="16"/>
        <v>Hellblade GlavenusTriblast</v>
      </c>
      <c r="I411" s="50">
        <v>0</v>
      </c>
      <c r="J411" s="36">
        <v>0</v>
      </c>
      <c r="K411" s="36">
        <v>0</v>
      </c>
      <c r="L411" s="36">
        <v>0</v>
      </c>
      <c r="M411" s="36">
        <v>0</v>
      </c>
      <c r="N411" s="50">
        <v>0</v>
      </c>
      <c r="O411" s="36">
        <v>0</v>
      </c>
      <c r="P411" s="36">
        <v>0</v>
      </c>
      <c r="Q411" s="36">
        <v>0</v>
      </c>
      <c r="R411" s="36">
        <v>0</v>
      </c>
      <c r="S411" s="50">
        <v>0</v>
      </c>
      <c r="T411" s="36">
        <v>0</v>
      </c>
      <c r="U411" s="36">
        <v>0</v>
      </c>
      <c r="V411" s="36">
        <v>0</v>
      </c>
      <c r="W411" s="36">
        <v>0</v>
      </c>
      <c r="X411" s="50">
        <v>0</v>
      </c>
      <c r="Y411" s="36">
        <v>0</v>
      </c>
      <c r="Z411" s="36">
        <v>0</v>
      </c>
      <c r="AA411" s="36">
        <v>0</v>
      </c>
      <c r="AB411" s="36">
        <v>0</v>
      </c>
      <c r="AC411" s="50">
        <v>0</v>
      </c>
      <c r="AD411" s="36">
        <v>0</v>
      </c>
      <c r="AE411" s="36">
        <v>0</v>
      </c>
      <c r="AF411" s="36">
        <v>0</v>
      </c>
      <c r="AG411" s="36">
        <v>0</v>
      </c>
      <c r="AH411" s="50">
        <v>0</v>
      </c>
      <c r="AI411" s="36">
        <v>0</v>
      </c>
      <c r="AJ411" s="36">
        <v>0</v>
      </c>
      <c r="AK411" s="36">
        <v>0</v>
      </c>
      <c r="AL411" s="36">
        <v>0</v>
      </c>
      <c r="AM411" s="50">
        <v>0</v>
      </c>
      <c r="AN411" s="36">
        <v>0</v>
      </c>
      <c r="AO411" s="36">
        <v>0</v>
      </c>
      <c r="AP411" s="36">
        <v>0</v>
      </c>
      <c r="AQ411" s="36">
        <v>0</v>
      </c>
      <c r="AR411" s="50">
        <v>0</v>
      </c>
      <c r="AS411" s="36">
        <v>0</v>
      </c>
      <c r="AT411" s="36">
        <v>0</v>
      </c>
      <c r="AU411" s="36">
        <v>0</v>
      </c>
      <c r="AV411" s="36">
        <v>0</v>
      </c>
      <c r="AW411">
        <v>0</v>
      </c>
    </row>
    <row r="412" spans="1:50" x14ac:dyDescent="0.25">
      <c r="A412" s="36"/>
      <c r="B412" t="s">
        <v>120</v>
      </c>
      <c r="C412" s="36" t="str">
        <f>'Status Thresholds'!B403</f>
        <v>Hellblade Glavenus</v>
      </c>
      <c r="E412" s="36" t="str">
        <f t="shared" si="15"/>
        <v>Hellblade Glavenus</v>
      </c>
      <c r="F412" s="36" t="str">
        <f>IFERROR(VLOOKUP($E412,'Status Thresholds'!$E:$AS,1,FALSE),"")</f>
        <v/>
      </c>
      <c r="G412" t="s">
        <v>13</v>
      </c>
      <c r="H412" s="55" t="str">
        <f t="shared" si="16"/>
        <v>Hellblade GlavenusCrag 3</v>
      </c>
      <c r="I412" s="50">
        <v>0</v>
      </c>
      <c r="J412" s="36">
        <v>0</v>
      </c>
      <c r="K412" s="36">
        <v>0</v>
      </c>
      <c r="L412" s="36">
        <v>0</v>
      </c>
      <c r="M412" s="36">
        <v>0</v>
      </c>
      <c r="N412" s="50">
        <v>0</v>
      </c>
      <c r="O412" s="36">
        <v>0</v>
      </c>
      <c r="P412" s="36">
        <v>0</v>
      </c>
      <c r="Q412" s="36">
        <v>0</v>
      </c>
      <c r="R412" s="36">
        <v>0</v>
      </c>
      <c r="S412" s="50">
        <v>0</v>
      </c>
      <c r="T412" s="36">
        <v>0</v>
      </c>
      <c r="U412" s="36">
        <v>0</v>
      </c>
      <c r="V412" s="36">
        <v>0</v>
      </c>
      <c r="W412" s="36">
        <v>0</v>
      </c>
      <c r="X412" s="50">
        <v>0</v>
      </c>
      <c r="Y412" s="36">
        <v>0</v>
      </c>
      <c r="Z412" s="36">
        <v>0</v>
      </c>
      <c r="AA412" s="36">
        <v>0</v>
      </c>
      <c r="AB412" s="36">
        <v>0</v>
      </c>
      <c r="AC412" s="50">
        <v>0</v>
      </c>
      <c r="AD412" s="36">
        <v>0</v>
      </c>
      <c r="AE412" s="36">
        <v>0</v>
      </c>
      <c r="AF412" s="36">
        <v>0</v>
      </c>
      <c r="AG412" s="36">
        <v>0</v>
      </c>
      <c r="AH412" s="50">
        <v>0</v>
      </c>
      <c r="AI412" s="36">
        <v>0</v>
      </c>
      <c r="AJ412" s="36">
        <v>0</v>
      </c>
      <c r="AK412" s="36">
        <v>0</v>
      </c>
      <c r="AL412" s="36">
        <v>0</v>
      </c>
      <c r="AM412" s="50">
        <v>0</v>
      </c>
      <c r="AN412" s="36">
        <v>0</v>
      </c>
      <c r="AO412" s="36">
        <v>0</v>
      </c>
      <c r="AP412" s="36">
        <v>0</v>
      </c>
      <c r="AQ412" s="36">
        <v>0</v>
      </c>
      <c r="AR412" s="50">
        <v>0</v>
      </c>
      <c r="AS412" s="36">
        <v>0</v>
      </c>
      <c r="AT412" s="36">
        <v>0</v>
      </c>
      <c r="AU412" s="36">
        <v>0</v>
      </c>
      <c r="AV412" s="36">
        <v>0</v>
      </c>
      <c r="AW412">
        <v>0</v>
      </c>
      <c r="AX412">
        <v>0</v>
      </c>
    </row>
    <row r="413" spans="1:50" x14ac:dyDescent="0.25">
      <c r="A413" s="36"/>
      <c r="B413" t="s">
        <v>120</v>
      </c>
      <c r="C413" s="36" t="str">
        <f>'Status Thresholds'!B404</f>
        <v>Hellblade Glavenus</v>
      </c>
      <c r="E413" s="36" t="str">
        <f t="shared" si="15"/>
        <v>Hellblade Glavenus</v>
      </c>
      <c r="F413" s="36" t="str">
        <f>IFERROR(VLOOKUP($E413,'Status Thresholds'!$E:$AS,1,FALSE),"")</f>
        <v/>
      </c>
      <c r="G413" t="s">
        <v>12</v>
      </c>
      <c r="H413" s="55" t="str">
        <f t="shared" si="16"/>
        <v>Hellblade GlavenusCrag 2</v>
      </c>
      <c r="I413" s="50">
        <v>0</v>
      </c>
      <c r="J413" s="36">
        <v>0</v>
      </c>
      <c r="K413" s="36">
        <v>0</v>
      </c>
      <c r="L413" s="36">
        <v>0</v>
      </c>
      <c r="M413" s="36">
        <v>0</v>
      </c>
      <c r="N413" s="50">
        <v>0</v>
      </c>
      <c r="O413" s="36">
        <v>0</v>
      </c>
      <c r="P413" s="36">
        <v>0</v>
      </c>
      <c r="Q413" s="36">
        <v>0</v>
      </c>
      <c r="R413" s="36">
        <v>0</v>
      </c>
      <c r="S413" s="50">
        <v>0</v>
      </c>
      <c r="T413" s="36">
        <v>0</v>
      </c>
      <c r="U413" s="36">
        <v>0</v>
      </c>
      <c r="V413" s="36">
        <v>0</v>
      </c>
      <c r="W413" s="36">
        <v>0</v>
      </c>
      <c r="X413" s="50">
        <v>0</v>
      </c>
      <c r="Y413" s="36">
        <v>0</v>
      </c>
      <c r="Z413" s="36">
        <v>0</v>
      </c>
      <c r="AA413" s="36">
        <v>0</v>
      </c>
      <c r="AB413" s="36">
        <v>0</v>
      </c>
      <c r="AC413" s="50">
        <v>0</v>
      </c>
      <c r="AD413" s="36">
        <v>0</v>
      </c>
      <c r="AE413" s="36">
        <v>0</v>
      </c>
      <c r="AF413" s="36">
        <v>0</v>
      </c>
      <c r="AG413" s="36">
        <v>0</v>
      </c>
      <c r="AH413" s="50">
        <v>0</v>
      </c>
      <c r="AI413" s="36">
        <v>0</v>
      </c>
      <c r="AJ413" s="36">
        <v>0</v>
      </c>
      <c r="AK413" s="36">
        <v>0</v>
      </c>
      <c r="AL413" s="36">
        <v>0</v>
      </c>
      <c r="AM413" s="50">
        <v>0</v>
      </c>
      <c r="AN413" s="36">
        <v>0</v>
      </c>
      <c r="AO413" s="36">
        <v>0</v>
      </c>
      <c r="AP413" s="36">
        <v>0</v>
      </c>
      <c r="AQ413" s="36">
        <v>0</v>
      </c>
      <c r="AR413" s="50">
        <v>0</v>
      </c>
      <c r="AS413" s="36">
        <v>0</v>
      </c>
      <c r="AT413" s="36">
        <v>0</v>
      </c>
      <c r="AU413" s="36">
        <v>0</v>
      </c>
      <c r="AV413" s="36">
        <v>0</v>
      </c>
      <c r="AW413">
        <v>0</v>
      </c>
      <c r="AX413">
        <v>0</v>
      </c>
    </row>
    <row r="414" spans="1:50" x14ac:dyDescent="0.25">
      <c r="A414" s="36"/>
      <c r="B414" t="s">
        <v>120</v>
      </c>
      <c r="C414" s="36" t="str">
        <f>'Status Thresholds'!B405</f>
        <v>Hellblade Glavenus</v>
      </c>
      <c r="E414" s="36" t="str">
        <f t="shared" si="15"/>
        <v>Hellblade Glavenus</v>
      </c>
      <c r="F414" s="36" t="str">
        <f>IFERROR(VLOOKUP($E414,'Status Thresholds'!$E:$AS,1,FALSE),"")</f>
        <v/>
      </c>
      <c r="G414" t="s">
        <v>11</v>
      </c>
      <c r="H414" s="55" t="str">
        <f t="shared" si="16"/>
        <v>Hellblade GlavenusCrag 1</v>
      </c>
      <c r="I414" s="50">
        <v>0</v>
      </c>
      <c r="J414" s="36">
        <v>0</v>
      </c>
      <c r="K414" s="36">
        <v>0</v>
      </c>
      <c r="L414" s="36">
        <v>0</v>
      </c>
      <c r="M414" s="36">
        <v>0</v>
      </c>
      <c r="N414" s="50">
        <v>0</v>
      </c>
      <c r="O414" s="36">
        <v>0</v>
      </c>
      <c r="P414" s="36">
        <v>0</v>
      </c>
      <c r="Q414" s="36">
        <v>0</v>
      </c>
      <c r="R414" s="36">
        <v>0</v>
      </c>
      <c r="S414" s="50">
        <v>0</v>
      </c>
      <c r="T414" s="36">
        <v>0</v>
      </c>
      <c r="U414" s="36">
        <v>0</v>
      </c>
      <c r="V414" s="36">
        <v>0</v>
      </c>
      <c r="W414" s="36">
        <v>0</v>
      </c>
      <c r="X414" s="50">
        <v>0</v>
      </c>
      <c r="Y414" s="36">
        <v>0</v>
      </c>
      <c r="Z414" s="36">
        <v>0</v>
      </c>
      <c r="AA414" s="36">
        <v>0</v>
      </c>
      <c r="AB414" s="36">
        <v>0</v>
      </c>
      <c r="AC414" s="50">
        <v>0</v>
      </c>
      <c r="AD414" s="36">
        <v>0</v>
      </c>
      <c r="AE414" s="36">
        <v>0</v>
      </c>
      <c r="AF414" s="36">
        <v>0</v>
      </c>
      <c r="AG414" s="36">
        <v>0</v>
      </c>
      <c r="AH414" s="50">
        <v>0</v>
      </c>
      <c r="AI414" s="36">
        <v>0</v>
      </c>
      <c r="AJ414" s="36">
        <v>0</v>
      </c>
      <c r="AK414" s="36">
        <v>0</v>
      </c>
      <c r="AL414" s="36">
        <v>0</v>
      </c>
      <c r="AM414" s="50">
        <v>0</v>
      </c>
      <c r="AN414" s="36">
        <v>0</v>
      </c>
      <c r="AO414" s="36">
        <v>0</v>
      </c>
      <c r="AP414" s="36">
        <v>0</v>
      </c>
      <c r="AQ414" s="36">
        <v>0</v>
      </c>
      <c r="AR414" s="50">
        <v>0</v>
      </c>
      <c r="AS414" s="36">
        <v>0</v>
      </c>
      <c r="AT414" s="36">
        <v>0</v>
      </c>
      <c r="AU414" s="36">
        <v>0</v>
      </c>
      <c r="AV414" s="36">
        <v>1</v>
      </c>
      <c r="AW414">
        <v>0</v>
      </c>
      <c r="AX414">
        <v>0</v>
      </c>
    </row>
    <row r="415" spans="1:50" x14ac:dyDescent="0.25">
      <c r="A415" s="36"/>
      <c r="B415" t="s">
        <v>119</v>
      </c>
      <c r="C415" s="36" t="str">
        <f>'Status Thresholds'!B406</f>
        <v>Hellblade Glavenus</v>
      </c>
      <c r="E415" s="36" t="str">
        <f t="shared" si="15"/>
        <v>Hellblade Glavenus</v>
      </c>
      <c r="F415" s="36" t="str">
        <f>IFERROR(VLOOKUP($E415,'Status Thresholds'!$E:$AS,1,FALSE),"")</f>
        <v/>
      </c>
      <c r="G415" t="s">
        <v>21</v>
      </c>
      <c r="H415" s="55" t="str">
        <f t="shared" si="16"/>
        <v>Hellblade GlavenusTriblast</v>
      </c>
      <c r="I415" s="50">
        <v>0</v>
      </c>
      <c r="J415" s="36">
        <v>0</v>
      </c>
      <c r="K415" s="36">
        <v>0</v>
      </c>
      <c r="L415" s="36">
        <v>0</v>
      </c>
      <c r="M415" s="36">
        <v>0</v>
      </c>
      <c r="N415" s="50">
        <v>0</v>
      </c>
      <c r="O415" s="36">
        <v>0</v>
      </c>
      <c r="P415" s="36">
        <v>0</v>
      </c>
      <c r="Q415" s="36">
        <v>0</v>
      </c>
      <c r="R415" s="36">
        <v>0</v>
      </c>
      <c r="S415" s="50">
        <v>0</v>
      </c>
      <c r="T415" s="36">
        <v>0</v>
      </c>
      <c r="U415" s="36">
        <v>0</v>
      </c>
      <c r="V415" s="36">
        <v>0</v>
      </c>
      <c r="W415" s="36">
        <v>0</v>
      </c>
      <c r="X415" s="50">
        <v>0</v>
      </c>
      <c r="Y415" s="36">
        <v>0</v>
      </c>
      <c r="Z415" s="36">
        <v>0</v>
      </c>
      <c r="AA415" s="36">
        <v>0</v>
      </c>
      <c r="AB415" s="36">
        <v>0</v>
      </c>
      <c r="AC415" s="50">
        <v>0</v>
      </c>
      <c r="AD415" s="36">
        <v>0</v>
      </c>
      <c r="AE415" s="36">
        <v>0</v>
      </c>
      <c r="AF415" s="36">
        <v>0</v>
      </c>
      <c r="AG415" s="36">
        <v>0</v>
      </c>
      <c r="AH415" s="50">
        <v>0</v>
      </c>
      <c r="AI415" s="36">
        <v>0</v>
      </c>
      <c r="AJ415" s="36">
        <v>0</v>
      </c>
      <c r="AK415" s="36">
        <v>0</v>
      </c>
      <c r="AL415" s="36">
        <v>0</v>
      </c>
      <c r="AM415" s="50">
        <v>0</v>
      </c>
      <c r="AN415" s="36">
        <v>0</v>
      </c>
      <c r="AO415" s="36">
        <v>0</v>
      </c>
      <c r="AP415" s="36">
        <v>0</v>
      </c>
      <c r="AQ415" s="36">
        <v>0</v>
      </c>
      <c r="AR415" s="50">
        <v>0</v>
      </c>
      <c r="AS415" s="36">
        <v>0</v>
      </c>
      <c r="AT415" s="36">
        <v>0</v>
      </c>
      <c r="AU415" s="36">
        <v>0</v>
      </c>
      <c r="AV415" s="36">
        <v>0</v>
      </c>
      <c r="AW415">
        <v>0</v>
      </c>
      <c r="AX415">
        <v>0</v>
      </c>
    </row>
    <row r="416" spans="1:50" x14ac:dyDescent="0.25">
      <c r="A416" s="36"/>
      <c r="B416" t="s">
        <v>119</v>
      </c>
      <c r="C416" s="36" t="str">
        <f>'Status Thresholds'!B407</f>
        <v>Hellblade Glavenus</v>
      </c>
      <c r="E416" s="36" t="str">
        <f t="shared" si="15"/>
        <v>Hellblade Glavenus</v>
      </c>
      <c r="F416" s="36" t="str">
        <f>IFERROR(VLOOKUP($E416,'Status Thresholds'!$E:$AS,1,FALSE),"")</f>
        <v/>
      </c>
      <c r="G416" t="s">
        <v>13</v>
      </c>
      <c r="H416" s="55" t="str">
        <f t="shared" si="16"/>
        <v>Hellblade GlavenusCrag 3</v>
      </c>
      <c r="I416" s="50">
        <v>0</v>
      </c>
      <c r="J416" s="36">
        <v>0</v>
      </c>
      <c r="K416" s="36">
        <v>0</v>
      </c>
      <c r="L416" s="36">
        <v>0</v>
      </c>
      <c r="M416" s="36">
        <v>0</v>
      </c>
      <c r="N416" s="50">
        <v>0</v>
      </c>
      <c r="O416" s="36">
        <v>0</v>
      </c>
      <c r="P416" s="36">
        <v>0</v>
      </c>
      <c r="Q416" s="36">
        <v>0</v>
      </c>
      <c r="R416" s="36">
        <v>0</v>
      </c>
      <c r="S416" s="50">
        <v>0</v>
      </c>
      <c r="T416" s="36">
        <v>0</v>
      </c>
      <c r="U416" s="36">
        <v>0</v>
      </c>
      <c r="V416" s="36">
        <v>0</v>
      </c>
      <c r="W416" s="36">
        <v>0</v>
      </c>
      <c r="X416" s="50">
        <v>0</v>
      </c>
      <c r="Y416" s="36">
        <v>0</v>
      </c>
      <c r="Z416" s="36">
        <v>0</v>
      </c>
      <c r="AA416" s="36">
        <v>0</v>
      </c>
      <c r="AB416" s="36">
        <v>0</v>
      </c>
      <c r="AC416" s="50">
        <v>0</v>
      </c>
      <c r="AD416" s="36">
        <v>0</v>
      </c>
      <c r="AE416" s="36">
        <v>0</v>
      </c>
      <c r="AF416" s="36">
        <v>0</v>
      </c>
      <c r="AG416" s="36">
        <v>0</v>
      </c>
      <c r="AH416" s="50">
        <v>0</v>
      </c>
      <c r="AI416" s="36">
        <v>0</v>
      </c>
      <c r="AJ416" s="36">
        <v>0</v>
      </c>
      <c r="AK416" s="36">
        <v>0</v>
      </c>
      <c r="AL416" s="36">
        <v>0</v>
      </c>
      <c r="AM416" s="50">
        <v>0</v>
      </c>
      <c r="AN416" s="36">
        <v>0</v>
      </c>
      <c r="AO416" s="36">
        <v>0</v>
      </c>
      <c r="AP416" s="36">
        <v>0</v>
      </c>
      <c r="AQ416" s="36">
        <v>0</v>
      </c>
      <c r="AR416" s="50">
        <v>0</v>
      </c>
      <c r="AS416" s="36">
        <v>0</v>
      </c>
      <c r="AT416" s="36">
        <v>0</v>
      </c>
      <c r="AU416" s="36">
        <v>0</v>
      </c>
      <c r="AV416" s="36">
        <v>0</v>
      </c>
      <c r="AW416">
        <v>0</v>
      </c>
      <c r="AX416">
        <v>0</v>
      </c>
    </row>
    <row r="417" spans="1:50" x14ac:dyDescent="0.25">
      <c r="A417" s="36"/>
      <c r="B417" t="s">
        <v>119</v>
      </c>
      <c r="C417" s="36" t="str">
        <f>'Status Thresholds'!B408</f>
        <v>Hellblade Glavenus</v>
      </c>
      <c r="E417" s="36" t="str">
        <f t="shared" si="15"/>
        <v>Hellblade Glavenus</v>
      </c>
      <c r="F417" s="36" t="str">
        <f>IFERROR(VLOOKUP($E417,'Status Thresholds'!$E:$AS,1,FALSE),"")</f>
        <v/>
      </c>
      <c r="G417" t="s">
        <v>12</v>
      </c>
      <c r="H417" s="55" t="str">
        <f t="shared" si="16"/>
        <v>Hellblade GlavenusCrag 2</v>
      </c>
      <c r="I417" s="50">
        <v>0</v>
      </c>
      <c r="J417" s="36">
        <v>0</v>
      </c>
      <c r="K417" s="36">
        <v>0</v>
      </c>
      <c r="L417" s="36">
        <v>0</v>
      </c>
      <c r="M417" s="36">
        <v>0</v>
      </c>
      <c r="N417" s="50">
        <v>0</v>
      </c>
      <c r="O417" s="36">
        <v>0</v>
      </c>
      <c r="P417" s="36">
        <v>0</v>
      </c>
      <c r="Q417" s="36">
        <v>0</v>
      </c>
      <c r="R417" s="36">
        <v>0</v>
      </c>
      <c r="S417" s="50">
        <v>0</v>
      </c>
      <c r="T417" s="36">
        <v>0</v>
      </c>
      <c r="U417" s="36">
        <v>0</v>
      </c>
      <c r="V417" s="36">
        <v>0</v>
      </c>
      <c r="W417" s="36">
        <v>0</v>
      </c>
      <c r="X417" s="50">
        <v>0</v>
      </c>
      <c r="Y417" s="36">
        <v>0</v>
      </c>
      <c r="Z417" s="36">
        <v>0</v>
      </c>
      <c r="AA417" s="36">
        <v>0</v>
      </c>
      <c r="AB417" s="36">
        <v>0</v>
      </c>
      <c r="AC417" s="50">
        <v>0</v>
      </c>
      <c r="AD417" s="36">
        <v>0</v>
      </c>
      <c r="AE417" s="36">
        <v>0</v>
      </c>
      <c r="AF417" s="36">
        <v>0</v>
      </c>
      <c r="AG417" s="36">
        <v>0</v>
      </c>
      <c r="AH417" s="50">
        <v>0</v>
      </c>
      <c r="AI417" s="36">
        <v>0</v>
      </c>
      <c r="AJ417" s="36">
        <v>0</v>
      </c>
      <c r="AK417" s="36">
        <v>0</v>
      </c>
      <c r="AL417" s="36">
        <v>0</v>
      </c>
      <c r="AM417" s="50">
        <v>0</v>
      </c>
      <c r="AN417" s="36">
        <v>0</v>
      </c>
      <c r="AO417" s="36">
        <v>0</v>
      </c>
      <c r="AP417" s="36">
        <v>0</v>
      </c>
      <c r="AQ417" s="36">
        <v>0</v>
      </c>
      <c r="AR417" s="50">
        <v>0</v>
      </c>
      <c r="AS417" s="36">
        <v>0</v>
      </c>
      <c r="AT417" s="36">
        <v>0</v>
      </c>
      <c r="AU417" s="36">
        <v>0</v>
      </c>
      <c r="AV417" s="36">
        <v>0</v>
      </c>
      <c r="AW417">
        <v>0</v>
      </c>
      <c r="AX417">
        <v>0</v>
      </c>
    </row>
    <row r="418" spans="1:50" x14ac:dyDescent="0.25">
      <c r="A418" s="36"/>
      <c r="B418" t="s">
        <v>119</v>
      </c>
      <c r="C418" s="36" t="str">
        <f>'Status Thresholds'!B409</f>
        <v>Hellblade Glavenus</v>
      </c>
      <c r="E418" s="36" t="str">
        <f t="shared" si="15"/>
        <v>Hellblade Glavenus</v>
      </c>
      <c r="F418" s="36" t="str">
        <f>IFERROR(VLOOKUP($E418,'Status Thresholds'!$E:$AS,1,FALSE),"")</f>
        <v/>
      </c>
      <c r="G418" t="s">
        <v>11</v>
      </c>
      <c r="H418" s="55" t="str">
        <f t="shared" si="16"/>
        <v>Hellblade GlavenusCrag 1</v>
      </c>
      <c r="I418" s="50">
        <v>0</v>
      </c>
      <c r="J418" s="36">
        <v>0</v>
      </c>
      <c r="K418" s="36">
        <v>0</v>
      </c>
      <c r="L418" s="36">
        <v>0</v>
      </c>
      <c r="M418" s="36">
        <v>0</v>
      </c>
      <c r="N418" s="50">
        <v>0</v>
      </c>
      <c r="O418" s="36">
        <v>0</v>
      </c>
      <c r="P418" s="36">
        <v>0</v>
      </c>
      <c r="Q418" s="36">
        <v>0</v>
      </c>
      <c r="R418" s="36">
        <v>0</v>
      </c>
      <c r="S418" s="50">
        <v>0</v>
      </c>
      <c r="T418" s="36">
        <v>0</v>
      </c>
      <c r="U418" s="36">
        <v>0</v>
      </c>
      <c r="V418" s="36">
        <v>0</v>
      </c>
      <c r="W418" s="36">
        <v>0</v>
      </c>
      <c r="X418" s="50">
        <v>0</v>
      </c>
      <c r="Y418" s="36">
        <v>0</v>
      </c>
      <c r="Z418" s="36">
        <v>0</v>
      </c>
      <c r="AA418" s="36">
        <v>0</v>
      </c>
      <c r="AB418" s="36">
        <v>0</v>
      </c>
      <c r="AC418" s="50">
        <v>0</v>
      </c>
      <c r="AD418" s="36">
        <v>0</v>
      </c>
      <c r="AE418" s="36">
        <v>0</v>
      </c>
      <c r="AF418" s="36">
        <v>0</v>
      </c>
      <c r="AG418" s="36">
        <v>0</v>
      </c>
      <c r="AH418" s="50">
        <v>0</v>
      </c>
      <c r="AI418" s="36">
        <v>0</v>
      </c>
      <c r="AJ418" s="36">
        <v>0</v>
      </c>
      <c r="AK418" s="36">
        <v>0</v>
      </c>
      <c r="AL418" s="36">
        <v>0</v>
      </c>
      <c r="AM418" s="50">
        <v>0</v>
      </c>
      <c r="AN418" s="36">
        <v>0</v>
      </c>
      <c r="AO418" s="36">
        <v>0</v>
      </c>
      <c r="AP418" s="36">
        <v>0</v>
      </c>
      <c r="AQ418" s="36">
        <v>0</v>
      </c>
      <c r="AR418" s="50">
        <v>0</v>
      </c>
      <c r="AS418" s="36">
        <v>0</v>
      </c>
      <c r="AT418" s="36">
        <v>0</v>
      </c>
      <c r="AU418" s="36">
        <v>0</v>
      </c>
      <c r="AV418" s="36">
        <v>1</v>
      </c>
      <c r="AW418">
        <v>0</v>
      </c>
      <c r="AX418">
        <v>0</v>
      </c>
    </row>
    <row r="419" spans="1:50" x14ac:dyDescent="0.25">
      <c r="A419" s="36"/>
      <c r="B419" t="s">
        <v>121</v>
      </c>
      <c r="C419" s="36" t="str">
        <f>'Status Thresholds'!B410</f>
        <v>Iodrome</v>
      </c>
      <c r="D419" t="s">
        <v>14</v>
      </c>
      <c r="E419" s="36" t="str">
        <f t="shared" si="15"/>
        <v>IodromeKO</v>
      </c>
      <c r="F419" s="36" t="str">
        <f>IFERROR(VLOOKUP($E419,'Status Thresholds'!$E:$AS,1,FALSE),"")</f>
        <v>IodromeKO</v>
      </c>
      <c r="H419" s="55" t="str">
        <f t="shared" si="16"/>
        <v>IodromeKO</v>
      </c>
      <c r="I419" s="50">
        <f>VLOOKUP($F419,'Status Thresholds'!$E:$AS,2,FALSE)</f>
        <v>156</v>
      </c>
      <c r="J419" s="36">
        <f>VLOOKUP($F419,'Status Thresholds'!$E:$AS,3,FALSE)</f>
        <v>233</v>
      </c>
      <c r="K419" s="36">
        <f>VLOOKUP($F419,'Status Thresholds'!$E:$AS,4,FALSE)</f>
        <v>312</v>
      </c>
      <c r="L419" s="36">
        <f>VLOOKUP($F419,'Status Thresholds'!$E:$AS,5,FALSE)</f>
        <v>390</v>
      </c>
      <c r="M419" s="36">
        <f>VLOOKUP($F419,'Status Thresholds'!$E:$AS,6,FALSE)</f>
        <v>0</v>
      </c>
      <c r="N419" s="50">
        <f>VLOOKUP($F419,'Status Thresholds'!$E:$AS,7,FALSE)</f>
        <v>156</v>
      </c>
      <c r="O419" s="36">
        <f>VLOOKUP($F419,'Status Thresholds'!$E:$AS,8,FALSE)</f>
        <v>217</v>
      </c>
      <c r="P419" s="36">
        <f>VLOOKUP($F419,'Status Thresholds'!$E:$AS,9,FALSE)</f>
        <v>278</v>
      </c>
      <c r="Q419" s="36">
        <f>VLOOKUP($F419,'Status Thresholds'!$E:$AS,10,FALSE)</f>
        <v>339</v>
      </c>
      <c r="R419" s="36">
        <f>VLOOKUP($F419,'Status Thresholds'!$E:$AS,11,FALSE)</f>
        <v>0</v>
      </c>
      <c r="S419" s="50">
        <f>VLOOKUP($F419,'Status Thresholds'!$E:$AS,12,FALSE)</f>
        <v>0</v>
      </c>
      <c r="T419" s="36">
        <f>VLOOKUP($F419,'Status Thresholds'!$E:$AS,13,FALSE)</f>
        <v>0</v>
      </c>
      <c r="U419" s="36">
        <f>VLOOKUP($F419,'Status Thresholds'!$E:$AS,14,FALSE)</f>
        <v>0</v>
      </c>
      <c r="V419" s="36">
        <f>VLOOKUP($F419,'Status Thresholds'!$E:$AS,15,FALSE)</f>
        <v>0</v>
      </c>
      <c r="W419" s="36">
        <f>VLOOKUP($F419,'Status Thresholds'!$E:$AS,16,FALSE)</f>
        <v>0</v>
      </c>
      <c r="X419" s="50">
        <f>VLOOKUP($F419,'Status Thresholds'!$E:$AS,17,FALSE)</f>
        <v>0</v>
      </c>
      <c r="Y419" s="36">
        <f>VLOOKUP($F419,'Status Thresholds'!$E:$AS,18,FALSE)</f>
        <v>0</v>
      </c>
      <c r="Z419" s="36">
        <f>VLOOKUP($F419,'Status Thresholds'!$E:$AS,19,FALSE)</f>
        <v>0</v>
      </c>
      <c r="AA419" s="36">
        <f>VLOOKUP($F419,'Status Thresholds'!$E:$AS,20,FALSE)</f>
        <v>0</v>
      </c>
      <c r="AB419" s="36">
        <f>VLOOKUP($F419,'Status Thresholds'!$E:$AS,21,FALSE)</f>
        <v>0</v>
      </c>
      <c r="AC419" s="50">
        <f>VLOOKUP($F419,'Status Thresholds'!$E:$AS,22,FALSE)</f>
        <v>156</v>
      </c>
      <c r="AD419" s="36">
        <f>VLOOKUP($F419,'Status Thresholds'!$E:$AS,23,FALSE)</f>
        <v>233</v>
      </c>
      <c r="AE419" s="36">
        <f>VLOOKUP($F419,'Status Thresholds'!$E:$AS,24,FALSE)</f>
        <v>310</v>
      </c>
      <c r="AF419" s="36">
        <f>VLOOKUP($F419,'Status Thresholds'!$E:$AS,25,FALSE)</f>
        <v>387</v>
      </c>
      <c r="AG419" s="36">
        <f>VLOOKUP($F419,'Status Thresholds'!$E:$AS,26,FALSE)</f>
        <v>0</v>
      </c>
      <c r="AH419" s="50">
        <f>VLOOKUP($F419,'Status Thresholds'!$E:$AS,27,FALSE)</f>
        <v>0</v>
      </c>
      <c r="AI419" s="36">
        <f>VLOOKUP($F419,'Status Thresholds'!$E:$AS,28,FALSE)</f>
        <v>0</v>
      </c>
      <c r="AJ419" s="36">
        <f>VLOOKUP($F419,'Status Thresholds'!$E:$AS,29,FALSE)</f>
        <v>0</v>
      </c>
      <c r="AK419" s="36">
        <f>VLOOKUP($F419,'Status Thresholds'!$E:$AS,30,FALSE)</f>
        <v>0</v>
      </c>
      <c r="AL419" s="36">
        <f>VLOOKUP($F419,'Status Thresholds'!$E:$AS,31,FALSE)</f>
        <v>0</v>
      </c>
      <c r="AM419" s="50">
        <f>VLOOKUP($F419,'Status Thresholds'!$E:$AS,32,FALSE)</f>
        <v>0</v>
      </c>
      <c r="AN419" s="36">
        <f>VLOOKUP($F419,'Status Thresholds'!$E:$AS,33,FALSE)</f>
        <v>0</v>
      </c>
      <c r="AO419" s="36">
        <f>VLOOKUP($F419,'Status Thresholds'!$E:$AS,34,FALSE)</f>
        <v>0</v>
      </c>
      <c r="AP419" s="36">
        <f>VLOOKUP($F419,'Status Thresholds'!$E:$AS,35,FALSE)</f>
        <v>0</v>
      </c>
      <c r="AQ419" s="36">
        <f>VLOOKUP($F419,'Status Thresholds'!$E:$AS,36,FALSE)</f>
        <v>0</v>
      </c>
      <c r="AR419" s="50">
        <f>VLOOKUP($F419,'Status Thresholds'!$E:$AS,37,FALSE)</f>
        <v>0</v>
      </c>
      <c r="AS419" s="36">
        <f>VLOOKUP($F419,'Status Thresholds'!$E:$AS,38,FALSE)</f>
        <v>0</v>
      </c>
      <c r="AT419" s="36">
        <f>VLOOKUP($F419,'Status Thresholds'!$E:$AS,39,FALSE)</f>
        <v>0</v>
      </c>
      <c r="AU419" s="36">
        <f>VLOOKUP($F419,'Status Thresholds'!$E:$AS,40,FALSE)</f>
        <v>0</v>
      </c>
      <c r="AV419" s="36">
        <f>VLOOKUP($F419,'Status Thresholds'!$E:$AS,41,FALSE)</f>
        <v>10</v>
      </c>
      <c r="AW419">
        <v>0</v>
      </c>
      <c r="AX419">
        <v>0</v>
      </c>
    </row>
    <row r="420" spans="1:50" x14ac:dyDescent="0.25">
      <c r="A420" s="36"/>
      <c r="B420" t="s">
        <v>120</v>
      </c>
      <c r="C420" s="36" t="str">
        <f>'Status Thresholds'!B411</f>
        <v>Iodrome</v>
      </c>
      <c r="E420" s="36" t="str">
        <f t="shared" si="15"/>
        <v>Iodrome</v>
      </c>
      <c r="F420" s="36" t="str">
        <f>IFERROR(VLOOKUP($E420,'Status Thresholds'!$E:$AS,1,FALSE),"")</f>
        <v/>
      </c>
      <c r="G420" t="s">
        <v>21</v>
      </c>
      <c r="H420" s="55" t="str">
        <f t="shared" si="16"/>
        <v>IodromeTriblast</v>
      </c>
      <c r="I420" s="50">
        <v>0</v>
      </c>
      <c r="J420" s="36">
        <v>0</v>
      </c>
      <c r="K420" s="36">
        <v>1</v>
      </c>
      <c r="L420" s="36">
        <v>2</v>
      </c>
      <c r="M420" s="36">
        <v>0</v>
      </c>
      <c r="N420" s="50">
        <v>0</v>
      </c>
      <c r="O420" s="36">
        <v>2</v>
      </c>
      <c r="P420" s="36">
        <v>0</v>
      </c>
      <c r="Q420" s="36">
        <v>1</v>
      </c>
      <c r="R420" s="36">
        <v>0</v>
      </c>
      <c r="S420" s="50">
        <v>0</v>
      </c>
      <c r="T420" s="36">
        <v>0</v>
      </c>
      <c r="U420" s="36">
        <v>0</v>
      </c>
      <c r="V420" s="36">
        <v>0</v>
      </c>
      <c r="W420" s="36">
        <v>0</v>
      </c>
      <c r="X420" s="50">
        <v>0</v>
      </c>
      <c r="Y420" s="36">
        <v>0</v>
      </c>
      <c r="Z420" s="36">
        <v>0</v>
      </c>
      <c r="AA420" s="36">
        <v>0</v>
      </c>
      <c r="AB420" s="36">
        <v>0</v>
      </c>
      <c r="AC420" s="50">
        <v>0</v>
      </c>
      <c r="AD420" s="36">
        <v>0</v>
      </c>
      <c r="AE420" s="36">
        <v>2</v>
      </c>
      <c r="AF420" s="36">
        <v>0</v>
      </c>
      <c r="AG420" s="36">
        <v>0</v>
      </c>
      <c r="AH420" s="50">
        <v>0</v>
      </c>
      <c r="AI420" s="36">
        <v>0</v>
      </c>
      <c r="AJ420" s="36">
        <v>0</v>
      </c>
      <c r="AK420" s="36">
        <v>0</v>
      </c>
      <c r="AL420" s="36">
        <v>0</v>
      </c>
      <c r="AM420" s="50">
        <v>0</v>
      </c>
      <c r="AN420" s="36">
        <v>0</v>
      </c>
      <c r="AO420" s="36">
        <v>0</v>
      </c>
      <c r="AP420" s="36">
        <v>0</v>
      </c>
      <c r="AQ420" s="36">
        <v>0</v>
      </c>
      <c r="AR420" s="50">
        <v>0</v>
      </c>
      <c r="AS420" s="36">
        <v>0</v>
      </c>
      <c r="AT420" s="36">
        <v>0</v>
      </c>
      <c r="AU420" s="36">
        <v>0</v>
      </c>
      <c r="AV420" s="36">
        <v>0</v>
      </c>
      <c r="AW420">
        <v>0</v>
      </c>
    </row>
    <row r="421" spans="1:50" x14ac:dyDescent="0.25">
      <c r="A421" s="36"/>
      <c r="B421" t="s">
        <v>120</v>
      </c>
      <c r="C421" s="36" t="str">
        <f>'Status Thresholds'!B412</f>
        <v>Iodrome</v>
      </c>
      <c r="E421" s="36" t="str">
        <f t="shared" si="15"/>
        <v>Iodrome</v>
      </c>
      <c r="F421" s="36" t="str">
        <f>IFERROR(VLOOKUP($E421,'Status Thresholds'!$E:$AS,1,FALSE),"")</f>
        <v/>
      </c>
      <c r="G421" t="s">
        <v>13</v>
      </c>
      <c r="H421" s="55" t="str">
        <f t="shared" si="16"/>
        <v>IodromeCrag 3</v>
      </c>
      <c r="I421" s="50">
        <v>4</v>
      </c>
      <c r="J421" s="36">
        <v>4</v>
      </c>
      <c r="K421" s="36">
        <v>3</v>
      </c>
      <c r="L421" s="36">
        <v>4</v>
      </c>
      <c r="M421" s="36">
        <v>0</v>
      </c>
      <c r="N421" s="50">
        <v>4</v>
      </c>
      <c r="O421" s="36">
        <v>1</v>
      </c>
      <c r="P421" s="36">
        <v>4</v>
      </c>
      <c r="Q421" s="36">
        <v>0</v>
      </c>
      <c r="R421" s="36">
        <v>0</v>
      </c>
      <c r="S421" s="50">
        <v>0</v>
      </c>
      <c r="T421" s="36">
        <v>0</v>
      </c>
      <c r="U421" s="36">
        <v>0</v>
      </c>
      <c r="V421" s="36">
        <v>0</v>
      </c>
      <c r="W421" s="36">
        <v>0</v>
      </c>
      <c r="X421" s="50">
        <v>0</v>
      </c>
      <c r="Y421" s="36">
        <v>0</v>
      </c>
      <c r="Z421" s="36">
        <v>0</v>
      </c>
      <c r="AA421" s="36">
        <v>0</v>
      </c>
      <c r="AB421" s="36">
        <v>0</v>
      </c>
      <c r="AC421" s="50">
        <v>4</v>
      </c>
      <c r="AD421" s="36">
        <v>4</v>
      </c>
      <c r="AE421" s="36">
        <v>4</v>
      </c>
      <c r="AF421" s="36">
        <v>3</v>
      </c>
      <c r="AG421" s="36">
        <v>0</v>
      </c>
      <c r="AH421" s="50">
        <v>0</v>
      </c>
      <c r="AI421" s="36">
        <v>0</v>
      </c>
      <c r="AJ421" s="36">
        <v>0</v>
      </c>
      <c r="AK421" s="36">
        <v>0</v>
      </c>
      <c r="AL421" s="36">
        <v>0</v>
      </c>
      <c r="AM421" s="50">
        <v>0</v>
      </c>
      <c r="AN421" s="36">
        <v>0</v>
      </c>
      <c r="AO421" s="36">
        <v>0</v>
      </c>
      <c r="AP421" s="36">
        <v>0</v>
      </c>
      <c r="AQ421" s="36">
        <v>0</v>
      </c>
      <c r="AR421" s="50">
        <v>0</v>
      </c>
      <c r="AS421" s="36">
        <v>0</v>
      </c>
      <c r="AT421" s="36">
        <v>0</v>
      </c>
      <c r="AU421" s="36">
        <v>0</v>
      </c>
      <c r="AV421" s="36">
        <v>0</v>
      </c>
      <c r="AW421">
        <v>0</v>
      </c>
      <c r="AX421">
        <v>0</v>
      </c>
    </row>
    <row r="422" spans="1:50" x14ac:dyDescent="0.25">
      <c r="A422" s="36"/>
      <c r="B422" t="s">
        <v>120</v>
      </c>
      <c r="C422" s="36" t="str">
        <f>'Status Thresholds'!B413</f>
        <v>Iodrome</v>
      </c>
      <c r="E422" s="36" t="str">
        <f t="shared" si="15"/>
        <v>Iodrome</v>
      </c>
      <c r="F422" s="36" t="str">
        <f>IFERROR(VLOOKUP($E422,'Status Thresholds'!$E:$AS,1,FALSE),"")</f>
        <v/>
      </c>
      <c r="G422" t="s">
        <v>12</v>
      </c>
      <c r="H422" s="55" t="str">
        <f t="shared" si="16"/>
        <v>IodromeCrag 2</v>
      </c>
      <c r="I422" s="50">
        <v>0</v>
      </c>
      <c r="J422" s="36">
        <v>0</v>
      </c>
      <c r="K422" s="36">
        <v>4</v>
      </c>
      <c r="L422" s="36">
        <v>1</v>
      </c>
      <c r="M422" s="36">
        <v>0</v>
      </c>
      <c r="N422" s="50">
        <v>0</v>
      </c>
      <c r="O422" s="36">
        <v>1</v>
      </c>
      <c r="P422" s="36">
        <v>4</v>
      </c>
      <c r="Q422" s="36">
        <v>3</v>
      </c>
      <c r="R422" s="36">
        <v>0</v>
      </c>
      <c r="S422" s="50">
        <v>0</v>
      </c>
      <c r="T422" s="36">
        <v>0</v>
      </c>
      <c r="U422" s="36">
        <v>0</v>
      </c>
      <c r="V422" s="36">
        <v>0</v>
      </c>
      <c r="W422" s="36">
        <v>0</v>
      </c>
      <c r="X422" s="50">
        <v>0</v>
      </c>
      <c r="Y422" s="36">
        <v>0</v>
      </c>
      <c r="Z422" s="36">
        <v>0</v>
      </c>
      <c r="AA422" s="36">
        <v>0</v>
      </c>
      <c r="AB422" s="36">
        <v>0</v>
      </c>
      <c r="AC422" s="50">
        <v>0</v>
      </c>
      <c r="AD422" s="36">
        <v>0</v>
      </c>
      <c r="AE422" s="36">
        <v>0</v>
      </c>
      <c r="AF422" s="36">
        <v>4</v>
      </c>
      <c r="AG422" s="36">
        <v>0</v>
      </c>
      <c r="AH422" s="50">
        <v>0</v>
      </c>
      <c r="AI422" s="36">
        <v>0</v>
      </c>
      <c r="AJ422" s="36">
        <v>0</v>
      </c>
      <c r="AK422" s="36">
        <v>0</v>
      </c>
      <c r="AL422" s="36">
        <v>0</v>
      </c>
      <c r="AM422" s="50">
        <v>0</v>
      </c>
      <c r="AN422" s="36">
        <v>0</v>
      </c>
      <c r="AO422" s="36">
        <v>0</v>
      </c>
      <c r="AP422" s="36">
        <v>0</v>
      </c>
      <c r="AQ422" s="36">
        <v>0</v>
      </c>
      <c r="AR422" s="50">
        <v>0</v>
      </c>
      <c r="AS422" s="36">
        <v>0</v>
      </c>
      <c r="AT422" s="36">
        <v>0</v>
      </c>
      <c r="AU422" s="36">
        <v>0</v>
      </c>
      <c r="AV422" s="36">
        <v>0</v>
      </c>
      <c r="AW422">
        <v>0</v>
      </c>
      <c r="AX422">
        <v>0</v>
      </c>
    </row>
    <row r="423" spans="1:50" x14ac:dyDescent="0.25">
      <c r="A423" s="36"/>
      <c r="B423" t="s">
        <v>120</v>
      </c>
      <c r="C423" s="36" t="str">
        <f>'Status Thresholds'!B414</f>
        <v>Iodrome</v>
      </c>
      <c r="E423" s="36" t="str">
        <f t="shared" si="15"/>
        <v>Iodrome</v>
      </c>
      <c r="F423" s="36" t="str">
        <f>IFERROR(VLOOKUP($E423,'Status Thresholds'!$E:$AS,1,FALSE),"")</f>
        <v/>
      </c>
      <c r="G423" t="s">
        <v>11</v>
      </c>
      <c r="H423" s="55" t="str">
        <f t="shared" si="16"/>
        <v>IodromeCrag 1</v>
      </c>
      <c r="I423" s="50">
        <v>0</v>
      </c>
      <c r="J423" s="36">
        <v>3</v>
      </c>
      <c r="K423" s="36">
        <v>0</v>
      </c>
      <c r="L423" s="36">
        <v>2</v>
      </c>
      <c r="M423" s="36">
        <v>0</v>
      </c>
      <c r="N423" s="50">
        <v>0</v>
      </c>
      <c r="O423" s="36">
        <v>0</v>
      </c>
      <c r="P423" s="36">
        <v>0</v>
      </c>
      <c r="Q423" s="36">
        <v>7</v>
      </c>
      <c r="R423" s="36">
        <v>0</v>
      </c>
      <c r="S423" s="50">
        <v>0</v>
      </c>
      <c r="T423" s="36">
        <v>0</v>
      </c>
      <c r="U423" s="36">
        <v>0</v>
      </c>
      <c r="V423" s="36">
        <v>0</v>
      </c>
      <c r="W423" s="36">
        <v>0</v>
      </c>
      <c r="X423" s="50">
        <v>0</v>
      </c>
      <c r="Y423" s="36">
        <v>0</v>
      </c>
      <c r="Z423" s="36">
        <v>0</v>
      </c>
      <c r="AA423" s="36">
        <v>0</v>
      </c>
      <c r="AB423" s="36">
        <v>0</v>
      </c>
      <c r="AC423" s="50">
        <v>0</v>
      </c>
      <c r="AD423" s="36">
        <v>3</v>
      </c>
      <c r="AE423" s="36">
        <v>0</v>
      </c>
      <c r="AF423" s="36">
        <v>6</v>
      </c>
      <c r="AG423" s="36">
        <v>0</v>
      </c>
      <c r="AH423" s="50">
        <v>0</v>
      </c>
      <c r="AI423" s="36">
        <v>0</v>
      </c>
      <c r="AJ423" s="36">
        <v>0</v>
      </c>
      <c r="AK423" s="36">
        <v>0</v>
      </c>
      <c r="AL423" s="36">
        <v>0</v>
      </c>
      <c r="AM423" s="50">
        <v>0</v>
      </c>
      <c r="AN423" s="36">
        <v>0</v>
      </c>
      <c r="AO423" s="36">
        <v>0</v>
      </c>
      <c r="AP423" s="36">
        <v>0</v>
      </c>
      <c r="AQ423" s="36">
        <v>0</v>
      </c>
      <c r="AR423" s="50">
        <v>0</v>
      </c>
      <c r="AS423" s="36">
        <v>0</v>
      </c>
      <c r="AT423" s="36">
        <v>0</v>
      </c>
      <c r="AU423" s="36">
        <v>0</v>
      </c>
      <c r="AV423" s="36">
        <v>1</v>
      </c>
      <c r="AW423">
        <v>0</v>
      </c>
      <c r="AX423">
        <v>0</v>
      </c>
    </row>
    <row r="424" spans="1:50" x14ac:dyDescent="0.25">
      <c r="A424" s="36"/>
      <c r="B424" t="s">
        <v>119</v>
      </c>
      <c r="C424" s="36" t="str">
        <f>'Status Thresholds'!B415</f>
        <v>Iodrome</v>
      </c>
      <c r="E424" s="36" t="str">
        <f t="shared" si="15"/>
        <v>Iodrome</v>
      </c>
      <c r="F424" s="36" t="str">
        <f>IFERROR(VLOOKUP($E424,'Status Thresholds'!$E:$AS,1,FALSE),"")</f>
        <v/>
      </c>
      <c r="G424" t="s">
        <v>21</v>
      </c>
      <c r="H424" s="55" t="str">
        <f t="shared" si="16"/>
        <v>IodromeTriblast</v>
      </c>
      <c r="I424" s="50">
        <v>0</v>
      </c>
      <c r="J424" s="36">
        <v>2</v>
      </c>
      <c r="K424" s="36">
        <v>1</v>
      </c>
      <c r="L424" s="36">
        <v>2</v>
      </c>
      <c r="M424" s="36">
        <v>0</v>
      </c>
      <c r="N424" s="50">
        <v>0</v>
      </c>
      <c r="O424" s="36">
        <v>1</v>
      </c>
      <c r="P424" s="36">
        <v>1</v>
      </c>
      <c r="Q424" s="36">
        <v>0</v>
      </c>
      <c r="R424" s="36">
        <v>0</v>
      </c>
      <c r="S424" s="50">
        <v>0</v>
      </c>
      <c r="T424" s="36">
        <v>0</v>
      </c>
      <c r="U424" s="36">
        <v>0</v>
      </c>
      <c r="V424" s="36">
        <v>0</v>
      </c>
      <c r="W424" s="36">
        <v>0</v>
      </c>
      <c r="X424" s="50">
        <v>0</v>
      </c>
      <c r="Y424" s="36">
        <v>0</v>
      </c>
      <c r="Z424" s="36">
        <v>0</v>
      </c>
      <c r="AA424" s="36">
        <v>0</v>
      </c>
      <c r="AB424" s="36">
        <v>0</v>
      </c>
      <c r="AC424" s="50">
        <v>0</v>
      </c>
      <c r="AD424" s="36">
        <v>2</v>
      </c>
      <c r="AE424" s="36">
        <v>2</v>
      </c>
      <c r="AF424" s="36">
        <v>0</v>
      </c>
      <c r="AG424" s="36">
        <v>0</v>
      </c>
      <c r="AH424" s="50">
        <v>0</v>
      </c>
      <c r="AI424" s="36">
        <v>0</v>
      </c>
      <c r="AJ424" s="36">
        <v>0</v>
      </c>
      <c r="AK424" s="36">
        <v>0</v>
      </c>
      <c r="AL424" s="36">
        <v>0</v>
      </c>
      <c r="AM424" s="50">
        <v>0</v>
      </c>
      <c r="AN424" s="36">
        <v>0</v>
      </c>
      <c r="AO424" s="36">
        <v>0</v>
      </c>
      <c r="AP424" s="36">
        <v>0</v>
      </c>
      <c r="AQ424" s="36">
        <v>0</v>
      </c>
      <c r="AR424" s="50">
        <v>0</v>
      </c>
      <c r="AS424" s="36">
        <v>0</v>
      </c>
      <c r="AT424" s="36">
        <v>0</v>
      </c>
      <c r="AU424" s="36">
        <v>0</v>
      </c>
      <c r="AV424" s="36">
        <v>0</v>
      </c>
      <c r="AW424">
        <v>0</v>
      </c>
      <c r="AX424">
        <v>0</v>
      </c>
    </row>
    <row r="425" spans="1:50" x14ac:dyDescent="0.25">
      <c r="A425" s="36"/>
      <c r="B425" t="s">
        <v>119</v>
      </c>
      <c r="C425" s="36" t="str">
        <f>'Status Thresholds'!B416</f>
        <v>Iodrome</v>
      </c>
      <c r="E425" s="36" t="str">
        <f t="shared" si="15"/>
        <v>Iodrome</v>
      </c>
      <c r="F425" s="36" t="str">
        <f>IFERROR(VLOOKUP($E425,'Status Thresholds'!$E:$AS,1,FALSE),"")</f>
        <v/>
      </c>
      <c r="G425" t="s">
        <v>13</v>
      </c>
      <c r="H425" s="55" t="str">
        <f t="shared" si="16"/>
        <v>IodromeCrag 3</v>
      </c>
      <c r="I425" s="50">
        <v>1</v>
      </c>
      <c r="J425" s="36">
        <v>1</v>
      </c>
      <c r="K425" s="36">
        <v>3</v>
      </c>
      <c r="L425" s="36">
        <v>0</v>
      </c>
      <c r="M425" s="36">
        <v>0</v>
      </c>
      <c r="N425" s="50">
        <v>1</v>
      </c>
      <c r="O425" s="36">
        <v>1</v>
      </c>
      <c r="P425" s="36">
        <v>1</v>
      </c>
      <c r="Q425" s="36">
        <v>3</v>
      </c>
      <c r="R425" s="36">
        <v>0</v>
      </c>
      <c r="S425" s="50">
        <v>0</v>
      </c>
      <c r="T425" s="36">
        <v>0</v>
      </c>
      <c r="U425" s="36">
        <v>0</v>
      </c>
      <c r="V425" s="36">
        <v>0</v>
      </c>
      <c r="W425" s="36">
        <v>0</v>
      </c>
      <c r="X425" s="50">
        <v>0</v>
      </c>
      <c r="Y425" s="36">
        <v>0</v>
      </c>
      <c r="Z425" s="36">
        <v>0</v>
      </c>
      <c r="AA425" s="36">
        <v>0</v>
      </c>
      <c r="AB425" s="36">
        <v>0</v>
      </c>
      <c r="AC425" s="50">
        <v>1</v>
      </c>
      <c r="AD425" s="36">
        <v>1</v>
      </c>
      <c r="AE425" s="36">
        <v>2</v>
      </c>
      <c r="AF425" s="36">
        <v>3</v>
      </c>
      <c r="AG425" s="36">
        <v>0</v>
      </c>
      <c r="AH425" s="50">
        <v>0</v>
      </c>
      <c r="AI425" s="36">
        <v>0</v>
      </c>
      <c r="AJ425" s="36">
        <v>0</v>
      </c>
      <c r="AK425" s="36">
        <v>0</v>
      </c>
      <c r="AL425" s="36">
        <v>0</v>
      </c>
      <c r="AM425" s="50">
        <v>0</v>
      </c>
      <c r="AN425" s="36">
        <v>0</v>
      </c>
      <c r="AO425" s="36">
        <v>0</v>
      </c>
      <c r="AP425" s="36">
        <v>0</v>
      </c>
      <c r="AQ425" s="36">
        <v>0</v>
      </c>
      <c r="AR425" s="50">
        <v>0</v>
      </c>
      <c r="AS425" s="36">
        <v>0</v>
      </c>
      <c r="AT425" s="36">
        <v>0</v>
      </c>
      <c r="AU425" s="36">
        <v>0</v>
      </c>
      <c r="AV425" s="36">
        <v>0</v>
      </c>
      <c r="AW425">
        <v>0</v>
      </c>
      <c r="AX425">
        <v>0</v>
      </c>
    </row>
    <row r="426" spans="1:50" x14ac:dyDescent="0.25">
      <c r="A426" s="36"/>
      <c r="B426" t="s">
        <v>119</v>
      </c>
      <c r="C426" s="36" t="str">
        <f>'Status Thresholds'!B417</f>
        <v>Iodrome</v>
      </c>
      <c r="E426" s="36" t="str">
        <f t="shared" si="15"/>
        <v>Iodrome</v>
      </c>
      <c r="F426" s="36" t="str">
        <f>IFERROR(VLOOKUP($E426,'Status Thresholds'!$E:$AS,1,FALSE),"")</f>
        <v/>
      </c>
      <c r="G426" t="s">
        <v>12</v>
      </c>
      <c r="H426" s="55" t="str">
        <f t="shared" si="16"/>
        <v>IodromeCrag 2</v>
      </c>
      <c r="I426" s="50">
        <v>1</v>
      </c>
      <c r="J426" s="36">
        <v>0</v>
      </c>
      <c r="K426" s="36">
        <v>3</v>
      </c>
      <c r="L426" s="36">
        <v>2</v>
      </c>
      <c r="M426" s="36">
        <v>0</v>
      </c>
      <c r="N426" s="50">
        <v>1</v>
      </c>
      <c r="O426" s="36">
        <v>2</v>
      </c>
      <c r="P426" s="36">
        <v>3</v>
      </c>
      <c r="Q426" s="36">
        <v>3</v>
      </c>
      <c r="R426" s="36">
        <v>0</v>
      </c>
      <c r="S426" s="50">
        <v>0</v>
      </c>
      <c r="T426" s="36">
        <v>0</v>
      </c>
      <c r="U426" s="36">
        <v>0</v>
      </c>
      <c r="V426" s="36">
        <v>0</v>
      </c>
      <c r="W426" s="36">
        <v>0</v>
      </c>
      <c r="X426" s="50">
        <v>0</v>
      </c>
      <c r="Y426" s="36">
        <v>0</v>
      </c>
      <c r="Z426" s="36">
        <v>0</v>
      </c>
      <c r="AA426" s="36">
        <v>0</v>
      </c>
      <c r="AB426" s="36">
        <v>0</v>
      </c>
      <c r="AC426" s="50">
        <v>1</v>
      </c>
      <c r="AD426" s="36">
        <v>0</v>
      </c>
      <c r="AE426" s="36">
        <v>1</v>
      </c>
      <c r="AF426" s="36">
        <v>2</v>
      </c>
      <c r="AG426" s="36">
        <v>0</v>
      </c>
      <c r="AH426" s="50">
        <v>0</v>
      </c>
      <c r="AI426" s="36">
        <v>0</v>
      </c>
      <c r="AJ426" s="36">
        <v>0</v>
      </c>
      <c r="AK426" s="36">
        <v>0</v>
      </c>
      <c r="AL426" s="36">
        <v>0</v>
      </c>
      <c r="AM426" s="50">
        <v>0</v>
      </c>
      <c r="AN426" s="36">
        <v>0</v>
      </c>
      <c r="AO426" s="36">
        <v>0</v>
      </c>
      <c r="AP426" s="36">
        <v>0</v>
      </c>
      <c r="AQ426" s="36">
        <v>0</v>
      </c>
      <c r="AR426" s="50">
        <v>0</v>
      </c>
      <c r="AS426" s="36">
        <v>0</v>
      </c>
      <c r="AT426" s="36">
        <v>0</v>
      </c>
      <c r="AU426" s="36">
        <v>0</v>
      </c>
      <c r="AV426" s="36">
        <v>0</v>
      </c>
      <c r="AW426">
        <v>0</v>
      </c>
      <c r="AX426">
        <v>0</v>
      </c>
    </row>
    <row r="427" spans="1:50" x14ac:dyDescent="0.25">
      <c r="A427" s="36"/>
      <c r="B427" t="s">
        <v>119</v>
      </c>
      <c r="C427" s="36" t="str">
        <f>'Status Thresholds'!B418</f>
        <v>Iodrome</v>
      </c>
      <c r="E427" s="36" t="str">
        <f t="shared" si="15"/>
        <v>Iodrome</v>
      </c>
      <c r="F427" s="36" t="str">
        <f>IFERROR(VLOOKUP($E427,'Status Thresholds'!$E:$AS,1,FALSE),"")</f>
        <v/>
      </c>
      <c r="G427" t="s">
        <v>11</v>
      </c>
      <c r="H427" s="55" t="str">
        <f t="shared" si="16"/>
        <v>IodromeCrag 1</v>
      </c>
      <c r="I427" s="50">
        <v>3</v>
      </c>
      <c r="J427" s="36">
        <v>1</v>
      </c>
      <c r="K427" s="36">
        <v>0</v>
      </c>
      <c r="L427" s="36">
        <v>6</v>
      </c>
      <c r="M427" s="36">
        <v>0</v>
      </c>
      <c r="N427" s="50">
        <v>3</v>
      </c>
      <c r="O427" s="36">
        <v>1</v>
      </c>
      <c r="P427" s="36">
        <v>2</v>
      </c>
      <c r="Q427" s="36">
        <v>4</v>
      </c>
      <c r="R427" s="36">
        <v>0</v>
      </c>
      <c r="S427" s="50">
        <v>0</v>
      </c>
      <c r="T427" s="36">
        <v>0</v>
      </c>
      <c r="U427" s="36">
        <v>0</v>
      </c>
      <c r="V427" s="36">
        <v>0</v>
      </c>
      <c r="W427" s="36">
        <v>0</v>
      </c>
      <c r="X427" s="50">
        <v>0</v>
      </c>
      <c r="Y427" s="36">
        <v>0</v>
      </c>
      <c r="Z427" s="36">
        <v>0</v>
      </c>
      <c r="AA427" s="36">
        <v>0</v>
      </c>
      <c r="AB427" s="36">
        <v>0</v>
      </c>
      <c r="AC427" s="50">
        <v>3</v>
      </c>
      <c r="AD427" s="36">
        <v>1</v>
      </c>
      <c r="AE427" s="36">
        <v>1</v>
      </c>
      <c r="AF427" s="36">
        <v>7</v>
      </c>
      <c r="AG427" s="36">
        <v>0</v>
      </c>
      <c r="AH427" s="50">
        <v>0</v>
      </c>
      <c r="AI427" s="36">
        <v>0</v>
      </c>
      <c r="AJ427" s="36">
        <v>0</v>
      </c>
      <c r="AK427" s="36">
        <v>0</v>
      </c>
      <c r="AL427" s="36">
        <v>0</v>
      </c>
      <c r="AM427" s="50">
        <v>0</v>
      </c>
      <c r="AN427" s="36">
        <v>0</v>
      </c>
      <c r="AO427" s="36">
        <v>0</v>
      </c>
      <c r="AP427" s="36">
        <v>0</v>
      </c>
      <c r="AQ427" s="36">
        <v>0</v>
      </c>
      <c r="AR427" s="50">
        <v>0</v>
      </c>
      <c r="AS427" s="36">
        <v>0</v>
      </c>
      <c r="AT427" s="36">
        <v>0</v>
      </c>
      <c r="AU427" s="36">
        <v>0</v>
      </c>
      <c r="AV427" s="36">
        <v>1</v>
      </c>
      <c r="AW427">
        <v>0</v>
      </c>
      <c r="AX427">
        <v>0</v>
      </c>
    </row>
    <row r="428" spans="1:50" x14ac:dyDescent="0.25">
      <c r="A428" s="36"/>
      <c r="B428" t="s">
        <v>121</v>
      </c>
      <c r="C428" s="36" t="str">
        <f>'Status Thresholds'!B419</f>
        <v>Kecha Wacha</v>
      </c>
      <c r="D428" t="s">
        <v>14</v>
      </c>
      <c r="E428" s="36" t="str">
        <f t="shared" si="15"/>
        <v>Kecha WachaKO</v>
      </c>
      <c r="F428" s="36" t="str">
        <f>IFERROR(VLOOKUP($E428,'Status Thresholds'!$E:$AS,1,FALSE),"")</f>
        <v>Kecha WachaKO</v>
      </c>
      <c r="H428" s="55" t="str">
        <f t="shared" si="16"/>
        <v>Kecha WachaKO</v>
      </c>
      <c r="I428" s="50">
        <f>VLOOKUP($F428,'Status Thresholds'!$E:$AS,2,FALSE)</f>
        <v>195</v>
      </c>
      <c r="J428" s="36">
        <f>VLOOKUP($F428,'Status Thresholds'!$E:$AS,3,FALSE)</f>
        <v>325</v>
      </c>
      <c r="K428" s="36">
        <f>VLOOKUP($F428,'Status Thresholds'!$E:$AS,4,FALSE)</f>
        <v>454</v>
      </c>
      <c r="L428" s="36">
        <f>VLOOKUP($F428,'Status Thresholds'!$E:$AS,5,FALSE)</f>
        <v>585</v>
      </c>
      <c r="M428" s="36">
        <f>VLOOKUP($F428,'Status Thresholds'!$E:$AS,6,FALSE)</f>
        <v>0</v>
      </c>
      <c r="N428" s="50">
        <f>VLOOKUP($F428,'Status Thresholds'!$E:$AS,7,FALSE)</f>
        <v>195</v>
      </c>
      <c r="O428" s="36">
        <f>VLOOKUP($F428,'Status Thresholds'!$E:$AS,8,FALSE)</f>
        <v>325</v>
      </c>
      <c r="P428" s="36">
        <f>VLOOKUP($F428,'Status Thresholds'!$E:$AS,9,FALSE)</f>
        <v>455</v>
      </c>
      <c r="Q428" s="36">
        <f>VLOOKUP($F428,'Status Thresholds'!$E:$AS,10,FALSE)</f>
        <v>585</v>
      </c>
      <c r="R428" s="36">
        <f>VLOOKUP($F428,'Status Thresholds'!$E:$AS,11,FALSE)</f>
        <v>0</v>
      </c>
      <c r="S428" s="50">
        <f>VLOOKUP($F428,'Status Thresholds'!$E:$AS,12,FALSE)</f>
        <v>195</v>
      </c>
      <c r="T428" s="36">
        <f>VLOOKUP($F428,'Status Thresholds'!$E:$AS,13,FALSE)</f>
        <v>325</v>
      </c>
      <c r="U428" s="36">
        <f>VLOOKUP($F428,'Status Thresholds'!$E:$AS,14,FALSE)</f>
        <v>455</v>
      </c>
      <c r="V428" s="36">
        <f>VLOOKUP($F428,'Status Thresholds'!$E:$AS,15,FALSE)</f>
        <v>585</v>
      </c>
      <c r="W428" s="36">
        <f>VLOOKUP($F428,'Status Thresholds'!$E:$AS,16,FALSE)</f>
        <v>0</v>
      </c>
      <c r="X428" s="50">
        <f>VLOOKUP($F428,'Status Thresholds'!$E:$AS,17,FALSE)</f>
        <v>0</v>
      </c>
      <c r="Y428" s="36">
        <f>VLOOKUP($F428,'Status Thresholds'!$E:$AS,18,FALSE)</f>
        <v>0</v>
      </c>
      <c r="Z428" s="36">
        <f>VLOOKUP($F428,'Status Thresholds'!$E:$AS,19,FALSE)</f>
        <v>0</v>
      </c>
      <c r="AA428" s="36">
        <f>VLOOKUP($F428,'Status Thresholds'!$E:$AS,20,FALSE)</f>
        <v>0</v>
      </c>
      <c r="AB428" s="36">
        <f>VLOOKUP($F428,'Status Thresholds'!$E:$AS,21,FALSE)</f>
        <v>0</v>
      </c>
      <c r="AC428" s="50">
        <f>VLOOKUP($F428,'Status Thresholds'!$E:$AS,22,FALSE)</f>
        <v>210</v>
      </c>
      <c r="AD428" s="36">
        <f>VLOOKUP($F428,'Status Thresholds'!$E:$AS,23,FALSE)</f>
        <v>340</v>
      </c>
      <c r="AE428" s="36">
        <f>VLOOKUP($F428,'Status Thresholds'!$E:$AS,24,FALSE)</f>
        <v>470</v>
      </c>
      <c r="AF428" s="36">
        <f>VLOOKUP($F428,'Status Thresholds'!$E:$AS,25,FALSE)</f>
        <v>600</v>
      </c>
      <c r="AG428" s="36">
        <f>VLOOKUP($F428,'Status Thresholds'!$E:$AS,26,FALSE)</f>
        <v>0</v>
      </c>
      <c r="AH428" s="50">
        <f>VLOOKUP($F428,'Status Thresholds'!$E:$AS,27,FALSE)</f>
        <v>210</v>
      </c>
      <c r="AI428" s="36">
        <f>VLOOKUP($F428,'Status Thresholds'!$E:$AS,28,FALSE)</f>
        <v>340</v>
      </c>
      <c r="AJ428" s="36">
        <f>VLOOKUP($F428,'Status Thresholds'!$E:$AS,29,FALSE)</f>
        <v>470</v>
      </c>
      <c r="AK428" s="36">
        <f>VLOOKUP($F428,'Status Thresholds'!$E:$AS,30,FALSE)</f>
        <v>600</v>
      </c>
      <c r="AL428" s="36">
        <f>VLOOKUP($F428,'Status Thresholds'!$E:$AS,31,FALSE)</f>
        <v>0</v>
      </c>
      <c r="AM428" s="50">
        <f>VLOOKUP($F428,'Status Thresholds'!$E:$AS,32,FALSE)</f>
        <v>0</v>
      </c>
      <c r="AN428" s="36">
        <f>VLOOKUP($F428,'Status Thresholds'!$E:$AS,33,FALSE)</f>
        <v>0</v>
      </c>
      <c r="AO428" s="36">
        <f>VLOOKUP($F428,'Status Thresholds'!$E:$AS,34,FALSE)</f>
        <v>0</v>
      </c>
      <c r="AP428" s="36">
        <f>VLOOKUP($F428,'Status Thresholds'!$E:$AS,35,FALSE)</f>
        <v>0</v>
      </c>
      <c r="AQ428" s="36">
        <f>VLOOKUP($F428,'Status Thresholds'!$E:$AS,36,FALSE)</f>
        <v>0</v>
      </c>
      <c r="AR428" s="50">
        <f>VLOOKUP($F428,'Status Thresholds'!$E:$AS,37,FALSE)</f>
        <v>0</v>
      </c>
      <c r="AS428" s="36">
        <f>VLOOKUP($F428,'Status Thresholds'!$E:$AS,38,FALSE)</f>
        <v>0</v>
      </c>
      <c r="AT428" s="36">
        <f>VLOOKUP($F428,'Status Thresholds'!$E:$AS,39,FALSE)</f>
        <v>0</v>
      </c>
      <c r="AU428" s="36">
        <f>VLOOKUP($F428,'Status Thresholds'!$E:$AS,40,FALSE)</f>
        <v>0</v>
      </c>
      <c r="AV428" s="36">
        <f>VLOOKUP($F428,'Status Thresholds'!$E:$AS,41,FALSE)</f>
        <v>10</v>
      </c>
      <c r="AW428">
        <v>0</v>
      </c>
      <c r="AX428">
        <v>0</v>
      </c>
    </row>
    <row r="429" spans="1:50" x14ac:dyDescent="0.25">
      <c r="A429" s="36"/>
      <c r="B429" t="s">
        <v>120</v>
      </c>
      <c r="C429" s="36" t="str">
        <f>'Status Thresholds'!B420</f>
        <v>Kecha Wacha</v>
      </c>
      <c r="E429" s="36" t="str">
        <f t="shared" si="15"/>
        <v>Kecha Wacha</v>
      </c>
      <c r="F429" s="36" t="str">
        <f>IFERROR(VLOOKUP($E429,'Status Thresholds'!$E:$AS,1,FALSE),"")</f>
        <v/>
      </c>
      <c r="G429" t="s">
        <v>21</v>
      </c>
      <c r="H429" s="55" t="str">
        <f t="shared" si="16"/>
        <v>Kecha WachaTriblast</v>
      </c>
      <c r="I429" s="50">
        <v>1</v>
      </c>
      <c r="J429" s="36">
        <v>2</v>
      </c>
      <c r="K429" s="36">
        <v>2</v>
      </c>
      <c r="L429" s="36">
        <v>2</v>
      </c>
      <c r="M429" s="36">
        <v>0</v>
      </c>
      <c r="N429" s="50">
        <v>1</v>
      </c>
      <c r="O429" s="36">
        <v>2</v>
      </c>
      <c r="P429" s="36">
        <v>2</v>
      </c>
      <c r="Q429" s="36">
        <v>2</v>
      </c>
      <c r="R429" s="36">
        <v>0</v>
      </c>
      <c r="S429" s="50">
        <v>1</v>
      </c>
      <c r="T429" s="36">
        <v>2</v>
      </c>
      <c r="U429" s="36">
        <v>2</v>
      </c>
      <c r="V429" s="36">
        <v>2</v>
      </c>
      <c r="W429" s="36">
        <v>0</v>
      </c>
      <c r="X429" s="50">
        <v>0</v>
      </c>
      <c r="Y429" s="36">
        <v>0</v>
      </c>
      <c r="Z429" s="36">
        <v>0</v>
      </c>
      <c r="AA429" s="36">
        <v>0</v>
      </c>
      <c r="AB429" s="36">
        <v>0</v>
      </c>
      <c r="AC429" s="50">
        <v>2</v>
      </c>
      <c r="AD429" s="36">
        <v>2</v>
      </c>
      <c r="AE429" s="36">
        <v>1</v>
      </c>
      <c r="AF429" s="36">
        <v>2</v>
      </c>
      <c r="AG429" s="36">
        <v>0</v>
      </c>
      <c r="AH429" s="50">
        <v>2</v>
      </c>
      <c r="AI429" s="36">
        <v>2</v>
      </c>
      <c r="AJ429" s="36">
        <v>1</v>
      </c>
      <c r="AK429" s="36">
        <v>2</v>
      </c>
      <c r="AL429" s="36">
        <v>0</v>
      </c>
      <c r="AM429" s="50">
        <v>0</v>
      </c>
      <c r="AN429" s="36">
        <v>0</v>
      </c>
      <c r="AO429" s="36">
        <v>0</v>
      </c>
      <c r="AP429" s="36">
        <v>0</v>
      </c>
      <c r="AQ429" s="36">
        <v>0</v>
      </c>
      <c r="AR429" s="50">
        <v>0</v>
      </c>
      <c r="AS429" s="36">
        <v>0</v>
      </c>
      <c r="AT429" s="36">
        <v>0</v>
      </c>
      <c r="AU429" s="36">
        <v>0</v>
      </c>
      <c r="AV429" s="36">
        <v>0</v>
      </c>
      <c r="AW429">
        <v>0</v>
      </c>
    </row>
    <row r="430" spans="1:50" x14ac:dyDescent="0.25">
      <c r="A430" s="36"/>
      <c r="B430" t="s">
        <v>120</v>
      </c>
      <c r="C430" s="36" t="str">
        <f>'Status Thresholds'!B421</f>
        <v>Kecha Wacha</v>
      </c>
      <c r="E430" s="36" t="str">
        <f t="shared" si="15"/>
        <v>Kecha Wacha</v>
      </c>
      <c r="F430" s="36" t="str">
        <f>IFERROR(VLOOKUP($E430,'Status Thresholds'!$E:$AS,1,FALSE),"")</f>
        <v/>
      </c>
      <c r="G430" t="s">
        <v>13</v>
      </c>
      <c r="H430" s="55" t="str">
        <f t="shared" si="16"/>
        <v>Kecha WachaCrag 3</v>
      </c>
      <c r="I430" s="50">
        <v>0</v>
      </c>
      <c r="J430" s="36">
        <v>0</v>
      </c>
      <c r="K430" s="36">
        <v>1</v>
      </c>
      <c r="L430" s="36">
        <v>3</v>
      </c>
      <c r="M430" s="36">
        <v>0</v>
      </c>
      <c r="N430" s="50">
        <v>0</v>
      </c>
      <c r="O430" s="36">
        <v>0</v>
      </c>
      <c r="P430" s="36">
        <v>4</v>
      </c>
      <c r="Q430" s="36">
        <v>3</v>
      </c>
      <c r="R430" s="36">
        <v>0</v>
      </c>
      <c r="S430" s="50">
        <v>0</v>
      </c>
      <c r="T430" s="36">
        <v>0</v>
      </c>
      <c r="U430" s="36">
        <v>4</v>
      </c>
      <c r="V430" s="36">
        <v>3</v>
      </c>
      <c r="W430" s="36">
        <v>0</v>
      </c>
      <c r="X430" s="50">
        <v>0</v>
      </c>
      <c r="Y430" s="36">
        <v>0</v>
      </c>
      <c r="Z430" s="36">
        <v>0</v>
      </c>
      <c r="AA430" s="36">
        <v>0</v>
      </c>
      <c r="AB430" s="36">
        <v>0</v>
      </c>
      <c r="AC430" s="50">
        <v>0</v>
      </c>
      <c r="AD430" s="36">
        <v>4</v>
      </c>
      <c r="AE430" s="36">
        <v>4</v>
      </c>
      <c r="AF430" s="36">
        <v>4</v>
      </c>
      <c r="AG430" s="36">
        <v>0</v>
      </c>
      <c r="AH430" s="50">
        <v>0</v>
      </c>
      <c r="AI430" s="36">
        <v>4</v>
      </c>
      <c r="AJ430" s="36">
        <v>4</v>
      </c>
      <c r="AK430" s="36">
        <v>4</v>
      </c>
      <c r="AL430" s="36">
        <v>0</v>
      </c>
      <c r="AM430" s="50">
        <v>0</v>
      </c>
      <c r="AN430" s="36">
        <v>0</v>
      </c>
      <c r="AO430" s="36">
        <v>0</v>
      </c>
      <c r="AP430" s="36">
        <v>0</v>
      </c>
      <c r="AQ430" s="36">
        <v>0</v>
      </c>
      <c r="AR430" s="50">
        <v>0</v>
      </c>
      <c r="AS430" s="36">
        <v>0</v>
      </c>
      <c r="AT430" s="36">
        <v>0</v>
      </c>
      <c r="AU430" s="36">
        <v>0</v>
      </c>
      <c r="AV430" s="36">
        <v>0</v>
      </c>
      <c r="AW430">
        <v>0</v>
      </c>
      <c r="AX430">
        <v>0</v>
      </c>
    </row>
    <row r="431" spans="1:50" x14ac:dyDescent="0.25">
      <c r="A431" s="36"/>
      <c r="B431" t="s">
        <v>120</v>
      </c>
      <c r="C431" s="36" t="str">
        <f>'Status Thresholds'!B422</f>
        <v>Kecha Wacha</v>
      </c>
      <c r="E431" s="36" t="str">
        <f t="shared" si="15"/>
        <v>Kecha Wacha</v>
      </c>
      <c r="F431" s="36" t="str">
        <f>IFERROR(VLOOKUP($E431,'Status Thresholds'!$E:$AS,1,FALSE),"")</f>
        <v/>
      </c>
      <c r="G431" t="s">
        <v>12</v>
      </c>
      <c r="H431" s="55" t="str">
        <f t="shared" si="16"/>
        <v>Kecha WachaCrag 2</v>
      </c>
      <c r="I431" s="50">
        <v>4</v>
      </c>
      <c r="J431" s="36">
        <v>0</v>
      </c>
      <c r="K431" s="36">
        <v>3</v>
      </c>
      <c r="L431" s="36">
        <v>4</v>
      </c>
      <c r="M431" s="36">
        <v>0</v>
      </c>
      <c r="N431" s="50">
        <v>4</v>
      </c>
      <c r="O431" s="36">
        <v>0</v>
      </c>
      <c r="P431" s="36">
        <v>4</v>
      </c>
      <c r="Q431" s="36">
        <v>4</v>
      </c>
      <c r="R431" s="36">
        <v>0</v>
      </c>
      <c r="S431" s="50">
        <v>4</v>
      </c>
      <c r="T431" s="36">
        <v>0</v>
      </c>
      <c r="U431" s="36">
        <v>4</v>
      </c>
      <c r="V431" s="36">
        <v>4</v>
      </c>
      <c r="W431" s="36">
        <v>0</v>
      </c>
      <c r="X431" s="50">
        <v>0</v>
      </c>
      <c r="Y431" s="36">
        <v>0</v>
      </c>
      <c r="Z431" s="36">
        <v>0</v>
      </c>
      <c r="AA431" s="36">
        <v>0</v>
      </c>
      <c r="AB431" s="36">
        <v>0</v>
      </c>
      <c r="AC431" s="50">
        <v>2</v>
      </c>
      <c r="AD431" s="36">
        <v>1</v>
      </c>
      <c r="AE431" s="36">
        <v>2</v>
      </c>
      <c r="AF431" s="36">
        <v>3</v>
      </c>
      <c r="AG431" s="36">
        <v>0</v>
      </c>
      <c r="AH431" s="50">
        <v>2</v>
      </c>
      <c r="AI431" s="36">
        <v>1</v>
      </c>
      <c r="AJ431" s="36">
        <v>2</v>
      </c>
      <c r="AK431" s="36">
        <v>3</v>
      </c>
      <c r="AL431" s="36">
        <v>0</v>
      </c>
      <c r="AM431" s="50">
        <v>0</v>
      </c>
      <c r="AN431" s="36">
        <v>0</v>
      </c>
      <c r="AO431" s="36">
        <v>0</v>
      </c>
      <c r="AP431" s="36">
        <v>0</v>
      </c>
      <c r="AQ431" s="36">
        <v>0</v>
      </c>
      <c r="AR431" s="50">
        <v>0</v>
      </c>
      <c r="AS431" s="36">
        <v>0</v>
      </c>
      <c r="AT431" s="36">
        <v>0</v>
      </c>
      <c r="AU431" s="36">
        <v>0</v>
      </c>
      <c r="AV431" s="36">
        <v>0</v>
      </c>
      <c r="AW431">
        <v>0</v>
      </c>
      <c r="AX431">
        <v>0</v>
      </c>
    </row>
    <row r="432" spans="1:50" x14ac:dyDescent="0.25">
      <c r="A432" s="36"/>
      <c r="B432" t="s">
        <v>120</v>
      </c>
      <c r="C432" s="36" t="str">
        <f>'Status Thresholds'!B423</f>
        <v>Kecha Wacha</v>
      </c>
      <c r="E432" s="36" t="str">
        <f t="shared" si="15"/>
        <v>Kecha Wacha</v>
      </c>
      <c r="F432" s="36" t="str">
        <f>IFERROR(VLOOKUP($E432,'Status Thresholds'!$E:$AS,1,FALSE),"")</f>
        <v/>
      </c>
      <c r="G432" t="s">
        <v>11</v>
      </c>
      <c r="H432" s="55" t="str">
        <f t="shared" si="16"/>
        <v>Kecha WachaCrag 1</v>
      </c>
      <c r="I432" s="50">
        <v>0</v>
      </c>
      <c r="J432" s="36">
        <v>7</v>
      </c>
      <c r="K432" s="36">
        <v>7</v>
      </c>
      <c r="L432" s="36">
        <v>8</v>
      </c>
      <c r="M432" s="36">
        <v>0</v>
      </c>
      <c r="N432" s="50">
        <v>0</v>
      </c>
      <c r="O432" s="36">
        <v>7</v>
      </c>
      <c r="P432" s="36">
        <v>1</v>
      </c>
      <c r="Q432" s="36">
        <v>8</v>
      </c>
      <c r="R432" s="36">
        <v>0</v>
      </c>
      <c r="S432" s="50">
        <v>0</v>
      </c>
      <c r="T432" s="36">
        <v>7</v>
      </c>
      <c r="U432" s="36">
        <v>1</v>
      </c>
      <c r="V432" s="36">
        <v>8</v>
      </c>
      <c r="W432" s="36">
        <v>0</v>
      </c>
      <c r="X432" s="50">
        <v>0</v>
      </c>
      <c r="Y432" s="36">
        <v>0</v>
      </c>
      <c r="Z432" s="36">
        <v>0</v>
      </c>
      <c r="AA432" s="36">
        <v>0</v>
      </c>
      <c r="AB432" s="36">
        <v>0</v>
      </c>
      <c r="AC432" s="50">
        <v>0</v>
      </c>
      <c r="AD432" s="36">
        <v>0</v>
      </c>
      <c r="AE432" s="36">
        <v>7</v>
      </c>
      <c r="AF432" s="36">
        <v>8</v>
      </c>
      <c r="AG432" s="36">
        <v>0</v>
      </c>
      <c r="AH432" s="50">
        <v>0</v>
      </c>
      <c r="AI432" s="36">
        <v>0</v>
      </c>
      <c r="AJ432" s="36">
        <v>7</v>
      </c>
      <c r="AK432" s="36">
        <v>8</v>
      </c>
      <c r="AL432" s="36">
        <v>0</v>
      </c>
      <c r="AM432" s="50">
        <v>0</v>
      </c>
      <c r="AN432" s="36">
        <v>0</v>
      </c>
      <c r="AO432" s="36">
        <v>0</v>
      </c>
      <c r="AP432" s="36">
        <v>0</v>
      </c>
      <c r="AQ432" s="36">
        <v>0</v>
      </c>
      <c r="AR432" s="50">
        <v>0</v>
      </c>
      <c r="AS432" s="36">
        <v>0</v>
      </c>
      <c r="AT432" s="36">
        <v>0</v>
      </c>
      <c r="AU432" s="36">
        <v>0</v>
      </c>
      <c r="AV432" s="36">
        <v>1</v>
      </c>
      <c r="AW432">
        <v>0</v>
      </c>
      <c r="AX432">
        <v>0</v>
      </c>
    </row>
    <row r="433" spans="1:50" x14ac:dyDescent="0.25">
      <c r="A433" s="36"/>
      <c r="B433" t="s">
        <v>119</v>
      </c>
      <c r="C433" s="36" t="str">
        <f>'Status Thresholds'!B424</f>
        <v>Kecha Wacha</v>
      </c>
      <c r="E433" s="36" t="str">
        <f t="shared" si="15"/>
        <v>Kecha Wacha</v>
      </c>
      <c r="F433" s="36" t="str">
        <f>IFERROR(VLOOKUP($E433,'Status Thresholds'!$E:$AS,1,FALSE),"")</f>
        <v/>
      </c>
      <c r="G433" t="s">
        <v>21</v>
      </c>
      <c r="H433" s="55" t="str">
        <f t="shared" si="16"/>
        <v>Kecha WachaTriblast</v>
      </c>
      <c r="I433" s="50">
        <v>2</v>
      </c>
      <c r="J433" s="36">
        <v>0</v>
      </c>
      <c r="K433" s="36">
        <v>2</v>
      </c>
      <c r="L433" s="36">
        <v>2</v>
      </c>
      <c r="M433" s="36">
        <v>0</v>
      </c>
      <c r="N433" s="50">
        <v>2</v>
      </c>
      <c r="O433" s="36">
        <v>0</v>
      </c>
      <c r="P433" s="36">
        <v>2</v>
      </c>
      <c r="Q433" s="36">
        <v>2</v>
      </c>
      <c r="R433" s="36">
        <v>0</v>
      </c>
      <c r="S433" s="50">
        <v>2</v>
      </c>
      <c r="T433" s="36">
        <v>0</v>
      </c>
      <c r="U433" s="36">
        <v>2</v>
      </c>
      <c r="V433" s="36">
        <v>2</v>
      </c>
      <c r="W433" s="36">
        <v>0</v>
      </c>
      <c r="X433" s="50">
        <v>0</v>
      </c>
      <c r="Y433" s="36">
        <v>0</v>
      </c>
      <c r="Z433" s="36">
        <v>0</v>
      </c>
      <c r="AA433" s="36">
        <v>0</v>
      </c>
      <c r="AB433" s="36">
        <v>0</v>
      </c>
      <c r="AC433" s="50">
        <v>0</v>
      </c>
      <c r="AD433" s="36">
        <v>2</v>
      </c>
      <c r="AE433" s="36">
        <v>2</v>
      </c>
      <c r="AF433" s="36">
        <v>2</v>
      </c>
      <c r="AG433" s="36">
        <v>0</v>
      </c>
      <c r="AH433" s="50">
        <v>0</v>
      </c>
      <c r="AI433" s="36">
        <v>2</v>
      </c>
      <c r="AJ433" s="36">
        <v>2</v>
      </c>
      <c r="AK433" s="36">
        <v>2</v>
      </c>
      <c r="AL433" s="36">
        <v>0</v>
      </c>
      <c r="AM433" s="50">
        <v>0</v>
      </c>
      <c r="AN433" s="36">
        <v>0</v>
      </c>
      <c r="AO433" s="36">
        <v>0</v>
      </c>
      <c r="AP433" s="36">
        <v>0</v>
      </c>
      <c r="AQ433" s="36">
        <v>0</v>
      </c>
      <c r="AR433" s="50">
        <v>0</v>
      </c>
      <c r="AS433" s="36">
        <v>0</v>
      </c>
      <c r="AT433" s="36">
        <v>0</v>
      </c>
      <c r="AU433" s="36">
        <v>0</v>
      </c>
      <c r="AV433" s="36">
        <v>0</v>
      </c>
      <c r="AW433">
        <v>0</v>
      </c>
      <c r="AX433">
        <v>0</v>
      </c>
    </row>
    <row r="434" spans="1:50" x14ac:dyDescent="0.25">
      <c r="A434" s="36"/>
      <c r="B434" t="s">
        <v>119</v>
      </c>
      <c r="C434" s="36" t="str">
        <f>'Status Thresholds'!B425</f>
        <v>Kecha Wacha</v>
      </c>
      <c r="E434" s="36" t="str">
        <f t="shared" si="15"/>
        <v>Kecha Wacha</v>
      </c>
      <c r="F434" s="36" t="str">
        <f>IFERROR(VLOOKUP($E434,'Status Thresholds'!$E:$AS,1,FALSE),"")</f>
        <v/>
      </c>
      <c r="G434" t="s">
        <v>13</v>
      </c>
      <c r="H434" s="55" t="str">
        <f t="shared" si="16"/>
        <v>Kecha WachaCrag 3</v>
      </c>
      <c r="I434" s="50">
        <v>0</v>
      </c>
      <c r="J434" s="36">
        <v>1</v>
      </c>
      <c r="K434" s="36">
        <v>1</v>
      </c>
      <c r="L434" s="36">
        <v>4</v>
      </c>
      <c r="M434" s="36">
        <v>0</v>
      </c>
      <c r="N434" s="50">
        <v>0</v>
      </c>
      <c r="O434" s="36">
        <v>1</v>
      </c>
      <c r="P434" s="36">
        <v>1</v>
      </c>
      <c r="Q434" s="36">
        <v>4</v>
      </c>
      <c r="R434" s="36">
        <v>0</v>
      </c>
      <c r="S434" s="50">
        <v>0</v>
      </c>
      <c r="T434" s="36">
        <v>1</v>
      </c>
      <c r="U434" s="36">
        <v>1</v>
      </c>
      <c r="V434" s="36">
        <v>4</v>
      </c>
      <c r="W434" s="36">
        <v>0</v>
      </c>
      <c r="X434" s="50">
        <v>0</v>
      </c>
      <c r="Y434" s="36">
        <v>0</v>
      </c>
      <c r="Z434" s="36">
        <v>0</v>
      </c>
      <c r="AA434" s="36">
        <v>0</v>
      </c>
      <c r="AB434" s="36">
        <v>0</v>
      </c>
      <c r="AC434" s="50">
        <v>1</v>
      </c>
      <c r="AD434" s="36">
        <v>1</v>
      </c>
      <c r="AE434" s="36">
        <v>4</v>
      </c>
      <c r="AF434" s="36">
        <v>4</v>
      </c>
      <c r="AG434" s="36">
        <v>0</v>
      </c>
      <c r="AH434" s="50">
        <v>1</v>
      </c>
      <c r="AI434" s="36">
        <v>1</v>
      </c>
      <c r="AJ434" s="36">
        <v>4</v>
      </c>
      <c r="AK434" s="36">
        <v>4</v>
      </c>
      <c r="AL434" s="36">
        <v>0</v>
      </c>
      <c r="AM434" s="50">
        <v>0</v>
      </c>
      <c r="AN434" s="36">
        <v>0</v>
      </c>
      <c r="AO434" s="36">
        <v>0</v>
      </c>
      <c r="AP434" s="36">
        <v>0</v>
      </c>
      <c r="AQ434" s="36">
        <v>0</v>
      </c>
      <c r="AR434" s="50">
        <v>0</v>
      </c>
      <c r="AS434" s="36">
        <v>0</v>
      </c>
      <c r="AT434" s="36">
        <v>0</v>
      </c>
      <c r="AU434" s="36">
        <v>0</v>
      </c>
      <c r="AV434" s="36">
        <v>0</v>
      </c>
      <c r="AW434">
        <v>0</v>
      </c>
      <c r="AX434">
        <v>0</v>
      </c>
    </row>
    <row r="435" spans="1:50" x14ac:dyDescent="0.25">
      <c r="A435" s="36"/>
      <c r="B435" t="s">
        <v>119</v>
      </c>
      <c r="C435" s="36" t="str">
        <f>'Status Thresholds'!B426</f>
        <v>Kecha Wacha</v>
      </c>
      <c r="E435" s="36" t="str">
        <f t="shared" si="15"/>
        <v>Kecha Wacha</v>
      </c>
      <c r="F435" s="36" t="str">
        <f>IFERROR(VLOOKUP($E435,'Status Thresholds'!$E:$AS,1,FALSE),"")</f>
        <v/>
      </c>
      <c r="G435" t="s">
        <v>12</v>
      </c>
      <c r="H435" s="55" t="str">
        <f t="shared" si="16"/>
        <v>Kecha WachaCrag 2</v>
      </c>
      <c r="I435" s="50">
        <v>1</v>
      </c>
      <c r="J435" s="36">
        <v>2</v>
      </c>
      <c r="K435" s="36">
        <v>1</v>
      </c>
      <c r="L435" s="36">
        <v>1</v>
      </c>
      <c r="M435" s="36">
        <v>0</v>
      </c>
      <c r="N435" s="50">
        <v>1</v>
      </c>
      <c r="O435" s="36">
        <v>2</v>
      </c>
      <c r="P435" s="36">
        <v>1</v>
      </c>
      <c r="Q435" s="36">
        <v>1</v>
      </c>
      <c r="R435" s="36">
        <v>0</v>
      </c>
      <c r="S435" s="50">
        <v>1</v>
      </c>
      <c r="T435" s="36">
        <v>2</v>
      </c>
      <c r="U435" s="36">
        <v>1</v>
      </c>
      <c r="V435" s="36">
        <v>1</v>
      </c>
      <c r="W435" s="36">
        <v>0</v>
      </c>
      <c r="X435" s="50">
        <v>0</v>
      </c>
      <c r="Y435" s="36">
        <v>0</v>
      </c>
      <c r="Z435" s="36">
        <v>0</v>
      </c>
      <c r="AA435" s="36">
        <v>0</v>
      </c>
      <c r="AB435" s="36">
        <v>0</v>
      </c>
      <c r="AC435" s="50">
        <v>1</v>
      </c>
      <c r="AD435" s="36">
        <v>0</v>
      </c>
      <c r="AE435" s="36">
        <v>4</v>
      </c>
      <c r="AF435" s="36">
        <v>4</v>
      </c>
      <c r="AG435" s="36">
        <v>0</v>
      </c>
      <c r="AH435" s="50">
        <v>1</v>
      </c>
      <c r="AI435" s="36">
        <v>0</v>
      </c>
      <c r="AJ435" s="36">
        <v>4</v>
      </c>
      <c r="AK435" s="36">
        <v>4</v>
      </c>
      <c r="AL435" s="36">
        <v>0</v>
      </c>
      <c r="AM435" s="50">
        <v>0</v>
      </c>
      <c r="AN435" s="36">
        <v>0</v>
      </c>
      <c r="AO435" s="36">
        <v>0</v>
      </c>
      <c r="AP435" s="36">
        <v>0</v>
      </c>
      <c r="AQ435" s="36">
        <v>0</v>
      </c>
      <c r="AR435" s="50">
        <v>0</v>
      </c>
      <c r="AS435" s="36">
        <v>0</v>
      </c>
      <c r="AT435" s="36">
        <v>0</v>
      </c>
      <c r="AU435" s="36">
        <v>0</v>
      </c>
      <c r="AV435" s="36">
        <v>0</v>
      </c>
      <c r="AW435">
        <v>0</v>
      </c>
      <c r="AX435">
        <v>0</v>
      </c>
    </row>
    <row r="436" spans="1:50" x14ac:dyDescent="0.25">
      <c r="A436" s="36"/>
      <c r="B436" t="s">
        <v>119</v>
      </c>
      <c r="C436" s="36" t="str">
        <f>'Status Thresholds'!B427</f>
        <v>Kecha Wacha</v>
      </c>
      <c r="E436" s="36" t="str">
        <f t="shared" si="15"/>
        <v>Kecha Wacha</v>
      </c>
      <c r="F436" s="36" t="str">
        <f>IFERROR(VLOOKUP($E436,'Status Thresholds'!$E:$AS,1,FALSE),"")</f>
        <v/>
      </c>
      <c r="G436" t="s">
        <v>11</v>
      </c>
      <c r="H436" s="55" t="str">
        <f t="shared" si="16"/>
        <v>Kecha WachaCrag 1</v>
      </c>
      <c r="I436" s="50">
        <v>0</v>
      </c>
      <c r="J436" s="36">
        <v>8</v>
      </c>
      <c r="K436" s="36">
        <v>8</v>
      </c>
      <c r="L436" s="36">
        <v>8</v>
      </c>
      <c r="M436" s="36">
        <v>0</v>
      </c>
      <c r="N436" s="50">
        <v>0</v>
      </c>
      <c r="O436" s="36">
        <v>8</v>
      </c>
      <c r="P436" s="36">
        <v>8</v>
      </c>
      <c r="Q436" s="36">
        <v>8</v>
      </c>
      <c r="R436" s="36">
        <v>0</v>
      </c>
      <c r="S436" s="50">
        <v>0</v>
      </c>
      <c r="T436" s="36">
        <v>8</v>
      </c>
      <c r="U436" s="36">
        <v>8</v>
      </c>
      <c r="V436" s="36">
        <v>8</v>
      </c>
      <c r="W436" s="36">
        <v>0</v>
      </c>
      <c r="X436" s="50">
        <v>0</v>
      </c>
      <c r="Y436" s="36">
        <v>0</v>
      </c>
      <c r="Z436" s="36">
        <v>0</v>
      </c>
      <c r="AA436" s="36">
        <v>0</v>
      </c>
      <c r="AB436" s="36">
        <v>0</v>
      </c>
      <c r="AC436" s="50">
        <v>5</v>
      </c>
      <c r="AD436" s="36">
        <v>5</v>
      </c>
      <c r="AE436" s="36">
        <v>0</v>
      </c>
      <c r="AF436" s="36">
        <v>5</v>
      </c>
      <c r="AG436" s="36">
        <v>0</v>
      </c>
      <c r="AH436" s="50">
        <v>5</v>
      </c>
      <c r="AI436" s="36">
        <v>5</v>
      </c>
      <c r="AJ436" s="36">
        <v>0</v>
      </c>
      <c r="AK436" s="36">
        <v>5</v>
      </c>
      <c r="AL436" s="36">
        <v>0</v>
      </c>
      <c r="AM436" s="50">
        <v>0</v>
      </c>
      <c r="AN436" s="36">
        <v>0</v>
      </c>
      <c r="AO436" s="36">
        <v>0</v>
      </c>
      <c r="AP436" s="36">
        <v>0</v>
      </c>
      <c r="AQ436" s="36">
        <v>0</v>
      </c>
      <c r="AR436" s="50">
        <v>0</v>
      </c>
      <c r="AS436" s="36">
        <v>0</v>
      </c>
      <c r="AT436" s="36">
        <v>0</v>
      </c>
      <c r="AU436" s="36">
        <v>0</v>
      </c>
      <c r="AV436" s="36">
        <v>1</v>
      </c>
      <c r="AW436">
        <v>0</v>
      </c>
      <c r="AX436">
        <v>0</v>
      </c>
    </row>
    <row r="437" spans="1:50" x14ac:dyDescent="0.25">
      <c r="A437" s="36"/>
      <c r="B437" t="s">
        <v>121</v>
      </c>
      <c r="C437" s="36" t="str">
        <f>'Status Thresholds'!B428</f>
        <v>Khezu</v>
      </c>
      <c r="D437" t="s">
        <v>14</v>
      </c>
      <c r="E437" s="36" t="str">
        <f t="shared" si="15"/>
        <v>KhezuKO</v>
      </c>
      <c r="F437" s="36" t="str">
        <f>IFERROR(VLOOKUP($E437,'Status Thresholds'!$E:$AS,1,FALSE),"")</f>
        <v>KhezuKO</v>
      </c>
      <c r="H437" s="55" t="str">
        <f t="shared" si="16"/>
        <v>KhezuKO</v>
      </c>
      <c r="I437" s="50">
        <f>VLOOKUP($F437,'Status Thresholds'!$E:$AS,2,FALSE)</f>
        <v>220</v>
      </c>
      <c r="J437" s="36">
        <f>VLOOKUP($F437,'Status Thresholds'!$E:$AS,3,FALSE)</f>
        <v>330</v>
      </c>
      <c r="K437" s="36">
        <f>VLOOKUP($F437,'Status Thresholds'!$E:$AS,4,FALSE)</f>
        <v>440</v>
      </c>
      <c r="L437" s="36">
        <f>VLOOKUP($F437,'Status Thresholds'!$E:$AS,5,FALSE)</f>
        <v>550</v>
      </c>
      <c r="M437" s="36">
        <f>VLOOKUP($F437,'Status Thresholds'!$E:$AS,6,FALSE)</f>
        <v>0</v>
      </c>
      <c r="N437" s="50">
        <f>VLOOKUP($F437,'Status Thresholds'!$E:$AS,7,FALSE)</f>
        <v>0</v>
      </c>
      <c r="O437" s="36">
        <f>VLOOKUP($F437,'Status Thresholds'!$E:$AS,8,FALSE)</f>
        <v>0</v>
      </c>
      <c r="P437" s="36">
        <f>VLOOKUP($F437,'Status Thresholds'!$E:$AS,9,FALSE)</f>
        <v>0</v>
      </c>
      <c r="Q437" s="36">
        <f>VLOOKUP($F437,'Status Thresholds'!$E:$AS,10,FALSE)</f>
        <v>0</v>
      </c>
      <c r="R437" s="36">
        <f>VLOOKUP($F437,'Status Thresholds'!$E:$AS,11,FALSE)</f>
        <v>0</v>
      </c>
      <c r="S437" s="50">
        <f>VLOOKUP($F437,'Status Thresholds'!$E:$AS,12,FALSE)</f>
        <v>260</v>
      </c>
      <c r="T437" s="36">
        <f>VLOOKUP($F437,'Status Thresholds'!$E:$AS,13,FALSE)</f>
        <v>390</v>
      </c>
      <c r="U437" s="36">
        <f>VLOOKUP($F437,'Status Thresholds'!$E:$AS,14,FALSE)</f>
        <v>520</v>
      </c>
      <c r="V437" s="36">
        <f>VLOOKUP($F437,'Status Thresholds'!$E:$AS,15,FALSE)</f>
        <v>650</v>
      </c>
      <c r="W437" s="36">
        <f>VLOOKUP($F437,'Status Thresholds'!$E:$AS,16,FALSE)</f>
        <v>0</v>
      </c>
      <c r="X437" s="50">
        <f>VLOOKUP($F437,'Status Thresholds'!$E:$AS,17,FALSE)</f>
        <v>0</v>
      </c>
      <c r="Y437" s="36">
        <f>VLOOKUP($F437,'Status Thresholds'!$E:$AS,18,FALSE)</f>
        <v>0</v>
      </c>
      <c r="Z437" s="36">
        <f>VLOOKUP($F437,'Status Thresholds'!$E:$AS,19,FALSE)</f>
        <v>0</v>
      </c>
      <c r="AA437" s="36">
        <f>VLOOKUP($F437,'Status Thresholds'!$E:$AS,20,FALSE)</f>
        <v>0</v>
      </c>
      <c r="AB437" s="36">
        <f>VLOOKUP($F437,'Status Thresholds'!$E:$AS,21,FALSE)</f>
        <v>0</v>
      </c>
      <c r="AC437" s="50">
        <f>VLOOKUP($F437,'Status Thresholds'!$E:$AS,22,FALSE)</f>
        <v>280</v>
      </c>
      <c r="AD437" s="36">
        <f>VLOOKUP($F437,'Status Thresholds'!$E:$AS,23,FALSE)</f>
        <v>420</v>
      </c>
      <c r="AE437" s="36">
        <f>VLOOKUP($F437,'Status Thresholds'!$E:$AS,24,FALSE)</f>
        <v>560</v>
      </c>
      <c r="AF437" s="36">
        <f>VLOOKUP($F437,'Status Thresholds'!$E:$AS,25,FALSE)</f>
        <v>700</v>
      </c>
      <c r="AG437" s="36">
        <f>VLOOKUP($F437,'Status Thresholds'!$E:$AS,26,FALSE)</f>
        <v>0</v>
      </c>
      <c r="AH437" s="50">
        <f>VLOOKUP($F437,'Status Thresholds'!$E:$AS,27,FALSE)</f>
        <v>0</v>
      </c>
      <c r="AI437" s="36">
        <f>VLOOKUP($F437,'Status Thresholds'!$E:$AS,28,FALSE)</f>
        <v>0</v>
      </c>
      <c r="AJ437" s="36">
        <f>VLOOKUP($F437,'Status Thresholds'!$E:$AS,29,FALSE)</f>
        <v>0</v>
      </c>
      <c r="AK437" s="36">
        <f>VLOOKUP($F437,'Status Thresholds'!$E:$AS,30,FALSE)</f>
        <v>0</v>
      </c>
      <c r="AL437" s="36">
        <f>VLOOKUP($F437,'Status Thresholds'!$E:$AS,31,FALSE)</f>
        <v>0</v>
      </c>
      <c r="AM437" s="50">
        <f>VLOOKUP($F437,'Status Thresholds'!$E:$AS,32,FALSE)</f>
        <v>0</v>
      </c>
      <c r="AN437" s="36">
        <f>VLOOKUP($F437,'Status Thresholds'!$E:$AS,33,FALSE)</f>
        <v>0</v>
      </c>
      <c r="AO437" s="36">
        <f>VLOOKUP($F437,'Status Thresholds'!$E:$AS,34,FALSE)</f>
        <v>0</v>
      </c>
      <c r="AP437" s="36">
        <f>VLOOKUP($F437,'Status Thresholds'!$E:$AS,35,FALSE)</f>
        <v>0</v>
      </c>
      <c r="AQ437" s="36">
        <f>VLOOKUP($F437,'Status Thresholds'!$E:$AS,36,FALSE)</f>
        <v>0</v>
      </c>
      <c r="AR437" s="50">
        <f>VLOOKUP($F437,'Status Thresholds'!$E:$AS,37,FALSE)</f>
        <v>0</v>
      </c>
      <c r="AS437" s="36">
        <f>VLOOKUP($F437,'Status Thresholds'!$E:$AS,38,FALSE)</f>
        <v>0</v>
      </c>
      <c r="AT437" s="36">
        <f>VLOOKUP($F437,'Status Thresholds'!$E:$AS,39,FALSE)</f>
        <v>0</v>
      </c>
      <c r="AU437" s="36">
        <f>VLOOKUP($F437,'Status Thresholds'!$E:$AS,40,FALSE)</f>
        <v>0</v>
      </c>
      <c r="AV437" s="36">
        <f>VLOOKUP($F437,'Status Thresholds'!$E:$AS,41,FALSE)</f>
        <v>10</v>
      </c>
      <c r="AW437">
        <v>0</v>
      </c>
      <c r="AX437">
        <v>0</v>
      </c>
    </row>
    <row r="438" spans="1:50" x14ac:dyDescent="0.25">
      <c r="A438" s="36"/>
      <c r="B438" t="s">
        <v>120</v>
      </c>
      <c r="C438" s="36" t="str">
        <f>'Status Thresholds'!B429</f>
        <v>Khezu</v>
      </c>
      <c r="E438" s="36" t="str">
        <f t="shared" si="15"/>
        <v>Khezu</v>
      </c>
      <c r="F438" s="36" t="str">
        <f>IFERROR(VLOOKUP($E438,'Status Thresholds'!$E:$AS,1,FALSE),"")</f>
        <v/>
      </c>
      <c r="G438" t="s">
        <v>21</v>
      </c>
      <c r="H438" s="55" t="str">
        <f t="shared" si="16"/>
        <v>KhezuTriblast</v>
      </c>
      <c r="I438" s="50">
        <v>2</v>
      </c>
      <c r="J438" s="36">
        <v>1</v>
      </c>
      <c r="K438" s="36">
        <v>0</v>
      </c>
      <c r="L438" s="36">
        <v>2</v>
      </c>
      <c r="M438" s="36">
        <v>0</v>
      </c>
      <c r="N438" s="50">
        <v>0</v>
      </c>
      <c r="O438" s="36">
        <v>0</v>
      </c>
      <c r="P438" s="36">
        <v>0</v>
      </c>
      <c r="Q438" s="36">
        <v>0</v>
      </c>
      <c r="R438" s="36">
        <v>0</v>
      </c>
      <c r="S438" s="50">
        <v>2</v>
      </c>
      <c r="T438" s="36">
        <v>2</v>
      </c>
      <c r="U438" s="36">
        <v>2</v>
      </c>
      <c r="V438" s="36">
        <v>2</v>
      </c>
      <c r="W438" s="36">
        <v>0</v>
      </c>
      <c r="X438" s="50">
        <v>0</v>
      </c>
      <c r="Y438" s="36">
        <v>0</v>
      </c>
      <c r="Z438" s="36">
        <v>0</v>
      </c>
      <c r="AA438" s="36">
        <v>0</v>
      </c>
      <c r="AB438" s="36">
        <v>0</v>
      </c>
      <c r="AC438" s="50">
        <v>2</v>
      </c>
      <c r="AD438" s="36">
        <v>2</v>
      </c>
      <c r="AE438" s="36">
        <v>2</v>
      </c>
      <c r="AF438" s="36">
        <v>2</v>
      </c>
      <c r="AG438" s="36">
        <v>0</v>
      </c>
      <c r="AH438" s="50">
        <v>0</v>
      </c>
      <c r="AI438" s="36">
        <v>0</v>
      </c>
      <c r="AJ438" s="36">
        <v>0</v>
      </c>
      <c r="AK438" s="36">
        <v>0</v>
      </c>
      <c r="AL438" s="36">
        <v>0</v>
      </c>
      <c r="AM438" s="50">
        <v>0</v>
      </c>
      <c r="AN438" s="36">
        <v>0</v>
      </c>
      <c r="AO438" s="36">
        <v>0</v>
      </c>
      <c r="AP438" s="36">
        <v>0</v>
      </c>
      <c r="AQ438" s="36">
        <v>0</v>
      </c>
      <c r="AR438" s="50">
        <v>0</v>
      </c>
      <c r="AS438" s="36">
        <v>0</v>
      </c>
      <c r="AT438" s="36">
        <v>0</v>
      </c>
      <c r="AU438" s="36">
        <v>0</v>
      </c>
      <c r="AV438" s="36">
        <v>0</v>
      </c>
      <c r="AW438">
        <v>0</v>
      </c>
    </row>
    <row r="439" spans="1:50" x14ac:dyDescent="0.25">
      <c r="A439" s="36"/>
      <c r="B439" t="s">
        <v>120</v>
      </c>
      <c r="C439" s="36" t="str">
        <f>'Status Thresholds'!B430</f>
        <v>Khezu</v>
      </c>
      <c r="E439" s="36" t="str">
        <f t="shared" si="15"/>
        <v>Khezu</v>
      </c>
      <c r="F439" s="36" t="str">
        <f>IFERROR(VLOOKUP($E439,'Status Thresholds'!$E:$AS,1,FALSE),"")</f>
        <v/>
      </c>
      <c r="G439" t="s">
        <v>13</v>
      </c>
      <c r="H439" s="55" t="str">
        <f t="shared" si="16"/>
        <v>KhezuCrag 3</v>
      </c>
      <c r="I439" s="50">
        <v>1</v>
      </c>
      <c r="J439" s="36">
        <v>2</v>
      </c>
      <c r="K439" s="36">
        <v>3</v>
      </c>
      <c r="L439" s="36">
        <v>2</v>
      </c>
      <c r="M439" s="36">
        <v>0</v>
      </c>
      <c r="N439" s="50">
        <v>0</v>
      </c>
      <c r="O439" s="36">
        <v>0</v>
      </c>
      <c r="P439" s="36">
        <v>0</v>
      </c>
      <c r="Q439" s="36">
        <v>0</v>
      </c>
      <c r="R439" s="36">
        <v>0</v>
      </c>
      <c r="S439" s="50">
        <v>2</v>
      </c>
      <c r="T439" s="36">
        <v>4</v>
      </c>
      <c r="U439" s="36">
        <v>2</v>
      </c>
      <c r="V439" s="36">
        <v>4</v>
      </c>
      <c r="W439" s="36">
        <v>0</v>
      </c>
      <c r="X439" s="50">
        <v>0</v>
      </c>
      <c r="Y439" s="36">
        <v>0</v>
      </c>
      <c r="Z439" s="36">
        <v>0</v>
      </c>
      <c r="AA439" s="36">
        <v>0</v>
      </c>
      <c r="AB439" s="36">
        <v>0</v>
      </c>
      <c r="AC439" s="50">
        <v>2</v>
      </c>
      <c r="AD439" s="36">
        <v>4</v>
      </c>
      <c r="AE439" s="36">
        <v>3</v>
      </c>
      <c r="AF439" s="36">
        <v>4</v>
      </c>
      <c r="AG439" s="36">
        <v>0</v>
      </c>
      <c r="AH439" s="50">
        <v>0</v>
      </c>
      <c r="AI439" s="36">
        <v>0</v>
      </c>
      <c r="AJ439" s="36">
        <v>0</v>
      </c>
      <c r="AK439" s="36">
        <v>0</v>
      </c>
      <c r="AL439" s="36">
        <v>0</v>
      </c>
      <c r="AM439" s="50">
        <v>0</v>
      </c>
      <c r="AN439" s="36">
        <v>0</v>
      </c>
      <c r="AO439" s="36">
        <v>0</v>
      </c>
      <c r="AP439" s="36">
        <v>0</v>
      </c>
      <c r="AQ439" s="36">
        <v>0</v>
      </c>
      <c r="AR439" s="50">
        <v>0</v>
      </c>
      <c r="AS439" s="36">
        <v>0</v>
      </c>
      <c r="AT439" s="36">
        <v>0</v>
      </c>
      <c r="AU439" s="36">
        <v>0</v>
      </c>
      <c r="AV439" s="36">
        <v>0</v>
      </c>
      <c r="AW439">
        <v>0</v>
      </c>
      <c r="AX439">
        <v>0</v>
      </c>
    </row>
    <row r="440" spans="1:50" x14ac:dyDescent="0.25">
      <c r="A440" s="36"/>
      <c r="B440" t="s">
        <v>120</v>
      </c>
      <c r="C440" s="36" t="str">
        <f>'Status Thresholds'!B431</f>
        <v>Khezu</v>
      </c>
      <c r="E440" s="36" t="str">
        <f t="shared" si="15"/>
        <v>Khezu</v>
      </c>
      <c r="F440" s="36" t="str">
        <f>IFERROR(VLOOKUP($E440,'Status Thresholds'!$E:$AS,1,FALSE),"")</f>
        <v/>
      </c>
      <c r="G440" t="s">
        <v>12</v>
      </c>
      <c r="H440" s="55" t="str">
        <f t="shared" si="16"/>
        <v>KhezuCrag 2</v>
      </c>
      <c r="I440" s="50">
        <v>1</v>
      </c>
      <c r="J440" s="36">
        <v>0</v>
      </c>
      <c r="K440" s="36">
        <v>4</v>
      </c>
      <c r="L440" s="36">
        <v>4</v>
      </c>
      <c r="M440" s="36">
        <v>0</v>
      </c>
      <c r="N440" s="50">
        <v>0</v>
      </c>
      <c r="O440" s="36">
        <v>0</v>
      </c>
      <c r="P440" s="36">
        <v>0</v>
      </c>
      <c r="Q440" s="36">
        <v>0</v>
      </c>
      <c r="R440" s="36">
        <v>0</v>
      </c>
      <c r="S440" s="50">
        <v>1</v>
      </c>
      <c r="T440" s="36">
        <v>1</v>
      </c>
      <c r="U440" s="36">
        <v>3</v>
      </c>
      <c r="V440" s="36">
        <v>4</v>
      </c>
      <c r="W440" s="36">
        <v>0</v>
      </c>
      <c r="X440" s="50">
        <v>0</v>
      </c>
      <c r="Y440" s="36">
        <v>0</v>
      </c>
      <c r="Z440" s="36">
        <v>0</v>
      </c>
      <c r="AA440" s="36">
        <v>0</v>
      </c>
      <c r="AB440" s="36">
        <v>0</v>
      </c>
      <c r="AC440" s="50">
        <v>0</v>
      </c>
      <c r="AD440" s="36">
        <v>2</v>
      </c>
      <c r="AE440" s="36">
        <v>3</v>
      </c>
      <c r="AF440" s="36">
        <v>4</v>
      </c>
      <c r="AG440" s="36">
        <v>0</v>
      </c>
      <c r="AH440" s="50">
        <v>0</v>
      </c>
      <c r="AI440" s="36">
        <v>0</v>
      </c>
      <c r="AJ440" s="36">
        <v>0</v>
      </c>
      <c r="AK440" s="36">
        <v>0</v>
      </c>
      <c r="AL440" s="36">
        <v>0</v>
      </c>
      <c r="AM440" s="50">
        <v>0</v>
      </c>
      <c r="AN440" s="36">
        <v>0</v>
      </c>
      <c r="AO440" s="36">
        <v>0</v>
      </c>
      <c r="AP440" s="36">
        <v>0</v>
      </c>
      <c r="AQ440" s="36">
        <v>0</v>
      </c>
      <c r="AR440" s="50">
        <v>0</v>
      </c>
      <c r="AS440" s="36">
        <v>0</v>
      </c>
      <c r="AT440" s="36">
        <v>0</v>
      </c>
      <c r="AU440" s="36">
        <v>0</v>
      </c>
      <c r="AV440" s="36">
        <v>0</v>
      </c>
      <c r="AW440">
        <v>0</v>
      </c>
      <c r="AX440">
        <v>0</v>
      </c>
    </row>
    <row r="441" spans="1:50" x14ac:dyDescent="0.25">
      <c r="A441" s="36"/>
      <c r="B441" t="s">
        <v>120</v>
      </c>
      <c r="C441" s="36" t="str">
        <f>'Status Thresholds'!B432</f>
        <v>Khezu</v>
      </c>
      <c r="E441" s="36" t="str">
        <f t="shared" si="15"/>
        <v>Khezu</v>
      </c>
      <c r="F441" s="36" t="str">
        <f>IFERROR(VLOOKUP($E441,'Status Thresholds'!$E:$AS,1,FALSE),"")</f>
        <v/>
      </c>
      <c r="G441" t="s">
        <v>11</v>
      </c>
      <c r="H441" s="55" t="str">
        <f t="shared" si="16"/>
        <v>KhezuCrag 1</v>
      </c>
      <c r="I441" s="50">
        <v>0</v>
      </c>
      <c r="J441" s="36">
        <v>7</v>
      </c>
      <c r="K441" s="36">
        <v>8</v>
      </c>
      <c r="L441" s="36">
        <v>8</v>
      </c>
      <c r="M441" s="36">
        <v>0</v>
      </c>
      <c r="N441" s="50">
        <v>0</v>
      </c>
      <c r="O441" s="36">
        <v>0</v>
      </c>
      <c r="P441" s="36">
        <v>0</v>
      </c>
      <c r="Q441" s="36">
        <v>0</v>
      </c>
      <c r="R441" s="36">
        <v>0</v>
      </c>
      <c r="S441" s="50">
        <v>0</v>
      </c>
      <c r="T441" s="36">
        <v>2</v>
      </c>
      <c r="U441" s="36">
        <v>8</v>
      </c>
      <c r="V441" s="36">
        <v>8</v>
      </c>
      <c r="W441" s="36">
        <v>0</v>
      </c>
      <c r="X441" s="50">
        <v>0</v>
      </c>
      <c r="Y441" s="36">
        <v>0</v>
      </c>
      <c r="Z441" s="36">
        <v>0</v>
      </c>
      <c r="AA441" s="36">
        <v>0</v>
      </c>
      <c r="AB441" s="36">
        <v>0</v>
      </c>
      <c r="AC441" s="50">
        <v>2</v>
      </c>
      <c r="AD441" s="36">
        <v>2</v>
      </c>
      <c r="AE441" s="36">
        <v>8</v>
      </c>
      <c r="AF441" s="36">
        <v>8</v>
      </c>
      <c r="AG441" s="36">
        <v>0</v>
      </c>
      <c r="AH441" s="50">
        <v>0</v>
      </c>
      <c r="AI441" s="36">
        <v>0</v>
      </c>
      <c r="AJ441" s="36">
        <v>0</v>
      </c>
      <c r="AK441" s="36">
        <v>0</v>
      </c>
      <c r="AL441" s="36">
        <v>0</v>
      </c>
      <c r="AM441" s="50">
        <v>0</v>
      </c>
      <c r="AN441" s="36">
        <v>0</v>
      </c>
      <c r="AO441" s="36">
        <v>0</v>
      </c>
      <c r="AP441" s="36">
        <v>0</v>
      </c>
      <c r="AQ441" s="36">
        <v>0</v>
      </c>
      <c r="AR441" s="50">
        <v>0</v>
      </c>
      <c r="AS441" s="36">
        <v>0</v>
      </c>
      <c r="AT441" s="36">
        <v>0</v>
      </c>
      <c r="AU441" s="36">
        <v>0</v>
      </c>
      <c r="AV441" s="36">
        <v>1</v>
      </c>
      <c r="AW441">
        <v>0</v>
      </c>
      <c r="AX441">
        <v>0</v>
      </c>
    </row>
    <row r="442" spans="1:50" x14ac:dyDescent="0.25">
      <c r="A442" s="36"/>
      <c r="B442" t="s">
        <v>119</v>
      </c>
      <c r="C442" s="36" t="str">
        <f>'Status Thresholds'!B433</f>
        <v>Khezu</v>
      </c>
      <c r="E442" s="36" t="str">
        <f t="shared" si="15"/>
        <v>Khezu</v>
      </c>
      <c r="F442" s="36" t="str">
        <f>IFERROR(VLOOKUP($E442,'Status Thresholds'!$E:$AS,1,FALSE),"")</f>
        <v/>
      </c>
      <c r="G442" t="s">
        <v>21</v>
      </c>
      <c r="H442" s="55" t="str">
        <f t="shared" si="16"/>
        <v>KhezuTriblast</v>
      </c>
      <c r="I442" s="50">
        <v>0</v>
      </c>
      <c r="J442" s="36">
        <v>2</v>
      </c>
      <c r="K442" s="36">
        <v>1</v>
      </c>
      <c r="L442" s="36">
        <v>2</v>
      </c>
      <c r="M442" s="36">
        <v>0</v>
      </c>
      <c r="N442" s="50">
        <v>0</v>
      </c>
      <c r="O442" s="36">
        <v>0</v>
      </c>
      <c r="P442" s="36">
        <v>0</v>
      </c>
      <c r="Q442" s="36">
        <v>0</v>
      </c>
      <c r="R442" s="36">
        <v>0</v>
      </c>
      <c r="S442" s="50">
        <v>2</v>
      </c>
      <c r="T442" s="36">
        <v>2</v>
      </c>
      <c r="U442" s="36">
        <v>2</v>
      </c>
      <c r="V442" s="36">
        <v>2</v>
      </c>
      <c r="W442" s="36">
        <v>0</v>
      </c>
      <c r="X442" s="50">
        <v>0</v>
      </c>
      <c r="Y442" s="36">
        <v>0</v>
      </c>
      <c r="Z442" s="36">
        <v>0</v>
      </c>
      <c r="AA442" s="36">
        <v>0</v>
      </c>
      <c r="AB442" s="36">
        <v>0</v>
      </c>
      <c r="AC442" s="50">
        <v>0</v>
      </c>
      <c r="AD442" s="36">
        <v>0</v>
      </c>
      <c r="AE442" s="36">
        <v>2</v>
      </c>
      <c r="AF442" s="36">
        <v>2</v>
      </c>
      <c r="AG442" s="36">
        <v>0</v>
      </c>
      <c r="AH442" s="50">
        <v>0</v>
      </c>
      <c r="AI442" s="36">
        <v>0</v>
      </c>
      <c r="AJ442" s="36">
        <v>0</v>
      </c>
      <c r="AK442" s="36">
        <v>0</v>
      </c>
      <c r="AL442" s="36">
        <v>0</v>
      </c>
      <c r="AM442" s="50">
        <v>0</v>
      </c>
      <c r="AN442" s="36">
        <v>0</v>
      </c>
      <c r="AO442" s="36">
        <v>0</v>
      </c>
      <c r="AP442" s="36">
        <v>0</v>
      </c>
      <c r="AQ442" s="36">
        <v>0</v>
      </c>
      <c r="AR442" s="50">
        <v>0</v>
      </c>
      <c r="AS442" s="36">
        <v>0</v>
      </c>
      <c r="AT442" s="36">
        <v>0</v>
      </c>
      <c r="AU442" s="36">
        <v>0</v>
      </c>
      <c r="AV442" s="36">
        <v>0</v>
      </c>
      <c r="AW442">
        <v>0</v>
      </c>
      <c r="AX442">
        <v>0</v>
      </c>
    </row>
    <row r="443" spans="1:50" x14ac:dyDescent="0.25">
      <c r="A443" s="36"/>
      <c r="B443" t="s">
        <v>119</v>
      </c>
      <c r="C443" s="36" t="str">
        <f>'Status Thresholds'!B434</f>
        <v>Khezu</v>
      </c>
      <c r="E443" s="36" t="str">
        <f t="shared" si="15"/>
        <v>Khezu</v>
      </c>
      <c r="F443" s="36" t="str">
        <f>IFERROR(VLOOKUP($E443,'Status Thresholds'!$E:$AS,1,FALSE),"")</f>
        <v/>
      </c>
      <c r="G443" t="s">
        <v>13</v>
      </c>
      <c r="H443" s="55" t="str">
        <f t="shared" si="16"/>
        <v>KhezuCrag 3</v>
      </c>
      <c r="I443" s="50">
        <v>2</v>
      </c>
      <c r="J443" s="36">
        <v>0</v>
      </c>
      <c r="K443" s="36">
        <v>1</v>
      </c>
      <c r="L443" s="36">
        <v>4</v>
      </c>
      <c r="M443" s="36">
        <v>0</v>
      </c>
      <c r="N443" s="50">
        <v>0</v>
      </c>
      <c r="O443" s="36">
        <v>0</v>
      </c>
      <c r="P443" s="36">
        <v>0</v>
      </c>
      <c r="Q443" s="36">
        <v>0</v>
      </c>
      <c r="R443" s="36">
        <v>0</v>
      </c>
      <c r="S443" s="50">
        <v>1</v>
      </c>
      <c r="T443" s="36">
        <v>0</v>
      </c>
      <c r="U443" s="36">
        <v>1</v>
      </c>
      <c r="V443" s="36">
        <v>4</v>
      </c>
      <c r="W443" s="36">
        <v>0</v>
      </c>
      <c r="X443" s="50">
        <v>0</v>
      </c>
      <c r="Y443" s="36">
        <v>0</v>
      </c>
      <c r="Z443" s="36">
        <v>0</v>
      </c>
      <c r="AA443" s="36">
        <v>0</v>
      </c>
      <c r="AB443" s="36">
        <v>0</v>
      </c>
      <c r="AC443" s="50">
        <v>0</v>
      </c>
      <c r="AD443" s="36">
        <v>3</v>
      </c>
      <c r="AE443" s="36">
        <v>4</v>
      </c>
      <c r="AF443" s="36">
        <v>4</v>
      </c>
      <c r="AG443" s="36">
        <v>0</v>
      </c>
      <c r="AH443" s="50">
        <v>0</v>
      </c>
      <c r="AI443" s="36">
        <v>0</v>
      </c>
      <c r="AJ443" s="36">
        <v>0</v>
      </c>
      <c r="AK443" s="36">
        <v>0</v>
      </c>
      <c r="AL443" s="36">
        <v>0</v>
      </c>
      <c r="AM443" s="50">
        <v>0</v>
      </c>
      <c r="AN443" s="36">
        <v>0</v>
      </c>
      <c r="AO443" s="36">
        <v>0</v>
      </c>
      <c r="AP443" s="36">
        <v>0</v>
      </c>
      <c r="AQ443" s="36">
        <v>0</v>
      </c>
      <c r="AR443" s="50">
        <v>0</v>
      </c>
      <c r="AS443" s="36">
        <v>0</v>
      </c>
      <c r="AT443" s="36">
        <v>0</v>
      </c>
      <c r="AU443" s="36">
        <v>0</v>
      </c>
      <c r="AV443" s="36">
        <v>0</v>
      </c>
      <c r="AW443">
        <v>0</v>
      </c>
      <c r="AX443">
        <v>0</v>
      </c>
    </row>
    <row r="444" spans="1:50" x14ac:dyDescent="0.25">
      <c r="A444" s="36"/>
      <c r="B444" t="s">
        <v>119</v>
      </c>
      <c r="C444" s="36" t="str">
        <f>'Status Thresholds'!B435</f>
        <v>Khezu</v>
      </c>
      <c r="E444" s="36" t="str">
        <f t="shared" si="15"/>
        <v>Khezu</v>
      </c>
      <c r="F444" s="36" t="str">
        <f>IFERROR(VLOOKUP($E444,'Status Thresholds'!$E:$AS,1,FALSE),"")</f>
        <v/>
      </c>
      <c r="G444" t="s">
        <v>12</v>
      </c>
      <c r="H444" s="55" t="str">
        <f t="shared" si="16"/>
        <v>KhezuCrag 2</v>
      </c>
      <c r="I444" s="50">
        <v>4</v>
      </c>
      <c r="J444" s="36">
        <v>1</v>
      </c>
      <c r="K444" s="36">
        <v>3</v>
      </c>
      <c r="L444" s="36">
        <v>4</v>
      </c>
      <c r="M444" s="36">
        <v>0</v>
      </c>
      <c r="N444" s="50">
        <v>0</v>
      </c>
      <c r="O444" s="36">
        <v>0</v>
      </c>
      <c r="P444" s="36">
        <v>0</v>
      </c>
      <c r="Q444" s="36">
        <v>0</v>
      </c>
      <c r="R444" s="36">
        <v>0</v>
      </c>
      <c r="S444" s="50">
        <v>0</v>
      </c>
      <c r="T444" s="36">
        <v>2</v>
      </c>
      <c r="U444" s="36">
        <v>3</v>
      </c>
      <c r="V444" s="36">
        <v>3</v>
      </c>
      <c r="W444" s="36">
        <v>0</v>
      </c>
      <c r="X444" s="50">
        <v>0</v>
      </c>
      <c r="Y444" s="36">
        <v>0</v>
      </c>
      <c r="Z444" s="36">
        <v>0</v>
      </c>
      <c r="AA444" s="36">
        <v>0</v>
      </c>
      <c r="AB444" s="36">
        <v>0</v>
      </c>
      <c r="AC444" s="50">
        <v>2</v>
      </c>
      <c r="AD444" s="36">
        <v>3</v>
      </c>
      <c r="AE444" s="36">
        <v>1</v>
      </c>
      <c r="AF444" s="36">
        <v>4</v>
      </c>
      <c r="AG444" s="36">
        <v>0</v>
      </c>
      <c r="AH444" s="50">
        <v>0</v>
      </c>
      <c r="AI444" s="36">
        <v>0</v>
      </c>
      <c r="AJ444" s="36">
        <v>0</v>
      </c>
      <c r="AK444" s="36">
        <v>0</v>
      </c>
      <c r="AL444" s="36">
        <v>0</v>
      </c>
      <c r="AM444" s="50">
        <v>0</v>
      </c>
      <c r="AN444" s="36">
        <v>0</v>
      </c>
      <c r="AO444" s="36">
        <v>0</v>
      </c>
      <c r="AP444" s="36">
        <v>0</v>
      </c>
      <c r="AQ444" s="36">
        <v>0</v>
      </c>
      <c r="AR444" s="50">
        <v>0</v>
      </c>
      <c r="AS444" s="36">
        <v>0</v>
      </c>
      <c r="AT444" s="36">
        <v>0</v>
      </c>
      <c r="AU444" s="36">
        <v>0</v>
      </c>
      <c r="AV444" s="36">
        <v>0</v>
      </c>
      <c r="AW444">
        <v>0</v>
      </c>
      <c r="AX444">
        <v>0</v>
      </c>
    </row>
    <row r="445" spans="1:50" x14ac:dyDescent="0.25">
      <c r="A445" s="36"/>
      <c r="B445" t="s">
        <v>119</v>
      </c>
      <c r="C445" s="36" t="str">
        <f>'Status Thresholds'!B436</f>
        <v>Khezu</v>
      </c>
      <c r="E445" s="36" t="str">
        <f t="shared" si="15"/>
        <v>Khezu</v>
      </c>
      <c r="F445" s="36" t="str">
        <f>IFERROR(VLOOKUP($E445,'Status Thresholds'!$E:$AS,1,FALSE),"")</f>
        <v/>
      </c>
      <c r="G445" t="s">
        <v>11</v>
      </c>
      <c r="H445" s="55" t="str">
        <f t="shared" si="16"/>
        <v>KhezuCrag 1</v>
      </c>
      <c r="I445" s="50">
        <v>0</v>
      </c>
      <c r="J445" s="36">
        <v>5</v>
      </c>
      <c r="K445" s="36">
        <v>8</v>
      </c>
      <c r="L445" s="36">
        <v>3</v>
      </c>
      <c r="M445" s="36">
        <v>0</v>
      </c>
      <c r="N445" s="50">
        <v>0</v>
      </c>
      <c r="O445" s="36">
        <v>0</v>
      </c>
      <c r="P445" s="36">
        <v>0</v>
      </c>
      <c r="Q445" s="36">
        <v>0</v>
      </c>
      <c r="R445" s="36">
        <v>0</v>
      </c>
      <c r="S445" s="50">
        <v>2</v>
      </c>
      <c r="T445" s="36">
        <v>6</v>
      </c>
      <c r="U445" s="36">
        <v>8</v>
      </c>
      <c r="V445" s="36">
        <v>8</v>
      </c>
      <c r="W445" s="36">
        <v>0</v>
      </c>
      <c r="X445" s="50">
        <v>0</v>
      </c>
      <c r="Y445" s="36">
        <v>0</v>
      </c>
      <c r="Z445" s="36">
        <v>0</v>
      </c>
      <c r="AA445" s="36">
        <v>0</v>
      </c>
      <c r="AB445" s="36">
        <v>0</v>
      </c>
      <c r="AC445" s="50">
        <v>8</v>
      </c>
      <c r="AD445" s="36">
        <v>7</v>
      </c>
      <c r="AE445" s="36">
        <v>7</v>
      </c>
      <c r="AF445" s="36">
        <v>8</v>
      </c>
      <c r="AG445" s="36">
        <v>0</v>
      </c>
      <c r="AH445" s="50">
        <v>0</v>
      </c>
      <c r="AI445" s="36">
        <v>0</v>
      </c>
      <c r="AJ445" s="36">
        <v>0</v>
      </c>
      <c r="AK445" s="36">
        <v>0</v>
      </c>
      <c r="AL445" s="36">
        <v>0</v>
      </c>
      <c r="AM445" s="50">
        <v>0</v>
      </c>
      <c r="AN445" s="36">
        <v>0</v>
      </c>
      <c r="AO445" s="36">
        <v>0</v>
      </c>
      <c r="AP445" s="36">
        <v>0</v>
      </c>
      <c r="AQ445" s="36">
        <v>0</v>
      </c>
      <c r="AR445" s="50">
        <v>0</v>
      </c>
      <c r="AS445" s="36">
        <v>0</v>
      </c>
      <c r="AT445" s="36">
        <v>0</v>
      </c>
      <c r="AU445" s="36">
        <v>0</v>
      </c>
      <c r="AV445" s="36">
        <v>1</v>
      </c>
      <c r="AW445">
        <v>0</v>
      </c>
      <c r="AX445">
        <v>0</v>
      </c>
    </row>
    <row r="446" spans="1:50" x14ac:dyDescent="0.25">
      <c r="A446" s="36"/>
      <c r="B446" t="s">
        <v>121</v>
      </c>
      <c r="C446" s="36" t="str">
        <f>'Status Thresholds'!B437</f>
        <v>Kirin</v>
      </c>
      <c r="D446" s="36" t="s">
        <v>14</v>
      </c>
      <c r="E446" s="36" t="str">
        <f t="shared" si="15"/>
        <v>KirinKO</v>
      </c>
      <c r="F446" s="36" t="str">
        <f>IFERROR(VLOOKUP($E446,'Status Thresholds'!$E:$AS,1,FALSE),"")</f>
        <v>KirinKO</v>
      </c>
      <c r="H446" s="55" t="str">
        <f t="shared" si="16"/>
        <v>KirinKO</v>
      </c>
      <c r="I446" s="50">
        <f>VLOOKUP($F446,'Status Thresholds'!$E:$AS,2,FALSE)</f>
        <v>195</v>
      </c>
      <c r="J446" s="36">
        <f>VLOOKUP($F446,'Status Thresholds'!$E:$AS,3,FALSE)</f>
        <v>325</v>
      </c>
      <c r="K446" s="36">
        <f>VLOOKUP($F446,'Status Thresholds'!$E:$AS,4,FALSE)</f>
        <v>455</v>
      </c>
      <c r="L446" s="36">
        <f>VLOOKUP($F446,'Status Thresholds'!$E:$AS,5,FALSE)</f>
        <v>585</v>
      </c>
      <c r="M446" s="36">
        <f>VLOOKUP($F446,'Status Thresholds'!$E:$AS,6,FALSE)</f>
        <v>0</v>
      </c>
      <c r="N446" s="50">
        <f>VLOOKUP($F446,'Status Thresholds'!$E:$AS,7,FALSE)</f>
        <v>0</v>
      </c>
      <c r="O446" s="36">
        <f>VLOOKUP($F446,'Status Thresholds'!$E:$AS,8,FALSE)</f>
        <v>0</v>
      </c>
      <c r="P446" s="36">
        <f>VLOOKUP($F446,'Status Thresholds'!$E:$AS,9,FALSE)</f>
        <v>0</v>
      </c>
      <c r="Q446" s="36">
        <f>VLOOKUP($F446,'Status Thresholds'!$E:$AS,10,FALSE)</f>
        <v>0</v>
      </c>
      <c r="R446" s="36">
        <f>VLOOKUP($F446,'Status Thresholds'!$E:$AS,11,FALSE)</f>
        <v>0</v>
      </c>
      <c r="S446" s="50">
        <f>VLOOKUP($F446,'Status Thresholds'!$E:$AS,12,FALSE)</f>
        <v>0</v>
      </c>
      <c r="T446" s="36">
        <f>VLOOKUP($F446,'Status Thresholds'!$E:$AS,13,FALSE)</f>
        <v>0</v>
      </c>
      <c r="U446" s="36">
        <f>VLOOKUP($F446,'Status Thresholds'!$E:$AS,14,FALSE)</f>
        <v>0</v>
      </c>
      <c r="V446" s="36">
        <f>VLOOKUP($F446,'Status Thresholds'!$E:$AS,15,FALSE)</f>
        <v>0</v>
      </c>
      <c r="W446" s="36">
        <f>VLOOKUP($F446,'Status Thresholds'!$E:$AS,16,FALSE)</f>
        <v>0</v>
      </c>
      <c r="X446" s="50">
        <f>VLOOKUP($F446,'Status Thresholds'!$E:$AS,17,FALSE)</f>
        <v>0</v>
      </c>
      <c r="Y446" s="36">
        <f>VLOOKUP($F446,'Status Thresholds'!$E:$AS,18,FALSE)</f>
        <v>0</v>
      </c>
      <c r="Z446" s="36">
        <f>VLOOKUP($F446,'Status Thresholds'!$E:$AS,19,FALSE)</f>
        <v>0</v>
      </c>
      <c r="AA446" s="36">
        <f>VLOOKUP($F446,'Status Thresholds'!$E:$AS,20,FALSE)</f>
        <v>0</v>
      </c>
      <c r="AB446" s="36">
        <f>VLOOKUP($F446,'Status Thresholds'!$E:$AS,21,FALSE)</f>
        <v>0</v>
      </c>
      <c r="AC446" s="50">
        <f>VLOOKUP($F446,'Status Thresholds'!$E:$AS,22,FALSE)</f>
        <v>225</v>
      </c>
      <c r="AD446" s="36">
        <f>VLOOKUP($F446,'Status Thresholds'!$E:$AS,23,FALSE)</f>
        <v>375</v>
      </c>
      <c r="AE446" s="36">
        <f>VLOOKUP($F446,'Status Thresholds'!$E:$AS,24,FALSE)</f>
        <v>525</v>
      </c>
      <c r="AF446" s="36">
        <f>VLOOKUP($F446,'Status Thresholds'!$E:$AS,25,FALSE)</f>
        <v>675</v>
      </c>
      <c r="AG446" s="36">
        <f>VLOOKUP($F446,'Status Thresholds'!$E:$AS,26,FALSE)</f>
        <v>0</v>
      </c>
      <c r="AH446" s="50">
        <f>VLOOKUP($F446,'Status Thresholds'!$E:$AS,27,FALSE)</f>
        <v>0</v>
      </c>
      <c r="AI446" s="36">
        <f>VLOOKUP($F446,'Status Thresholds'!$E:$AS,28,FALSE)</f>
        <v>0</v>
      </c>
      <c r="AJ446" s="36">
        <f>VLOOKUP($F446,'Status Thresholds'!$E:$AS,29,FALSE)</f>
        <v>0</v>
      </c>
      <c r="AK446" s="36">
        <f>VLOOKUP($F446,'Status Thresholds'!$E:$AS,30,FALSE)</f>
        <v>0</v>
      </c>
      <c r="AL446" s="36">
        <f>VLOOKUP($F446,'Status Thresholds'!$E:$AS,31,FALSE)</f>
        <v>0</v>
      </c>
      <c r="AM446" s="50">
        <f>VLOOKUP($F446,'Status Thresholds'!$E:$AS,32,FALSE)</f>
        <v>0</v>
      </c>
      <c r="AN446" s="36">
        <f>VLOOKUP($F446,'Status Thresholds'!$E:$AS,33,FALSE)</f>
        <v>0</v>
      </c>
      <c r="AO446" s="36">
        <f>VLOOKUP($F446,'Status Thresholds'!$E:$AS,34,FALSE)</f>
        <v>0</v>
      </c>
      <c r="AP446" s="36">
        <f>VLOOKUP($F446,'Status Thresholds'!$E:$AS,35,FALSE)</f>
        <v>0</v>
      </c>
      <c r="AQ446" s="36">
        <f>VLOOKUP($F446,'Status Thresholds'!$E:$AS,36,FALSE)</f>
        <v>0</v>
      </c>
      <c r="AR446" s="50">
        <f>VLOOKUP($F446,'Status Thresholds'!$E:$AS,37,FALSE)</f>
        <v>0</v>
      </c>
      <c r="AS446" s="36">
        <f>VLOOKUP($F446,'Status Thresholds'!$E:$AS,38,FALSE)</f>
        <v>0</v>
      </c>
      <c r="AT446" s="36">
        <f>VLOOKUP($F446,'Status Thresholds'!$E:$AS,39,FALSE)</f>
        <v>0</v>
      </c>
      <c r="AU446" s="36">
        <f>VLOOKUP($F446,'Status Thresholds'!$E:$AS,40,FALSE)</f>
        <v>0</v>
      </c>
      <c r="AV446" s="36">
        <f>VLOOKUP($F446,'Status Thresholds'!$E:$AS,41,FALSE)</f>
        <v>10</v>
      </c>
      <c r="AW446">
        <v>0</v>
      </c>
      <c r="AX446">
        <v>0</v>
      </c>
    </row>
    <row r="447" spans="1:50" x14ac:dyDescent="0.25">
      <c r="A447" s="36"/>
      <c r="B447" t="s">
        <v>120</v>
      </c>
      <c r="C447" s="36" t="str">
        <f>'Status Thresholds'!B438</f>
        <v>Kirin</v>
      </c>
      <c r="D447" s="46"/>
      <c r="E447" s="36" t="str">
        <f t="shared" si="15"/>
        <v>Kirin</v>
      </c>
      <c r="F447" s="36" t="str">
        <f>IFERROR(VLOOKUP($E447,'Status Thresholds'!$E:$AS,1,FALSE),"")</f>
        <v/>
      </c>
      <c r="G447" t="s">
        <v>21</v>
      </c>
      <c r="H447" s="55" t="str">
        <f t="shared" si="16"/>
        <v>KirinTriblast</v>
      </c>
      <c r="I447" s="50">
        <v>1</v>
      </c>
      <c r="J447" s="36">
        <v>2</v>
      </c>
      <c r="K447" s="36">
        <v>2</v>
      </c>
      <c r="L447" s="36">
        <v>2</v>
      </c>
      <c r="M447" s="36">
        <v>0</v>
      </c>
      <c r="N447" s="50">
        <v>0</v>
      </c>
      <c r="O447" s="36">
        <v>0</v>
      </c>
      <c r="P447" s="36">
        <v>0</v>
      </c>
      <c r="Q447" s="36">
        <v>0</v>
      </c>
      <c r="R447" s="36">
        <v>0</v>
      </c>
      <c r="S447" s="50">
        <v>0</v>
      </c>
      <c r="T447" s="36">
        <v>0</v>
      </c>
      <c r="U447" s="36">
        <v>0</v>
      </c>
      <c r="V447" s="36">
        <v>0</v>
      </c>
      <c r="W447" s="36">
        <v>0</v>
      </c>
      <c r="X447" s="50">
        <v>0</v>
      </c>
      <c r="Y447" s="36">
        <v>0</v>
      </c>
      <c r="Z447" s="36">
        <v>0</v>
      </c>
      <c r="AA447" s="36">
        <v>0</v>
      </c>
      <c r="AB447" s="36">
        <v>0</v>
      </c>
      <c r="AC447" s="50">
        <v>2</v>
      </c>
      <c r="AD447" s="36">
        <v>1</v>
      </c>
      <c r="AE447" s="36">
        <v>1</v>
      </c>
      <c r="AF447" s="36">
        <v>2</v>
      </c>
      <c r="AG447" s="36">
        <v>0</v>
      </c>
      <c r="AH447" s="50">
        <v>0</v>
      </c>
      <c r="AI447" s="36">
        <v>0</v>
      </c>
      <c r="AJ447" s="36">
        <v>0</v>
      </c>
      <c r="AK447" s="36">
        <v>0</v>
      </c>
      <c r="AL447" s="36">
        <v>0</v>
      </c>
      <c r="AM447" s="50">
        <v>0</v>
      </c>
      <c r="AN447" s="36">
        <v>0</v>
      </c>
      <c r="AO447" s="36">
        <v>0</v>
      </c>
      <c r="AP447" s="36">
        <v>0</v>
      </c>
      <c r="AQ447" s="36">
        <v>0</v>
      </c>
      <c r="AR447" s="50">
        <v>0</v>
      </c>
      <c r="AS447" s="36">
        <v>0</v>
      </c>
      <c r="AT447" s="36">
        <v>0</v>
      </c>
      <c r="AU447" s="36">
        <v>0</v>
      </c>
      <c r="AV447" s="36">
        <v>0</v>
      </c>
      <c r="AW447">
        <v>0</v>
      </c>
    </row>
    <row r="448" spans="1:50" x14ac:dyDescent="0.25">
      <c r="A448" s="36"/>
      <c r="B448" t="s">
        <v>120</v>
      </c>
      <c r="C448" s="36" t="str">
        <f>'Status Thresholds'!B439</f>
        <v>Kirin</v>
      </c>
      <c r="E448" s="36" t="str">
        <f t="shared" si="15"/>
        <v>Kirin</v>
      </c>
      <c r="F448" s="36" t="str">
        <f>IFERROR(VLOOKUP($E448,'Status Thresholds'!$E:$AS,1,FALSE),"")</f>
        <v/>
      </c>
      <c r="G448" t="s">
        <v>13</v>
      </c>
      <c r="H448" s="55" t="str">
        <f t="shared" si="16"/>
        <v>KirinCrag 3</v>
      </c>
      <c r="I448" s="50">
        <v>0</v>
      </c>
      <c r="J448" s="36">
        <v>0</v>
      </c>
      <c r="K448" s="36">
        <v>4</v>
      </c>
      <c r="L448" s="36">
        <v>3</v>
      </c>
      <c r="M448" s="36">
        <v>0</v>
      </c>
      <c r="N448" s="50">
        <v>0</v>
      </c>
      <c r="O448" s="36">
        <v>0</v>
      </c>
      <c r="P448" s="36">
        <v>0</v>
      </c>
      <c r="Q448" s="36">
        <v>0</v>
      </c>
      <c r="R448" s="36">
        <v>0</v>
      </c>
      <c r="S448" s="50">
        <v>0</v>
      </c>
      <c r="T448" s="36">
        <v>0</v>
      </c>
      <c r="U448" s="36">
        <v>0</v>
      </c>
      <c r="V448" s="36">
        <v>0</v>
      </c>
      <c r="W448" s="36">
        <v>0</v>
      </c>
      <c r="X448" s="50">
        <v>0</v>
      </c>
      <c r="Y448" s="36">
        <v>0</v>
      </c>
      <c r="Z448" s="36">
        <v>0</v>
      </c>
      <c r="AA448" s="36">
        <v>0</v>
      </c>
      <c r="AB448" s="36">
        <v>0</v>
      </c>
      <c r="AC448" s="50">
        <v>0</v>
      </c>
      <c r="AD448" s="36">
        <v>3</v>
      </c>
      <c r="AE448" s="36">
        <v>4</v>
      </c>
      <c r="AF448" s="36">
        <v>4</v>
      </c>
      <c r="AG448" s="36">
        <v>0</v>
      </c>
      <c r="AH448" s="50">
        <v>0</v>
      </c>
      <c r="AI448" s="36">
        <v>0</v>
      </c>
      <c r="AJ448" s="36">
        <v>0</v>
      </c>
      <c r="AK448" s="36">
        <v>0</v>
      </c>
      <c r="AL448" s="36">
        <v>0</v>
      </c>
      <c r="AM448" s="50">
        <v>0</v>
      </c>
      <c r="AN448" s="36">
        <v>0</v>
      </c>
      <c r="AO448" s="36">
        <v>0</v>
      </c>
      <c r="AP448" s="36">
        <v>0</v>
      </c>
      <c r="AQ448" s="36">
        <v>0</v>
      </c>
      <c r="AR448" s="50">
        <v>0</v>
      </c>
      <c r="AS448" s="36">
        <v>0</v>
      </c>
      <c r="AT448" s="36">
        <v>0</v>
      </c>
      <c r="AU448" s="36">
        <v>0</v>
      </c>
      <c r="AV448" s="36">
        <v>0</v>
      </c>
      <c r="AW448">
        <v>0</v>
      </c>
      <c r="AX448">
        <v>0</v>
      </c>
    </row>
    <row r="449" spans="1:50" x14ac:dyDescent="0.25">
      <c r="A449" s="36"/>
      <c r="B449" t="s">
        <v>120</v>
      </c>
      <c r="C449" s="36" t="str">
        <f>'Status Thresholds'!B440</f>
        <v>Kirin</v>
      </c>
      <c r="E449" s="36" t="str">
        <f t="shared" si="15"/>
        <v>Kirin</v>
      </c>
      <c r="F449" s="36" t="str">
        <f>IFERROR(VLOOKUP($E449,'Status Thresholds'!$E:$AS,1,FALSE),"")</f>
        <v/>
      </c>
      <c r="G449" t="s">
        <v>12</v>
      </c>
      <c r="H449" s="55" t="str">
        <f t="shared" si="16"/>
        <v>KirinCrag 2</v>
      </c>
      <c r="I449" s="50">
        <v>4</v>
      </c>
      <c r="J449" s="36">
        <v>0</v>
      </c>
      <c r="K449" s="36">
        <v>4</v>
      </c>
      <c r="L449" s="36">
        <v>4</v>
      </c>
      <c r="M449" s="36">
        <v>0</v>
      </c>
      <c r="N449" s="50">
        <v>0</v>
      </c>
      <c r="O449" s="36">
        <v>0</v>
      </c>
      <c r="P449" s="36">
        <v>0</v>
      </c>
      <c r="Q449" s="36">
        <v>0</v>
      </c>
      <c r="R449" s="36">
        <v>0</v>
      </c>
      <c r="S449" s="50">
        <v>0</v>
      </c>
      <c r="T449" s="36">
        <v>0</v>
      </c>
      <c r="U449" s="36">
        <v>0</v>
      </c>
      <c r="V449" s="36">
        <v>0</v>
      </c>
      <c r="W449" s="36">
        <v>0</v>
      </c>
      <c r="X449" s="50">
        <v>0</v>
      </c>
      <c r="Y449" s="36">
        <v>0</v>
      </c>
      <c r="Z449" s="36">
        <v>0</v>
      </c>
      <c r="AA449" s="36">
        <v>0</v>
      </c>
      <c r="AB449" s="36">
        <v>0</v>
      </c>
      <c r="AC449" s="50">
        <v>0</v>
      </c>
      <c r="AD449" s="36">
        <v>1</v>
      </c>
      <c r="AE449" s="36">
        <v>3</v>
      </c>
      <c r="AF449" s="36">
        <v>4</v>
      </c>
      <c r="AG449" s="36">
        <v>0</v>
      </c>
      <c r="AH449" s="50">
        <v>0</v>
      </c>
      <c r="AI449" s="36">
        <v>0</v>
      </c>
      <c r="AJ449" s="36">
        <v>0</v>
      </c>
      <c r="AK449" s="36">
        <v>0</v>
      </c>
      <c r="AL449" s="36">
        <v>0</v>
      </c>
      <c r="AM449" s="50">
        <v>0</v>
      </c>
      <c r="AN449" s="36">
        <v>0</v>
      </c>
      <c r="AO449" s="36">
        <v>0</v>
      </c>
      <c r="AP449" s="36">
        <v>0</v>
      </c>
      <c r="AQ449" s="36">
        <v>0</v>
      </c>
      <c r="AR449" s="50">
        <v>0</v>
      </c>
      <c r="AS449" s="36">
        <v>0</v>
      </c>
      <c r="AT449" s="36">
        <v>0</v>
      </c>
      <c r="AU449" s="36">
        <v>0</v>
      </c>
      <c r="AV449" s="36">
        <v>0</v>
      </c>
      <c r="AW449">
        <v>0</v>
      </c>
      <c r="AX449">
        <v>0</v>
      </c>
    </row>
    <row r="450" spans="1:50" x14ac:dyDescent="0.25">
      <c r="A450" s="36"/>
      <c r="B450" t="s">
        <v>120</v>
      </c>
      <c r="C450" s="36" t="str">
        <f>'Status Thresholds'!B441</f>
        <v>Kirin</v>
      </c>
      <c r="E450" s="36" t="str">
        <f t="shared" si="15"/>
        <v>Kirin</v>
      </c>
      <c r="F450" s="36" t="str">
        <f>IFERROR(VLOOKUP($E450,'Status Thresholds'!$E:$AS,1,FALSE),"")</f>
        <v/>
      </c>
      <c r="G450" t="s">
        <v>11</v>
      </c>
      <c r="H450" s="55" t="str">
        <f t="shared" si="16"/>
        <v>KirinCrag 1</v>
      </c>
      <c r="I450" s="50">
        <v>0</v>
      </c>
      <c r="J450" s="36">
        <v>7</v>
      </c>
      <c r="K450" s="36">
        <v>1</v>
      </c>
      <c r="L450" s="36">
        <v>8</v>
      </c>
      <c r="M450" s="36">
        <v>0</v>
      </c>
      <c r="N450" s="50">
        <v>0</v>
      </c>
      <c r="O450" s="36">
        <v>0</v>
      </c>
      <c r="P450" s="36">
        <v>0</v>
      </c>
      <c r="Q450" s="36">
        <v>0</v>
      </c>
      <c r="R450" s="36">
        <v>0</v>
      </c>
      <c r="S450" s="50">
        <v>0</v>
      </c>
      <c r="T450" s="36">
        <v>0</v>
      </c>
      <c r="U450" s="36">
        <v>0</v>
      </c>
      <c r="V450" s="36">
        <v>0</v>
      </c>
      <c r="W450" s="36">
        <v>0</v>
      </c>
      <c r="X450" s="50">
        <v>0</v>
      </c>
      <c r="Y450" s="36">
        <v>0</v>
      </c>
      <c r="Z450" s="36">
        <v>0</v>
      </c>
      <c r="AA450" s="36">
        <v>0</v>
      </c>
      <c r="AB450" s="36">
        <v>0</v>
      </c>
      <c r="AC450" s="50">
        <v>3</v>
      </c>
      <c r="AD450" s="36">
        <v>6</v>
      </c>
      <c r="AE450" s="36">
        <v>8</v>
      </c>
      <c r="AF450" s="36">
        <v>8</v>
      </c>
      <c r="AG450" s="36">
        <v>0</v>
      </c>
      <c r="AH450" s="50">
        <v>0</v>
      </c>
      <c r="AI450" s="36">
        <v>0</v>
      </c>
      <c r="AJ450" s="36">
        <v>0</v>
      </c>
      <c r="AK450" s="36">
        <v>0</v>
      </c>
      <c r="AL450" s="36">
        <v>0</v>
      </c>
      <c r="AM450" s="50">
        <v>0</v>
      </c>
      <c r="AN450" s="36">
        <v>0</v>
      </c>
      <c r="AO450" s="36">
        <v>0</v>
      </c>
      <c r="AP450" s="36">
        <v>0</v>
      </c>
      <c r="AQ450" s="36">
        <v>0</v>
      </c>
      <c r="AR450" s="50">
        <v>0</v>
      </c>
      <c r="AS450" s="36">
        <v>0</v>
      </c>
      <c r="AT450" s="36">
        <v>0</v>
      </c>
      <c r="AU450" s="36">
        <v>0</v>
      </c>
      <c r="AV450" s="36">
        <v>1</v>
      </c>
      <c r="AW450">
        <v>0</v>
      </c>
      <c r="AX450">
        <v>0</v>
      </c>
    </row>
    <row r="451" spans="1:50" x14ac:dyDescent="0.25">
      <c r="A451" s="36"/>
      <c r="B451" t="s">
        <v>119</v>
      </c>
      <c r="C451" s="36" t="str">
        <f>'Status Thresholds'!B442</f>
        <v>Kirin</v>
      </c>
      <c r="D451" s="36"/>
      <c r="E451" s="36" t="str">
        <f t="shared" si="15"/>
        <v>Kirin</v>
      </c>
      <c r="F451" s="36" t="str">
        <f>IFERROR(VLOOKUP($E451,'Status Thresholds'!$E:$AS,1,FALSE),"")</f>
        <v/>
      </c>
      <c r="G451" t="s">
        <v>21</v>
      </c>
      <c r="H451" s="55" t="str">
        <f t="shared" si="16"/>
        <v>KirinTriblast</v>
      </c>
      <c r="I451" s="50">
        <v>2</v>
      </c>
      <c r="J451" s="36">
        <v>0</v>
      </c>
      <c r="K451" s="36">
        <v>2</v>
      </c>
      <c r="L451" s="36">
        <v>2</v>
      </c>
      <c r="M451" s="36">
        <v>0</v>
      </c>
      <c r="N451" s="50">
        <v>0</v>
      </c>
      <c r="O451" s="36">
        <v>0</v>
      </c>
      <c r="P451" s="36">
        <v>0</v>
      </c>
      <c r="Q451" s="36">
        <v>0</v>
      </c>
      <c r="R451" s="36">
        <v>0</v>
      </c>
      <c r="S451" s="50">
        <v>0</v>
      </c>
      <c r="T451" s="36">
        <v>0</v>
      </c>
      <c r="U451" s="36">
        <v>0</v>
      </c>
      <c r="V451" s="36">
        <v>0</v>
      </c>
      <c r="W451" s="36">
        <v>0</v>
      </c>
      <c r="X451" s="50">
        <v>0</v>
      </c>
      <c r="Y451" s="36">
        <v>0</v>
      </c>
      <c r="Z451" s="36">
        <v>0</v>
      </c>
      <c r="AA451" s="36">
        <v>0</v>
      </c>
      <c r="AB451" s="36">
        <v>0</v>
      </c>
      <c r="AC451" s="50">
        <v>0</v>
      </c>
      <c r="AD451" s="36">
        <v>1</v>
      </c>
      <c r="AE451" s="36">
        <v>2</v>
      </c>
      <c r="AF451" s="36">
        <v>2</v>
      </c>
      <c r="AG451" s="36">
        <v>0</v>
      </c>
      <c r="AH451" s="50">
        <v>0</v>
      </c>
      <c r="AI451" s="36">
        <v>0</v>
      </c>
      <c r="AJ451" s="36">
        <v>0</v>
      </c>
      <c r="AK451" s="36">
        <v>0</v>
      </c>
      <c r="AL451" s="36">
        <v>0</v>
      </c>
      <c r="AM451" s="50">
        <v>0</v>
      </c>
      <c r="AN451" s="36">
        <v>0</v>
      </c>
      <c r="AO451" s="36">
        <v>0</v>
      </c>
      <c r="AP451" s="36">
        <v>0</v>
      </c>
      <c r="AQ451" s="36">
        <v>0</v>
      </c>
      <c r="AR451" s="50">
        <v>0</v>
      </c>
      <c r="AS451" s="36">
        <v>0</v>
      </c>
      <c r="AT451" s="36">
        <v>0</v>
      </c>
      <c r="AU451" s="36">
        <v>0</v>
      </c>
      <c r="AV451" s="36">
        <v>0</v>
      </c>
      <c r="AW451">
        <v>0</v>
      </c>
      <c r="AX451">
        <v>0</v>
      </c>
    </row>
    <row r="452" spans="1:50" x14ac:dyDescent="0.25">
      <c r="A452" s="36"/>
      <c r="B452" t="s">
        <v>119</v>
      </c>
      <c r="C452" s="36" t="str">
        <f>'Status Thresholds'!B443</f>
        <v>Kirin</v>
      </c>
      <c r="E452" s="36" t="str">
        <f t="shared" si="15"/>
        <v>Kirin</v>
      </c>
      <c r="F452" s="36" t="str">
        <f>IFERROR(VLOOKUP($E452,'Status Thresholds'!$E:$AS,1,FALSE),"")</f>
        <v/>
      </c>
      <c r="G452" t="s">
        <v>13</v>
      </c>
      <c r="H452" s="55" t="str">
        <f t="shared" si="16"/>
        <v>KirinCrag 3</v>
      </c>
      <c r="I452" s="50">
        <v>0</v>
      </c>
      <c r="J452" s="36">
        <v>1</v>
      </c>
      <c r="K452" s="36">
        <v>1</v>
      </c>
      <c r="L452" s="36">
        <v>4</v>
      </c>
      <c r="M452" s="36">
        <v>0</v>
      </c>
      <c r="N452" s="50">
        <v>0</v>
      </c>
      <c r="O452" s="36">
        <v>0</v>
      </c>
      <c r="P452" s="36">
        <v>0</v>
      </c>
      <c r="Q452" s="36">
        <v>0</v>
      </c>
      <c r="R452" s="36">
        <v>0</v>
      </c>
      <c r="S452" s="50">
        <v>0</v>
      </c>
      <c r="T452" s="36">
        <v>0</v>
      </c>
      <c r="U452" s="36">
        <v>0</v>
      </c>
      <c r="V452" s="36">
        <v>0</v>
      </c>
      <c r="W452" s="36">
        <v>0</v>
      </c>
      <c r="X452" s="50">
        <v>0</v>
      </c>
      <c r="Y452" s="36">
        <v>0</v>
      </c>
      <c r="Z452" s="36">
        <v>0</v>
      </c>
      <c r="AA452" s="36">
        <v>0</v>
      </c>
      <c r="AB452" s="36">
        <v>0</v>
      </c>
      <c r="AC452" s="50">
        <v>3</v>
      </c>
      <c r="AD452" s="36">
        <v>3</v>
      </c>
      <c r="AE452" s="36">
        <v>4</v>
      </c>
      <c r="AF452" s="36">
        <v>4</v>
      </c>
      <c r="AG452" s="36">
        <v>0</v>
      </c>
      <c r="AH452" s="50">
        <v>0</v>
      </c>
      <c r="AI452" s="36">
        <v>0</v>
      </c>
      <c r="AJ452" s="36">
        <v>0</v>
      </c>
      <c r="AK452" s="36">
        <v>0</v>
      </c>
      <c r="AL452" s="36">
        <v>0</v>
      </c>
      <c r="AM452" s="50">
        <v>0</v>
      </c>
      <c r="AN452" s="36">
        <v>0</v>
      </c>
      <c r="AO452" s="36">
        <v>0</v>
      </c>
      <c r="AP452" s="36">
        <v>0</v>
      </c>
      <c r="AQ452" s="36">
        <v>0</v>
      </c>
      <c r="AR452" s="50">
        <v>0</v>
      </c>
      <c r="AS452" s="36">
        <v>0</v>
      </c>
      <c r="AT452" s="36">
        <v>0</v>
      </c>
      <c r="AU452" s="36">
        <v>0</v>
      </c>
      <c r="AV452" s="36">
        <v>0</v>
      </c>
      <c r="AW452">
        <v>0</v>
      </c>
      <c r="AX452">
        <v>0</v>
      </c>
    </row>
    <row r="453" spans="1:50" x14ac:dyDescent="0.25">
      <c r="A453" s="36"/>
      <c r="B453" t="s">
        <v>119</v>
      </c>
      <c r="C453" s="36" t="str">
        <f>'Status Thresholds'!B444</f>
        <v>Kirin</v>
      </c>
      <c r="E453" s="36" t="str">
        <f t="shared" si="15"/>
        <v>Kirin</v>
      </c>
      <c r="F453" s="36" t="str">
        <f>IFERROR(VLOOKUP($E453,'Status Thresholds'!$E:$AS,1,FALSE),"")</f>
        <v/>
      </c>
      <c r="G453" t="s">
        <v>12</v>
      </c>
      <c r="H453" s="55" t="str">
        <f t="shared" si="16"/>
        <v>KirinCrag 2</v>
      </c>
      <c r="I453" s="50">
        <v>1</v>
      </c>
      <c r="J453" s="36">
        <v>2</v>
      </c>
      <c r="K453" s="36">
        <v>1</v>
      </c>
      <c r="L453" s="36">
        <v>1</v>
      </c>
      <c r="M453" s="36">
        <v>0</v>
      </c>
      <c r="N453" s="50">
        <v>0</v>
      </c>
      <c r="O453" s="36">
        <v>0</v>
      </c>
      <c r="P453" s="36">
        <v>0</v>
      </c>
      <c r="Q453" s="36">
        <v>0</v>
      </c>
      <c r="R453" s="36">
        <v>0</v>
      </c>
      <c r="S453" s="50">
        <v>0</v>
      </c>
      <c r="T453" s="36">
        <v>0</v>
      </c>
      <c r="U453" s="36">
        <v>0</v>
      </c>
      <c r="V453" s="36">
        <v>0</v>
      </c>
      <c r="W453" s="36">
        <v>0</v>
      </c>
      <c r="X453" s="50">
        <v>0</v>
      </c>
      <c r="Y453" s="36">
        <v>0</v>
      </c>
      <c r="Z453" s="36">
        <v>0</v>
      </c>
      <c r="AA453" s="36">
        <v>0</v>
      </c>
      <c r="AB453" s="36">
        <v>0</v>
      </c>
      <c r="AC453" s="50">
        <v>2</v>
      </c>
      <c r="AD453" s="36">
        <v>0</v>
      </c>
      <c r="AE453" s="36">
        <v>0</v>
      </c>
      <c r="AF453" s="36">
        <v>4</v>
      </c>
      <c r="AG453" s="36">
        <v>0</v>
      </c>
      <c r="AH453" s="50">
        <v>0</v>
      </c>
      <c r="AI453" s="36">
        <v>0</v>
      </c>
      <c r="AJ453" s="36">
        <v>0</v>
      </c>
      <c r="AK453" s="36">
        <v>0</v>
      </c>
      <c r="AL453" s="36">
        <v>0</v>
      </c>
      <c r="AM453" s="50">
        <v>0</v>
      </c>
      <c r="AN453" s="36">
        <v>0</v>
      </c>
      <c r="AO453" s="36">
        <v>0</v>
      </c>
      <c r="AP453" s="36">
        <v>0</v>
      </c>
      <c r="AQ453" s="36">
        <v>0</v>
      </c>
      <c r="AR453" s="50">
        <v>0</v>
      </c>
      <c r="AS453" s="36">
        <v>0</v>
      </c>
      <c r="AT453" s="36">
        <v>0</v>
      </c>
      <c r="AU453" s="36">
        <v>0</v>
      </c>
      <c r="AV453" s="36">
        <v>0</v>
      </c>
      <c r="AW453">
        <v>0</v>
      </c>
      <c r="AX453">
        <v>0</v>
      </c>
    </row>
    <row r="454" spans="1:50" x14ac:dyDescent="0.25">
      <c r="A454" s="36"/>
      <c r="B454" t="s">
        <v>119</v>
      </c>
      <c r="C454" s="36" t="str">
        <f>'Status Thresholds'!B445</f>
        <v>Kirin</v>
      </c>
      <c r="E454" s="36" t="str">
        <f t="shared" ref="E454:E517" si="17">C454&amp;D454</f>
        <v>Kirin</v>
      </c>
      <c r="F454" s="36" t="str">
        <f>IFERROR(VLOOKUP($E454,'Status Thresholds'!$E:$AS,1,FALSE),"")</f>
        <v/>
      </c>
      <c r="G454" t="s">
        <v>11</v>
      </c>
      <c r="H454" s="55" t="str">
        <f t="shared" ref="H454:H517" si="18">E454&amp;G454</f>
        <v>KirinCrag 1</v>
      </c>
      <c r="I454" s="50">
        <v>0</v>
      </c>
      <c r="J454" s="36">
        <v>8</v>
      </c>
      <c r="K454" s="36">
        <v>8</v>
      </c>
      <c r="L454" s="36">
        <v>8</v>
      </c>
      <c r="M454" s="36">
        <v>0</v>
      </c>
      <c r="N454" s="50">
        <v>0</v>
      </c>
      <c r="O454" s="36">
        <v>0</v>
      </c>
      <c r="P454" s="36">
        <v>0</v>
      </c>
      <c r="Q454" s="36">
        <v>0</v>
      </c>
      <c r="R454" s="36">
        <v>0</v>
      </c>
      <c r="S454" s="50">
        <v>0</v>
      </c>
      <c r="T454" s="36">
        <v>0</v>
      </c>
      <c r="U454" s="36">
        <v>0</v>
      </c>
      <c r="V454" s="36">
        <v>0</v>
      </c>
      <c r="W454" s="36">
        <v>0</v>
      </c>
      <c r="X454" s="50">
        <v>0</v>
      </c>
      <c r="Y454" s="36">
        <v>0</v>
      </c>
      <c r="Z454" s="36">
        <v>0</v>
      </c>
      <c r="AA454" s="36">
        <v>0</v>
      </c>
      <c r="AB454" s="36">
        <v>0</v>
      </c>
      <c r="AC454" s="50">
        <v>1</v>
      </c>
      <c r="AD454" s="36">
        <v>6</v>
      </c>
      <c r="AE454" s="36">
        <v>7</v>
      </c>
      <c r="AF454" s="36">
        <v>8</v>
      </c>
      <c r="AG454" s="36">
        <v>0</v>
      </c>
      <c r="AH454" s="50">
        <v>0</v>
      </c>
      <c r="AI454" s="36">
        <v>0</v>
      </c>
      <c r="AJ454" s="36">
        <v>0</v>
      </c>
      <c r="AK454" s="36">
        <v>0</v>
      </c>
      <c r="AL454" s="36">
        <v>0</v>
      </c>
      <c r="AM454" s="50">
        <v>0</v>
      </c>
      <c r="AN454" s="36">
        <v>0</v>
      </c>
      <c r="AO454" s="36">
        <v>0</v>
      </c>
      <c r="AP454" s="36">
        <v>0</v>
      </c>
      <c r="AQ454" s="36">
        <v>0</v>
      </c>
      <c r="AR454" s="50">
        <v>0</v>
      </c>
      <c r="AS454" s="36">
        <v>0</v>
      </c>
      <c r="AT454" s="36">
        <v>0</v>
      </c>
      <c r="AU454" s="36">
        <v>0</v>
      </c>
      <c r="AV454" s="36">
        <v>1</v>
      </c>
      <c r="AW454">
        <v>0</v>
      </c>
      <c r="AX454">
        <v>0</v>
      </c>
    </row>
    <row r="455" spans="1:50" x14ac:dyDescent="0.25">
      <c r="A455" s="36"/>
      <c r="B455" t="s">
        <v>121</v>
      </c>
      <c r="C455" s="36" t="str">
        <f>'Status Thresholds'!B446</f>
        <v>Kushala Dora</v>
      </c>
      <c r="D455" t="s">
        <v>14</v>
      </c>
      <c r="E455" s="36" t="str">
        <f t="shared" si="17"/>
        <v>Kushala DoraKO</v>
      </c>
      <c r="F455" s="36" t="str">
        <f>IFERROR(VLOOKUP($E455,'Status Thresholds'!$E:$AS,1,FALSE),"")</f>
        <v>Kushala DoraKO</v>
      </c>
      <c r="H455" s="55" t="str">
        <f t="shared" si="18"/>
        <v>Kushala DoraKO</v>
      </c>
      <c r="I455" s="50">
        <f>VLOOKUP($F455,'Status Thresholds'!$E:$AS,2,FALSE)</f>
        <v>210</v>
      </c>
      <c r="J455" s="36">
        <f>VLOOKUP($F455,'Status Thresholds'!$E:$AS,3,FALSE)</f>
        <v>315</v>
      </c>
      <c r="K455" s="36">
        <f>VLOOKUP($F455,'Status Thresholds'!$E:$AS,4,FALSE)</f>
        <v>420</v>
      </c>
      <c r="L455" s="36">
        <f>VLOOKUP($F455,'Status Thresholds'!$E:$AS,5,FALSE)</f>
        <v>525</v>
      </c>
      <c r="M455" s="36">
        <f>VLOOKUP($F455,'Status Thresholds'!$E:$AS,6,FALSE)</f>
        <v>0</v>
      </c>
      <c r="N455" s="50">
        <f>VLOOKUP($F455,'Status Thresholds'!$E:$AS,7,FALSE)</f>
        <v>0</v>
      </c>
      <c r="O455" s="36">
        <f>VLOOKUP($F455,'Status Thresholds'!$E:$AS,8,FALSE)</f>
        <v>0</v>
      </c>
      <c r="P455" s="36">
        <f>VLOOKUP($F455,'Status Thresholds'!$E:$AS,9,FALSE)</f>
        <v>0</v>
      </c>
      <c r="Q455" s="36">
        <f>VLOOKUP($F455,'Status Thresholds'!$E:$AS,10,FALSE)</f>
        <v>0</v>
      </c>
      <c r="R455" s="36">
        <f>VLOOKUP($F455,'Status Thresholds'!$E:$AS,11,FALSE)</f>
        <v>0</v>
      </c>
      <c r="S455" s="50">
        <f>VLOOKUP($F455,'Status Thresholds'!$E:$AS,12,FALSE)</f>
        <v>0</v>
      </c>
      <c r="T455" s="36">
        <f>VLOOKUP($F455,'Status Thresholds'!$E:$AS,13,FALSE)</f>
        <v>0</v>
      </c>
      <c r="U455" s="36">
        <f>VLOOKUP($F455,'Status Thresholds'!$E:$AS,14,FALSE)</f>
        <v>0</v>
      </c>
      <c r="V455" s="36">
        <f>VLOOKUP($F455,'Status Thresholds'!$E:$AS,15,FALSE)</f>
        <v>0</v>
      </c>
      <c r="W455" s="36">
        <f>VLOOKUP($F455,'Status Thresholds'!$E:$AS,16,FALSE)</f>
        <v>0</v>
      </c>
      <c r="X455" s="50">
        <f>VLOOKUP($F455,'Status Thresholds'!$E:$AS,17,FALSE)</f>
        <v>0</v>
      </c>
      <c r="Y455" s="36">
        <f>VLOOKUP($F455,'Status Thresholds'!$E:$AS,18,FALSE)</f>
        <v>0</v>
      </c>
      <c r="Z455" s="36">
        <f>VLOOKUP($F455,'Status Thresholds'!$E:$AS,19,FALSE)</f>
        <v>0</v>
      </c>
      <c r="AA455" s="36">
        <f>VLOOKUP($F455,'Status Thresholds'!$E:$AS,20,FALSE)</f>
        <v>0</v>
      </c>
      <c r="AB455" s="36">
        <f>VLOOKUP($F455,'Status Thresholds'!$E:$AS,21,FALSE)</f>
        <v>0</v>
      </c>
      <c r="AC455" s="50">
        <f>VLOOKUP($F455,'Status Thresholds'!$E:$AS,22,FALSE)</f>
        <v>240</v>
      </c>
      <c r="AD455" s="36">
        <f>VLOOKUP($F455,'Status Thresholds'!$E:$AS,23,FALSE)</f>
        <v>360</v>
      </c>
      <c r="AE455" s="36">
        <f>VLOOKUP($F455,'Status Thresholds'!$E:$AS,24,FALSE)</f>
        <v>480</v>
      </c>
      <c r="AF455" s="36">
        <f>VLOOKUP($F455,'Status Thresholds'!$E:$AS,25,FALSE)</f>
        <v>600</v>
      </c>
      <c r="AG455" s="36">
        <f>VLOOKUP($F455,'Status Thresholds'!$E:$AS,26,FALSE)</f>
        <v>0</v>
      </c>
      <c r="AH455" s="50">
        <f>VLOOKUP($F455,'Status Thresholds'!$E:$AS,27,FALSE)</f>
        <v>0</v>
      </c>
      <c r="AI455" s="36">
        <f>VLOOKUP($F455,'Status Thresholds'!$E:$AS,28,FALSE)</f>
        <v>0</v>
      </c>
      <c r="AJ455" s="36">
        <f>VLOOKUP($F455,'Status Thresholds'!$E:$AS,29,FALSE)</f>
        <v>0</v>
      </c>
      <c r="AK455" s="36">
        <f>VLOOKUP($F455,'Status Thresholds'!$E:$AS,30,FALSE)</f>
        <v>0</v>
      </c>
      <c r="AL455" s="36">
        <f>VLOOKUP($F455,'Status Thresholds'!$E:$AS,31,FALSE)</f>
        <v>0</v>
      </c>
      <c r="AM455" s="50">
        <f>VLOOKUP($F455,'Status Thresholds'!$E:$AS,32,FALSE)</f>
        <v>0</v>
      </c>
      <c r="AN455" s="36">
        <f>VLOOKUP($F455,'Status Thresholds'!$E:$AS,33,FALSE)</f>
        <v>0</v>
      </c>
      <c r="AO455" s="36">
        <f>VLOOKUP($F455,'Status Thresholds'!$E:$AS,34,FALSE)</f>
        <v>0</v>
      </c>
      <c r="AP455" s="36">
        <f>VLOOKUP($F455,'Status Thresholds'!$E:$AS,35,FALSE)</f>
        <v>0</v>
      </c>
      <c r="AQ455" s="36">
        <f>VLOOKUP($F455,'Status Thresholds'!$E:$AS,36,FALSE)</f>
        <v>0</v>
      </c>
      <c r="AR455" s="50">
        <f>VLOOKUP($F455,'Status Thresholds'!$E:$AS,37,FALSE)</f>
        <v>0</v>
      </c>
      <c r="AS455" s="36">
        <f>VLOOKUP($F455,'Status Thresholds'!$E:$AS,38,FALSE)</f>
        <v>0</v>
      </c>
      <c r="AT455" s="36">
        <f>VLOOKUP($F455,'Status Thresholds'!$E:$AS,39,FALSE)</f>
        <v>0</v>
      </c>
      <c r="AU455" s="36">
        <f>VLOOKUP($F455,'Status Thresholds'!$E:$AS,40,FALSE)</f>
        <v>0</v>
      </c>
      <c r="AV455" s="36">
        <f>VLOOKUP($F455,'Status Thresholds'!$E:$AS,41,FALSE)</f>
        <v>10</v>
      </c>
      <c r="AW455">
        <v>0</v>
      </c>
      <c r="AX455">
        <v>0</v>
      </c>
    </row>
    <row r="456" spans="1:50" x14ac:dyDescent="0.25">
      <c r="A456" s="36"/>
      <c r="B456" t="s">
        <v>120</v>
      </c>
      <c r="C456" s="36" t="str">
        <f>'Status Thresholds'!B447</f>
        <v>Kushala Dora</v>
      </c>
      <c r="E456" s="36" t="str">
        <f t="shared" si="17"/>
        <v>Kushala Dora</v>
      </c>
      <c r="F456" s="36" t="str">
        <f>IFERROR(VLOOKUP($E456,'Status Thresholds'!$E:$AS,1,FALSE),"")</f>
        <v/>
      </c>
      <c r="G456" t="s">
        <v>21</v>
      </c>
      <c r="H456" s="55" t="str">
        <f t="shared" si="18"/>
        <v>Kushala DoraTriblast</v>
      </c>
      <c r="I456" s="50">
        <v>2</v>
      </c>
      <c r="J456" s="36">
        <v>1</v>
      </c>
      <c r="K456" s="36">
        <v>2</v>
      </c>
      <c r="L456" s="36">
        <v>1</v>
      </c>
      <c r="M456" s="36">
        <v>0</v>
      </c>
      <c r="N456" s="50">
        <v>0</v>
      </c>
      <c r="O456" s="36">
        <v>0</v>
      </c>
      <c r="P456" s="36">
        <v>0</v>
      </c>
      <c r="Q456" s="36">
        <v>0</v>
      </c>
      <c r="R456" s="36">
        <v>0</v>
      </c>
      <c r="S456" s="50">
        <v>0</v>
      </c>
      <c r="T456" s="36">
        <v>0</v>
      </c>
      <c r="U456" s="36">
        <v>0</v>
      </c>
      <c r="V456" s="36">
        <v>0</v>
      </c>
      <c r="W456" s="36">
        <v>0</v>
      </c>
      <c r="X456" s="50">
        <v>0</v>
      </c>
      <c r="Y456" s="36">
        <v>0</v>
      </c>
      <c r="Z456" s="36">
        <v>0</v>
      </c>
      <c r="AA456" s="36">
        <v>0</v>
      </c>
      <c r="AB456" s="36">
        <v>0</v>
      </c>
      <c r="AC456" s="50">
        <v>2</v>
      </c>
      <c r="AD456" s="36">
        <v>2</v>
      </c>
      <c r="AE456" s="36">
        <v>2</v>
      </c>
      <c r="AF456" s="36">
        <v>2</v>
      </c>
      <c r="AG456" s="36">
        <v>0</v>
      </c>
      <c r="AH456" s="50">
        <v>0</v>
      </c>
      <c r="AI456" s="36">
        <v>0</v>
      </c>
      <c r="AJ456" s="36">
        <v>0</v>
      </c>
      <c r="AK456" s="36">
        <v>0</v>
      </c>
      <c r="AL456" s="36">
        <v>0</v>
      </c>
      <c r="AM456" s="50">
        <v>0</v>
      </c>
      <c r="AN456" s="36">
        <v>0</v>
      </c>
      <c r="AO456" s="36">
        <v>0</v>
      </c>
      <c r="AP456" s="36">
        <v>0</v>
      </c>
      <c r="AQ456" s="36">
        <v>0</v>
      </c>
      <c r="AR456" s="50">
        <v>0</v>
      </c>
      <c r="AS456" s="36">
        <v>0</v>
      </c>
      <c r="AT456" s="36">
        <v>0</v>
      </c>
      <c r="AU456" s="36">
        <v>0</v>
      </c>
      <c r="AV456" s="36">
        <v>0</v>
      </c>
      <c r="AW456">
        <v>0</v>
      </c>
    </row>
    <row r="457" spans="1:50" x14ac:dyDescent="0.25">
      <c r="A457" s="36"/>
      <c r="B457" t="s">
        <v>120</v>
      </c>
      <c r="C457" s="36" t="str">
        <f>'Status Thresholds'!B448</f>
        <v>Kushala Dora</v>
      </c>
      <c r="E457" s="36" t="str">
        <f t="shared" si="17"/>
        <v>Kushala Dora</v>
      </c>
      <c r="F457" s="36" t="str">
        <f>IFERROR(VLOOKUP($E457,'Status Thresholds'!$E:$AS,1,FALSE),"")</f>
        <v/>
      </c>
      <c r="G457" t="s">
        <v>13</v>
      </c>
      <c r="H457" s="55" t="str">
        <f t="shared" si="18"/>
        <v>Kushala DoraCrag 3</v>
      </c>
      <c r="I457" s="50">
        <v>0</v>
      </c>
      <c r="J457" s="36">
        <v>1</v>
      </c>
      <c r="K457" s="36">
        <v>4</v>
      </c>
      <c r="L457" s="36">
        <v>4</v>
      </c>
      <c r="M457" s="36">
        <v>0</v>
      </c>
      <c r="N457" s="50">
        <v>0</v>
      </c>
      <c r="O457" s="36">
        <v>0</v>
      </c>
      <c r="P457" s="36">
        <v>0</v>
      </c>
      <c r="Q457" s="36">
        <v>0</v>
      </c>
      <c r="R457" s="36">
        <v>0</v>
      </c>
      <c r="S457" s="50">
        <v>0</v>
      </c>
      <c r="T457" s="36">
        <v>0</v>
      </c>
      <c r="U457" s="36">
        <v>0</v>
      </c>
      <c r="V457" s="36">
        <v>0</v>
      </c>
      <c r="W457" s="36">
        <v>0</v>
      </c>
      <c r="X457" s="50">
        <v>0</v>
      </c>
      <c r="Y457" s="36">
        <v>0</v>
      </c>
      <c r="Z457" s="36">
        <v>0</v>
      </c>
      <c r="AA457" s="36">
        <v>0</v>
      </c>
      <c r="AB457" s="36">
        <v>0</v>
      </c>
      <c r="AC457" s="50">
        <v>1</v>
      </c>
      <c r="AD457" s="36">
        <v>4</v>
      </c>
      <c r="AE457" s="36">
        <v>4</v>
      </c>
      <c r="AF457" s="36">
        <v>4</v>
      </c>
      <c r="AG457" s="36">
        <v>0</v>
      </c>
      <c r="AH457" s="50">
        <v>0</v>
      </c>
      <c r="AI457" s="36">
        <v>0</v>
      </c>
      <c r="AJ457" s="36">
        <v>0</v>
      </c>
      <c r="AK457" s="36">
        <v>0</v>
      </c>
      <c r="AL457" s="36">
        <v>0</v>
      </c>
      <c r="AM457" s="50">
        <v>0</v>
      </c>
      <c r="AN457" s="36">
        <v>0</v>
      </c>
      <c r="AO457" s="36">
        <v>0</v>
      </c>
      <c r="AP457" s="36">
        <v>0</v>
      </c>
      <c r="AQ457" s="36">
        <v>0</v>
      </c>
      <c r="AR457" s="50">
        <v>0</v>
      </c>
      <c r="AS457" s="36">
        <v>0</v>
      </c>
      <c r="AT457" s="36">
        <v>0</v>
      </c>
      <c r="AU457" s="36">
        <v>0</v>
      </c>
      <c r="AV457" s="36">
        <v>0</v>
      </c>
      <c r="AW457">
        <v>0</v>
      </c>
      <c r="AX457">
        <v>0</v>
      </c>
    </row>
    <row r="458" spans="1:50" x14ac:dyDescent="0.25">
      <c r="A458" s="36"/>
      <c r="B458" t="s">
        <v>120</v>
      </c>
      <c r="C458" s="36" t="str">
        <f>'Status Thresholds'!B449</f>
        <v>Kushala Dora</v>
      </c>
      <c r="E458" s="36" t="str">
        <f t="shared" si="17"/>
        <v>Kushala Dora</v>
      </c>
      <c r="F458" s="36" t="str">
        <f>IFERROR(VLOOKUP($E458,'Status Thresholds'!$E:$AS,1,FALSE),"")</f>
        <v/>
      </c>
      <c r="G458" t="s">
        <v>12</v>
      </c>
      <c r="H458" s="55" t="str">
        <f t="shared" si="18"/>
        <v>Kushala DoraCrag 2</v>
      </c>
      <c r="I458" s="50">
        <v>2</v>
      </c>
      <c r="J458" s="36">
        <v>0</v>
      </c>
      <c r="K458" s="36">
        <v>2</v>
      </c>
      <c r="L458" s="36">
        <v>3</v>
      </c>
      <c r="M458" s="36">
        <v>0</v>
      </c>
      <c r="N458" s="50">
        <v>0</v>
      </c>
      <c r="O458" s="36">
        <v>0</v>
      </c>
      <c r="P458" s="36">
        <v>0</v>
      </c>
      <c r="Q458" s="36">
        <v>0</v>
      </c>
      <c r="R458" s="36">
        <v>0</v>
      </c>
      <c r="S458" s="50">
        <v>0</v>
      </c>
      <c r="T458" s="36">
        <v>0</v>
      </c>
      <c r="U458" s="36">
        <v>0</v>
      </c>
      <c r="V458" s="36">
        <v>0</v>
      </c>
      <c r="W458" s="36">
        <v>0</v>
      </c>
      <c r="X458" s="50">
        <v>0</v>
      </c>
      <c r="Y458" s="36">
        <v>0</v>
      </c>
      <c r="Z458" s="36">
        <v>0</v>
      </c>
      <c r="AA458" s="36">
        <v>0</v>
      </c>
      <c r="AB458" s="36">
        <v>0</v>
      </c>
      <c r="AC458" s="50">
        <v>0</v>
      </c>
      <c r="AD458" s="36">
        <v>0</v>
      </c>
      <c r="AE458" s="36">
        <v>4</v>
      </c>
      <c r="AF458" s="36">
        <v>3</v>
      </c>
      <c r="AG458" s="36">
        <v>0</v>
      </c>
      <c r="AH458" s="50">
        <v>0</v>
      </c>
      <c r="AI458" s="36">
        <v>0</v>
      </c>
      <c r="AJ458" s="36">
        <v>0</v>
      </c>
      <c r="AK458" s="36">
        <v>0</v>
      </c>
      <c r="AL458" s="36">
        <v>0</v>
      </c>
      <c r="AM458" s="50">
        <v>0</v>
      </c>
      <c r="AN458" s="36">
        <v>0</v>
      </c>
      <c r="AO458" s="36">
        <v>0</v>
      </c>
      <c r="AP458" s="36">
        <v>0</v>
      </c>
      <c r="AQ458" s="36">
        <v>0</v>
      </c>
      <c r="AR458" s="50">
        <v>0</v>
      </c>
      <c r="AS458" s="36">
        <v>0</v>
      </c>
      <c r="AT458" s="36">
        <v>0</v>
      </c>
      <c r="AU458" s="36">
        <v>0</v>
      </c>
      <c r="AV458" s="36">
        <v>0</v>
      </c>
      <c r="AW458">
        <v>0</v>
      </c>
      <c r="AX458">
        <v>0</v>
      </c>
    </row>
    <row r="459" spans="1:50" x14ac:dyDescent="0.25">
      <c r="A459" s="36"/>
      <c r="B459" t="s">
        <v>120</v>
      </c>
      <c r="C459" s="36" t="str">
        <f>'Status Thresholds'!B450</f>
        <v>Kushala Dora</v>
      </c>
      <c r="E459" s="36" t="str">
        <f t="shared" si="17"/>
        <v>Kushala Dora</v>
      </c>
      <c r="F459" s="36" t="str">
        <f>IFERROR(VLOOKUP($E459,'Status Thresholds'!$E:$AS,1,FALSE),"")</f>
        <v/>
      </c>
      <c r="G459" t="s">
        <v>11</v>
      </c>
      <c r="H459" s="55" t="str">
        <f t="shared" si="18"/>
        <v>Kushala DoraCrag 1</v>
      </c>
      <c r="I459" s="50">
        <v>0</v>
      </c>
      <c r="J459" s="36">
        <v>8</v>
      </c>
      <c r="K459" s="36">
        <v>2</v>
      </c>
      <c r="L459" s="36">
        <v>8</v>
      </c>
      <c r="M459" s="36">
        <v>0</v>
      </c>
      <c r="N459" s="50">
        <v>0</v>
      </c>
      <c r="O459" s="36">
        <v>0</v>
      </c>
      <c r="P459" s="36">
        <v>0</v>
      </c>
      <c r="Q459" s="36">
        <v>0</v>
      </c>
      <c r="R459" s="36">
        <v>0</v>
      </c>
      <c r="S459" s="50">
        <v>0</v>
      </c>
      <c r="T459" s="36">
        <v>0</v>
      </c>
      <c r="U459" s="36">
        <v>0</v>
      </c>
      <c r="V459" s="36">
        <v>0</v>
      </c>
      <c r="W459" s="36">
        <v>0</v>
      </c>
      <c r="X459" s="50">
        <v>0</v>
      </c>
      <c r="Y459" s="36">
        <v>0</v>
      </c>
      <c r="Z459" s="36">
        <v>0</v>
      </c>
      <c r="AA459" s="36">
        <v>0</v>
      </c>
      <c r="AB459" s="36">
        <v>0</v>
      </c>
      <c r="AC459" s="50">
        <v>2</v>
      </c>
      <c r="AD459" s="36">
        <v>2</v>
      </c>
      <c r="AE459" s="36">
        <v>2</v>
      </c>
      <c r="AF459" s="36">
        <v>8</v>
      </c>
      <c r="AG459" s="36">
        <v>0</v>
      </c>
      <c r="AH459" s="50">
        <v>0</v>
      </c>
      <c r="AI459" s="36">
        <v>0</v>
      </c>
      <c r="AJ459" s="36">
        <v>0</v>
      </c>
      <c r="AK459" s="36">
        <v>0</v>
      </c>
      <c r="AL459" s="36">
        <v>0</v>
      </c>
      <c r="AM459" s="50">
        <v>0</v>
      </c>
      <c r="AN459" s="36">
        <v>0</v>
      </c>
      <c r="AO459" s="36">
        <v>0</v>
      </c>
      <c r="AP459" s="36">
        <v>0</v>
      </c>
      <c r="AQ459" s="36">
        <v>0</v>
      </c>
      <c r="AR459" s="50">
        <v>0</v>
      </c>
      <c r="AS459" s="36">
        <v>0</v>
      </c>
      <c r="AT459" s="36">
        <v>0</v>
      </c>
      <c r="AU459" s="36">
        <v>0</v>
      </c>
      <c r="AV459" s="36">
        <v>1</v>
      </c>
      <c r="AW459">
        <v>0</v>
      </c>
      <c r="AX459">
        <v>0</v>
      </c>
    </row>
    <row r="460" spans="1:50" x14ac:dyDescent="0.25">
      <c r="A460" s="36"/>
      <c r="B460" t="s">
        <v>119</v>
      </c>
      <c r="C460" s="36" t="str">
        <f>'Status Thresholds'!B451</f>
        <v>Kushala Dora</v>
      </c>
      <c r="E460" s="36" t="str">
        <f t="shared" si="17"/>
        <v>Kushala Dora</v>
      </c>
      <c r="F460" s="36" t="str">
        <f>IFERROR(VLOOKUP($E460,'Status Thresholds'!$E:$AS,1,FALSE),"")</f>
        <v/>
      </c>
      <c r="G460" t="s">
        <v>21</v>
      </c>
      <c r="H460" s="55" t="str">
        <f t="shared" si="18"/>
        <v>Kushala DoraTriblast</v>
      </c>
      <c r="I460" s="50">
        <v>0</v>
      </c>
      <c r="J460" s="36">
        <v>2</v>
      </c>
      <c r="K460" s="36">
        <v>0</v>
      </c>
      <c r="L460" s="36">
        <v>2</v>
      </c>
      <c r="M460" s="36">
        <v>0</v>
      </c>
      <c r="N460" s="50">
        <v>0</v>
      </c>
      <c r="O460" s="36">
        <v>0</v>
      </c>
      <c r="P460" s="36">
        <v>0</v>
      </c>
      <c r="Q460" s="36">
        <v>0</v>
      </c>
      <c r="R460" s="36">
        <v>0</v>
      </c>
      <c r="S460" s="50">
        <v>0</v>
      </c>
      <c r="T460" s="36">
        <v>0</v>
      </c>
      <c r="U460" s="36">
        <v>0</v>
      </c>
      <c r="V460" s="36">
        <v>0</v>
      </c>
      <c r="W460" s="36">
        <v>0</v>
      </c>
      <c r="X460" s="50">
        <v>0</v>
      </c>
      <c r="Y460" s="36">
        <v>0</v>
      </c>
      <c r="Z460" s="36">
        <v>0</v>
      </c>
      <c r="AA460" s="36">
        <v>0</v>
      </c>
      <c r="AB460" s="36">
        <v>0</v>
      </c>
      <c r="AC460" s="50">
        <v>1</v>
      </c>
      <c r="AD460" s="36">
        <v>0</v>
      </c>
      <c r="AE460" s="36">
        <v>0</v>
      </c>
      <c r="AF460" s="36">
        <v>2</v>
      </c>
      <c r="AG460" s="36">
        <v>0</v>
      </c>
      <c r="AH460" s="50">
        <v>0</v>
      </c>
      <c r="AI460" s="36">
        <v>0</v>
      </c>
      <c r="AJ460" s="36">
        <v>0</v>
      </c>
      <c r="AK460" s="36">
        <v>0</v>
      </c>
      <c r="AL460" s="36">
        <v>0</v>
      </c>
      <c r="AM460" s="50">
        <v>0</v>
      </c>
      <c r="AN460" s="36">
        <v>0</v>
      </c>
      <c r="AO460" s="36">
        <v>0</v>
      </c>
      <c r="AP460" s="36">
        <v>0</v>
      </c>
      <c r="AQ460" s="36">
        <v>0</v>
      </c>
      <c r="AR460" s="50">
        <v>0</v>
      </c>
      <c r="AS460" s="36">
        <v>0</v>
      </c>
      <c r="AT460" s="36">
        <v>0</v>
      </c>
      <c r="AU460" s="36">
        <v>0</v>
      </c>
      <c r="AV460" s="36">
        <v>0</v>
      </c>
      <c r="AW460">
        <v>0</v>
      </c>
      <c r="AX460">
        <v>0</v>
      </c>
    </row>
    <row r="461" spans="1:50" x14ac:dyDescent="0.25">
      <c r="A461" s="36"/>
      <c r="B461" t="s">
        <v>119</v>
      </c>
      <c r="C461" s="36" t="str">
        <f>'Status Thresholds'!B452</f>
        <v>Kushala Dora</v>
      </c>
      <c r="E461" s="36" t="str">
        <f t="shared" si="17"/>
        <v>Kushala Dora</v>
      </c>
      <c r="F461" s="36" t="str">
        <f>IFERROR(VLOOKUP($E461,'Status Thresholds'!$E:$AS,1,FALSE),"")</f>
        <v/>
      </c>
      <c r="G461" t="s">
        <v>13</v>
      </c>
      <c r="H461" s="55" t="str">
        <f t="shared" si="18"/>
        <v>Kushala DoraCrag 3</v>
      </c>
      <c r="I461" s="50">
        <v>1</v>
      </c>
      <c r="J461" s="36">
        <v>0</v>
      </c>
      <c r="K461" s="36">
        <v>3</v>
      </c>
      <c r="L461" s="36">
        <v>4</v>
      </c>
      <c r="M461" s="36">
        <v>0</v>
      </c>
      <c r="N461" s="50">
        <v>0</v>
      </c>
      <c r="O461" s="36">
        <v>0</v>
      </c>
      <c r="P461" s="36">
        <v>0</v>
      </c>
      <c r="Q461" s="36">
        <v>0</v>
      </c>
      <c r="R461" s="36">
        <v>0</v>
      </c>
      <c r="S461" s="50">
        <v>0</v>
      </c>
      <c r="T461" s="36">
        <v>0</v>
      </c>
      <c r="U461" s="36">
        <v>0</v>
      </c>
      <c r="V461" s="36">
        <v>0</v>
      </c>
      <c r="W461" s="36">
        <v>0</v>
      </c>
      <c r="X461" s="50">
        <v>0</v>
      </c>
      <c r="Y461" s="36">
        <v>0</v>
      </c>
      <c r="Z461" s="36">
        <v>0</v>
      </c>
      <c r="AA461" s="36">
        <v>0</v>
      </c>
      <c r="AB461" s="36">
        <v>0</v>
      </c>
      <c r="AC461" s="50">
        <v>0</v>
      </c>
      <c r="AD461" s="36">
        <v>3</v>
      </c>
      <c r="AE461" s="36">
        <v>3</v>
      </c>
      <c r="AF461" s="36">
        <v>4</v>
      </c>
      <c r="AG461" s="36">
        <v>0</v>
      </c>
      <c r="AH461" s="50">
        <v>0</v>
      </c>
      <c r="AI461" s="36">
        <v>0</v>
      </c>
      <c r="AJ461" s="36">
        <v>0</v>
      </c>
      <c r="AK461" s="36">
        <v>0</v>
      </c>
      <c r="AL461" s="36">
        <v>0</v>
      </c>
      <c r="AM461" s="50">
        <v>0</v>
      </c>
      <c r="AN461" s="36">
        <v>0</v>
      </c>
      <c r="AO461" s="36">
        <v>0</v>
      </c>
      <c r="AP461" s="36">
        <v>0</v>
      </c>
      <c r="AQ461" s="36">
        <v>0</v>
      </c>
      <c r="AR461" s="50">
        <v>0</v>
      </c>
      <c r="AS461" s="36">
        <v>0</v>
      </c>
      <c r="AT461" s="36">
        <v>0</v>
      </c>
      <c r="AU461" s="36">
        <v>0</v>
      </c>
      <c r="AV461" s="36">
        <v>0</v>
      </c>
      <c r="AW461">
        <v>0</v>
      </c>
      <c r="AX461">
        <v>0</v>
      </c>
    </row>
    <row r="462" spans="1:50" x14ac:dyDescent="0.25">
      <c r="A462" s="36"/>
      <c r="B462" t="s">
        <v>119</v>
      </c>
      <c r="C462" s="36" t="str">
        <f>'Status Thresholds'!B453</f>
        <v>Kushala Dora</v>
      </c>
      <c r="E462" s="36" t="str">
        <f t="shared" si="17"/>
        <v>Kushala Dora</v>
      </c>
      <c r="F462" s="36" t="str">
        <f>IFERROR(VLOOKUP($E462,'Status Thresholds'!$E:$AS,1,FALSE),"")</f>
        <v/>
      </c>
      <c r="G462" t="s">
        <v>12</v>
      </c>
      <c r="H462" s="55" t="str">
        <f t="shared" si="18"/>
        <v>Kushala DoraCrag 2</v>
      </c>
      <c r="I462" s="50">
        <v>1</v>
      </c>
      <c r="J462" s="36">
        <v>3</v>
      </c>
      <c r="K462" s="36">
        <v>3</v>
      </c>
      <c r="L462" s="36">
        <v>0</v>
      </c>
      <c r="M462" s="36">
        <v>0</v>
      </c>
      <c r="N462" s="50">
        <v>0</v>
      </c>
      <c r="O462" s="36">
        <v>0</v>
      </c>
      <c r="P462" s="36">
        <v>0</v>
      </c>
      <c r="Q462" s="36">
        <v>0</v>
      </c>
      <c r="R462" s="36">
        <v>0</v>
      </c>
      <c r="S462" s="50">
        <v>0</v>
      </c>
      <c r="T462" s="36">
        <v>0</v>
      </c>
      <c r="U462" s="36">
        <v>0</v>
      </c>
      <c r="V462" s="36">
        <v>0</v>
      </c>
      <c r="W462" s="36">
        <v>0</v>
      </c>
      <c r="X462" s="50">
        <v>0</v>
      </c>
      <c r="Y462" s="36">
        <v>0</v>
      </c>
      <c r="Z462" s="36">
        <v>0</v>
      </c>
      <c r="AA462" s="36">
        <v>0</v>
      </c>
      <c r="AB462" s="36">
        <v>0</v>
      </c>
      <c r="AC462" s="50">
        <v>4</v>
      </c>
      <c r="AD462" s="36">
        <v>2</v>
      </c>
      <c r="AE462" s="36">
        <v>4</v>
      </c>
      <c r="AF462" s="36">
        <v>4</v>
      </c>
      <c r="AG462" s="36">
        <v>0</v>
      </c>
      <c r="AH462" s="50">
        <v>0</v>
      </c>
      <c r="AI462" s="36">
        <v>0</v>
      </c>
      <c r="AJ462" s="36">
        <v>0</v>
      </c>
      <c r="AK462" s="36">
        <v>0</v>
      </c>
      <c r="AL462" s="36">
        <v>0</v>
      </c>
      <c r="AM462" s="50">
        <v>0</v>
      </c>
      <c r="AN462" s="36">
        <v>0</v>
      </c>
      <c r="AO462" s="36">
        <v>0</v>
      </c>
      <c r="AP462" s="36">
        <v>0</v>
      </c>
      <c r="AQ462" s="36">
        <v>0</v>
      </c>
      <c r="AR462" s="50">
        <v>0</v>
      </c>
      <c r="AS462" s="36">
        <v>0</v>
      </c>
      <c r="AT462" s="36">
        <v>0</v>
      </c>
      <c r="AU462" s="36">
        <v>0</v>
      </c>
      <c r="AV462" s="36">
        <v>0</v>
      </c>
      <c r="AW462">
        <v>0</v>
      </c>
      <c r="AX462">
        <v>0</v>
      </c>
    </row>
    <row r="463" spans="1:50" x14ac:dyDescent="0.25">
      <c r="A463" s="36"/>
      <c r="B463" t="s">
        <v>119</v>
      </c>
      <c r="C463" s="36" t="str">
        <f>'Status Thresholds'!B454</f>
        <v>Kushala Dora</v>
      </c>
      <c r="E463" s="36" t="str">
        <f t="shared" si="17"/>
        <v>Kushala Dora</v>
      </c>
      <c r="F463" s="36" t="str">
        <f>IFERROR(VLOOKUP($E463,'Status Thresholds'!$E:$AS,1,FALSE),"")</f>
        <v/>
      </c>
      <c r="G463" t="s">
        <v>11</v>
      </c>
      <c r="H463" s="55" t="str">
        <f t="shared" si="18"/>
        <v>Kushala DoraCrag 1</v>
      </c>
      <c r="I463" s="50">
        <v>5</v>
      </c>
      <c r="J463" s="36">
        <v>2</v>
      </c>
      <c r="K463" s="36">
        <v>7</v>
      </c>
      <c r="L463" s="36">
        <v>7</v>
      </c>
      <c r="M463" s="36">
        <v>0</v>
      </c>
      <c r="N463" s="50">
        <v>0</v>
      </c>
      <c r="O463" s="36">
        <v>0</v>
      </c>
      <c r="P463" s="36">
        <v>0</v>
      </c>
      <c r="Q463" s="36">
        <v>0</v>
      </c>
      <c r="R463" s="36">
        <v>0</v>
      </c>
      <c r="S463" s="50">
        <v>0</v>
      </c>
      <c r="T463" s="36">
        <v>0</v>
      </c>
      <c r="U463" s="36">
        <v>0</v>
      </c>
      <c r="V463" s="36">
        <v>0</v>
      </c>
      <c r="W463" s="36">
        <v>0</v>
      </c>
      <c r="X463" s="50">
        <v>0</v>
      </c>
      <c r="Y463" s="36">
        <v>0</v>
      </c>
      <c r="Z463" s="36">
        <v>0</v>
      </c>
      <c r="AA463" s="36">
        <v>0</v>
      </c>
      <c r="AB463" s="36">
        <v>0</v>
      </c>
      <c r="AC463" s="50">
        <v>1</v>
      </c>
      <c r="AD463" s="36">
        <v>6</v>
      </c>
      <c r="AE463" s="36">
        <v>8</v>
      </c>
      <c r="AF463" s="36">
        <v>5</v>
      </c>
      <c r="AG463" s="36">
        <v>0</v>
      </c>
      <c r="AH463" s="50">
        <v>0</v>
      </c>
      <c r="AI463" s="36">
        <v>0</v>
      </c>
      <c r="AJ463" s="36">
        <v>0</v>
      </c>
      <c r="AK463" s="36">
        <v>0</v>
      </c>
      <c r="AL463" s="36">
        <v>0</v>
      </c>
      <c r="AM463" s="50">
        <v>0</v>
      </c>
      <c r="AN463" s="36">
        <v>0</v>
      </c>
      <c r="AO463" s="36">
        <v>0</v>
      </c>
      <c r="AP463" s="36">
        <v>0</v>
      </c>
      <c r="AQ463" s="36">
        <v>0</v>
      </c>
      <c r="AR463" s="50">
        <v>0</v>
      </c>
      <c r="AS463" s="36">
        <v>0</v>
      </c>
      <c r="AT463" s="36">
        <v>0</v>
      </c>
      <c r="AU463" s="36">
        <v>0</v>
      </c>
      <c r="AV463" s="36">
        <v>1</v>
      </c>
      <c r="AW463">
        <v>0</v>
      </c>
      <c r="AX463">
        <v>0</v>
      </c>
    </row>
    <row r="464" spans="1:50" x14ac:dyDescent="0.25">
      <c r="A464" s="36"/>
      <c r="B464" t="s">
        <v>121</v>
      </c>
      <c r="C464" s="36" t="str">
        <f>'Status Thresholds'!B455</f>
        <v>Lagiacrus</v>
      </c>
      <c r="D464" t="s">
        <v>14</v>
      </c>
      <c r="E464" s="36" t="str">
        <f t="shared" si="17"/>
        <v>LagiacrusKO</v>
      </c>
      <c r="F464" s="36" t="str">
        <f>IFERROR(VLOOKUP($E464,'Status Thresholds'!$E:$AS,1,FALSE),"")</f>
        <v>LagiacrusKO</v>
      </c>
      <c r="H464" s="55" t="str">
        <f t="shared" si="18"/>
        <v>LagiacrusKO</v>
      </c>
      <c r="I464" s="50">
        <f>VLOOKUP($F464,'Status Thresholds'!$E:$AS,2,FALSE)</f>
        <v>195</v>
      </c>
      <c r="J464" s="36">
        <f>VLOOKUP($F464,'Status Thresholds'!$E:$AS,3,FALSE)</f>
        <v>390</v>
      </c>
      <c r="K464" s="36">
        <f>VLOOKUP($F464,'Status Thresholds'!$E:$AS,4,FALSE)</f>
        <v>585</v>
      </c>
      <c r="L464" s="36">
        <f>VLOOKUP($F464,'Status Thresholds'!$E:$AS,5,FALSE)</f>
        <v>715</v>
      </c>
      <c r="M464" s="36">
        <f>VLOOKUP($F464,'Status Thresholds'!$E:$AS,6,FALSE)</f>
        <v>0</v>
      </c>
      <c r="N464" s="50">
        <f>VLOOKUP($F464,'Status Thresholds'!$E:$AS,7,FALSE)</f>
        <v>0</v>
      </c>
      <c r="O464" s="36">
        <f>VLOOKUP($F464,'Status Thresholds'!$E:$AS,8,FALSE)</f>
        <v>0</v>
      </c>
      <c r="P464" s="36">
        <f>VLOOKUP($F464,'Status Thresholds'!$E:$AS,9,FALSE)</f>
        <v>0</v>
      </c>
      <c r="Q464" s="36">
        <f>VLOOKUP($F464,'Status Thresholds'!$E:$AS,10,FALSE)</f>
        <v>0</v>
      </c>
      <c r="R464" s="36">
        <f>VLOOKUP($F464,'Status Thresholds'!$E:$AS,11,FALSE)</f>
        <v>0</v>
      </c>
      <c r="S464" s="50">
        <f>VLOOKUP($F464,'Status Thresholds'!$E:$AS,12,FALSE)</f>
        <v>210</v>
      </c>
      <c r="T464" s="36">
        <f>VLOOKUP($F464,'Status Thresholds'!$E:$AS,13,FALSE)</f>
        <v>420</v>
      </c>
      <c r="U464" s="36">
        <f>VLOOKUP($F464,'Status Thresholds'!$E:$AS,14,FALSE)</f>
        <v>630</v>
      </c>
      <c r="V464" s="36">
        <f>VLOOKUP($F464,'Status Thresholds'!$E:$AS,15,FALSE)</f>
        <v>840</v>
      </c>
      <c r="W464" s="36">
        <f>VLOOKUP($F464,'Status Thresholds'!$E:$AS,16,FALSE)</f>
        <v>0</v>
      </c>
      <c r="X464" s="50">
        <f>VLOOKUP($F464,'Status Thresholds'!$E:$AS,17,FALSE)</f>
        <v>0</v>
      </c>
      <c r="Y464" s="36">
        <f>VLOOKUP($F464,'Status Thresholds'!$E:$AS,18,FALSE)</f>
        <v>0</v>
      </c>
      <c r="Z464" s="36">
        <f>VLOOKUP($F464,'Status Thresholds'!$E:$AS,19,FALSE)</f>
        <v>0</v>
      </c>
      <c r="AA464" s="36">
        <f>VLOOKUP($F464,'Status Thresholds'!$E:$AS,20,FALSE)</f>
        <v>0</v>
      </c>
      <c r="AB464" s="36">
        <f>VLOOKUP($F464,'Status Thresholds'!$E:$AS,21,FALSE)</f>
        <v>0</v>
      </c>
      <c r="AC464" s="50">
        <f>VLOOKUP($F464,'Status Thresholds'!$E:$AS,22,FALSE)</f>
        <v>225</v>
      </c>
      <c r="AD464" s="36">
        <f>VLOOKUP($F464,'Status Thresholds'!$E:$AS,23,FALSE)</f>
        <v>450</v>
      </c>
      <c r="AE464" s="36">
        <f>VLOOKUP($F464,'Status Thresholds'!$E:$AS,24,FALSE)</f>
        <v>675</v>
      </c>
      <c r="AF464" s="36">
        <f>VLOOKUP($F464,'Status Thresholds'!$E:$AS,25,FALSE)</f>
        <v>900</v>
      </c>
      <c r="AG464" s="36">
        <f>VLOOKUP($F464,'Status Thresholds'!$E:$AS,26,FALSE)</f>
        <v>0</v>
      </c>
      <c r="AH464" s="50">
        <f>VLOOKUP($F464,'Status Thresholds'!$E:$AS,27,FALSE)</f>
        <v>0</v>
      </c>
      <c r="AI464" s="36">
        <f>VLOOKUP($F464,'Status Thresholds'!$E:$AS,28,FALSE)</f>
        <v>0</v>
      </c>
      <c r="AJ464" s="36">
        <f>VLOOKUP($F464,'Status Thresholds'!$E:$AS,29,FALSE)</f>
        <v>0</v>
      </c>
      <c r="AK464" s="36">
        <f>VLOOKUP($F464,'Status Thresholds'!$E:$AS,30,FALSE)</f>
        <v>0</v>
      </c>
      <c r="AL464" s="36">
        <f>VLOOKUP($F464,'Status Thresholds'!$E:$AS,31,FALSE)</f>
        <v>0</v>
      </c>
      <c r="AM464" s="50">
        <f>VLOOKUP($F464,'Status Thresholds'!$E:$AS,32,FALSE)</f>
        <v>300</v>
      </c>
      <c r="AN464" s="36">
        <f>VLOOKUP($F464,'Status Thresholds'!$E:$AS,33,FALSE)</f>
        <v>600</v>
      </c>
      <c r="AO464" s="36">
        <f>VLOOKUP($F464,'Status Thresholds'!$E:$AS,34,FALSE)</f>
        <v>900</v>
      </c>
      <c r="AP464" s="36">
        <f>VLOOKUP($F464,'Status Thresholds'!$E:$AS,35,FALSE)</f>
        <v>1200</v>
      </c>
      <c r="AQ464" s="36">
        <f>VLOOKUP($F464,'Status Thresholds'!$E:$AS,36,FALSE)</f>
        <v>0</v>
      </c>
      <c r="AR464" s="50">
        <f>VLOOKUP($F464,'Status Thresholds'!$E:$AS,37,FALSE)</f>
        <v>0</v>
      </c>
      <c r="AS464" s="36">
        <f>VLOOKUP($F464,'Status Thresholds'!$E:$AS,38,FALSE)</f>
        <v>0</v>
      </c>
      <c r="AT464" s="36">
        <f>VLOOKUP($F464,'Status Thresholds'!$E:$AS,39,FALSE)</f>
        <v>0</v>
      </c>
      <c r="AU464" s="36">
        <f>VLOOKUP($F464,'Status Thresholds'!$E:$AS,40,FALSE)</f>
        <v>0</v>
      </c>
      <c r="AV464" s="36">
        <f>VLOOKUP($F464,'Status Thresholds'!$E:$AS,41,FALSE)</f>
        <v>10</v>
      </c>
      <c r="AW464">
        <v>0</v>
      </c>
      <c r="AX464">
        <v>0</v>
      </c>
    </row>
    <row r="465" spans="1:50" x14ac:dyDescent="0.25">
      <c r="A465" s="36"/>
      <c r="B465" t="s">
        <v>120</v>
      </c>
      <c r="C465" s="36" t="str">
        <f>'Status Thresholds'!B456</f>
        <v>Lagiacrus</v>
      </c>
      <c r="E465" s="36" t="str">
        <f t="shared" si="17"/>
        <v>Lagiacrus</v>
      </c>
      <c r="F465" s="36" t="str">
        <f>IFERROR(VLOOKUP($E465,'Status Thresholds'!$E:$AS,1,FALSE),"")</f>
        <v/>
      </c>
      <c r="G465" t="s">
        <v>21</v>
      </c>
      <c r="H465" s="55" t="str">
        <f t="shared" si="18"/>
        <v>LagiacrusTriblast</v>
      </c>
      <c r="I465" s="50">
        <v>1</v>
      </c>
      <c r="J465" s="36">
        <v>2</v>
      </c>
      <c r="K465" s="36">
        <v>2</v>
      </c>
      <c r="L465" s="36">
        <v>2</v>
      </c>
      <c r="M465" s="36">
        <v>0</v>
      </c>
      <c r="N465" s="50">
        <v>0</v>
      </c>
      <c r="O465" s="36">
        <v>0</v>
      </c>
      <c r="P465" s="36">
        <v>0</v>
      </c>
      <c r="Q465" s="36">
        <v>0</v>
      </c>
      <c r="R465" s="36">
        <v>0</v>
      </c>
      <c r="S465" s="50">
        <v>2</v>
      </c>
      <c r="T465" s="36">
        <v>2</v>
      </c>
      <c r="U465" s="36">
        <v>2</v>
      </c>
      <c r="V465" s="36">
        <v>2</v>
      </c>
      <c r="W465" s="36">
        <v>0</v>
      </c>
      <c r="X465" s="50">
        <v>0</v>
      </c>
      <c r="Y465" s="36">
        <v>0</v>
      </c>
      <c r="Z465" s="36">
        <v>0</v>
      </c>
      <c r="AA465" s="36">
        <v>0</v>
      </c>
      <c r="AB465" s="36">
        <v>0</v>
      </c>
      <c r="AC465" s="50">
        <v>2</v>
      </c>
      <c r="AD465" s="36">
        <v>0</v>
      </c>
      <c r="AE465" s="36">
        <v>2</v>
      </c>
      <c r="AF465" s="36">
        <v>2</v>
      </c>
      <c r="AG465" s="36">
        <v>0</v>
      </c>
      <c r="AH465" s="50">
        <v>0</v>
      </c>
      <c r="AI465" s="36">
        <v>0</v>
      </c>
      <c r="AJ465" s="36">
        <v>0</v>
      </c>
      <c r="AK465" s="36">
        <v>0</v>
      </c>
      <c r="AL465" s="36">
        <v>0</v>
      </c>
      <c r="AM465" s="50">
        <v>2</v>
      </c>
      <c r="AN465" s="36">
        <v>2</v>
      </c>
      <c r="AO465" s="36">
        <v>2</v>
      </c>
      <c r="AP465" s="36">
        <v>2</v>
      </c>
      <c r="AQ465" s="36">
        <v>0</v>
      </c>
      <c r="AR465" s="50">
        <v>0</v>
      </c>
      <c r="AS465" s="36">
        <v>0</v>
      </c>
      <c r="AT465" s="36">
        <v>0</v>
      </c>
      <c r="AU465" s="36">
        <v>0</v>
      </c>
      <c r="AV465" s="36">
        <v>0</v>
      </c>
      <c r="AW465">
        <v>0</v>
      </c>
    </row>
    <row r="466" spans="1:50" x14ac:dyDescent="0.25">
      <c r="A466" s="36"/>
      <c r="B466" t="s">
        <v>120</v>
      </c>
      <c r="C466" s="36" t="str">
        <f>'Status Thresholds'!B457</f>
        <v>Lagiacrus</v>
      </c>
      <c r="E466" s="36" t="str">
        <f t="shared" si="17"/>
        <v>Lagiacrus</v>
      </c>
      <c r="F466" s="36" t="str">
        <f>IFERROR(VLOOKUP($E466,'Status Thresholds'!$E:$AS,1,FALSE),"")</f>
        <v/>
      </c>
      <c r="G466" t="s">
        <v>13</v>
      </c>
      <c r="H466" s="55" t="str">
        <f t="shared" si="18"/>
        <v>LagiacrusCrag 3</v>
      </c>
      <c r="I466" s="50">
        <v>0</v>
      </c>
      <c r="J466" s="36">
        <v>4</v>
      </c>
      <c r="K466" s="36">
        <v>3</v>
      </c>
      <c r="L466" s="36">
        <v>4</v>
      </c>
      <c r="M466" s="36">
        <v>0</v>
      </c>
      <c r="N466" s="50">
        <v>0</v>
      </c>
      <c r="O466" s="36">
        <v>0</v>
      </c>
      <c r="P466" s="36">
        <v>0</v>
      </c>
      <c r="Q466" s="36">
        <v>0</v>
      </c>
      <c r="R466" s="36">
        <v>0</v>
      </c>
      <c r="S466" s="50">
        <v>0</v>
      </c>
      <c r="T466" s="36">
        <v>4</v>
      </c>
      <c r="U466" s="36">
        <v>4</v>
      </c>
      <c r="V466" s="36">
        <v>4</v>
      </c>
      <c r="W466" s="36">
        <v>0</v>
      </c>
      <c r="X466" s="50">
        <v>0</v>
      </c>
      <c r="Y466" s="36">
        <v>0</v>
      </c>
      <c r="Z466" s="36">
        <v>0</v>
      </c>
      <c r="AA466" s="36">
        <v>0</v>
      </c>
      <c r="AB466" s="36">
        <v>0</v>
      </c>
      <c r="AC466" s="50">
        <v>0</v>
      </c>
      <c r="AD466" s="36">
        <v>4</v>
      </c>
      <c r="AE466" s="36">
        <v>4</v>
      </c>
      <c r="AF466" s="36">
        <v>4</v>
      </c>
      <c r="AG466" s="36">
        <v>0</v>
      </c>
      <c r="AH466" s="50">
        <v>0</v>
      </c>
      <c r="AI466" s="36">
        <v>0</v>
      </c>
      <c r="AJ466" s="36">
        <v>0</v>
      </c>
      <c r="AK466" s="36">
        <v>0</v>
      </c>
      <c r="AL466" s="36">
        <v>0</v>
      </c>
      <c r="AM466" s="50">
        <v>3</v>
      </c>
      <c r="AN466" s="36">
        <v>4</v>
      </c>
      <c r="AO466" s="36">
        <v>4</v>
      </c>
      <c r="AP466" s="36">
        <v>4</v>
      </c>
      <c r="AQ466" s="36">
        <v>0</v>
      </c>
      <c r="AR466" s="50">
        <v>0</v>
      </c>
      <c r="AS466" s="36">
        <v>0</v>
      </c>
      <c r="AT466" s="36">
        <v>0</v>
      </c>
      <c r="AU466" s="36">
        <v>0</v>
      </c>
      <c r="AV466" s="36">
        <v>0</v>
      </c>
      <c r="AW466">
        <v>0</v>
      </c>
      <c r="AX466">
        <v>0</v>
      </c>
    </row>
    <row r="467" spans="1:50" x14ac:dyDescent="0.25">
      <c r="A467" s="36"/>
      <c r="B467" t="s">
        <v>120</v>
      </c>
      <c r="C467" s="36" t="str">
        <f>'Status Thresholds'!B458</f>
        <v>Lagiacrus</v>
      </c>
      <c r="E467" s="36" t="str">
        <f t="shared" si="17"/>
        <v>Lagiacrus</v>
      </c>
      <c r="F467" s="36" t="str">
        <f>IFERROR(VLOOKUP($E467,'Status Thresholds'!$E:$AS,1,FALSE),"")</f>
        <v/>
      </c>
      <c r="G467" t="s">
        <v>12</v>
      </c>
      <c r="H467" s="55" t="str">
        <f t="shared" si="18"/>
        <v>LagiacrusCrag 2</v>
      </c>
      <c r="I467" s="50">
        <v>4</v>
      </c>
      <c r="J467" s="36">
        <v>1</v>
      </c>
      <c r="K467" s="36">
        <v>4</v>
      </c>
      <c r="L467" s="36">
        <v>4</v>
      </c>
      <c r="M467" s="36">
        <v>0</v>
      </c>
      <c r="N467" s="50">
        <v>0</v>
      </c>
      <c r="O467" s="36">
        <v>0</v>
      </c>
      <c r="P467" s="36">
        <v>0</v>
      </c>
      <c r="Q467" s="36">
        <v>0</v>
      </c>
      <c r="R467" s="36">
        <v>0</v>
      </c>
      <c r="S467" s="50">
        <v>2</v>
      </c>
      <c r="T467" s="36">
        <v>2</v>
      </c>
      <c r="U467" s="36">
        <v>4</v>
      </c>
      <c r="V467" s="36">
        <v>4</v>
      </c>
      <c r="W467" s="36">
        <v>0</v>
      </c>
      <c r="X467" s="50">
        <v>0</v>
      </c>
      <c r="Y467" s="36">
        <v>0</v>
      </c>
      <c r="Z467" s="36">
        <v>0</v>
      </c>
      <c r="AA467" s="36">
        <v>0</v>
      </c>
      <c r="AB467" s="36">
        <v>0</v>
      </c>
      <c r="AC467" s="50">
        <v>0</v>
      </c>
      <c r="AD467" s="36">
        <v>3</v>
      </c>
      <c r="AE467" s="36">
        <v>4</v>
      </c>
      <c r="AF467" s="36">
        <v>4</v>
      </c>
      <c r="AG467" s="36">
        <v>0</v>
      </c>
      <c r="AH467" s="50">
        <v>0</v>
      </c>
      <c r="AI467" s="36">
        <v>0</v>
      </c>
      <c r="AJ467" s="36">
        <v>0</v>
      </c>
      <c r="AK467" s="36">
        <v>0</v>
      </c>
      <c r="AL467" s="36">
        <v>0</v>
      </c>
      <c r="AM467" s="50">
        <v>1</v>
      </c>
      <c r="AN467" s="36">
        <v>3</v>
      </c>
      <c r="AO467" s="36">
        <v>4</v>
      </c>
      <c r="AP467" s="36">
        <v>4</v>
      </c>
      <c r="AQ467" s="36">
        <v>0</v>
      </c>
      <c r="AR467" s="50">
        <v>0</v>
      </c>
      <c r="AS467" s="36">
        <v>0</v>
      </c>
      <c r="AT467" s="36">
        <v>0</v>
      </c>
      <c r="AU467" s="36">
        <v>0</v>
      </c>
      <c r="AV467" s="36">
        <v>0</v>
      </c>
      <c r="AW467">
        <v>0</v>
      </c>
      <c r="AX467">
        <v>0</v>
      </c>
    </row>
    <row r="468" spans="1:50" x14ac:dyDescent="0.25">
      <c r="A468" s="36"/>
      <c r="B468" t="s">
        <v>120</v>
      </c>
      <c r="C468" s="36" t="str">
        <f>'Status Thresholds'!B459</f>
        <v>Lagiacrus</v>
      </c>
      <c r="E468" s="36" t="str">
        <f t="shared" si="17"/>
        <v>Lagiacrus</v>
      </c>
      <c r="F468" s="36" t="str">
        <f>IFERROR(VLOOKUP($E468,'Status Thresholds'!$E:$AS,1,FALSE),"")</f>
        <v/>
      </c>
      <c r="G468" t="s">
        <v>11</v>
      </c>
      <c r="H468" s="55" t="str">
        <f t="shared" si="18"/>
        <v>LagiacrusCrag 1</v>
      </c>
      <c r="I468" s="50">
        <v>0</v>
      </c>
      <c r="J468" s="36">
        <v>2</v>
      </c>
      <c r="K468" s="36">
        <v>8</v>
      </c>
      <c r="L468" s="36">
        <v>8</v>
      </c>
      <c r="M468" s="36">
        <v>0</v>
      </c>
      <c r="N468" s="50">
        <v>0</v>
      </c>
      <c r="O468" s="36">
        <v>0</v>
      </c>
      <c r="P468" s="36">
        <v>0</v>
      </c>
      <c r="Q468" s="36">
        <v>0</v>
      </c>
      <c r="R468" s="36">
        <v>0</v>
      </c>
      <c r="S468" s="50">
        <v>0</v>
      </c>
      <c r="T468" s="36">
        <v>2</v>
      </c>
      <c r="U468" s="36">
        <v>8</v>
      </c>
      <c r="V468" s="36">
        <v>8</v>
      </c>
      <c r="W468" s="36">
        <v>0</v>
      </c>
      <c r="X468" s="50">
        <v>0</v>
      </c>
      <c r="Y468" s="36">
        <v>0</v>
      </c>
      <c r="Z468" s="36">
        <v>0</v>
      </c>
      <c r="AA468" s="36">
        <v>0</v>
      </c>
      <c r="AB468" s="36">
        <v>0</v>
      </c>
      <c r="AC468" s="50">
        <v>3</v>
      </c>
      <c r="AD468" s="36">
        <v>8</v>
      </c>
      <c r="AE468" s="36">
        <v>8</v>
      </c>
      <c r="AF468" s="36">
        <v>8</v>
      </c>
      <c r="AG468" s="36">
        <v>0</v>
      </c>
      <c r="AH468" s="50">
        <v>0</v>
      </c>
      <c r="AI468" s="36">
        <v>0</v>
      </c>
      <c r="AJ468" s="36">
        <v>0</v>
      </c>
      <c r="AK468" s="36">
        <v>0</v>
      </c>
      <c r="AL468" s="36">
        <v>0</v>
      </c>
      <c r="AM468" s="50">
        <v>0</v>
      </c>
      <c r="AN468" s="36">
        <v>8</v>
      </c>
      <c r="AO468" s="36">
        <v>8</v>
      </c>
      <c r="AP468" s="36">
        <v>8</v>
      </c>
      <c r="AQ468" s="36">
        <v>0</v>
      </c>
      <c r="AR468" s="50">
        <v>0</v>
      </c>
      <c r="AS468" s="36">
        <v>0</v>
      </c>
      <c r="AT468" s="36">
        <v>0</v>
      </c>
      <c r="AU468" s="36">
        <v>0</v>
      </c>
      <c r="AV468" s="36">
        <v>1</v>
      </c>
      <c r="AW468">
        <v>0</v>
      </c>
      <c r="AX468">
        <v>0</v>
      </c>
    </row>
    <row r="469" spans="1:50" x14ac:dyDescent="0.25">
      <c r="A469" s="36"/>
      <c r="B469" t="s">
        <v>119</v>
      </c>
      <c r="C469" s="36" t="str">
        <f>'Status Thresholds'!B460</f>
        <v>Lagiacrus</v>
      </c>
      <c r="E469" s="36" t="str">
        <f t="shared" si="17"/>
        <v>Lagiacrus</v>
      </c>
      <c r="F469" s="36" t="str">
        <f>IFERROR(VLOOKUP($E469,'Status Thresholds'!$E:$AS,1,FALSE),"")</f>
        <v/>
      </c>
      <c r="G469" t="s">
        <v>21</v>
      </c>
      <c r="H469" s="55" t="str">
        <f t="shared" si="18"/>
        <v>LagiacrusTriblast</v>
      </c>
      <c r="I469" s="50">
        <v>2</v>
      </c>
      <c r="J469" s="36">
        <v>2</v>
      </c>
      <c r="K469" s="36">
        <v>2</v>
      </c>
      <c r="L469" s="36">
        <v>2</v>
      </c>
      <c r="M469" s="36">
        <v>0</v>
      </c>
      <c r="N469" s="50">
        <v>0</v>
      </c>
      <c r="O469" s="36">
        <v>0</v>
      </c>
      <c r="P469" s="36">
        <v>0</v>
      </c>
      <c r="Q469" s="36">
        <v>0</v>
      </c>
      <c r="R469" s="36">
        <v>0</v>
      </c>
      <c r="S469" s="50">
        <v>0</v>
      </c>
      <c r="T469" s="36">
        <v>0</v>
      </c>
      <c r="U469" s="36">
        <v>2</v>
      </c>
      <c r="V469" s="36">
        <v>2</v>
      </c>
      <c r="W469" s="36">
        <v>0</v>
      </c>
      <c r="X469" s="50">
        <v>0</v>
      </c>
      <c r="Y469" s="36">
        <v>0</v>
      </c>
      <c r="Z469" s="36">
        <v>0</v>
      </c>
      <c r="AA469" s="36">
        <v>0</v>
      </c>
      <c r="AB469" s="36">
        <v>0</v>
      </c>
      <c r="AC469" s="50">
        <v>0</v>
      </c>
      <c r="AD469" s="36">
        <v>2</v>
      </c>
      <c r="AE469" s="36">
        <v>2</v>
      </c>
      <c r="AF469" s="36">
        <v>2</v>
      </c>
      <c r="AG469" s="36">
        <v>0</v>
      </c>
      <c r="AH469" s="50">
        <v>0</v>
      </c>
      <c r="AI469" s="36">
        <v>0</v>
      </c>
      <c r="AJ469" s="36">
        <v>0</v>
      </c>
      <c r="AK469" s="36">
        <v>0</v>
      </c>
      <c r="AL469" s="36">
        <v>0</v>
      </c>
      <c r="AM469" s="50">
        <v>1</v>
      </c>
      <c r="AN469" s="36">
        <v>2</v>
      </c>
      <c r="AO469" s="36">
        <v>2</v>
      </c>
      <c r="AP469" s="36">
        <v>2</v>
      </c>
      <c r="AQ469" s="36">
        <v>0</v>
      </c>
      <c r="AR469" s="50">
        <v>0</v>
      </c>
      <c r="AS469" s="36">
        <v>0</v>
      </c>
      <c r="AT469" s="36">
        <v>0</v>
      </c>
      <c r="AU469" s="36">
        <v>0</v>
      </c>
      <c r="AV469" s="36">
        <v>0</v>
      </c>
      <c r="AW469">
        <v>0</v>
      </c>
      <c r="AX469">
        <v>0</v>
      </c>
    </row>
    <row r="470" spans="1:50" x14ac:dyDescent="0.25">
      <c r="A470" s="36"/>
      <c r="B470" t="s">
        <v>119</v>
      </c>
      <c r="C470" s="36" t="str">
        <f>'Status Thresholds'!B461</f>
        <v>Lagiacrus</v>
      </c>
      <c r="E470" s="36" t="str">
        <f t="shared" si="17"/>
        <v>Lagiacrus</v>
      </c>
      <c r="F470" s="36" t="str">
        <f>IFERROR(VLOOKUP($E470,'Status Thresholds'!$E:$AS,1,FALSE),"")</f>
        <v/>
      </c>
      <c r="G470" t="s">
        <v>13</v>
      </c>
      <c r="H470" s="55" t="str">
        <f t="shared" si="18"/>
        <v>LagiacrusCrag 3</v>
      </c>
      <c r="I470" s="50">
        <v>0</v>
      </c>
      <c r="J470" s="36">
        <v>0</v>
      </c>
      <c r="K470" s="36">
        <v>4</v>
      </c>
      <c r="L470" s="36">
        <v>4</v>
      </c>
      <c r="M470" s="36">
        <v>0</v>
      </c>
      <c r="N470" s="50">
        <v>0</v>
      </c>
      <c r="O470" s="36">
        <v>0</v>
      </c>
      <c r="P470" s="36">
        <v>0</v>
      </c>
      <c r="Q470" s="36">
        <v>0</v>
      </c>
      <c r="R470" s="36">
        <v>0</v>
      </c>
      <c r="S470" s="50">
        <v>1</v>
      </c>
      <c r="T470" s="36">
        <v>3</v>
      </c>
      <c r="U470" s="36">
        <v>4</v>
      </c>
      <c r="V470" s="36">
        <v>4</v>
      </c>
      <c r="W470" s="36">
        <v>0</v>
      </c>
      <c r="X470" s="50">
        <v>0</v>
      </c>
      <c r="Y470" s="36">
        <v>0</v>
      </c>
      <c r="Z470" s="36">
        <v>0</v>
      </c>
      <c r="AA470" s="36">
        <v>0</v>
      </c>
      <c r="AB470" s="36">
        <v>0</v>
      </c>
      <c r="AC470" s="50">
        <v>3</v>
      </c>
      <c r="AD470" s="36">
        <v>0</v>
      </c>
      <c r="AE470" s="36">
        <v>4</v>
      </c>
      <c r="AF470" s="36">
        <v>4</v>
      </c>
      <c r="AG470" s="36">
        <v>0</v>
      </c>
      <c r="AH470" s="50">
        <v>0</v>
      </c>
      <c r="AI470" s="36">
        <v>0</v>
      </c>
      <c r="AJ470" s="36">
        <v>0</v>
      </c>
      <c r="AK470" s="36">
        <v>0</v>
      </c>
      <c r="AL470" s="36">
        <v>0</v>
      </c>
      <c r="AM470" s="50">
        <v>3</v>
      </c>
      <c r="AN470" s="36">
        <v>4</v>
      </c>
      <c r="AO470" s="36">
        <v>4</v>
      </c>
      <c r="AP470" s="36">
        <v>4</v>
      </c>
      <c r="AQ470" s="36">
        <v>0</v>
      </c>
      <c r="AR470" s="50">
        <v>0</v>
      </c>
      <c r="AS470" s="36">
        <v>0</v>
      </c>
      <c r="AT470" s="36">
        <v>0</v>
      </c>
      <c r="AU470" s="36">
        <v>0</v>
      </c>
      <c r="AV470" s="36">
        <v>0</v>
      </c>
      <c r="AW470">
        <v>0</v>
      </c>
      <c r="AX470">
        <v>0</v>
      </c>
    </row>
    <row r="471" spans="1:50" x14ac:dyDescent="0.25">
      <c r="A471" s="36"/>
      <c r="B471" t="s">
        <v>119</v>
      </c>
      <c r="C471" s="36" t="str">
        <f>'Status Thresholds'!B462</f>
        <v>Lagiacrus</v>
      </c>
      <c r="E471" s="36" t="str">
        <f t="shared" si="17"/>
        <v>Lagiacrus</v>
      </c>
      <c r="F471" s="36" t="str">
        <f>IFERROR(VLOOKUP($E471,'Status Thresholds'!$E:$AS,1,FALSE),"")</f>
        <v/>
      </c>
      <c r="G471" t="s">
        <v>12</v>
      </c>
      <c r="H471" s="55" t="str">
        <f t="shared" si="18"/>
        <v>LagiacrusCrag 2</v>
      </c>
      <c r="I471" s="50">
        <v>1</v>
      </c>
      <c r="J471" s="36">
        <v>2</v>
      </c>
      <c r="K471" s="36">
        <v>1</v>
      </c>
      <c r="L471" s="36">
        <v>4</v>
      </c>
      <c r="M471" s="36">
        <v>0</v>
      </c>
      <c r="N471" s="50">
        <v>0</v>
      </c>
      <c r="O471" s="36">
        <v>0</v>
      </c>
      <c r="P471" s="36">
        <v>0</v>
      </c>
      <c r="Q471" s="36">
        <v>0</v>
      </c>
      <c r="R471" s="36">
        <v>0</v>
      </c>
      <c r="S471" s="50">
        <v>1</v>
      </c>
      <c r="T471" s="36">
        <v>3</v>
      </c>
      <c r="U471" s="36">
        <v>4</v>
      </c>
      <c r="V471" s="36">
        <v>4</v>
      </c>
      <c r="W471" s="36">
        <v>0</v>
      </c>
      <c r="X471" s="50">
        <v>0</v>
      </c>
      <c r="Y471" s="36">
        <v>0</v>
      </c>
      <c r="Z471" s="36">
        <v>0</v>
      </c>
      <c r="AA471" s="36">
        <v>0</v>
      </c>
      <c r="AB471" s="36">
        <v>0</v>
      </c>
      <c r="AC471" s="50">
        <v>2</v>
      </c>
      <c r="AD471" s="36">
        <v>3</v>
      </c>
      <c r="AE471" s="36">
        <v>4</v>
      </c>
      <c r="AF471" s="36">
        <v>4</v>
      </c>
      <c r="AG471" s="36">
        <v>0</v>
      </c>
      <c r="AH471" s="50">
        <v>0</v>
      </c>
      <c r="AI471" s="36">
        <v>0</v>
      </c>
      <c r="AJ471" s="36">
        <v>0</v>
      </c>
      <c r="AK471" s="36">
        <v>0</v>
      </c>
      <c r="AL471" s="36">
        <v>0</v>
      </c>
      <c r="AM471" s="50">
        <v>1</v>
      </c>
      <c r="AN471" s="36">
        <v>4</v>
      </c>
      <c r="AO471" s="36">
        <v>4</v>
      </c>
      <c r="AP471" s="36">
        <v>4</v>
      </c>
      <c r="AQ471" s="36">
        <v>0</v>
      </c>
      <c r="AR471" s="50">
        <v>0</v>
      </c>
      <c r="AS471" s="36">
        <v>0</v>
      </c>
      <c r="AT471" s="36">
        <v>0</v>
      </c>
      <c r="AU471" s="36">
        <v>0</v>
      </c>
      <c r="AV471" s="36">
        <v>0</v>
      </c>
      <c r="AW471">
        <v>0</v>
      </c>
      <c r="AX471">
        <v>0</v>
      </c>
    </row>
    <row r="472" spans="1:50" x14ac:dyDescent="0.25">
      <c r="A472" s="36"/>
      <c r="B472" t="s">
        <v>119</v>
      </c>
      <c r="C472" s="36" t="str">
        <f>'Status Thresholds'!B463</f>
        <v>Lagiacrus</v>
      </c>
      <c r="E472" s="36" t="str">
        <f t="shared" si="17"/>
        <v>Lagiacrus</v>
      </c>
      <c r="F472" s="36" t="str">
        <f>IFERROR(VLOOKUP($E472,'Status Thresholds'!$E:$AS,1,FALSE),"")</f>
        <v/>
      </c>
      <c r="G472" t="s">
        <v>11</v>
      </c>
      <c r="H472" s="55" t="str">
        <f t="shared" si="18"/>
        <v>LagiacrusCrag 1</v>
      </c>
      <c r="I472" s="50">
        <v>0</v>
      </c>
      <c r="J472" s="36">
        <v>6</v>
      </c>
      <c r="K472" s="36">
        <v>8</v>
      </c>
      <c r="L472" s="36">
        <v>8</v>
      </c>
      <c r="M472" s="36">
        <v>0</v>
      </c>
      <c r="N472" s="50">
        <v>0</v>
      </c>
      <c r="O472" s="36">
        <v>0</v>
      </c>
      <c r="P472" s="36">
        <v>0</v>
      </c>
      <c r="Q472" s="36">
        <v>0</v>
      </c>
      <c r="R472" s="36">
        <v>0</v>
      </c>
      <c r="S472" s="50">
        <v>5</v>
      </c>
      <c r="T472" s="36">
        <v>7</v>
      </c>
      <c r="U472" s="36">
        <v>6</v>
      </c>
      <c r="V472" s="36">
        <v>8</v>
      </c>
      <c r="W472" s="36">
        <v>0</v>
      </c>
      <c r="X472" s="50">
        <v>0</v>
      </c>
      <c r="Y472" s="36">
        <v>0</v>
      </c>
      <c r="Z472" s="36">
        <v>0</v>
      </c>
      <c r="AA472" s="36">
        <v>0</v>
      </c>
      <c r="AB472" s="36">
        <v>0</v>
      </c>
      <c r="AC472" s="50">
        <v>1</v>
      </c>
      <c r="AD472" s="36">
        <v>7</v>
      </c>
      <c r="AE472" s="36">
        <v>8</v>
      </c>
      <c r="AF472" s="36">
        <v>8</v>
      </c>
      <c r="AG472" s="36">
        <v>0</v>
      </c>
      <c r="AH472" s="50">
        <v>0</v>
      </c>
      <c r="AI472" s="36">
        <v>0</v>
      </c>
      <c r="AJ472" s="36">
        <v>0</v>
      </c>
      <c r="AK472" s="36">
        <v>0</v>
      </c>
      <c r="AL472" s="36">
        <v>0</v>
      </c>
      <c r="AM472" s="50">
        <v>2</v>
      </c>
      <c r="AN472" s="36">
        <v>5</v>
      </c>
      <c r="AO472" s="36">
        <v>8</v>
      </c>
      <c r="AP472" s="36">
        <v>8</v>
      </c>
      <c r="AQ472" s="36">
        <v>0</v>
      </c>
      <c r="AR472" s="50">
        <v>0</v>
      </c>
      <c r="AS472" s="36">
        <v>0</v>
      </c>
      <c r="AT472" s="36">
        <v>0</v>
      </c>
      <c r="AU472" s="36">
        <v>0</v>
      </c>
      <c r="AV472" s="36">
        <v>1</v>
      </c>
      <c r="AW472">
        <v>0</v>
      </c>
      <c r="AX472">
        <v>0</v>
      </c>
    </row>
    <row r="473" spans="1:50" x14ac:dyDescent="0.25">
      <c r="A473" s="36"/>
      <c r="B473" t="s">
        <v>121</v>
      </c>
      <c r="C473" s="36" t="str">
        <f>'Status Thresholds'!B464</f>
        <v>Lagombi</v>
      </c>
      <c r="D473" t="s">
        <v>14</v>
      </c>
      <c r="E473" s="36" t="str">
        <f t="shared" si="17"/>
        <v>LagombiKO</v>
      </c>
      <c r="F473" s="36" t="str">
        <f>IFERROR(VLOOKUP($E473,'Status Thresholds'!$E:$AS,1,FALSE),"")</f>
        <v>LagombiKO</v>
      </c>
      <c r="H473" s="55" t="str">
        <f t="shared" si="18"/>
        <v>LagombiKO</v>
      </c>
      <c r="I473" s="50">
        <f>VLOOKUP($F473,'Status Thresholds'!$E:$AS,2,FALSE)</f>
        <v>130</v>
      </c>
      <c r="J473" s="36">
        <f>VLOOKUP($F473,'Status Thresholds'!$E:$AS,3,FALSE)</f>
        <v>325</v>
      </c>
      <c r="K473" s="36">
        <f>VLOOKUP($F473,'Status Thresholds'!$E:$AS,4,FALSE)</f>
        <v>520</v>
      </c>
      <c r="L473" s="36">
        <f>VLOOKUP($F473,'Status Thresholds'!$E:$AS,5,FALSE)</f>
        <v>715</v>
      </c>
      <c r="M473" s="36">
        <f>VLOOKUP($F473,'Status Thresholds'!$E:$AS,6,FALSE)</f>
        <v>0</v>
      </c>
      <c r="N473" s="50">
        <f>VLOOKUP($F473,'Status Thresholds'!$E:$AS,7,FALSE)</f>
        <v>130</v>
      </c>
      <c r="O473" s="36">
        <f>VLOOKUP($F473,'Status Thresholds'!$E:$AS,8,FALSE)</f>
        <v>325</v>
      </c>
      <c r="P473" s="36">
        <f>VLOOKUP($F473,'Status Thresholds'!$E:$AS,9,FALSE)</f>
        <v>520</v>
      </c>
      <c r="Q473" s="36">
        <f>VLOOKUP($F473,'Status Thresholds'!$E:$AS,10,FALSE)</f>
        <v>715</v>
      </c>
      <c r="R473" s="36">
        <f>VLOOKUP($F473,'Status Thresholds'!$E:$AS,11,FALSE)</f>
        <v>0</v>
      </c>
      <c r="S473" s="50">
        <f>VLOOKUP($F473,'Status Thresholds'!$E:$AS,12,FALSE)</f>
        <v>140</v>
      </c>
      <c r="T473" s="36">
        <f>VLOOKUP($F473,'Status Thresholds'!$E:$AS,13,FALSE)</f>
        <v>350</v>
      </c>
      <c r="U473" s="36">
        <f>VLOOKUP($F473,'Status Thresholds'!$E:$AS,14,FALSE)</f>
        <v>560</v>
      </c>
      <c r="V473" s="36">
        <f>VLOOKUP($F473,'Status Thresholds'!$E:$AS,15,FALSE)</f>
        <v>770</v>
      </c>
      <c r="W473" s="36">
        <f>VLOOKUP($F473,'Status Thresholds'!$E:$AS,16,FALSE)</f>
        <v>0</v>
      </c>
      <c r="X473" s="50">
        <f>VLOOKUP($F473,'Status Thresholds'!$E:$AS,17,FALSE)</f>
        <v>0</v>
      </c>
      <c r="Y473" s="36">
        <f>VLOOKUP($F473,'Status Thresholds'!$E:$AS,18,FALSE)</f>
        <v>0</v>
      </c>
      <c r="Z473" s="36">
        <f>VLOOKUP($F473,'Status Thresholds'!$E:$AS,19,FALSE)</f>
        <v>0</v>
      </c>
      <c r="AA473" s="36">
        <f>VLOOKUP($F473,'Status Thresholds'!$E:$AS,20,FALSE)</f>
        <v>0</v>
      </c>
      <c r="AB473" s="36">
        <f>VLOOKUP($F473,'Status Thresholds'!$E:$AS,21,FALSE)</f>
        <v>0</v>
      </c>
      <c r="AC473" s="50">
        <f>VLOOKUP($F473,'Status Thresholds'!$E:$AS,22,FALSE)</f>
        <v>140</v>
      </c>
      <c r="AD473" s="36">
        <f>VLOOKUP($F473,'Status Thresholds'!$E:$AS,23,FALSE)</f>
        <v>344</v>
      </c>
      <c r="AE473" s="36">
        <f>VLOOKUP($F473,'Status Thresholds'!$E:$AS,24,FALSE)</f>
        <v>548</v>
      </c>
      <c r="AF473" s="36">
        <f>VLOOKUP($F473,'Status Thresholds'!$E:$AS,25,FALSE)</f>
        <v>752</v>
      </c>
      <c r="AG473" s="36">
        <f>VLOOKUP($F473,'Status Thresholds'!$E:$AS,26,FALSE)</f>
        <v>0</v>
      </c>
      <c r="AH473" s="50">
        <f>VLOOKUP($F473,'Status Thresholds'!$E:$AS,27,FALSE)</f>
        <v>0</v>
      </c>
      <c r="AI473" s="36">
        <f>VLOOKUP($F473,'Status Thresholds'!$E:$AS,28,FALSE)</f>
        <v>0</v>
      </c>
      <c r="AJ473" s="36">
        <f>VLOOKUP($F473,'Status Thresholds'!$E:$AS,29,FALSE)</f>
        <v>0</v>
      </c>
      <c r="AK473" s="36">
        <f>VLOOKUP($F473,'Status Thresholds'!$E:$AS,30,FALSE)</f>
        <v>0</v>
      </c>
      <c r="AL473" s="36">
        <f>VLOOKUP($F473,'Status Thresholds'!$E:$AS,31,FALSE)</f>
        <v>0</v>
      </c>
      <c r="AM473" s="50">
        <f>VLOOKUP($F473,'Status Thresholds'!$E:$AS,32,FALSE)</f>
        <v>0</v>
      </c>
      <c r="AN473" s="36">
        <f>VLOOKUP($F473,'Status Thresholds'!$E:$AS,33,FALSE)</f>
        <v>0</v>
      </c>
      <c r="AO473" s="36">
        <f>VLOOKUP($F473,'Status Thresholds'!$E:$AS,34,FALSE)</f>
        <v>0</v>
      </c>
      <c r="AP473" s="36">
        <f>VLOOKUP($F473,'Status Thresholds'!$E:$AS,35,FALSE)</f>
        <v>0</v>
      </c>
      <c r="AQ473" s="36">
        <f>VLOOKUP($F473,'Status Thresholds'!$E:$AS,36,FALSE)</f>
        <v>0</v>
      </c>
      <c r="AR473" s="50">
        <f>VLOOKUP($F473,'Status Thresholds'!$E:$AS,37,FALSE)</f>
        <v>0</v>
      </c>
      <c r="AS473" s="36">
        <f>VLOOKUP($F473,'Status Thresholds'!$E:$AS,38,FALSE)</f>
        <v>0</v>
      </c>
      <c r="AT473" s="36">
        <f>VLOOKUP($F473,'Status Thresholds'!$E:$AS,39,FALSE)</f>
        <v>0</v>
      </c>
      <c r="AU473" s="36">
        <f>VLOOKUP($F473,'Status Thresholds'!$E:$AS,40,FALSE)</f>
        <v>0</v>
      </c>
      <c r="AV473" s="36">
        <f>VLOOKUP($F473,'Status Thresholds'!$E:$AS,41,FALSE)</f>
        <v>10</v>
      </c>
      <c r="AW473">
        <v>0</v>
      </c>
      <c r="AX473">
        <v>0</v>
      </c>
    </row>
    <row r="474" spans="1:50" x14ac:dyDescent="0.25">
      <c r="A474" s="36"/>
      <c r="B474" t="s">
        <v>120</v>
      </c>
      <c r="C474" s="36" t="str">
        <f>'Status Thresholds'!B465</f>
        <v>Lagombi</v>
      </c>
      <c r="E474" s="36" t="str">
        <f t="shared" si="17"/>
        <v>Lagombi</v>
      </c>
      <c r="F474" s="36" t="str">
        <f>IFERROR(VLOOKUP($E474,'Status Thresholds'!$E:$AS,1,FALSE),"")</f>
        <v/>
      </c>
      <c r="G474" t="s">
        <v>21</v>
      </c>
      <c r="H474" s="55" t="str">
        <f t="shared" si="18"/>
        <v>LagombiTriblast</v>
      </c>
      <c r="I474" s="50">
        <v>1</v>
      </c>
      <c r="J474" s="36">
        <v>2</v>
      </c>
      <c r="K474" s="36">
        <v>2</v>
      </c>
      <c r="L474" s="36">
        <v>2</v>
      </c>
      <c r="M474" s="36">
        <v>0</v>
      </c>
      <c r="N474" s="50">
        <v>1</v>
      </c>
      <c r="O474" s="36">
        <v>2</v>
      </c>
      <c r="P474" s="36">
        <v>2</v>
      </c>
      <c r="Q474" s="36">
        <v>2</v>
      </c>
      <c r="R474" s="36">
        <v>0</v>
      </c>
      <c r="S474" s="50">
        <v>1</v>
      </c>
      <c r="T474" s="36">
        <v>2</v>
      </c>
      <c r="U474" s="36">
        <v>2</v>
      </c>
      <c r="V474" s="36">
        <v>2</v>
      </c>
      <c r="W474" s="36">
        <v>0</v>
      </c>
      <c r="X474" s="50">
        <v>0</v>
      </c>
      <c r="Y474" s="36">
        <v>0</v>
      </c>
      <c r="Z474" s="36">
        <v>0</v>
      </c>
      <c r="AA474" s="36">
        <v>0</v>
      </c>
      <c r="AB474" s="36">
        <v>0</v>
      </c>
      <c r="AC474" s="50">
        <v>1</v>
      </c>
      <c r="AD474" s="36">
        <v>2</v>
      </c>
      <c r="AE474" s="36">
        <v>2</v>
      </c>
      <c r="AF474" s="36">
        <v>2</v>
      </c>
      <c r="AG474" s="36">
        <v>0</v>
      </c>
      <c r="AH474" s="50">
        <v>0</v>
      </c>
      <c r="AI474" s="36">
        <v>0</v>
      </c>
      <c r="AJ474" s="36">
        <v>0</v>
      </c>
      <c r="AK474" s="36">
        <v>0</v>
      </c>
      <c r="AL474" s="36">
        <v>0</v>
      </c>
      <c r="AM474" s="50">
        <v>0</v>
      </c>
      <c r="AN474" s="36">
        <v>0</v>
      </c>
      <c r="AO474" s="36">
        <v>0</v>
      </c>
      <c r="AP474" s="36">
        <v>0</v>
      </c>
      <c r="AQ474" s="36">
        <v>0</v>
      </c>
      <c r="AR474" s="50">
        <v>0</v>
      </c>
      <c r="AS474" s="36">
        <v>0</v>
      </c>
      <c r="AT474" s="36">
        <v>0</v>
      </c>
      <c r="AU474" s="36">
        <v>0</v>
      </c>
      <c r="AV474" s="36">
        <v>0</v>
      </c>
      <c r="AW474">
        <v>0</v>
      </c>
    </row>
    <row r="475" spans="1:50" x14ac:dyDescent="0.25">
      <c r="A475" s="36"/>
      <c r="B475" t="s">
        <v>120</v>
      </c>
      <c r="C475" s="36" t="str">
        <f>'Status Thresholds'!B466</f>
        <v>Lagombi</v>
      </c>
      <c r="E475" s="36" t="str">
        <f t="shared" si="17"/>
        <v>Lagombi</v>
      </c>
      <c r="F475" s="36" t="str">
        <f>IFERROR(VLOOKUP($E475,'Status Thresholds'!$E:$AS,1,FALSE),"")</f>
        <v/>
      </c>
      <c r="G475" t="s">
        <v>13</v>
      </c>
      <c r="H475" s="55" t="str">
        <f t="shared" si="18"/>
        <v>LagombiCrag 3</v>
      </c>
      <c r="I475" s="50">
        <v>0</v>
      </c>
      <c r="J475" s="36">
        <v>0</v>
      </c>
      <c r="K475" s="36">
        <v>2</v>
      </c>
      <c r="L475" s="36">
        <v>4</v>
      </c>
      <c r="M475" s="36">
        <v>0</v>
      </c>
      <c r="N475" s="50">
        <v>0</v>
      </c>
      <c r="O475" s="36">
        <v>0</v>
      </c>
      <c r="P475" s="36">
        <v>2</v>
      </c>
      <c r="Q475" s="36">
        <v>4</v>
      </c>
      <c r="R475" s="36">
        <v>0</v>
      </c>
      <c r="S475" s="50">
        <v>1</v>
      </c>
      <c r="T475" s="36">
        <v>0</v>
      </c>
      <c r="U475" s="36">
        <v>3</v>
      </c>
      <c r="V475" s="36">
        <v>4</v>
      </c>
      <c r="W475" s="36">
        <v>0</v>
      </c>
      <c r="X475" s="50">
        <v>0</v>
      </c>
      <c r="Y475" s="36">
        <v>0</v>
      </c>
      <c r="Z475" s="36">
        <v>0</v>
      </c>
      <c r="AA475" s="36">
        <v>0</v>
      </c>
      <c r="AB475" s="36">
        <v>0</v>
      </c>
      <c r="AC475" s="50">
        <v>1</v>
      </c>
      <c r="AD475" s="36">
        <v>0</v>
      </c>
      <c r="AE475" s="36">
        <v>4</v>
      </c>
      <c r="AF475" s="36">
        <v>4</v>
      </c>
      <c r="AG475" s="36">
        <v>0</v>
      </c>
      <c r="AH475" s="50">
        <v>0</v>
      </c>
      <c r="AI475" s="36">
        <v>0</v>
      </c>
      <c r="AJ475" s="36">
        <v>0</v>
      </c>
      <c r="AK475" s="36">
        <v>0</v>
      </c>
      <c r="AL475" s="36">
        <v>0</v>
      </c>
      <c r="AM475" s="50">
        <v>0</v>
      </c>
      <c r="AN475" s="36">
        <v>0</v>
      </c>
      <c r="AO475" s="36">
        <v>0</v>
      </c>
      <c r="AP475" s="36">
        <v>0</v>
      </c>
      <c r="AQ475" s="36">
        <v>0</v>
      </c>
      <c r="AR475" s="50">
        <v>0</v>
      </c>
      <c r="AS475" s="36">
        <v>0</v>
      </c>
      <c r="AT475" s="36">
        <v>0</v>
      </c>
      <c r="AU475" s="36">
        <v>0</v>
      </c>
      <c r="AV475" s="36">
        <v>0</v>
      </c>
      <c r="AW475">
        <v>0</v>
      </c>
      <c r="AX475">
        <v>0</v>
      </c>
    </row>
    <row r="476" spans="1:50" x14ac:dyDescent="0.25">
      <c r="A476" s="36"/>
      <c r="B476" t="s">
        <v>120</v>
      </c>
      <c r="C476" s="36" t="str">
        <f>'Status Thresholds'!B467</f>
        <v>Lagombi</v>
      </c>
      <c r="E476" s="36" t="str">
        <f t="shared" si="17"/>
        <v>Lagombi</v>
      </c>
      <c r="F476" s="36" t="str">
        <f>IFERROR(VLOOKUP($E476,'Status Thresholds'!$E:$AS,1,FALSE),"")</f>
        <v/>
      </c>
      <c r="G476" t="s">
        <v>12</v>
      </c>
      <c r="H476" s="55" t="str">
        <f t="shared" si="18"/>
        <v>LagombiCrag 2</v>
      </c>
      <c r="I476" s="50">
        <v>1</v>
      </c>
      <c r="J476" s="36">
        <v>0</v>
      </c>
      <c r="K476" s="36">
        <v>3</v>
      </c>
      <c r="L476" s="36">
        <v>4</v>
      </c>
      <c r="M476" s="36">
        <v>0</v>
      </c>
      <c r="N476" s="50">
        <v>1</v>
      </c>
      <c r="O476" s="36">
        <v>0</v>
      </c>
      <c r="P476" s="36">
        <v>3</v>
      </c>
      <c r="Q476" s="36">
        <v>4</v>
      </c>
      <c r="R476" s="36">
        <v>0</v>
      </c>
      <c r="S476" s="50">
        <v>0</v>
      </c>
      <c r="T476" s="36">
        <v>0</v>
      </c>
      <c r="U476" s="36">
        <v>3</v>
      </c>
      <c r="V476" s="36">
        <v>4</v>
      </c>
      <c r="W476" s="36">
        <v>0</v>
      </c>
      <c r="X476" s="50">
        <v>0</v>
      </c>
      <c r="Y476" s="36">
        <v>0</v>
      </c>
      <c r="Z476" s="36">
        <v>0</v>
      </c>
      <c r="AA476" s="36">
        <v>0</v>
      </c>
      <c r="AB476" s="36">
        <v>0</v>
      </c>
      <c r="AC476" s="50">
        <v>0</v>
      </c>
      <c r="AD476" s="36">
        <v>4</v>
      </c>
      <c r="AE476" s="36">
        <v>3</v>
      </c>
      <c r="AF476" s="36">
        <v>4</v>
      </c>
      <c r="AG476" s="36">
        <v>0</v>
      </c>
      <c r="AH476" s="50">
        <v>0</v>
      </c>
      <c r="AI476" s="36">
        <v>0</v>
      </c>
      <c r="AJ476" s="36">
        <v>0</v>
      </c>
      <c r="AK476" s="36">
        <v>0</v>
      </c>
      <c r="AL476" s="36">
        <v>0</v>
      </c>
      <c r="AM476" s="50">
        <v>0</v>
      </c>
      <c r="AN476" s="36">
        <v>0</v>
      </c>
      <c r="AO476" s="36">
        <v>0</v>
      </c>
      <c r="AP476" s="36">
        <v>0</v>
      </c>
      <c r="AQ476" s="36">
        <v>0</v>
      </c>
      <c r="AR476" s="50">
        <v>0</v>
      </c>
      <c r="AS476" s="36">
        <v>0</v>
      </c>
      <c r="AT476" s="36">
        <v>0</v>
      </c>
      <c r="AU476" s="36">
        <v>0</v>
      </c>
      <c r="AV476" s="36">
        <v>0</v>
      </c>
      <c r="AW476">
        <v>0</v>
      </c>
      <c r="AX476">
        <v>0</v>
      </c>
    </row>
    <row r="477" spans="1:50" x14ac:dyDescent="0.25">
      <c r="A477" s="36"/>
      <c r="B477" t="s">
        <v>120</v>
      </c>
      <c r="C477" s="36" t="str">
        <f>'Status Thresholds'!B468</f>
        <v>Lagombi</v>
      </c>
      <c r="E477" s="36" t="str">
        <f t="shared" si="17"/>
        <v>Lagombi</v>
      </c>
      <c r="F477" s="36" t="str">
        <f>IFERROR(VLOOKUP($E477,'Status Thresholds'!$E:$AS,1,FALSE),"")</f>
        <v/>
      </c>
      <c r="G477" t="s">
        <v>11</v>
      </c>
      <c r="H477" s="55" t="str">
        <f t="shared" si="18"/>
        <v>LagombiCrag 1</v>
      </c>
      <c r="I477" s="50">
        <v>1</v>
      </c>
      <c r="J477" s="36">
        <v>7</v>
      </c>
      <c r="K477" s="36">
        <v>8</v>
      </c>
      <c r="L477" s="36">
        <v>8</v>
      </c>
      <c r="M477" s="36">
        <v>0</v>
      </c>
      <c r="N477" s="50">
        <v>1</v>
      </c>
      <c r="O477" s="36">
        <v>7</v>
      </c>
      <c r="P477" s="36">
        <v>8</v>
      </c>
      <c r="Q477" s="36">
        <v>8</v>
      </c>
      <c r="R477" s="36">
        <v>0</v>
      </c>
      <c r="S477" s="50">
        <v>1</v>
      </c>
      <c r="T477" s="36">
        <v>8</v>
      </c>
      <c r="U477" s="36">
        <v>8</v>
      </c>
      <c r="V477" s="36">
        <v>8</v>
      </c>
      <c r="W477" s="36">
        <v>0</v>
      </c>
      <c r="X477" s="50">
        <v>0</v>
      </c>
      <c r="Y477" s="36">
        <v>0</v>
      </c>
      <c r="Z477" s="36">
        <v>0</v>
      </c>
      <c r="AA477" s="36">
        <v>0</v>
      </c>
      <c r="AB477" s="36">
        <v>0</v>
      </c>
      <c r="AC477" s="50">
        <v>1</v>
      </c>
      <c r="AD477" s="36">
        <v>3</v>
      </c>
      <c r="AE477" s="36">
        <v>6</v>
      </c>
      <c r="AF477" s="36">
        <v>8</v>
      </c>
      <c r="AG477" s="36">
        <v>0</v>
      </c>
      <c r="AH477" s="50">
        <v>0</v>
      </c>
      <c r="AI477" s="36">
        <v>0</v>
      </c>
      <c r="AJ477" s="36">
        <v>0</v>
      </c>
      <c r="AK477" s="36">
        <v>0</v>
      </c>
      <c r="AL477" s="36">
        <v>0</v>
      </c>
      <c r="AM477" s="50">
        <v>0</v>
      </c>
      <c r="AN477" s="36">
        <v>0</v>
      </c>
      <c r="AO477" s="36">
        <v>0</v>
      </c>
      <c r="AP477" s="36">
        <v>0</v>
      </c>
      <c r="AQ477" s="36">
        <v>0</v>
      </c>
      <c r="AR477" s="50">
        <v>0</v>
      </c>
      <c r="AS477" s="36">
        <v>0</v>
      </c>
      <c r="AT477" s="36">
        <v>0</v>
      </c>
      <c r="AU477" s="36">
        <v>0</v>
      </c>
      <c r="AV477" s="36">
        <v>1</v>
      </c>
      <c r="AW477">
        <v>0</v>
      </c>
      <c r="AX477">
        <v>0</v>
      </c>
    </row>
    <row r="478" spans="1:50" x14ac:dyDescent="0.25">
      <c r="A478" s="36"/>
      <c r="B478" t="s">
        <v>119</v>
      </c>
      <c r="C478" s="36" t="str">
        <f>'Status Thresholds'!B469</f>
        <v>Lagombi</v>
      </c>
      <c r="E478" s="36" t="str">
        <f t="shared" si="17"/>
        <v>Lagombi</v>
      </c>
      <c r="F478" s="36" t="str">
        <f>IFERROR(VLOOKUP($E478,'Status Thresholds'!$E:$AS,1,FALSE),"")</f>
        <v/>
      </c>
      <c r="G478" t="s">
        <v>21</v>
      </c>
      <c r="H478" s="55" t="str">
        <f t="shared" si="18"/>
        <v>LagombiTriblast</v>
      </c>
      <c r="I478" s="50">
        <v>0</v>
      </c>
      <c r="J478" s="36">
        <v>0</v>
      </c>
      <c r="K478" s="36">
        <v>2</v>
      </c>
      <c r="L478" s="36">
        <v>2</v>
      </c>
      <c r="M478" s="36">
        <v>0</v>
      </c>
      <c r="N478" s="50">
        <v>0</v>
      </c>
      <c r="O478" s="36">
        <v>0</v>
      </c>
      <c r="P478" s="36">
        <v>2</v>
      </c>
      <c r="Q478" s="36">
        <v>2</v>
      </c>
      <c r="R478" s="36">
        <v>0</v>
      </c>
      <c r="S478" s="50">
        <v>0</v>
      </c>
      <c r="T478" s="36">
        <v>1</v>
      </c>
      <c r="U478" s="36">
        <v>2</v>
      </c>
      <c r="V478" s="36">
        <v>2</v>
      </c>
      <c r="W478" s="36">
        <v>0</v>
      </c>
      <c r="X478" s="50">
        <v>0</v>
      </c>
      <c r="Y478" s="36">
        <v>0</v>
      </c>
      <c r="Z478" s="36">
        <v>0</v>
      </c>
      <c r="AA478" s="36">
        <v>0</v>
      </c>
      <c r="AB478" s="36">
        <v>0</v>
      </c>
      <c r="AC478" s="50">
        <v>0</v>
      </c>
      <c r="AD478" s="36">
        <v>1</v>
      </c>
      <c r="AE478" s="36">
        <v>2</v>
      </c>
      <c r="AF478" s="36">
        <v>2</v>
      </c>
      <c r="AG478" s="36">
        <v>0</v>
      </c>
      <c r="AH478" s="50">
        <v>0</v>
      </c>
      <c r="AI478" s="36">
        <v>0</v>
      </c>
      <c r="AJ478" s="36">
        <v>0</v>
      </c>
      <c r="AK478" s="36">
        <v>0</v>
      </c>
      <c r="AL478" s="36">
        <v>0</v>
      </c>
      <c r="AM478" s="50">
        <v>0</v>
      </c>
      <c r="AN478" s="36">
        <v>0</v>
      </c>
      <c r="AO478" s="36">
        <v>0</v>
      </c>
      <c r="AP478" s="36">
        <v>0</v>
      </c>
      <c r="AQ478" s="36">
        <v>0</v>
      </c>
      <c r="AR478" s="50">
        <v>0</v>
      </c>
      <c r="AS478" s="36">
        <v>0</v>
      </c>
      <c r="AT478" s="36">
        <v>0</v>
      </c>
      <c r="AU478" s="36">
        <v>0</v>
      </c>
      <c r="AV478" s="36">
        <v>0</v>
      </c>
      <c r="AW478">
        <v>0</v>
      </c>
      <c r="AX478">
        <v>0</v>
      </c>
    </row>
    <row r="479" spans="1:50" x14ac:dyDescent="0.25">
      <c r="A479" s="36"/>
      <c r="B479" t="s">
        <v>119</v>
      </c>
      <c r="C479" s="36" t="str">
        <f>'Status Thresholds'!B470</f>
        <v>Lagombi</v>
      </c>
      <c r="E479" s="36" t="str">
        <f t="shared" si="17"/>
        <v>Lagombi</v>
      </c>
      <c r="F479" s="36" t="str">
        <f>IFERROR(VLOOKUP($E479,'Status Thresholds'!$E:$AS,1,FALSE),"")</f>
        <v/>
      </c>
      <c r="G479" t="s">
        <v>13</v>
      </c>
      <c r="H479" s="55" t="str">
        <f t="shared" si="18"/>
        <v>LagombiCrag 3</v>
      </c>
      <c r="I479" s="50">
        <v>1</v>
      </c>
      <c r="J479" s="36">
        <v>1</v>
      </c>
      <c r="K479" s="36">
        <v>1</v>
      </c>
      <c r="L479" s="36">
        <v>4</v>
      </c>
      <c r="M479" s="36">
        <v>0</v>
      </c>
      <c r="N479" s="50">
        <v>1</v>
      </c>
      <c r="O479" s="36">
        <v>1</v>
      </c>
      <c r="P479" s="36">
        <v>1</v>
      </c>
      <c r="Q479" s="36">
        <v>4</v>
      </c>
      <c r="R479" s="36">
        <v>0</v>
      </c>
      <c r="S479" s="50">
        <v>0</v>
      </c>
      <c r="T479" s="36">
        <v>4</v>
      </c>
      <c r="U479" s="36">
        <v>4</v>
      </c>
      <c r="V479" s="36">
        <v>4</v>
      </c>
      <c r="W479" s="36">
        <v>0</v>
      </c>
      <c r="X479" s="50">
        <v>0</v>
      </c>
      <c r="Y479" s="36">
        <v>0</v>
      </c>
      <c r="Z479" s="36">
        <v>0</v>
      </c>
      <c r="AA479" s="36">
        <v>0</v>
      </c>
      <c r="AB479" s="36">
        <v>0</v>
      </c>
      <c r="AC479" s="50">
        <v>0</v>
      </c>
      <c r="AD479" s="36">
        <v>4</v>
      </c>
      <c r="AE479" s="36">
        <v>3</v>
      </c>
      <c r="AF479" s="36">
        <v>4</v>
      </c>
      <c r="AG479" s="36">
        <v>0</v>
      </c>
      <c r="AH479" s="50">
        <v>0</v>
      </c>
      <c r="AI479" s="36">
        <v>0</v>
      </c>
      <c r="AJ479" s="36">
        <v>0</v>
      </c>
      <c r="AK479" s="36">
        <v>0</v>
      </c>
      <c r="AL479" s="36">
        <v>0</v>
      </c>
      <c r="AM479" s="50">
        <v>0</v>
      </c>
      <c r="AN479" s="36">
        <v>0</v>
      </c>
      <c r="AO479" s="36">
        <v>0</v>
      </c>
      <c r="AP479" s="36">
        <v>0</v>
      </c>
      <c r="AQ479" s="36">
        <v>0</v>
      </c>
      <c r="AR479" s="50">
        <v>0</v>
      </c>
      <c r="AS479" s="36">
        <v>0</v>
      </c>
      <c r="AT479" s="36">
        <v>0</v>
      </c>
      <c r="AU479" s="36">
        <v>0</v>
      </c>
      <c r="AV479" s="36">
        <v>0</v>
      </c>
      <c r="AW479">
        <v>0</v>
      </c>
      <c r="AX479">
        <v>0</v>
      </c>
    </row>
    <row r="480" spans="1:50" x14ac:dyDescent="0.25">
      <c r="A480" s="36"/>
      <c r="B480" t="s">
        <v>119</v>
      </c>
      <c r="C480" s="36" t="str">
        <f>'Status Thresholds'!B471</f>
        <v>Lagombi</v>
      </c>
      <c r="E480" s="36" t="str">
        <f t="shared" si="17"/>
        <v>Lagombi</v>
      </c>
      <c r="F480" s="36" t="str">
        <f>IFERROR(VLOOKUP($E480,'Status Thresholds'!$E:$AS,1,FALSE),"")</f>
        <v/>
      </c>
      <c r="G480" t="s">
        <v>12</v>
      </c>
      <c r="H480" s="55" t="str">
        <f t="shared" si="18"/>
        <v>LagombiCrag 2</v>
      </c>
      <c r="I480" s="50">
        <v>1</v>
      </c>
      <c r="J480" s="36">
        <v>2</v>
      </c>
      <c r="K480" s="36">
        <v>3</v>
      </c>
      <c r="L480" s="36">
        <v>4</v>
      </c>
      <c r="M480" s="36">
        <v>0</v>
      </c>
      <c r="N480" s="50">
        <v>1</v>
      </c>
      <c r="O480" s="36">
        <v>2</v>
      </c>
      <c r="P480" s="36">
        <v>3</v>
      </c>
      <c r="Q480" s="36">
        <v>4</v>
      </c>
      <c r="R480" s="36">
        <v>0</v>
      </c>
      <c r="S480" s="50">
        <v>1</v>
      </c>
      <c r="T480" s="36">
        <v>2</v>
      </c>
      <c r="U480" s="36">
        <v>1</v>
      </c>
      <c r="V480" s="36">
        <v>4</v>
      </c>
      <c r="W480" s="36">
        <v>0</v>
      </c>
      <c r="X480" s="50">
        <v>0</v>
      </c>
      <c r="Y480" s="36">
        <v>0</v>
      </c>
      <c r="Z480" s="36">
        <v>0</v>
      </c>
      <c r="AA480" s="36">
        <v>0</v>
      </c>
      <c r="AB480" s="36">
        <v>0</v>
      </c>
      <c r="AC480" s="50">
        <v>1</v>
      </c>
      <c r="AD480" s="36">
        <v>1</v>
      </c>
      <c r="AE480" s="36">
        <v>2</v>
      </c>
      <c r="AF480" s="36">
        <v>4</v>
      </c>
      <c r="AG480" s="36">
        <v>0</v>
      </c>
      <c r="AH480" s="50">
        <v>0</v>
      </c>
      <c r="AI480" s="36">
        <v>0</v>
      </c>
      <c r="AJ480" s="36">
        <v>0</v>
      </c>
      <c r="AK480" s="36">
        <v>0</v>
      </c>
      <c r="AL480" s="36">
        <v>0</v>
      </c>
      <c r="AM480" s="50">
        <v>0</v>
      </c>
      <c r="AN480" s="36">
        <v>0</v>
      </c>
      <c r="AO480" s="36">
        <v>0</v>
      </c>
      <c r="AP480" s="36">
        <v>0</v>
      </c>
      <c r="AQ480" s="36">
        <v>0</v>
      </c>
      <c r="AR480" s="50">
        <v>0</v>
      </c>
      <c r="AS480" s="36">
        <v>0</v>
      </c>
      <c r="AT480" s="36">
        <v>0</v>
      </c>
      <c r="AU480" s="36">
        <v>0</v>
      </c>
      <c r="AV480" s="36">
        <v>0</v>
      </c>
      <c r="AW480">
        <v>0</v>
      </c>
      <c r="AX480">
        <v>0</v>
      </c>
    </row>
    <row r="481" spans="1:50" x14ac:dyDescent="0.25">
      <c r="A481" s="36"/>
      <c r="B481" t="s">
        <v>119</v>
      </c>
      <c r="C481" s="36" t="str">
        <f>'Status Thresholds'!B472</f>
        <v>Lagombi</v>
      </c>
      <c r="E481" s="36" t="str">
        <f t="shared" si="17"/>
        <v>Lagombi</v>
      </c>
      <c r="F481" s="36" t="str">
        <f>IFERROR(VLOOKUP($E481,'Status Thresholds'!$E:$AS,1,FALSE),"")</f>
        <v/>
      </c>
      <c r="G481" t="s">
        <v>11</v>
      </c>
      <c r="H481" s="55" t="str">
        <f t="shared" si="18"/>
        <v>LagombiCrag 1</v>
      </c>
      <c r="I481" s="50">
        <v>2</v>
      </c>
      <c r="J481" s="36">
        <v>8</v>
      </c>
      <c r="K481" s="36">
        <v>8</v>
      </c>
      <c r="L481" s="36">
        <v>8</v>
      </c>
      <c r="M481" s="36">
        <v>0</v>
      </c>
      <c r="N481" s="50">
        <v>2</v>
      </c>
      <c r="O481" s="36">
        <v>8</v>
      </c>
      <c r="P481" s="36">
        <v>8</v>
      </c>
      <c r="Q481" s="36">
        <v>8</v>
      </c>
      <c r="R481" s="36">
        <v>0</v>
      </c>
      <c r="S481" s="50">
        <v>4</v>
      </c>
      <c r="T481" s="36">
        <v>1</v>
      </c>
      <c r="U481" s="36">
        <v>7</v>
      </c>
      <c r="V481" s="36">
        <v>8</v>
      </c>
      <c r="W481" s="36">
        <v>0</v>
      </c>
      <c r="X481" s="50">
        <v>0</v>
      </c>
      <c r="Y481" s="36">
        <v>0</v>
      </c>
      <c r="Z481" s="36">
        <v>0</v>
      </c>
      <c r="AA481" s="36">
        <v>0</v>
      </c>
      <c r="AB481" s="36">
        <v>0</v>
      </c>
      <c r="AC481" s="50">
        <v>4</v>
      </c>
      <c r="AD481" s="36">
        <v>2</v>
      </c>
      <c r="AE481" s="36">
        <v>7</v>
      </c>
      <c r="AF481" s="36">
        <v>8</v>
      </c>
      <c r="AG481" s="36">
        <v>0</v>
      </c>
      <c r="AH481" s="50">
        <v>0</v>
      </c>
      <c r="AI481" s="36">
        <v>0</v>
      </c>
      <c r="AJ481" s="36">
        <v>0</v>
      </c>
      <c r="AK481" s="36">
        <v>0</v>
      </c>
      <c r="AL481" s="36">
        <v>0</v>
      </c>
      <c r="AM481" s="50">
        <v>0</v>
      </c>
      <c r="AN481" s="36">
        <v>0</v>
      </c>
      <c r="AO481" s="36">
        <v>0</v>
      </c>
      <c r="AP481" s="36">
        <v>0</v>
      </c>
      <c r="AQ481" s="36">
        <v>0</v>
      </c>
      <c r="AR481" s="50">
        <v>0</v>
      </c>
      <c r="AS481" s="36">
        <v>0</v>
      </c>
      <c r="AT481" s="36">
        <v>0</v>
      </c>
      <c r="AU481" s="36">
        <v>0</v>
      </c>
      <c r="AV481" s="36">
        <v>1</v>
      </c>
      <c r="AW481">
        <v>0</v>
      </c>
      <c r="AX481">
        <v>0</v>
      </c>
    </row>
    <row r="482" spans="1:50" x14ac:dyDescent="0.25">
      <c r="A482" s="36"/>
      <c r="B482" t="s">
        <v>121</v>
      </c>
      <c r="C482" s="36" t="str">
        <f>'Status Thresholds'!B473</f>
        <v>Lao-Shan Long</v>
      </c>
      <c r="D482" t="s">
        <v>14</v>
      </c>
      <c r="E482" s="36" t="str">
        <f t="shared" si="17"/>
        <v>Lao-Shan LongKO</v>
      </c>
      <c r="F482" s="36" t="str">
        <f>IFERROR(VLOOKUP($E482,'Status Thresholds'!$E:$AS,1,FALSE),"")</f>
        <v>Lao-Shan LongKO</v>
      </c>
      <c r="H482" s="55" t="str">
        <f t="shared" si="18"/>
        <v>Lao-Shan LongKO</v>
      </c>
      <c r="I482" s="50">
        <f>VLOOKUP($F482,'Status Thresholds'!$E:$AS,2,FALSE)</f>
        <v>0</v>
      </c>
      <c r="J482" s="36">
        <f>VLOOKUP($F482,'Status Thresholds'!$E:$AS,3,FALSE)</f>
        <v>0</v>
      </c>
      <c r="K482" s="36">
        <f>VLOOKUP($F482,'Status Thresholds'!$E:$AS,4,FALSE)</f>
        <v>0</v>
      </c>
      <c r="L482" s="36">
        <f>VLOOKUP($F482,'Status Thresholds'!$E:$AS,5,FALSE)</f>
        <v>0</v>
      </c>
      <c r="M482" s="36">
        <f>VLOOKUP($F482,'Status Thresholds'!$E:$AS,6,FALSE)</f>
        <v>0</v>
      </c>
      <c r="N482" s="50">
        <f>VLOOKUP($F482,'Status Thresholds'!$E:$AS,7,FALSE)</f>
        <v>0</v>
      </c>
      <c r="O482" s="36">
        <f>VLOOKUP($F482,'Status Thresholds'!$E:$AS,8,FALSE)</f>
        <v>0</v>
      </c>
      <c r="P482" s="36">
        <f>VLOOKUP($F482,'Status Thresholds'!$E:$AS,9,FALSE)</f>
        <v>0</v>
      </c>
      <c r="Q482" s="36">
        <f>VLOOKUP($F482,'Status Thresholds'!$E:$AS,10,FALSE)</f>
        <v>0</v>
      </c>
      <c r="R482" s="36">
        <f>VLOOKUP($F482,'Status Thresholds'!$E:$AS,11,FALSE)</f>
        <v>0</v>
      </c>
      <c r="S482" s="50">
        <f>VLOOKUP($F482,'Status Thresholds'!$E:$AS,12,FALSE)</f>
        <v>0</v>
      </c>
      <c r="T482" s="36">
        <f>VLOOKUP($F482,'Status Thresholds'!$E:$AS,13,FALSE)</f>
        <v>0</v>
      </c>
      <c r="U482" s="36">
        <f>VLOOKUP($F482,'Status Thresholds'!$E:$AS,14,FALSE)</f>
        <v>0</v>
      </c>
      <c r="V482" s="36">
        <f>VLOOKUP($F482,'Status Thresholds'!$E:$AS,15,FALSE)</f>
        <v>0</v>
      </c>
      <c r="W482" s="36">
        <f>VLOOKUP($F482,'Status Thresholds'!$E:$AS,16,FALSE)</f>
        <v>0</v>
      </c>
      <c r="X482" s="50">
        <f>VLOOKUP($F482,'Status Thresholds'!$E:$AS,17,FALSE)</f>
        <v>0</v>
      </c>
      <c r="Y482" s="36">
        <f>VLOOKUP($F482,'Status Thresholds'!$E:$AS,18,FALSE)</f>
        <v>0</v>
      </c>
      <c r="Z482" s="36">
        <f>VLOOKUP($F482,'Status Thresholds'!$E:$AS,19,FALSE)</f>
        <v>0</v>
      </c>
      <c r="AA482" s="36">
        <f>VLOOKUP($F482,'Status Thresholds'!$E:$AS,20,FALSE)</f>
        <v>0</v>
      </c>
      <c r="AB482" s="36">
        <f>VLOOKUP($F482,'Status Thresholds'!$E:$AS,21,FALSE)</f>
        <v>0</v>
      </c>
      <c r="AC482" s="50">
        <f>VLOOKUP($F482,'Status Thresholds'!$E:$AS,22,FALSE)</f>
        <v>0</v>
      </c>
      <c r="AD482" s="36">
        <f>VLOOKUP($F482,'Status Thresholds'!$E:$AS,23,FALSE)</f>
        <v>0</v>
      </c>
      <c r="AE482" s="36">
        <f>VLOOKUP($F482,'Status Thresholds'!$E:$AS,24,FALSE)</f>
        <v>0</v>
      </c>
      <c r="AF482" s="36">
        <f>VLOOKUP($F482,'Status Thresholds'!$E:$AS,25,FALSE)</f>
        <v>0</v>
      </c>
      <c r="AG482" s="36">
        <f>VLOOKUP($F482,'Status Thresholds'!$E:$AS,26,FALSE)</f>
        <v>0</v>
      </c>
      <c r="AH482" s="50">
        <f>VLOOKUP($F482,'Status Thresholds'!$E:$AS,27,FALSE)</f>
        <v>0</v>
      </c>
      <c r="AI482" s="36">
        <f>VLOOKUP($F482,'Status Thresholds'!$E:$AS,28,FALSE)</f>
        <v>0</v>
      </c>
      <c r="AJ482" s="36">
        <f>VLOOKUP($F482,'Status Thresholds'!$E:$AS,29,FALSE)</f>
        <v>0</v>
      </c>
      <c r="AK482" s="36">
        <f>VLOOKUP($F482,'Status Thresholds'!$E:$AS,30,FALSE)</f>
        <v>0</v>
      </c>
      <c r="AL482" s="36">
        <f>VLOOKUP($F482,'Status Thresholds'!$E:$AS,31,FALSE)</f>
        <v>0</v>
      </c>
      <c r="AM482" s="50">
        <f>VLOOKUP($F482,'Status Thresholds'!$E:$AS,32,FALSE)</f>
        <v>0</v>
      </c>
      <c r="AN482" s="36">
        <f>VLOOKUP($F482,'Status Thresholds'!$E:$AS,33,FALSE)</f>
        <v>0</v>
      </c>
      <c r="AO482" s="36">
        <f>VLOOKUP($F482,'Status Thresholds'!$E:$AS,34,FALSE)</f>
        <v>0</v>
      </c>
      <c r="AP482" s="36">
        <f>VLOOKUP($F482,'Status Thresholds'!$E:$AS,35,FALSE)</f>
        <v>0</v>
      </c>
      <c r="AQ482" s="36">
        <f>VLOOKUP($F482,'Status Thresholds'!$E:$AS,36,FALSE)</f>
        <v>0</v>
      </c>
      <c r="AR482" s="50">
        <f>VLOOKUP($F482,'Status Thresholds'!$E:$AS,37,FALSE)</f>
        <v>0</v>
      </c>
      <c r="AS482" s="36">
        <f>VLOOKUP($F482,'Status Thresholds'!$E:$AS,38,FALSE)</f>
        <v>0</v>
      </c>
      <c r="AT482" s="36">
        <f>VLOOKUP($F482,'Status Thresholds'!$E:$AS,39,FALSE)</f>
        <v>0</v>
      </c>
      <c r="AU482" s="36">
        <f>VLOOKUP($F482,'Status Thresholds'!$E:$AS,40,FALSE)</f>
        <v>0</v>
      </c>
      <c r="AV482" s="36">
        <f>VLOOKUP($F482,'Status Thresholds'!$E:$AS,41,FALSE)</f>
        <v>0</v>
      </c>
      <c r="AW482">
        <v>0</v>
      </c>
      <c r="AX482">
        <v>0</v>
      </c>
    </row>
    <row r="483" spans="1:50" x14ac:dyDescent="0.25">
      <c r="A483" s="36"/>
      <c r="B483" t="s">
        <v>120</v>
      </c>
      <c r="C483" s="36" t="str">
        <f>'Status Thresholds'!B474</f>
        <v>Lao-Shan Long</v>
      </c>
      <c r="E483" s="36" t="str">
        <f t="shared" si="17"/>
        <v>Lao-Shan Long</v>
      </c>
      <c r="F483" s="36" t="str">
        <f>IFERROR(VLOOKUP($E483,'Status Thresholds'!$E:$AS,1,FALSE),"")</f>
        <v/>
      </c>
      <c r="G483" t="s">
        <v>21</v>
      </c>
      <c r="H483" s="55" t="str">
        <f t="shared" si="18"/>
        <v>Lao-Shan LongTriblast</v>
      </c>
      <c r="I483" s="50">
        <v>0</v>
      </c>
      <c r="J483" s="36">
        <v>0</v>
      </c>
      <c r="K483" s="36">
        <v>0</v>
      </c>
      <c r="L483" s="36">
        <v>0</v>
      </c>
      <c r="M483" s="36">
        <v>0</v>
      </c>
      <c r="N483" s="50">
        <v>0</v>
      </c>
      <c r="O483" s="36">
        <v>0</v>
      </c>
      <c r="P483" s="36">
        <v>0</v>
      </c>
      <c r="Q483" s="36">
        <v>0</v>
      </c>
      <c r="R483" s="36">
        <v>0</v>
      </c>
      <c r="S483" s="50">
        <v>0</v>
      </c>
      <c r="T483" s="36">
        <v>0</v>
      </c>
      <c r="U483" s="36">
        <v>0</v>
      </c>
      <c r="V483" s="36">
        <v>0</v>
      </c>
      <c r="W483" s="36">
        <v>0</v>
      </c>
      <c r="X483" s="50">
        <v>0</v>
      </c>
      <c r="Y483" s="36">
        <v>0</v>
      </c>
      <c r="Z483" s="36">
        <v>0</v>
      </c>
      <c r="AA483" s="36">
        <v>0</v>
      </c>
      <c r="AB483" s="36">
        <v>0</v>
      </c>
      <c r="AC483" s="50">
        <v>0</v>
      </c>
      <c r="AD483" s="36">
        <v>0</v>
      </c>
      <c r="AE483" s="36">
        <v>0</v>
      </c>
      <c r="AF483" s="36">
        <v>0</v>
      </c>
      <c r="AG483" s="36">
        <v>0</v>
      </c>
      <c r="AH483" s="50">
        <v>0</v>
      </c>
      <c r="AI483" s="36">
        <v>0</v>
      </c>
      <c r="AJ483" s="36">
        <v>0</v>
      </c>
      <c r="AK483" s="36">
        <v>0</v>
      </c>
      <c r="AL483" s="36">
        <v>0</v>
      </c>
      <c r="AM483" s="50">
        <v>0</v>
      </c>
      <c r="AN483" s="36">
        <v>0</v>
      </c>
      <c r="AO483" s="36">
        <v>0</v>
      </c>
      <c r="AP483" s="36">
        <v>0</v>
      </c>
      <c r="AQ483" s="36">
        <v>0</v>
      </c>
      <c r="AR483" s="50">
        <v>0</v>
      </c>
      <c r="AS483" s="36">
        <v>0</v>
      </c>
      <c r="AT483" s="36">
        <v>0</v>
      </c>
      <c r="AU483" s="36">
        <v>0</v>
      </c>
      <c r="AV483" s="36">
        <v>0</v>
      </c>
      <c r="AW483">
        <v>0</v>
      </c>
    </row>
    <row r="484" spans="1:50" x14ac:dyDescent="0.25">
      <c r="A484" s="36"/>
      <c r="B484" t="s">
        <v>120</v>
      </c>
      <c r="C484" s="36" t="str">
        <f>'Status Thresholds'!B475</f>
        <v>Lao-Shan Long</v>
      </c>
      <c r="E484" s="36" t="str">
        <f t="shared" si="17"/>
        <v>Lao-Shan Long</v>
      </c>
      <c r="F484" s="36" t="str">
        <f>IFERROR(VLOOKUP($E484,'Status Thresholds'!$E:$AS,1,FALSE),"")</f>
        <v/>
      </c>
      <c r="G484" t="s">
        <v>13</v>
      </c>
      <c r="H484" s="55" t="str">
        <f t="shared" si="18"/>
        <v>Lao-Shan LongCrag 3</v>
      </c>
      <c r="I484" s="50">
        <v>0</v>
      </c>
      <c r="J484" s="36">
        <v>0</v>
      </c>
      <c r="K484" s="36">
        <v>0</v>
      </c>
      <c r="L484" s="36">
        <v>0</v>
      </c>
      <c r="M484" s="36">
        <v>0</v>
      </c>
      <c r="N484" s="50">
        <v>0</v>
      </c>
      <c r="O484" s="36">
        <v>0</v>
      </c>
      <c r="P484" s="36">
        <v>0</v>
      </c>
      <c r="Q484" s="36">
        <v>0</v>
      </c>
      <c r="R484" s="36">
        <v>0</v>
      </c>
      <c r="S484" s="50">
        <v>0</v>
      </c>
      <c r="T484" s="36">
        <v>0</v>
      </c>
      <c r="U484" s="36">
        <v>0</v>
      </c>
      <c r="V484" s="36">
        <v>0</v>
      </c>
      <c r="W484" s="36">
        <v>0</v>
      </c>
      <c r="X484" s="50">
        <v>0</v>
      </c>
      <c r="Y484" s="36">
        <v>0</v>
      </c>
      <c r="Z484" s="36">
        <v>0</v>
      </c>
      <c r="AA484" s="36">
        <v>0</v>
      </c>
      <c r="AB484" s="36">
        <v>0</v>
      </c>
      <c r="AC484" s="50">
        <v>0</v>
      </c>
      <c r="AD484" s="36">
        <v>0</v>
      </c>
      <c r="AE484" s="36">
        <v>0</v>
      </c>
      <c r="AF484" s="36">
        <v>0</v>
      </c>
      <c r="AG484" s="36">
        <v>0</v>
      </c>
      <c r="AH484" s="50">
        <v>0</v>
      </c>
      <c r="AI484" s="36">
        <v>0</v>
      </c>
      <c r="AJ484" s="36">
        <v>0</v>
      </c>
      <c r="AK484" s="36">
        <v>0</v>
      </c>
      <c r="AL484" s="36">
        <v>0</v>
      </c>
      <c r="AM484" s="50">
        <v>0</v>
      </c>
      <c r="AN484" s="36">
        <v>0</v>
      </c>
      <c r="AO484" s="36">
        <v>0</v>
      </c>
      <c r="AP484" s="36">
        <v>0</v>
      </c>
      <c r="AQ484" s="36">
        <v>0</v>
      </c>
      <c r="AR484" s="50">
        <v>0</v>
      </c>
      <c r="AS484" s="36">
        <v>0</v>
      </c>
      <c r="AT484" s="36">
        <v>0</v>
      </c>
      <c r="AU484" s="36">
        <v>0</v>
      </c>
      <c r="AV484" s="36">
        <v>0</v>
      </c>
      <c r="AW484">
        <v>0</v>
      </c>
      <c r="AX484">
        <v>0</v>
      </c>
    </row>
    <row r="485" spans="1:50" x14ac:dyDescent="0.25">
      <c r="A485" s="36"/>
      <c r="B485" t="s">
        <v>120</v>
      </c>
      <c r="C485" s="36" t="str">
        <f>'Status Thresholds'!B476</f>
        <v>Lao-Shan Long</v>
      </c>
      <c r="E485" s="36" t="str">
        <f t="shared" si="17"/>
        <v>Lao-Shan Long</v>
      </c>
      <c r="F485" s="36" t="str">
        <f>IFERROR(VLOOKUP($E485,'Status Thresholds'!$E:$AS,1,FALSE),"")</f>
        <v/>
      </c>
      <c r="G485" t="s">
        <v>12</v>
      </c>
      <c r="H485" s="55" t="str">
        <f t="shared" si="18"/>
        <v>Lao-Shan LongCrag 2</v>
      </c>
      <c r="I485" s="50">
        <v>0</v>
      </c>
      <c r="J485" s="36">
        <v>0</v>
      </c>
      <c r="K485" s="36">
        <v>0</v>
      </c>
      <c r="L485" s="36">
        <v>0</v>
      </c>
      <c r="M485" s="36">
        <v>0</v>
      </c>
      <c r="N485" s="50">
        <v>0</v>
      </c>
      <c r="O485" s="36">
        <v>0</v>
      </c>
      <c r="P485" s="36">
        <v>0</v>
      </c>
      <c r="Q485" s="36">
        <v>0</v>
      </c>
      <c r="R485" s="36">
        <v>0</v>
      </c>
      <c r="S485" s="50">
        <v>0</v>
      </c>
      <c r="T485" s="36">
        <v>0</v>
      </c>
      <c r="U485" s="36">
        <v>0</v>
      </c>
      <c r="V485" s="36">
        <v>0</v>
      </c>
      <c r="W485" s="36">
        <v>0</v>
      </c>
      <c r="X485" s="50">
        <v>0</v>
      </c>
      <c r="Y485" s="36">
        <v>0</v>
      </c>
      <c r="Z485" s="36">
        <v>0</v>
      </c>
      <c r="AA485" s="36">
        <v>0</v>
      </c>
      <c r="AB485" s="36">
        <v>0</v>
      </c>
      <c r="AC485" s="50">
        <v>0</v>
      </c>
      <c r="AD485" s="36">
        <v>0</v>
      </c>
      <c r="AE485" s="36">
        <v>0</v>
      </c>
      <c r="AF485" s="36">
        <v>0</v>
      </c>
      <c r="AG485" s="36">
        <v>0</v>
      </c>
      <c r="AH485" s="50">
        <v>0</v>
      </c>
      <c r="AI485" s="36">
        <v>0</v>
      </c>
      <c r="AJ485" s="36">
        <v>0</v>
      </c>
      <c r="AK485" s="36">
        <v>0</v>
      </c>
      <c r="AL485" s="36">
        <v>0</v>
      </c>
      <c r="AM485" s="50">
        <v>0</v>
      </c>
      <c r="AN485" s="36">
        <v>0</v>
      </c>
      <c r="AO485" s="36">
        <v>0</v>
      </c>
      <c r="AP485" s="36">
        <v>0</v>
      </c>
      <c r="AQ485" s="36">
        <v>0</v>
      </c>
      <c r="AR485" s="50">
        <v>0</v>
      </c>
      <c r="AS485" s="36">
        <v>0</v>
      </c>
      <c r="AT485" s="36">
        <v>0</v>
      </c>
      <c r="AU485" s="36">
        <v>0</v>
      </c>
      <c r="AV485" s="36">
        <v>0</v>
      </c>
      <c r="AW485">
        <v>0</v>
      </c>
      <c r="AX485">
        <v>0</v>
      </c>
    </row>
    <row r="486" spans="1:50" x14ac:dyDescent="0.25">
      <c r="A486" s="36"/>
      <c r="B486" t="s">
        <v>120</v>
      </c>
      <c r="C486" s="36" t="str">
        <f>'Status Thresholds'!B477</f>
        <v>Lao-Shan Long</v>
      </c>
      <c r="E486" s="36" t="str">
        <f t="shared" si="17"/>
        <v>Lao-Shan Long</v>
      </c>
      <c r="F486" s="36" t="str">
        <f>IFERROR(VLOOKUP($E486,'Status Thresholds'!$E:$AS,1,FALSE),"")</f>
        <v/>
      </c>
      <c r="G486" t="s">
        <v>11</v>
      </c>
      <c r="H486" s="55" t="str">
        <f t="shared" si="18"/>
        <v>Lao-Shan LongCrag 1</v>
      </c>
      <c r="I486" s="50">
        <v>0</v>
      </c>
      <c r="J486" s="36">
        <v>0</v>
      </c>
      <c r="K486" s="36">
        <v>0</v>
      </c>
      <c r="L486" s="36">
        <v>0</v>
      </c>
      <c r="M486" s="36">
        <v>0</v>
      </c>
      <c r="N486" s="50">
        <v>0</v>
      </c>
      <c r="O486" s="36">
        <v>0</v>
      </c>
      <c r="P486" s="36">
        <v>0</v>
      </c>
      <c r="Q486" s="36">
        <v>0</v>
      </c>
      <c r="R486" s="36">
        <v>0</v>
      </c>
      <c r="S486" s="50">
        <v>0</v>
      </c>
      <c r="T486" s="36">
        <v>0</v>
      </c>
      <c r="U486" s="36">
        <v>0</v>
      </c>
      <c r="V486" s="36">
        <v>0</v>
      </c>
      <c r="W486" s="36">
        <v>0</v>
      </c>
      <c r="X486" s="50">
        <v>0</v>
      </c>
      <c r="Y486" s="36">
        <v>0</v>
      </c>
      <c r="Z486" s="36">
        <v>0</v>
      </c>
      <c r="AA486" s="36">
        <v>0</v>
      </c>
      <c r="AB486" s="36">
        <v>0</v>
      </c>
      <c r="AC486" s="50">
        <v>0</v>
      </c>
      <c r="AD486" s="36">
        <v>0</v>
      </c>
      <c r="AE486" s="36">
        <v>0</v>
      </c>
      <c r="AF486" s="36">
        <v>0</v>
      </c>
      <c r="AG486" s="36">
        <v>0</v>
      </c>
      <c r="AH486" s="50">
        <v>0</v>
      </c>
      <c r="AI486" s="36">
        <v>0</v>
      </c>
      <c r="AJ486" s="36">
        <v>0</v>
      </c>
      <c r="AK486" s="36">
        <v>0</v>
      </c>
      <c r="AL486" s="36">
        <v>0</v>
      </c>
      <c r="AM486" s="50">
        <v>0</v>
      </c>
      <c r="AN486" s="36">
        <v>0</v>
      </c>
      <c r="AO486" s="36">
        <v>0</v>
      </c>
      <c r="AP486" s="36">
        <v>0</v>
      </c>
      <c r="AQ486" s="36">
        <v>0</v>
      </c>
      <c r="AR486" s="50">
        <v>0</v>
      </c>
      <c r="AS486" s="36">
        <v>0</v>
      </c>
      <c r="AT486" s="36">
        <v>0</v>
      </c>
      <c r="AU486" s="36">
        <v>0</v>
      </c>
      <c r="AV486" s="36">
        <v>0</v>
      </c>
      <c r="AW486">
        <v>0</v>
      </c>
      <c r="AX486">
        <v>0</v>
      </c>
    </row>
    <row r="487" spans="1:50" x14ac:dyDescent="0.25">
      <c r="A487" s="36"/>
      <c r="B487" t="s">
        <v>119</v>
      </c>
      <c r="C487" s="36" t="str">
        <f>'Status Thresholds'!B478</f>
        <v>Lao-Shan Long</v>
      </c>
      <c r="E487" s="36" t="str">
        <f t="shared" si="17"/>
        <v>Lao-Shan Long</v>
      </c>
      <c r="F487" s="36" t="str">
        <f>IFERROR(VLOOKUP($E487,'Status Thresholds'!$E:$AS,1,FALSE),"")</f>
        <v/>
      </c>
      <c r="G487" t="s">
        <v>21</v>
      </c>
      <c r="H487" s="55" t="str">
        <f t="shared" si="18"/>
        <v>Lao-Shan LongTriblast</v>
      </c>
      <c r="I487" s="50">
        <v>0</v>
      </c>
      <c r="J487" s="36">
        <v>0</v>
      </c>
      <c r="K487" s="36">
        <v>0</v>
      </c>
      <c r="L487" s="36">
        <v>0</v>
      </c>
      <c r="M487" s="36">
        <v>0</v>
      </c>
      <c r="N487" s="50">
        <v>0</v>
      </c>
      <c r="O487" s="36">
        <v>0</v>
      </c>
      <c r="P487" s="36">
        <v>0</v>
      </c>
      <c r="Q487" s="36">
        <v>0</v>
      </c>
      <c r="R487" s="36">
        <v>0</v>
      </c>
      <c r="S487" s="50">
        <v>0</v>
      </c>
      <c r="T487" s="36">
        <v>0</v>
      </c>
      <c r="U487" s="36">
        <v>0</v>
      </c>
      <c r="V487" s="36">
        <v>0</v>
      </c>
      <c r="W487" s="36">
        <v>0</v>
      </c>
      <c r="X487" s="50">
        <v>0</v>
      </c>
      <c r="Y487" s="36">
        <v>0</v>
      </c>
      <c r="Z487" s="36">
        <v>0</v>
      </c>
      <c r="AA487" s="36">
        <v>0</v>
      </c>
      <c r="AB487" s="36">
        <v>0</v>
      </c>
      <c r="AC487" s="50">
        <v>0</v>
      </c>
      <c r="AD487" s="36">
        <v>0</v>
      </c>
      <c r="AE487" s="36">
        <v>0</v>
      </c>
      <c r="AF487" s="36">
        <v>0</v>
      </c>
      <c r="AG487" s="36">
        <v>0</v>
      </c>
      <c r="AH487" s="50">
        <v>0</v>
      </c>
      <c r="AI487" s="36">
        <v>0</v>
      </c>
      <c r="AJ487" s="36">
        <v>0</v>
      </c>
      <c r="AK487" s="36">
        <v>0</v>
      </c>
      <c r="AL487" s="36">
        <v>0</v>
      </c>
      <c r="AM487" s="50">
        <v>0</v>
      </c>
      <c r="AN487" s="36">
        <v>0</v>
      </c>
      <c r="AO487" s="36">
        <v>0</v>
      </c>
      <c r="AP487" s="36">
        <v>0</v>
      </c>
      <c r="AQ487" s="36">
        <v>0</v>
      </c>
      <c r="AR487" s="50">
        <v>0</v>
      </c>
      <c r="AS487" s="36">
        <v>0</v>
      </c>
      <c r="AT487" s="36">
        <v>0</v>
      </c>
      <c r="AU487" s="36">
        <v>0</v>
      </c>
      <c r="AV487" s="36">
        <v>0</v>
      </c>
      <c r="AW487">
        <v>0</v>
      </c>
      <c r="AX487">
        <v>0</v>
      </c>
    </row>
    <row r="488" spans="1:50" x14ac:dyDescent="0.25">
      <c r="A488" s="36"/>
      <c r="B488" t="s">
        <v>119</v>
      </c>
      <c r="C488" s="36" t="str">
        <f>'Status Thresholds'!B479</f>
        <v>Lao-Shan Long</v>
      </c>
      <c r="E488" s="36" t="str">
        <f t="shared" si="17"/>
        <v>Lao-Shan Long</v>
      </c>
      <c r="F488" s="36" t="str">
        <f>IFERROR(VLOOKUP($E488,'Status Thresholds'!$E:$AS,1,FALSE),"")</f>
        <v/>
      </c>
      <c r="G488" t="s">
        <v>13</v>
      </c>
      <c r="H488" s="55" t="str">
        <f t="shared" si="18"/>
        <v>Lao-Shan LongCrag 3</v>
      </c>
      <c r="I488" s="50">
        <v>0</v>
      </c>
      <c r="J488" s="36">
        <v>0</v>
      </c>
      <c r="K488" s="36">
        <v>0</v>
      </c>
      <c r="L488" s="36">
        <v>0</v>
      </c>
      <c r="M488" s="36">
        <v>0</v>
      </c>
      <c r="N488" s="50">
        <v>0</v>
      </c>
      <c r="O488" s="36">
        <v>0</v>
      </c>
      <c r="P488" s="36">
        <v>0</v>
      </c>
      <c r="Q488" s="36">
        <v>0</v>
      </c>
      <c r="R488" s="36">
        <v>0</v>
      </c>
      <c r="S488" s="50">
        <v>0</v>
      </c>
      <c r="T488" s="36">
        <v>0</v>
      </c>
      <c r="U488" s="36">
        <v>0</v>
      </c>
      <c r="V488" s="36">
        <v>0</v>
      </c>
      <c r="W488" s="36">
        <v>0</v>
      </c>
      <c r="X488" s="50">
        <v>0</v>
      </c>
      <c r="Y488" s="36">
        <v>0</v>
      </c>
      <c r="Z488" s="36">
        <v>0</v>
      </c>
      <c r="AA488" s="36">
        <v>0</v>
      </c>
      <c r="AB488" s="36">
        <v>0</v>
      </c>
      <c r="AC488" s="50">
        <v>0</v>
      </c>
      <c r="AD488" s="36">
        <v>0</v>
      </c>
      <c r="AE488" s="36">
        <v>0</v>
      </c>
      <c r="AF488" s="36">
        <v>0</v>
      </c>
      <c r="AG488" s="36">
        <v>0</v>
      </c>
      <c r="AH488" s="50">
        <v>0</v>
      </c>
      <c r="AI488" s="36">
        <v>0</v>
      </c>
      <c r="AJ488" s="36">
        <v>0</v>
      </c>
      <c r="AK488" s="36">
        <v>0</v>
      </c>
      <c r="AL488" s="36">
        <v>0</v>
      </c>
      <c r="AM488" s="50">
        <v>0</v>
      </c>
      <c r="AN488" s="36">
        <v>0</v>
      </c>
      <c r="AO488" s="36">
        <v>0</v>
      </c>
      <c r="AP488" s="36">
        <v>0</v>
      </c>
      <c r="AQ488" s="36">
        <v>0</v>
      </c>
      <c r="AR488" s="50">
        <v>0</v>
      </c>
      <c r="AS488" s="36">
        <v>0</v>
      </c>
      <c r="AT488" s="36">
        <v>0</v>
      </c>
      <c r="AU488" s="36">
        <v>0</v>
      </c>
      <c r="AV488" s="36">
        <v>0</v>
      </c>
      <c r="AW488">
        <v>0</v>
      </c>
      <c r="AX488">
        <v>0</v>
      </c>
    </row>
    <row r="489" spans="1:50" x14ac:dyDescent="0.25">
      <c r="A489" s="36"/>
      <c r="B489" t="s">
        <v>119</v>
      </c>
      <c r="C489" s="36" t="str">
        <f>'Status Thresholds'!B480</f>
        <v>Lao-Shan Long</v>
      </c>
      <c r="E489" s="36" t="str">
        <f t="shared" si="17"/>
        <v>Lao-Shan Long</v>
      </c>
      <c r="F489" s="36" t="str">
        <f>IFERROR(VLOOKUP($E489,'Status Thresholds'!$E:$AS,1,FALSE),"")</f>
        <v/>
      </c>
      <c r="G489" t="s">
        <v>12</v>
      </c>
      <c r="H489" s="55" t="str">
        <f t="shared" si="18"/>
        <v>Lao-Shan LongCrag 2</v>
      </c>
      <c r="I489" s="50">
        <v>0</v>
      </c>
      <c r="J489" s="36">
        <v>0</v>
      </c>
      <c r="K489" s="36">
        <v>0</v>
      </c>
      <c r="L489" s="36">
        <v>0</v>
      </c>
      <c r="M489" s="36">
        <v>0</v>
      </c>
      <c r="N489" s="50">
        <v>0</v>
      </c>
      <c r="O489" s="36">
        <v>0</v>
      </c>
      <c r="P489" s="36">
        <v>0</v>
      </c>
      <c r="Q489" s="36">
        <v>0</v>
      </c>
      <c r="R489" s="36">
        <v>0</v>
      </c>
      <c r="S489" s="50">
        <v>0</v>
      </c>
      <c r="T489" s="36">
        <v>0</v>
      </c>
      <c r="U489" s="36">
        <v>0</v>
      </c>
      <c r="V489" s="36">
        <v>0</v>
      </c>
      <c r="W489" s="36">
        <v>0</v>
      </c>
      <c r="X489" s="50">
        <v>0</v>
      </c>
      <c r="Y489" s="36">
        <v>0</v>
      </c>
      <c r="Z489" s="36">
        <v>0</v>
      </c>
      <c r="AA489" s="36">
        <v>0</v>
      </c>
      <c r="AB489" s="36">
        <v>0</v>
      </c>
      <c r="AC489" s="50">
        <v>0</v>
      </c>
      <c r="AD489" s="36">
        <v>0</v>
      </c>
      <c r="AE489" s="36">
        <v>0</v>
      </c>
      <c r="AF489" s="36">
        <v>0</v>
      </c>
      <c r="AG489" s="36">
        <v>0</v>
      </c>
      <c r="AH489" s="50">
        <v>0</v>
      </c>
      <c r="AI489" s="36">
        <v>0</v>
      </c>
      <c r="AJ489" s="36">
        <v>0</v>
      </c>
      <c r="AK489" s="36">
        <v>0</v>
      </c>
      <c r="AL489" s="36">
        <v>0</v>
      </c>
      <c r="AM489" s="50">
        <v>0</v>
      </c>
      <c r="AN489" s="36">
        <v>0</v>
      </c>
      <c r="AO489" s="36">
        <v>0</v>
      </c>
      <c r="AP489" s="36">
        <v>0</v>
      </c>
      <c r="AQ489" s="36">
        <v>0</v>
      </c>
      <c r="AR489" s="50">
        <v>0</v>
      </c>
      <c r="AS489" s="36">
        <v>0</v>
      </c>
      <c r="AT489" s="36">
        <v>0</v>
      </c>
      <c r="AU489" s="36">
        <v>0</v>
      </c>
      <c r="AV489" s="36">
        <v>0</v>
      </c>
      <c r="AW489">
        <v>0</v>
      </c>
      <c r="AX489">
        <v>0</v>
      </c>
    </row>
    <row r="490" spans="1:50" x14ac:dyDescent="0.25">
      <c r="A490" s="36"/>
      <c r="B490" t="s">
        <v>119</v>
      </c>
      <c r="C490" s="36" t="str">
        <f>'Status Thresholds'!B481</f>
        <v>Lao-Shan Long</v>
      </c>
      <c r="E490" s="36" t="str">
        <f t="shared" si="17"/>
        <v>Lao-Shan Long</v>
      </c>
      <c r="F490" s="36" t="str">
        <f>IFERROR(VLOOKUP($E490,'Status Thresholds'!$E:$AS,1,FALSE),"")</f>
        <v/>
      </c>
      <c r="G490" t="s">
        <v>11</v>
      </c>
      <c r="H490" s="55" t="str">
        <f t="shared" si="18"/>
        <v>Lao-Shan LongCrag 1</v>
      </c>
      <c r="I490" s="50">
        <v>0</v>
      </c>
      <c r="J490" s="36">
        <v>0</v>
      </c>
      <c r="K490" s="36">
        <v>0</v>
      </c>
      <c r="L490" s="36">
        <v>0</v>
      </c>
      <c r="M490" s="36">
        <v>0</v>
      </c>
      <c r="N490" s="50">
        <v>0</v>
      </c>
      <c r="O490" s="36">
        <v>0</v>
      </c>
      <c r="P490" s="36">
        <v>0</v>
      </c>
      <c r="Q490" s="36">
        <v>0</v>
      </c>
      <c r="R490" s="36">
        <v>0</v>
      </c>
      <c r="S490" s="50">
        <v>0</v>
      </c>
      <c r="T490" s="36">
        <v>0</v>
      </c>
      <c r="U490" s="36">
        <v>0</v>
      </c>
      <c r="V490" s="36">
        <v>0</v>
      </c>
      <c r="W490" s="36">
        <v>0</v>
      </c>
      <c r="X490" s="50">
        <v>0</v>
      </c>
      <c r="Y490" s="36">
        <v>0</v>
      </c>
      <c r="Z490" s="36">
        <v>0</v>
      </c>
      <c r="AA490" s="36">
        <v>0</v>
      </c>
      <c r="AB490" s="36">
        <v>0</v>
      </c>
      <c r="AC490" s="50">
        <v>0</v>
      </c>
      <c r="AD490" s="36">
        <v>0</v>
      </c>
      <c r="AE490" s="36">
        <v>0</v>
      </c>
      <c r="AF490" s="36">
        <v>0</v>
      </c>
      <c r="AG490" s="36">
        <v>0</v>
      </c>
      <c r="AH490" s="50">
        <v>0</v>
      </c>
      <c r="AI490" s="36">
        <v>0</v>
      </c>
      <c r="AJ490" s="36">
        <v>0</v>
      </c>
      <c r="AK490" s="36">
        <v>0</v>
      </c>
      <c r="AL490" s="36">
        <v>0</v>
      </c>
      <c r="AM490" s="50">
        <v>0</v>
      </c>
      <c r="AN490" s="36">
        <v>0</v>
      </c>
      <c r="AO490" s="36">
        <v>0</v>
      </c>
      <c r="AP490" s="36">
        <v>0</v>
      </c>
      <c r="AQ490" s="36">
        <v>0</v>
      </c>
      <c r="AR490" s="50">
        <v>0</v>
      </c>
      <c r="AS490" s="36">
        <v>0</v>
      </c>
      <c r="AT490" s="36">
        <v>0</v>
      </c>
      <c r="AU490" s="36">
        <v>0</v>
      </c>
      <c r="AV490" s="36">
        <v>0</v>
      </c>
      <c r="AW490">
        <v>0</v>
      </c>
      <c r="AX490">
        <v>0</v>
      </c>
    </row>
    <row r="491" spans="1:50" x14ac:dyDescent="0.25">
      <c r="A491" s="36"/>
      <c r="B491" t="s">
        <v>121</v>
      </c>
      <c r="C491" s="36" t="str">
        <f>'Status Thresholds'!B482</f>
        <v>Lavasioth</v>
      </c>
      <c r="D491" t="s">
        <v>14</v>
      </c>
      <c r="E491" s="36" t="str">
        <f t="shared" si="17"/>
        <v>LavasiothKO</v>
      </c>
      <c r="F491" s="36" t="str">
        <f>IFERROR(VLOOKUP($E491,'Status Thresholds'!$E:$AS,1,FALSE),"")</f>
        <v>LavasiothKO</v>
      </c>
      <c r="G491" s="36"/>
      <c r="H491" s="55" t="str">
        <f t="shared" si="18"/>
        <v>LavasiothKO</v>
      </c>
      <c r="I491" s="50">
        <f>VLOOKUP($F491,'Status Thresholds'!$E:$AS,2,FALSE)</f>
        <v>195</v>
      </c>
      <c r="J491" s="36">
        <f>VLOOKUP($F491,'Status Thresholds'!$E:$AS,3,FALSE)</f>
        <v>390</v>
      </c>
      <c r="K491" s="36">
        <f>VLOOKUP($F491,'Status Thresholds'!$E:$AS,4,FALSE)</f>
        <v>585</v>
      </c>
      <c r="L491" s="36">
        <f>VLOOKUP($F491,'Status Thresholds'!$E:$AS,5,FALSE)</f>
        <v>780</v>
      </c>
      <c r="M491" s="36">
        <f>VLOOKUP($F491,'Status Thresholds'!$E:$AS,6,FALSE)</f>
        <v>0</v>
      </c>
      <c r="N491" s="50">
        <f>VLOOKUP($F491,'Status Thresholds'!$E:$AS,7,FALSE)</f>
        <v>195</v>
      </c>
      <c r="O491" s="36">
        <f>VLOOKUP($F491,'Status Thresholds'!$E:$AS,8,FALSE)</f>
        <v>390</v>
      </c>
      <c r="P491" s="36">
        <f>VLOOKUP($F491,'Status Thresholds'!$E:$AS,9,FALSE)</f>
        <v>585</v>
      </c>
      <c r="Q491" s="36">
        <f>VLOOKUP($F491,'Status Thresholds'!$E:$AS,10,FALSE)</f>
        <v>780</v>
      </c>
      <c r="R491" s="36">
        <f>VLOOKUP($F491,'Status Thresholds'!$E:$AS,11,FALSE)</f>
        <v>0</v>
      </c>
      <c r="S491" s="50">
        <f>VLOOKUP($F491,'Status Thresholds'!$E:$AS,12,FALSE)</f>
        <v>195</v>
      </c>
      <c r="T491" s="36">
        <f>VLOOKUP($F491,'Status Thresholds'!$E:$AS,13,FALSE)</f>
        <v>390</v>
      </c>
      <c r="U491" s="36">
        <f>VLOOKUP($F491,'Status Thresholds'!$E:$AS,14,FALSE)</f>
        <v>585</v>
      </c>
      <c r="V491" s="36">
        <f>VLOOKUP($F491,'Status Thresholds'!$E:$AS,15,FALSE)</f>
        <v>780</v>
      </c>
      <c r="W491" s="36">
        <f>VLOOKUP($F491,'Status Thresholds'!$E:$AS,16,FALSE)</f>
        <v>0</v>
      </c>
      <c r="X491" s="50">
        <f>VLOOKUP($F491,'Status Thresholds'!$E:$AS,17,FALSE)</f>
        <v>0</v>
      </c>
      <c r="Y491" s="36">
        <f>VLOOKUP($F491,'Status Thresholds'!$E:$AS,18,FALSE)</f>
        <v>0</v>
      </c>
      <c r="Z491" s="36">
        <f>VLOOKUP($F491,'Status Thresholds'!$E:$AS,19,FALSE)</f>
        <v>0</v>
      </c>
      <c r="AA491" s="36">
        <f>VLOOKUP($F491,'Status Thresholds'!$E:$AS,20,FALSE)</f>
        <v>0</v>
      </c>
      <c r="AB491" s="36">
        <f>VLOOKUP($F491,'Status Thresholds'!$E:$AS,21,FALSE)</f>
        <v>0</v>
      </c>
      <c r="AC491" s="50">
        <f>VLOOKUP($F491,'Status Thresholds'!$E:$AS,22,FALSE)</f>
        <v>210</v>
      </c>
      <c r="AD491" s="36">
        <f>VLOOKUP($F491,'Status Thresholds'!$E:$AS,23,FALSE)</f>
        <v>420</v>
      </c>
      <c r="AE491" s="36">
        <f>VLOOKUP($F491,'Status Thresholds'!$E:$AS,24,FALSE)</f>
        <v>630</v>
      </c>
      <c r="AF491" s="36">
        <f>VLOOKUP($F491,'Status Thresholds'!$E:$AS,25,FALSE)</f>
        <v>840</v>
      </c>
      <c r="AG491" s="36">
        <f>VLOOKUP($F491,'Status Thresholds'!$E:$AS,26,FALSE)</f>
        <v>0</v>
      </c>
      <c r="AH491" s="50">
        <f>VLOOKUP($F491,'Status Thresholds'!$E:$AS,27,FALSE)</f>
        <v>225</v>
      </c>
      <c r="AI491" s="36">
        <f>VLOOKUP($F491,'Status Thresholds'!$E:$AS,28,FALSE)</f>
        <v>450</v>
      </c>
      <c r="AJ491" s="36">
        <f>VLOOKUP($F491,'Status Thresholds'!$E:$AS,29,FALSE)</f>
        <v>675</v>
      </c>
      <c r="AK491" s="36">
        <f>VLOOKUP($F491,'Status Thresholds'!$E:$AS,30,FALSE)</f>
        <v>900</v>
      </c>
      <c r="AL491" s="36">
        <f>VLOOKUP($F491,'Status Thresholds'!$E:$AS,31,FALSE)</f>
        <v>0</v>
      </c>
      <c r="AM491" s="50">
        <f>VLOOKUP($F491,'Status Thresholds'!$E:$AS,32,FALSE)</f>
        <v>300</v>
      </c>
      <c r="AN491" s="36">
        <f>VLOOKUP($F491,'Status Thresholds'!$E:$AS,33,FALSE)</f>
        <v>600</v>
      </c>
      <c r="AO491" s="36">
        <f>VLOOKUP($F491,'Status Thresholds'!$E:$AS,34,FALSE)</f>
        <v>900</v>
      </c>
      <c r="AP491" s="36">
        <f>VLOOKUP($F491,'Status Thresholds'!$E:$AS,35,FALSE)</f>
        <v>1200</v>
      </c>
      <c r="AQ491" s="36">
        <f>VLOOKUP($F491,'Status Thresholds'!$E:$AS,36,FALSE)</f>
        <v>0</v>
      </c>
      <c r="AR491" s="50">
        <f>VLOOKUP($F491,'Status Thresholds'!$E:$AS,37,FALSE)</f>
        <v>0</v>
      </c>
      <c r="AS491" s="36">
        <f>VLOOKUP($F491,'Status Thresholds'!$E:$AS,38,FALSE)</f>
        <v>0</v>
      </c>
      <c r="AT491" s="36">
        <f>VLOOKUP($F491,'Status Thresholds'!$E:$AS,39,FALSE)</f>
        <v>0</v>
      </c>
      <c r="AU491" s="36">
        <f>VLOOKUP($F491,'Status Thresholds'!$E:$AS,40,FALSE)</f>
        <v>0</v>
      </c>
      <c r="AV491" s="36">
        <f>VLOOKUP($F491,'Status Thresholds'!$E:$AS,41,FALSE)</f>
        <v>10</v>
      </c>
      <c r="AW491">
        <v>0</v>
      </c>
      <c r="AX491">
        <v>0</v>
      </c>
    </row>
    <row r="492" spans="1:50" x14ac:dyDescent="0.25">
      <c r="A492" s="36"/>
      <c r="B492" t="s">
        <v>120</v>
      </c>
      <c r="C492" s="36" t="str">
        <f>'Status Thresholds'!B483</f>
        <v>Lavasioth</v>
      </c>
      <c r="E492" s="36" t="str">
        <f t="shared" si="17"/>
        <v>Lavasioth</v>
      </c>
      <c r="F492" s="36" t="str">
        <f>IFERROR(VLOOKUP($E492,'Status Thresholds'!$E:$AS,1,FALSE),"")</f>
        <v/>
      </c>
      <c r="G492" s="46" t="s">
        <v>21</v>
      </c>
      <c r="H492" s="55" t="str">
        <f t="shared" si="18"/>
        <v>LavasiothTriblast</v>
      </c>
      <c r="I492" s="50">
        <v>1</v>
      </c>
      <c r="J492" s="36">
        <v>2</v>
      </c>
      <c r="K492" s="36">
        <v>2</v>
      </c>
      <c r="L492" s="36">
        <v>2</v>
      </c>
      <c r="M492" s="36">
        <v>0</v>
      </c>
      <c r="N492" s="50">
        <v>1</v>
      </c>
      <c r="O492" s="36">
        <v>2</v>
      </c>
      <c r="P492" s="36">
        <v>2</v>
      </c>
      <c r="Q492" s="36">
        <v>2</v>
      </c>
      <c r="R492" s="36">
        <v>0</v>
      </c>
      <c r="S492" s="50">
        <v>1</v>
      </c>
      <c r="T492" s="36">
        <v>2</v>
      </c>
      <c r="U492" s="36">
        <v>2</v>
      </c>
      <c r="V492" s="36">
        <v>2</v>
      </c>
      <c r="W492" s="36">
        <v>0</v>
      </c>
      <c r="X492" s="50">
        <v>0</v>
      </c>
      <c r="Y492" s="36">
        <v>0</v>
      </c>
      <c r="Z492" s="36">
        <v>0</v>
      </c>
      <c r="AA492" s="36">
        <v>0</v>
      </c>
      <c r="AB492" s="36">
        <v>0</v>
      </c>
      <c r="AC492" s="50">
        <v>2</v>
      </c>
      <c r="AD492" s="36">
        <v>2</v>
      </c>
      <c r="AE492" s="36">
        <v>2</v>
      </c>
      <c r="AF492" s="36">
        <v>2</v>
      </c>
      <c r="AG492" s="36">
        <v>0</v>
      </c>
      <c r="AH492" s="50">
        <v>2</v>
      </c>
      <c r="AI492" s="36">
        <v>0</v>
      </c>
      <c r="AJ492" s="36">
        <v>2</v>
      </c>
      <c r="AK492" s="36">
        <v>2</v>
      </c>
      <c r="AL492" s="36">
        <v>0</v>
      </c>
      <c r="AM492" s="50">
        <v>2</v>
      </c>
      <c r="AN492" s="36">
        <v>2</v>
      </c>
      <c r="AO492" s="36">
        <v>2</v>
      </c>
      <c r="AP492" s="36">
        <v>2</v>
      </c>
      <c r="AQ492" s="36">
        <v>0</v>
      </c>
      <c r="AR492" s="50">
        <v>0</v>
      </c>
      <c r="AS492" s="36">
        <v>0</v>
      </c>
      <c r="AT492" s="36">
        <v>0</v>
      </c>
      <c r="AU492" s="36">
        <v>0</v>
      </c>
      <c r="AV492" s="36">
        <v>0</v>
      </c>
      <c r="AW492">
        <v>0</v>
      </c>
    </row>
    <row r="493" spans="1:50" x14ac:dyDescent="0.25">
      <c r="A493" s="36"/>
      <c r="B493" t="s">
        <v>120</v>
      </c>
      <c r="C493" s="36" t="str">
        <f>'Status Thresholds'!B484</f>
        <v>Lavasioth</v>
      </c>
      <c r="E493" s="36" t="str">
        <f t="shared" si="17"/>
        <v>Lavasioth</v>
      </c>
      <c r="F493" s="36" t="str">
        <f>IFERROR(VLOOKUP($E493,'Status Thresholds'!$E:$AS,1,FALSE),"")</f>
        <v/>
      </c>
      <c r="G493" t="s">
        <v>13</v>
      </c>
      <c r="H493" s="55" t="str">
        <f t="shared" si="18"/>
        <v>LavasiothCrag 3</v>
      </c>
      <c r="I493" s="50">
        <v>0</v>
      </c>
      <c r="J493" s="36">
        <v>4</v>
      </c>
      <c r="K493" s="36">
        <v>3</v>
      </c>
      <c r="L493" s="36">
        <v>4</v>
      </c>
      <c r="M493" s="36">
        <v>0</v>
      </c>
      <c r="N493" s="50">
        <v>0</v>
      </c>
      <c r="O493" s="36">
        <v>4</v>
      </c>
      <c r="P493" s="36">
        <v>3</v>
      </c>
      <c r="Q493" s="36">
        <v>4</v>
      </c>
      <c r="R493" s="36">
        <v>0</v>
      </c>
      <c r="S493" s="50">
        <v>0</v>
      </c>
      <c r="T493" s="36">
        <v>4</v>
      </c>
      <c r="U493" s="36">
        <v>3</v>
      </c>
      <c r="V493" s="36">
        <v>4</v>
      </c>
      <c r="W493" s="36">
        <v>0</v>
      </c>
      <c r="X493" s="50">
        <v>0</v>
      </c>
      <c r="Y493" s="36">
        <v>0</v>
      </c>
      <c r="Z493" s="36">
        <v>0</v>
      </c>
      <c r="AA493" s="36">
        <v>0</v>
      </c>
      <c r="AB493" s="36">
        <v>0</v>
      </c>
      <c r="AC493" s="50">
        <v>0</v>
      </c>
      <c r="AD493" s="36">
        <v>4</v>
      </c>
      <c r="AE493" s="36">
        <v>4</v>
      </c>
      <c r="AF493" s="36">
        <v>4</v>
      </c>
      <c r="AG493" s="36">
        <v>0</v>
      </c>
      <c r="AH493" s="50">
        <v>0</v>
      </c>
      <c r="AI493" s="36">
        <v>4</v>
      </c>
      <c r="AJ493" s="36">
        <v>4</v>
      </c>
      <c r="AK493" s="36">
        <v>4</v>
      </c>
      <c r="AL493" s="36">
        <v>0</v>
      </c>
      <c r="AM493" s="50">
        <v>3</v>
      </c>
      <c r="AN493" s="36">
        <v>4</v>
      </c>
      <c r="AO493" s="36">
        <v>4</v>
      </c>
      <c r="AP493" s="36">
        <v>4</v>
      </c>
      <c r="AQ493" s="36">
        <v>0</v>
      </c>
      <c r="AR493" s="50">
        <v>0</v>
      </c>
      <c r="AS493" s="36">
        <v>0</v>
      </c>
      <c r="AT493" s="36">
        <v>0</v>
      </c>
      <c r="AU493" s="36">
        <v>0</v>
      </c>
      <c r="AV493" s="36">
        <v>0</v>
      </c>
      <c r="AW493">
        <v>0</v>
      </c>
      <c r="AX493">
        <v>0</v>
      </c>
    </row>
    <row r="494" spans="1:50" x14ac:dyDescent="0.25">
      <c r="A494" s="36"/>
      <c r="B494" t="s">
        <v>120</v>
      </c>
      <c r="C494" s="36" t="str">
        <f>'Status Thresholds'!B485</f>
        <v>Lavasioth</v>
      </c>
      <c r="E494" s="36" t="str">
        <f t="shared" si="17"/>
        <v>Lavasioth</v>
      </c>
      <c r="F494" s="36" t="str">
        <f>IFERROR(VLOOKUP($E494,'Status Thresholds'!$E:$AS,1,FALSE),"")</f>
        <v/>
      </c>
      <c r="G494" t="s">
        <v>12</v>
      </c>
      <c r="H494" s="55" t="str">
        <f t="shared" si="18"/>
        <v>LavasiothCrag 2</v>
      </c>
      <c r="I494" s="50">
        <v>4</v>
      </c>
      <c r="J494" s="36">
        <v>1</v>
      </c>
      <c r="K494" s="36">
        <v>4</v>
      </c>
      <c r="L494" s="36">
        <v>4</v>
      </c>
      <c r="M494" s="36">
        <v>0</v>
      </c>
      <c r="N494" s="50">
        <v>4</v>
      </c>
      <c r="O494" s="36">
        <v>1</v>
      </c>
      <c r="P494" s="36">
        <v>4</v>
      </c>
      <c r="Q494" s="36">
        <v>4</v>
      </c>
      <c r="R494" s="36">
        <v>0</v>
      </c>
      <c r="S494" s="50">
        <v>4</v>
      </c>
      <c r="T494" s="36">
        <v>1</v>
      </c>
      <c r="U494" s="36">
        <v>4</v>
      </c>
      <c r="V494" s="36">
        <v>4</v>
      </c>
      <c r="W494" s="36">
        <v>0</v>
      </c>
      <c r="X494" s="50">
        <v>0</v>
      </c>
      <c r="Y494" s="36">
        <v>0</v>
      </c>
      <c r="Z494" s="36">
        <v>0</v>
      </c>
      <c r="AA494" s="36">
        <v>0</v>
      </c>
      <c r="AB494" s="36">
        <v>0</v>
      </c>
      <c r="AC494" s="50">
        <v>2</v>
      </c>
      <c r="AD494" s="36">
        <v>2</v>
      </c>
      <c r="AE494" s="36">
        <v>4</v>
      </c>
      <c r="AF494" s="36">
        <v>4</v>
      </c>
      <c r="AG494" s="36">
        <v>0</v>
      </c>
      <c r="AH494" s="50">
        <v>0</v>
      </c>
      <c r="AI494" s="36">
        <v>3</v>
      </c>
      <c r="AJ494" s="36">
        <v>4</v>
      </c>
      <c r="AK494" s="36">
        <v>4</v>
      </c>
      <c r="AL494" s="36">
        <v>0</v>
      </c>
      <c r="AM494" s="50">
        <v>1</v>
      </c>
      <c r="AN494" s="36">
        <v>3</v>
      </c>
      <c r="AO494" s="36">
        <v>4</v>
      </c>
      <c r="AP494" s="36">
        <v>4</v>
      </c>
      <c r="AQ494" s="36">
        <v>0</v>
      </c>
      <c r="AR494" s="50">
        <v>0</v>
      </c>
      <c r="AS494" s="36">
        <v>0</v>
      </c>
      <c r="AT494" s="36">
        <v>0</v>
      </c>
      <c r="AU494" s="36">
        <v>0</v>
      </c>
      <c r="AV494" s="36">
        <v>0</v>
      </c>
      <c r="AW494">
        <v>0</v>
      </c>
      <c r="AX494">
        <v>0</v>
      </c>
    </row>
    <row r="495" spans="1:50" x14ac:dyDescent="0.25">
      <c r="A495" s="36"/>
      <c r="B495" t="s">
        <v>120</v>
      </c>
      <c r="C495" s="36" t="str">
        <f>'Status Thresholds'!B486</f>
        <v>Lavasioth</v>
      </c>
      <c r="E495" s="36" t="str">
        <f t="shared" si="17"/>
        <v>Lavasioth</v>
      </c>
      <c r="F495" s="36" t="str">
        <f>IFERROR(VLOOKUP($E495,'Status Thresholds'!$E:$AS,1,FALSE),"")</f>
        <v/>
      </c>
      <c r="G495" t="s">
        <v>11</v>
      </c>
      <c r="H495" s="55" t="str">
        <f t="shared" si="18"/>
        <v>LavasiothCrag 1</v>
      </c>
      <c r="I495" s="50">
        <v>0</v>
      </c>
      <c r="J495" s="36">
        <v>2</v>
      </c>
      <c r="K495" s="36">
        <v>8</v>
      </c>
      <c r="L495" s="36">
        <v>8</v>
      </c>
      <c r="M495" s="36">
        <v>0</v>
      </c>
      <c r="N495" s="50">
        <v>0</v>
      </c>
      <c r="O495" s="36">
        <v>2</v>
      </c>
      <c r="P495" s="36">
        <v>8</v>
      </c>
      <c r="Q495" s="36">
        <v>8</v>
      </c>
      <c r="R495" s="36">
        <v>0</v>
      </c>
      <c r="S495" s="50">
        <v>0</v>
      </c>
      <c r="T495" s="36">
        <v>2</v>
      </c>
      <c r="U495" s="36">
        <v>8</v>
      </c>
      <c r="V495" s="36">
        <v>8</v>
      </c>
      <c r="W495" s="36">
        <v>0</v>
      </c>
      <c r="X495" s="50">
        <v>0</v>
      </c>
      <c r="Y495" s="36">
        <v>0</v>
      </c>
      <c r="Z495" s="36">
        <v>0</v>
      </c>
      <c r="AA495" s="36">
        <v>0</v>
      </c>
      <c r="AB495" s="36">
        <v>0</v>
      </c>
      <c r="AC495" s="50">
        <v>0</v>
      </c>
      <c r="AD495" s="36">
        <v>2</v>
      </c>
      <c r="AE495" s="36">
        <v>8</v>
      </c>
      <c r="AF495" s="36">
        <v>8</v>
      </c>
      <c r="AG495" s="36">
        <v>0</v>
      </c>
      <c r="AH495" s="50">
        <v>3</v>
      </c>
      <c r="AI495" s="36">
        <v>8</v>
      </c>
      <c r="AJ495" s="36">
        <v>8</v>
      </c>
      <c r="AK495" s="36">
        <v>8</v>
      </c>
      <c r="AL495" s="36">
        <v>0</v>
      </c>
      <c r="AM495" s="50">
        <v>0</v>
      </c>
      <c r="AN495" s="36">
        <v>8</v>
      </c>
      <c r="AO495" s="36">
        <v>8</v>
      </c>
      <c r="AP495" s="36">
        <v>8</v>
      </c>
      <c r="AQ495" s="36">
        <v>0</v>
      </c>
      <c r="AR495" s="50">
        <v>0</v>
      </c>
      <c r="AS495" s="36">
        <v>0</v>
      </c>
      <c r="AT495" s="36">
        <v>0</v>
      </c>
      <c r="AU495" s="36">
        <v>0</v>
      </c>
      <c r="AV495" s="36">
        <v>1</v>
      </c>
      <c r="AW495">
        <v>0</v>
      </c>
      <c r="AX495">
        <v>0</v>
      </c>
    </row>
    <row r="496" spans="1:50" x14ac:dyDescent="0.25">
      <c r="A496" s="36"/>
      <c r="B496" t="s">
        <v>119</v>
      </c>
      <c r="C496" s="36" t="str">
        <f>'Status Thresholds'!B487</f>
        <v>Lavasioth</v>
      </c>
      <c r="E496" s="36" t="str">
        <f t="shared" si="17"/>
        <v>Lavasioth</v>
      </c>
      <c r="F496" s="36" t="str">
        <f>IFERROR(VLOOKUP($E496,'Status Thresholds'!$E:$AS,1,FALSE),"")</f>
        <v/>
      </c>
      <c r="G496" s="36" t="s">
        <v>21</v>
      </c>
      <c r="H496" s="55" t="str">
        <f t="shared" si="18"/>
        <v>LavasiothTriblast</v>
      </c>
      <c r="I496" s="50">
        <v>2</v>
      </c>
      <c r="J496" s="36">
        <v>2</v>
      </c>
      <c r="K496" s="36">
        <v>2</v>
      </c>
      <c r="L496" s="36">
        <v>2</v>
      </c>
      <c r="M496" s="36">
        <v>0</v>
      </c>
      <c r="N496" s="50">
        <v>2</v>
      </c>
      <c r="O496" s="36">
        <v>2</v>
      </c>
      <c r="P496" s="36">
        <v>2</v>
      </c>
      <c r="Q496" s="36">
        <v>2</v>
      </c>
      <c r="R496" s="36">
        <v>0</v>
      </c>
      <c r="S496" s="50">
        <v>2</v>
      </c>
      <c r="T496" s="36">
        <v>2</v>
      </c>
      <c r="U496" s="36">
        <v>2</v>
      </c>
      <c r="V496" s="36">
        <v>2</v>
      </c>
      <c r="W496" s="36">
        <v>0</v>
      </c>
      <c r="X496" s="50">
        <v>0</v>
      </c>
      <c r="Y496" s="36">
        <v>0</v>
      </c>
      <c r="Z496" s="36">
        <v>0</v>
      </c>
      <c r="AA496" s="36">
        <v>0</v>
      </c>
      <c r="AB496" s="36">
        <v>0</v>
      </c>
      <c r="AC496" s="50">
        <v>0</v>
      </c>
      <c r="AD496" s="36">
        <v>0</v>
      </c>
      <c r="AE496" s="36">
        <v>2</v>
      </c>
      <c r="AF496" s="36">
        <v>2</v>
      </c>
      <c r="AG496" s="36">
        <v>0</v>
      </c>
      <c r="AH496" s="50">
        <v>0</v>
      </c>
      <c r="AI496" s="36">
        <v>2</v>
      </c>
      <c r="AJ496" s="36">
        <v>2</v>
      </c>
      <c r="AK496" s="36">
        <v>2</v>
      </c>
      <c r="AL496" s="36">
        <v>0</v>
      </c>
      <c r="AM496" s="50">
        <v>1</v>
      </c>
      <c r="AN496" s="36">
        <v>2</v>
      </c>
      <c r="AO496" s="36">
        <v>2</v>
      </c>
      <c r="AP496" s="36">
        <v>2</v>
      </c>
      <c r="AQ496" s="36">
        <v>0</v>
      </c>
      <c r="AR496" s="50">
        <v>0</v>
      </c>
      <c r="AS496" s="36">
        <v>0</v>
      </c>
      <c r="AT496" s="36">
        <v>0</v>
      </c>
      <c r="AU496" s="36">
        <v>0</v>
      </c>
      <c r="AV496" s="36">
        <v>0</v>
      </c>
      <c r="AW496">
        <v>0</v>
      </c>
      <c r="AX496">
        <v>0</v>
      </c>
    </row>
    <row r="497" spans="1:50" x14ac:dyDescent="0.25">
      <c r="A497" s="36"/>
      <c r="B497" t="s">
        <v>119</v>
      </c>
      <c r="C497" s="36" t="str">
        <f>'Status Thresholds'!B488</f>
        <v>Lavasioth</v>
      </c>
      <c r="E497" s="36" t="str">
        <f t="shared" si="17"/>
        <v>Lavasioth</v>
      </c>
      <c r="F497" s="36" t="str">
        <f>IFERROR(VLOOKUP($E497,'Status Thresholds'!$E:$AS,1,FALSE),"")</f>
        <v/>
      </c>
      <c r="G497" t="s">
        <v>13</v>
      </c>
      <c r="H497" s="55" t="str">
        <f t="shared" si="18"/>
        <v>LavasiothCrag 3</v>
      </c>
      <c r="I497" s="50">
        <v>0</v>
      </c>
      <c r="J497" s="36">
        <v>0</v>
      </c>
      <c r="K497" s="36">
        <v>4</v>
      </c>
      <c r="L497" s="36">
        <v>4</v>
      </c>
      <c r="M497" s="36">
        <v>0</v>
      </c>
      <c r="N497" s="50">
        <v>0</v>
      </c>
      <c r="O497" s="36">
        <v>0</v>
      </c>
      <c r="P497" s="36">
        <v>4</v>
      </c>
      <c r="Q497" s="36">
        <v>4</v>
      </c>
      <c r="R497" s="36">
        <v>0</v>
      </c>
      <c r="S497" s="50">
        <v>0</v>
      </c>
      <c r="T497" s="36">
        <v>0</v>
      </c>
      <c r="U497" s="36">
        <v>4</v>
      </c>
      <c r="V497" s="36">
        <v>4</v>
      </c>
      <c r="W497" s="36">
        <v>0</v>
      </c>
      <c r="X497" s="50">
        <v>0</v>
      </c>
      <c r="Y497" s="36">
        <v>0</v>
      </c>
      <c r="Z497" s="36">
        <v>0</v>
      </c>
      <c r="AA497" s="36">
        <v>0</v>
      </c>
      <c r="AB497" s="36">
        <v>0</v>
      </c>
      <c r="AC497" s="50">
        <v>1</v>
      </c>
      <c r="AD497" s="36">
        <v>3</v>
      </c>
      <c r="AE497" s="36">
        <v>4</v>
      </c>
      <c r="AF497" s="36">
        <v>4</v>
      </c>
      <c r="AG497" s="36">
        <v>0</v>
      </c>
      <c r="AH497" s="50">
        <v>3</v>
      </c>
      <c r="AI497" s="36">
        <v>0</v>
      </c>
      <c r="AJ497" s="36">
        <v>4</v>
      </c>
      <c r="AK497" s="36">
        <v>4</v>
      </c>
      <c r="AL497" s="36">
        <v>0</v>
      </c>
      <c r="AM497" s="50">
        <v>3</v>
      </c>
      <c r="AN497" s="36">
        <v>4</v>
      </c>
      <c r="AO497" s="36">
        <v>4</v>
      </c>
      <c r="AP497" s="36">
        <v>4</v>
      </c>
      <c r="AQ497" s="36">
        <v>0</v>
      </c>
      <c r="AR497" s="50">
        <v>0</v>
      </c>
      <c r="AS497" s="36">
        <v>0</v>
      </c>
      <c r="AT497" s="36">
        <v>0</v>
      </c>
      <c r="AU497" s="36">
        <v>0</v>
      </c>
      <c r="AV497" s="36">
        <v>0</v>
      </c>
      <c r="AW497">
        <v>0</v>
      </c>
      <c r="AX497">
        <v>0</v>
      </c>
    </row>
    <row r="498" spans="1:50" x14ac:dyDescent="0.25">
      <c r="A498" s="36"/>
      <c r="B498" t="s">
        <v>119</v>
      </c>
      <c r="C498" s="36" t="str">
        <f>'Status Thresholds'!B489</f>
        <v>Lavasioth</v>
      </c>
      <c r="E498" s="36" t="str">
        <f t="shared" si="17"/>
        <v>Lavasioth</v>
      </c>
      <c r="F498" s="36" t="str">
        <f>IFERROR(VLOOKUP($E498,'Status Thresholds'!$E:$AS,1,FALSE),"")</f>
        <v/>
      </c>
      <c r="G498" t="s">
        <v>12</v>
      </c>
      <c r="H498" s="55" t="str">
        <f t="shared" si="18"/>
        <v>LavasiothCrag 2</v>
      </c>
      <c r="I498" s="50">
        <v>1</v>
      </c>
      <c r="J498" s="36">
        <v>2</v>
      </c>
      <c r="K498" s="36">
        <v>1</v>
      </c>
      <c r="L498" s="36">
        <v>4</v>
      </c>
      <c r="M498" s="36">
        <v>0</v>
      </c>
      <c r="N498" s="50">
        <v>1</v>
      </c>
      <c r="O498" s="36">
        <v>2</v>
      </c>
      <c r="P498" s="36">
        <v>1</v>
      </c>
      <c r="Q498" s="36">
        <v>4</v>
      </c>
      <c r="R498" s="36">
        <v>0</v>
      </c>
      <c r="S498" s="50">
        <v>1</v>
      </c>
      <c r="T498" s="36">
        <v>2</v>
      </c>
      <c r="U498" s="36">
        <v>1</v>
      </c>
      <c r="V498" s="36">
        <v>4</v>
      </c>
      <c r="W498" s="36">
        <v>0</v>
      </c>
      <c r="X498" s="50">
        <v>0</v>
      </c>
      <c r="Y498" s="36">
        <v>0</v>
      </c>
      <c r="Z498" s="36">
        <v>0</v>
      </c>
      <c r="AA498" s="36">
        <v>0</v>
      </c>
      <c r="AB498" s="36">
        <v>0</v>
      </c>
      <c r="AC498" s="50">
        <v>1</v>
      </c>
      <c r="AD498" s="36">
        <v>3</v>
      </c>
      <c r="AE498" s="36">
        <v>4</v>
      </c>
      <c r="AF498" s="36">
        <v>4</v>
      </c>
      <c r="AG498" s="36">
        <v>0</v>
      </c>
      <c r="AH498" s="50">
        <v>2</v>
      </c>
      <c r="AI498" s="36">
        <v>3</v>
      </c>
      <c r="AJ498" s="36">
        <v>4</v>
      </c>
      <c r="AK498" s="36">
        <v>4</v>
      </c>
      <c r="AL498" s="36">
        <v>0</v>
      </c>
      <c r="AM498" s="50">
        <v>1</v>
      </c>
      <c r="AN498" s="36">
        <v>4</v>
      </c>
      <c r="AO498" s="36">
        <v>4</v>
      </c>
      <c r="AP498" s="36">
        <v>4</v>
      </c>
      <c r="AQ498" s="36">
        <v>0</v>
      </c>
      <c r="AR498" s="50">
        <v>0</v>
      </c>
      <c r="AS498" s="36">
        <v>0</v>
      </c>
      <c r="AT498" s="36">
        <v>0</v>
      </c>
      <c r="AU498" s="36">
        <v>0</v>
      </c>
      <c r="AV498" s="36">
        <v>0</v>
      </c>
      <c r="AW498">
        <v>0</v>
      </c>
      <c r="AX498">
        <v>0</v>
      </c>
    </row>
    <row r="499" spans="1:50" x14ac:dyDescent="0.25">
      <c r="A499" s="36"/>
      <c r="B499" t="s">
        <v>119</v>
      </c>
      <c r="C499" s="36" t="str">
        <f>'Status Thresholds'!B490</f>
        <v>Lavasioth</v>
      </c>
      <c r="E499" s="36" t="str">
        <f t="shared" si="17"/>
        <v>Lavasioth</v>
      </c>
      <c r="F499" s="36" t="str">
        <f>IFERROR(VLOOKUP($E499,'Status Thresholds'!$E:$AS,1,FALSE),"")</f>
        <v/>
      </c>
      <c r="G499" t="s">
        <v>11</v>
      </c>
      <c r="H499" s="55" t="str">
        <f t="shared" si="18"/>
        <v>LavasiothCrag 1</v>
      </c>
      <c r="I499" s="50">
        <v>0</v>
      </c>
      <c r="J499" s="36">
        <v>6</v>
      </c>
      <c r="K499" s="36">
        <v>8</v>
      </c>
      <c r="L499" s="36">
        <v>8</v>
      </c>
      <c r="M499" s="36">
        <v>0</v>
      </c>
      <c r="N499" s="50">
        <v>0</v>
      </c>
      <c r="O499" s="36">
        <v>6</v>
      </c>
      <c r="P499" s="36">
        <v>8</v>
      </c>
      <c r="Q499" s="36">
        <v>8</v>
      </c>
      <c r="R499" s="36">
        <v>0</v>
      </c>
      <c r="S499" s="50">
        <v>0</v>
      </c>
      <c r="T499" s="36">
        <v>6</v>
      </c>
      <c r="U499" s="36">
        <v>8</v>
      </c>
      <c r="V499" s="36">
        <v>8</v>
      </c>
      <c r="W499" s="36">
        <v>0</v>
      </c>
      <c r="X499" s="50">
        <v>0</v>
      </c>
      <c r="Y499" s="36">
        <v>0</v>
      </c>
      <c r="Z499" s="36">
        <v>0</v>
      </c>
      <c r="AA499" s="36">
        <v>0</v>
      </c>
      <c r="AB499" s="36">
        <v>0</v>
      </c>
      <c r="AC499" s="50">
        <v>5</v>
      </c>
      <c r="AD499" s="36">
        <v>7</v>
      </c>
      <c r="AE499" s="36">
        <v>6</v>
      </c>
      <c r="AF499" s="36">
        <v>8</v>
      </c>
      <c r="AG499" s="36">
        <v>0</v>
      </c>
      <c r="AH499" s="50">
        <v>1</v>
      </c>
      <c r="AI499" s="36">
        <v>7</v>
      </c>
      <c r="AJ499" s="36">
        <v>8</v>
      </c>
      <c r="AK499" s="36">
        <v>8</v>
      </c>
      <c r="AL499" s="36">
        <v>0</v>
      </c>
      <c r="AM499" s="50">
        <v>2</v>
      </c>
      <c r="AN499" s="36">
        <v>5</v>
      </c>
      <c r="AO499" s="36">
        <v>8</v>
      </c>
      <c r="AP499" s="36">
        <v>8</v>
      </c>
      <c r="AQ499" s="36">
        <v>0</v>
      </c>
      <c r="AR499" s="50">
        <v>0</v>
      </c>
      <c r="AS499" s="36">
        <v>0</v>
      </c>
      <c r="AT499" s="36">
        <v>0</v>
      </c>
      <c r="AU499" s="36">
        <v>0</v>
      </c>
      <c r="AV499" s="36">
        <v>1</v>
      </c>
      <c r="AW499">
        <v>0</v>
      </c>
      <c r="AX499">
        <v>0</v>
      </c>
    </row>
    <row r="500" spans="1:50" x14ac:dyDescent="0.25">
      <c r="A500" s="36"/>
      <c r="B500" t="s">
        <v>121</v>
      </c>
      <c r="C500" s="36" t="str">
        <f>'Status Thresholds'!B491</f>
        <v>Malfestio</v>
      </c>
      <c r="D500" t="s">
        <v>14</v>
      </c>
      <c r="E500" s="36" t="str">
        <f t="shared" si="17"/>
        <v>MalfestioKO</v>
      </c>
      <c r="F500" s="36" t="str">
        <f>IFERROR(VLOOKUP($E500,'Status Thresholds'!$E:$AS,1,FALSE),"")</f>
        <v>MalfestioKO</v>
      </c>
      <c r="H500" s="55" t="str">
        <f t="shared" si="18"/>
        <v>MalfestioKO</v>
      </c>
      <c r="I500" s="50">
        <f>VLOOKUP($F500,'Status Thresholds'!$E:$AS,2,FALSE)</f>
        <v>195</v>
      </c>
      <c r="J500" s="36">
        <f>VLOOKUP($F500,'Status Thresholds'!$E:$AS,3,FALSE)</f>
        <v>299</v>
      </c>
      <c r="K500" s="36">
        <f>VLOOKUP($F500,'Status Thresholds'!$E:$AS,4,FALSE)</f>
        <v>403</v>
      </c>
      <c r="L500" s="36">
        <f>VLOOKUP($F500,'Status Thresholds'!$E:$AS,5,FALSE)</f>
        <v>506</v>
      </c>
      <c r="M500" s="36">
        <f>VLOOKUP($F500,'Status Thresholds'!$E:$AS,6,FALSE)</f>
        <v>0</v>
      </c>
      <c r="N500" s="50">
        <f>VLOOKUP($F500,'Status Thresholds'!$E:$AS,7,FALSE)</f>
        <v>195</v>
      </c>
      <c r="O500" s="36">
        <f>VLOOKUP($F500,'Status Thresholds'!$E:$AS,8,FALSE)</f>
        <v>299</v>
      </c>
      <c r="P500" s="36">
        <f>VLOOKUP($F500,'Status Thresholds'!$E:$AS,9,FALSE)</f>
        <v>403</v>
      </c>
      <c r="Q500" s="36">
        <f>VLOOKUP($F500,'Status Thresholds'!$E:$AS,10,FALSE)</f>
        <v>507</v>
      </c>
      <c r="R500" s="36">
        <f>VLOOKUP($F500,'Status Thresholds'!$E:$AS,11,FALSE)</f>
        <v>0</v>
      </c>
      <c r="S500" s="50">
        <f>VLOOKUP($F500,'Status Thresholds'!$E:$AS,12,FALSE)</f>
        <v>195</v>
      </c>
      <c r="T500" s="36">
        <f>VLOOKUP($F500,'Status Thresholds'!$E:$AS,13,FALSE)</f>
        <v>299</v>
      </c>
      <c r="U500" s="36">
        <f>VLOOKUP($F500,'Status Thresholds'!$E:$AS,14,FALSE)</f>
        <v>403</v>
      </c>
      <c r="V500" s="36">
        <f>VLOOKUP($F500,'Status Thresholds'!$E:$AS,15,FALSE)</f>
        <v>507</v>
      </c>
      <c r="W500" s="36">
        <f>VLOOKUP($F500,'Status Thresholds'!$E:$AS,16,FALSE)</f>
        <v>0</v>
      </c>
      <c r="X500" s="50">
        <f>VLOOKUP($F500,'Status Thresholds'!$E:$AS,17,FALSE)</f>
        <v>0</v>
      </c>
      <c r="Y500" s="36">
        <f>VLOOKUP($F500,'Status Thresholds'!$E:$AS,18,FALSE)</f>
        <v>0</v>
      </c>
      <c r="Z500" s="36">
        <f>VLOOKUP($F500,'Status Thresholds'!$E:$AS,19,FALSE)</f>
        <v>0</v>
      </c>
      <c r="AA500" s="36">
        <f>VLOOKUP($F500,'Status Thresholds'!$E:$AS,20,FALSE)</f>
        <v>0</v>
      </c>
      <c r="AB500" s="36">
        <f>VLOOKUP($F500,'Status Thresholds'!$E:$AS,21,FALSE)</f>
        <v>0</v>
      </c>
      <c r="AC500" s="50">
        <f>VLOOKUP($F500,'Status Thresholds'!$E:$AS,22,FALSE)</f>
        <v>210</v>
      </c>
      <c r="AD500" s="36">
        <f>VLOOKUP($F500,'Status Thresholds'!$E:$AS,23,FALSE)</f>
        <v>322</v>
      </c>
      <c r="AE500" s="36">
        <f>VLOOKUP($F500,'Status Thresholds'!$E:$AS,24,FALSE)</f>
        <v>434</v>
      </c>
      <c r="AF500" s="36">
        <f>VLOOKUP($F500,'Status Thresholds'!$E:$AS,25,FALSE)</f>
        <v>546</v>
      </c>
      <c r="AG500" s="36">
        <f>VLOOKUP($F500,'Status Thresholds'!$E:$AS,26,FALSE)</f>
        <v>0</v>
      </c>
      <c r="AH500" s="50">
        <f>VLOOKUP($F500,'Status Thresholds'!$E:$AS,27,FALSE)</f>
        <v>225</v>
      </c>
      <c r="AI500" s="36">
        <f>VLOOKUP($F500,'Status Thresholds'!$E:$AS,28,FALSE)</f>
        <v>345</v>
      </c>
      <c r="AJ500" s="36">
        <f>VLOOKUP($F500,'Status Thresholds'!$E:$AS,29,FALSE)</f>
        <v>465</v>
      </c>
      <c r="AK500" s="36">
        <f>VLOOKUP($F500,'Status Thresholds'!$E:$AS,30,FALSE)</f>
        <v>585</v>
      </c>
      <c r="AL500" s="36">
        <f>VLOOKUP($F500,'Status Thresholds'!$E:$AS,31,FALSE)</f>
        <v>0</v>
      </c>
      <c r="AM500" s="50">
        <f>VLOOKUP($F500,'Status Thresholds'!$E:$AS,32,FALSE)</f>
        <v>0</v>
      </c>
      <c r="AN500" s="36">
        <f>VLOOKUP($F500,'Status Thresholds'!$E:$AS,33,FALSE)</f>
        <v>0</v>
      </c>
      <c r="AO500" s="36">
        <f>VLOOKUP($F500,'Status Thresholds'!$E:$AS,34,FALSE)</f>
        <v>0</v>
      </c>
      <c r="AP500" s="36">
        <f>VLOOKUP($F500,'Status Thresholds'!$E:$AS,35,FALSE)</f>
        <v>0</v>
      </c>
      <c r="AQ500" s="36">
        <f>VLOOKUP($F500,'Status Thresholds'!$E:$AS,36,FALSE)</f>
        <v>0</v>
      </c>
      <c r="AR500" s="50">
        <f>VLOOKUP($F500,'Status Thresholds'!$E:$AS,37,FALSE)</f>
        <v>0</v>
      </c>
      <c r="AS500" s="36">
        <f>VLOOKUP($F500,'Status Thresholds'!$E:$AS,38,FALSE)</f>
        <v>0</v>
      </c>
      <c r="AT500" s="36">
        <f>VLOOKUP($F500,'Status Thresholds'!$E:$AS,39,FALSE)</f>
        <v>0</v>
      </c>
      <c r="AU500" s="36">
        <f>VLOOKUP($F500,'Status Thresholds'!$E:$AS,40,FALSE)</f>
        <v>0</v>
      </c>
      <c r="AV500" s="36">
        <f>VLOOKUP($F500,'Status Thresholds'!$E:$AS,41,FALSE)</f>
        <v>10</v>
      </c>
      <c r="AW500">
        <v>0</v>
      </c>
      <c r="AX500">
        <v>0</v>
      </c>
    </row>
    <row r="501" spans="1:50" x14ac:dyDescent="0.25">
      <c r="A501" s="36"/>
      <c r="B501" t="s">
        <v>120</v>
      </c>
      <c r="C501" s="36" t="str">
        <f>'Status Thresholds'!B492</f>
        <v>Malfestio</v>
      </c>
      <c r="E501" s="36" t="str">
        <f t="shared" si="17"/>
        <v>Malfestio</v>
      </c>
      <c r="F501" s="36" t="str">
        <f>IFERROR(VLOOKUP($E501,'Status Thresholds'!$E:$AS,1,FALSE),"")</f>
        <v/>
      </c>
      <c r="G501" t="s">
        <v>21</v>
      </c>
      <c r="H501" s="55" t="str">
        <f t="shared" si="18"/>
        <v>MalfestioTriblast</v>
      </c>
      <c r="I501" s="50">
        <v>1</v>
      </c>
      <c r="J501" s="36">
        <v>2</v>
      </c>
      <c r="K501" s="36">
        <v>2</v>
      </c>
      <c r="L501" s="36">
        <v>2</v>
      </c>
      <c r="M501" s="36">
        <v>0</v>
      </c>
      <c r="N501" s="50">
        <v>1</v>
      </c>
      <c r="O501" s="36">
        <v>2</v>
      </c>
      <c r="P501" s="36">
        <v>2</v>
      </c>
      <c r="Q501" s="36">
        <v>2</v>
      </c>
      <c r="R501" s="36">
        <v>0</v>
      </c>
      <c r="S501" s="50">
        <v>1</v>
      </c>
      <c r="T501" s="36">
        <v>2</v>
      </c>
      <c r="U501" s="36">
        <v>2</v>
      </c>
      <c r="V501" s="36">
        <v>2</v>
      </c>
      <c r="W501" s="36">
        <v>0</v>
      </c>
      <c r="X501" s="50">
        <v>0</v>
      </c>
      <c r="Y501" s="36">
        <v>0</v>
      </c>
      <c r="Z501" s="36">
        <v>0</v>
      </c>
      <c r="AA501" s="36">
        <v>0</v>
      </c>
      <c r="AB501" s="36">
        <v>0</v>
      </c>
      <c r="AC501" s="50">
        <v>2</v>
      </c>
      <c r="AD501" s="36">
        <v>2</v>
      </c>
      <c r="AE501" s="36">
        <v>2</v>
      </c>
      <c r="AF501" s="36">
        <v>2</v>
      </c>
      <c r="AG501" s="36">
        <v>0</v>
      </c>
      <c r="AH501" s="50">
        <v>2</v>
      </c>
      <c r="AI501" s="36">
        <v>1</v>
      </c>
      <c r="AJ501" s="36">
        <v>1</v>
      </c>
      <c r="AK501" s="36">
        <v>2</v>
      </c>
      <c r="AL501" s="36">
        <v>0</v>
      </c>
      <c r="AM501" s="50">
        <v>0</v>
      </c>
      <c r="AN501" s="36">
        <v>0</v>
      </c>
      <c r="AO501" s="36">
        <v>0</v>
      </c>
      <c r="AP501" s="36">
        <v>0</v>
      </c>
      <c r="AQ501" s="36">
        <v>0</v>
      </c>
      <c r="AR501" s="50">
        <v>0</v>
      </c>
      <c r="AS501" s="36">
        <v>0</v>
      </c>
      <c r="AT501" s="36">
        <v>0</v>
      </c>
      <c r="AU501" s="36">
        <v>0</v>
      </c>
      <c r="AV501" s="36">
        <v>0</v>
      </c>
      <c r="AW501">
        <v>0</v>
      </c>
    </row>
    <row r="502" spans="1:50" x14ac:dyDescent="0.25">
      <c r="A502" s="36"/>
      <c r="B502" t="s">
        <v>120</v>
      </c>
      <c r="C502" s="36" t="str">
        <f>'Status Thresholds'!B493</f>
        <v>Malfestio</v>
      </c>
      <c r="E502" s="36" t="str">
        <f t="shared" si="17"/>
        <v>Malfestio</v>
      </c>
      <c r="F502" s="36" t="str">
        <f>IFERROR(VLOOKUP($E502,'Status Thresholds'!$E:$AS,1,FALSE),"")</f>
        <v/>
      </c>
      <c r="G502" t="s">
        <v>13</v>
      </c>
      <c r="H502" s="55" t="str">
        <f t="shared" si="18"/>
        <v>MalfestioCrag 3</v>
      </c>
      <c r="I502" s="50">
        <v>0</v>
      </c>
      <c r="J502" s="36">
        <v>3</v>
      </c>
      <c r="K502" s="36">
        <v>3</v>
      </c>
      <c r="L502" s="36">
        <v>3</v>
      </c>
      <c r="M502" s="36">
        <v>0</v>
      </c>
      <c r="N502" s="50">
        <v>0</v>
      </c>
      <c r="O502" s="36">
        <v>3</v>
      </c>
      <c r="P502" s="36">
        <v>3</v>
      </c>
      <c r="Q502" s="36">
        <v>1</v>
      </c>
      <c r="R502" s="36">
        <v>0</v>
      </c>
      <c r="S502" s="50">
        <v>0</v>
      </c>
      <c r="T502" s="36">
        <v>3</v>
      </c>
      <c r="U502" s="36">
        <v>3</v>
      </c>
      <c r="V502" s="36">
        <v>1</v>
      </c>
      <c r="W502" s="36">
        <v>0</v>
      </c>
      <c r="X502" s="50">
        <v>0</v>
      </c>
      <c r="Y502" s="36">
        <v>0</v>
      </c>
      <c r="Z502" s="36">
        <v>0</v>
      </c>
      <c r="AA502" s="36">
        <v>0</v>
      </c>
      <c r="AB502" s="36">
        <v>0</v>
      </c>
      <c r="AC502" s="50">
        <v>0</v>
      </c>
      <c r="AD502" s="36">
        <v>1</v>
      </c>
      <c r="AE502" s="36">
        <v>1</v>
      </c>
      <c r="AF502" s="36">
        <v>4</v>
      </c>
      <c r="AG502" s="36">
        <v>0</v>
      </c>
      <c r="AH502" s="50">
        <v>0</v>
      </c>
      <c r="AI502" s="36">
        <v>3</v>
      </c>
      <c r="AJ502" s="36">
        <v>3</v>
      </c>
      <c r="AK502" s="36">
        <v>3</v>
      </c>
      <c r="AL502" s="36">
        <v>0</v>
      </c>
      <c r="AM502" s="50">
        <v>0</v>
      </c>
      <c r="AN502" s="36">
        <v>0</v>
      </c>
      <c r="AO502" s="36">
        <v>0</v>
      </c>
      <c r="AP502" s="36">
        <v>0</v>
      </c>
      <c r="AQ502" s="36">
        <v>0</v>
      </c>
      <c r="AR502" s="50">
        <v>0</v>
      </c>
      <c r="AS502" s="36">
        <v>0</v>
      </c>
      <c r="AT502" s="36">
        <v>0</v>
      </c>
      <c r="AU502" s="36">
        <v>0</v>
      </c>
      <c r="AV502" s="36">
        <v>0</v>
      </c>
      <c r="AW502">
        <v>0</v>
      </c>
      <c r="AX502">
        <v>0</v>
      </c>
    </row>
    <row r="503" spans="1:50" x14ac:dyDescent="0.25">
      <c r="A503" s="36"/>
      <c r="B503" t="s">
        <v>120</v>
      </c>
      <c r="C503" s="36" t="str">
        <f>'Status Thresholds'!B494</f>
        <v>Malfestio</v>
      </c>
      <c r="E503" s="36" t="str">
        <f t="shared" si="17"/>
        <v>Malfestio</v>
      </c>
      <c r="F503" s="36" t="str">
        <f>IFERROR(VLOOKUP($E503,'Status Thresholds'!$E:$AS,1,FALSE),"")</f>
        <v/>
      </c>
      <c r="G503" t="s">
        <v>12</v>
      </c>
      <c r="H503" s="55" t="str">
        <f t="shared" si="18"/>
        <v>MalfestioCrag 2</v>
      </c>
      <c r="I503" s="50">
        <v>4</v>
      </c>
      <c r="J503" s="36">
        <v>1</v>
      </c>
      <c r="K503" s="36">
        <v>2</v>
      </c>
      <c r="L503" s="36">
        <v>3</v>
      </c>
      <c r="M503" s="36">
        <v>0</v>
      </c>
      <c r="N503" s="50">
        <v>4</v>
      </c>
      <c r="O503" s="36">
        <v>1</v>
      </c>
      <c r="P503" s="36">
        <v>2</v>
      </c>
      <c r="Q503" s="36">
        <v>4</v>
      </c>
      <c r="R503" s="36">
        <v>0</v>
      </c>
      <c r="S503" s="50">
        <v>4</v>
      </c>
      <c r="T503" s="36">
        <v>1</v>
      </c>
      <c r="U503" s="36">
        <v>2</v>
      </c>
      <c r="V503" s="36">
        <v>4</v>
      </c>
      <c r="W503" s="36">
        <v>0</v>
      </c>
      <c r="X503" s="50">
        <v>0</v>
      </c>
      <c r="Y503" s="36">
        <v>0</v>
      </c>
      <c r="Z503" s="36">
        <v>0</v>
      </c>
      <c r="AA503" s="36">
        <v>0</v>
      </c>
      <c r="AB503" s="36">
        <v>0</v>
      </c>
      <c r="AC503" s="50">
        <v>2</v>
      </c>
      <c r="AD503" s="36">
        <v>2</v>
      </c>
      <c r="AE503" s="36">
        <v>4</v>
      </c>
      <c r="AF503" s="36">
        <v>3</v>
      </c>
      <c r="AG503" s="36">
        <v>0</v>
      </c>
      <c r="AH503" s="50">
        <v>0</v>
      </c>
      <c r="AI503" s="36">
        <v>0</v>
      </c>
      <c r="AJ503" s="36">
        <v>4</v>
      </c>
      <c r="AK503" s="36">
        <v>4</v>
      </c>
      <c r="AL503" s="36">
        <v>0</v>
      </c>
      <c r="AM503" s="50">
        <v>0</v>
      </c>
      <c r="AN503" s="36">
        <v>0</v>
      </c>
      <c r="AO503" s="36">
        <v>0</v>
      </c>
      <c r="AP503" s="36">
        <v>0</v>
      </c>
      <c r="AQ503" s="36">
        <v>0</v>
      </c>
      <c r="AR503" s="50">
        <v>0</v>
      </c>
      <c r="AS503" s="36">
        <v>0</v>
      </c>
      <c r="AT503" s="36">
        <v>0</v>
      </c>
      <c r="AU503" s="36">
        <v>0</v>
      </c>
      <c r="AV503" s="36">
        <v>0</v>
      </c>
      <c r="AW503">
        <v>0</v>
      </c>
      <c r="AX503">
        <v>0</v>
      </c>
    </row>
    <row r="504" spans="1:50" x14ac:dyDescent="0.25">
      <c r="A504" s="36"/>
      <c r="B504" t="s">
        <v>120</v>
      </c>
      <c r="C504" s="36" t="str">
        <f>'Status Thresholds'!B495</f>
        <v>Malfestio</v>
      </c>
      <c r="E504" s="36" t="str">
        <f t="shared" si="17"/>
        <v>Malfestio</v>
      </c>
      <c r="F504" s="36" t="str">
        <f>IFERROR(VLOOKUP($E504,'Status Thresholds'!$E:$AS,1,FALSE),"")</f>
        <v/>
      </c>
      <c r="G504" t="s">
        <v>11</v>
      </c>
      <c r="H504" s="55" t="str">
        <f t="shared" si="18"/>
        <v>MalfestioCrag 1</v>
      </c>
      <c r="I504" s="50">
        <v>0</v>
      </c>
      <c r="J504" s="36">
        <v>0</v>
      </c>
      <c r="K504" s="36">
        <v>3</v>
      </c>
      <c r="L504" s="36">
        <v>6</v>
      </c>
      <c r="M504" s="36">
        <v>0</v>
      </c>
      <c r="N504" s="50">
        <v>0</v>
      </c>
      <c r="O504" s="36">
        <v>0</v>
      </c>
      <c r="P504" s="36">
        <v>3</v>
      </c>
      <c r="Q504" s="36">
        <v>8</v>
      </c>
      <c r="R504" s="36">
        <v>0</v>
      </c>
      <c r="S504" s="50">
        <v>0</v>
      </c>
      <c r="T504" s="36">
        <v>0</v>
      </c>
      <c r="U504" s="36">
        <v>3</v>
      </c>
      <c r="V504" s="36">
        <v>8</v>
      </c>
      <c r="W504" s="36">
        <v>0</v>
      </c>
      <c r="X504" s="50">
        <v>0</v>
      </c>
      <c r="Y504" s="36">
        <v>0</v>
      </c>
      <c r="Z504" s="36">
        <v>0</v>
      </c>
      <c r="AA504" s="36">
        <v>0</v>
      </c>
      <c r="AB504" s="36">
        <v>0</v>
      </c>
      <c r="AC504" s="50">
        <v>0</v>
      </c>
      <c r="AD504" s="36">
        <v>3</v>
      </c>
      <c r="AE504" s="36">
        <v>5</v>
      </c>
      <c r="AF504" s="36">
        <v>6</v>
      </c>
      <c r="AG504" s="36">
        <v>0</v>
      </c>
      <c r="AH504" s="50">
        <v>3</v>
      </c>
      <c r="AI504" s="36">
        <v>6</v>
      </c>
      <c r="AJ504" s="36">
        <v>6</v>
      </c>
      <c r="AK504" s="36">
        <v>8</v>
      </c>
      <c r="AL504" s="36">
        <v>0</v>
      </c>
      <c r="AM504" s="50">
        <v>0</v>
      </c>
      <c r="AN504" s="36">
        <v>0</v>
      </c>
      <c r="AO504" s="36">
        <v>0</v>
      </c>
      <c r="AP504" s="36">
        <v>0</v>
      </c>
      <c r="AQ504" s="36">
        <v>0</v>
      </c>
      <c r="AR504" s="50">
        <v>0</v>
      </c>
      <c r="AS504" s="36">
        <v>0</v>
      </c>
      <c r="AT504" s="36">
        <v>0</v>
      </c>
      <c r="AU504" s="36">
        <v>0</v>
      </c>
      <c r="AV504" s="36">
        <v>1</v>
      </c>
      <c r="AW504">
        <v>0</v>
      </c>
      <c r="AX504">
        <v>0</v>
      </c>
    </row>
    <row r="505" spans="1:50" x14ac:dyDescent="0.25">
      <c r="A505" s="36"/>
      <c r="B505" t="s">
        <v>119</v>
      </c>
      <c r="C505" s="36" t="str">
        <f>'Status Thresholds'!B496</f>
        <v>Malfestio</v>
      </c>
      <c r="E505" s="36" t="str">
        <f t="shared" si="17"/>
        <v>Malfestio</v>
      </c>
      <c r="F505" s="36" t="str">
        <f>IFERROR(VLOOKUP($E505,'Status Thresholds'!$E:$AS,1,FALSE),"")</f>
        <v/>
      </c>
      <c r="G505" t="s">
        <v>21</v>
      </c>
      <c r="H505" s="55" t="str">
        <f t="shared" si="18"/>
        <v>MalfestioTriblast</v>
      </c>
      <c r="I505" s="50">
        <v>2</v>
      </c>
      <c r="J505" s="36">
        <v>2</v>
      </c>
      <c r="K505" s="36">
        <v>0</v>
      </c>
      <c r="L505" s="36">
        <v>1</v>
      </c>
      <c r="M505" s="36">
        <v>0</v>
      </c>
      <c r="N505" s="50">
        <v>2</v>
      </c>
      <c r="O505" s="36">
        <v>2</v>
      </c>
      <c r="P505" s="36">
        <v>0</v>
      </c>
      <c r="Q505" s="36">
        <v>1</v>
      </c>
      <c r="R505" s="36">
        <v>0</v>
      </c>
      <c r="S505" s="50">
        <v>2</v>
      </c>
      <c r="T505" s="36">
        <v>2</v>
      </c>
      <c r="U505" s="36">
        <v>0</v>
      </c>
      <c r="V505" s="36">
        <v>1</v>
      </c>
      <c r="W505" s="36">
        <v>0</v>
      </c>
      <c r="X505" s="50">
        <v>0</v>
      </c>
      <c r="Y505" s="36">
        <v>0</v>
      </c>
      <c r="Z505" s="36">
        <v>0</v>
      </c>
      <c r="AA505" s="36">
        <v>0</v>
      </c>
      <c r="AB505" s="36">
        <v>0</v>
      </c>
      <c r="AC505" s="50">
        <v>0</v>
      </c>
      <c r="AD505" s="36">
        <v>1</v>
      </c>
      <c r="AE505" s="36">
        <v>2</v>
      </c>
      <c r="AF505" s="36">
        <v>2</v>
      </c>
      <c r="AG505" s="36">
        <v>0</v>
      </c>
      <c r="AH505" s="50">
        <v>0</v>
      </c>
      <c r="AI505" s="36">
        <v>0</v>
      </c>
      <c r="AJ505" s="36">
        <v>2</v>
      </c>
      <c r="AK505" s="36">
        <v>2</v>
      </c>
      <c r="AL505" s="36">
        <v>0</v>
      </c>
      <c r="AM505" s="50">
        <v>0</v>
      </c>
      <c r="AN505" s="36">
        <v>0</v>
      </c>
      <c r="AO505" s="36">
        <v>0</v>
      </c>
      <c r="AP505" s="36">
        <v>0</v>
      </c>
      <c r="AQ505" s="36">
        <v>0</v>
      </c>
      <c r="AR505" s="50">
        <v>0</v>
      </c>
      <c r="AS505" s="36">
        <v>0</v>
      </c>
      <c r="AT505" s="36">
        <v>0</v>
      </c>
      <c r="AU505" s="36">
        <v>0</v>
      </c>
      <c r="AV505" s="36">
        <v>0</v>
      </c>
      <c r="AW505">
        <v>0</v>
      </c>
      <c r="AX505">
        <v>0</v>
      </c>
    </row>
    <row r="506" spans="1:50" x14ac:dyDescent="0.25">
      <c r="A506" s="36"/>
      <c r="B506" t="s">
        <v>119</v>
      </c>
      <c r="C506" s="36" t="str">
        <f>'Status Thresholds'!B497</f>
        <v>Malfestio</v>
      </c>
      <c r="E506" s="36" t="str">
        <f t="shared" si="17"/>
        <v>Malfestio</v>
      </c>
      <c r="F506" s="36" t="str">
        <f>IFERROR(VLOOKUP($E506,'Status Thresholds'!$E:$AS,1,FALSE),"")</f>
        <v/>
      </c>
      <c r="G506" t="s">
        <v>13</v>
      </c>
      <c r="H506" s="55" t="str">
        <f t="shared" si="18"/>
        <v>MalfestioCrag 3</v>
      </c>
      <c r="I506" s="50">
        <v>0</v>
      </c>
      <c r="J506" s="36">
        <v>1</v>
      </c>
      <c r="K506" s="36">
        <v>2</v>
      </c>
      <c r="L506" s="36">
        <v>4</v>
      </c>
      <c r="M506" s="36">
        <v>0</v>
      </c>
      <c r="N506" s="50">
        <v>0</v>
      </c>
      <c r="O506" s="36">
        <v>1</v>
      </c>
      <c r="P506" s="36">
        <v>2</v>
      </c>
      <c r="Q506" s="36">
        <v>3</v>
      </c>
      <c r="R506" s="36">
        <v>0</v>
      </c>
      <c r="S506" s="50">
        <v>0</v>
      </c>
      <c r="T506" s="36">
        <v>1</v>
      </c>
      <c r="U506" s="36">
        <v>2</v>
      </c>
      <c r="V506" s="36">
        <v>3</v>
      </c>
      <c r="W506" s="36">
        <v>0</v>
      </c>
      <c r="X506" s="50">
        <v>0</v>
      </c>
      <c r="Y506" s="36">
        <v>0</v>
      </c>
      <c r="Z506" s="36">
        <v>0</v>
      </c>
      <c r="AA506" s="36">
        <v>0</v>
      </c>
      <c r="AB506" s="36">
        <v>0</v>
      </c>
      <c r="AC506" s="50">
        <v>1</v>
      </c>
      <c r="AD506" s="36">
        <v>2</v>
      </c>
      <c r="AE506" s="36">
        <v>1</v>
      </c>
      <c r="AF506" s="36">
        <v>3</v>
      </c>
      <c r="AG506" s="36">
        <v>0</v>
      </c>
      <c r="AH506" s="50">
        <v>3</v>
      </c>
      <c r="AI506" s="36">
        <v>3</v>
      </c>
      <c r="AJ506" s="36">
        <v>2</v>
      </c>
      <c r="AK506" s="36">
        <v>4</v>
      </c>
      <c r="AL506" s="36">
        <v>0</v>
      </c>
      <c r="AM506" s="50">
        <v>0</v>
      </c>
      <c r="AN506" s="36">
        <v>0</v>
      </c>
      <c r="AO506" s="36">
        <v>0</v>
      </c>
      <c r="AP506" s="36">
        <v>0</v>
      </c>
      <c r="AQ506" s="36">
        <v>0</v>
      </c>
      <c r="AR506" s="50">
        <v>0</v>
      </c>
      <c r="AS506" s="36">
        <v>0</v>
      </c>
      <c r="AT506" s="36">
        <v>0</v>
      </c>
      <c r="AU506" s="36">
        <v>0</v>
      </c>
      <c r="AV506" s="36">
        <v>0</v>
      </c>
      <c r="AW506">
        <v>0</v>
      </c>
      <c r="AX506">
        <v>0</v>
      </c>
    </row>
    <row r="507" spans="1:50" x14ac:dyDescent="0.25">
      <c r="A507" s="36"/>
      <c r="B507" t="s">
        <v>119</v>
      </c>
      <c r="C507" s="36" t="str">
        <f>'Status Thresholds'!B498</f>
        <v>Malfestio</v>
      </c>
      <c r="E507" s="36" t="str">
        <f t="shared" si="17"/>
        <v>Malfestio</v>
      </c>
      <c r="F507" s="36" t="str">
        <f>IFERROR(VLOOKUP($E507,'Status Thresholds'!$E:$AS,1,FALSE),"")</f>
        <v/>
      </c>
      <c r="G507" t="s">
        <v>12</v>
      </c>
      <c r="H507" s="55" t="str">
        <f t="shared" si="18"/>
        <v>MalfestioCrag 2</v>
      </c>
      <c r="I507" s="50">
        <v>1</v>
      </c>
      <c r="J507" s="36">
        <v>2</v>
      </c>
      <c r="K507" s="36">
        <v>3</v>
      </c>
      <c r="L507" s="36">
        <v>1</v>
      </c>
      <c r="M507" s="36">
        <v>0</v>
      </c>
      <c r="N507" s="50">
        <v>1</v>
      </c>
      <c r="O507" s="36">
        <v>2</v>
      </c>
      <c r="P507" s="36">
        <v>3</v>
      </c>
      <c r="Q507" s="36">
        <v>4</v>
      </c>
      <c r="R507" s="36">
        <v>0</v>
      </c>
      <c r="S507" s="50">
        <v>1</v>
      </c>
      <c r="T507" s="36">
        <v>2</v>
      </c>
      <c r="U507" s="36">
        <v>3</v>
      </c>
      <c r="V507" s="36">
        <v>4</v>
      </c>
      <c r="W507" s="36">
        <v>0</v>
      </c>
      <c r="X507" s="50">
        <v>0</v>
      </c>
      <c r="Y507" s="36">
        <v>0</v>
      </c>
      <c r="Z507" s="36">
        <v>0</v>
      </c>
      <c r="AA507" s="36">
        <v>0</v>
      </c>
      <c r="AB507" s="36">
        <v>0</v>
      </c>
      <c r="AC507" s="50">
        <v>1</v>
      </c>
      <c r="AD507" s="36">
        <v>3</v>
      </c>
      <c r="AE507" s="36">
        <v>2</v>
      </c>
      <c r="AF507" s="36">
        <v>2</v>
      </c>
      <c r="AG507" s="36">
        <v>0</v>
      </c>
      <c r="AH507" s="50">
        <v>2</v>
      </c>
      <c r="AI507" s="36">
        <v>4</v>
      </c>
      <c r="AJ507" s="36">
        <v>0</v>
      </c>
      <c r="AK507" s="36">
        <v>1</v>
      </c>
      <c r="AL507" s="36">
        <v>0</v>
      </c>
      <c r="AM507" s="50">
        <v>0</v>
      </c>
      <c r="AN507" s="36">
        <v>0</v>
      </c>
      <c r="AO507" s="36">
        <v>0</v>
      </c>
      <c r="AP507" s="36">
        <v>0</v>
      </c>
      <c r="AQ507" s="36">
        <v>0</v>
      </c>
      <c r="AR507" s="50">
        <v>0</v>
      </c>
      <c r="AS507" s="36">
        <v>0</v>
      </c>
      <c r="AT507" s="36">
        <v>0</v>
      </c>
      <c r="AU507" s="36">
        <v>0</v>
      </c>
      <c r="AV507" s="36">
        <v>0</v>
      </c>
      <c r="AW507">
        <v>0</v>
      </c>
      <c r="AX507">
        <v>0</v>
      </c>
    </row>
    <row r="508" spans="1:50" x14ac:dyDescent="0.25">
      <c r="A508" s="36"/>
      <c r="B508" t="s">
        <v>119</v>
      </c>
      <c r="C508" s="36" t="str">
        <f>'Status Thresholds'!B499</f>
        <v>Malfestio</v>
      </c>
      <c r="E508" s="36" t="str">
        <f t="shared" si="17"/>
        <v>Malfestio</v>
      </c>
      <c r="F508" s="36" t="str">
        <f>IFERROR(VLOOKUP($E508,'Status Thresholds'!$E:$AS,1,FALSE),"")</f>
        <v/>
      </c>
      <c r="G508" t="s">
        <v>11</v>
      </c>
      <c r="H508" s="55" t="str">
        <f t="shared" si="18"/>
        <v>MalfestioCrag 1</v>
      </c>
      <c r="I508" s="50">
        <v>0</v>
      </c>
      <c r="J508" s="36">
        <v>1</v>
      </c>
      <c r="K508" s="36">
        <v>8</v>
      </c>
      <c r="L508" s="36">
        <v>8</v>
      </c>
      <c r="M508" s="36">
        <v>0</v>
      </c>
      <c r="N508" s="50">
        <v>0</v>
      </c>
      <c r="O508" s="36">
        <v>1</v>
      </c>
      <c r="P508" s="36">
        <v>8</v>
      </c>
      <c r="Q508" s="36">
        <v>6</v>
      </c>
      <c r="R508" s="36">
        <v>0</v>
      </c>
      <c r="S508" s="50">
        <v>0</v>
      </c>
      <c r="T508" s="36">
        <v>1</v>
      </c>
      <c r="U508" s="36">
        <v>8</v>
      </c>
      <c r="V508" s="36">
        <v>6</v>
      </c>
      <c r="W508" s="36">
        <v>0</v>
      </c>
      <c r="X508" s="50">
        <v>0</v>
      </c>
      <c r="Y508" s="36">
        <v>0</v>
      </c>
      <c r="Z508" s="36">
        <v>0</v>
      </c>
      <c r="AA508" s="36">
        <v>0</v>
      </c>
      <c r="AB508" s="36">
        <v>0</v>
      </c>
      <c r="AC508" s="50">
        <v>5</v>
      </c>
      <c r="AD508" s="36">
        <v>2</v>
      </c>
      <c r="AE508" s="36">
        <v>6</v>
      </c>
      <c r="AF508" s="36">
        <v>7</v>
      </c>
      <c r="AG508" s="36">
        <v>0</v>
      </c>
      <c r="AH508" s="50">
        <v>1</v>
      </c>
      <c r="AI508" s="36">
        <v>3</v>
      </c>
      <c r="AJ508" s="36">
        <v>8</v>
      </c>
      <c r="AK508" s="36">
        <v>8</v>
      </c>
      <c r="AL508" s="36">
        <v>0</v>
      </c>
      <c r="AM508" s="50">
        <v>0</v>
      </c>
      <c r="AN508" s="36">
        <v>0</v>
      </c>
      <c r="AO508" s="36">
        <v>0</v>
      </c>
      <c r="AP508" s="36">
        <v>0</v>
      </c>
      <c r="AQ508" s="36">
        <v>0</v>
      </c>
      <c r="AR508" s="50">
        <v>0</v>
      </c>
      <c r="AS508" s="36">
        <v>0</v>
      </c>
      <c r="AT508" s="36">
        <v>0</v>
      </c>
      <c r="AU508" s="36">
        <v>0</v>
      </c>
      <c r="AV508" s="36">
        <v>1</v>
      </c>
      <c r="AW508">
        <v>0</v>
      </c>
      <c r="AX508">
        <v>0</v>
      </c>
    </row>
    <row r="509" spans="1:50" x14ac:dyDescent="0.25">
      <c r="A509" s="36"/>
      <c r="B509" t="s">
        <v>121</v>
      </c>
      <c r="C509" s="36" t="str">
        <f>'Status Thresholds'!B500</f>
        <v>Mizutune</v>
      </c>
      <c r="D509" s="36" t="s">
        <v>14</v>
      </c>
      <c r="E509" s="36" t="str">
        <f t="shared" si="17"/>
        <v>MizutuneKO</v>
      </c>
      <c r="F509" s="36" t="str">
        <f>IFERROR(VLOOKUP($E509,'Status Thresholds'!$E:$AS,1,FALSE),"")</f>
        <v>MizutuneKO</v>
      </c>
      <c r="H509" s="55" t="str">
        <f t="shared" si="18"/>
        <v>MizutuneKO</v>
      </c>
      <c r="I509" s="50">
        <f>VLOOKUP($F509,'Status Thresholds'!$E:$AS,2,FALSE)</f>
        <v>260</v>
      </c>
      <c r="J509" s="36">
        <f>VLOOKUP($F509,'Status Thresholds'!$E:$AS,3,FALSE)</f>
        <v>520</v>
      </c>
      <c r="K509" s="36">
        <f>VLOOKUP($F509,'Status Thresholds'!$E:$AS,4,FALSE)</f>
        <v>780</v>
      </c>
      <c r="L509" s="36">
        <f>VLOOKUP($F509,'Status Thresholds'!$E:$AS,5,FALSE)</f>
        <v>974</v>
      </c>
      <c r="M509" s="36">
        <f>VLOOKUP($F509,'Status Thresholds'!$E:$AS,6,FALSE)</f>
        <v>0</v>
      </c>
      <c r="N509" s="50">
        <f>VLOOKUP($F509,'Status Thresholds'!$E:$AS,7,FALSE)</f>
        <v>260</v>
      </c>
      <c r="O509" s="36">
        <f>VLOOKUP($F509,'Status Thresholds'!$E:$AS,8,FALSE)</f>
        <v>520</v>
      </c>
      <c r="P509" s="36">
        <f>VLOOKUP($F509,'Status Thresholds'!$E:$AS,9,FALSE)</f>
        <v>780</v>
      </c>
      <c r="Q509" s="36">
        <f>VLOOKUP($F509,'Status Thresholds'!$E:$AS,10,FALSE)</f>
        <v>1040</v>
      </c>
      <c r="R509" s="36">
        <f>VLOOKUP($F509,'Status Thresholds'!$E:$AS,11,FALSE)</f>
        <v>0</v>
      </c>
      <c r="S509" s="50">
        <f>VLOOKUP($F509,'Status Thresholds'!$E:$AS,12,FALSE)</f>
        <v>280</v>
      </c>
      <c r="T509" s="36">
        <f>VLOOKUP($F509,'Status Thresholds'!$E:$AS,13,FALSE)</f>
        <v>560</v>
      </c>
      <c r="U509" s="36">
        <f>VLOOKUP($F509,'Status Thresholds'!$E:$AS,14,FALSE)</f>
        <v>840</v>
      </c>
      <c r="V509" s="36">
        <f>VLOOKUP($F509,'Status Thresholds'!$E:$AS,15,FALSE)</f>
        <v>1120</v>
      </c>
      <c r="W509" s="36">
        <f>VLOOKUP($F509,'Status Thresholds'!$E:$AS,16,FALSE)</f>
        <v>0</v>
      </c>
      <c r="X509" s="50">
        <f>VLOOKUP($F509,'Status Thresholds'!$E:$AS,17,FALSE)</f>
        <v>0</v>
      </c>
      <c r="Y509" s="36">
        <f>VLOOKUP($F509,'Status Thresholds'!$E:$AS,18,FALSE)</f>
        <v>0</v>
      </c>
      <c r="Z509" s="36">
        <f>VLOOKUP($F509,'Status Thresholds'!$E:$AS,19,FALSE)</f>
        <v>0</v>
      </c>
      <c r="AA509" s="36">
        <f>VLOOKUP($F509,'Status Thresholds'!$E:$AS,20,FALSE)</f>
        <v>0</v>
      </c>
      <c r="AB509" s="36">
        <f>VLOOKUP($F509,'Status Thresholds'!$E:$AS,21,FALSE)</f>
        <v>0</v>
      </c>
      <c r="AC509" s="50">
        <f>VLOOKUP($F509,'Status Thresholds'!$E:$AS,22,FALSE)</f>
        <v>300</v>
      </c>
      <c r="AD509" s="36">
        <f>VLOOKUP($F509,'Status Thresholds'!$E:$AS,23,FALSE)</f>
        <v>600</v>
      </c>
      <c r="AE509" s="36">
        <f>VLOOKUP($F509,'Status Thresholds'!$E:$AS,24,FALSE)</f>
        <v>900</v>
      </c>
      <c r="AF509" s="36">
        <f>VLOOKUP($F509,'Status Thresholds'!$E:$AS,25,FALSE)</f>
        <v>1200</v>
      </c>
      <c r="AG509" s="36">
        <f>VLOOKUP($F509,'Status Thresholds'!$E:$AS,26,FALSE)</f>
        <v>0</v>
      </c>
      <c r="AH509" s="50">
        <f>VLOOKUP($F509,'Status Thresholds'!$E:$AS,27,FALSE)</f>
        <v>0</v>
      </c>
      <c r="AI509" s="36">
        <f>VLOOKUP($F509,'Status Thresholds'!$E:$AS,28,FALSE)</f>
        <v>0</v>
      </c>
      <c r="AJ509" s="36">
        <f>VLOOKUP($F509,'Status Thresholds'!$E:$AS,29,FALSE)</f>
        <v>0</v>
      </c>
      <c r="AK509" s="36">
        <f>VLOOKUP($F509,'Status Thresholds'!$E:$AS,30,FALSE)</f>
        <v>0</v>
      </c>
      <c r="AL509" s="36">
        <f>VLOOKUP($F509,'Status Thresholds'!$E:$AS,31,FALSE)</f>
        <v>0</v>
      </c>
      <c r="AM509" s="50">
        <f>VLOOKUP($F509,'Status Thresholds'!$E:$AS,32,FALSE)</f>
        <v>400</v>
      </c>
      <c r="AN509" s="36">
        <f>VLOOKUP($F509,'Status Thresholds'!$E:$AS,33,FALSE)</f>
        <v>800</v>
      </c>
      <c r="AO509" s="36">
        <f>VLOOKUP($F509,'Status Thresholds'!$E:$AS,34,FALSE)</f>
        <v>1200</v>
      </c>
      <c r="AP509" s="36">
        <f>VLOOKUP($F509,'Status Thresholds'!$E:$AS,35,FALSE)</f>
        <v>1600</v>
      </c>
      <c r="AQ509" s="36">
        <f>VLOOKUP($F509,'Status Thresholds'!$E:$AS,36,FALSE)</f>
        <v>0</v>
      </c>
      <c r="AR509" s="50">
        <f>VLOOKUP($F509,'Status Thresholds'!$E:$AS,37,FALSE)</f>
        <v>0</v>
      </c>
      <c r="AS509" s="36">
        <f>VLOOKUP($F509,'Status Thresholds'!$E:$AS,38,FALSE)</f>
        <v>0</v>
      </c>
      <c r="AT509" s="36">
        <f>VLOOKUP($F509,'Status Thresholds'!$E:$AS,39,FALSE)</f>
        <v>0</v>
      </c>
      <c r="AU509" s="36">
        <f>VLOOKUP($F509,'Status Thresholds'!$E:$AS,40,FALSE)</f>
        <v>0</v>
      </c>
      <c r="AV509" s="36">
        <f>VLOOKUP($F509,'Status Thresholds'!$E:$AS,41,FALSE)</f>
        <v>10</v>
      </c>
      <c r="AW509">
        <v>0</v>
      </c>
      <c r="AX509">
        <v>0</v>
      </c>
    </row>
    <row r="510" spans="1:50" x14ac:dyDescent="0.25">
      <c r="A510" s="36"/>
      <c r="B510" t="s">
        <v>120</v>
      </c>
      <c r="C510" s="36" t="str">
        <f>'Status Thresholds'!B501</f>
        <v>Mizutune</v>
      </c>
      <c r="D510" s="46"/>
      <c r="E510" s="36" t="str">
        <f t="shared" si="17"/>
        <v>Mizutune</v>
      </c>
      <c r="F510" s="36" t="str">
        <f>IFERROR(VLOOKUP($E510,'Status Thresholds'!$E:$AS,1,FALSE),"")</f>
        <v/>
      </c>
      <c r="G510" t="s">
        <v>21</v>
      </c>
      <c r="H510" s="55" t="str">
        <f t="shared" si="18"/>
        <v>MizutuneTriblast</v>
      </c>
      <c r="I510" s="50">
        <v>2</v>
      </c>
      <c r="J510" s="36">
        <v>2</v>
      </c>
      <c r="K510" s="36">
        <v>2</v>
      </c>
      <c r="L510" s="36">
        <v>2</v>
      </c>
      <c r="M510" s="36">
        <v>0</v>
      </c>
      <c r="N510" s="50">
        <v>2</v>
      </c>
      <c r="O510" s="36">
        <v>2</v>
      </c>
      <c r="P510" s="36">
        <v>2</v>
      </c>
      <c r="Q510" s="36">
        <v>2</v>
      </c>
      <c r="R510" s="36">
        <v>0</v>
      </c>
      <c r="S510" s="50">
        <v>2</v>
      </c>
      <c r="T510" s="36">
        <v>2</v>
      </c>
      <c r="U510" s="36">
        <v>2</v>
      </c>
      <c r="V510" s="36">
        <v>2</v>
      </c>
      <c r="W510" s="36">
        <v>0</v>
      </c>
      <c r="X510" s="50">
        <v>0</v>
      </c>
      <c r="Y510" s="36">
        <v>0</v>
      </c>
      <c r="Z510" s="36">
        <v>0</v>
      </c>
      <c r="AA510" s="36">
        <v>0</v>
      </c>
      <c r="AB510" s="36">
        <v>0</v>
      </c>
      <c r="AC510" s="50">
        <v>2</v>
      </c>
      <c r="AD510" s="36">
        <v>2</v>
      </c>
      <c r="AE510" s="36">
        <v>2</v>
      </c>
      <c r="AF510" s="36">
        <v>2</v>
      </c>
      <c r="AG510" s="36">
        <v>0</v>
      </c>
      <c r="AH510" s="50">
        <v>0</v>
      </c>
      <c r="AI510" s="36">
        <v>0</v>
      </c>
      <c r="AJ510" s="36">
        <v>0</v>
      </c>
      <c r="AK510" s="36">
        <v>0</v>
      </c>
      <c r="AL510" s="36">
        <v>0</v>
      </c>
      <c r="AM510" s="50">
        <v>2</v>
      </c>
      <c r="AN510" s="36">
        <v>2</v>
      </c>
      <c r="AO510" s="36">
        <v>2</v>
      </c>
      <c r="AP510" s="36">
        <v>2</v>
      </c>
      <c r="AQ510" s="36">
        <v>0</v>
      </c>
      <c r="AR510" s="50">
        <v>0</v>
      </c>
      <c r="AS510" s="36">
        <v>0</v>
      </c>
      <c r="AT510" s="36">
        <v>0</v>
      </c>
      <c r="AU510" s="36">
        <v>0</v>
      </c>
      <c r="AV510" s="36">
        <v>0</v>
      </c>
      <c r="AW510">
        <v>0</v>
      </c>
    </row>
    <row r="511" spans="1:50" x14ac:dyDescent="0.25">
      <c r="A511" s="36"/>
      <c r="B511" t="s">
        <v>120</v>
      </c>
      <c r="C511" s="36" t="str">
        <f>'Status Thresholds'!B502</f>
        <v>Mizutune</v>
      </c>
      <c r="E511" s="36" t="str">
        <f t="shared" si="17"/>
        <v>Mizutune</v>
      </c>
      <c r="F511" s="36" t="str">
        <f>IFERROR(VLOOKUP($E511,'Status Thresholds'!$E:$AS,1,FALSE),"")</f>
        <v/>
      </c>
      <c r="G511" t="s">
        <v>13</v>
      </c>
      <c r="H511" s="55" t="str">
        <f t="shared" si="18"/>
        <v>MizutuneCrag 3</v>
      </c>
      <c r="I511" s="50">
        <v>2</v>
      </c>
      <c r="J511" s="36">
        <v>2</v>
      </c>
      <c r="K511" s="36">
        <v>4</v>
      </c>
      <c r="L511" s="36">
        <v>4</v>
      </c>
      <c r="M511" s="36">
        <v>0</v>
      </c>
      <c r="N511" s="50">
        <v>2</v>
      </c>
      <c r="O511" s="36">
        <v>2</v>
      </c>
      <c r="P511" s="36">
        <v>4</v>
      </c>
      <c r="Q511" s="36">
        <v>4</v>
      </c>
      <c r="R511" s="36">
        <v>0</v>
      </c>
      <c r="S511" s="50">
        <v>2</v>
      </c>
      <c r="T511" s="36">
        <v>3</v>
      </c>
      <c r="U511" s="36">
        <v>4</v>
      </c>
      <c r="V511" s="36">
        <v>4</v>
      </c>
      <c r="W511" s="36">
        <v>0</v>
      </c>
      <c r="X511" s="50">
        <v>0</v>
      </c>
      <c r="Y511" s="36">
        <v>0</v>
      </c>
      <c r="Z511" s="36">
        <v>0</v>
      </c>
      <c r="AA511" s="36">
        <v>0</v>
      </c>
      <c r="AB511" s="36">
        <v>0</v>
      </c>
      <c r="AC511" s="50">
        <v>3</v>
      </c>
      <c r="AD511" s="36">
        <v>4</v>
      </c>
      <c r="AE511" s="36">
        <v>4</v>
      </c>
      <c r="AF511" s="36">
        <v>4</v>
      </c>
      <c r="AG511" s="36">
        <v>0</v>
      </c>
      <c r="AH511" s="50">
        <v>0</v>
      </c>
      <c r="AI511" s="36">
        <v>0</v>
      </c>
      <c r="AJ511" s="36">
        <v>0</v>
      </c>
      <c r="AK511" s="36">
        <v>0</v>
      </c>
      <c r="AL511" s="36">
        <v>0</v>
      </c>
      <c r="AM511" s="50">
        <v>4</v>
      </c>
      <c r="AN511" s="36">
        <v>4</v>
      </c>
      <c r="AO511" s="36">
        <v>4</v>
      </c>
      <c r="AP511" s="36">
        <v>4</v>
      </c>
      <c r="AQ511" s="36">
        <v>0</v>
      </c>
      <c r="AR511" s="50">
        <v>0</v>
      </c>
      <c r="AS511" s="36">
        <v>0</v>
      </c>
      <c r="AT511" s="36">
        <v>0</v>
      </c>
      <c r="AU511" s="36">
        <v>0</v>
      </c>
      <c r="AV511" s="36">
        <v>0</v>
      </c>
      <c r="AW511">
        <v>0</v>
      </c>
      <c r="AX511">
        <v>0</v>
      </c>
    </row>
    <row r="512" spans="1:50" x14ac:dyDescent="0.25">
      <c r="A512" s="36"/>
      <c r="B512" t="s">
        <v>120</v>
      </c>
      <c r="C512" s="36" t="str">
        <f>'Status Thresholds'!B503</f>
        <v>Mizutune</v>
      </c>
      <c r="E512" s="36" t="str">
        <f t="shared" si="17"/>
        <v>Mizutune</v>
      </c>
      <c r="F512" s="36" t="str">
        <f>IFERROR(VLOOKUP($E512,'Status Thresholds'!$E:$AS,1,FALSE),"")</f>
        <v/>
      </c>
      <c r="G512" t="s">
        <v>12</v>
      </c>
      <c r="H512" s="55" t="str">
        <f t="shared" si="18"/>
        <v>MizutuneCrag 2</v>
      </c>
      <c r="I512" s="50">
        <v>1</v>
      </c>
      <c r="J512" s="36">
        <v>3</v>
      </c>
      <c r="K512" s="36">
        <v>4</v>
      </c>
      <c r="L512" s="36">
        <v>4</v>
      </c>
      <c r="M512" s="36">
        <v>0</v>
      </c>
      <c r="N512" s="50">
        <v>1</v>
      </c>
      <c r="O512" s="36">
        <v>3</v>
      </c>
      <c r="P512" s="36">
        <v>4</v>
      </c>
      <c r="Q512" s="36">
        <v>4</v>
      </c>
      <c r="R512" s="36">
        <v>0</v>
      </c>
      <c r="S512" s="50">
        <v>0</v>
      </c>
      <c r="T512" s="36">
        <v>3</v>
      </c>
      <c r="U512" s="36">
        <v>4</v>
      </c>
      <c r="V512" s="36">
        <v>4</v>
      </c>
      <c r="W512" s="36">
        <v>0</v>
      </c>
      <c r="X512" s="50">
        <v>0</v>
      </c>
      <c r="Y512" s="36">
        <v>0</v>
      </c>
      <c r="Z512" s="36">
        <v>0</v>
      </c>
      <c r="AA512" s="36">
        <v>0</v>
      </c>
      <c r="AB512" s="36">
        <v>0</v>
      </c>
      <c r="AC512" s="50">
        <v>1</v>
      </c>
      <c r="AD512" s="36">
        <v>3</v>
      </c>
      <c r="AE512" s="36">
        <v>4</v>
      </c>
      <c r="AF512" s="36">
        <v>4</v>
      </c>
      <c r="AG512" s="36">
        <v>0</v>
      </c>
      <c r="AH512" s="50">
        <v>0</v>
      </c>
      <c r="AI512" s="36">
        <v>0</v>
      </c>
      <c r="AJ512" s="36">
        <v>0</v>
      </c>
      <c r="AK512" s="36">
        <v>0</v>
      </c>
      <c r="AL512" s="36">
        <v>0</v>
      </c>
      <c r="AM512" s="50">
        <v>3</v>
      </c>
      <c r="AN512" s="36">
        <v>4</v>
      </c>
      <c r="AO512" s="36">
        <v>4</v>
      </c>
      <c r="AP512" s="36">
        <v>4</v>
      </c>
      <c r="AQ512" s="36">
        <v>0</v>
      </c>
      <c r="AR512" s="50">
        <v>0</v>
      </c>
      <c r="AS512" s="36">
        <v>0</v>
      </c>
      <c r="AT512" s="36">
        <v>0</v>
      </c>
      <c r="AU512" s="36">
        <v>0</v>
      </c>
      <c r="AV512" s="36">
        <v>0</v>
      </c>
      <c r="AW512">
        <v>0</v>
      </c>
      <c r="AX512">
        <v>0</v>
      </c>
    </row>
    <row r="513" spans="1:50" x14ac:dyDescent="0.25">
      <c r="A513" s="36"/>
      <c r="B513" t="s">
        <v>120</v>
      </c>
      <c r="C513" s="36" t="str">
        <f>'Status Thresholds'!B504</f>
        <v>Mizutune</v>
      </c>
      <c r="E513" s="36" t="str">
        <f t="shared" si="17"/>
        <v>Mizutune</v>
      </c>
      <c r="F513" s="36" t="str">
        <f>IFERROR(VLOOKUP($E513,'Status Thresholds'!$E:$AS,1,FALSE),"")</f>
        <v/>
      </c>
      <c r="G513" t="s">
        <v>11</v>
      </c>
      <c r="H513" s="55" t="str">
        <f t="shared" si="18"/>
        <v>MizutuneCrag 1</v>
      </c>
      <c r="I513" s="50">
        <v>0</v>
      </c>
      <c r="J513" s="36">
        <v>8</v>
      </c>
      <c r="K513" s="36">
        <v>8</v>
      </c>
      <c r="L513" s="36">
        <v>8</v>
      </c>
      <c r="M513" s="36">
        <v>0</v>
      </c>
      <c r="N513" s="50">
        <v>0</v>
      </c>
      <c r="O513" s="36">
        <v>8</v>
      </c>
      <c r="P513" s="36">
        <v>8</v>
      </c>
      <c r="Q513" s="36">
        <v>8</v>
      </c>
      <c r="R513" s="36">
        <v>0</v>
      </c>
      <c r="S513" s="50">
        <v>2</v>
      </c>
      <c r="T513" s="36">
        <v>8</v>
      </c>
      <c r="U513" s="36">
        <v>8</v>
      </c>
      <c r="V513" s="36">
        <v>8</v>
      </c>
      <c r="W513" s="36">
        <v>0</v>
      </c>
      <c r="X513" s="50">
        <v>0</v>
      </c>
      <c r="Y513" s="36">
        <v>0</v>
      </c>
      <c r="Z513" s="36">
        <v>0</v>
      </c>
      <c r="AA513" s="36">
        <v>0</v>
      </c>
      <c r="AB513" s="36">
        <v>0</v>
      </c>
      <c r="AC513" s="50">
        <v>0</v>
      </c>
      <c r="AD513" s="36">
        <v>8</v>
      </c>
      <c r="AE513" s="36">
        <v>8</v>
      </c>
      <c r="AF513" s="36">
        <v>8</v>
      </c>
      <c r="AG513" s="36">
        <v>0</v>
      </c>
      <c r="AH513" s="50">
        <v>0</v>
      </c>
      <c r="AI513" s="36">
        <v>0</v>
      </c>
      <c r="AJ513" s="36">
        <v>0</v>
      </c>
      <c r="AK513" s="36">
        <v>0</v>
      </c>
      <c r="AL513" s="36">
        <v>0</v>
      </c>
      <c r="AM513" s="50">
        <v>0</v>
      </c>
      <c r="AN513" s="36">
        <v>8</v>
      </c>
      <c r="AO513" s="36">
        <v>8</v>
      </c>
      <c r="AP513" s="36">
        <v>8</v>
      </c>
      <c r="AQ513" s="36">
        <v>0</v>
      </c>
      <c r="AR513" s="50">
        <v>0</v>
      </c>
      <c r="AS513" s="36">
        <v>0</v>
      </c>
      <c r="AT513" s="36">
        <v>0</v>
      </c>
      <c r="AU513" s="36">
        <v>0</v>
      </c>
      <c r="AV513" s="36">
        <v>1</v>
      </c>
      <c r="AW513">
        <v>0</v>
      </c>
      <c r="AX513">
        <v>0</v>
      </c>
    </row>
    <row r="514" spans="1:50" x14ac:dyDescent="0.25">
      <c r="A514" s="36"/>
      <c r="B514" t="s">
        <v>119</v>
      </c>
      <c r="C514" s="36" t="str">
        <f>'Status Thresholds'!B505</f>
        <v>Mizutune</v>
      </c>
      <c r="D514" s="36"/>
      <c r="E514" s="36" t="str">
        <f t="shared" si="17"/>
        <v>Mizutune</v>
      </c>
      <c r="F514" s="36" t="str">
        <f>IFERROR(VLOOKUP($E514,'Status Thresholds'!$E:$AS,1,FALSE),"")</f>
        <v/>
      </c>
      <c r="G514" t="s">
        <v>21</v>
      </c>
      <c r="H514" s="55" t="str">
        <f t="shared" si="18"/>
        <v>MizutuneTriblast</v>
      </c>
      <c r="I514" s="50">
        <v>2</v>
      </c>
      <c r="J514" s="36">
        <v>2</v>
      </c>
      <c r="K514" s="36">
        <v>2</v>
      </c>
      <c r="L514" s="36">
        <v>2</v>
      </c>
      <c r="M514" s="36">
        <v>0</v>
      </c>
      <c r="N514" s="50">
        <v>2</v>
      </c>
      <c r="O514" s="36">
        <v>2</v>
      </c>
      <c r="P514" s="36">
        <v>2</v>
      </c>
      <c r="Q514" s="36">
        <v>2</v>
      </c>
      <c r="R514" s="36">
        <v>0</v>
      </c>
      <c r="S514" s="50">
        <v>0</v>
      </c>
      <c r="T514" s="36">
        <v>2</v>
      </c>
      <c r="U514" s="36">
        <v>2</v>
      </c>
      <c r="V514" s="36">
        <v>2</v>
      </c>
      <c r="W514" s="36">
        <v>0</v>
      </c>
      <c r="X514" s="50">
        <v>0</v>
      </c>
      <c r="Y514" s="36">
        <v>0</v>
      </c>
      <c r="Z514" s="36">
        <v>0</v>
      </c>
      <c r="AA514" s="36">
        <v>0</v>
      </c>
      <c r="AB514" s="36">
        <v>0</v>
      </c>
      <c r="AC514" s="50">
        <v>1</v>
      </c>
      <c r="AD514" s="36">
        <v>2</v>
      </c>
      <c r="AE514" s="36">
        <v>2</v>
      </c>
      <c r="AF514" s="36">
        <v>2</v>
      </c>
      <c r="AG514" s="36">
        <v>0</v>
      </c>
      <c r="AH514" s="50">
        <v>0</v>
      </c>
      <c r="AI514" s="36">
        <v>0</v>
      </c>
      <c r="AJ514" s="36">
        <v>0</v>
      </c>
      <c r="AK514" s="36">
        <v>0</v>
      </c>
      <c r="AL514" s="36">
        <v>0</v>
      </c>
      <c r="AM514" s="50">
        <v>2</v>
      </c>
      <c r="AN514" s="36">
        <v>2</v>
      </c>
      <c r="AO514" s="36">
        <v>2</v>
      </c>
      <c r="AP514" s="36">
        <v>2</v>
      </c>
      <c r="AQ514" s="36">
        <v>0</v>
      </c>
      <c r="AR514" s="50">
        <v>0</v>
      </c>
      <c r="AS514" s="36">
        <v>0</v>
      </c>
      <c r="AT514" s="36">
        <v>0</v>
      </c>
      <c r="AU514" s="36">
        <v>0</v>
      </c>
      <c r="AV514" s="36">
        <v>0</v>
      </c>
      <c r="AW514">
        <v>0</v>
      </c>
      <c r="AX514">
        <v>0</v>
      </c>
    </row>
    <row r="515" spans="1:50" x14ac:dyDescent="0.25">
      <c r="A515" s="36"/>
      <c r="B515" t="s">
        <v>119</v>
      </c>
      <c r="C515" s="36" t="str">
        <f>'Status Thresholds'!B506</f>
        <v>Mizutune</v>
      </c>
      <c r="E515" s="36" t="str">
        <f t="shared" si="17"/>
        <v>Mizutune</v>
      </c>
      <c r="F515" s="36" t="str">
        <f>IFERROR(VLOOKUP($E515,'Status Thresholds'!$E:$AS,1,FALSE),"")</f>
        <v/>
      </c>
      <c r="G515" t="s">
        <v>13</v>
      </c>
      <c r="H515" s="55" t="str">
        <f t="shared" si="18"/>
        <v>MizutuneCrag 3</v>
      </c>
      <c r="I515" s="50">
        <v>1</v>
      </c>
      <c r="J515" s="36">
        <v>1</v>
      </c>
      <c r="K515" s="36">
        <v>4</v>
      </c>
      <c r="L515" s="36">
        <v>4</v>
      </c>
      <c r="M515" s="36">
        <v>0</v>
      </c>
      <c r="N515" s="50">
        <v>1</v>
      </c>
      <c r="O515" s="36">
        <v>1</v>
      </c>
      <c r="P515" s="36">
        <v>4</v>
      </c>
      <c r="Q515" s="36">
        <v>4</v>
      </c>
      <c r="R515" s="36">
        <v>0</v>
      </c>
      <c r="S515" s="50">
        <v>0</v>
      </c>
      <c r="T515" s="36">
        <v>4</v>
      </c>
      <c r="U515" s="36">
        <v>4</v>
      </c>
      <c r="V515" s="36">
        <v>4</v>
      </c>
      <c r="W515" s="36">
        <v>0</v>
      </c>
      <c r="X515" s="50">
        <v>0</v>
      </c>
      <c r="Y515" s="36">
        <v>0</v>
      </c>
      <c r="Z515" s="36">
        <v>0</v>
      </c>
      <c r="AA515" s="36">
        <v>0</v>
      </c>
      <c r="AB515" s="36">
        <v>0</v>
      </c>
      <c r="AC515" s="50">
        <v>3</v>
      </c>
      <c r="AD515" s="36">
        <v>4</v>
      </c>
      <c r="AE515" s="36">
        <v>4</v>
      </c>
      <c r="AF515" s="36">
        <v>4</v>
      </c>
      <c r="AG515" s="36">
        <v>0</v>
      </c>
      <c r="AH515" s="50">
        <v>0</v>
      </c>
      <c r="AI515" s="36">
        <v>0</v>
      </c>
      <c r="AJ515" s="36">
        <v>0</v>
      </c>
      <c r="AK515" s="36">
        <v>0</v>
      </c>
      <c r="AL515" s="36">
        <v>0</v>
      </c>
      <c r="AM515" s="50">
        <v>1</v>
      </c>
      <c r="AN515" s="36">
        <v>4</v>
      </c>
      <c r="AO515" s="36">
        <v>4</v>
      </c>
      <c r="AP515" s="36">
        <v>4</v>
      </c>
      <c r="AQ515" s="36">
        <v>0</v>
      </c>
      <c r="AR515" s="50">
        <v>0</v>
      </c>
      <c r="AS515" s="36">
        <v>0</v>
      </c>
      <c r="AT515" s="36">
        <v>0</v>
      </c>
      <c r="AU515" s="36">
        <v>0</v>
      </c>
      <c r="AV515" s="36">
        <v>0</v>
      </c>
      <c r="AW515">
        <v>0</v>
      </c>
      <c r="AX515">
        <v>0</v>
      </c>
    </row>
    <row r="516" spans="1:50" x14ac:dyDescent="0.25">
      <c r="A516" s="36"/>
      <c r="B516" t="s">
        <v>119</v>
      </c>
      <c r="C516" s="36" t="str">
        <f>'Status Thresholds'!B507</f>
        <v>Mizutune</v>
      </c>
      <c r="E516" s="36" t="str">
        <f t="shared" si="17"/>
        <v>Mizutune</v>
      </c>
      <c r="F516" s="36" t="str">
        <f>IFERROR(VLOOKUP($E516,'Status Thresholds'!$E:$AS,1,FALSE),"")</f>
        <v/>
      </c>
      <c r="G516" t="s">
        <v>12</v>
      </c>
      <c r="H516" s="55" t="str">
        <f t="shared" si="18"/>
        <v>MizutuneCrag 2</v>
      </c>
      <c r="I516" s="50">
        <v>0</v>
      </c>
      <c r="J516" s="36">
        <v>3</v>
      </c>
      <c r="K516" s="36">
        <v>4</v>
      </c>
      <c r="L516" s="36">
        <v>4</v>
      </c>
      <c r="M516" s="36">
        <v>0</v>
      </c>
      <c r="N516" s="50">
        <v>0</v>
      </c>
      <c r="O516" s="36">
        <v>3</v>
      </c>
      <c r="P516" s="36">
        <v>4</v>
      </c>
      <c r="Q516" s="36">
        <v>4</v>
      </c>
      <c r="R516" s="36">
        <v>0</v>
      </c>
      <c r="S516" s="50">
        <v>2</v>
      </c>
      <c r="T516" s="36">
        <v>1</v>
      </c>
      <c r="U516" s="36">
        <v>4</v>
      </c>
      <c r="V516" s="36">
        <v>4</v>
      </c>
      <c r="W516" s="36">
        <v>0</v>
      </c>
      <c r="X516" s="50">
        <v>0</v>
      </c>
      <c r="Y516" s="36">
        <v>0</v>
      </c>
      <c r="Z516" s="36">
        <v>0</v>
      </c>
      <c r="AA516" s="36">
        <v>0</v>
      </c>
      <c r="AB516" s="36">
        <v>0</v>
      </c>
      <c r="AC516" s="50">
        <v>1</v>
      </c>
      <c r="AD516" s="36">
        <v>4</v>
      </c>
      <c r="AE516" s="36">
        <v>4</v>
      </c>
      <c r="AF516" s="36">
        <v>4</v>
      </c>
      <c r="AG516" s="36">
        <v>0</v>
      </c>
      <c r="AH516" s="50">
        <v>0</v>
      </c>
      <c r="AI516" s="36">
        <v>0</v>
      </c>
      <c r="AJ516" s="36">
        <v>0</v>
      </c>
      <c r="AK516" s="36">
        <v>0</v>
      </c>
      <c r="AL516" s="36">
        <v>0</v>
      </c>
      <c r="AM516" s="50">
        <v>1</v>
      </c>
      <c r="AN516" s="36">
        <v>4</v>
      </c>
      <c r="AO516" s="36">
        <v>4</v>
      </c>
      <c r="AP516" s="36">
        <v>4</v>
      </c>
      <c r="AQ516" s="36">
        <v>0</v>
      </c>
      <c r="AR516" s="50">
        <v>0</v>
      </c>
      <c r="AS516" s="36">
        <v>0</v>
      </c>
      <c r="AT516" s="36">
        <v>0</v>
      </c>
      <c r="AU516" s="36">
        <v>0</v>
      </c>
      <c r="AV516" s="36">
        <v>0</v>
      </c>
      <c r="AW516">
        <v>0</v>
      </c>
      <c r="AX516">
        <v>0</v>
      </c>
    </row>
    <row r="517" spans="1:50" x14ac:dyDescent="0.25">
      <c r="A517" s="36"/>
      <c r="B517" t="s">
        <v>119</v>
      </c>
      <c r="C517" s="36" t="str">
        <f>'Status Thresholds'!B508</f>
        <v>Mizutune</v>
      </c>
      <c r="E517" s="36" t="str">
        <f t="shared" si="17"/>
        <v>Mizutune</v>
      </c>
      <c r="F517" s="36" t="str">
        <f>IFERROR(VLOOKUP($E517,'Status Thresholds'!$E:$AS,1,FALSE),"")</f>
        <v/>
      </c>
      <c r="G517" t="s">
        <v>11</v>
      </c>
      <c r="H517" s="55" t="str">
        <f t="shared" si="18"/>
        <v>MizutuneCrag 1</v>
      </c>
      <c r="I517" s="50">
        <v>2</v>
      </c>
      <c r="J517" s="36">
        <v>8</v>
      </c>
      <c r="K517" s="36">
        <v>8</v>
      </c>
      <c r="L517" s="36">
        <v>8</v>
      </c>
      <c r="M517" s="36">
        <v>0</v>
      </c>
      <c r="N517" s="50">
        <v>2</v>
      </c>
      <c r="O517" s="36">
        <v>8</v>
      </c>
      <c r="P517" s="36">
        <v>8</v>
      </c>
      <c r="Q517" s="36">
        <v>8</v>
      </c>
      <c r="R517" s="36">
        <v>0</v>
      </c>
      <c r="S517" s="50">
        <v>8</v>
      </c>
      <c r="T517" s="36">
        <v>7</v>
      </c>
      <c r="U517" s="36">
        <v>8</v>
      </c>
      <c r="V517" s="36">
        <v>8</v>
      </c>
      <c r="W517" s="36">
        <v>0</v>
      </c>
      <c r="X517" s="50">
        <v>0</v>
      </c>
      <c r="Y517" s="36">
        <v>0</v>
      </c>
      <c r="Z517" s="36">
        <v>0</v>
      </c>
      <c r="AA517" s="36">
        <v>0</v>
      </c>
      <c r="AB517" s="36">
        <v>0</v>
      </c>
      <c r="AC517" s="50">
        <v>2</v>
      </c>
      <c r="AD517" s="36">
        <v>5</v>
      </c>
      <c r="AE517" s="36">
        <v>8</v>
      </c>
      <c r="AF517" s="36">
        <v>8</v>
      </c>
      <c r="AG517" s="36">
        <v>0</v>
      </c>
      <c r="AH517" s="50">
        <v>0</v>
      </c>
      <c r="AI517" s="36">
        <v>0</v>
      </c>
      <c r="AJ517" s="36">
        <v>0</v>
      </c>
      <c r="AK517" s="36">
        <v>0</v>
      </c>
      <c r="AL517" s="36">
        <v>0</v>
      </c>
      <c r="AM517" s="50">
        <v>6</v>
      </c>
      <c r="AN517" s="36">
        <v>8</v>
      </c>
      <c r="AO517" s="36">
        <v>8</v>
      </c>
      <c r="AP517" s="36">
        <v>8</v>
      </c>
      <c r="AQ517" s="36">
        <v>0</v>
      </c>
      <c r="AR517" s="50">
        <v>0</v>
      </c>
      <c r="AS517" s="36">
        <v>0</v>
      </c>
      <c r="AT517" s="36">
        <v>0</v>
      </c>
      <c r="AU517" s="36">
        <v>0</v>
      </c>
      <c r="AV517" s="36">
        <v>1</v>
      </c>
      <c r="AW517">
        <v>0</v>
      </c>
      <c r="AX517">
        <v>0</v>
      </c>
    </row>
    <row r="518" spans="1:50" x14ac:dyDescent="0.25">
      <c r="A518" s="36"/>
      <c r="B518" t="s">
        <v>121</v>
      </c>
      <c r="C518" s="36" t="str">
        <f>'Status Thresholds'!B509</f>
        <v>Najarala</v>
      </c>
      <c r="D518" t="s">
        <v>14</v>
      </c>
      <c r="E518" s="36" t="str">
        <f t="shared" ref="E518:E581" si="19">C518&amp;D518</f>
        <v>NajaralaKO</v>
      </c>
      <c r="F518" s="36" t="str">
        <f>IFERROR(VLOOKUP($E518,'Status Thresholds'!$E:$AS,1,FALSE),"")</f>
        <v>NajaralaKO</v>
      </c>
      <c r="H518" s="55" t="str">
        <f t="shared" ref="H518:H581" si="20">E518&amp;G518</f>
        <v>NajaralaKO</v>
      </c>
      <c r="I518" s="50">
        <f>VLOOKUP($F518,'Status Thresholds'!$E:$AS,2,FALSE)</f>
        <v>143</v>
      </c>
      <c r="J518" s="36">
        <f>VLOOKUP($F518,'Status Thresholds'!$E:$AS,3,FALSE)</f>
        <v>325</v>
      </c>
      <c r="K518" s="36">
        <f>VLOOKUP($F518,'Status Thresholds'!$E:$AS,4,FALSE)</f>
        <v>506</v>
      </c>
      <c r="L518" s="36">
        <f>VLOOKUP($F518,'Status Thresholds'!$E:$AS,5,FALSE)</f>
        <v>689</v>
      </c>
      <c r="M518" s="36">
        <f>VLOOKUP($F518,'Status Thresholds'!$E:$AS,6,FALSE)</f>
        <v>0</v>
      </c>
      <c r="N518" s="50">
        <f>VLOOKUP($F518,'Status Thresholds'!$E:$AS,7,FALSE)</f>
        <v>0</v>
      </c>
      <c r="O518" s="36">
        <f>VLOOKUP($F518,'Status Thresholds'!$E:$AS,8,FALSE)</f>
        <v>0</v>
      </c>
      <c r="P518" s="36">
        <f>VLOOKUP($F518,'Status Thresholds'!$E:$AS,9,FALSE)</f>
        <v>0</v>
      </c>
      <c r="Q518" s="36">
        <f>VLOOKUP($F518,'Status Thresholds'!$E:$AS,10,FALSE)</f>
        <v>0</v>
      </c>
      <c r="R518" s="36">
        <f>VLOOKUP($F518,'Status Thresholds'!$E:$AS,11,FALSE)</f>
        <v>0</v>
      </c>
      <c r="S518" s="50">
        <f>VLOOKUP($F518,'Status Thresholds'!$E:$AS,12,FALSE)</f>
        <v>143</v>
      </c>
      <c r="T518" s="36">
        <f>VLOOKUP($F518,'Status Thresholds'!$E:$AS,13,FALSE)</f>
        <v>325</v>
      </c>
      <c r="U518" s="36">
        <f>VLOOKUP($F518,'Status Thresholds'!$E:$AS,14,FALSE)</f>
        <v>507</v>
      </c>
      <c r="V518" s="36">
        <f>VLOOKUP($F518,'Status Thresholds'!$E:$AS,15,FALSE)</f>
        <v>689</v>
      </c>
      <c r="W518" s="36">
        <f>VLOOKUP($F518,'Status Thresholds'!$E:$AS,16,FALSE)</f>
        <v>0</v>
      </c>
      <c r="X518" s="50">
        <f>VLOOKUP($F518,'Status Thresholds'!$E:$AS,17,FALSE)</f>
        <v>0</v>
      </c>
      <c r="Y518" s="36">
        <f>VLOOKUP($F518,'Status Thresholds'!$E:$AS,18,FALSE)</f>
        <v>0</v>
      </c>
      <c r="Z518" s="36">
        <f>VLOOKUP($F518,'Status Thresholds'!$E:$AS,19,FALSE)</f>
        <v>0</v>
      </c>
      <c r="AA518" s="36">
        <f>VLOOKUP($F518,'Status Thresholds'!$E:$AS,20,FALSE)</f>
        <v>0</v>
      </c>
      <c r="AB518" s="36">
        <f>VLOOKUP($F518,'Status Thresholds'!$E:$AS,21,FALSE)</f>
        <v>0</v>
      </c>
      <c r="AC518" s="50">
        <f>VLOOKUP($F518,'Status Thresholds'!$E:$AS,22,FALSE)</f>
        <v>154</v>
      </c>
      <c r="AD518" s="36">
        <f>VLOOKUP($F518,'Status Thresholds'!$E:$AS,23,FALSE)</f>
        <v>350</v>
      </c>
      <c r="AE518" s="36">
        <f>VLOOKUP($F518,'Status Thresholds'!$E:$AS,24,FALSE)</f>
        <v>546</v>
      </c>
      <c r="AF518" s="36">
        <f>VLOOKUP($F518,'Status Thresholds'!$E:$AS,25,FALSE)</f>
        <v>742</v>
      </c>
      <c r="AG518" s="36">
        <f>VLOOKUP($F518,'Status Thresholds'!$E:$AS,26,FALSE)</f>
        <v>0</v>
      </c>
      <c r="AH518" s="50">
        <f>VLOOKUP($F518,'Status Thresholds'!$E:$AS,27,FALSE)</f>
        <v>0</v>
      </c>
      <c r="AI518" s="36">
        <f>VLOOKUP($F518,'Status Thresholds'!$E:$AS,28,FALSE)</f>
        <v>0</v>
      </c>
      <c r="AJ518" s="36">
        <f>VLOOKUP($F518,'Status Thresholds'!$E:$AS,29,FALSE)</f>
        <v>0</v>
      </c>
      <c r="AK518" s="36">
        <f>VLOOKUP($F518,'Status Thresholds'!$E:$AS,30,FALSE)</f>
        <v>0</v>
      </c>
      <c r="AL518" s="36">
        <f>VLOOKUP($F518,'Status Thresholds'!$E:$AS,31,FALSE)</f>
        <v>0</v>
      </c>
      <c r="AM518" s="50">
        <f>VLOOKUP($F518,'Status Thresholds'!$E:$AS,32,FALSE)</f>
        <v>0</v>
      </c>
      <c r="AN518" s="36">
        <f>VLOOKUP($F518,'Status Thresholds'!$E:$AS,33,FALSE)</f>
        <v>0</v>
      </c>
      <c r="AO518" s="36">
        <f>VLOOKUP($F518,'Status Thresholds'!$E:$AS,34,FALSE)</f>
        <v>0</v>
      </c>
      <c r="AP518" s="36">
        <f>VLOOKUP($F518,'Status Thresholds'!$E:$AS,35,FALSE)</f>
        <v>0</v>
      </c>
      <c r="AQ518" s="36">
        <f>VLOOKUP($F518,'Status Thresholds'!$E:$AS,36,FALSE)</f>
        <v>0</v>
      </c>
      <c r="AR518" s="50">
        <f>VLOOKUP($F518,'Status Thresholds'!$E:$AS,37,FALSE)</f>
        <v>0</v>
      </c>
      <c r="AS518" s="36">
        <f>VLOOKUP($F518,'Status Thresholds'!$E:$AS,38,FALSE)</f>
        <v>0</v>
      </c>
      <c r="AT518" s="36">
        <f>VLOOKUP($F518,'Status Thresholds'!$E:$AS,39,FALSE)</f>
        <v>0</v>
      </c>
      <c r="AU518" s="36">
        <f>VLOOKUP($F518,'Status Thresholds'!$E:$AS,40,FALSE)</f>
        <v>0</v>
      </c>
      <c r="AV518" s="36">
        <f>VLOOKUP($F518,'Status Thresholds'!$E:$AS,41,FALSE)</f>
        <v>10</v>
      </c>
      <c r="AW518">
        <v>0</v>
      </c>
      <c r="AX518">
        <v>0</v>
      </c>
    </row>
    <row r="519" spans="1:50" x14ac:dyDescent="0.25">
      <c r="A519" s="36"/>
      <c r="B519" t="s">
        <v>120</v>
      </c>
      <c r="C519" s="36" t="str">
        <f>'Status Thresholds'!B510</f>
        <v>Najarala</v>
      </c>
      <c r="E519" s="36" t="str">
        <f t="shared" si="19"/>
        <v>Najarala</v>
      </c>
      <c r="F519" s="36" t="str">
        <f>IFERROR(VLOOKUP($E519,'Status Thresholds'!$E:$AS,1,FALSE),"")</f>
        <v/>
      </c>
      <c r="G519" t="s">
        <v>21</v>
      </c>
      <c r="H519" s="55" t="str">
        <f t="shared" si="20"/>
        <v>NajaralaTriblast</v>
      </c>
      <c r="I519" s="50">
        <v>0</v>
      </c>
      <c r="J519" s="36">
        <v>2</v>
      </c>
      <c r="K519" s="36">
        <v>2</v>
      </c>
      <c r="L519" s="36">
        <v>2</v>
      </c>
      <c r="M519" s="36">
        <v>0</v>
      </c>
      <c r="N519" s="50">
        <v>0</v>
      </c>
      <c r="O519" s="36">
        <v>0</v>
      </c>
      <c r="P519" s="36">
        <v>0</v>
      </c>
      <c r="Q519" s="36">
        <v>0</v>
      </c>
      <c r="R519" s="36">
        <v>0</v>
      </c>
      <c r="S519" s="50">
        <v>0</v>
      </c>
      <c r="T519" s="36">
        <v>2</v>
      </c>
      <c r="U519" s="36">
        <v>2</v>
      </c>
      <c r="V519" s="36">
        <v>2</v>
      </c>
      <c r="W519" s="36">
        <v>0</v>
      </c>
      <c r="X519" s="50">
        <v>0</v>
      </c>
      <c r="Y519" s="36">
        <v>0</v>
      </c>
      <c r="Z519" s="36">
        <v>0</v>
      </c>
      <c r="AA519" s="36">
        <v>0</v>
      </c>
      <c r="AB519" s="36">
        <v>0</v>
      </c>
      <c r="AC519" s="50">
        <v>0</v>
      </c>
      <c r="AD519" s="36">
        <v>2</v>
      </c>
      <c r="AE519" s="36">
        <v>2</v>
      </c>
      <c r="AF519" s="36">
        <v>2</v>
      </c>
      <c r="AG519" s="36">
        <v>0</v>
      </c>
      <c r="AH519" s="50">
        <v>0</v>
      </c>
      <c r="AI519" s="36">
        <v>0</v>
      </c>
      <c r="AJ519" s="36">
        <v>0</v>
      </c>
      <c r="AK519" s="36">
        <v>0</v>
      </c>
      <c r="AL519" s="36">
        <v>0</v>
      </c>
      <c r="AM519" s="50">
        <v>0</v>
      </c>
      <c r="AN519" s="36">
        <v>0</v>
      </c>
      <c r="AO519" s="36">
        <v>0</v>
      </c>
      <c r="AP519" s="36">
        <v>0</v>
      </c>
      <c r="AQ519" s="36">
        <v>0</v>
      </c>
      <c r="AR519" s="50">
        <v>0</v>
      </c>
      <c r="AS519" s="36">
        <v>0</v>
      </c>
      <c r="AT519" s="36">
        <v>0</v>
      </c>
      <c r="AU519" s="36">
        <v>0</v>
      </c>
      <c r="AV519" s="36">
        <v>0</v>
      </c>
      <c r="AW519">
        <v>0</v>
      </c>
    </row>
    <row r="520" spans="1:50" x14ac:dyDescent="0.25">
      <c r="A520" s="36"/>
      <c r="B520" t="s">
        <v>120</v>
      </c>
      <c r="C520" s="36" t="str">
        <f>'Status Thresholds'!B511</f>
        <v>Najarala</v>
      </c>
      <c r="E520" s="36" t="str">
        <f t="shared" si="19"/>
        <v>Najarala</v>
      </c>
      <c r="F520" s="36" t="str">
        <f>IFERROR(VLOOKUP($E520,'Status Thresholds'!$E:$AS,1,FALSE),"")</f>
        <v/>
      </c>
      <c r="G520" t="s">
        <v>13</v>
      </c>
      <c r="H520" s="55" t="str">
        <f t="shared" si="20"/>
        <v>NajaralaCrag 3</v>
      </c>
      <c r="I520" s="50">
        <v>1</v>
      </c>
      <c r="J520" s="36">
        <v>0</v>
      </c>
      <c r="K520" s="36">
        <v>3</v>
      </c>
      <c r="L520" s="36">
        <v>4</v>
      </c>
      <c r="M520" s="36">
        <v>0</v>
      </c>
      <c r="N520" s="50">
        <v>0</v>
      </c>
      <c r="O520" s="36">
        <v>0</v>
      </c>
      <c r="P520" s="36">
        <v>0</v>
      </c>
      <c r="Q520" s="36">
        <v>0</v>
      </c>
      <c r="R520" s="36">
        <v>0</v>
      </c>
      <c r="S520" s="50">
        <v>1</v>
      </c>
      <c r="T520" s="36">
        <v>0</v>
      </c>
      <c r="U520" s="36">
        <v>1</v>
      </c>
      <c r="V520" s="36">
        <v>4</v>
      </c>
      <c r="W520" s="36">
        <v>0</v>
      </c>
      <c r="X520" s="50">
        <v>0</v>
      </c>
      <c r="Y520" s="36">
        <v>0</v>
      </c>
      <c r="Z520" s="36">
        <v>0</v>
      </c>
      <c r="AA520" s="36">
        <v>0</v>
      </c>
      <c r="AB520" s="36">
        <v>0</v>
      </c>
      <c r="AC520" s="50">
        <v>2</v>
      </c>
      <c r="AD520" s="36">
        <v>0</v>
      </c>
      <c r="AE520" s="36">
        <v>4</v>
      </c>
      <c r="AF520" s="36">
        <v>4</v>
      </c>
      <c r="AG520" s="36">
        <v>0</v>
      </c>
      <c r="AH520" s="50">
        <v>0</v>
      </c>
      <c r="AI520" s="36">
        <v>0</v>
      </c>
      <c r="AJ520" s="36">
        <v>0</v>
      </c>
      <c r="AK520" s="36">
        <v>0</v>
      </c>
      <c r="AL520" s="36">
        <v>0</v>
      </c>
      <c r="AM520" s="50">
        <v>0</v>
      </c>
      <c r="AN520" s="36">
        <v>0</v>
      </c>
      <c r="AO520" s="36">
        <v>0</v>
      </c>
      <c r="AP520" s="36">
        <v>0</v>
      </c>
      <c r="AQ520" s="36">
        <v>0</v>
      </c>
      <c r="AR520" s="50">
        <v>0</v>
      </c>
      <c r="AS520" s="36">
        <v>0</v>
      </c>
      <c r="AT520" s="36">
        <v>0</v>
      </c>
      <c r="AU520" s="36">
        <v>0</v>
      </c>
      <c r="AV520" s="36">
        <v>0</v>
      </c>
      <c r="AW520">
        <v>0</v>
      </c>
      <c r="AX520">
        <v>0</v>
      </c>
    </row>
    <row r="521" spans="1:50" x14ac:dyDescent="0.25">
      <c r="A521" s="36"/>
      <c r="B521" t="s">
        <v>120</v>
      </c>
      <c r="C521" s="36" t="str">
        <f>'Status Thresholds'!B512</f>
        <v>Najarala</v>
      </c>
      <c r="E521" s="36" t="str">
        <f t="shared" si="19"/>
        <v>Najarala</v>
      </c>
      <c r="F521" s="36" t="str">
        <f>IFERROR(VLOOKUP($E521,'Status Thresholds'!$E:$AS,1,FALSE),"")</f>
        <v/>
      </c>
      <c r="G521" t="s">
        <v>12</v>
      </c>
      <c r="H521" s="55" t="str">
        <f t="shared" si="20"/>
        <v>NajaralaCrag 2</v>
      </c>
      <c r="I521" s="50">
        <v>1</v>
      </c>
      <c r="J521" s="36">
        <v>0</v>
      </c>
      <c r="K521" s="36">
        <v>3</v>
      </c>
      <c r="L521" s="36">
        <v>4</v>
      </c>
      <c r="M521" s="36">
        <v>0</v>
      </c>
      <c r="N521" s="50">
        <v>0</v>
      </c>
      <c r="O521" s="36">
        <v>0</v>
      </c>
      <c r="P521" s="36">
        <v>0</v>
      </c>
      <c r="Q521" s="36">
        <v>0</v>
      </c>
      <c r="R521" s="36">
        <v>0</v>
      </c>
      <c r="S521" s="50">
        <v>1</v>
      </c>
      <c r="T521" s="36">
        <v>0</v>
      </c>
      <c r="U521" s="36">
        <v>4</v>
      </c>
      <c r="V521" s="36">
        <v>4</v>
      </c>
      <c r="W521" s="36">
        <v>0</v>
      </c>
      <c r="X521" s="50">
        <v>0</v>
      </c>
      <c r="Y521" s="36">
        <v>0</v>
      </c>
      <c r="Z521" s="36">
        <v>0</v>
      </c>
      <c r="AA521" s="36">
        <v>0</v>
      </c>
      <c r="AB521" s="36">
        <v>0</v>
      </c>
      <c r="AC521" s="50">
        <v>0</v>
      </c>
      <c r="AD521" s="36">
        <v>0</v>
      </c>
      <c r="AE521" s="36">
        <v>3</v>
      </c>
      <c r="AF521" s="36">
        <v>4</v>
      </c>
      <c r="AG521" s="36">
        <v>0</v>
      </c>
      <c r="AH521" s="50">
        <v>0</v>
      </c>
      <c r="AI521" s="36">
        <v>0</v>
      </c>
      <c r="AJ521" s="36">
        <v>0</v>
      </c>
      <c r="AK521" s="36">
        <v>0</v>
      </c>
      <c r="AL521" s="36">
        <v>0</v>
      </c>
      <c r="AM521" s="50">
        <v>0</v>
      </c>
      <c r="AN521" s="36">
        <v>0</v>
      </c>
      <c r="AO521" s="36">
        <v>0</v>
      </c>
      <c r="AP521" s="36">
        <v>0</v>
      </c>
      <c r="AQ521" s="36">
        <v>0</v>
      </c>
      <c r="AR521" s="50">
        <v>0</v>
      </c>
      <c r="AS521" s="36">
        <v>0</v>
      </c>
      <c r="AT521" s="36">
        <v>0</v>
      </c>
      <c r="AU521" s="36">
        <v>0</v>
      </c>
      <c r="AV521" s="36">
        <v>0</v>
      </c>
      <c r="AW521">
        <v>0</v>
      </c>
      <c r="AX521">
        <v>0</v>
      </c>
    </row>
    <row r="522" spans="1:50" x14ac:dyDescent="0.25">
      <c r="A522" s="36"/>
      <c r="B522" t="s">
        <v>120</v>
      </c>
      <c r="C522" s="36" t="str">
        <f>'Status Thresholds'!B513</f>
        <v>Najarala</v>
      </c>
      <c r="E522" s="36" t="str">
        <f t="shared" si="19"/>
        <v>Najarala</v>
      </c>
      <c r="F522" s="36" t="str">
        <f>IFERROR(VLOOKUP($E522,'Status Thresholds'!$E:$AS,1,FALSE),"")</f>
        <v/>
      </c>
      <c r="G522" t="s">
        <v>11</v>
      </c>
      <c r="H522" s="55" t="str">
        <f t="shared" si="20"/>
        <v>NajaralaCrag 1</v>
      </c>
      <c r="I522" s="50">
        <v>3</v>
      </c>
      <c r="J522" s="36">
        <v>7</v>
      </c>
      <c r="K522" s="36">
        <v>6</v>
      </c>
      <c r="L522" s="36">
        <v>8</v>
      </c>
      <c r="M522" s="36">
        <v>0</v>
      </c>
      <c r="N522" s="50">
        <v>0</v>
      </c>
      <c r="O522" s="36">
        <v>0</v>
      </c>
      <c r="P522" s="36">
        <v>0</v>
      </c>
      <c r="Q522" s="36">
        <v>0</v>
      </c>
      <c r="R522" s="36">
        <v>0</v>
      </c>
      <c r="S522" s="50">
        <v>3</v>
      </c>
      <c r="T522" s="36">
        <v>7</v>
      </c>
      <c r="U522" s="36">
        <v>8</v>
      </c>
      <c r="V522" s="36">
        <v>8</v>
      </c>
      <c r="W522" s="36">
        <v>0</v>
      </c>
      <c r="X522" s="50">
        <v>0</v>
      </c>
      <c r="Y522" s="36">
        <v>0</v>
      </c>
      <c r="Z522" s="36">
        <v>0</v>
      </c>
      <c r="AA522" s="36">
        <v>0</v>
      </c>
      <c r="AB522" s="36">
        <v>0</v>
      </c>
      <c r="AC522" s="50">
        <v>3</v>
      </c>
      <c r="AD522" s="36">
        <v>8</v>
      </c>
      <c r="AE522" s="36">
        <v>6</v>
      </c>
      <c r="AF522" s="36">
        <v>8</v>
      </c>
      <c r="AG522" s="36">
        <v>0</v>
      </c>
      <c r="AH522" s="50">
        <v>0</v>
      </c>
      <c r="AI522" s="36">
        <v>0</v>
      </c>
      <c r="AJ522" s="36">
        <v>0</v>
      </c>
      <c r="AK522" s="36">
        <v>0</v>
      </c>
      <c r="AL522" s="36">
        <v>0</v>
      </c>
      <c r="AM522" s="50">
        <v>0</v>
      </c>
      <c r="AN522" s="36">
        <v>0</v>
      </c>
      <c r="AO522" s="36">
        <v>0</v>
      </c>
      <c r="AP522" s="36">
        <v>0</v>
      </c>
      <c r="AQ522" s="36">
        <v>0</v>
      </c>
      <c r="AR522" s="50">
        <v>0</v>
      </c>
      <c r="AS522" s="36">
        <v>0</v>
      </c>
      <c r="AT522" s="36">
        <v>0</v>
      </c>
      <c r="AU522" s="36">
        <v>0</v>
      </c>
      <c r="AV522" s="36">
        <v>1</v>
      </c>
      <c r="AW522">
        <v>0</v>
      </c>
      <c r="AX522">
        <v>0</v>
      </c>
    </row>
    <row r="523" spans="1:50" x14ac:dyDescent="0.25">
      <c r="A523" s="36"/>
      <c r="B523" t="s">
        <v>119</v>
      </c>
      <c r="C523" s="36" t="str">
        <f>'Status Thresholds'!B514</f>
        <v>Najarala</v>
      </c>
      <c r="E523" s="36" t="str">
        <f t="shared" si="19"/>
        <v>Najarala</v>
      </c>
      <c r="F523" s="36" t="str">
        <f>IFERROR(VLOOKUP($E523,'Status Thresholds'!$E:$AS,1,FALSE),"")</f>
        <v/>
      </c>
      <c r="G523" t="s">
        <v>21</v>
      </c>
      <c r="H523" s="55" t="str">
        <f t="shared" si="20"/>
        <v>NajaralaTriblast</v>
      </c>
      <c r="I523" s="50">
        <v>0</v>
      </c>
      <c r="J523" s="36">
        <v>0</v>
      </c>
      <c r="K523" s="36">
        <v>1</v>
      </c>
      <c r="L523" s="36">
        <v>2</v>
      </c>
      <c r="M523" s="36">
        <v>0</v>
      </c>
      <c r="N523" s="50">
        <v>0</v>
      </c>
      <c r="O523" s="36">
        <v>0</v>
      </c>
      <c r="P523" s="36">
        <v>0</v>
      </c>
      <c r="Q523" s="36">
        <v>0</v>
      </c>
      <c r="R523" s="36">
        <v>0</v>
      </c>
      <c r="S523" s="50">
        <v>0</v>
      </c>
      <c r="T523" s="36">
        <v>0</v>
      </c>
      <c r="U523" s="36">
        <v>1</v>
      </c>
      <c r="V523" s="36">
        <v>2</v>
      </c>
      <c r="W523" s="36">
        <v>0</v>
      </c>
      <c r="X523" s="50">
        <v>0</v>
      </c>
      <c r="Y523" s="36">
        <v>0</v>
      </c>
      <c r="Z523" s="36">
        <v>0</v>
      </c>
      <c r="AA523" s="36">
        <v>0</v>
      </c>
      <c r="AB523" s="36">
        <v>0</v>
      </c>
      <c r="AC523" s="50">
        <v>0</v>
      </c>
      <c r="AD523" s="36">
        <v>1</v>
      </c>
      <c r="AE523" s="36">
        <v>2</v>
      </c>
      <c r="AF523" s="36">
        <v>2</v>
      </c>
      <c r="AG523" s="36">
        <v>0</v>
      </c>
      <c r="AH523" s="50">
        <v>0</v>
      </c>
      <c r="AI523" s="36">
        <v>0</v>
      </c>
      <c r="AJ523" s="36">
        <v>0</v>
      </c>
      <c r="AK523" s="36">
        <v>0</v>
      </c>
      <c r="AL523" s="36">
        <v>0</v>
      </c>
      <c r="AM523" s="50">
        <v>0</v>
      </c>
      <c r="AN523" s="36">
        <v>0</v>
      </c>
      <c r="AO523" s="36">
        <v>0</v>
      </c>
      <c r="AP523" s="36">
        <v>0</v>
      </c>
      <c r="AQ523" s="36">
        <v>0</v>
      </c>
      <c r="AR523" s="50">
        <v>0</v>
      </c>
      <c r="AS523" s="36">
        <v>0</v>
      </c>
      <c r="AT523" s="36">
        <v>0</v>
      </c>
      <c r="AU523" s="36">
        <v>0</v>
      </c>
      <c r="AV523" s="36">
        <v>0</v>
      </c>
      <c r="AW523">
        <v>0</v>
      </c>
      <c r="AX523">
        <v>0</v>
      </c>
    </row>
    <row r="524" spans="1:50" x14ac:dyDescent="0.25">
      <c r="A524" s="36"/>
      <c r="B524" t="s">
        <v>119</v>
      </c>
      <c r="C524" s="36" t="str">
        <f>'Status Thresholds'!B515</f>
        <v>Najarala</v>
      </c>
      <c r="E524" s="36" t="str">
        <f t="shared" si="19"/>
        <v>Najarala</v>
      </c>
      <c r="F524" s="36" t="str">
        <f>IFERROR(VLOOKUP($E524,'Status Thresholds'!$E:$AS,1,FALSE),"")</f>
        <v/>
      </c>
      <c r="G524" t="s">
        <v>13</v>
      </c>
      <c r="H524" s="55" t="str">
        <f t="shared" si="20"/>
        <v>NajaralaCrag 3</v>
      </c>
      <c r="I524" s="50">
        <v>1</v>
      </c>
      <c r="J524" s="36">
        <v>1</v>
      </c>
      <c r="K524" s="36">
        <v>4</v>
      </c>
      <c r="L524" s="36">
        <v>4</v>
      </c>
      <c r="M524" s="36">
        <v>0</v>
      </c>
      <c r="N524" s="50">
        <v>0</v>
      </c>
      <c r="O524" s="36">
        <v>0</v>
      </c>
      <c r="P524" s="36">
        <v>0</v>
      </c>
      <c r="Q524" s="36">
        <v>0</v>
      </c>
      <c r="R524" s="36">
        <v>0</v>
      </c>
      <c r="S524" s="50">
        <v>1</v>
      </c>
      <c r="T524" s="36">
        <v>1</v>
      </c>
      <c r="U524" s="36">
        <v>3</v>
      </c>
      <c r="V524" s="36">
        <v>4</v>
      </c>
      <c r="W524" s="36">
        <v>0</v>
      </c>
      <c r="X524" s="50">
        <v>0</v>
      </c>
      <c r="Y524" s="36">
        <v>0</v>
      </c>
      <c r="Z524" s="36">
        <v>0</v>
      </c>
      <c r="AA524" s="36">
        <v>0</v>
      </c>
      <c r="AB524" s="36">
        <v>0</v>
      </c>
      <c r="AC524" s="50">
        <v>2</v>
      </c>
      <c r="AD524" s="36">
        <v>4</v>
      </c>
      <c r="AE524" s="36">
        <v>3</v>
      </c>
      <c r="AF524" s="36">
        <v>4</v>
      </c>
      <c r="AG524" s="36">
        <v>0</v>
      </c>
      <c r="AH524" s="50">
        <v>0</v>
      </c>
      <c r="AI524" s="36">
        <v>0</v>
      </c>
      <c r="AJ524" s="36">
        <v>0</v>
      </c>
      <c r="AK524" s="36">
        <v>0</v>
      </c>
      <c r="AL524" s="36">
        <v>0</v>
      </c>
      <c r="AM524" s="50">
        <v>0</v>
      </c>
      <c r="AN524" s="36">
        <v>0</v>
      </c>
      <c r="AO524" s="36">
        <v>0</v>
      </c>
      <c r="AP524" s="36">
        <v>0</v>
      </c>
      <c r="AQ524" s="36">
        <v>0</v>
      </c>
      <c r="AR524" s="50">
        <v>0</v>
      </c>
      <c r="AS524" s="36">
        <v>0</v>
      </c>
      <c r="AT524" s="36">
        <v>0</v>
      </c>
      <c r="AU524" s="36">
        <v>0</v>
      </c>
      <c r="AV524" s="36">
        <v>0</v>
      </c>
      <c r="AW524">
        <v>0</v>
      </c>
      <c r="AX524">
        <v>0</v>
      </c>
    </row>
    <row r="525" spans="1:50" x14ac:dyDescent="0.25">
      <c r="A525" s="36"/>
      <c r="B525" t="s">
        <v>119</v>
      </c>
      <c r="C525" s="36" t="str">
        <f>'Status Thresholds'!B516</f>
        <v>Najarala</v>
      </c>
      <c r="E525" s="36" t="str">
        <f t="shared" si="19"/>
        <v>Najarala</v>
      </c>
      <c r="F525" s="36" t="str">
        <f>IFERROR(VLOOKUP($E525,'Status Thresholds'!$E:$AS,1,FALSE),"")</f>
        <v/>
      </c>
      <c r="G525" t="s">
        <v>12</v>
      </c>
      <c r="H525" s="55" t="str">
        <f t="shared" si="20"/>
        <v>NajaralaCrag 2</v>
      </c>
      <c r="I525" s="50">
        <v>3</v>
      </c>
      <c r="J525" s="36">
        <v>2</v>
      </c>
      <c r="K525" s="36">
        <v>1</v>
      </c>
      <c r="L525" s="36">
        <v>4</v>
      </c>
      <c r="M525" s="36">
        <v>0</v>
      </c>
      <c r="N525" s="50">
        <v>0</v>
      </c>
      <c r="O525" s="36">
        <v>0</v>
      </c>
      <c r="P525" s="36">
        <v>0</v>
      </c>
      <c r="Q525" s="36">
        <v>0</v>
      </c>
      <c r="R525" s="36">
        <v>0</v>
      </c>
      <c r="S525" s="50">
        <v>3</v>
      </c>
      <c r="T525" s="36">
        <v>2</v>
      </c>
      <c r="U525" s="36">
        <v>4</v>
      </c>
      <c r="V525" s="36">
        <v>4</v>
      </c>
      <c r="W525" s="36">
        <v>0</v>
      </c>
      <c r="X525" s="50">
        <v>0</v>
      </c>
      <c r="Y525" s="36">
        <v>0</v>
      </c>
      <c r="Z525" s="36">
        <v>0</v>
      </c>
      <c r="AA525" s="36">
        <v>0</v>
      </c>
      <c r="AB525" s="36">
        <v>0</v>
      </c>
      <c r="AC525" s="50">
        <v>2</v>
      </c>
      <c r="AD525" s="36">
        <v>2</v>
      </c>
      <c r="AE525" s="36">
        <v>2</v>
      </c>
      <c r="AF525" s="36">
        <v>4</v>
      </c>
      <c r="AG525" s="36">
        <v>0</v>
      </c>
      <c r="AH525" s="50">
        <v>0</v>
      </c>
      <c r="AI525" s="36">
        <v>0</v>
      </c>
      <c r="AJ525" s="36">
        <v>0</v>
      </c>
      <c r="AK525" s="36">
        <v>0</v>
      </c>
      <c r="AL525" s="36">
        <v>0</v>
      </c>
      <c r="AM525" s="50">
        <v>0</v>
      </c>
      <c r="AN525" s="36">
        <v>0</v>
      </c>
      <c r="AO525" s="36">
        <v>0</v>
      </c>
      <c r="AP525" s="36">
        <v>0</v>
      </c>
      <c r="AQ525" s="36">
        <v>0</v>
      </c>
      <c r="AR525" s="50">
        <v>0</v>
      </c>
      <c r="AS525" s="36">
        <v>0</v>
      </c>
      <c r="AT525" s="36">
        <v>0</v>
      </c>
      <c r="AU525" s="36">
        <v>0</v>
      </c>
      <c r="AV525" s="36">
        <v>0</v>
      </c>
      <c r="AW525">
        <v>0</v>
      </c>
      <c r="AX525">
        <v>0</v>
      </c>
    </row>
    <row r="526" spans="1:50" x14ac:dyDescent="0.25">
      <c r="A526" s="36"/>
      <c r="B526" t="s">
        <v>119</v>
      </c>
      <c r="C526" s="36" t="str">
        <f>'Status Thresholds'!B517</f>
        <v>Najarala</v>
      </c>
      <c r="E526" s="36" t="str">
        <f t="shared" si="19"/>
        <v>Najarala</v>
      </c>
      <c r="F526" s="36" t="str">
        <f>IFERROR(VLOOKUP($E526,'Status Thresholds'!$E:$AS,1,FALSE),"")</f>
        <v/>
      </c>
      <c r="G526" t="s">
        <v>11</v>
      </c>
      <c r="H526" s="55" t="str">
        <f t="shared" si="20"/>
        <v>NajaralaCrag 1</v>
      </c>
      <c r="I526" s="50">
        <v>0</v>
      </c>
      <c r="J526" s="36">
        <v>8</v>
      </c>
      <c r="K526" s="36">
        <v>8</v>
      </c>
      <c r="L526" s="36">
        <v>8</v>
      </c>
      <c r="M526" s="36">
        <v>0</v>
      </c>
      <c r="N526" s="50">
        <v>0</v>
      </c>
      <c r="O526" s="36">
        <v>0</v>
      </c>
      <c r="P526" s="36">
        <v>0</v>
      </c>
      <c r="Q526" s="36">
        <v>0</v>
      </c>
      <c r="R526" s="36">
        <v>0</v>
      </c>
      <c r="S526" s="50">
        <v>0</v>
      </c>
      <c r="T526" s="36">
        <v>8</v>
      </c>
      <c r="U526" s="36">
        <v>6</v>
      </c>
      <c r="V526" s="36">
        <v>8</v>
      </c>
      <c r="W526" s="36">
        <v>0</v>
      </c>
      <c r="X526" s="50">
        <v>0</v>
      </c>
      <c r="Y526" s="36">
        <v>0</v>
      </c>
      <c r="Z526" s="36">
        <v>0</v>
      </c>
      <c r="AA526" s="36">
        <v>0</v>
      </c>
      <c r="AB526" s="36">
        <v>0</v>
      </c>
      <c r="AC526" s="50">
        <v>0</v>
      </c>
      <c r="AD526" s="36">
        <v>1</v>
      </c>
      <c r="AE526" s="36">
        <v>7</v>
      </c>
      <c r="AF526" s="36">
        <v>8</v>
      </c>
      <c r="AG526" s="36">
        <v>0</v>
      </c>
      <c r="AH526" s="50">
        <v>0</v>
      </c>
      <c r="AI526" s="36">
        <v>0</v>
      </c>
      <c r="AJ526" s="36">
        <v>0</v>
      </c>
      <c r="AK526" s="36">
        <v>0</v>
      </c>
      <c r="AL526" s="36">
        <v>0</v>
      </c>
      <c r="AM526" s="50">
        <v>0</v>
      </c>
      <c r="AN526" s="36">
        <v>0</v>
      </c>
      <c r="AO526" s="36">
        <v>0</v>
      </c>
      <c r="AP526" s="36">
        <v>0</v>
      </c>
      <c r="AQ526" s="36">
        <v>0</v>
      </c>
      <c r="AR526" s="50">
        <v>0</v>
      </c>
      <c r="AS526" s="36">
        <v>0</v>
      </c>
      <c r="AT526" s="36">
        <v>0</v>
      </c>
      <c r="AU526" s="36">
        <v>0</v>
      </c>
      <c r="AV526" s="36">
        <v>1</v>
      </c>
      <c r="AW526">
        <v>0</v>
      </c>
      <c r="AX526">
        <v>0</v>
      </c>
    </row>
    <row r="527" spans="1:50" x14ac:dyDescent="0.25">
      <c r="A527" s="36"/>
      <c r="B527" t="s">
        <v>121</v>
      </c>
      <c r="C527" s="36" t="str">
        <f>'Status Thresholds'!B518</f>
        <v>Nargacuga</v>
      </c>
      <c r="D527" t="s">
        <v>14</v>
      </c>
      <c r="E527" s="36" t="str">
        <f t="shared" si="19"/>
        <v>NargacugaKO</v>
      </c>
      <c r="F527" s="36" t="str">
        <f>IFERROR(VLOOKUP($E527,'Status Thresholds'!$E:$AS,1,FALSE),"")</f>
        <v>NargacugaKO</v>
      </c>
      <c r="H527" s="55" t="str">
        <f t="shared" si="20"/>
        <v>NargacugaKO</v>
      </c>
      <c r="I527" s="50">
        <f>VLOOKUP($F527,'Status Thresholds'!$E:$AS,2,FALSE)</f>
        <v>260</v>
      </c>
      <c r="J527" s="36">
        <f>VLOOKUP($F527,'Status Thresholds'!$E:$AS,3,FALSE)</f>
        <v>454</v>
      </c>
      <c r="K527" s="36">
        <f>VLOOKUP($F527,'Status Thresholds'!$E:$AS,4,FALSE)</f>
        <v>650</v>
      </c>
      <c r="L527" s="36">
        <f>VLOOKUP($F527,'Status Thresholds'!$E:$AS,5,FALSE)</f>
        <v>844</v>
      </c>
      <c r="M527" s="36">
        <f>VLOOKUP($F527,'Status Thresholds'!$E:$AS,6,FALSE)</f>
        <v>0</v>
      </c>
      <c r="N527" s="50">
        <f>VLOOKUP($F527,'Status Thresholds'!$E:$AS,7,FALSE)</f>
        <v>0</v>
      </c>
      <c r="O527" s="36">
        <f>VLOOKUP($F527,'Status Thresholds'!$E:$AS,8,FALSE)</f>
        <v>0</v>
      </c>
      <c r="P527" s="36">
        <f>VLOOKUP($F527,'Status Thresholds'!$E:$AS,9,FALSE)</f>
        <v>0</v>
      </c>
      <c r="Q527" s="36">
        <f>VLOOKUP($F527,'Status Thresholds'!$E:$AS,10,FALSE)</f>
        <v>0</v>
      </c>
      <c r="R527" s="36">
        <f>VLOOKUP($F527,'Status Thresholds'!$E:$AS,11,FALSE)</f>
        <v>0</v>
      </c>
      <c r="S527" s="50">
        <f>VLOOKUP($F527,'Status Thresholds'!$E:$AS,12,FALSE)</f>
        <v>260</v>
      </c>
      <c r="T527" s="36">
        <f>VLOOKUP($F527,'Status Thresholds'!$E:$AS,13,FALSE)</f>
        <v>454</v>
      </c>
      <c r="U527" s="36">
        <f>VLOOKUP($F527,'Status Thresholds'!$E:$AS,14,FALSE)</f>
        <v>648</v>
      </c>
      <c r="V527" s="36">
        <f>VLOOKUP($F527,'Status Thresholds'!$E:$AS,15,FALSE)</f>
        <v>842</v>
      </c>
      <c r="W527" s="36">
        <f>VLOOKUP($F527,'Status Thresholds'!$E:$AS,16,FALSE)</f>
        <v>0</v>
      </c>
      <c r="X527" s="50">
        <f>VLOOKUP($F527,'Status Thresholds'!$E:$AS,17,FALSE)</f>
        <v>0</v>
      </c>
      <c r="Y527" s="36">
        <f>VLOOKUP($F527,'Status Thresholds'!$E:$AS,18,FALSE)</f>
        <v>0</v>
      </c>
      <c r="Z527" s="36">
        <f>VLOOKUP($F527,'Status Thresholds'!$E:$AS,19,FALSE)</f>
        <v>0</v>
      </c>
      <c r="AA527" s="36">
        <f>VLOOKUP($F527,'Status Thresholds'!$E:$AS,20,FALSE)</f>
        <v>0</v>
      </c>
      <c r="AB527" s="36">
        <f>VLOOKUP($F527,'Status Thresholds'!$E:$AS,21,FALSE)</f>
        <v>0</v>
      </c>
      <c r="AC527" s="50">
        <f>VLOOKUP($F527,'Status Thresholds'!$E:$AS,22,FALSE)</f>
        <v>280</v>
      </c>
      <c r="AD527" s="36">
        <f>VLOOKUP($F527,'Status Thresholds'!$E:$AS,23,FALSE)</f>
        <v>490</v>
      </c>
      <c r="AE527" s="36">
        <f>VLOOKUP($F527,'Status Thresholds'!$E:$AS,24,FALSE)</f>
        <v>700</v>
      </c>
      <c r="AF527" s="36">
        <f>VLOOKUP($F527,'Status Thresholds'!$E:$AS,25,FALSE)</f>
        <v>910</v>
      </c>
      <c r="AG527" s="36">
        <f>VLOOKUP($F527,'Status Thresholds'!$E:$AS,26,FALSE)</f>
        <v>0</v>
      </c>
      <c r="AH527" s="50">
        <f>VLOOKUP($F527,'Status Thresholds'!$E:$AS,27,FALSE)</f>
        <v>0</v>
      </c>
      <c r="AI527" s="36">
        <f>VLOOKUP($F527,'Status Thresholds'!$E:$AS,28,FALSE)</f>
        <v>0</v>
      </c>
      <c r="AJ527" s="36">
        <f>VLOOKUP($F527,'Status Thresholds'!$E:$AS,29,FALSE)</f>
        <v>0</v>
      </c>
      <c r="AK527" s="36">
        <f>VLOOKUP($F527,'Status Thresholds'!$E:$AS,30,FALSE)</f>
        <v>0</v>
      </c>
      <c r="AL527" s="36">
        <f>VLOOKUP($F527,'Status Thresholds'!$E:$AS,31,FALSE)</f>
        <v>0</v>
      </c>
      <c r="AM527" s="50">
        <f>VLOOKUP($F527,'Status Thresholds'!$E:$AS,32,FALSE)</f>
        <v>400</v>
      </c>
      <c r="AN527" s="36">
        <f>VLOOKUP($F527,'Status Thresholds'!$E:$AS,33,FALSE)</f>
        <v>700</v>
      </c>
      <c r="AO527" s="36">
        <f>VLOOKUP($F527,'Status Thresholds'!$E:$AS,34,FALSE)</f>
        <v>1000</v>
      </c>
      <c r="AP527" s="36">
        <f>VLOOKUP($F527,'Status Thresholds'!$E:$AS,35,FALSE)</f>
        <v>1300</v>
      </c>
      <c r="AQ527" s="36">
        <f>VLOOKUP($F527,'Status Thresholds'!$E:$AS,36,FALSE)</f>
        <v>0</v>
      </c>
      <c r="AR527" s="50">
        <f>VLOOKUP($F527,'Status Thresholds'!$E:$AS,37,FALSE)</f>
        <v>0</v>
      </c>
      <c r="AS527" s="36">
        <f>VLOOKUP($F527,'Status Thresholds'!$E:$AS,38,FALSE)</f>
        <v>0</v>
      </c>
      <c r="AT527" s="36">
        <f>VLOOKUP($F527,'Status Thresholds'!$E:$AS,39,FALSE)</f>
        <v>0</v>
      </c>
      <c r="AU527" s="36">
        <f>VLOOKUP($F527,'Status Thresholds'!$E:$AS,40,FALSE)</f>
        <v>0</v>
      </c>
      <c r="AV527" s="36">
        <f>VLOOKUP($F527,'Status Thresholds'!$E:$AS,41,FALSE)</f>
        <v>10</v>
      </c>
      <c r="AW527">
        <v>0</v>
      </c>
      <c r="AX527">
        <v>0</v>
      </c>
    </row>
    <row r="528" spans="1:50" x14ac:dyDescent="0.25">
      <c r="A528" s="36"/>
      <c r="B528" t="s">
        <v>120</v>
      </c>
      <c r="C528" s="36" t="str">
        <f>'Status Thresholds'!B519</f>
        <v>Nargacuga</v>
      </c>
      <c r="E528" s="36" t="str">
        <f t="shared" si="19"/>
        <v>Nargacuga</v>
      </c>
      <c r="F528" s="36" t="str">
        <f>IFERROR(VLOOKUP($E528,'Status Thresholds'!$E:$AS,1,FALSE),"")</f>
        <v/>
      </c>
      <c r="G528" t="s">
        <v>21</v>
      </c>
      <c r="H528" s="55" t="str">
        <f t="shared" si="20"/>
        <v>NargacugaTriblast</v>
      </c>
      <c r="I528" s="50">
        <v>2</v>
      </c>
      <c r="J528" s="36">
        <v>2</v>
      </c>
      <c r="K528" s="36">
        <v>2</v>
      </c>
      <c r="L528" s="36">
        <v>2</v>
      </c>
      <c r="M528" s="36">
        <v>0</v>
      </c>
      <c r="N528" s="50">
        <v>0</v>
      </c>
      <c r="O528" s="36">
        <v>0</v>
      </c>
      <c r="P528" s="36">
        <v>0</v>
      </c>
      <c r="Q528" s="36">
        <v>0</v>
      </c>
      <c r="R528" s="36">
        <v>0</v>
      </c>
      <c r="S528" s="50">
        <v>2</v>
      </c>
      <c r="T528" s="36">
        <v>2</v>
      </c>
      <c r="U528" s="36">
        <v>2</v>
      </c>
      <c r="V528" s="36">
        <v>2</v>
      </c>
      <c r="W528" s="36">
        <v>0</v>
      </c>
      <c r="X528" s="50">
        <v>0</v>
      </c>
      <c r="Y528" s="36">
        <v>0</v>
      </c>
      <c r="Z528" s="36">
        <v>0</v>
      </c>
      <c r="AA528" s="36">
        <v>0</v>
      </c>
      <c r="AB528" s="36">
        <v>0</v>
      </c>
      <c r="AC528" s="50">
        <v>2</v>
      </c>
      <c r="AD528" s="36">
        <v>1</v>
      </c>
      <c r="AE528" s="36">
        <v>2</v>
      </c>
      <c r="AF528" s="36">
        <v>2</v>
      </c>
      <c r="AG528" s="36">
        <v>0</v>
      </c>
      <c r="AH528" s="50">
        <v>0</v>
      </c>
      <c r="AI528" s="36">
        <v>0</v>
      </c>
      <c r="AJ528" s="36">
        <v>0</v>
      </c>
      <c r="AK528" s="36">
        <v>0</v>
      </c>
      <c r="AL528" s="36">
        <v>0</v>
      </c>
      <c r="AM528" s="50">
        <v>2</v>
      </c>
      <c r="AN528" s="36">
        <v>2</v>
      </c>
      <c r="AO528" s="36">
        <v>2</v>
      </c>
      <c r="AP528" s="36">
        <v>2</v>
      </c>
      <c r="AQ528" s="36">
        <v>0</v>
      </c>
      <c r="AR528" s="50">
        <v>0</v>
      </c>
      <c r="AS528" s="36">
        <v>0</v>
      </c>
      <c r="AT528" s="36">
        <v>0</v>
      </c>
      <c r="AU528" s="36">
        <v>0</v>
      </c>
      <c r="AV528" s="36">
        <v>0</v>
      </c>
      <c r="AW528">
        <v>0</v>
      </c>
    </row>
    <row r="529" spans="1:50" x14ac:dyDescent="0.25">
      <c r="A529" s="36"/>
      <c r="B529" t="s">
        <v>120</v>
      </c>
      <c r="C529" s="36" t="str">
        <f>'Status Thresholds'!B520</f>
        <v>Nargacuga</v>
      </c>
      <c r="E529" s="36" t="str">
        <f t="shared" si="19"/>
        <v>Nargacuga</v>
      </c>
      <c r="F529" s="36" t="str">
        <f>IFERROR(VLOOKUP($E529,'Status Thresholds'!$E:$AS,1,FALSE),"")</f>
        <v/>
      </c>
      <c r="G529" t="s">
        <v>13</v>
      </c>
      <c r="H529" s="55" t="str">
        <f t="shared" si="20"/>
        <v>NargacugaCrag 3</v>
      </c>
      <c r="I529" s="50">
        <v>2</v>
      </c>
      <c r="J529" s="36">
        <v>1</v>
      </c>
      <c r="K529" s="36">
        <v>4</v>
      </c>
      <c r="L529" s="36">
        <v>4</v>
      </c>
      <c r="M529" s="36">
        <v>0</v>
      </c>
      <c r="N529" s="50">
        <v>0</v>
      </c>
      <c r="O529" s="36">
        <v>0</v>
      </c>
      <c r="P529" s="36">
        <v>0</v>
      </c>
      <c r="Q529" s="36">
        <v>0</v>
      </c>
      <c r="R529" s="36">
        <v>0</v>
      </c>
      <c r="S529" s="50">
        <v>2</v>
      </c>
      <c r="T529" s="36">
        <v>1</v>
      </c>
      <c r="U529" s="36">
        <v>4</v>
      </c>
      <c r="V529" s="36">
        <v>4</v>
      </c>
      <c r="W529" s="36">
        <v>0</v>
      </c>
      <c r="X529" s="50">
        <v>0</v>
      </c>
      <c r="Y529" s="36">
        <v>0</v>
      </c>
      <c r="Z529" s="36">
        <v>0</v>
      </c>
      <c r="AA529" s="36">
        <v>0</v>
      </c>
      <c r="AB529" s="36">
        <v>0</v>
      </c>
      <c r="AC529" s="50">
        <v>2</v>
      </c>
      <c r="AD529" s="36">
        <v>3</v>
      </c>
      <c r="AE529" s="36">
        <v>4</v>
      </c>
      <c r="AF529" s="36">
        <v>4</v>
      </c>
      <c r="AG529" s="36">
        <v>0</v>
      </c>
      <c r="AH529" s="50">
        <v>0</v>
      </c>
      <c r="AI529" s="36">
        <v>0</v>
      </c>
      <c r="AJ529" s="36">
        <v>0</v>
      </c>
      <c r="AK529" s="36">
        <v>0</v>
      </c>
      <c r="AL529" s="36">
        <v>0</v>
      </c>
      <c r="AM529" s="50">
        <v>4</v>
      </c>
      <c r="AN529" s="36">
        <v>4</v>
      </c>
      <c r="AO529" s="36">
        <v>4</v>
      </c>
      <c r="AP529" s="36">
        <v>4</v>
      </c>
      <c r="AQ529" s="36">
        <v>0</v>
      </c>
      <c r="AR529" s="50">
        <v>0</v>
      </c>
      <c r="AS529" s="36">
        <v>0</v>
      </c>
      <c r="AT529" s="36">
        <v>0</v>
      </c>
      <c r="AU529" s="36">
        <v>0</v>
      </c>
      <c r="AV529" s="36">
        <v>0</v>
      </c>
      <c r="AW529">
        <v>0</v>
      </c>
      <c r="AX529">
        <v>0</v>
      </c>
    </row>
    <row r="530" spans="1:50" x14ac:dyDescent="0.25">
      <c r="A530" s="36"/>
      <c r="B530" t="s">
        <v>120</v>
      </c>
      <c r="C530" s="36" t="str">
        <f>'Status Thresholds'!B521</f>
        <v>Nargacuga</v>
      </c>
      <c r="E530" s="36" t="str">
        <f t="shared" si="19"/>
        <v>Nargacuga</v>
      </c>
      <c r="F530" s="36" t="str">
        <f>IFERROR(VLOOKUP($E530,'Status Thresholds'!$E:$AS,1,FALSE),"")</f>
        <v/>
      </c>
      <c r="G530" t="s">
        <v>12</v>
      </c>
      <c r="H530" s="55" t="str">
        <f t="shared" si="20"/>
        <v>NargacugaCrag 2</v>
      </c>
      <c r="I530" s="50">
        <v>1</v>
      </c>
      <c r="J530" s="36">
        <v>3</v>
      </c>
      <c r="K530" s="36">
        <v>4</v>
      </c>
      <c r="L530" s="36">
        <v>4</v>
      </c>
      <c r="M530" s="36">
        <v>0</v>
      </c>
      <c r="N530" s="50">
        <v>0</v>
      </c>
      <c r="O530" s="36">
        <v>0</v>
      </c>
      <c r="P530" s="36">
        <v>0</v>
      </c>
      <c r="Q530" s="36">
        <v>0</v>
      </c>
      <c r="R530" s="36">
        <v>0</v>
      </c>
      <c r="S530" s="50">
        <v>1</v>
      </c>
      <c r="T530" s="36">
        <v>3</v>
      </c>
      <c r="U530" s="36">
        <v>4</v>
      </c>
      <c r="V530" s="36">
        <v>4</v>
      </c>
      <c r="W530" s="36">
        <v>0</v>
      </c>
      <c r="X530" s="50">
        <v>0</v>
      </c>
      <c r="Y530" s="36">
        <v>0</v>
      </c>
      <c r="Z530" s="36">
        <v>0</v>
      </c>
      <c r="AA530" s="36">
        <v>0</v>
      </c>
      <c r="AB530" s="36">
        <v>0</v>
      </c>
      <c r="AC530" s="50">
        <v>0</v>
      </c>
      <c r="AD530" s="36">
        <v>4</v>
      </c>
      <c r="AE530" s="36">
        <v>4</v>
      </c>
      <c r="AF530" s="36">
        <v>4</v>
      </c>
      <c r="AG530" s="36">
        <v>0</v>
      </c>
      <c r="AH530" s="50">
        <v>0</v>
      </c>
      <c r="AI530" s="36">
        <v>0</v>
      </c>
      <c r="AJ530" s="36">
        <v>0</v>
      </c>
      <c r="AK530" s="36">
        <v>0</v>
      </c>
      <c r="AL530" s="36">
        <v>0</v>
      </c>
      <c r="AM530" s="50">
        <v>3</v>
      </c>
      <c r="AN530" s="36">
        <v>4</v>
      </c>
      <c r="AO530" s="36">
        <v>4</v>
      </c>
      <c r="AP530" s="36">
        <v>4</v>
      </c>
      <c r="AQ530" s="36">
        <v>0</v>
      </c>
      <c r="AR530" s="50">
        <v>0</v>
      </c>
      <c r="AS530" s="36">
        <v>0</v>
      </c>
      <c r="AT530" s="36">
        <v>0</v>
      </c>
      <c r="AU530" s="36">
        <v>0</v>
      </c>
      <c r="AV530" s="36">
        <v>0</v>
      </c>
      <c r="AW530">
        <v>0</v>
      </c>
      <c r="AX530">
        <v>0</v>
      </c>
    </row>
    <row r="531" spans="1:50" x14ac:dyDescent="0.25">
      <c r="A531" s="36"/>
      <c r="B531" t="s">
        <v>120</v>
      </c>
      <c r="C531" s="36" t="str">
        <f>'Status Thresholds'!B522</f>
        <v>Nargacuga</v>
      </c>
      <c r="E531" s="36" t="str">
        <f t="shared" si="19"/>
        <v>Nargacuga</v>
      </c>
      <c r="F531" s="36" t="str">
        <f>IFERROR(VLOOKUP($E531,'Status Thresholds'!$E:$AS,1,FALSE),"")</f>
        <v/>
      </c>
      <c r="G531" t="s">
        <v>11</v>
      </c>
      <c r="H531" s="55" t="str">
        <f t="shared" si="20"/>
        <v>NargacugaCrag 1</v>
      </c>
      <c r="I531" s="50">
        <v>0</v>
      </c>
      <c r="J531" s="36">
        <v>7</v>
      </c>
      <c r="K531" s="36">
        <v>8</v>
      </c>
      <c r="L531" s="36">
        <v>8</v>
      </c>
      <c r="M531" s="36">
        <v>0</v>
      </c>
      <c r="N531" s="50">
        <v>0</v>
      </c>
      <c r="O531" s="36">
        <v>0</v>
      </c>
      <c r="P531" s="36">
        <v>0</v>
      </c>
      <c r="Q531" s="36">
        <v>0</v>
      </c>
      <c r="R531" s="36">
        <v>0</v>
      </c>
      <c r="S531" s="50">
        <v>0</v>
      </c>
      <c r="T531" s="36">
        <v>7</v>
      </c>
      <c r="U531" s="36">
        <v>8</v>
      </c>
      <c r="V531" s="36">
        <v>8</v>
      </c>
      <c r="W531" s="36">
        <v>0</v>
      </c>
      <c r="X531" s="50">
        <v>0</v>
      </c>
      <c r="Y531" s="36">
        <v>0</v>
      </c>
      <c r="Z531" s="36">
        <v>0</v>
      </c>
      <c r="AA531" s="36">
        <v>0</v>
      </c>
      <c r="AB531" s="36">
        <v>0</v>
      </c>
      <c r="AC531" s="50">
        <v>2</v>
      </c>
      <c r="AD531" s="36">
        <v>7</v>
      </c>
      <c r="AE531" s="36">
        <v>8</v>
      </c>
      <c r="AF531" s="36">
        <v>8</v>
      </c>
      <c r="AG531" s="36">
        <v>0</v>
      </c>
      <c r="AH531" s="50">
        <v>0</v>
      </c>
      <c r="AI531" s="36">
        <v>0</v>
      </c>
      <c r="AJ531" s="36">
        <v>0</v>
      </c>
      <c r="AK531" s="36">
        <v>0</v>
      </c>
      <c r="AL531" s="36">
        <v>0</v>
      </c>
      <c r="AM531" s="50">
        <v>0</v>
      </c>
      <c r="AN531" s="36">
        <v>8</v>
      </c>
      <c r="AO531" s="36">
        <v>8</v>
      </c>
      <c r="AP531" s="36">
        <v>8</v>
      </c>
      <c r="AQ531" s="36">
        <v>0</v>
      </c>
      <c r="AR531" s="50">
        <v>0</v>
      </c>
      <c r="AS531" s="36">
        <v>0</v>
      </c>
      <c r="AT531" s="36">
        <v>0</v>
      </c>
      <c r="AU531" s="36">
        <v>0</v>
      </c>
      <c r="AV531" s="36">
        <v>1</v>
      </c>
      <c r="AW531">
        <v>0</v>
      </c>
      <c r="AX531">
        <v>0</v>
      </c>
    </row>
    <row r="532" spans="1:50" x14ac:dyDescent="0.25">
      <c r="A532" s="36"/>
      <c r="B532" t="s">
        <v>119</v>
      </c>
      <c r="C532" s="36" t="str">
        <f>'Status Thresholds'!B523</f>
        <v>Nargacuga</v>
      </c>
      <c r="E532" s="36" t="str">
        <f t="shared" si="19"/>
        <v>Nargacuga</v>
      </c>
      <c r="F532" s="36" t="str">
        <f>IFERROR(VLOOKUP($E532,'Status Thresholds'!$E:$AS,1,FALSE),"")</f>
        <v/>
      </c>
      <c r="G532" t="s">
        <v>21</v>
      </c>
      <c r="H532" s="55" t="str">
        <f t="shared" si="20"/>
        <v>NargacugaTriblast</v>
      </c>
      <c r="I532" s="50">
        <v>2</v>
      </c>
      <c r="J532" s="36">
        <v>2</v>
      </c>
      <c r="K532" s="36">
        <v>2</v>
      </c>
      <c r="L532" s="36">
        <v>2</v>
      </c>
      <c r="M532" s="36">
        <v>0</v>
      </c>
      <c r="N532" s="50">
        <v>0</v>
      </c>
      <c r="O532" s="36">
        <v>0</v>
      </c>
      <c r="P532" s="36">
        <v>0</v>
      </c>
      <c r="Q532" s="36">
        <v>0</v>
      </c>
      <c r="R532" s="36">
        <v>0</v>
      </c>
      <c r="S532" s="50">
        <v>2</v>
      </c>
      <c r="T532" s="36">
        <v>2</v>
      </c>
      <c r="U532" s="36">
        <v>2</v>
      </c>
      <c r="V532" s="36">
        <v>2</v>
      </c>
      <c r="W532" s="36">
        <v>0</v>
      </c>
      <c r="X532" s="50">
        <v>0</v>
      </c>
      <c r="Y532" s="36">
        <v>0</v>
      </c>
      <c r="Z532" s="36">
        <v>0</v>
      </c>
      <c r="AA532" s="36">
        <v>0</v>
      </c>
      <c r="AB532" s="36">
        <v>0</v>
      </c>
      <c r="AC532" s="50">
        <v>0</v>
      </c>
      <c r="AD532" s="36">
        <v>1</v>
      </c>
      <c r="AE532" s="36">
        <v>2</v>
      </c>
      <c r="AF532" s="36">
        <v>2</v>
      </c>
      <c r="AG532" s="36">
        <v>0</v>
      </c>
      <c r="AH532" s="50">
        <v>0</v>
      </c>
      <c r="AI532" s="36">
        <v>0</v>
      </c>
      <c r="AJ532" s="36">
        <v>0</v>
      </c>
      <c r="AK532" s="36">
        <v>0</v>
      </c>
      <c r="AL532" s="36">
        <v>0</v>
      </c>
      <c r="AM532" s="50">
        <v>2</v>
      </c>
      <c r="AN532" s="36">
        <v>2</v>
      </c>
      <c r="AO532" s="36">
        <v>2</v>
      </c>
      <c r="AP532" s="36">
        <v>2</v>
      </c>
      <c r="AQ532" s="36">
        <v>0</v>
      </c>
      <c r="AR532" s="50">
        <v>0</v>
      </c>
      <c r="AS532" s="36">
        <v>0</v>
      </c>
      <c r="AT532" s="36">
        <v>0</v>
      </c>
      <c r="AU532" s="36">
        <v>0</v>
      </c>
      <c r="AV532" s="36">
        <v>0</v>
      </c>
      <c r="AW532">
        <v>0</v>
      </c>
      <c r="AX532">
        <v>0</v>
      </c>
    </row>
    <row r="533" spans="1:50" x14ac:dyDescent="0.25">
      <c r="A533" s="36"/>
      <c r="B533" t="s">
        <v>119</v>
      </c>
      <c r="C533" s="36" t="str">
        <f>'Status Thresholds'!B524</f>
        <v>Nargacuga</v>
      </c>
      <c r="E533" s="36" t="str">
        <f t="shared" si="19"/>
        <v>Nargacuga</v>
      </c>
      <c r="F533" s="36" t="str">
        <f>IFERROR(VLOOKUP($E533,'Status Thresholds'!$E:$AS,1,FALSE),"")</f>
        <v/>
      </c>
      <c r="G533" t="s">
        <v>13</v>
      </c>
      <c r="H533" s="55" t="str">
        <f t="shared" si="20"/>
        <v>NargacugaCrag 3</v>
      </c>
      <c r="I533" s="50">
        <v>1</v>
      </c>
      <c r="J533" s="36">
        <v>1</v>
      </c>
      <c r="K533" s="36">
        <v>4</v>
      </c>
      <c r="L533" s="36">
        <v>4</v>
      </c>
      <c r="M533" s="36">
        <v>0</v>
      </c>
      <c r="N533" s="50">
        <v>0</v>
      </c>
      <c r="O533" s="36">
        <v>0</v>
      </c>
      <c r="P533" s="36">
        <v>0</v>
      </c>
      <c r="Q533" s="36">
        <v>0</v>
      </c>
      <c r="R533" s="36">
        <v>0</v>
      </c>
      <c r="S533" s="50">
        <v>1</v>
      </c>
      <c r="T533" s="36">
        <v>1</v>
      </c>
      <c r="U533" s="36">
        <v>4</v>
      </c>
      <c r="V533" s="36">
        <v>4</v>
      </c>
      <c r="W533" s="36">
        <v>0</v>
      </c>
      <c r="X533" s="50">
        <v>0</v>
      </c>
      <c r="Y533" s="36">
        <v>0</v>
      </c>
      <c r="Z533" s="36">
        <v>0</v>
      </c>
      <c r="AA533" s="36">
        <v>0</v>
      </c>
      <c r="AB533" s="36">
        <v>0</v>
      </c>
      <c r="AC533" s="50">
        <v>0</v>
      </c>
      <c r="AD533" s="36">
        <v>2</v>
      </c>
      <c r="AE533" s="36">
        <v>4</v>
      </c>
      <c r="AF533" s="36">
        <v>4</v>
      </c>
      <c r="AG533" s="36">
        <v>0</v>
      </c>
      <c r="AH533" s="50">
        <v>0</v>
      </c>
      <c r="AI533" s="36">
        <v>0</v>
      </c>
      <c r="AJ533" s="36">
        <v>0</v>
      </c>
      <c r="AK533" s="36">
        <v>0</v>
      </c>
      <c r="AL533" s="36">
        <v>0</v>
      </c>
      <c r="AM533" s="50">
        <v>1</v>
      </c>
      <c r="AN533" s="36">
        <v>4</v>
      </c>
      <c r="AO533" s="36">
        <v>4</v>
      </c>
      <c r="AP533" s="36">
        <v>4</v>
      </c>
      <c r="AQ533" s="36">
        <v>0</v>
      </c>
      <c r="AR533" s="50">
        <v>0</v>
      </c>
      <c r="AS533" s="36">
        <v>0</v>
      </c>
      <c r="AT533" s="36">
        <v>0</v>
      </c>
      <c r="AU533" s="36">
        <v>0</v>
      </c>
      <c r="AV533" s="36">
        <v>0</v>
      </c>
      <c r="AW533">
        <v>0</v>
      </c>
      <c r="AX533">
        <v>0</v>
      </c>
    </row>
    <row r="534" spans="1:50" x14ac:dyDescent="0.25">
      <c r="A534" s="36"/>
      <c r="B534" t="s">
        <v>119</v>
      </c>
      <c r="C534" s="36" t="str">
        <f>'Status Thresholds'!B525</f>
        <v>Nargacuga</v>
      </c>
      <c r="E534" s="36" t="str">
        <f t="shared" si="19"/>
        <v>Nargacuga</v>
      </c>
      <c r="F534" s="36" t="str">
        <f>IFERROR(VLOOKUP($E534,'Status Thresholds'!$E:$AS,1,FALSE),"")</f>
        <v/>
      </c>
      <c r="G534" t="s">
        <v>12</v>
      </c>
      <c r="H534" s="55" t="str">
        <f t="shared" si="20"/>
        <v>NargacugaCrag 2</v>
      </c>
      <c r="I534" s="50">
        <v>0</v>
      </c>
      <c r="J534" s="36">
        <v>1</v>
      </c>
      <c r="K534" s="36">
        <v>3</v>
      </c>
      <c r="L534" s="36">
        <v>4</v>
      </c>
      <c r="M534" s="36">
        <v>0</v>
      </c>
      <c r="N534" s="50">
        <v>0</v>
      </c>
      <c r="O534" s="36">
        <v>0</v>
      </c>
      <c r="P534" s="36">
        <v>0</v>
      </c>
      <c r="Q534" s="36">
        <v>0</v>
      </c>
      <c r="R534" s="36">
        <v>0</v>
      </c>
      <c r="S534" s="50">
        <v>0</v>
      </c>
      <c r="T534" s="36">
        <v>1</v>
      </c>
      <c r="U534" s="36">
        <v>3</v>
      </c>
      <c r="V534" s="36">
        <v>4</v>
      </c>
      <c r="W534" s="36">
        <v>0</v>
      </c>
      <c r="X534" s="50">
        <v>0</v>
      </c>
      <c r="Y534" s="36">
        <v>0</v>
      </c>
      <c r="Z534" s="36">
        <v>0</v>
      </c>
      <c r="AA534" s="36">
        <v>0</v>
      </c>
      <c r="AB534" s="36">
        <v>0</v>
      </c>
      <c r="AC534" s="50">
        <v>2</v>
      </c>
      <c r="AD534" s="36">
        <v>4</v>
      </c>
      <c r="AE534" s="36">
        <v>4</v>
      </c>
      <c r="AF534" s="36">
        <v>4</v>
      </c>
      <c r="AG534" s="36">
        <v>0</v>
      </c>
      <c r="AH534" s="50">
        <v>0</v>
      </c>
      <c r="AI534" s="36">
        <v>0</v>
      </c>
      <c r="AJ534" s="36">
        <v>0</v>
      </c>
      <c r="AK534" s="36">
        <v>0</v>
      </c>
      <c r="AL534" s="36">
        <v>0</v>
      </c>
      <c r="AM534" s="50">
        <v>1</v>
      </c>
      <c r="AN534" s="36">
        <v>4</v>
      </c>
      <c r="AO534" s="36">
        <v>4</v>
      </c>
      <c r="AP534" s="36">
        <v>4</v>
      </c>
      <c r="AQ534" s="36">
        <v>0</v>
      </c>
      <c r="AR534" s="50">
        <v>0</v>
      </c>
      <c r="AS534" s="36">
        <v>0</v>
      </c>
      <c r="AT534" s="36">
        <v>0</v>
      </c>
      <c r="AU534" s="36">
        <v>0</v>
      </c>
      <c r="AV534" s="36">
        <v>0</v>
      </c>
      <c r="AW534">
        <v>0</v>
      </c>
      <c r="AX534">
        <v>0</v>
      </c>
    </row>
    <row r="535" spans="1:50" x14ac:dyDescent="0.25">
      <c r="A535" s="36"/>
      <c r="B535" t="s">
        <v>119</v>
      </c>
      <c r="C535" s="36" t="str">
        <f>'Status Thresholds'!B526</f>
        <v>Nargacuga</v>
      </c>
      <c r="E535" s="36" t="str">
        <f t="shared" si="19"/>
        <v>Nargacuga</v>
      </c>
      <c r="F535" s="36" t="str">
        <f>IFERROR(VLOOKUP($E535,'Status Thresholds'!$E:$AS,1,FALSE),"")</f>
        <v/>
      </c>
      <c r="G535" t="s">
        <v>11</v>
      </c>
      <c r="H535" s="55" t="str">
        <f t="shared" si="20"/>
        <v>NargacugaCrag 1</v>
      </c>
      <c r="I535" s="50">
        <v>2</v>
      </c>
      <c r="J535" s="36">
        <v>8</v>
      </c>
      <c r="K535" s="36">
        <v>8</v>
      </c>
      <c r="L535" s="36">
        <v>8</v>
      </c>
      <c r="M535" s="36">
        <v>0</v>
      </c>
      <c r="N535" s="50">
        <v>0</v>
      </c>
      <c r="O535" s="36">
        <v>0</v>
      </c>
      <c r="P535" s="36">
        <v>0</v>
      </c>
      <c r="Q535" s="36">
        <v>0</v>
      </c>
      <c r="R535" s="36">
        <v>0</v>
      </c>
      <c r="S535" s="50">
        <v>2</v>
      </c>
      <c r="T535" s="36">
        <v>8</v>
      </c>
      <c r="U535" s="36">
        <v>8</v>
      </c>
      <c r="V535" s="36">
        <v>8</v>
      </c>
      <c r="W535" s="36">
        <v>0</v>
      </c>
      <c r="X535" s="50">
        <v>0</v>
      </c>
      <c r="Y535" s="36">
        <v>0</v>
      </c>
      <c r="Z535" s="36">
        <v>0</v>
      </c>
      <c r="AA535" s="36">
        <v>0</v>
      </c>
      <c r="AB535" s="36">
        <v>0</v>
      </c>
      <c r="AC535" s="50">
        <v>8</v>
      </c>
      <c r="AD535" s="36">
        <v>7</v>
      </c>
      <c r="AE535" s="36">
        <v>8</v>
      </c>
      <c r="AF535" s="36">
        <v>8</v>
      </c>
      <c r="AG535" s="36">
        <v>0</v>
      </c>
      <c r="AH535" s="50">
        <v>0</v>
      </c>
      <c r="AI535" s="36">
        <v>0</v>
      </c>
      <c r="AJ535" s="36">
        <v>0</v>
      </c>
      <c r="AK535" s="36">
        <v>0</v>
      </c>
      <c r="AL535" s="36">
        <v>0</v>
      </c>
      <c r="AM535" s="50">
        <v>6</v>
      </c>
      <c r="AN535" s="36">
        <v>8</v>
      </c>
      <c r="AO535" s="36">
        <v>8</v>
      </c>
      <c r="AP535" s="36">
        <v>8</v>
      </c>
      <c r="AQ535" s="36">
        <v>0</v>
      </c>
      <c r="AR535" s="50">
        <v>0</v>
      </c>
      <c r="AS535" s="36">
        <v>0</v>
      </c>
      <c r="AT535" s="36">
        <v>0</v>
      </c>
      <c r="AU535" s="36">
        <v>0</v>
      </c>
      <c r="AV535" s="36">
        <v>1</v>
      </c>
      <c r="AW535">
        <v>0</v>
      </c>
      <c r="AX535">
        <v>0</v>
      </c>
    </row>
    <row r="536" spans="1:50" x14ac:dyDescent="0.25">
      <c r="A536" s="36"/>
      <c r="B536" t="s">
        <v>121</v>
      </c>
      <c r="C536" s="36" t="str">
        <f>'Status Thresholds'!B527</f>
        <v>Narkos</v>
      </c>
      <c r="D536" t="s">
        <v>14</v>
      </c>
      <c r="E536" s="36" t="str">
        <f t="shared" si="19"/>
        <v>NarkosKO</v>
      </c>
      <c r="F536" s="36" t="str">
        <f>IFERROR(VLOOKUP($E536,'Status Thresholds'!$E:$AS,1,FALSE),"")</f>
        <v>NarkosKO</v>
      </c>
      <c r="H536" s="55" t="str">
        <f t="shared" si="20"/>
        <v>NarkosKO</v>
      </c>
      <c r="I536" s="50">
        <f>VLOOKUP($F536,'Status Thresholds'!$E:$AS,2,FALSE)</f>
        <v>0</v>
      </c>
      <c r="J536" s="36">
        <f>VLOOKUP($F536,'Status Thresholds'!$E:$AS,3,FALSE)</f>
        <v>0</v>
      </c>
      <c r="K536" s="36">
        <f>VLOOKUP($F536,'Status Thresholds'!$E:$AS,4,FALSE)</f>
        <v>0</v>
      </c>
      <c r="L536" s="36">
        <f>VLOOKUP($F536,'Status Thresholds'!$E:$AS,5,FALSE)</f>
        <v>0</v>
      </c>
      <c r="M536" s="36">
        <f>VLOOKUP($F536,'Status Thresholds'!$E:$AS,6,FALSE)</f>
        <v>0</v>
      </c>
      <c r="N536" s="50">
        <f>VLOOKUP($F536,'Status Thresholds'!$E:$AS,7,FALSE)</f>
        <v>0</v>
      </c>
      <c r="O536" s="36">
        <f>VLOOKUP($F536,'Status Thresholds'!$E:$AS,8,FALSE)</f>
        <v>0</v>
      </c>
      <c r="P536" s="36">
        <f>VLOOKUP($F536,'Status Thresholds'!$E:$AS,9,FALSE)</f>
        <v>0</v>
      </c>
      <c r="Q536" s="36">
        <f>VLOOKUP($F536,'Status Thresholds'!$E:$AS,10,FALSE)</f>
        <v>0</v>
      </c>
      <c r="R536" s="36">
        <f>VLOOKUP($F536,'Status Thresholds'!$E:$AS,11,FALSE)</f>
        <v>0</v>
      </c>
      <c r="S536" s="50">
        <f>VLOOKUP($F536,'Status Thresholds'!$E:$AS,12,FALSE)</f>
        <v>0</v>
      </c>
      <c r="T536" s="36">
        <f>VLOOKUP($F536,'Status Thresholds'!$E:$AS,13,FALSE)</f>
        <v>0</v>
      </c>
      <c r="U536" s="36">
        <f>VLOOKUP($F536,'Status Thresholds'!$E:$AS,14,FALSE)</f>
        <v>0</v>
      </c>
      <c r="V536" s="36">
        <f>VLOOKUP($F536,'Status Thresholds'!$E:$AS,15,FALSE)</f>
        <v>0</v>
      </c>
      <c r="W536" s="36">
        <f>VLOOKUP($F536,'Status Thresholds'!$E:$AS,16,FALSE)</f>
        <v>0</v>
      </c>
      <c r="X536" s="50">
        <f>VLOOKUP($F536,'Status Thresholds'!$E:$AS,17,FALSE)</f>
        <v>0</v>
      </c>
      <c r="Y536" s="36">
        <f>VLOOKUP($F536,'Status Thresholds'!$E:$AS,18,FALSE)</f>
        <v>0</v>
      </c>
      <c r="Z536" s="36">
        <f>VLOOKUP($F536,'Status Thresholds'!$E:$AS,19,FALSE)</f>
        <v>0</v>
      </c>
      <c r="AA536" s="36">
        <f>VLOOKUP($F536,'Status Thresholds'!$E:$AS,20,FALSE)</f>
        <v>0</v>
      </c>
      <c r="AB536" s="36">
        <f>VLOOKUP($F536,'Status Thresholds'!$E:$AS,21,FALSE)</f>
        <v>0</v>
      </c>
      <c r="AC536" s="50">
        <f>VLOOKUP($F536,'Status Thresholds'!$E:$AS,22,FALSE)</f>
        <v>0</v>
      </c>
      <c r="AD536" s="36">
        <f>VLOOKUP($F536,'Status Thresholds'!$E:$AS,23,FALSE)</f>
        <v>0</v>
      </c>
      <c r="AE536" s="36">
        <f>VLOOKUP($F536,'Status Thresholds'!$E:$AS,24,FALSE)</f>
        <v>0</v>
      </c>
      <c r="AF536" s="36">
        <f>VLOOKUP($F536,'Status Thresholds'!$E:$AS,25,FALSE)</f>
        <v>0</v>
      </c>
      <c r="AG536" s="36">
        <f>VLOOKUP($F536,'Status Thresholds'!$E:$AS,26,FALSE)</f>
        <v>0</v>
      </c>
      <c r="AH536" s="50">
        <f>VLOOKUP($F536,'Status Thresholds'!$E:$AS,27,FALSE)</f>
        <v>0</v>
      </c>
      <c r="AI536" s="36">
        <f>VLOOKUP($F536,'Status Thresholds'!$E:$AS,28,FALSE)</f>
        <v>0</v>
      </c>
      <c r="AJ536" s="36">
        <f>VLOOKUP($F536,'Status Thresholds'!$E:$AS,29,FALSE)</f>
        <v>0</v>
      </c>
      <c r="AK536" s="36">
        <f>VLOOKUP($F536,'Status Thresholds'!$E:$AS,30,FALSE)</f>
        <v>0</v>
      </c>
      <c r="AL536" s="36">
        <f>VLOOKUP($F536,'Status Thresholds'!$E:$AS,31,FALSE)</f>
        <v>0</v>
      </c>
      <c r="AM536" s="50">
        <f>VLOOKUP($F536,'Status Thresholds'!$E:$AS,32,FALSE)</f>
        <v>0</v>
      </c>
      <c r="AN536" s="36">
        <f>VLOOKUP($F536,'Status Thresholds'!$E:$AS,33,FALSE)</f>
        <v>0</v>
      </c>
      <c r="AO536" s="36">
        <f>VLOOKUP($F536,'Status Thresholds'!$E:$AS,34,FALSE)</f>
        <v>0</v>
      </c>
      <c r="AP536" s="36">
        <f>VLOOKUP($F536,'Status Thresholds'!$E:$AS,35,FALSE)</f>
        <v>0</v>
      </c>
      <c r="AQ536" s="36">
        <f>VLOOKUP($F536,'Status Thresholds'!$E:$AS,36,FALSE)</f>
        <v>0</v>
      </c>
      <c r="AR536" s="50">
        <f>VLOOKUP($F536,'Status Thresholds'!$E:$AS,37,FALSE)</f>
        <v>0</v>
      </c>
      <c r="AS536" s="36">
        <f>VLOOKUP($F536,'Status Thresholds'!$E:$AS,38,FALSE)</f>
        <v>0</v>
      </c>
      <c r="AT536" s="36">
        <f>VLOOKUP($F536,'Status Thresholds'!$E:$AS,39,FALSE)</f>
        <v>0</v>
      </c>
      <c r="AU536" s="36">
        <f>VLOOKUP($F536,'Status Thresholds'!$E:$AS,40,FALSE)</f>
        <v>0</v>
      </c>
      <c r="AV536" s="36">
        <f>VLOOKUP($F536,'Status Thresholds'!$E:$AS,41,FALSE)</f>
        <v>0</v>
      </c>
      <c r="AW536">
        <v>0</v>
      </c>
      <c r="AX536">
        <v>0</v>
      </c>
    </row>
    <row r="537" spans="1:50" x14ac:dyDescent="0.25">
      <c r="A537" s="36"/>
      <c r="B537" t="s">
        <v>120</v>
      </c>
      <c r="C537" s="36" t="str">
        <f>'Status Thresholds'!B528</f>
        <v>Narkos</v>
      </c>
      <c r="E537" s="36" t="str">
        <f t="shared" si="19"/>
        <v>Narkos</v>
      </c>
      <c r="F537" s="36" t="str">
        <f>IFERROR(VLOOKUP($E537,'Status Thresholds'!$E:$AS,1,FALSE),"")</f>
        <v/>
      </c>
      <c r="G537" t="s">
        <v>21</v>
      </c>
      <c r="H537" s="55" t="str">
        <f t="shared" si="20"/>
        <v>NarkosTriblast</v>
      </c>
      <c r="I537" s="50">
        <v>0</v>
      </c>
      <c r="J537" s="36">
        <v>0</v>
      </c>
      <c r="K537" s="36">
        <v>0</v>
      </c>
      <c r="L537" s="36">
        <v>0</v>
      </c>
      <c r="M537" s="36">
        <v>0</v>
      </c>
      <c r="N537" s="50">
        <v>0</v>
      </c>
      <c r="O537" s="36">
        <v>0</v>
      </c>
      <c r="P537" s="36">
        <v>0</v>
      </c>
      <c r="Q537" s="36">
        <v>0</v>
      </c>
      <c r="R537" s="36">
        <v>0</v>
      </c>
      <c r="S537" s="50">
        <v>0</v>
      </c>
      <c r="T537" s="36">
        <v>0</v>
      </c>
      <c r="U537" s="36">
        <v>0</v>
      </c>
      <c r="V537" s="36">
        <v>0</v>
      </c>
      <c r="W537" s="36">
        <v>0</v>
      </c>
      <c r="X537" s="50">
        <v>0</v>
      </c>
      <c r="Y537" s="36">
        <v>0</v>
      </c>
      <c r="Z537" s="36">
        <v>0</v>
      </c>
      <c r="AA537" s="36">
        <v>0</v>
      </c>
      <c r="AB537" s="36">
        <v>0</v>
      </c>
      <c r="AC537" s="50">
        <v>0</v>
      </c>
      <c r="AD537" s="36">
        <v>0</v>
      </c>
      <c r="AE537" s="36">
        <v>0</v>
      </c>
      <c r="AF537" s="36">
        <v>0</v>
      </c>
      <c r="AG537" s="36">
        <v>0</v>
      </c>
      <c r="AH537" s="50">
        <v>0</v>
      </c>
      <c r="AI537" s="36">
        <v>0</v>
      </c>
      <c r="AJ537" s="36">
        <v>0</v>
      </c>
      <c r="AK537" s="36">
        <v>0</v>
      </c>
      <c r="AL537" s="36">
        <v>0</v>
      </c>
      <c r="AM537" s="50">
        <v>0</v>
      </c>
      <c r="AN537" s="36">
        <v>0</v>
      </c>
      <c r="AO537" s="36">
        <v>0</v>
      </c>
      <c r="AP537" s="36">
        <v>0</v>
      </c>
      <c r="AQ537" s="36">
        <v>0</v>
      </c>
      <c r="AR537" s="50">
        <v>0</v>
      </c>
      <c r="AS537" s="36">
        <v>0</v>
      </c>
      <c r="AT537" s="36">
        <v>0</v>
      </c>
      <c r="AU537" s="36">
        <v>0</v>
      </c>
      <c r="AV537" s="36">
        <v>0</v>
      </c>
      <c r="AW537">
        <v>0</v>
      </c>
    </row>
    <row r="538" spans="1:50" x14ac:dyDescent="0.25">
      <c r="A538" s="36"/>
      <c r="B538" t="s">
        <v>120</v>
      </c>
      <c r="C538" s="36" t="str">
        <f>'Status Thresholds'!B529</f>
        <v>Narkos</v>
      </c>
      <c r="E538" s="36" t="str">
        <f t="shared" si="19"/>
        <v>Narkos</v>
      </c>
      <c r="F538" s="36" t="str">
        <f>IFERROR(VLOOKUP($E538,'Status Thresholds'!$E:$AS,1,FALSE),"")</f>
        <v/>
      </c>
      <c r="G538" t="s">
        <v>13</v>
      </c>
      <c r="H538" s="55" t="str">
        <f t="shared" si="20"/>
        <v>NarkosCrag 3</v>
      </c>
      <c r="I538" s="50">
        <v>0</v>
      </c>
      <c r="J538" s="36">
        <v>0</v>
      </c>
      <c r="K538" s="36">
        <v>0</v>
      </c>
      <c r="L538" s="36">
        <v>0</v>
      </c>
      <c r="M538" s="36">
        <v>0</v>
      </c>
      <c r="N538" s="50">
        <v>0</v>
      </c>
      <c r="O538" s="36">
        <v>0</v>
      </c>
      <c r="P538" s="36">
        <v>0</v>
      </c>
      <c r="Q538" s="36">
        <v>0</v>
      </c>
      <c r="R538" s="36">
        <v>0</v>
      </c>
      <c r="S538" s="50">
        <v>0</v>
      </c>
      <c r="T538" s="36">
        <v>0</v>
      </c>
      <c r="U538" s="36">
        <v>0</v>
      </c>
      <c r="V538" s="36">
        <v>0</v>
      </c>
      <c r="W538" s="36">
        <v>0</v>
      </c>
      <c r="X538" s="50">
        <v>0</v>
      </c>
      <c r="Y538" s="36">
        <v>0</v>
      </c>
      <c r="Z538" s="36">
        <v>0</v>
      </c>
      <c r="AA538" s="36">
        <v>0</v>
      </c>
      <c r="AB538" s="36">
        <v>0</v>
      </c>
      <c r="AC538" s="50">
        <v>0</v>
      </c>
      <c r="AD538" s="36">
        <v>0</v>
      </c>
      <c r="AE538" s="36">
        <v>0</v>
      </c>
      <c r="AF538" s="36">
        <v>0</v>
      </c>
      <c r="AG538" s="36">
        <v>0</v>
      </c>
      <c r="AH538" s="50">
        <v>0</v>
      </c>
      <c r="AI538" s="36">
        <v>0</v>
      </c>
      <c r="AJ538" s="36">
        <v>0</v>
      </c>
      <c r="AK538" s="36">
        <v>0</v>
      </c>
      <c r="AL538" s="36">
        <v>0</v>
      </c>
      <c r="AM538" s="50">
        <v>0</v>
      </c>
      <c r="AN538" s="36">
        <v>0</v>
      </c>
      <c r="AO538" s="36">
        <v>0</v>
      </c>
      <c r="AP538" s="36">
        <v>0</v>
      </c>
      <c r="AQ538" s="36">
        <v>0</v>
      </c>
      <c r="AR538" s="50">
        <v>0</v>
      </c>
      <c r="AS538" s="36">
        <v>0</v>
      </c>
      <c r="AT538" s="36">
        <v>0</v>
      </c>
      <c r="AU538" s="36">
        <v>0</v>
      </c>
      <c r="AV538" s="36">
        <v>0</v>
      </c>
      <c r="AW538">
        <v>0</v>
      </c>
      <c r="AX538">
        <v>0</v>
      </c>
    </row>
    <row r="539" spans="1:50" x14ac:dyDescent="0.25">
      <c r="A539" s="36"/>
      <c r="B539" t="s">
        <v>120</v>
      </c>
      <c r="C539" s="36" t="str">
        <f>'Status Thresholds'!B530</f>
        <v>Narkos</v>
      </c>
      <c r="E539" s="36" t="str">
        <f t="shared" si="19"/>
        <v>Narkos</v>
      </c>
      <c r="F539" s="36" t="str">
        <f>IFERROR(VLOOKUP($E539,'Status Thresholds'!$E:$AS,1,FALSE),"")</f>
        <v/>
      </c>
      <c r="G539" t="s">
        <v>12</v>
      </c>
      <c r="H539" s="55" t="str">
        <f t="shared" si="20"/>
        <v>NarkosCrag 2</v>
      </c>
      <c r="I539" s="50">
        <v>0</v>
      </c>
      <c r="J539" s="36">
        <v>0</v>
      </c>
      <c r="K539" s="36">
        <v>0</v>
      </c>
      <c r="L539" s="36">
        <v>0</v>
      </c>
      <c r="M539" s="36">
        <v>0</v>
      </c>
      <c r="N539" s="50">
        <v>0</v>
      </c>
      <c r="O539" s="36">
        <v>0</v>
      </c>
      <c r="P539" s="36">
        <v>0</v>
      </c>
      <c r="Q539" s="36">
        <v>0</v>
      </c>
      <c r="R539" s="36">
        <v>0</v>
      </c>
      <c r="S539" s="50">
        <v>0</v>
      </c>
      <c r="T539" s="36">
        <v>0</v>
      </c>
      <c r="U539" s="36">
        <v>0</v>
      </c>
      <c r="V539" s="36">
        <v>0</v>
      </c>
      <c r="W539" s="36">
        <v>0</v>
      </c>
      <c r="X539" s="50">
        <v>0</v>
      </c>
      <c r="Y539" s="36">
        <v>0</v>
      </c>
      <c r="Z539" s="36">
        <v>0</v>
      </c>
      <c r="AA539" s="36">
        <v>0</v>
      </c>
      <c r="AB539" s="36">
        <v>0</v>
      </c>
      <c r="AC539" s="50">
        <v>0</v>
      </c>
      <c r="AD539" s="36">
        <v>0</v>
      </c>
      <c r="AE539" s="36">
        <v>0</v>
      </c>
      <c r="AF539" s="36">
        <v>0</v>
      </c>
      <c r="AG539" s="36">
        <v>0</v>
      </c>
      <c r="AH539" s="50">
        <v>0</v>
      </c>
      <c r="AI539" s="36">
        <v>0</v>
      </c>
      <c r="AJ539" s="36">
        <v>0</v>
      </c>
      <c r="AK539" s="36">
        <v>0</v>
      </c>
      <c r="AL539" s="36">
        <v>0</v>
      </c>
      <c r="AM539" s="50">
        <v>0</v>
      </c>
      <c r="AN539" s="36">
        <v>0</v>
      </c>
      <c r="AO539" s="36">
        <v>0</v>
      </c>
      <c r="AP539" s="36">
        <v>0</v>
      </c>
      <c r="AQ539" s="36">
        <v>0</v>
      </c>
      <c r="AR539" s="50">
        <v>0</v>
      </c>
      <c r="AS539" s="36">
        <v>0</v>
      </c>
      <c r="AT539" s="36">
        <v>0</v>
      </c>
      <c r="AU539" s="36">
        <v>0</v>
      </c>
      <c r="AV539" s="36">
        <v>0</v>
      </c>
      <c r="AW539">
        <v>0</v>
      </c>
      <c r="AX539">
        <v>0</v>
      </c>
    </row>
    <row r="540" spans="1:50" x14ac:dyDescent="0.25">
      <c r="A540" s="36"/>
      <c r="B540" t="s">
        <v>120</v>
      </c>
      <c r="C540" s="36" t="str">
        <f>'Status Thresholds'!B531</f>
        <v>Narkos</v>
      </c>
      <c r="E540" s="36" t="str">
        <f t="shared" si="19"/>
        <v>Narkos</v>
      </c>
      <c r="F540" s="36" t="str">
        <f>IFERROR(VLOOKUP($E540,'Status Thresholds'!$E:$AS,1,FALSE),"")</f>
        <v/>
      </c>
      <c r="G540" t="s">
        <v>11</v>
      </c>
      <c r="H540" s="55" t="str">
        <f t="shared" si="20"/>
        <v>NarkosCrag 1</v>
      </c>
      <c r="I540" s="50">
        <v>0</v>
      </c>
      <c r="J540" s="36">
        <v>0</v>
      </c>
      <c r="K540" s="36">
        <v>0</v>
      </c>
      <c r="L540" s="36">
        <v>0</v>
      </c>
      <c r="M540" s="36">
        <v>0</v>
      </c>
      <c r="N540" s="50">
        <v>0</v>
      </c>
      <c r="O540" s="36">
        <v>0</v>
      </c>
      <c r="P540" s="36">
        <v>0</v>
      </c>
      <c r="Q540" s="36">
        <v>0</v>
      </c>
      <c r="R540" s="36">
        <v>0</v>
      </c>
      <c r="S540" s="50">
        <v>0</v>
      </c>
      <c r="T540" s="36">
        <v>0</v>
      </c>
      <c r="U540" s="36">
        <v>0</v>
      </c>
      <c r="V540" s="36">
        <v>0</v>
      </c>
      <c r="W540" s="36">
        <v>0</v>
      </c>
      <c r="X540" s="50">
        <v>0</v>
      </c>
      <c r="Y540" s="36">
        <v>0</v>
      </c>
      <c r="Z540" s="36">
        <v>0</v>
      </c>
      <c r="AA540" s="36">
        <v>0</v>
      </c>
      <c r="AB540" s="36">
        <v>0</v>
      </c>
      <c r="AC540" s="50">
        <v>0</v>
      </c>
      <c r="AD540" s="36">
        <v>0</v>
      </c>
      <c r="AE540" s="36">
        <v>0</v>
      </c>
      <c r="AF540" s="36">
        <v>0</v>
      </c>
      <c r="AG540" s="36">
        <v>0</v>
      </c>
      <c r="AH540" s="50">
        <v>0</v>
      </c>
      <c r="AI540" s="36">
        <v>0</v>
      </c>
      <c r="AJ540" s="36">
        <v>0</v>
      </c>
      <c r="AK540" s="36">
        <v>0</v>
      </c>
      <c r="AL540" s="36">
        <v>0</v>
      </c>
      <c r="AM540" s="50">
        <v>0</v>
      </c>
      <c r="AN540" s="36">
        <v>0</v>
      </c>
      <c r="AO540" s="36">
        <v>0</v>
      </c>
      <c r="AP540" s="36">
        <v>0</v>
      </c>
      <c r="AQ540" s="36">
        <v>0</v>
      </c>
      <c r="AR540" s="50">
        <v>0</v>
      </c>
      <c r="AS540" s="36">
        <v>0</v>
      </c>
      <c r="AT540" s="36">
        <v>0</v>
      </c>
      <c r="AU540" s="36">
        <v>0</v>
      </c>
      <c r="AV540" s="36">
        <v>0</v>
      </c>
      <c r="AW540">
        <v>0</v>
      </c>
      <c r="AX540">
        <v>0</v>
      </c>
    </row>
    <row r="541" spans="1:50" x14ac:dyDescent="0.25">
      <c r="A541" s="36"/>
      <c r="B541" t="s">
        <v>119</v>
      </c>
      <c r="C541" s="36" t="str">
        <f>'Status Thresholds'!B532</f>
        <v>Narkos</v>
      </c>
      <c r="E541" s="36" t="str">
        <f t="shared" si="19"/>
        <v>Narkos</v>
      </c>
      <c r="F541" s="36" t="str">
        <f>IFERROR(VLOOKUP($E541,'Status Thresholds'!$E:$AS,1,FALSE),"")</f>
        <v/>
      </c>
      <c r="G541" t="s">
        <v>21</v>
      </c>
      <c r="H541" s="55" t="str">
        <f t="shared" si="20"/>
        <v>NarkosTriblast</v>
      </c>
      <c r="I541" s="50">
        <v>0</v>
      </c>
      <c r="J541" s="36">
        <v>0</v>
      </c>
      <c r="K541" s="36">
        <v>0</v>
      </c>
      <c r="L541" s="36">
        <v>0</v>
      </c>
      <c r="M541" s="36">
        <v>0</v>
      </c>
      <c r="N541" s="50">
        <v>0</v>
      </c>
      <c r="O541" s="36">
        <v>0</v>
      </c>
      <c r="P541" s="36">
        <v>0</v>
      </c>
      <c r="Q541" s="36">
        <v>0</v>
      </c>
      <c r="R541" s="36">
        <v>0</v>
      </c>
      <c r="S541" s="50">
        <v>0</v>
      </c>
      <c r="T541" s="36">
        <v>0</v>
      </c>
      <c r="U541" s="36">
        <v>0</v>
      </c>
      <c r="V541" s="36">
        <v>0</v>
      </c>
      <c r="W541" s="36">
        <v>0</v>
      </c>
      <c r="X541" s="50">
        <v>0</v>
      </c>
      <c r="Y541" s="36">
        <v>0</v>
      </c>
      <c r="Z541" s="36">
        <v>0</v>
      </c>
      <c r="AA541" s="36">
        <v>0</v>
      </c>
      <c r="AB541" s="36">
        <v>0</v>
      </c>
      <c r="AC541" s="50">
        <v>0</v>
      </c>
      <c r="AD541" s="36">
        <v>0</v>
      </c>
      <c r="AE541" s="36">
        <v>0</v>
      </c>
      <c r="AF541" s="36">
        <v>0</v>
      </c>
      <c r="AG541" s="36">
        <v>0</v>
      </c>
      <c r="AH541" s="50">
        <v>0</v>
      </c>
      <c r="AI541" s="36">
        <v>0</v>
      </c>
      <c r="AJ541" s="36">
        <v>0</v>
      </c>
      <c r="AK541" s="36">
        <v>0</v>
      </c>
      <c r="AL541" s="36">
        <v>0</v>
      </c>
      <c r="AM541" s="50">
        <v>0</v>
      </c>
      <c r="AN541" s="36">
        <v>0</v>
      </c>
      <c r="AO541" s="36">
        <v>0</v>
      </c>
      <c r="AP541" s="36">
        <v>0</v>
      </c>
      <c r="AQ541" s="36">
        <v>0</v>
      </c>
      <c r="AR541" s="50">
        <v>0</v>
      </c>
      <c r="AS541" s="36">
        <v>0</v>
      </c>
      <c r="AT541" s="36">
        <v>0</v>
      </c>
      <c r="AU541" s="36">
        <v>0</v>
      </c>
      <c r="AV541" s="36">
        <v>0</v>
      </c>
      <c r="AW541">
        <v>0</v>
      </c>
      <c r="AX541">
        <v>0</v>
      </c>
    </row>
    <row r="542" spans="1:50" x14ac:dyDescent="0.25">
      <c r="A542" s="36"/>
      <c r="B542" t="s">
        <v>119</v>
      </c>
      <c r="C542" s="36" t="str">
        <f>'Status Thresholds'!B533</f>
        <v>Narkos</v>
      </c>
      <c r="E542" s="36" t="str">
        <f t="shared" si="19"/>
        <v>Narkos</v>
      </c>
      <c r="F542" s="36" t="str">
        <f>IFERROR(VLOOKUP($E542,'Status Thresholds'!$E:$AS,1,FALSE),"")</f>
        <v/>
      </c>
      <c r="G542" t="s">
        <v>13</v>
      </c>
      <c r="H542" s="55" t="str">
        <f t="shared" si="20"/>
        <v>NarkosCrag 3</v>
      </c>
      <c r="I542" s="50">
        <v>0</v>
      </c>
      <c r="J542" s="36">
        <v>0</v>
      </c>
      <c r="K542" s="36">
        <v>0</v>
      </c>
      <c r="L542" s="36">
        <v>0</v>
      </c>
      <c r="M542" s="36">
        <v>0</v>
      </c>
      <c r="N542" s="50">
        <v>0</v>
      </c>
      <c r="O542" s="36">
        <v>0</v>
      </c>
      <c r="P542" s="36">
        <v>0</v>
      </c>
      <c r="Q542" s="36">
        <v>0</v>
      </c>
      <c r="R542" s="36">
        <v>0</v>
      </c>
      <c r="S542" s="50">
        <v>0</v>
      </c>
      <c r="T542" s="36">
        <v>0</v>
      </c>
      <c r="U542" s="36">
        <v>0</v>
      </c>
      <c r="V542" s="36">
        <v>0</v>
      </c>
      <c r="W542" s="36">
        <v>0</v>
      </c>
      <c r="X542" s="50">
        <v>0</v>
      </c>
      <c r="Y542" s="36">
        <v>0</v>
      </c>
      <c r="Z542" s="36">
        <v>0</v>
      </c>
      <c r="AA542" s="36">
        <v>0</v>
      </c>
      <c r="AB542" s="36">
        <v>0</v>
      </c>
      <c r="AC542" s="50">
        <v>0</v>
      </c>
      <c r="AD542" s="36">
        <v>0</v>
      </c>
      <c r="AE542" s="36">
        <v>0</v>
      </c>
      <c r="AF542" s="36">
        <v>0</v>
      </c>
      <c r="AG542" s="36">
        <v>0</v>
      </c>
      <c r="AH542" s="50">
        <v>0</v>
      </c>
      <c r="AI542" s="36">
        <v>0</v>
      </c>
      <c r="AJ542" s="36">
        <v>0</v>
      </c>
      <c r="AK542" s="36">
        <v>0</v>
      </c>
      <c r="AL542" s="36">
        <v>0</v>
      </c>
      <c r="AM542" s="50">
        <v>0</v>
      </c>
      <c r="AN542" s="36">
        <v>0</v>
      </c>
      <c r="AO542" s="36">
        <v>0</v>
      </c>
      <c r="AP542" s="36">
        <v>0</v>
      </c>
      <c r="AQ542" s="36">
        <v>0</v>
      </c>
      <c r="AR542" s="50">
        <v>0</v>
      </c>
      <c r="AS542" s="36">
        <v>0</v>
      </c>
      <c r="AT542" s="36">
        <v>0</v>
      </c>
      <c r="AU542" s="36">
        <v>0</v>
      </c>
      <c r="AV542" s="36">
        <v>0</v>
      </c>
      <c r="AW542">
        <v>0</v>
      </c>
      <c r="AX542">
        <v>0</v>
      </c>
    </row>
    <row r="543" spans="1:50" x14ac:dyDescent="0.25">
      <c r="A543" s="36"/>
      <c r="B543" t="s">
        <v>119</v>
      </c>
      <c r="C543" s="36" t="str">
        <f>'Status Thresholds'!B534</f>
        <v>Narkos</v>
      </c>
      <c r="E543" s="36" t="str">
        <f t="shared" si="19"/>
        <v>Narkos</v>
      </c>
      <c r="F543" s="36" t="str">
        <f>IFERROR(VLOOKUP($E543,'Status Thresholds'!$E:$AS,1,FALSE),"")</f>
        <v/>
      </c>
      <c r="G543" t="s">
        <v>12</v>
      </c>
      <c r="H543" s="55" t="str">
        <f t="shared" si="20"/>
        <v>NarkosCrag 2</v>
      </c>
      <c r="I543" s="50">
        <v>0</v>
      </c>
      <c r="J543" s="36">
        <v>0</v>
      </c>
      <c r="K543" s="36">
        <v>0</v>
      </c>
      <c r="L543" s="36">
        <v>0</v>
      </c>
      <c r="M543" s="36">
        <v>0</v>
      </c>
      <c r="N543" s="50">
        <v>0</v>
      </c>
      <c r="O543" s="36">
        <v>0</v>
      </c>
      <c r="P543" s="36">
        <v>0</v>
      </c>
      <c r="Q543" s="36">
        <v>0</v>
      </c>
      <c r="R543" s="36">
        <v>0</v>
      </c>
      <c r="S543" s="50">
        <v>0</v>
      </c>
      <c r="T543" s="36">
        <v>0</v>
      </c>
      <c r="U543" s="36">
        <v>0</v>
      </c>
      <c r="V543" s="36">
        <v>0</v>
      </c>
      <c r="W543" s="36">
        <v>0</v>
      </c>
      <c r="X543" s="50">
        <v>0</v>
      </c>
      <c r="Y543" s="36">
        <v>0</v>
      </c>
      <c r="Z543" s="36">
        <v>0</v>
      </c>
      <c r="AA543" s="36">
        <v>0</v>
      </c>
      <c r="AB543" s="36">
        <v>0</v>
      </c>
      <c r="AC543" s="50">
        <v>0</v>
      </c>
      <c r="AD543" s="36">
        <v>0</v>
      </c>
      <c r="AE543" s="36">
        <v>0</v>
      </c>
      <c r="AF543" s="36">
        <v>0</v>
      </c>
      <c r="AG543" s="36">
        <v>0</v>
      </c>
      <c r="AH543" s="50">
        <v>0</v>
      </c>
      <c r="AI543" s="36">
        <v>0</v>
      </c>
      <c r="AJ543" s="36">
        <v>0</v>
      </c>
      <c r="AK543" s="36">
        <v>0</v>
      </c>
      <c r="AL543" s="36">
        <v>0</v>
      </c>
      <c r="AM543" s="50">
        <v>0</v>
      </c>
      <c r="AN543" s="36">
        <v>0</v>
      </c>
      <c r="AO543" s="36">
        <v>0</v>
      </c>
      <c r="AP543" s="36">
        <v>0</v>
      </c>
      <c r="AQ543" s="36">
        <v>0</v>
      </c>
      <c r="AR543" s="50">
        <v>0</v>
      </c>
      <c r="AS543" s="36">
        <v>0</v>
      </c>
      <c r="AT543" s="36">
        <v>0</v>
      </c>
      <c r="AU543" s="36">
        <v>0</v>
      </c>
      <c r="AV543" s="36">
        <v>0</v>
      </c>
      <c r="AW543">
        <v>0</v>
      </c>
      <c r="AX543">
        <v>0</v>
      </c>
    </row>
    <row r="544" spans="1:50" x14ac:dyDescent="0.25">
      <c r="A544" s="36"/>
      <c r="B544" t="s">
        <v>119</v>
      </c>
      <c r="C544" s="36" t="str">
        <f>'Status Thresholds'!B535</f>
        <v>Narkos</v>
      </c>
      <c r="E544" s="36" t="str">
        <f t="shared" si="19"/>
        <v>Narkos</v>
      </c>
      <c r="F544" s="36" t="str">
        <f>IFERROR(VLOOKUP($E544,'Status Thresholds'!$E:$AS,1,FALSE),"")</f>
        <v/>
      </c>
      <c r="G544" t="s">
        <v>11</v>
      </c>
      <c r="H544" s="55" t="str">
        <f t="shared" si="20"/>
        <v>NarkosCrag 1</v>
      </c>
      <c r="I544" s="50">
        <v>0</v>
      </c>
      <c r="J544" s="36">
        <v>0</v>
      </c>
      <c r="K544" s="36">
        <v>0</v>
      </c>
      <c r="L544" s="36">
        <v>0</v>
      </c>
      <c r="M544" s="36">
        <v>0</v>
      </c>
      <c r="N544" s="50">
        <v>0</v>
      </c>
      <c r="O544" s="36">
        <v>0</v>
      </c>
      <c r="P544" s="36">
        <v>0</v>
      </c>
      <c r="Q544" s="36">
        <v>0</v>
      </c>
      <c r="R544" s="36">
        <v>0</v>
      </c>
      <c r="S544" s="50">
        <v>0</v>
      </c>
      <c r="T544" s="36">
        <v>0</v>
      </c>
      <c r="U544" s="36">
        <v>0</v>
      </c>
      <c r="V544" s="36">
        <v>0</v>
      </c>
      <c r="W544" s="36">
        <v>0</v>
      </c>
      <c r="X544" s="50">
        <v>0</v>
      </c>
      <c r="Y544" s="36">
        <v>0</v>
      </c>
      <c r="Z544" s="36">
        <v>0</v>
      </c>
      <c r="AA544" s="36">
        <v>0</v>
      </c>
      <c r="AB544" s="36">
        <v>0</v>
      </c>
      <c r="AC544" s="50">
        <v>0</v>
      </c>
      <c r="AD544" s="36">
        <v>0</v>
      </c>
      <c r="AE544" s="36">
        <v>0</v>
      </c>
      <c r="AF544" s="36">
        <v>0</v>
      </c>
      <c r="AG544" s="36">
        <v>0</v>
      </c>
      <c r="AH544" s="50">
        <v>0</v>
      </c>
      <c r="AI544" s="36">
        <v>0</v>
      </c>
      <c r="AJ544" s="36">
        <v>0</v>
      </c>
      <c r="AK544" s="36">
        <v>0</v>
      </c>
      <c r="AL544" s="36">
        <v>0</v>
      </c>
      <c r="AM544" s="50">
        <v>0</v>
      </c>
      <c r="AN544" s="36">
        <v>0</v>
      </c>
      <c r="AO544" s="36">
        <v>0</v>
      </c>
      <c r="AP544" s="36">
        <v>0</v>
      </c>
      <c r="AQ544" s="36">
        <v>0</v>
      </c>
      <c r="AR544" s="50">
        <v>0</v>
      </c>
      <c r="AS544" s="36">
        <v>0</v>
      </c>
      <c r="AT544" s="36">
        <v>0</v>
      </c>
      <c r="AU544" s="36">
        <v>0</v>
      </c>
      <c r="AV544" s="36">
        <v>0</v>
      </c>
      <c r="AW544">
        <v>0</v>
      </c>
      <c r="AX544">
        <v>0</v>
      </c>
    </row>
    <row r="545" spans="1:50" x14ac:dyDescent="0.25">
      <c r="A545" s="36"/>
      <c r="B545" t="s">
        <v>121</v>
      </c>
      <c r="C545" s="36" t="str">
        <f>'Status Thresholds'!B536</f>
        <v>Nerscylla</v>
      </c>
      <c r="D545" t="s">
        <v>14</v>
      </c>
      <c r="E545" s="36" t="str">
        <f t="shared" si="19"/>
        <v>NerscyllaKO</v>
      </c>
      <c r="F545" s="36" t="str">
        <f>IFERROR(VLOOKUP($E545,'Status Thresholds'!$E:$AS,1,FALSE),"")</f>
        <v>NerscyllaKO</v>
      </c>
      <c r="H545" s="55" t="str">
        <f t="shared" si="20"/>
        <v>NerscyllaKO</v>
      </c>
      <c r="I545" s="50">
        <f>VLOOKUP($F545,'Status Thresholds'!$E:$AS,2,FALSE)</f>
        <v>156</v>
      </c>
      <c r="J545" s="36">
        <f>VLOOKUP($F545,'Status Thresholds'!$E:$AS,3,FALSE)</f>
        <v>286</v>
      </c>
      <c r="K545" s="36">
        <f>VLOOKUP($F545,'Status Thresholds'!$E:$AS,4,FALSE)</f>
        <v>416</v>
      </c>
      <c r="L545" s="36">
        <f>VLOOKUP($F545,'Status Thresholds'!$E:$AS,5,FALSE)</f>
        <v>546</v>
      </c>
      <c r="M545" s="36">
        <f>VLOOKUP($F545,'Status Thresholds'!$E:$AS,6,FALSE)</f>
        <v>0</v>
      </c>
      <c r="N545" s="50">
        <f>VLOOKUP($F545,'Status Thresholds'!$E:$AS,7,FALSE)</f>
        <v>0</v>
      </c>
      <c r="O545" s="36">
        <f>VLOOKUP($F545,'Status Thresholds'!$E:$AS,8,FALSE)</f>
        <v>0</v>
      </c>
      <c r="P545" s="36">
        <f>VLOOKUP($F545,'Status Thresholds'!$E:$AS,9,FALSE)</f>
        <v>0</v>
      </c>
      <c r="Q545" s="36">
        <f>VLOOKUP($F545,'Status Thresholds'!$E:$AS,10,FALSE)</f>
        <v>0</v>
      </c>
      <c r="R545" s="36">
        <f>VLOOKUP($F545,'Status Thresholds'!$E:$AS,11,FALSE)</f>
        <v>0</v>
      </c>
      <c r="S545" s="50">
        <f>VLOOKUP($F545,'Status Thresholds'!$E:$AS,12,FALSE)</f>
        <v>0</v>
      </c>
      <c r="T545" s="36">
        <f>VLOOKUP($F545,'Status Thresholds'!$E:$AS,13,FALSE)</f>
        <v>0</v>
      </c>
      <c r="U545" s="36">
        <f>VLOOKUP($F545,'Status Thresholds'!$E:$AS,14,FALSE)</f>
        <v>0</v>
      </c>
      <c r="V545" s="36">
        <f>VLOOKUP($F545,'Status Thresholds'!$E:$AS,15,FALSE)</f>
        <v>0</v>
      </c>
      <c r="W545" s="36">
        <f>VLOOKUP($F545,'Status Thresholds'!$E:$AS,16,FALSE)</f>
        <v>0</v>
      </c>
      <c r="X545" s="50">
        <f>VLOOKUP($F545,'Status Thresholds'!$E:$AS,17,FALSE)</f>
        <v>0</v>
      </c>
      <c r="Y545" s="36">
        <f>VLOOKUP($F545,'Status Thresholds'!$E:$AS,18,FALSE)</f>
        <v>0</v>
      </c>
      <c r="Z545" s="36">
        <f>VLOOKUP($F545,'Status Thresholds'!$E:$AS,19,FALSE)</f>
        <v>0</v>
      </c>
      <c r="AA545" s="36">
        <f>VLOOKUP($F545,'Status Thresholds'!$E:$AS,20,FALSE)</f>
        <v>0</v>
      </c>
      <c r="AB545" s="36">
        <f>VLOOKUP($F545,'Status Thresholds'!$E:$AS,21,FALSE)</f>
        <v>0</v>
      </c>
      <c r="AC545" s="50">
        <f>VLOOKUP($F545,'Status Thresholds'!$E:$AS,22,FALSE)</f>
        <v>168</v>
      </c>
      <c r="AD545" s="36">
        <f>VLOOKUP($F545,'Status Thresholds'!$E:$AS,23,FALSE)</f>
        <v>308</v>
      </c>
      <c r="AE545" s="36">
        <f>VLOOKUP($F545,'Status Thresholds'!$E:$AS,24,FALSE)</f>
        <v>448</v>
      </c>
      <c r="AF545" s="36">
        <f>VLOOKUP($F545,'Status Thresholds'!$E:$AS,25,FALSE)</f>
        <v>588</v>
      </c>
      <c r="AG545" s="36">
        <f>VLOOKUP($F545,'Status Thresholds'!$E:$AS,26,FALSE)</f>
        <v>0</v>
      </c>
      <c r="AH545" s="50">
        <f>VLOOKUP($F545,'Status Thresholds'!$E:$AS,27,FALSE)</f>
        <v>180</v>
      </c>
      <c r="AI545" s="36">
        <f>VLOOKUP($F545,'Status Thresholds'!$E:$AS,28,FALSE)</f>
        <v>330</v>
      </c>
      <c r="AJ545" s="36">
        <f>VLOOKUP($F545,'Status Thresholds'!$E:$AS,29,FALSE)</f>
        <v>480</v>
      </c>
      <c r="AK545" s="36">
        <f>VLOOKUP($F545,'Status Thresholds'!$E:$AS,30,FALSE)</f>
        <v>630</v>
      </c>
      <c r="AL545" s="36">
        <f>VLOOKUP($F545,'Status Thresholds'!$E:$AS,31,FALSE)</f>
        <v>0</v>
      </c>
      <c r="AM545" s="50">
        <f>VLOOKUP($F545,'Status Thresholds'!$E:$AS,32,FALSE)</f>
        <v>240</v>
      </c>
      <c r="AN545" s="36">
        <f>VLOOKUP($F545,'Status Thresholds'!$E:$AS,33,FALSE)</f>
        <v>440</v>
      </c>
      <c r="AO545" s="36">
        <f>VLOOKUP($F545,'Status Thresholds'!$E:$AS,34,FALSE)</f>
        <v>640</v>
      </c>
      <c r="AP545" s="36">
        <f>VLOOKUP($F545,'Status Thresholds'!$E:$AS,35,FALSE)</f>
        <v>840</v>
      </c>
      <c r="AQ545" s="36">
        <f>VLOOKUP($F545,'Status Thresholds'!$E:$AS,36,FALSE)</f>
        <v>0</v>
      </c>
      <c r="AR545" s="50">
        <f>VLOOKUP($F545,'Status Thresholds'!$E:$AS,37,FALSE)</f>
        <v>0</v>
      </c>
      <c r="AS545" s="36">
        <f>VLOOKUP($F545,'Status Thresholds'!$E:$AS,38,FALSE)</f>
        <v>0</v>
      </c>
      <c r="AT545" s="36">
        <f>VLOOKUP($F545,'Status Thresholds'!$E:$AS,39,FALSE)</f>
        <v>0</v>
      </c>
      <c r="AU545" s="36">
        <f>VLOOKUP($F545,'Status Thresholds'!$E:$AS,40,FALSE)</f>
        <v>0</v>
      </c>
      <c r="AV545" s="36">
        <f>VLOOKUP($F545,'Status Thresholds'!$E:$AS,41,FALSE)</f>
        <v>14</v>
      </c>
      <c r="AW545">
        <v>0</v>
      </c>
      <c r="AX545">
        <v>0</v>
      </c>
    </row>
    <row r="546" spans="1:50" x14ac:dyDescent="0.25">
      <c r="A546" s="36"/>
      <c r="B546" t="s">
        <v>120</v>
      </c>
      <c r="C546" s="36" t="str">
        <f>'Status Thresholds'!B537</f>
        <v>Nerscylla</v>
      </c>
      <c r="E546" s="36" t="str">
        <f t="shared" si="19"/>
        <v>Nerscylla</v>
      </c>
      <c r="F546" s="36" t="str">
        <f>IFERROR(VLOOKUP($E546,'Status Thresholds'!$E:$AS,1,FALSE),"")</f>
        <v/>
      </c>
      <c r="G546" t="s">
        <v>21</v>
      </c>
      <c r="H546" s="55" t="str">
        <f t="shared" si="20"/>
        <v>NerscyllaTriblast</v>
      </c>
      <c r="I546" s="50">
        <v>0</v>
      </c>
      <c r="J546" s="36">
        <v>0</v>
      </c>
      <c r="K546" s="36">
        <v>2</v>
      </c>
      <c r="L546" s="36">
        <v>2</v>
      </c>
      <c r="M546" s="36">
        <v>0</v>
      </c>
      <c r="N546" s="50">
        <v>0</v>
      </c>
      <c r="O546" s="36">
        <v>0</v>
      </c>
      <c r="P546" s="36">
        <v>0</v>
      </c>
      <c r="Q546" s="36">
        <v>0</v>
      </c>
      <c r="R546" s="36">
        <v>0</v>
      </c>
      <c r="S546" s="50">
        <v>0</v>
      </c>
      <c r="T546" s="36">
        <v>0</v>
      </c>
      <c r="U546" s="36">
        <v>0</v>
      </c>
      <c r="V546" s="36">
        <v>0</v>
      </c>
      <c r="W546" s="36">
        <v>0</v>
      </c>
      <c r="X546" s="50">
        <v>0</v>
      </c>
      <c r="Y546" s="36">
        <v>0</v>
      </c>
      <c r="Z546" s="36">
        <v>0</v>
      </c>
      <c r="AA546" s="36">
        <v>0</v>
      </c>
      <c r="AB546" s="36">
        <v>0</v>
      </c>
      <c r="AC546" s="50">
        <v>0</v>
      </c>
      <c r="AD546" s="36">
        <v>0</v>
      </c>
      <c r="AE546" s="36">
        <v>2</v>
      </c>
      <c r="AF546" s="36">
        <v>2</v>
      </c>
      <c r="AG546" s="36">
        <v>0</v>
      </c>
      <c r="AH546" s="50">
        <v>2</v>
      </c>
      <c r="AI546" s="36">
        <v>1</v>
      </c>
      <c r="AJ546" s="36">
        <v>2</v>
      </c>
      <c r="AK546" s="36">
        <v>2</v>
      </c>
      <c r="AL546" s="36">
        <v>0</v>
      </c>
      <c r="AM546" s="50">
        <v>2</v>
      </c>
      <c r="AN546" s="36">
        <v>0</v>
      </c>
      <c r="AO546" s="36">
        <v>2</v>
      </c>
      <c r="AP546" s="36">
        <v>2</v>
      </c>
      <c r="AQ546" s="36">
        <v>0</v>
      </c>
      <c r="AR546" s="50">
        <v>0</v>
      </c>
      <c r="AS546" s="36">
        <v>0</v>
      </c>
      <c r="AT546" s="36">
        <v>0</v>
      </c>
      <c r="AU546" s="36">
        <v>0</v>
      </c>
      <c r="AV546" s="36">
        <v>0</v>
      </c>
      <c r="AW546">
        <v>0</v>
      </c>
    </row>
    <row r="547" spans="1:50" x14ac:dyDescent="0.25">
      <c r="A547" s="36"/>
      <c r="B547" t="s">
        <v>120</v>
      </c>
      <c r="C547" s="36" t="str">
        <f>'Status Thresholds'!B538</f>
        <v>Nerscylla</v>
      </c>
      <c r="E547" s="36" t="str">
        <f t="shared" si="19"/>
        <v>Nerscylla</v>
      </c>
      <c r="F547" s="36" t="str">
        <f>IFERROR(VLOOKUP($E547,'Status Thresholds'!$E:$AS,1,FALSE),"")</f>
        <v/>
      </c>
      <c r="G547" t="s">
        <v>13</v>
      </c>
      <c r="H547" s="55" t="str">
        <f t="shared" si="20"/>
        <v>NerscyllaCrag 3</v>
      </c>
      <c r="I547" s="50">
        <v>4</v>
      </c>
      <c r="J547" s="36">
        <v>4</v>
      </c>
      <c r="K547" s="36">
        <v>0</v>
      </c>
      <c r="L547" s="36">
        <v>4</v>
      </c>
      <c r="M547" s="36">
        <v>0</v>
      </c>
      <c r="N547" s="50">
        <v>0</v>
      </c>
      <c r="O547" s="36">
        <v>0</v>
      </c>
      <c r="P547" s="36">
        <v>0</v>
      </c>
      <c r="Q547" s="36">
        <v>0</v>
      </c>
      <c r="R547" s="36">
        <v>0</v>
      </c>
      <c r="S547" s="50">
        <v>0</v>
      </c>
      <c r="T547" s="36">
        <v>0</v>
      </c>
      <c r="U547" s="36">
        <v>0</v>
      </c>
      <c r="V547" s="36">
        <v>0</v>
      </c>
      <c r="W547" s="36">
        <v>0</v>
      </c>
      <c r="X547" s="50">
        <v>0</v>
      </c>
      <c r="Y547" s="36">
        <v>0</v>
      </c>
      <c r="Z547" s="36">
        <v>0</v>
      </c>
      <c r="AA547" s="36">
        <v>0</v>
      </c>
      <c r="AB547" s="36">
        <v>0</v>
      </c>
      <c r="AC547" s="50">
        <v>3</v>
      </c>
      <c r="AD547" s="36">
        <v>4</v>
      </c>
      <c r="AE547" s="36">
        <v>4</v>
      </c>
      <c r="AF547" s="36">
        <v>3</v>
      </c>
      <c r="AG547" s="36">
        <v>0</v>
      </c>
      <c r="AH547" s="50">
        <v>0</v>
      </c>
      <c r="AI547" s="36">
        <v>2</v>
      </c>
      <c r="AJ547" s="36">
        <v>4</v>
      </c>
      <c r="AK547" s="36">
        <v>4</v>
      </c>
      <c r="AL547" s="36">
        <v>0</v>
      </c>
      <c r="AM547" s="50">
        <v>1</v>
      </c>
      <c r="AN547" s="36">
        <v>3</v>
      </c>
      <c r="AO547" s="36">
        <v>4</v>
      </c>
      <c r="AP547" s="36">
        <v>4</v>
      </c>
      <c r="AQ547" s="36">
        <v>0</v>
      </c>
      <c r="AR547" s="50">
        <v>0</v>
      </c>
      <c r="AS547" s="36">
        <v>0</v>
      </c>
      <c r="AT547" s="36">
        <v>0</v>
      </c>
      <c r="AU547" s="36">
        <v>0</v>
      </c>
      <c r="AV547" s="36">
        <v>0</v>
      </c>
      <c r="AW547">
        <v>0</v>
      </c>
      <c r="AX547">
        <v>0</v>
      </c>
    </row>
    <row r="548" spans="1:50" x14ac:dyDescent="0.25">
      <c r="A548" s="36"/>
      <c r="B548" t="s">
        <v>120</v>
      </c>
      <c r="C548" s="36" t="str">
        <f>'Status Thresholds'!B539</f>
        <v>Nerscylla</v>
      </c>
      <c r="E548" s="36" t="str">
        <f t="shared" si="19"/>
        <v>Nerscylla</v>
      </c>
      <c r="F548" s="36" t="str">
        <f>IFERROR(VLOOKUP($E548,'Status Thresholds'!$E:$AS,1,FALSE),"")</f>
        <v/>
      </c>
      <c r="G548" t="s">
        <v>12</v>
      </c>
      <c r="H548" s="55" t="str">
        <f t="shared" si="20"/>
        <v>NerscyllaCrag 2</v>
      </c>
      <c r="I548" s="50">
        <v>0</v>
      </c>
      <c r="J548" s="36">
        <v>1</v>
      </c>
      <c r="K548" s="36">
        <v>4</v>
      </c>
      <c r="L548" s="36">
        <v>3</v>
      </c>
      <c r="M548" s="36">
        <v>0</v>
      </c>
      <c r="N548" s="50">
        <v>0</v>
      </c>
      <c r="O548" s="36">
        <v>0</v>
      </c>
      <c r="P548" s="36">
        <v>0</v>
      </c>
      <c r="Q548" s="36">
        <v>0</v>
      </c>
      <c r="R548" s="36">
        <v>0</v>
      </c>
      <c r="S548" s="50">
        <v>0</v>
      </c>
      <c r="T548" s="36">
        <v>0</v>
      </c>
      <c r="U548" s="36">
        <v>0</v>
      </c>
      <c r="V548" s="36">
        <v>0</v>
      </c>
      <c r="W548" s="36">
        <v>0</v>
      </c>
      <c r="X548" s="50">
        <v>0</v>
      </c>
      <c r="Y548" s="36">
        <v>0</v>
      </c>
      <c r="Z548" s="36">
        <v>0</v>
      </c>
      <c r="AA548" s="36">
        <v>0</v>
      </c>
      <c r="AB548" s="36">
        <v>0</v>
      </c>
      <c r="AC548" s="50">
        <v>0</v>
      </c>
      <c r="AD548" s="36">
        <v>0</v>
      </c>
      <c r="AE548" s="36">
        <v>3</v>
      </c>
      <c r="AF548" s="36">
        <v>4</v>
      </c>
      <c r="AG548" s="36">
        <v>0</v>
      </c>
      <c r="AH548" s="50">
        <v>1</v>
      </c>
      <c r="AI548" s="36">
        <v>0</v>
      </c>
      <c r="AJ548" s="36">
        <v>4</v>
      </c>
      <c r="AK548" s="36">
        <v>4</v>
      </c>
      <c r="AL548" s="36">
        <v>0</v>
      </c>
      <c r="AM548" s="50">
        <v>0</v>
      </c>
      <c r="AN548" s="36">
        <v>4</v>
      </c>
      <c r="AO548" s="36">
        <v>4</v>
      </c>
      <c r="AP548" s="36">
        <v>4</v>
      </c>
      <c r="AQ548" s="36">
        <v>0</v>
      </c>
      <c r="AR548" s="50">
        <v>0</v>
      </c>
      <c r="AS548" s="36">
        <v>0</v>
      </c>
      <c r="AT548" s="36">
        <v>0</v>
      </c>
      <c r="AU548" s="36">
        <v>0</v>
      </c>
      <c r="AV548" s="36">
        <v>0</v>
      </c>
      <c r="AW548">
        <v>0</v>
      </c>
      <c r="AX548">
        <v>0</v>
      </c>
    </row>
    <row r="549" spans="1:50" x14ac:dyDescent="0.25">
      <c r="A549" s="36"/>
      <c r="B549" t="s">
        <v>120</v>
      </c>
      <c r="C549" s="36" t="str">
        <f>'Status Thresholds'!B540</f>
        <v>Nerscylla</v>
      </c>
      <c r="E549" s="36" t="str">
        <f t="shared" si="19"/>
        <v>Nerscylla</v>
      </c>
      <c r="F549" s="36" t="str">
        <f>IFERROR(VLOOKUP($E549,'Status Thresholds'!$E:$AS,1,FALSE),"")</f>
        <v/>
      </c>
      <c r="G549" t="s">
        <v>11</v>
      </c>
      <c r="H549" s="55" t="str">
        <f t="shared" si="20"/>
        <v>NerscyllaCrag 1</v>
      </c>
      <c r="I549" s="50">
        <v>0</v>
      </c>
      <c r="J549" s="36">
        <v>4</v>
      </c>
      <c r="K549" s="36">
        <v>6</v>
      </c>
      <c r="L549" s="36">
        <v>6</v>
      </c>
      <c r="M549" s="36">
        <v>0</v>
      </c>
      <c r="N549" s="50">
        <v>0</v>
      </c>
      <c r="O549" s="36">
        <v>0</v>
      </c>
      <c r="P549" s="36">
        <v>0</v>
      </c>
      <c r="Q549" s="36">
        <v>0</v>
      </c>
      <c r="R549" s="36">
        <v>0</v>
      </c>
      <c r="S549" s="50">
        <v>0</v>
      </c>
      <c r="T549" s="36">
        <v>0</v>
      </c>
      <c r="U549" s="36">
        <v>0</v>
      </c>
      <c r="V549" s="36">
        <v>0</v>
      </c>
      <c r="W549" s="36">
        <v>0</v>
      </c>
      <c r="X549" s="50">
        <v>0</v>
      </c>
      <c r="Y549" s="36">
        <v>0</v>
      </c>
      <c r="Z549" s="36">
        <v>0</v>
      </c>
      <c r="AA549" s="36">
        <v>0</v>
      </c>
      <c r="AB549" s="36">
        <v>0</v>
      </c>
      <c r="AC549" s="50">
        <v>2</v>
      </c>
      <c r="AD549" s="36">
        <v>6</v>
      </c>
      <c r="AE549" s="36">
        <v>2</v>
      </c>
      <c r="AF549" s="36">
        <v>8</v>
      </c>
      <c r="AG549" s="36">
        <v>0</v>
      </c>
      <c r="AH549" s="50">
        <v>0</v>
      </c>
      <c r="AI549" s="36">
        <v>7</v>
      </c>
      <c r="AJ549" s="36">
        <v>2</v>
      </c>
      <c r="AK549" s="36">
        <v>8</v>
      </c>
      <c r="AL549" s="36">
        <v>0</v>
      </c>
      <c r="AM549" s="50">
        <v>2</v>
      </c>
      <c r="AN549" s="36">
        <v>8</v>
      </c>
      <c r="AO549" s="36">
        <v>8</v>
      </c>
      <c r="AP549" s="36">
        <v>8</v>
      </c>
      <c r="AQ549" s="36">
        <v>0</v>
      </c>
      <c r="AR549" s="50">
        <v>0</v>
      </c>
      <c r="AS549" s="36">
        <v>0</v>
      </c>
      <c r="AT549" s="36">
        <v>0</v>
      </c>
      <c r="AU549" s="36">
        <v>0</v>
      </c>
      <c r="AV549" s="36">
        <v>1</v>
      </c>
      <c r="AW549">
        <v>0</v>
      </c>
      <c r="AX549">
        <v>0</v>
      </c>
    </row>
    <row r="550" spans="1:50" x14ac:dyDescent="0.25">
      <c r="A550" s="36"/>
      <c r="B550" t="s">
        <v>119</v>
      </c>
      <c r="C550" s="36" t="str">
        <f>'Status Thresholds'!B541</f>
        <v>Nerscylla</v>
      </c>
      <c r="E550" s="36" t="str">
        <f t="shared" si="19"/>
        <v>Nerscylla</v>
      </c>
      <c r="F550" s="36" t="str">
        <f>IFERROR(VLOOKUP($E550,'Status Thresholds'!$E:$AS,1,FALSE),"")</f>
        <v/>
      </c>
      <c r="G550" t="s">
        <v>21</v>
      </c>
      <c r="H550" s="55" t="str">
        <f t="shared" si="20"/>
        <v>NerscyllaTriblast</v>
      </c>
      <c r="I550" s="50">
        <v>0</v>
      </c>
      <c r="J550" s="36">
        <v>1</v>
      </c>
      <c r="K550" s="36">
        <v>1</v>
      </c>
      <c r="L550" s="36">
        <v>2</v>
      </c>
      <c r="M550" s="36">
        <v>0</v>
      </c>
      <c r="N550" s="50">
        <v>0</v>
      </c>
      <c r="O550" s="36">
        <v>0</v>
      </c>
      <c r="P550" s="36">
        <v>0</v>
      </c>
      <c r="Q550" s="36">
        <v>0</v>
      </c>
      <c r="R550" s="36">
        <v>0</v>
      </c>
      <c r="S550" s="50">
        <v>0</v>
      </c>
      <c r="T550" s="36">
        <v>0</v>
      </c>
      <c r="U550" s="36">
        <v>0</v>
      </c>
      <c r="V550" s="36">
        <v>0</v>
      </c>
      <c r="W550" s="36">
        <v>0</v>
      </c>
      <c r="X550" s="50">
        <v>0</v>
      </c>
      <c r="Y550" s="36">
        <v>0</v>
      </c>
      <c r="Z550" s="36">
        <v>0</v>
      </c>
      <c r="AA550" s="36">
        <v>0</v>
      </c>
      <c r="AB550" s="36">
        <v>0</v>
      </c>
      <c r="AC550" s="50">
        <v>1</v>
      </c>
      <c r="AD550" s="36">
        <v>0</v>
      </c>
      <c r="AE550" s="36">
        <v>2</v>
      </c>
      <c r="AF550" s="36">
        <v>2</v>
      </c>
      <c r="AG550" s="36">
        <v>0</v>
      </c>
      <c r="AH550" s="50">
        <v>1</v>
      </c>
      <c r="AI550" s="36">
        <v>2</v>
      </c>
      <c r="AJ550" s="36">
        <v>0</v>
      </c>
      <c r="AK550" s="36">
        <v>2</v>
      </c>
      <c r="AL550" s="36">
        <v>0</v>
      </c>
      <c r="AM550" s="50">
        <v>1</v>
      </c>
      <c r="AN550" s="36">
        <v>1</v>
      </c>
      <c r="AO550" s="36">
        <v>2</v>
      </c>
      <c r="AP550" s="36">
        <v>2</v>
      </c>
      <c r="AQ550" s="36">
        <v>0</v>
      </c>
      <c r="AR550" s="50">
        <v>0</v>
      </c>
      <c r="AS550" s="36">
        <v>0</v>
      </c>
      <c r="AT550" s="36">
        <v>0</v>
      </c>
      <c r="AU550" s="36">
        <v>0</v>
      </c>
      <c r="AV550" s="36">
        <v>0</v>
      </c>
      <c r="AW550">
        <v>0</v>
      </c>
      <c r="AX550">
        <v>0</v>
      </c>
    </row>
    <row r="551" spans="1:50" x14ac:dyDescent="0.25">
      <c r="A551" s="36"/>
      <c r="B551" t="s">
        <v>119</v>
      </c>
      <c r="C551" s="36" t="str">
        <f>'Status Thresholds'!B542</f>
        <v>Nerscylla</v>
      </c>
      <c r="E551" s="36" t="str">
        <f t="shared" si="19"/>
        <v>Nerscylla</v>
      </c>
      <c r="F551" s="36" t="str">
        <f>IFERROR(VLOOKUP($E551,'Status Thresholds'!$E:$AS,1,FALSE),"")</f>
        <v/>
      </c>
      <c r="G551" t="s">
        <v>13</v>
      </c>
      <c r="H551" s="55" t="str">
        <f t="shared" si="20"/>
        <v>NerscyllaCrag 3</v>
      </c>
      <c r="I551" s="50">
        <v>1</v>
      </c>
      <c r="J551" s="36">
        <v>1</v>
      </c>
      <c r="K551" s="36">
        <v>4</v>
      </c>
      <c r="L551" s="36">
        <v>3</v>
      </c>
      <c r="M551" s="36">
        <v>0</v>
      </c>
      <c r="N551" s="50">
        <v>0</v>
      </c>
      <c r="O551" s="36">
        <v>0</v>
      </c>
      <c r="P551" s="36">
        <v>0</v>
      </c>
      <c r="Q551" s="36">
        <v>0</v>
      </c>
      <c r="R551" s="36">
        <v>0</v>
      </c>
      <c r="S551" s="50">
        <v>0</v>
      </c>
      <c r="T551" s="36">
        <v>0</v>
      </c>
      <c r="U551" s="36">
        <v>0</v>
      </c>
      <c r="V551" s="36">
        <v>0</v>
      </c>
      <c r="W551" s="36">
        <v>0</v>
      </c>
      <c r="X551" s="50">
        <v>0</v>
      </c>
      <c r="Y551" s="36">
        <v>0</v>
      </c>
      <c r="Z551" s="36">
        <v>0</v>
      </c>
      <c r="AA551" s="36">
        <v>0</v>
      </c>
      <c r="AB551" s="36">
        <v>0</v>
      </c>
      <c r="AC551" s="50">
        <v>0</v>
      </c>
      <c r="AD551" s="36">
        <v>4</v>
      </c>
      <c r="AE551" s="36">
        <v>0</v>
      </c>
      <c r="AF551" s="36">
        <v>3</v>
      </c>
      <c r="AG551" s="36">
        <v>0</v>
      </c>
      <c r="AH551" s="50">
        <v>0</v>
      </c>
      <c r="AI551" s="36">
        <v>0</v>
      </c>
      <c r="AJ551" s="36">
        <v>3</v>
      </c>
      <c r="AK551" s="36">
        <v>4</v>
      </c>
      <c r="AL551" s="36">
        <v>0</v>
      </c>
      <c r="AM551" s="50">
        <v>0</v>
      </c>
      <c r="AN551" s="36">
        <v>1</v>
      </c>
      <c r="AO551" s="36">
        <v>3</v>
      </c>
      <c r="AP551" s="36">
        <v>4</v>
      </c>
      <c r="AQ551" s="36">
        <v>0</v>
      </c>
      <c r="AR551" s="50">
        <v>0</v>
      </c>
      <c r="AS551" s="36">
        <v>0</v>
      </c>
      <c r="AT551" s="36">
        <v>0</v>
      </c>
      <c r="AU551" s="36">
        <v>0</v>
      </c>
      <c r="AV551" s="36">
        <v>0</v>
      </c>
      <c r="AW551">
        <v>0</v>
      </c>
      <c r="AX551">
        <v>0</v>
      </c>
    </row>
    <row r="552" spans="1:50" x14ac:dyDescent="0.25">
      <c r="A552" s="36"/>
      <c r="B552" t="s">
        <v>119</v>
      </c>
      <c r="C552" s="36" t="str">
        <f>'Status Thresholds'!B543</f>
        <v>Nerscylla</v>
      </c>
      <c r="E552" s="36" t="str">
        <f t="shared" si="19"/>
        <v>Nerscylla</v>
      </c>
      <c r="F552" s="36" t="str">
        <f>IFERROR(VLOOKUP($E552,'Status Thresholds'!$E:$AS,1,FALSE),"")</f>
        <v/>
      </c>
      <c r="G552" t="s">
        <v>12</v>
      </c>
      <c r="H552" s="55" t="str">
        <f t="shared" si="20"/>
        <v>NerscyllaCrag 2</v>
      </c>
      <c r="I552" s="50">
        <v>1</v>
      </c>
      <c r="J552" s="36">
        <v>0</v>
      </c>
      <c r="K552" s="36">
        <v>4</v>
      </c>
      <c r="L552" s="36">
        <v>2</v>
      </c>
      <c r="M552" s="36">
        <v>0</v>
      </c>
      <c r="N552" s="50">
        <v>0</v>
      </c>
      <c r="O552" s="36">
        <v>0</v>
      </c>
      <c r="P552" s="36">
        <v>0</v>
      </c>
      <c r="Q552" s="36">
        <v>0</v>
      </c>
      <c r="R552" s="36">
        <v>0</v>
      </c>
      <c r="S552" s="50">
        <v>0</v>
      </c>
      <c r="T552" s="36">
        <v>0</v>
      </c>
      <c r="U552" s="36">
        <v>0</v>
      </c>
      <c r="V552" s="36">
        <v>0</v>
      </c>
      <c r="W552" s="36">
        <v>0</v>
      </c>
      <c r="X552" s="50">
        <v>0</v>
      </c>
      <c r="Y552" s="36">
        <v>0</v>
      </c>
      <c r="Z552" s="36">
        <v>0</v>
      </c>
      <c r="AA552" s="36">
        <v>0</v>
      </c>
      <c r="AB552" s="36">
        <v>0</v>
      </c>
      <c r="AC552" s="50">
        <v>1</v>
      </c>
      <c r="AD552" s="36">
        <v>4</v>
      </c>
      <c r="AE552" s="36">
        <v>3</v>
      </c>
      <c r="AF552" s="36">
        <v>4</v>
      </c>
      <c r="AG552" s="36">
        <v>0</v>
      </c>
      <c r="AH552" s="50">
        <v>3</v>
      </c>
      <c r="AI552" s="36">
        <v>1</v>
      </c>
      <c r="AJ552" s="36">
        <v>4</v>
      </c>
      <c r="AK552" s="36">
        <v>4</v>
      </c>
      <c r="AL552" s="36">
        <v>0</v>
      </c>
      <c r="AM552" s="50">
        <v>4</v>
      </c>
      <c r="AN552" s="36">
        <v>3</v>
      </c>
      <c r="AO552" s="36">
        <v>4</v>
      </c>
      <c r="AP552" s="36">
        <v>4</v>
      </c>
      <c r="AQ552" s="36">
        <v>0</v>
      </c>
      <c r="AR552" s="50">
        <v>0</v>
      </c>
      <c r="AS552" s="36">
        <v>0</v>
      </c>
      <c r="AT552" s="36">
        <v>0</v>
      </c>
      <c r="AU552" s="36">
        <v>0</v>
      </c>
      <c r="AV552" s="36">
        <v>0</v>
      </c>
      <c r="AW552">
        <v>0</v>
      </c>
      <c r="AX552">
        <v>0</v>
      </c>
    </row>
    <row r="553" spans="1:50" x14ac:dyDescent="0.25">
      <c r="A553" s="36"/>
      <c r="B553" t="s">
        <v>119</v>
      </c>
      <c r="C553" s="36" t="str">
        <f>'Status Thresholds'!B544</f>
        <v>Nerscylla</v>
      </c>
      <c r="E553" s="36" t="str">
        <f t="shared" si="19"/>
        <v>Nerscylla</v>
      </c>
      <c r="F553" s="36" t="str">
        <f>IFERROR(VLOOKUP($E553,'Status Thresholds'!$E:$AS,1,FALSE),"")</f>
        <v/>
      </c>
      <c r="G553" t="s">
        <v>11</v>
      </c>
      <c r="H553" s="55" t="str">
        <f t="shared" si="20"/>
        <v>NerscyllaCrag 1</v>
      </c>
      <c r="I553" s="50">
        <v>3</v>
      </c>
      <c r="J553" s="36">
        <v>6</v>
      </c>
      <c r="K553" s="36">
        <v>1</v>
      </c>
      <c r="L553" s="36">
        <v>7</v>
      </c>
      <c r="M553" s="36">
        <v>0</v>
      </c>
      <c r="N553" s="50">
        <v>0</v>
      </c>
      <c r="O553" s="36">
        <v>0</v>
      </c>
      <c r="P553" s="36">
        <v>0</v>
      </c>
      <c r="Q553" s="36">
        <v>0</v>
      </c>
      <c r="R553" s="36">
        <v>0</v>
      </c>
      <c r="S553" s="50">
        <v>0</v>
      </c>
      <c r="T553" s="36">
        <v>0</v>
      </c>
      <c r="U553" s="36">
        <v>0</v>
      </c>
      <c r="V553" s="36">
        <v>0</v>
      </c>
      <c r="W553" s="36">
        <v>0</v>
      </c>
      <c r="X553" s="50">
        <v>0</v>
      </c>
      <c r="Y553" s="36">
        <v>0</v>
      </c>
      <c r="Z553" s="36">
        <v>0</v>
      </c>
      <c r="AA553" s="36">
        <v>0</v>
      </c>
      <c r="AB553" s="36">
        <v>0</v>
      </c>
      <c r="AC553" s="50">
        <v>2</v>
      </c>
      <c r="AD553" s="36">
        <v>0</v>
      </c>
      <c r="AE553" s="36">
        <v>7</v>
      </c>
      <c r="AF553" s="36">
        <v>6</v>
      </c>
      <c r="AG553" s="36">
        <v>0</v>
      </c>
      <c r="AH553" s="50">
        <v>0</v>
      </c>
      <c r="AI553" s="36">
        <v>5</v>
      </c>
      <c r="AJ553" s="36">
        <v>8</v>
      </c>
      <c r="AK553" s="36">
        <v>6</v>
      </c>
      <c r="AL553" s="36">
        <v>0</v>
      </c>
      <c r="AM553" s="50">
        <v>1</v>
      </c>
      <c r="AN553" s="36">
        <v>8</v>
      </c>
      <c r="AO553" s="36">
        <v>8</v>
      </c>
      <c r="AP553" s="36">
        <v>8</v>
      </c>
      <c r="AQ553" s="36">
        <v>0</v>
      </c>
      <c r="AR553" s="50">
        <v>0</v>
      </c>
      <c r="AS553" s="36">
        <v>0</v>
      </c>
      <c r="AT553" s="36">
        <v>0</v>
      </c>
      <c r="AU553" s="36">
        <v>0</v>
      </c>
      <c r="AV553" s="36">
        <v>1</v>
      </c>
      <c r="AW553">
        <v>0</v>
      </c>
      <c r="AX553">
        <v>0</v>
      </c>
    </row>
    <row r="554" spans="1:50" x14ac:dyDescent="0.25">
      <c r="A554" s="36"/>
      <c r="B554" t="s">
        <v>121</v>
      </c>
      <c r="C554" s="36" t="str">
        <f>'Status Thresholds'!B545</f>
        <v>Nibelsnarf</v>
      </c>
      <c r="D554" t="s">
        <v>14</v>
      </c>
      <c r="E554" s="36" t="str">
        <f t="shared" si="19"/>
        <v>NibelsnarfKO</v>
      </c>
      <c r="F554" s="36" t="str">
        <f>IFERROR(VLOOKUP($E554,'Status Thresholds'!$E:$AS,1,FALSE),"")</f>
        <v>NibelsnarfKO</v>
      </c>
      <c r="H554" s="55" t="str">
        <f t="shared" si="20"/>
        <v>NibelsnarfKO</v>
      </c>
      <c r="I554" s="50">
        <f>VLOOKUP($F554,'Status Thresholds'!$E:$AS,2,FALSE)</f>
        <v>195</v>
      </c>
      <c r="J554" s="36">
        <f>VLOOKUP($F554,'Status Thresholds'!$E:$AS,3,FALSE)</f>
        <v>325</v>
      </c>
      <c r="K554" s="36">
        <f>VLOOKUP($F554,'Status Thresholds'!$E:$AS,4,FALSE)</f>
        <v>454</v>
      </c>
      <c r="L554" s="36">
        <f>VLOOKUP($F554,'Status Thresholds'!$E:$AS,5,FALSE)</f>
        <v>585</v>
      </c>
      <c r="M554" s="36">
        <f>VLOOKUP($F554,'Status Thresholds'!$E:$AS,6,FALSE)</f>
        <v>0</v>
      </c>
      <c r="N554" s="50">
        <f>VLOOKUP($F554,'Status Thresholds'!$E:$AS,7,FALSE)</f>
        <v>0</v>
      </c>
      <c r="O554" s="36">
        <f>VLOOKUP($F554,'Status Thresholds'!$E:$AS,8,FALSE)</f>
        <v>0</v>
      </c>
      <c r="P554" s="36">
        <f>VLOOKUP($F554,'Status Thresholds'!$E:$AS,9,FALSE)</f>
        <v>0</v>
      </c>
      <c r="Q554" s="36">
        <f>VLOOKUP($F554,'Status Thresholds'!$E:$AS,10,FALSE)</f>
        <v>0</v>
      </c>
      <c r="R554" s="36">
        <f>VLOOKUP($F554,'Status Thresholds'!$E:$AS,11,FALSE)</f>
        <v>0</v>
      </c>
      <c r="S554" s="50">
        <f>VLOOKUP($F554,'Status Thresholds'!$E:$AS,12,FALSE)</f>
        <v>195</v>
      </c>
      <c r="T554" s="36">
        <f>VLOOKUP($F554,'Status Thresholds'!$E:$AS,13,FALSE)</f>
        <v>325</v>
      </c>
      <c r="U554" s="36">
        <f>VLOOKUP($F554,'Status Thresholds'!$E:$AS,14,FALSE)</f>
        <v>455</v>
      </c>
      <c r="V554" s="36">
        <f>VLOOKUP($F554,'Status Thresholds'!$E:$AS,15,FALSE)</f>
        <v>585</v>
      </c>
      <c r="W554" s="36">
        <f>VLOOKUP($F554,'Status Thresholds'!$E:$AS,16,FALSE)</f>
        <v>0</v>
      </c>
      <c r="X554" s="50">
        <f>VLOOKUP($F554,'Status Thresholds'!$E:$AS,17,FALSE)</f>
        <v>0</v>
      </c>
      <c r="Y554" s="36">
        <f>VLOOKUP($F554,'Status Thresholds'!$E:$AS,18,FALSE)</f>
        <v>0</v>
      </c>
      <c r="Z554" s="36">
        <f>VLOOKUP($F554,'Status Thresholds'!$E:$AS,19,FALSE)</f>
        <v>0</v>
      </c>
      <c r="AA554" s="36">
        <f>VLOOKUP($F554,'Status Thresholds'!$E:$AS,20,FALSE)</f>
        <v>0</v>
      </c>
      <c r="AB554" s="36">
        <f>VLOOKUP($F554,'Status Thresholds'!$E:$AS,21,FALSE)</f>
        <v>0</v>
      </c>
      <c r="AC554" s="50">
        <f>VLOOKUP($F554,'Status Thresholds'!$E:$AS,22,FALSE)</f>
        <v>210</v>
      </c>
      <c r="AD554" s="36">
        <f>VLOOKUP($F554,'Status Thresholds'!$E:$AS,23,FALSE)</f>
        <v>350</v>
      </c>
      <c r="AE554" s="36">
        <f>VLOOKUP($F554,'Status Thresholds'!$E:$AS,24,FALSE)</f>
        <v>490</v>
      </c>
      <c r="AF554" s="36">
        <f>VLOOKUP($F554,'Status Thresholds'!$E:$AS,25,FALSE)</f>
        <v>630</v>
      </c>
      <c r="AG554" s="36">
        <f>VLOOKUP($F554,'Status Thresholds'!$E:$AS,26,FALSE)</f>
        <v>0</v>
      </c>
      <c r="AH554" s="50">
        <f>VLOOKUP($F554,'Status Thresholds'!$E:$AS,27,FALSE)</f>
        <v>0</v>
      </c>
      <c r="AI554" s="36">
        <f>VLOOKUP($F554,'Status Thresholds'!$E:$AS,28,FALSE)</f>
        <v>0</v>
      </c>
      <c r="AJ554" s="36">
        <f>VLOOKUP($F554,'Status Thresholds'!$E:$AS,29,FALSE)</f>
        <v>0</v>
      </c>
      <c r="AK554" s="36">
        <f>VLOOKUP($F554,'Status Thresholds'!$E:$AS,30,FALSE)</f>
        <v>0</v>
      </c>
      <c r="AL554" s="36">
        <f>VLOOKUP($F554,'Status Thresholds'!$E:$AS,31,FALSE)</f>
        <v>0</v>
      </c>
      <c r="AM554" s="50">
        <f>VLOOKUP($F554,'Status Thresholds'!$E:$AS,32,FALSE)</f>
        <v>0</v>
      </c>
      <c r="AN554" s="36">
        <f>VLOOKUP($F554,'Status Thresholds'!$E:$AS,33,FALSE)</f>
        <v>0</v>
      </c>
      <c r="AO554" s="36">
        <f>VLOOKUP($F554,'Status Thresholds'!$E:$AS,34,FALSE)</f>
        <v>0</v>
      </c>
      <c r="AP554" s="36">
        <f>VLOOKUP($F554,'Status Thresholds'!$E:$AS,35,FALSE)</f>
        <v>0</v>
      </c>
      <c r="AQ554" s="36">
        <f>VLOOKUP($F554,'Status Thresholds'!$E:$AS,36,FALSE)</f>
        <v>0</v>
      </c>
      <c r="AR554" s="50">
        <f>VLOOKUP($F554,'Status Thresholds'!$E:$AS,37,FALSE)</f>
        <v>0</v>
      </c>
      <c r="AS554" s="36">
        <f>VLOOKUP($F554,'Status Thresholds'!$E:$AS,38,FALSE)</f>
        <v>0</v>
      </c>
      <c r="AT554" s="36">
        <f>VLOOKUP($F554,'Status Thresholds'!$E:$AS,39,FALSE)</f>
        <v>0</v>
      </c>
      <c r="AU554" s="36">
        <f>VLOOKUP($F554,'Status Thresholds'!$E:$AS,40,FALSE)</f>
        <v>0</v>
      </c>
      <c r="AV554" s="36">
        <f>VLOOKUP($F554,'Status Thresholds'!$E:$AS,41,FALSE)</f>
        <v>10</v>
      </c>
      <c r="AW554">
        <v>0</v>
      </c>
      <c r="AX554">
        <v>0</v>
      </c>
    </row>
    <row r="555" spans="1:50" x14ac:dyDescent="0.25">
      <c r="A555" s="36"/>
      <c r="B555" t="s">
        <v>120</v>
      </c>
      <c r="C555" s="36" t="str">
        <f>'Status Thresholds'!B546</f>
        <v>Nibelsnarf</v>
      </c>
      <c r="E555" s="36" t="str">
        <f t="shared" si="19"/>
        <v>Nibelsnarf</v>
      </c>
      <c r="F555" s="36" t="str">
        <f>IFERROR(VLOOKUP($E555,'Status Thresholds'!$E:$AS,1,FALSE),"")</f>
        <v/>
      </c>
      <c r="G555" t="s">
        <v>21</v>
      </c>
      <c r="H555" s="55" t="str">
        <f t="shared" si="20"/>
        <v>NibelsnarfTriblast</v>
      </c>
      <c r="I555" s="50">
        <v>1</v>
      </c>
      <c r="J555" s="36">
        <v>2</v>
      </c>
      <c r="K555" s="36">
        <v>2</v>
      </c>
      <c r="L555" s="36">
        <v>2</v>
      </c>
      <c r="M555" s="36">
        <v>0</v>
      </c>
      <c r="N555" s="50">
        <v>0</v>
      </c>
      <c r="O555" s="36">
        <v>0</v>
      </c>
      <c r="P555" s="36">
        <v>0</v>
      </c>
      <c r="Q555" s="36">
        <v>0</v>
      </c>
      <c r="R555" s="36">
        <v>0</v>
      </c>
      <c r="S555" s="50">
        <v>1</v>
      </c>
      <c r="T555" s="36">
        <v>2</v>
      </c>
      <c r="U555" s="36">
        <v>2</v>
      </c>
      <c r="V555" s="36">
        <v>2</v>
      </c>
      <c r="W555" s="36">
        <v>0</v>
      </c>
      <c r="X555" s="50">
        <v>0</v>
      </c>
      <c r="Y555" s="36">
        <v>0</v>
      </c>
      <c r="Z555" s="36">
        <v>0</v>
      </c>
      <c r="AA555" s="36">
        <v>0</v>
      </c>
      <c r="AB555" s="36">
        <v>0</v>
      </c>
      <c r="AC555" s="50">
        <v>2</v>
      </c>
      <c r="AD555" s="36">
        <v>2</v>
      </c>
      <c r="AE555" s="36">
        <v>1</v>
      </c>
      <c r="AF555" s="36">
        <v>2</v>
      </c>
      <c r="AG555" s="36">
        <v>0</v>
      </c>
      <c r="AH555" s="50">
        <v>0</v>
      </c>
      <c r="AI555" s="36">
        <v>0</v>
      </c>
      <c r="AJ555" s="36">
        <v>0</v>
      </c>
      <c r="AK555" s="36">
        <v>0</v>
      </c>
      <c r="AL555" s="36">
        <v>0</v>
      </c>
      <c r="AM555" s="50">
        <v>0</v>
      </c>
      <c r="AN555" s="36">
        <v>0</v>
      </c>
      <c r="AO555" s="36">
        <v>0</v>
      </c>
      <c r="AP555" s="36">
        <v>0</v>
      </c>
      <c r="AQ555" s="36">
        <v>0</v>
      </c>
      <c r="AR555" s="50">
        <v>0</v>
      </c>
      <c r="AS555" s="36">
        <v>0</v>
      </c>
      <c r="AT555" s="36">
        <v>0</v>
      </c>
      <c r="AU555" s="36">
        <v>0</v>
      </c>
      <c r="AV555" s="36">
        <v>0</v>
      </c>
      <c r="AW555">
        <v>0</v>
      </c>
    </row>
    <row r="556" spans="1:50" x14ac:dyDescent="0.25">
      <c r="A556" s="36"/>
      <c r="B556" t="s">
        <v>120</v>
      </c>
      <c r="C556" s="36" t="str">
        <f>'Status Thresholds'!B547</f>
        <v>Nibelsnarf</v>
      </c>
      <c r="E556" s="36" t="str">
        <f t="shared" si="19"/>
        <v>Nibelsnarf</v>
      </c>
      <c r="F556" s="36" t="str">
        <f>IFERROR(VLOOKUP($E556,'Status Thresholds'!$E:$AS,1,FALSE),"")</f>
        <v/>
      </c>
      <c r="G556" t="s">
        <v>13</v>
      </c>
      <c r="H556" s="55" t="str">
        <f t="shared" si="20"/>
        <v>NibelsnarfCrag 3</v>
      </c>
      <c r="I556" s="50">
        <v>0</v>
      </c>
      <c r="J556" s="36">
        <v>0</v>
      </c>
      <c r="K556" s="36">
        <v>1</v>
      </c>
      <c r="L556" s="36">
        <v>3</v>
      </c>
      <c r="M556" s="36">
        <v>0</v>
      </c>
      <c r="N556" s="50">
        <v>0</v>
      </c>
      <c r="O556" s="36">
        <v>0</v>
      </c>
      <c r="P556" s="36">
        <v>0</v>
      </c>
      <c r="Q556" s="36">
        <v>0</v>
      </c>
      <c r="R556" s="36">
        <v>0</v>
      </c>
      <c r="S556" s="50">
        <v>0</v>
      </c>
      <c r="T556" s="36">
        <v>0</v>
      </c>
      <c r="U556" s="36">
        <v>4</v>
      </c>
      <c r="V556" s="36">
        <v>3</v>
      </c>
      <c r="W556" s="36">
        <v>0</v>
      </c>
      <c r="X556" s="50">
        <v>0</v>
      </c>
      <c r="Y556" s="36">
        <v>0</v>
      </c>
      <c r="Z556" s="36">
        <v>0</v>
      </c>
      <c r="AA556" s="36">
        <v>0</v>
      </c>
      <c r="AB556" s="36">
        <v>0</v>
      </c>
      <c r="AC556" s="50">
        <v>0</v>
      </c>
      <c r="AD556" s="36">
        <v>0</v>
      </c>
      <c r="AE556" s="36">
        <v>3</v>
      </c>
      <c r="AF556" s="36">
        <v>4</v>
      </c>
      <c r="AG556" s="36">
        <v>0</v>
      </c>
      <c r="AH556" s="50">
        <v>0</v>
      </c>
      <c r="AI556" s="36">
        <v>0</v>
      </c>
      <c r="AJ556" s="36">
        <v>0</v>
      </c>
      <c r="AK556" s="36">
        <v>0</v>
      </c>
      <c r="AL556" s="36">
        <v>0</v>
      </c>
      <c r="AM556" s="50">
        <v>0</v>
      </c>
      <c r="AN556" s="36">
        <v>0</v>
      </c>
      <c r="AO556" s="36">
        <v>0</v>
      </c>
      <c r="AP556" s="36">
        <v>0</v>
      </c>
      <c r="AQ556" s="36">
        <v>0</v>
      </c>
      <c r="AR556" s="50">
        <v>0</v>
      </c>
      <c r="AS556" s="36">
        <v>0</v>
      </c>
      <c r="AT556" s="36">
        <v>0</v>
      </c>
      <c r="AU556" s="36">
        <v>0</v>
      </c>
      <c r="AV556" s="36">
        <v>0</v>
      </c>
      <c r="AW556">
        <v>0</v>
      </c>
      <c r="AX556">
        <v>0</v>
      </c>
    </row>
    <row r="557" spans="1:50" x14ac:dyDescent="0.25">
      <c r="A557" s="36"/>
      <c r="B557" t="s">
        <v>120</v>
      </c>
      <c r="C557" s="36" t="str">
        <f>'Status Thresholds'!B548</f>
        <v>Nibelsnarf</v>
      </c>
      <c r="E557" s="36" t="str">
        <f t="shared" si="19"/>
        <v>Nibelsnarf</v>
      </c>
      <c r="F557" s="36" t="str">
        <f>IFERROR(VLOOKUP($E557,'Status Thresholds'!$E:$AS,1,FALSE),"")</f>
        <v/>
      </c>
      <c r="G557" t="s">
        <v>12</v>
      </c>
      <c r="H557" s="55" t="str">
        <f t="shared" si="20"/>
        <v>NibelsnarfCrag 2</v>
      </c>
      <c r="I557" s="50">
        <v>4</v>
      </c>
      <c r="J557" s="36">
        <v>0</v>
      </c>
      <c r="K557" s="36">
        <v>3</v>
      </c>
      <c r="L557" s="36">
        <v>4</v>
      </c>
      <c r="M557" s="36">
        <v>0</v>
      </c>
      <c r="N557" s="50">
        <v>0</v>
      </c>
      <c r="O557" s="36">
        <v>0</v>
      </c>
      <c r="P557" s="36">
        <v>0</v>
      </c>
      <c r="Q557" s="36">
        <v>0</v>
      </c>
      <c r="R557" s="36">
        <v>0</v>
      </c>
      <c r="S557" s="50">
        <v>4</v>
      </c>
      <c r="T557" s="36">
        <v>0</v>
      </c>
      <c r="U557" s="36">
        <v>4</v>
      </c>
      <c r="V557" s="36">
        <v>4</v>
      </c>
      <c r="W557" s="36">
        <v>0</v>
      </c>
      <c r="X557" s="50">
        <v>0</v>
      </c>
      <c r="Y557" s="36">
        <v>0</v>
      </c>
      <c r="Z557" s="36">
        <v>0</v>
      </c>
      <c r="AA557" s="36">
        <v>0</v>
      </c>
      <c r="AB557" s="36">
        <v>0</v>
      </c>
      <c r="AC557" s="50">
        <v>2</v>
      </c>
      <c r="AD557" s="36">
        <v>0</v>
      </c>
      <c r="AE557" s="36">
        <v>4</v>
      </c>
      <c r="AF557" s="36">
        <v>4</v>
      </c>
      <c r="AG557" s="36">
        <v>0</v>
      </c>
      <c r="AH557" s="50">
        <v>0</v>
      </c>
      <c r="AI557" s="36">
        <v>0</v>
      </c>
      <c r="AJ557" s="36">
        <v>0</v>
      </c>
      <c r="AK557" s="36">
        <v>0</v>
      </c>
      <c r="AL557" s="36">
        <v>0</v>
      </c>
      <c r="AM557" s="50">
        <v>0</v>
      </c>
      <c r="AN557" s="36">
        <v>0</v>
      </c>
      <c r="AO557" s="36">
        <v>0</v>
      </c>
      <c r="AP557" s="36">
        <v>0</v>
      </c>
      <c r="AQ557" s="36">
        <v>0</v>
      </c>
      <c r="AR557" s="50">
        <v>0</v>
      </c>
      <c r="AS557" s="36">
        <v>0</v>
      </c>
      <c r="AT557" s="36">
        <v>0</v>
      </c>
      <c r="AU557" s="36">
        <v>0</v>
      </c>
      <c r="AV557" s="36">
        <v>0</v>
      </c>
      <c r="AW557">
        <v>0</v>
      </c>
      <c r="AX557">
        <v>0</v>
      </c>
    </row>
    <row r="558" spans="1:50" x14ac:dyDescent="0.25">
      <c r="A558" s="36"/>
      <c r="B558" t="s">
        <v>120</v>
      </c>
      <c r="C558" s="36" t="str">
        <f>'Status Thresholds'!B549</f>
        <v>Nibelsnarf</v>
      </c>
      <c r="E558" s="36" t="str">
        <f t="shared" si="19"/>
        <v>Nibelsnarf</v>
      </c>
      <c r="F558" s="36" t="str">
        <f>IFERROR(VLOOKUP($E558,'Status Thresholds'!$E:$AS,1,FALSE),"")</f>
        <v/>
      </c>
      <c r="G558" t="s">
        <v>11</v>
      </c>
      <c r="H558" s="55" t="str">
        <f t="shared" si="20"/>
        <v>NibelsnarfCrag 1</v>
      </c>
      <c r="I558" s="50">
        <v>0</v>
      </c>
      <c r="J558" s="36">
        <v>7</v>
      </c>
      <c r="K558" s="36">
        <v>7</v>
      </c>
      <c r="L558" s="36">
        <v>8</v>
      </c>
      <c r="M558" s="36">
        <v>0</v>
      </c>
      <c r="N558" s="50">
        <v>0</v>
      </c>
      <c r="O558" s="36">
        <v>0</v>
      </c>
      <c r="P558" s="36">
        <v>0</v>
      </c>
      <c r="Q558" s="36">
        <v>0</v>
      </c>
      <c r="R558" s="36">
        <v>0</v>
      </c>
      <c r="S558" s="50">
        <v>0</v>
      </c>
      <c r="T558" s="36">
        <v>7</v>
      </c>
      <c r="U558" s="36">
        <v>1</v>
      </c>
      <c r="V558" s="36">
        <v>8</v>
      </c>
      <c r="W558" s="36">
        <v>0</v>
      </c>
      <c r="X558" s="50">
        <v>0</v>
      </c>
      <c r="Y558" s="36">
        <v>0</v>
      </c>
      <c r="Z558" s="36">
        <v>0</v>
      </c>
      <c r="AA558" s="36">
        <v>0</v>
      </c>
      <c r="AB558" s="36">
        <v>0</v>
      </c>
      <c r="AC558" s="50">
        <v>0</v>
      </c>
      <c r="AD558" s="36">
        <v>8</v>
      </c>
      <c r="AE558" s="36">
        <v>7</v>
      </c>
      <c r="AF558" s="36">
        <v>8</v>
      </c>
      <c r="AG558" s="36">
        <v>0</v>
      </c>
      <c r="AH558" s="50">
        <v>0</v>
      </c>
      <c r="AI558" s="36">
        <v>0</v>
      </c>
      <c r="AJ558" s="36">
        <v>0</v>
      </c>
      <c r="AK558" s="36">
        <v>0</v>
      </c>
      <c r="AL558" s="36">
        <v>0</v>
      </c>
      <c r="AM558" s="50">
        <v>0</v>
      </c>
      <c r="AN558" s="36">
        <v>0</v>
      </c>
      <c r="AO558" s="36">
        <v>0</v>
      </c>
      <c r="AP558" s="36">
        <v>0</v>
      </c>
      <c r="AQ558" s="36">
        <v>0</v>
      </c>
      <c r="AR558" s="50">
        <v>0</v>
      </c>
      <c r="AS558" s="36">
        <v>0</v>
      </c>
      <c r="AT558" s="36">
        <v>0</v>
      </c>
      <c r="AU558" s="36">
        <v>0</v>
      </c>
      <c r="AV558" s="36">
        <v>1</v>
      </c>
      <c r="AW558">
        <v>0</v>
      </c>
      <c r="AX558">
        <v>0</v>
      </c>
    </row>
    <row r="559" spans="1:50" x14ac:dyDescent="0.25">
      <c r="A559" s="36"/>
      <c r="B559" t="s">
        <v>119</v>
      </c>
      <c r="C559" s="36" t="str">
        <f>'Status Thresholds'!B550</f>
        <v>Nibelsnarf</v>
      </c>
      <c r="E559" s="36" t="str">
        <f t="shared" si="19"/>
        <v>Nibelsnarf</v>
      </c>
      <c r="F559" s="36" t="str">
        <f>IFERROR(VLOOKUP($E559,'Status Thresholds'!$E:$AS,1,FALSE),"")</f>
        <v/>
      </c>
      <c r="G559" t="s">
        <v>21</v>
      </c>
      <c r="H559" s="55" t="str">
        <f t="shared" si="20"/>
        <v>NibelsnarfTriblast</v>
      </c>
      <c r="I559" s="50">
        <v>2</v>
      </c>
      <c r="J559" s="36">
        <v>0</v>
      </c>
      <c r="K559" s="36">
        <v>2</v>
      </c>
      <c r="L559" s="36">
        <v>2</v>
      </c>
      <c r="M559" s="36">
        <v>0</v>
      </c>
      <c r="N559" s="50">
        <v>0</v>
      </c>
      <c r="O559" s="36">
        <v>0</v>
      </c>
      <c r="P559" s="36">
        <v>0</v>
      </c>
      <c r="Q559" s="36">
        <v>0</v>
      </c>
      <c r="R559" s="36">
        <v>0</v>
      </c>
      <c r="S559" s="50">
        <v>2</v>
      </c>
      <c r="T559" s="36">
        <v>0</v>
      </c>
      <c r="U559" s="36">
        <v>2</v>
      </c>
      <c r="V559" s="36">
        <v>2</v>
      </c>
      <c r="W559" s="36">
        <v>0</v>
      </c>
      <c r="X559" s="50">
        <v>0</v>
      </c>
      <c r="Y559" s="36">
        <v>0</v>
      </c>
      <c r="Z559" s="36">
        <v>0</v>
      </c>
      <c r="AA559" s="36">
        <v>0</v>
      </c>
      <c r="AB559" s="36">
        <v>0</v>
      </c>
      <c r="AC559" s="50">
        <v>0</v>
      </c>
      <c r="AD559" s="36">
        <v>1</v>
      </c>
      <c r="AE559" s="36">
        <v>1</v>
      </c>
      <c r="AF559" s="36">
        <v>2</v>
      </c>
      <c r="AG559" s="36">
        <v>0</v>
      </c>
      <c r="AH559" s="50">
        <v>0</v>
      </c>
      <c r="AI559" s="36">
        <v>0</v>
      </c>
      <c r="AJ559" s="36">
        <v>0</v>
      </c>
      <c r="AK559" s="36">
        <v>0</v>
      </c>
      <c r="AL559" s="36">
        <v>0</v>
      </c>
      <c r="AM559" s="50">
        <v>0</v>
      </c>
      <c r="AN559" s="36">
        <v>0</v>
      </c>
      <c r="AO559" s="36">
        <v>0</v>
      </c>
      <c r="AP559" s="36">
        <v>0</v>
      </c>
      <c r="AQ559" s="36">
        <v>0</v>
      </c>
      <c r="AR559" s="50">
        <v>0</v>
      </c>
      <c r="AS559" s="36">
        <v>0</v>
      </c>
      <c r="AT559" s="36">
        <v>0</v>
      </c>
      <c r="AU559" s="36">
        <v>0</v>
      </c>
      <c r="AV559" s="36">
        <v>0</v>
      </c>
      <c r="AW559">
        <v>0</v>
      </c>
      <c r="AX559">
        <v>0</v>
      </c>
    </row>
    <row r="560" spans="1:50" x14ac:dyDescent="0.25">
      <c r="A560" s="36"/>
      <c r="B560" t="s">
        <v>119</v>
      </c>
      <c r="C560" s="36" t="str">
        <f>'Status Thresholds'!B551</f>
        <v>Nibelsnarf</v>
      </c>
      <c r="E560" s="36" t="str">
        <f t="shared" si="19"/>
        <v>Nibelsnarf</v>
      </c>
      <c r="F560" s="36" t="str">
        <f>IFERROR(VLOOKUP($E560,'Status Thresholds'!$E:$AS,1,FALSE),"")</f>
        <v/>
      </c>
      <c r="G560" t="s">
        <v>13</v>
      </c>
      <c r="H560" s="55" t="str">
        <f t="shared" si="20"/>
        <v>NibelsnarfCrag 3</v>
      </c>
      <c r="I560" s="50">
        <v>0</v>
      </c>
      <c r="J560" s="36">
        <v>1</v>
      </c>
      <c r="K560" s="36">
        <v>1</v>
      </c>
      <c r="L560" s="36">
        <v>4</v>
      </c>
      <c r="M560" s="36">
        <v>0</v>
      </c>
      <c r="N560" s="50">
        <v>0</v>
      </c>
      <c r="O560" s="36">
        <v>0</v>
      </c>
      <c r="P560" s="36">
        <v>0</v>
      </c>
      <c r="Q560" s="36">
        <v>0</v>
      </c>
      <c r="R560" s="36">
        <v>0</v>
      </c>
      <c r="S560" s="50">
        <v>0</v>
      </c>
      <c r="T560" s="36">
        <v>1</v>
      </c>
      <c r="U560" s="36">
        <v>1</v>
      </c>
      <c r="V560" s="36">
        <v>4</v>
      </c>
      <c r="W560" s="36">
        <v>0</v>
      </c>
      <c r="X560" s="50">
        <v>0</v>
      </c>
      <c r="Y560" s="36">
        <v>0</v>
      </c>
      <c r="Z560" s="36">
        <v>0</v>
      </c>
      <c r="AA560" s="36">
        <v>0</v>
      </c>
      <c r="AB560" s="36">
        <v>0</v>
      </c>
      <c r="AC560" s="50">
        <v>1</v>
      </c>
      <c r="AD560" s="36">
        <v>4</v>
      </c>
      <c r="AE560" s="36">
        <v>2</v>
      </c>
      <c r="AF560" s="36">
        <v>4</v>
      </c>
      <c r="AG560" s="36">
        <v>0</v>
      </c>
      <c r="AH560" s="50">
        <v>0</v>
      </c>
      <c r="AI560" s="36">
        <v>0</v>
      </c>
      <c r="AJ560" s="36">
        <v>0</v>
      </c>
      <c r="AK560" s="36">
        <v>0</v>
      </c>
      <c r="AL560" s="36">
        <v>0</v>
      </c>
      <c r="AM560" s="50">
        <v>0</v>
      </c>
      <c r="AN560" s="36">
        <v>0</v>
      </c>
      <c r="AO560" s="36">
        <v>0</v>
      </c>
      <c r="AP560" s="36">
        <v>0</v>
      </c>
      <c r="AQ560" s="36">
        <v>0</v>
      </c>
      <c r="AR560" s="50">
        <v>0</v>
      </c>
      <c r="AS560" s="36">
        <v>0</v>
      </c>
      <c r="AT560" s="36">
        <v>0</v>
      </c>
      <c r="AU560" s="36">
        <v>0</v>
      </c>
      <c r="AV560" s="36">
        <v>0</v>
      </c>
      <c r="AW560">
        <v>0</v>
      </c>
      <c r="AX560">
        <v>0</v>
      </c>
    </row>
    <row r="561" spans="1:50" x14ac:dyDescent="0.25">
      <c r="A561" s="36"/>
      <c r="B561" t="s">
        <v>119</v>
      </c>
      <c r="C561" s="36" t="str">
        <f>'Status Thresholds'!B552</f>
        <v>Nibelsnarf</v>
      </c>
      <c r="E561" s="36" t="str">
        <f t="shared" si="19"/>
        <v>Nibelsnarf</v>
      </c>
      <c r="F561" s="36" t="str">
        <f>IFERROR(VLOOKUP($E561,'Status Thresholds'!$E:$AS,1,FALSE),"")</f>
        <v/>
      </c>
      <c r="G561" t="s">
        <v>12</v>
      </c>
      <c r="H561" s="55" t="str">
        <f t="shared" si="20"/>
        <v>NibelsnarfCrag 2</v>
      </c>
      <c r="I561" s="50">
        <v>1</v>
      </c>
      <c r="J561" s="36">
        <v>2</v>
      </c>
      <c r="K561" s="36">
        <v>1</v>
      </c>
      <c r="L561" s="36">
        <v>1</v>
      </c>
      <c r="M561" s="36">
        <v>0</v>
      </c>
      <c r="N561" s="50">
        <v>0</v>
      </c>
      <c r="O561" s="36">
        <v>0</v>
      </c>
      <c r="P561" s="36">
        <v>0</v>
      </c>
      <c r="Q561" s="36">
        <v>0</v>
      </c>
      <c r="R561" s="36">
        <v>0</v>
      </c>
      <c r="S561" s="50">
        <v>1</v>
      </c>
      <c r="T561" s="36">
        <v>2</v>
      </c>
      <c r="U561" s="36">
        <v>1</v>
      </c>
      <c r="V561" s="36">
        <v>1</v>
      </c>
      <c r="W561" s="36">
        <v>0</v>
      </c>
      <c r="X561" s="50">
        <v>0</v>
      </c>
      <c r="Y561" s="36">
        <v>0</v>
      </c>
      <c r="Z561" s="36">
        <v>0</v>
      </c>
      <c r="AA561" s="36">
        <v>0</v>
      </c>
      <c r="AB561" s="36">
        <v>0</v>
      </c>
      <c r="AC561" s="50">
        <v>1</v>
      </c>
      <c r="AD561" s="36">
        <v>2</v>
      </c>
      <c r="AE561" s="36">
        <v>4</v>
      </c>
      <c r="AF561" s="36">
        <v>4</v>
      </c>
      <c r="AG561" s="36">
        <v>0</v>
      </c>
      <c r="AH561" s="50">
        <v>0</v>
      </c>
      <c r="AI561" s="36">
        <v>0</v>
      </c>
      <c r="AJ561" s="36">
        <v>0</v>
      </c>
      <c r="AK561" s="36">
        <v>0</v>
      </c>
      <c r="AL561" s="36">
        <v>0</v>
      </c>
      <c r="AM561" s="50">
        <v>0</v>
      </c>
      <c r="AN561" s="36">
        <v>0</v>
      </c>
      <c r="AO561" s="36">
        <v>0</v>
      </c>
      <c r="AP561" s="36">
        <v>0</v>
      </c>
      <c r="AQ561" s="36">
        <v>0</v>
      </c>
      <c r="AR561" s="50">
        <v>0</v>
      </c>
      <c r="AS561" s="36">
        <v>0</v>
      </c>
      <c r="AT561" s="36">
        <v>0</v>
      </c>
      <c r="AU561" s="36">
        <v>0</v>
      </c>
      <c r="AV561" s="36">
        <v>0</v>
      </c>
      <c r="AW561">
        <v>0</v>
      </c>
      <c r="AX561">
        <v>0</v>
      </c>
    </row>
    <row r="562" spans="1:50" x14ac:dyDescent="0.25">
      <c r="A562" s="36"/>
      <c r="B562" t="s">
        <v>119</v>
      </c>
      <c r="C562" s="36" t="str">
        <f>'Status Thresholds'!B553</f>
        <v>Nibelsnarf</v>
      </c>
      <c r="E562" s="36" t="str">
        <f t="shared" si="19"/>
        <v>Nibelsnarf</v>
      </c>
      <c r="F562" s="36" t="str">
        <f>IFERROR(VLOOKUP($E562,'Status Thresholds'!$E:$AS,1,FALSE),"")</f>
        <v/>
      </c>
      <c r="G562" t="s">
        <v>11</v>
      </c>
      <c r="H562" s="55" t="str">
        <f t="shared" si="20"/>
        <v>NibelsnarfCrag 1</v>
      </c>
      <c r="I562" s="50">
        <v>0</v>
      </c>
      <c r="J562" s="36">
        <v>8</v>
      </c>
      <c r="K562" s="36">
        <v>8</v>
      </c>
      <c r="L562" s="36">
        <v>8</v>
      </c>
      <c r="M562" s="36">
        <v>0</v>
      </c>
      <c r="N562" s="50">
        <v>0</v>
      </c>
      <c r="O562" s="36">
        <v>0</v>
      </c>
      <c r="P562" s="36">
        <v>0</v>
      </c>
      <c r="Q562" s="36">
        <v>0</v>
      </c>
      <c r="R562" s="36">
        <v>0</v>
      </c>
      <c r="S562" s="50">
        <v>0</v>
      </c>
      <c r="T562" s="36">
        <v>8</v>
      </c>
      <c r="U562" s="36">
        <v>8</v>
      </c>
      <c r="V562" s="36">
        <v>8</v>
      </c>
      <c r="W562" s="36">
        <v>0</v>
      </c>
      <c r="X562" s="50">
        <v>0</v>
      </c>
      <c r="Y562" s="36">
        <v>0</v>
      </c>
      <c r="Z562" s="36">
        <v>0</v>
      </c>
      <c r="AA562" s="36">
        <v>0</v>
      </c>
      <c r="AB562" s="36">
        <v>0</v>
      </c>
      <c r="AC562" s="50">
        <v>5</v>
      </c>
      <c r="AD562" s="36">
        <v>1</v>
      </c>
      <c r="AE562" s="36">
        <v>7</v>
      </c>
      <c r="AF562" s="36">
        <v>6</v>
      </c>
      <c r="AG562" s="36">
        <v>0</v>
      </c>
      <c r="AH562" s="50">
        <v>0</v>
      </c>
      <c r="AI562" s="36">
        <v>0</v>
      </c>
      <c r="AJ562" s="36">
        <v>0</v>
      </c>
      <c r="AK562" s="36">
        <v>0</v>
      </c>
      <c r="AL562" s="36">
        <v>0</v>
      </c>
      <c r="AM562" s="50">
        <v>0</v>
      </c>
      <c r="AN562" s="36">
        <v>0</v>
      </c>
      <c r="AO562" s="36">
        <v>0</v>
      </c>
      <c r="AP562" s="36">
        <v>0</v>
      </c>
      <c r="AQ562" s="36">
        <v>0</v>
      </c>
      <c r="AR562" s="50">
        <v>0</v>
      </c>
      <c r="AS562" s="36">
        <v>0</v>
      </c>
      <c r="AT562" s="36">
        <v>0</v>
      </c>
      <c r="AU562" s="36">
        <v>0</v>
      </c>
      <c r="AV562" s="36">
        <v>1</v>
      </c>
      <c r="AW562">
        <v>0</v>
      </c>
      <c r="AX562">
        <v>0</v>
      </c>
    </row>
    <row r="563" spans="1:50" x14ac:dyDescent="0.25">
      <c r="A563" s="36"/>
      <c r="B563" t="s">
        <v>121</v>
      </c>
      <c r="C563" s="36" t="str">
        <f>'Status Thresholds'!B554</f>
        <v>Nightcloak Malfestio</v>
      </c>
      <c r="D563" t="s">
        <v>14</v>
      </c>
      <c r="E563" s="36" t="str">
        <f t="shared" si="19"/>
        <v>Nightcloak MalfestioKO</v>
      </c>
      <c r="F563" s="36" t="str">
        <f>IFERROR(VLOOKUP($E563,'Status Thresholds'!$E:$AS,1,FALSE),"")</f>
        <v>Nightcloak MalfestioKO</v>
      </c>
      <c r="H563" s="55" t="str">
        <f t="shared" si="20"/>
        <v>Nightcloak MalfestioKO</v>
      </c>
      <c r="I563" s="50">
        <f>VLOOKUP($F563,'Status Thresholds'!$E:$AS,2,FALSE)</f>
        <v>0</v>
      </c>
      <c r="J563" s="36">
        <f>VLOOKUP($F563,'Status Thresholds'!$E:$AS,3,FALSE)</f>
        <v>0</v>
      </c>
      <c r="K563" s="36">
        <f>VLOOKUP($F563,'Status Thresholds'!$E:$AS,4,FALSE)</f>
        <v>0</v>
      </c>
      <c r="L563" s="36">
        <f>VLOOKUP($F563,'Status Thresholds'!$E:$AS,5,FALSE)</f>
        <v>0</v>
      </c>
      <c r="M563" s="36">
        <f>VLOOKUP($F563,'Status Thresholds'!$E:$AS,6,FALSE)</f>
        <v>0</v>
      </c>
      <c r="N563" s="50">
        <f>VLOOKUP($F563,'Status Thresholds'!$E:$AS,7,FALSE)</f>
        <v>0</v>
      </c>
      <c r="O563" s="36">
        <f>VLOOKUP($F563,'Status Thresholds'!$E:$AS,8,FALSE)</f>
        <v>0</v>
      </c>
      <c r="P563" s="36">
        <f>VLOOKUP($F563,'Status Thresholds'!$E:$AS,9,FALSE)</f>
        <v>0</v>
      </c>
      <c r="Q563" s="36">
        <f>VLOOKUP($F563,'Status Thresholds'!$E:$AS,10,FALSE)</f>
        <v>0</v>
      </c>
      <c r="R563" s="36">
        <f>VLOOKUP($F563,'Status Thresholds'!$E:$AS,11,FALSE)</f>
        <v>0</v>
      </c>
      <c r="S563" s="50">
        <f>VLOOKUP($F563,'Status Thresholds'!$E:$AS,12,FALSE)</f>
        <v>0</v>
      </c>
      <c r="T563" s="36">
        <f>VLOOKUP($F563,'Status Thresholds'!$E:$AS,13,FALSE)</f>
        <v>0</v>
      </c>
      <c r="U563" s="36">
        <f>VLOOKUP($F563,'Status Thresholds'!$E:$AS,14,FALSE)</f>
        <v>0</v>
      </c>
      <c r="V563" s="36">
        <f>VLOOKUP($F563,'Status Thresholds'!$E:$AS,15,FALSE)</f>
        <v>0</v>
      </c>
      <c r="W563" s="36">
        <f>VLOOKUP($F563,'Status Thresholds'!$E:$AS,16,FALSE)</f>
        <v>0</v>
      </c>
      <c r="X563" s="50">
        <f>VLOOKUP($F563,'Status Thresholds'!$E:$AS,17,FALSE)</f>
        <v>0</v>
      </c>
      <c r="Y563" s="36">
        <f>VLOOKUP($F563,'Status Thresholds'!$E:$AS,18,FALSE)</f>
        <v>0</v>
      </c>
      <c r="Z563" s="36">
        <f>VLOOKUP($F563,'Status Thresholds'!$E:$AS,19,FALSE)</f>
        <v>0</v>
      </c>
      <c r="AA563" s="36">
        <f>VLOOKUP($F563,'Status Thresholds'!$E:$AS,20,FALSE)</f>
        <v>0</v>
      </c>
      <c r="AB563" s="36">
        <f>VLOOKUP($F563,'Status Thresholds'!$E:$AS,21,FALSE)</f>
        <v>0</v>
      </c>
      <c r="AC563" s="50">
        <f>VLOOKUP($F563,'Status Thresholds'!$E:$AS,22,FALSE)</f>
        <v>0</v>
      </c>
      <c r="AD563" s="36">
        <f>VLOOKUP($F563,'Status Thresholds'!$E:$AS,23,FALSE)</f>
        <v>0</v>
      </c>
      <c r="AE563" s="36">
        <f>VLOOKUP($F563,'Status Thresholds'!$E:$AS,24,FALSE)</f>
        <v>0</v>
      </c>
      <c r="AF563" s="36">
        <f>VLOOKUP($F563,'Status Thresholds'!$E:$AS,25,FALSE)</f>
        <v>0</v>
      </c>
      <c r="AG563" s="36">
        <f>VLOOKUP($F563,'Status Thresholds'!$E:$AS,26,FALSE)</f>
        <v>0</v>
      </c>
      <c r="AH563" s="50">
        <f>VLOOKUP($F563,'Status Thresholds'!$E:$AS,27,FALSE)</f>
        <v>0</v>
      </c>
      <c r="AI563" s="36">
        <f>VLOOKUP($F563,'Status Thresholds'!$E:$AS,28,FALSE)</f>
        <v>0</v>
      </c>
      <c r="AJ563" s="36">
        <f>VLOOKUP($F563,'Status Thresholds'!$E:$AS,29,FALSE)</f>
        <v>0</v>
      </c>
      <c r="AK563" s="36">
        <f>VLOOKUP($F563,'Status Thresholds'!$E:$AS,30,FALSE)</f>
        <v>0</v>
      </c>
      <c r="AL563" s="36">
        <f>VLOOKUP($F563,'Status Thresholds'!$E:$AS,31,FALSE)</f>
        <v>0</v>
      </c>
      <c r="AM563" s="50">
        <f>VLOOKUP($F563,'Status Thresholds'!$E:$AS,32,FALSE)</f>
        <v>0</v>
      </c>
      <c r="AN563" s="36">
        <f>VLOOKUP($F563,'Status Thresholds'!$E:$AS,33,FALSE)</f>
        <v>0</v>
      </c>
      <c r="AO563" s="36">
        <f>VLOOKUP($F563,'Status Thresholds'!$E:$AS,34,FALSE)</f>
        <v>0</v>
      </c>
      <c r="AP563" s="36">
        <f>VLOOKUP($F563,'Status Thresholds'!$E:$AS,35,FALSE)</f>
        <v>0</v>
      </c>
      <c r="AQ563" s="36">
        <f>VLOOKUP($F563,'Status Thresholds'!$E:$AS,36,FALSE)</f>
        <v>0</v>
      </c>
      <c r="AR563" s="50">
        <f>VLOOKUP($F563,'Status Thresholds'!$E:$AS,37,FALSE)</f>
        <v>0</v>
      </c>
      <c r="AS563" s="36">
        <f>VLOOKUP($F563,'Status Thresholds'!$E:$AS,38,FALSE)</f>
        <v>0</v>
      </c>
      <c r="AT563" s="36">
        <f>VLOOKUP($F563,'Status Thresholds'!$E:$AS,39,FALSE)</f>
        <v>0</v>
      </c>
      <c r="AU563" s="36">
        <f>VLOOKUP($F563,'Status Thresholds'!$E:$AS,40,FALSE)</f>
        <v>0</v>
      </c>
      <c r="AV563" s="36">
        <f>VLOOKUP($F563,'Status Thresholds'!$E:$AS,41,FALSE)</f>
        <v>10</v>
      </c>
      <c r="AW563">
        <v>0</v>
      </c>
      <c r="AX563">
        <v>0</v>
      </c>
    </row>
    <row r="564" spans="1:50" x14ac:dyDescent="0.25">
      <c r="A564" s="36"/>
      <c r="B564" t="s">
        <v>120</v>
      </c>
      <c r="C564" s="36" t="str">
        <f>'Status Thresholds'!B555</f>
        <v>Nightcloak Malfestio</v>
      </c>
      <c r="E564" s="36" t="str">
        <f t="shared" si="19"/>
        <v>Nightcloak Malfestio</v>
      </c>
      <c r="F564" s="36" t="str">
        <f>IFERROR(VLOOKUP($E564,'Status Thresholds'!$E:$AS,1,FALSE),"")</f>
        <v/>
      </c>
      <c r="G564" t="s">
        <v>21</v>
      </c>
      <c r="H564" s="55" t="str">
        <f t="shared" si="20"/>
        <v>Nightcloak MalfestioTriblast</v>
      </c>
      <c r="I564" s="50">
        <v>0</v>
      </c>
      <c r="J564" s="36">
        <v>0</v>
      </c>
      <c r="K564" s="36">
        <v>0</v>
      </c>
      <c r="L564" s="36">
        <v>0</v>
      </c>
      <c r="M564" s="36">
        <v>0</v>
      </c>
      <c r="N564" s="50">
        <v>0</v>
      </c>
      <c r="O564" s="36">
        <v>0</v>
      </c>
      <c r="P564" s="36">
        <v>0</v>
      </c>
      <c r="Q564" s="36">
        <v>0</v>
      </c>
      <c r="R564" s="36">
        <v>0</v>
      </c>
      <c r="S564" s="50">
        <v>0</v>
      </c>
      <c r="T564" s="36">
        <v>0</v>
      </c>
      <c r="U564" s="36">
        <v>0</v>
      </c>
      <c r="V564" s="36">
        <v>0</v>
      </c>
      <c r="W564" s="36">
        <v>0</v>
      </c>
      <c r="X564" s="50">
        <v>0</v>
      </c>
      <c r="Y564" s="36">
        <v>0</v>
      </c>
      <c r="Z564" s="36">
        <v>0</v>
      </c>
      <c r="AA564" s="36">
        <v>0</v>
      </c>
      <c r="AB564" s="36">
        <v>0</v>
      </c>
      <c r="AC564" s="50">
        <v>0</v>
      </c>
      <c r="AD564" s="36">
        <v>0</v>
      </c>
      <c r="AE564" s="36">
        <v>0</v>
      </c>
      <c r="AF564" s="36">
        <v>0</v>
      </c>
      <c r="AG564" s="36">
        <v>0</v>
      </c>
      <c r="AH564" s="50">
        <v>0</v>
      </c>
      <c r="AI564" s="36">
        <v>0</v>
      </c>
      <c r="AJ564" s="36">
        <v>0</v>
      </c>
      <c r="AK564" s="36">
        <v>0</v>
      </c>
      <c r="AL564" s="36">
        <v>0</v>
      </c>
      <c r="AM564" s="50">
        <v>0</v>
      </c>
      <c r="AN564" s="36">
        <v>0</v>
      </c>
      <c r="AO564" s="36">
        <v>0</v>
      </c>
      <c r="AP564" s="36">
        <v>0</v>
      </c>
      <c r="AQ564" s="36">
        <v>0</v>
      </c>
      <c r="AR564" s="50">
        <v>0</v>
      </c>
      <c r="AS564" s="36">
        <v>0</v>
      </c>
      <c r="AT564" s="36">
        <v>0</v>
      </c>
      <c r="AU564" s="36">
        <v>0</v>
      </c>
      <c r="AV564" s="36">
        <v>0</v>
      </c>
      <c r="AW564">
        <v>0</v>
      </c>
    </row>
    <row r="565" spans="1:50" x14ac:dyDescent="0.25">
      <c r="A565" s="36"/>
      <c r="B565" t="s">
        <v>120</v>
      </c>
      <c r="C565" s="36" t="str">
        <f>'Status Thresholds'!B556</f>
        <v>Nightcloak Malfestio</v>
      </c>
      <c r="E565" s="36" t="str">
        <f t="shared" si="19"/>
        <v>Nightcloak Malfestio</v>
      </c>
      <c r="F565" s="36" t="str">
        <f>IFERROR(VLOOKUP($E565,'Status Thresholds'!$E:$AS,1,FALSE),"")</f>
        <v/>
      </c>
      <c r="G565" t="s">
        <v>13</v>
      </c>
      <c r="H565" s="55" t="str">
        <f t="shared" si="20"/>
        <v>Nightcloak MalfestioCrag 3</v>
      </c>
      <c r="I565" s="50">
        <v>0</v>
      </c>
      <c r="J565" s="36">
        <v>0</v>
      </c>
      <c r="K565" s="36">
        <v>0</v>
      </c>
      <c r="L565" s="36">
        <v>0</v>
      </c>
      <c r="M565" s="36">
        <v>0</v>
      </c>
      <c r="N565" s="50">
        <v>0</v>
      </c>
      <c r="O565" s="36">
        <v>0</v>
      </c>
      <c r="P565" s="36">
        <v>0</v>
      </c>
      <c r="Q565" s="36">
        <v>0</v>
      </c>
      <c r="R565" s="36">
        <v>0</v>
      </c>
      <c r="S565" s="50">
        <v>0</v>
      </c>
      <c r="T565" s="36">
        <v>0</v>
      </c>
      <c r="U565" s="36">
        <v>0</v>
      </c>
      <c r="V565" s="36">
        <v>0</v>
      </c>
      <c r="W565" s="36">
        <v>0</v>
      </c>
      <c r="X565" s="50">
        <v>0</v>
      </c>
      <c r="Y565" s="36">
        <v>0</v>
      </c>
      <c r="Z565" s="36">
        <v>0</v>
      </c>
      <c r="AA565" s="36">
        <v>0</v>
      </c>
      <c r="AB565" s="36">
        <v>0</v>
      </c>
      <c r="AC565" s="50">
        <v>0</v>
      </c>
      <c r="AD565" s="36">
        <v>0</v>
      </c>
      <c r="AE565" s="36">
        <v>0</v>
      </c>
      <c r="AF565" s="36">
        <v>0</v>
      </c>
      <c r="AG565" s="36">
        <v>0</v>
      </c>
      <c r="AH565" s="50">
        <v>0</v>
      </c>
      <c r="AI565" s="36">
        <v>0</v>
      </c>
      <c r="AJ565" s="36">
        <v>0</v>
      </c>
      <c r="AK565" s="36">
        <v>0</v>
      </c>
      <c r="AL565" s="36">
        <v>0</v>
      </c>
      <c r="AM565" s="50">
        <v>0</v>
      </c>
      <c r="AN565" s="36">
        <v>0</v>
      </c>
      <c r="AO565" s="36">
        <v>0</v>
      </c>
      <c r="AP565" s="36">
        <v>0</v>
      </c>
      <c r="AQ565" s="36">
        <v>0</v>
      </c>
      <c r="AR565" s="50">
        <v>0</v>
      </c>
      <c r="AS565" s="36">
        <v>0</v>
      </c>
      <c r="AT565" s="36">
        <v>0</v>
      </c>
      <c r="AU565" s="36">
        <v>0</v>
      </c>
      <c r="AV565" s="36">
        <v>0</v>
      </c>
      <c r="AW565">
        <v>0</v>
      </c>
      <c r="AX565">
        <v>0</v>
      </c>
    </row>
    <row r="566" spans="1:50" x14ac:dyDescent="0.25">
      <c r="A566" s="36"/>
      <c r="B566" t="s">
        <v>120</v>
      </c>
      <c r="C566" s="36" t="str">
        <f>'Status Thresholds'!B557</f>
        <v>Nightcloak Malfestio</v>
      </c>
      <c r="E566" s="36" t="str">
        <f t="shared" si="19"/>
        <v>Nightcloak Malfestio</v>
      </c>
      <c r="F566" s="36" t="str">
        <f>IFERROR(VLOOKUP($E566,'Status Thresholds'!$E:$AS,1,FALSE),"")</f>
        <v/>
      </c>
      <c r="G566" t="s">
        <v>12</v>
      </c>
      <c r="H566" s="55" t="str">
        <f t="shared" si="20"/>
        <v>Nightcloak MalfestioCrag 2</v>
      </c>
      <c r="I566" s="50">
        <v>0</v>
      </c>
      <c r="J566" s="36">
        <v>0</v>
      </c>
      <c r="K566" s="36">
        <v>0</v>
      </c>
      <c r="L566" s="36">
        <v>0</v>
      </c>
      <c r="M566" s="36">
        <v>0</v>
      </c>
      <c r="N566" s="50">
        <v>0</v>
      </c>
      <c r="O566" s="36">
        <v>0</v>
      </c>
      <c r="P566" s="36">
        <v>0</v>
      </c>
      <c r="Q566" s="36">
        <v>0</v>
      </c>
      <c r="R566" s="36">
        <v>0</v>
      </c>
      <c r="S566" s="50">
        <v>0</v>
      </c>
      <c r="T566" s="36">
        <v>0</v>
      </c>
      <c r="U566" s="36">
        <v>0</v>
      </c>
      <c r="V566" s="36">
        <v>0</v>
      </c>
      <c r="W566" s="36">
        <v>0</v>
      </c>
      <c r="X566" s="50">
        <v>0</v>
      </c>
      <c r="Y566" s="36">
        <v>0</v>
      </c>
      <c r="Z566" s="36">
        <v>0</v>
      </c>
      <c r="AA566" s="36">
        <v>0</v>
      </c>
      <c r="AB566" s="36">
        <v>0</v>
      </c>
      <c r="AC566" s="50">
        <v>0</v>
      </c>
      <c r="AD566" s="36">
        <v>0</v>
      </c>
      <c r="AE566" s="36">
        <v>0</v>
      </c>
      <c r="AF566" s="36">
        <v>0</v>
      </c>
      <c r="AG566" s="36">
        <v>0</v>
      </c>
      <c r="AH566" s="50">
        <v>0</v>
      </c>
      <c r="AI566" s="36">
        <v>0</v>
      </c>
      <c r="AJ566" s="36">
        <v>0</v>
      </c>
      <c r="AK566" s="36">
        <v>0</v>
      </c>
      <c r="AL566" s="36">
        <v>0</v>
      </c>
      <c r="AM566" s="50">
        <v>0</v>
      </c>
      <c r="AN566" s="36">
        <v>0</v>
      </c>
      <c r="AO566" s="36">
        <v>0</v>
      </c>
      <c r="AP566" s="36">
        <v>0</v>
      </c>
      <c r="AQ566" s="36">
        <v>0</v>
      </c>
      <c r="AR566" s="50">
        <v>0</v>
      </c>
      <c r="AS566" s="36">
        <v>0</v>
      </c>
      <c r="AT566" s="36">
        <v>0</v>
      </c>
      <c r="AU566" s="36">
        <v>0</v>
      </c>
      <c r="AV566" s="36">
        <v>0</v>
      </c>
      <c r="AW566">
        <v>0</v>
      </c>
      <c r="AX566">
        <v>0</v>
      </c>
    </row>
    <row r="567" spans="1:50" x14ac:dyDescent="0.25">
      <c r="A567" s="36"/>
      <c r="B567" t="s">
        <v>120</v>
      </c>
      <c r="C567" s="36" t="str">
        <f>'Status Thresholds'!B558</f>
        <v>Nightcloak Malfestio</v>
      </c>
      <c r="E567" s="36" t="str">
        <f t="shared" si="19"/>
        <v>Nightcloak Malfestio</v>
      </c>
      <c r="F567" s="36" t="str">
        <f>IFERROR(VLOOKUP($E567,'Status Thresholds'!$E:$AS,1,FALSE),"")</f>
        <v/>
      </c>
      <c r="G567" t="s">
        <v>11</v>
      </c>
      <c r="H567" s="55" t="str">
        <f t="shared" si="20"/>
        <v>Nightcloak MalfestioCrag 1</v>
      </c>
      <c r="I567" s="50">
        <v>0</v>
      </c>
      <c r="J567" s="36">
        <v>0</v>
      </c>
      <c r="K567" s="36">
        <v>0</v>
      </c>
      <c r="L567" s="36">
        <v>0</v>
      </c>
      <c r="M567" s="36">
        <v>0</v>
      </c>
      <c r="N567" s="50">
        <v>0</v>
      </c>
      <c r="O567" s="36">
        <v>0</v>
      </c>
      <c r="P567" s="36">
        <v>0</v>
      </c>
      <c r="Q567" s="36">
        <v>0</v>
      </c>
      <c r="R567" s="36">
        <v>0</v>
      </c>
      <c r="S567" s="50">
        <v>0</v>
      </c>
      <c r="T567" s="36">
        <v>0</v>
      </c>
      <c r="U567" s="36">
        <v>0</v>
      </c>
      <c r="V567" s="36">
        <v>0</v>
      </c>
      <c r="W567" s="36">
        <v>0</v>
      </c>
      <c r="X567" s="50">
        <v>0</v>
      </c>
      <c r="Y567" s="36">
        <v>0</v>
      </c>
      <c r="Z567" s="36">
        <v>0</v>
      </c>
      <c r="AA567" s="36">
        <v>0</v>
      </c>
      <c r="AB567" s="36">
        <v>0</v>
      </c>
      <c r="AC567" s="50">
        <v>0</v>
      </c>
      <c r="AD567" s="36">
        <v>0</v>
      </c>
      <c r="AE567" s="36">
        <v>0</v>
      </c>
      <c r="AF567" s="36">
        <v>0</v>
      </c>
      <c r="AG567" s="36">
        <v>0</v>
      </c>
      <c r="AH567" s="50">
        <v>0</v>
      </c>
      <c r="AI567" s="36">
        <v>0</v>
      </c>
      <c r="AJ567" s="36">
        <v>0</v>
      </c>
      <c r="AK567" s="36">
        <v>0</v>
      </c>
      <c r="AL567" s="36">
        <v>0</v>
      </c>
      <c r="AM567" s="50">
        <v>0</v>
      </c>
      <c r="AN567" s="36">
        <v>0</v>
      </c>
      <c r="AO567" s="36">
        <v>0</v>
      </c>
      <c r="AP567" s="36">
        <v>0</v>
      </c>
      <c r="AQ567" s="36">
        <v>0</v>
      </c>
      <c r="AR567" s="50">
        <v>0</v>
      </c>
      <c r="AS567" s="36">
        <v>0</v>
      </c>
      <c r="AT567" s="36">
        <v>0</v>
      </c>
      <c r="AU567" s="36">
        <v>0</v>
      </c>
      <c r="AV567" s="36">
        <v>1</v>
      </c>
      <c r="AW567">
        <v>0</v>
      </c>
      <c r="AX567">
        <v>0</v>
      </c>
    </row>
    <row r="568" spans="1:50" x14ac:dyDescent="0.25">
      <c r="A568" s="36"/>
      <c r="B568" t="s">
        <v>119</v>
      </c>
      <c r="C568" s="36" t="str">
        <f>'Status Thresholds'!B559</f>
        <v>Nightcloak Malfestio</v>
      </c>
      <c r="E568" s="36" t="str">
        <f t="shared" si="19"/>
        <v>Nightcloak Malfestio</v>
      </c>
      <c r="F568" s="36" t="str">
        <f>IFERROR(VLOOKUP($E568,'Status Thresholds'!$E:$AS,1,FALSE),"")</f>
        <v/>
      </c>
      <c r="G568" t="s">
        <v>21</v>
      </c>
      <c r="H568" s="55" t="str">
        <f t="shared" si="20"/>
        <v>Nightcloak MalfestioTriblast</v>
      </c>
      <c r="I568" s="50">
        <v>0</v>
      </c>
      <c r="J568" s="36">
        <v>0</v>
      </c>
      <c r="K568" s="36">
        <v>0</v>
      </c>
      <c r="L568" s="36">
        <v>0</v>
      </c>
      <c r="M568" s="36">
        <v>0</v>
      </c>
      <c r="N568" s="50">
        <v>0</v>
      </c>
      <c r="O568" s="36">
        <v>0</v>
      </c>
      <c r="P568" s="36">
        <v>0</v>
      </c>
      <c r="Q568" s="36">
        <v>0</v>
      </c>
      <c r="R568" s="36">
        <v>0</v>
      </c>
      <c r="S568" s="50">
        <v>0</v>
      </c>
      <c r="T568" s="36">
        <v>0</v>
      </c>
      <c r="U568" s="36">
        <v>0</v>
      </c>
      <c r="V568" s="36">
        <v>0</v>
      </c>
      <c r="W568" s="36">
        <v>0</v>
      </c>
      <c r="X568" s="50">
        <v>0</v>
      </c>
      <c r="Y568" s="36">
        <v>0</v>
      </c>
      <c r="Z568" s="36">
        <v>0</v>
      </c>
      <c r="AA568" s="36">
        <v>0</v>
      </c>
      <c r="AB568" s="36">
        <v>0</v>
      </c>
      <c r="AC568" s="50">
        <v>0</v>
      </c>
      <c r="AD568" s="36">
        <v>0</v>
      </c>
      <c r="AE568" s="36">
        <v>0</v>
      </c>
      <c r="AF568" s="36">
        <v>0</v>
      </c>
      <c r="AG568" s="36">
        <v>0</v>
      </c>
      <c r="AH568" s="50">
        <v>0</v>
      </c>
      <c r="AI568" s="36">
        <v>0</v>
      </c>
      <c r="AJ568" s="36">
        <v>0</v>
      </c>
      <c r="AK568" s="36">
        <v>0</v>
      </c>
      <c r="AL568" s="36">
        <v>0</v>
      </c>
      <c r="AM568" s="50">
        <v>0</v>
      </c>
      <c r="AN568" s="36">
        <v>0</v>
      </c>
      <c r="AO568" s="36">
        <v>0</v>
      </c>
      <c r="AP568" s="36">
        <v>0</v>
      </c>
      <c r="AQ568" s="36">
        <v>0</v>
      </c>
      <c r="AR568" s="50">
        <v>0</v>
      </c>
      <c r="AS568" s="36">
        <v>0</v>
      </c>
      <c r="AT568" s="36">
        <v>0</v>
      </c>
      <c r="AU568" s="36">
        <v>0</v>
      </c>
      <c r="AV568" s="36">
        <v>0</v>
      </c>
      <c r="AW568">
        <v>0</v>
      </c>
      <c r="AX568">
        <v>0</v>
      </c>
    </row>
    <row r="569" spans="1:50" x14ac:dyDescent="0.25">
      <c r="A569" s="36"/>
      <c r="B569" t="s">
        <v>119</v>
      </c>
      <c r="C569" s="36" t="str">
        <f>'Status Thresholds'!B560</f>
        <v>Nightcloak Malfestio</v>
      </c>
      <c r="E569" s="36" t="str">
        <f t="shared" si="19"/>
        <v>Nightcloak Malfestio</v>
      </c>
      <c r="F569" s="36" t="str">
        <f>IFERROR(VLOOKUP($E569,'Status Thresholds'!$E:$AS,1,FALSE),"")</f>
        <v/>
      </c>
      <c r="G569" t="s">
        <v>13</v>
      </c>
      <c r="H569" s="55" t="str">
        <f t="shared" si="20"/>
        <v>Nightcloak MalfestioCrag 3</v>
      </c>
      <c r="I569" s="50">
        <v>0</v>
      </c>
      <c r="J569" s="36">
        <v>0</v>
      </c>
      <c r="K569" s="36">
        <v>0</v>
      </c>
      <c r="L569" s="36">
        <v>0</v>
      </c>
      <c r="M569" s="36">
        <v>0</v>
      </c>
      <c r="N569" s="50">
        <v>0</v>
      </c>
      <c r="O569" s="36">
        <v>0</v>
      </c>
      <c r="P569" s="36">
        <v>0</v>
      </c>
      <c r="Q569" s="36">
        <v>0</v>
      </c>
      <c r="R569" s="36">
        <v>0</v>
      </c>
      <c r="S569" s="50">
        <v>0</v>
      </c>
      <c r="T569" s="36">
        <v>0</v>
      </c>
      <c r="U569" s="36">
        <v>0</v>
      </c>
      <c r="V569" s="36">
        <v>0</v>
      </c>
      <c r="W569" s="36">
        <v>0</v>
      </c>
      <c r="X569" s="50">
        <v>0</v>
      </c>
      <c r="Y569" s="36">
        <v>0</v>
      </c>
      <c r="Z569" s="36">
        <v>0</v>
      </c>
      <c r="AA569" s="36">
        <v>0</v>
      </c>
      <c r="AB569" s="36">
        <v>0</v>
      </c>
      <c r="AC569" s="50">
        <v>0</v>
      </c>
      <c r="AD569" s="36">
        <v>0</v>
      </c>
      <c r="AE569" s="36">
        <v>0</v>
      </c>
      <c r="AF569" s="36">
        <v>0</v>
      </c>
      <c r="AG569" s="36">
        <v>0</v>
      </c>
      <c r="AH569" s="50">
        <v>0</v>
      </c>
      <c r="AI569" s="36">
        <v>0</v>
      </c>
      <c r="AJ569" s="36">
        <v>0</v>
      </c>
      <c r="AK569" s="36">
        <v>0</v>
      </c>
      <c r="AL569" s="36">
        <v>0</v>
      </c>
      <c r="AM569" s="50">
        <v>0</v>
      </c>
      <c r="AN569" s="36">
        <v>0</v>
      </c>
      <c r="AO569" s="36">
        <v>0</v>
      </c>
      <c r="AP569" s="36">
        <v>0</v>
      </c>
      <c r="AQ569" s="36">
        <v>0</v>
      </c>
      <c r="AR569" s="50">
        <v>0</v>
      </c>
      <c r="AS569" s="36">
        <v>0</v>
      </c>
      <c r="AT569" s="36">
        <v>0</v>
      </c>
      <c r="AU569" s="36">
        <v>0</v>
      </c>
      <c r="AV569" s="36">
        <v>0</v>
      </c>
      <c r="AW569">
        <v>0</v>
      </c>
      <c r="AX569">
        <v>0</v>
      </c>
    </row>
    <row r="570" spans="1:50" x14ac:dyDescent="0.25">
      <c r="A570" s="36"/>
      <c r="B570" t="s">
        <v>119</v>
      </c>
      <c r="C570" s="36" t="str">
        <f>'Status Thresholds'!B561</f>
        <v>Nightcloak Malfestio</v>
      </c>
      <c r="E570" s="36" t="str">
        <f t="shared" si="19"/>
        <v>Nightcloak Malfestio</v>
      </c>
      <c r="F570" s="36" t="str">
        <f>IFERROR(VLOOKUP($E570,'Status Thresholds'!$E:$AS,1,FALSE),"")</f>
        <v/>
      </c>
      <c r="G570" t="s">
        <v>12</v>
      </c>
      <c r="H570" s="55" t="str">
        <f t="shared" si="20"/>
        <v>Nightcloak MalfestioCrag 2</v>
      </c>
      <c r="I570" s="50">
        <v>0</v>
      </c>
      <c r="J570" s="36">
        <v>0</v>
      </c>
      <c r="K570" s="36">
        <v>0</v>
      </c>
      <c r="L570" s="36">
        <v>0</v>
      </c>
      <c r="M570" s="36">
        <v>0</v>
      </c>
      <c r="N570" s="50">
        <v>0</v>
      </c>
      <c r="O570" s="36">
        <v>0</v>
      </c>
      <c r="P570" s="36">
        <v>0</v>
      </c>
      <c r="Q570" s="36">
        <v>0</v>
      </c>
      <c r="R570" s="36">
        <v>0</v>
      </c>
      <c r="S570" s="50">
        <v>0</v>
      </c>
      <c r="T570" s="36">
        <v>0</v>
      </c>
      <c r="U570" s="36">
        <v>0</v>
      </c>
      <c r="V570" s="36">
        <v>0</v>
      </c>
      <c r="W570" s="36">
        <v>0</v>
      </c>
      <c r="X570" s="50">
        <v>0</v>
      </c>
      <c r="Y570" s="36">
        <v>0</v>
      </c>
      <c r="Z570" s="36">
        <v>0</v>
      </c>
      <c r="AA570" s="36">
        <v>0</v>
      </c>
      <c r="AB570" s="36">
        <v>0</v>
      </c>
      <c r="AC570" s="50">
        <v>0</v>
      </c>
      <c r="AD570" s="36">
        <v>0</v>
      </c>
      <c r="AE570" s="36">
        <v>0</v>
      </c>
      <c r="AF570" s="36">
        <v>0</v>
      </c>
      <c r="AG570" s="36">
        <v>0</v>
      </c>
      <c r="AH570" s="50">
        <v>0</v>
      </c>
      <c r="AI570" s="36">
        <v>0</v>
      </c>
      <c r="AJ570" s="36">
        <v>0</v>
      </c>
      <c r="AK570" s="36">
        <v>0</v>
      </c>
      <c r="AL570" s="36">
        <v>0</v>
      </c>
      <c r="AM570" s="50">
        <v>0</v>
      </c>
      <c r="AN570" s="36">
        <v>0</v>
      </c>
      <c r="AO570" s="36">
        <v>0</v>
      </c>
      <c r="AP570" s="36">
        <v>0</v>
      </c>
      <c r="AQ570" s="36">
        <v>0</v>
      </c>
      <c r="AR570" s="50">
        <v>0</v>
      </c>
      <c r="AS570" s="36">
        <v>0</v>
      </c>
      <c r="AT570" s="36">
        <v>0</v>
      </c>
      <c r="AU570" s="36">
        <v>0</v>
      </c>
      <c r="AV570" s="36">
        <v>0</v>
      </c>
      <c r="AW570">
        <v>0</v>
      </c>
      <c r="AX570">
        <v>0</v>
      </c>
    </row>
    <row r="571" spans="1:50" x14ac:dyDescent="0.25">
      <c r="A571" s="36"/>
      <c r="B571" t="s">
        <v>119</v>
      </c>
      <c r="C571" s="36" t="str">
        <f>'Status Thresholds'!B562</f>
        <v>Nightcloak Malfestio</v>
      </c>
      <c r="E571" s="36" t="str">
        <f t="shared" si="19"/>
        <v>Nightcloak Malfestio</v>
      </c>
      <c r="F571" s="36" t="str">
        <f>IFERROR(VLOOKUP($E571,'Status Thresholds'!$E:$AS,1,FALSE),"")</f>
        <v/>
      </c>
      <c r="G571" t="s">
        <v>11</v>
      </c>
      <c r="H571" s="55" t="str">
        <f t="shared" si="20"/>
        <v>Nightcloak MalfestioCrag 1</v>
      </c>
      <c r="I571" s="50">
        <v>0</v>
      </c>
      <c r="J571" s="36">
        <v>0</v>
      </c>
      <c r="K571" s="36">
        <v>0</v>
      </c>
      <c r="L571" s="36">
        <v>0</v>
      </c>
      <c r="M571" s="36">
        <v>0</v>
      </c>
      <c r="N571" s="50">
        <v>0</v>
      </c>
      <c r="O571" s="36">
        <v>0</v>
      </c>
      <c r="P571" s="36">
        <v>0</v>
      </c>
      <c r="Q571" s="36">
        <v>0</v>
      </c>
      <c r="R571" s="36">
        <v>0</v>
      </c>
      <c r="S571" s="50">
        <v>0</v>
      </c>
      <c r="T571" s="36">
        <v>0</v>
      </c>
      <c r="U571" s="36">
        <v>0</v>
      </c>
      <c r="V571" s="36">
        <v>0</v>
      </c>
      <c r="W571" s="36">
        <v>0</v>
      </c>
      <c r="X571" s="50">
        <v>0</v>
      </c>
      <c r="Y571" s="36">
        <v>0</v>
      </c>
      <c r="Z571" s="36">
        <v>0</v>
      </c>
      <c r="AA571" s="36">
        <v>0</v>
      </c>
      <c r="AB571" s="36">
        <v>0</v>
      </c>
      <c r="AC571" s="50">
        <v>0</v>
      </c>
      <c r="AD571" s="36">
        <v>0</v>
      </c>
      <c r="AE571" s="36">
        <v>0</v>
      </c>
      <c r="AF571" s="36">
        <v>0</v>
      </c>
      <c r="AG571" s="36">
        <v>0</v>
      </c>
      <c r="AH571" s="50">
        <v>0</v>
      </c>
      <c r="AI571" s="36">
        <v>0</v>
      </c>
      <c r="AJ571" s="36">
        <v>0</v>
      </c>
      <c r="AK571" s="36">
        <v>0</v>
      </c>
      <c r="AL571" s="36">
        <v>0</v>
      </c>
      <c r="AM571" s="50">
        <v>0</v>
      </c>
      <c r="AN571" s="36">
        <v>0</v>
      </c>
      <c r="AO571" s="36">
        <v>0</v>
      </c>
      <c r="AP571" s="36">
        <v>0</v>
      </c>
      <c r="AQ571" s="36">
        <v>0</v>
      </c>
      <c r="AR571" s="50">
        <v>0</v>
      </c>
      <c r="AS571" s="36">
        <v>0</v>
      </c>
      <c r="AT571" s="36">
        <v>0</v>
      </c>
      <c r="AU571" s="36">
        <v>0</v>
      </c>
      <c r="AV571" s="36">
        <v>1</v>
      </c>
      <c r="AW571">
        <v>0</v>
      </c>
      <c r="AX571">
        <v>0</v>
      </c>
    </row>
    <row r="572" spans="1:50" x14ac:dyDescent="0.25">
      <c r="A572" s="36"/>
      <c r="B572" s="36" t="s">
        <v>121</v>
      </c>
      <c r="C572" s="36" t="str">
        <f>'Status Thresholds'!B563</f>
        <v>Plesioth</v>
      </c>
      <c r="D572" t="s">
        <v>14</v>
      </c>
      <c r="E572" s="36" t="str">
        <f t="shared" si="19"/>
        <v>PlesiothKO</v>
      </c>
      <c r="F572" s="36" t="str">
        <f>IFERROR(VLOOKUP($E572,'Status Thresholds'!$E:$AS,1,FALSE),"")</f>
        <v>PlesiothKO</v>
      </c>
      <c r="G572" s="36"/>
      <c r="H572" s="55" t="str">
        <f t="shared" si="20"/>
        <v>PlesiothKO</v>
      </c>
      <c r="I572" s="50">
        <f>VLOOKUP($F572,'Status Thresholds'!$E:$AS,2,FALSE)</f>
        <v>169</v>
      </c>
      <c r="J572" s="36">
        <f>VLOOKUP($F572,'Status Thresholds'!$E:$AS,3,FALSE)</f>
        <v>233</v>
      </c>
      <c r="K572" s="36">
        <f>VLOOKUP($F572,'Status Thresholds'!$E:$AS,4,FALSE)</f>
        <v>297</v>
      </c>
      <c r="L572" s="36">
        <f>VLOOKUP($F572,'Status Thresholds'!$E:$AS,5,FALSE)</f>
        <v>364</v>
      </c>
      <c r="M572" s="36">
        <f>VLOOKUP($F572,'Status Thresholds'!$E:$AS,6,FALSE)</f>
        <v>0</v>
      </c>
      <c r="N572" s="50">
        <f>VLOOKUP($F572,'Status Thresholds'!$E:$AS,7,FALSE)</f>
        <v>0</v>
      </c>
      <c r="O572" s="36">
        <f>VLOOKUP($F572,'Status Thresholds'!$E:$AS,8,FALSE)</f>
        <v>0</v>
      </c>
      <c r="P572" s="36">
        <f>VLOOKUP($F572,'Status Thresholds'!$E:$AS,9,FALSE)</f>
        <v>0</v>
      </c>
      <c r="Q572" s="36">
        <f>VLOOKUP($F572,'Status Thresholds'!$E:$AS,10,FALSE)</f>
        <v>0</v>
      </c>
      <c r="R572" s="36">
        <f>VLOOKUP($F572,'Status Thresholds'!$E:$AS,11,FALSE)</f>
        <v>0</v>
      </c>
      <c r="S572" s="50">
        <f>VLOOKUP($F572,'Status Thresholds'!$E:$AS,12,FALSE)</f>
        <v>169</v>
      </c>
      <c r="T572" s="36">
        <f>VLOOKUP($F572,'Status Thresholds'!$E:$AS,13,FALSE)</f>
        <v>233</v>
      </c>
      <c r="U572" s="36">
        <f>VLOOKUP($F572,'Status Thresholds'!$E:$AS,14,FALSE)</f>
        <v>297</v>
      </c>
      <c r="V572" s="36">
        <f>VLOOKUP($F572,'Status Thresholds'!$E:$AS,15,FALSE)</f>
        <v>361</v>
      </c>
      <c r="W572" s="36">
        <f>VLOOKUP($F572,'Status Thresholds'!$E:$AS,16,FALSE)</f>
        <v>0</v>
      </c>
      <c r="X572" s="50">
        <f>VLOOKUP($F572,'Status Thresholds'!$E:$AS,17,FALSE)</f>
        <v>0</v>
      </c>
      <c r="Y572" s="36">
        <f>VLOOKUP($F572,'Status Thresholds'!$E:$AS,18,FALSE)</f>
        <v>0</v>
      </c>
      <c r="Z572" s="36">
        <f>VLOOKUP($F572,'Status Thresholds'!$E:$AS,19,FALSE)</f>
        <v>0</v>
      </c>
      <c r="AA572" s="36">
        <f>VLOOKUP($F572,'Status Thresholds'!$E:$AS,20,FALSE)</f>
        <v>0</v>
      </c>
      <c r="AB572" s="36">
        <f>VLOOKUP($F572,'Status Thresholds'!$E:$AS,21,FALSE)</f>
        <v>0</v>
      </c>
      <c r="AC572" s="50">
        <f>VLOOKUP($F572,'Status Thresholds'!$E:$AS,22,FALSE)</f>
        <v>182</v>
      </c>
      <c r="AD572" s="36">
        <f>VLOOKUP($F572,'Status Thresholds'!$E:$AS,23,FALSE)</f>
        <v>252</v>
      </c>
      <c r="AE572" s="36">
        <f>VLOOKUP($F572,'Status Thresholds'!$E:$AS,24,FALSE)</f>
        <v>322</v>
      </c>
      <c r="AF572" s="36">
        <f>VLOOKUP($F572,'Status Thresholds'!$E:$AS,25,FALSE)</f>
        <v>392</v>
      </c>
      <c r="AG572" s="36">
        <f>VLOOKUP($F572,'Status Thresholds'!$E:$AS,26,FALSE)</f>
        <v>0</v>
      </c>
      <c r="AH572" s="50">
        <f>VLOOKUP($F572,'Status Thresholds'!$E:$AS,27,FALSE)</f>
        <v>0</v>
      </c>
      <c r="AI572" s="36">
        <f>VLOOKUP($F572,'Status Thresholds'!$E:$AS,28,FALSE)</f>
        <v>0</v>
      </c>
      <c r="AJ572" s="36">
        <f>VLOOKUP($F572,'Status Thresholds'!$E:$AS,29,FALSE)</f>
        <v>0</v>
      </c>
      <c r="AK572" s="36">
        <f>VLOOKUP($F572,'Status Thresholds'!$E:$AS,30,FALSE)</f>
        <v>0</v>
      </c>
      <c r="AL572" s="36">
        <f>VLOOKUP($F572,'Status Thresholds'!$E:$AS,31,FALSE)</f>
        <v>0</v>
      </c>
      <c r="AM572" s="50">
        <f>VLOOKUP($F572,'Status Thresholds'!$E:$AS,32,FALSE)</f>
        <v>260</v>
      </c>
      <c r="AN572" s="36">
        <f>VLOOKUP($F572,'Status Thresholds'!$E:$AS,33,FALSE)</f>
        <v>360</v>
      </c>
      <c r="AO572" s="36">
        <f>VLOOKUP($F572,'Status Thresholds'!$E:$AS,34,FALSE)</f>
        <v>460</v>
      </c>
      <c r="AP572" s="36">
        <f>VLOOKUP($F572,'Status Thresholds'!$E:$AS,35,FALSE)</f>
        <v>560</v>
      </c>
      <c r="AQ572" s="36">
        <f>VLOOKUP($F572,'Status Thresholds'!$E:$AS,36,FALSE)</f>
        <v>0</v>
      </c>
      <c r="AR572" s="50">
        <f>VLOOKUP($F572,'Status Thresholds'!$E:$AS,37,FALSE)</f>
        <v>0</v>
      </c>
      <c r="AS572" s="36">
        <f>VLOOKUP($F572,'Status Thresholds'!$E:$AS,38,FALSE)</f>
        <v>0</v>
      </c>
      <c r="AT572" s="36">
        <f>VLOOKUP($F572,'Status Thresholds'!$E:$AS,39,FALSE)</f>
        <v>0</v>
      </c>
      <c r="AU572" s="36">
        <f>VLOOKUP($F572,'Status Thresholds'!$E:$AS,40,FALSE)</f>
        <v>0</v>
      </c>
      <c r="AV572" s="36">
        <f>VLOOKUP($F572,'Status Thresholds'!$E:$AS,41,FALSE)</f>
        <v>10</v>
      </c>
      <c r="AW572">
        <v>0</v>
      </c>
      <c r="AX572">
        <v>0</v>
      </c>
    </row>
    <row r="573" spans="1:50" x14ac:dyDescent="0.25">
      <c r="A573" s="36"/>
      <c r="B573" s="46" t="s">
        <v>120</v>
      </c>
      <c r="C573" s="36" t="str">
        <f>'Status Thresholds'!B564</f>
        <v>Plesioth</v>
      </c>
      <c r="E573" s="36" t="str">
        <f t="shared" si="19"/>
        <v>Plesioth</v>
      </c>
      <c r="F573" s="36" t="str">
        <f>IFERROR(VLOOKUP($E573,'Status Thresholds'!$E:$AS,1,FALSE),"")</f>
        <v/>
      </c>
      <c r="G573" s="46" t="s">
        <v>21</v>
      </c>
      <c r="H573" s="55" t="str">
        <f t="shared" si="20"/>
        <v>PlesiothTriblast</v>
      </c>
      <c r="I573" s="50">
        <v>1</v>
      </c>
      <c r="J573" s="36">
        <v>0</v>
      </c>
      <c r="K573" s="36">
        <v>0</v>
      </c>
      <c r="L573" s="36">
        <v>2</v>
      </c>
      <c r="M573" s="36">
        <v>0</v>
      </c>
      <c r="N573" s="50">
        <v>0</v>
      </c>
      <c r="O573" s="36">
        <v>0</v>
      </c>
      <c r="P573" s="36">
        <v>0</v>
      </c>
      <c r="Q573" s="36">
        <v>0</v>
      </c>
      <c r="R573" s="36">
        <v>0</v>
      </c>
      <c r="S573" s="50">
        <v>1</v>
      </c>
      <c r="T573" s="36">
        <v>0</v>
      </c>
      <c r="U573" s="36">
        <v>0</v>
      </c>
      <c r="V573" s="36">
        <v>1</v>
      </c>
      <c r="W573" s="36">
        <v>0</v>
      </c>
      <c r="X573" s="50">
        <v>0</v>
      </c>
      <c r="Y573" s="36">
        <v>0</v>
      </c>
      <c r="Z573" s="36">
        <v>0</v>
      </c>
      <c r="AA573" s="36">
        <v>0</v>
      </c>
      <c r="AB573" s="36">
        <v>0</v>
      </c>
      <c r="AC573" s="50">
        <v>0</v>
      </c>
      <c r="AD573" s="36">
        <v>0</v>
      </c>
      <c r="AE573" s="36">
        <v>2</v>
      </c>
      <c r="AF573" s="36">
        <v>2</v>
      </c>
      <c r="AG573" s="36">
        <v>0</v>
      </c>
      <c r="AH573" s="50">
        <v>0</v>
      </c>
      <c r="AI573" s="36">
        <v>0</v>
      </c>
      <c r="AJ573" s="36">
        <v>0</v>
      </c>
      <c r="AK573" s="36">
        <v>0</v>
      </c>
      <c r="AL573" s="36">
        <v>0</v>
      </c>
      <c r="AM573" s="50">
        <v>2</v>
      </c>
      <c r="AN573" s="36">
        <v>2</v>
      </c>
      <c r="AO573" s="36">
        <v>1</v>
      </c>
      <c r="AP573" s="36">
        <v>2</v>
      </c>
      <c r="AQ573" s="36">
        <v>0</v>
      </c>
      <c r="AR573" s="50">
        <v>0</v>
      </c>
      <c r="AS573" s="36">
        <v>0</v>
      </c>
      <c r="AT573" s="36">
        <v>0</v>
      </c>
      <c r="AU573" s="36">
        <v>0</v>
      </c>
      <c r="AV573" s="36">
        <v>0</v>
      </c>
      <c r="AW573">
        <v>0</v>
      </c>
    </row>
    <row r="574" spans="1:50" x14ac:dyDescent="0.25">
      <c r="A574" s="36"/>
      <c r="B574" t="s">
        <v>120</v>
      </c>
      <c r="C574" s="36" t="str">
        <f>'Status Thresholds'!B565</f>
        <v>Plesioth</v>
      </c>
      <c r="E574" s="36" t="str">
        <f t="shared" si="19"/>
        <v>Plesioth</v>
      </c>
      <c r="F574" s="36" t="str">
        <f>IFERROR(VLOOKUP($E574,'Status Thresholds'!$E:$AS,1,FALSE),"")</f>
        <v/>
      </c>
      <c r="G574" t="s">
        <v>13</v>
      </c>
      <c r="H574" s="55" t="str">
        <f t="shared" si="20"/>
        <v>PlesiothCrag 3</v>
      </c>
      <c r="I574" s="50">
        <v>1</v>
      </c>
      <c r="J574" s="36">
        <v>4</v>
      </c>
      <c r="K574" s="36">
        <v>4</v>
      </c>
      <c r="L574" s="36">
        <v>2</v>
      </c>
      <c r="M574" s="36">
        <v>0</v>
      </c>
      <c r="N574" s="50">
        <v>0</v>
      </c>
      <c r="O574" s="36">
        <v>0</v>
      </c>
      <c r="P574" s="36">
        <v>0</v>
      </c>
      <c r="Q574" s="36">
        <v>0</v>
      </c>
      <c r="R574" s="36">
        <v>0</v>
      </c>
      <c r="S574" s="50">
        <v>1</v>
      </c>
      <c r="T574" s="36">
        <v>4</v>
      </c>
      <c r="U574" s="36">
        <v>4</v>
      </c>
      <c r="V574" s="36">
        <v>2</v>
      </c>
      <c r="W574" s="36">
        <v>0</v>
      </c>
      <c r="X574" s="50">
        <v>0</v>
      </c>
      <c r="Y574" s="36">
        <v>0</v>
      </c>
      <c r="Z574" s="36">
        <v>0</v>
      </c>
      <c r="AA574" s="36">
        <v>0</v>
      </c>
      <c r="AB574" s="36">
        <v>0</v>
      </c>
      <c r="AC574" s="50">
        <v>4</v>
      </c>
      <c r="AD574" s="36">
        <v>3</v>
      </c>
      <c r="AE574" s="36">
        <v>1</v>
      </c>
      <c r="AF574" s="36">
        <v>2</v>
      </c>
      <c r="AG574" s="36">
        <v>0</v>
      </c>
      <c r="AH574" s="50">
        <v>0</v>
      </c>
      <c r="AI574" s="36">
        <v>0</v>
      </c>
      <c r="AJ574" s="36">
        <v>0</v>
      </c>
      <c r="AK574" s="36">
        <v>0</v>
      </c>
      <c r="AL574" s="36">
        <v>0</v>
      </c>
      <c r="AM574" s="50">
        <v>2</v>
      </c>
      <c r="AN574" s="36">
        <v>4</v>
      </c>
      <c r="AO574" s="36">
        <v>3</v>
      </c>
      <c r="AP574" s="36">
        <v>3</v>
      </c>
      <c r="AQ574" s="36">
        <v>0</v>
      </c>
      <c r="AR574" s="50">
        <v>0</v>
      </c>
      <c r="AS574" s="36">
        <v>0</v>
      </c>
      <c r="AT574" s="36">
        <v>0</v>
      </c>
      <c r="AU574" s="36">
        <v>0</v>
      </c>
      <c r="AV574" s="36">
        <v>0</v>
      </c>
      <c r="AW574">
        <v>0</v>
      </c>
      <c r="AX574">
        <v>0</v>
      </c>
    </row>
    <row r="575" spans="1:50" x14ac:dyDescent="0.25">
      <c r="A575" s="36"/>
      <c r="B575" t="s">
        <v>120</v>
      </c>
      <c r="C575" s="36" t="str">
        <f>'Status Thresholds'!B566</f>
        <v>Plesioth</v>
      </c>
      <c r="E575" s="36" t="str">
        <f t="shared" si="19"/>
        <v>Plesioth</v>
      </c>
      <c r="F575" s="36" t="str">
        <f>IFERROR(VLOOKUP($E575,'Status Thresholds'!$E:$AS,1,FALSE),"")</f>
        <v/>
      </c>
      <c r="G575" t="s">
        <v>12</v>
      </c>
      <c r="H575" s="55" t="str">
        <f t="shared" si="20"/>
        <v>PlesiothCrag 2</v>
      </c>
      <c r="I575" s="50">
        <v>1</v>
      </c>
      <c r="J575" s="36">
        <v>0</v>
      </c>
      <c r="K575" s="36">
        <v>3</v>
      </c>
      <c r="L575" s="36">
        <v>2</v>
      </c>
      <c r="M575" s="36">
        <v>0</v>
      </c>
      <c r="N575" s="50">
        <v>0</v>
      </c>
      <c r="O575" s="36">
        <v>0</v>
      </c>
      <c r="P575" s="36">
        <v>0</v>
      </c>
      <c r="Q575" s="36">
        <v>0</v>
      </c>
      <c r="R575" s="36">
        <v>0</v>
      </c>
      <c r="S575" s="50">
        <v>1</v>
      </c>
      <c r="T575" s="36">
        <v>0</v>
      </c>
      <c r="U575" s="36">
        <v>3</v>
      </c>
      <c r="V575" s="36">
        <v>2</v>
      </c>
      <c r="W575" s="36">
        <v>0</v>
      </c>
      <c r="X575" s="50">
        <v>0</v>
      </c>
      <c r="Y575" s="36">
        <v>0</v>
      </c>
      <c r="Z575" s="36">
        <v>0</v>
      </c>
      <c r="AA575" s="36">
        <v>0</v>
      </c>
      <c r="AB575" s="36">
        <v>0</v>
      </c>
      <c r="AC575" s="50">
        <v>0</v>
      </c>
      <c r="AD575" s="36">
        <v>2</v>
      </c>
      <c r="AE575" s="36">
        <v>2</v>
      </c>
      <c r="AF575" s="36">
        <v>3</v>
      </c>
      <c r="AG575" s="36">
        <v>0</v>
      </c>
      <c r="AH575" s="50">
        <v>0</v>
      </c>
      <c r="AI575" s="36">
        <v>0</v>
      </c>
      <c r="AJ575" s="36">
        <v>0</v>
      </c>
      <c r="AK575" s="36">
        <v>0</v>
      </c>
      <c r="AL575" s="36">
        <v>0</v>
      </c>
      <c r="AM575" s="50">
        <v>1</v>
      </c>
      <c r="AN575" s="36">
        <v>0</v>
      </c>
      <c r="AO575" s="36">
        <v>3</v>
      </c>
      <c r="AP575" s="36">
        <v>3</v>
      </c>
      <c r="AQ575" s="36">
        <v>0</v>
      </c>
      <c r="AR575" s="50">
        <v>0</v>
      </c>
      <c r="AS575" s="36">
        <v>0</v>
      </c>
      <c r="AT575" s="36">
        <v>0</v>
      </c>
      <c r="AU575" s="36">
        <v>0</v>
      </c>
      <c r="AV575" s="36">
        <v>0</v>
      </c>
      <c r="AW575">
        <v>0</v>
      </c>
      <c r="AX575">
        <v>0</v>
      </c>
    </row>
    <row r="576" spans="1:50" x14ac:dyDescent="0.25">
      <c r="A576" s="36"/>
      <c r="B576" t="s">
        <v>120</v>
      </c>
      <c r="C576" s="36" t="str">
        <f>'Status Thresholds'!B567</f>
        <v>Plesioth</v>
      </c>
      <c r="E576" s="36" t="str">
        <f t="shared" si="19"/>
        <v>Plesioth</v>
      </c>
      <c r="F576" s="36" t="str">
        <f>IFERROR(VLOOKUP($E576,'Status Thresholds'!$E:$AS,1,FALSE),"")</f>
        <v/>
      </c>
      <c r="G576" t="s">
        <v>11</v>
      </c>
      <c r="H576" s="55" t="str">
        <f t="shared" si="20"/>
        <v>PlesiothCrag 1</v>
      </c>
      <c r="I576" s="50">
        <v>1</v>
      </c>
      <c r="J576" s="36">
        <v>3</v>
      </c>
      <c r="K576" s="36">
        <v>2</v>
      </c>
      <c r="L576" s="36">
        <v>3</v>
      </c>
      <c r="M576" s="36">
        <v>0</v>
      </c>
      <c r="N576" s="50">
        <v>0</v>
      </c>
      <c r="O576" s="36">
        <v>0</v>
      </c>
      <c r="P576" s="36">
        <v>0</v>
      </c>
      <c r="Q576" s="36">
        <v>0</v>
      </c>
      <c r="R576" s="36">
        <v>0</v>
      </c>
      <c r="S576" s="50">
        <v>1</v>
      </c>
      <c r="T576" s="36">
        <v>3</v>
      </c>
      <c r="U576" s="36">
        <v>2</v>
      </c>
      <c r="V576" s="36">
        <v>6</v>
      </c>
      <c r="W576" s="36">
        <v>0</v>
      </c>
      <c r="X576" s="50">
        <v>0</v>
      </c>
      <c r="Y576" s="36">
        <v>0</v>
      </c>
      <c r="Z576" s="36">
        <v>0</v>
      </c>
      <c r="AA576" s="36">
        <v>0</v>
      </c>
      <c r="AB576" s="36">
        <v>0</v>
      </c>
      <c r="AC576" s="50">
        <v>1</v>
      </c>
      <c r="AD576" s="36">
        <v>3</v>
      </c>
      <c r="AE576" s="36">
        <v>3</v>
      </c>
      <c r="AF576" s="36">
        <v>3</v>
      </c>
      <c r="AG576" s="36">
        <v>0</v>
      </c>
      <c r="AH576" s="50">
        <v>0</v>
      </c>
      <c r="AI576" s="36">
        <v>0</v>
      </c>
      <c r="AJ576" s="36">
        <v>0</v>
      </c>
      <c r="AK576" s="36">
        <v>0</v>
      </c>
      <c r="AL576" s="36">
        <v>0</v>
      </c>
      <c r="AM576" s="50">
        <v>0</v>
      </c>
      <c r="AN576" s="36">
        <v>2</v>
      </c>
      <c r="AO576" s="36">
        <v>7</v>
      </c>
      <c r="AP576" s="36">
        <v>8</v>
      </c>
      <c r="AQ576" s="36">
        <v>0</v>
      </c>
      <c r="AR576" s="50">
        <v>0</v>
      </c>
      <c r="AS576" s="36">
        <v>0</v>
      </c>
      <c r="AT576" s="36">
        <v>0</v>
      </c>
      <c r="AU576" s="36">
        <v>0</v>
      </c>
      <c r="AV576" s="36">
        <v>1</v>
      </c>
      <c r="AW576">
        <v>0</v>
      </c>
      <c r="AX576">
        <v>0</v>
      </c>
    </row>
    <row r="577" spans="1:50" x14ac:dyDescent="0.25">
      <c r="A577" s="36"/>
      <c r="B577" s="36" t="s">
        <v>119</v>
      </c>
      <c r="C577" s="36" t="str">
        <f>'Status Thresholds'!B568</f>
        <v>Plesioth</v>
      </c>
      <c r="E577" s="36" t="str">
        <f t="shared" si="19"/>
        <v>Plesioth</v>
      </c>
      <c r="F577" s="36" t="str">
        <f>IFERROR(VLOOKUP($E577,'Status Thresholds'!$E:$AS,1,FALSE),"")</f>
        <v/>
      </c>
      <c r="G577" s="36" t="s">
        <v>21</v>
      </c>
      <c r="H577" s="55" t="str">
        <f t="shared" si="20"/>
        <v>PlesiothTriblast</v>
      </c>
      <c r="I577" s="50">
        <v>1</v>
      </c>
      <c r="J577" s="36">
        <v>2</v>
      </c>
      <c r="K577" s="36">
        <v>2</v>
      </c>
      <c r="L577" s="36">
        <v>1</v>
      </c>
      <c r="M577" s="36">
        <v>0</v>
      </c>
      <c r="N577" s="50">
        <v>0</v>
      </c>
      <c r="O577" s="36">
        <v>0</v>
      </c>
      <c r="P577" s="36">
        <v>0</v>
      </c>
      <c r="Q577" s="36">
        <v>0</v>
      </c>
      <c r="R577" s="36">
        <v>0</v>
      </c>
      <c r="S577" s="50">
        <v>1</v>
      </c>
      <c r="T577" s="36">
        <v>2</v>
      </c>
      <c r="U577" s="36">
        <v>2</v>
      </c>
      <c r="V577" s="36">
        <v>0</v>
      </c>
      <c r="W577" s="36">
        <v>0</v>
      </c>
      <c r="X577" s="50">
        <v>0</v>
      </c>
      <c r="Y577" s="36">
        <v>0</v>
      </c>
      <c r="Z577" s="36">
        <v>0</v>
      </c>
      <c r="AA577" s="36">
        <v>0</v>
      </c>
      <c r="AB577" s="36">
        <v>0</v>
      </c>
      <c r="AC577" s="50">
        <v>1</v>
      </c>
      <c r="AD577" s="36">
        <v>0</v>
      </c>
      <c r="AE577" s="36">
        <v>1</v>
      </c>
      <c r="AF577" s="36">
        <v>2</v>
      </c>
      <c r="AG577" s="36">
        <v>0</v>
      </c>
      <c r="AH577" s="50">
        <v>0</v>
      </c>
      <c r="AI577" s="36">
        <v>0</v>
      </c>
      <c r="AJ577" s="36">
        <v>0</v>
      </c>
      <c r="AK577" s="36">
        <v>0</v>
      </c>
      <c r="AL577" s="36">
        <v>0</v>
      </c>
      <c r="AM577" s="50">
        <v>2</v>
      </c>
      <c r="AN577" s="36">
        <v>0</v>
      </c>
      <c r="AO577" s="36">
        <v>2</v>
      </c>
      <c r="AP577" s="36">
        <v>2</v>
      </c>
      <c r="AQ577" s="36">
        <v>0</v>
      </c>
      <c r="AR577" s="50">
        <v>0</v>
      </c>
      <c r="AS577" s="36">
        <v>0</v>
      </c>
      <c r="AT577" s="36">
        <v>0</v>
      </c>
      <c r="AU577" s="36">
        <v>0</v>
      </c>
      <c r="AV577" s="36">
        <v>0</v>
      </c>
      <c r="AW577">
        <v>0</v>
      </c>
      <c r="AX577">
        <v>0</v>
      </c>
    </row>
    <row r="578" spans="1:50" x14ac:dyDescent="0.25">
      <c r="A578" s="36"/>
      <c r="B578" t="s">
        <v>119</v>
      </c>
      <c r="C578" s="36" t="str">
        <f>'Status Thresholds'!B569</f>
        <v>Plesioth</v>
      </c>
      <c r="E578" s="36" t="str">
        <f t="shared" si="19"/>
        <v>Plesioth</v>
      </c>
      <c r="F578" s="36" t="str">
        <f>IFERROR(VLOOKUP($E578,'Status Thresholds'!$E:$AS,1,FALSE),"")</f>
        <v/>
      </c>
      <c r="G578" t="s">
        <v>13</v>
      </c>
      <c r="H578" s="55" t="str">
        <f t="shared" si="20"/>
        <v>PlesiothCrag 3</v>
      </c>
      <c r="I578" s="50">
        <v>2</v>
      </c>
      <c r="J578" s="36">
        <v>1</v>
      </c>
      <c r="K578" s="36">
        <v>0</v>
      </c>
      <c r="L578" s="36">
        <v>2</v>
      </c>
      <c r="M578" s="36">
        <v>0</v>
      </c>
      <c r="N578" s="50">
        <v>0</v>
      </c>
      <c r="O578" s="36">
        <v>0</v>
      </c>
      <c r="P578" s="36">
        <v>0</v>
      </c>
      <c r="Q578" s="36">
        <v>0</v>
      </c>
      <c r="R578" s="36">
        <v>0</v>
      </c>
      <c r="S578" s="50">
        <v>2</v>
      </c>
      <c r="T578" s="36">
        <v>1</v>
      </c>
      <c r="U578" s="36">
        <v>0</v>
      </c>
      <c r="V578" s="36">
        <v>4</v>
      </c>
      <c r="W578" s="36">
        <v>0</v>
      </c>
      <c r="X578" s="50">
        <v>0</v>
      </c>
      <c r="Y578" s="36">
        <v>0</v>
      </c>
      <c r="Z578" s="36">
        <v>0</v>
      </c>
      <c r="AA578" s="36">
        <v>0</v>
      </c>
      <c r="AB578" s="36">
        <v>0</v>
      </c>
      <c r="AC578" s="50">
        <v>1</v>
      </c>
      <c r="AD578" s="36">
        <v>3</v>
      </c>
      <c r="AE578" s="36">
        <v>2</v>
      </c>
      <c r="AF578" s="36">
        <v>4</v>
      </c>
      <c r="AG578" s="36">
        <v>0</v>
      </c>
      <c r="AH578" s="50">
        <v>0</v>
      </c>
      <c r="AI578" s="36">
        <v>0</v>
      </c>
      <c r="AJ578" s="36">
        <v>0</v>
      </c>
      <c r="AK578" s="36">
        <v>0</v>
      </c>
      <c r="AL578" s="36">
        <v>0</v>
      </c>
      <c r="AM578" s="50">
        <v>1</v>
      </c>
      <c r="AN578" s="36">
        <v>3</v>
      </c>
      <c r="AO578" s="36">
        <v>1</v>
      </c>
      <c r="AP578" s="36">
        <v>4</v>
      </c>
      <c r="AQ578" s="36">
        <v>0</v>
      </c>
      <c r="AR578" s="50">
        <v>0</v>
      </c>
      <c r="AS578" s="36">
        <v>0</v>
      </c>
      <c r="AT578" s="36">
        <v>0</v>
      </c>
      <c r="AU578" s="36">
        <v>0</v>
      </c>
      <c r="AV578" s="36">
        <v>0</v>
      </c>
      <c r="AW578">
        <v>0</v>
      </c>
      <c r="AX578">
        <v>0</v>
      </c>
    </row>
    <row r="579" spans="1:50" x14ac:dyDescent="0.25">
      <c r="A579" s="36"/>
      <c r="B579" t="s">
        <v>119</v>
      </c>
      <c r="C579" s="36" t="str">
        <f>'Status Thresholds'!B570</f>
        <v>Plesioth</v>
      </c>
      <c r="E579" s="36" t="str">
        <f t="shared" si="19"/>
        <v>Plesioth</v>
      </c>
      <c r="F579" s="36" t="str">
        <f>IFERROR(VLOOKUP($E579,'Status Thresholds'!$E:$AS,1,FALSE),"")</f>
        <v/>
      </c>
      <c r="G579" t="s">
        <v>12</v>
      </c>
      <c r="H579" s="55" t="str">
        <f t="shared" si="20"/>
        <v>PlesiothCrag 2</v>
      </c>
      <c r="I579" s="50">
        <v>0</v>
      </c>
      <c r="J579" s="36">
        <v>0</v>
      </c>
      <c r="K579" s="36">
        <v>0</v>
      </c>
      <c r="L579" s="36">
        <v>1</v>
      </c>
      <c r="M579" s="36">
        <v>0</v>
      </c>
      <c r="N579" s="50">
        <v>0</v>
      </c>
      <c r="O579" s="36">
        <v>0</v>
      </c>
      <c r="P579" s="36">
        <v>0</v>
      </c>
      <c r="Q579" s="36">
        <v>0</v>
      </c>
      <c r="R579" s="36">
        <v>0</v>
      </c>
      <c r="S579" s="50">
        <v>0</v>
      </c>
      <c r="T579" s="36">
        <v>0</v>
      </c>
      <c r="U579" s="36">
        <v>0</v>
      </c>
      <c r="V579" s="36">
        <v>4</v>
      </c>
      <c r="W579" s="36">
        <v>0</v>
      </c>
      <c r="X579" s="50">
        <v>0</v>
      </c>
      <c r="Y579" s="36">
        <v>0</v>
      </c>
      <c r="Z579" s="36">
        <v>0</v>
      </c>
      <c r="AA579" s="36">
        <v>0</v>
      </c>
      <c r="AB579" s="36">
        <v>0</v>
      </c>
      <c r="AC579" s="50">
        <v>1</v>
      </c>
      <c r="AD579" s="36">
        <v>2</v>
      </c>
      <c r="AE579" s="36">
        <v>3</v>
      </c>
      <c r="AF579" s="36">
        <v>0</v>
      </c>
      <c r="AG579" s="36">
        <v>0</v>
      </c>
      <c r="AH579" s="50">
        <v>0</v>
      </c>
      <c r="AI579" s="36">
        <v>0</v>
      </c>
      <c r="AJ579" s="36">
        <v>0</v>
      </c>
      <c r="AK579" s="36">
        <v>0</v>
      </c>
      <c r="AL579" s="36">
        <v>0</v>
      </c>
      <c r="AM579" s="50">
        <v>0</v>
      </c>
      <c r="AN579" s="36">
        <v>2</v>
      </c>
      <c r="AO579" s="36">
        <v>2</v>
      </c>
      <c r="AP579" s="36">
        <v>1</v>
      </c>
      <c r="AQ579" s="36">
        <v>0</v>
      </c>
      <c r="AR579" s="50">
        <v>0</v>
      </c>
      <c r="AS579" s="36">
        <v>0</v>
      </c>
      <c r="AT579" s="36">
        <v>0</v>
      </c>
      <c r="AU579" s="36">
        <v>0</v>
      </c>
      <c r="AV579" s="36">
        <v>0</v>
      </c>
      <c r="AW579">
        <v>0</v>
      </c>
      <c r="AX579">
        <v>0</v>
      </c>
    </row>
    <row r="580" spans="1:50" x14ac:dyDescent="0.25">
      <c r="A580" s="36"/>
      <c r="B580" t="s">
        <v>119</v>
      </c>
      <c r="C580" s="36" t="str">
        <f>'Status Thresholds'!B571</f>
        <v>Plesioth</v>
      </c>
      <c r="E580" s="36" t="str">
        <f t="shared" si="19"/>
        <v>Plesioth</v>
      </c>
      <c r="F580" s="36" t="str">
        <f>IFERROR(VLOOKUP($E580,'Status Thresholds'!$E:$AS,1,FALSE),"")</f>
        <v/>
      </c>
      <c r="G580" t="s">
        <v>11</v>
      </c>
      <c r="H580" s="55" t="str">
        <f t="shared" si="20"/>
        <v>PlesiothCrag 1</v>
      </c>
      <c r="I580" s="50">
        <v>0</v>
      </c>
      <c r="J580" s="36">
        <v>1</v>
      </c>
      <c r="K580" s="36">
        <v>5</v>
      </c>
      <c r="L580" s="36">
        <v>6</v>
      </c>
      <c r="M580" s="36">
        <v>0</v>
      </c>
      <c r="N580" s="50">
        <v>0</v>
      </c>
      <c r="O580" s="36">
        <v>0</v>
      </c>
      <c r="P580" s="36">
        <v>0</v>
      </c>
      <c r="Q580" s="36">
        <v>0</v>
      </c>
      <c r="R580" s="36">
        <v>0</v>
      </c>
      <c r="S580" s="50">
        <v>0</v>
      </c>
      <c r="T580" s="36">
        <v>1</v>
      </c>
      <c r="U580" s="36">
        <v>5</v>
      </c>
      <c r="V580" s="36">
        <v>2</v>
      </c>
      <c r="W580" s="36">
        <v>0</v>
      </c>
      <c r="X580" s="50">
        <v>0</v>
      </c>
      <c r="Y580" s="36">
        <v>0</v>
      </c>
      <c r="Z580" s="36">
        <v>0</v>
      </c>
      <c r="AA580" s="36">
        <v>0</v>
      </c>
      <c r="AB580" s="36">
        <v>0</v>
      </c>
      <c r="AC580" s="50">
        <v>1</v>
      </c>
      <c r="AD580" s="36">
        <v>2</v>
      </c>
      <c r="AE580" s="36">
        <v>2</v>
      </c>
      <c r="AF580" s="36">
        <v>2</v>
      </c>
      <c r="AG580" s="36">
        <v>0</v>
      </c>
      <c r="AH580" s="50">
        <v>0</v>
      </c>
      <c r="AI580" s="36">
        <v>0</v>
      </c>
      <c r="AJ580" s="36">
        <v>0</v>
      </c>
      <c r="AK580" s="36">
        <v>0</v>
      </c>
      <c r="AL580" s="36">
        <v>0</v>
      </c>
      <c r="AM580" s="50">
        <v>2</v>
      </c>
      <c r="AN580" s="36">
        <v>6</v>
      </c>
      <c r="AO580" s="36">
        <v>7</v>
      </c>
      <c r="AP580" s="36">
        <v>7</v>
      </c>
      <c r="AQ580" s="36">
        <v>0</v>
      </c>
      <c r="AR580" s="50">
        <v>0</v>
      </c>
      <c r="AS580" s="36">
        <v>0</v>
      </c>
      <c r="AT580" s="36">
        <v>0</v>
      </c>
      <c r="AU580" s="36">
        <v>0</v>
      </c>
      <c r="AV580" s="36">
        <v>1</v>
      </c>
      <c r="AW580">
        <v>0</v>
      </c>
      <c r="AX580">
        <v>0</v>
      </c>
    </row>
    <row r="581" spans="1:50" x14ac:dyDescent="0.25">
      <c r="A581" s="36"/>
      <c r="B581" t="s">
        <v>121</v>
      </c>
      <c r="C581" s="36" t="str">
        <f>'Status Thresholds'!B572</f>
        <v>Rajang</v>
      </c>
      <c r="D581" t="s">
        <v>14</v>
      </c>
      <c r="E581" s="36" t="str">
        <f t="shared" si="19"/>
        <v>RajangKO</v>
      </c>
      <c r="F581" s="36" t="str">
        <f>IFERROR(VLOOKUP($E581,'Status Thresholds'!$E:$AS,1,FALSE),"")</f>
        <v>RajangKO</v>
      </c>
      <c r="H581" s="55" t="str">
        <f t="shared" si="20"/>
        <v>RajangKO</v>
      </c>
      <c r="I581" s="50">
        <f>VLOOKUP($F581,'Status Thresholds'!$E:$AS,2,FALSE)</f>
        <v>195</v>
      </c>
      <c r="J581" s="36">
        <f>VLOOKUP($F581,'Status Thresholds'!$E:$AS,3,FALSE)</f>
        <v>325</v>
      </c>
      <c r="K581" s="36">
        <f>VLOOKUP($F581,'Status Thresholds'!$E:$AS,4,FALSE)</f>
        <v>455</v>
      </c>
      <c r="L581" s="36">
        <f>VLOOKUP($F581,'Status Thresholds'!$E:$AS,5,FALSE)</f>
        <v>585</v>
      </c>
      <c r="M581" s="36">
        <f>VLOOKUP($F581,'Status Thresholds'!$E:$AS,6,FALSE)</f>
        <v>0</v>
      </c>
      <c r="N581" s="50">
        <f>VLOOKUP($F581,'Status Thresholds'!$E:$AS,7,FALSE)</f>
        <v>195</v>
      </c>
      <c r="O581" s="36">
        <f>VLOOKUP($F581,'Status Thresholds'!$E:$AS,8,FALSE)</f>
        <v>325</v>
      </c>
      <c r="P581" s="36">
        <f>VLOOKUP($F581,'Status Thresholds'!$E:$AS,9,FALSE)</f>
        <v>455</v>
      </c>
      <c r="Q581" s="36">
        <f>VLOOKUP($F581,'Status Thresholds'!$E:$AS,10,FALSE)</f>
        <v>585</v>
      </c>
      <c r="R581" s="36">
        <f>VLOOKUP($F581,'Status Thresholds'!$E:$AS,11,FALSE)</f>
        <v>0</v>
      </c>
      <c r="S581" s="50">
        <f>VLOOKUP($F581,'Status Thresholds'!$E:$AS,12,FALSE)</f>
        <v>225</v>
      </c>
      <c r="T581" s="36">
        <f>VLOOKUP($F581,'Status Thresholds'!$E:$AS,13,FALSE)</f>
        <v>375</v>
      </c>
      <c r="U581" s="36">
        <f>VLOOKUP($F581,'Status Thresholds'!$E:$AS,14,FALSE)</f>
        <v>525</v>
      </c>
      <c r="V581" s="36">
        <f>VLOOKUP($F581,'Status Thresholds'!$E:$AS,15,FALSE)</f>
        <v>675</v>
      </c>
      <c r="W581" s="36">
        <f>VLOOKUP($F581,'Status Thresholds'!$E:$AS,16,FALSE)</f>
        <v>0</v>
      </c>
      <c r="X581" s="50">
        <f>VLOOKUP($F581,'Status Thresholds'!$E:$AS,17,FALSE)</f>
        <v>0</v>
      </c>
      <c r="Y581" s="36">
        <f>VLOOKUP($F581,'Status Thresholds'!$E:$AS,18,FALSE)</f>
        <v>0</v>
      </c>
      <c r="Z581" s="36">
        <f>VLOOKUP($F581,'Status Thresholds'!$E:$AS,19,FALSE)</f>
        <v>0</v>
      </c>
      <c r="AA581" s="36">
        <f>VLOOKUP($F581,'Status Thresholds'!$E:$AS,20,FALSE)</f>
        <v>0</v>
      </c>
      <c r="AB581" s="36">
        <f>VLOOKUP($F581,'Status Thresholds'!$E:$AS,21,FALSE)</f>
        <v>0</v>
      </c>
      <c r="AC581" s="50">
        <f>VLOOKUP($F581,'Status Thresholds'!$E:$AS,22,FALSE)</f>
        <v>225</v>
      </c>
      <c r="AD581" s="36">
        <f>VLOOKUP($F581,'Status Thresholds'!$E:$AS,23,FALSE)</f>
        <v>375</v>
      </c>
      <c r="AE581" s="36">
        <f>VLOOKUP($F581,'Status Thresholds'!$E:$AS,24,FALSE)</f>
        <v>525</v>
      </c>
      <c r="AF581" s="36">
        <f>VLOOKUP($F581,'Status Thresholds'!$E:$AS,25,FALSE)</f>
        <v>675</v>
      </c>
      <c r="AG581" s="36">
        <f>VLOOKUP($F581,'Status Thresholds'!$E:$AS,26,FALSE)</f>
        <v>0</v>
      </c>
      <c r="AH581" s="50">
        <f>VLOOKUP($F581,'Status Thresholds'!$E:$AS,27,FALSE)</f>
        <v>225</v>
      </c>
      <c r="AI581" s="36">
        <f>VLOOKUP($F581,'Status Thresholds'!$E:$AS,28,FALSE)</f>
        <v>375</v>
      </c>
      <c r="AJ581" s="36">
        <f>VLOOKUP($F581,'Status Thresholds'!$E:$AS,29,FALSE)</f>
        <v>525</v>
      </c>
      <c r="AK581" s="36">
        <f>VLOOKUP($F581,'Status Thresholds'!$E:$AS,30,FALSE)</f>
        <v>675</v>
      </c>
      <c r="AL581" s="36">
        <f>VLOOKUP($F581,'Status Thresholds'!$E:$AS,31,FALSE)</f>
        <v>0</v>
      </c>
      <c r="AM581" s="50">
        <f>VLOOKUP($F581,'Status Thresholds'!$E:$AS,32,FALSE)</f>
        <v>300</v>
      </c>
      <c r="AN581" s="36">
        <f>VLOOKUP($F581,'Status Thresholds'!$E:$AS,33,FALSE)</f>
        <v>500</v>
      </c>
      <c r="AO581" s="36">
        <f>VLOOKUP($F581,'Status Thresholds'!$E:$AS,34,FALSE)</f>
        <v>700</v>
      </c>
      <c r="AP581" s="36">
        <f>VLOOKUP($F581,'Status Thresholds'!$E:$AS,35,FALSE)</f>
        <v>900</v>
      </c>
      <c r="AQ581" s="36">
        <f>VLOOKUP($F581,'Status Thresholds'!$E:$AS,36,FALSE)</f>
        <v>0</v>
      </c>
      <c r="AR581" s="50">
        <f>VLOOKUP($F581,'Status Thresholds'!$E:$AS,37,FALSE)</f>
        <v>0</v>
      </c>
      <c r="AS581" s="36">
        <f>VLOOKUP($F581,'Status Thresholds'!$E:$AS,38,FALSE)</f>
        <v>0</v>
      </c>
      <c r="AT581" s="36">
        <f>VLOOKUP($F581,'Status Thresholds'!$E:$AS,39,FALSE)</f>
        <v>0</v>
      </c>
      <c r="AU581" s="36">
        <f>VLOOKUP($F581,'Status Thresholds'!$E:$AS,40,FALSE)</f>
        <v>0</v>
      </c>
      <c r="AV581" s="36">
        <f>VLOOKUP($F581,'Status Thresholds'!$E:$AS,41,FALSE)</f>
        <v>10</v>
      </c>
      <c r="AW581">
        <v>0</v>
      </c>
      <c r="AX581">
        <v>0</v>
      </c>
    </row>
    <row r="582" spans="1:50" x14ac:dyDescent="0.25">
      <c r="A582" s="36"/>
      <c r="B582" t="s">
        <v>120</v>
      </c>
      <c r="C582" s="36" t="str">
        <f>'Status Thresholds'!B573</f>
        <v>Rajang</v>
      </c>
      <c r="E582" s="36" t="str">
        <f t="shared" ref="E582:E645" si="21">C582&amp;D582</f>
        <v>Rajang</v>
      </c>
      <c r="F582" s="36" t="str">
        <f>IFERROR(VLOOKUP($E582,'Status Thresholds'!$E:$AS,1,FALSE),"")</f>
        <v/>
      </c>
      <c r="G582" t="s">
        <v>21</v>
      </c>
      <c r="H582" s="55" t="str">
        <f t="shared" ref="H582:H645" si="22">E582&amp;G582</f>
        <v>RajangTriblast</v>
      </c>
      <c r="I582" s="50">
        <v>1</v>
      </c>
      <c r="J582" s="36">
        <v>2</v>
      </c>
      <c r="K582" s="36">
        <v>2</v>
      </c>
      <c r="L582" s="36">
        <v>2</v>
      </c>
      <c r="M582" s="36">
        <v>0</v>
      </c>
      <c r="N582" s="50">
        <v>1</v>
      </c>
      <c r="O582" s="36">
        <v>2</v>
      </c>
      <c r="P582" s="36">
        <v>2</v>
      </c>
      <c r="Q582" s="36">
        <v>2</v>
      </c>
      <c r="R582" s="36">
        <v>0</v>
      </c>
      <c r="S582" s="50">
        <v>2</v>
      </c>
      <c r="T582" s="36">
        <v>1</v>
      </c>
      <c r="U582" s="36">
        <v>1</v>
      </c>
      <c r="V582" s="36">
        <v>2</v>
      </c>
      <c r="W582" s="36">
        <v>0</v>
      </c>
      <c r="X582" s="50">
        <v>0</v>
      </c>
      <c r="Y582" s="36">
        <v>0</v>
      </c>
      <c r="Z582" s="36">
        <v>0</v>
      </c>
      <c r="AA582" s="36">
        <v>0</v>
      </c>
      <c r="AB582" s="36">
        <v>0</v>
      </c>
      <c r="AC582" s="50">
        <v>2</v>
      </c>
      <c r="AD582" s="36">
        <v>1</v>
      </c>
      <c r="AE582" s="36">
        <v>1</v>
      </c>
      <c r="AF582" s="36">
        <v>2</v>
      </c>
      <c r="AG582" s="36">
        <v>0</v>
      </c>
      <c r="AH582" s="50">
        <v>2</v>
      </c>
      <c r="AI582" s="36">
        <v>1</v>
      </c>
      <c r="AJ582" s="36">
        <v>1</v>
      </c>
      <c r="AK582" s="36">
        <v>2</v>
      </c>
      <c r="AL582" s="36">
        <v>0</v>
      </c>
      <c r="AM582" s="50">
        <v>2</v>
      </c>
      <c r="AN582" s="36">
        <v>1</v>
      </c>
      <c r="AO582" s="36">
        <v>2</v>
      </c>
      <c r="AP582" s="36">
        <v>2</v>
      </c>
      <c r="AQ582" s="36">
        <v>0</v>
      </c>
      <c r="AR582" s="50">
        <v>0</v>
      </c>
      <c r="AS582" s="36">
        <v>0</v>
      </c>
      <c r="AT582" s="36">
        <v>0</v>
      </c>
      <c r="AU582" s="36">
        <v>0</v>
      </c>
      <c r="AV582" s="36">
        <v>0</v>
      </c>
      <c r="AW582">
        <v>0</v>
      </c>
    </row>
    <row r="583" spans="1:50" x14ac:dyDescent="0.25">
      <c r="A583" s="36"/>
      <c r="B583" t="s">
        <v>120</v>
      </c>
      <c r="C583" s="36" t="str">
        <f>'Status Thresholds'!B574</f>
        <v>Rajang</v>
      </c>
      <c r="E583" s="36" t="str">
        <f t="shared" si="21"/>
        <v>Rajang</v>
      </c>
      <c r="F583" s="36" t="str">
        <f>IFERROR(VLOOKUP($E583,'Status Thresholds'!$E:$AS,1,FALSE),"")</f>
        <v/>
      </c>
      <c r="G583" t="s">
        <v>13</v>
      </c>
      <c r="H583" s="55" t="str">
        <f t="shared" si="22"/>
        <v>RajangCrag 3</v>
      </c>
      <c r="I583" s="50">
        <v>0</v>
      </c>
      <c r="J583" s="36">
        <v>0</v>
      </c>
      <c r="K583" s="36">
        <v>4</v>
      </c>
      <c r="L583" s="36">
        <v>3</v>
      </c>
      <c r="M583" s="36">
        <v>0</v>
      </c>
      <c r="N583" s="50">
        <v>0</v>
      </c>
      <c r="O583" s="36">
        <v>0</v>
      </c>
      <c r="P583" s="36">
        <v>4</v>
      </c>
      <c r="Q583" s="36">
        <v>3</v>
      </c>
      <c r="R583" s="36">
        <v>0</v>
      </c>
      <c r="S583" s="50">
        <v>0</v>
      </c>
      <c r="T583" s="36">
        <v>3</v>
      </c>
      <c r="U583" s="36">
        <v>4</v>
      </c>
      <c r="V583" s="36">
        <v>4</v>
      </c>
      <c r="W583" s="36">
        <v>0</v>
      </c>
      <c r="X583" s="50">
        <v>0</v>
      </c>
      <c r="Y583" s="36">
        <v>0</v>
      </c>
      <c r="Z583" s="36">
        <v>0</v>
      </c>
      <c r="AA583" s="36">
        <v>0</v>
      </c>
      <c r="AB583" s="36">
        <v>0</v>
      </c>
      <c r="AC583" s="50">
        <v>0</v>
      </c>
      <c r="AD583" s="36">
        <v>3</v>
      </c>
      <c r="AE583" s="36">
        <v>4</v>
      </c>
      <c r="AF583" s="36">
        <v>4</v>
      </c>
      <c r="AG583" s="36">
        <v>0</v>
      </c>
      <c r="AH583" s="50">
        <v>0</v>
      </c>
      <c r="AI583" s="36">
        <v>3</v>
      </c>
      <c r="AJ583" s="36">
        <v>4</v>
      </c>
      <c r="AK583" s="36">
        <v>4</v>
      </c>
      <c r="AL583" s="36">
        <v>0</v>
      </c>
      <c r="AM583" s="50">
        <v>3</v>
      </c>
      <c r="AN583" s="36">
        <v>4</v>
      </c>
      <c r="AO583" s="36">
        <v>4</v>
      </c>
      <c r="AP583" s="36">
        <v>4</v>
      </c>
      <c r="AQ583" s="36">
        <v>0</v>
      </c>
      <c r="AR583" s="50">
        <v>0</v>
      </c>
      <c r="AS583" s="36">
        <v>0</v>
      </c>
      <c r="AT583" s="36">
        <v>0</v>
      </c>
      <c r="AU583" s="36">
        <v>0</v>
      </c>
      <c r="AV583" s="36">
        <v>0</v>
      </c>
      <c r="AW583">
        <v>0</v>
      </c>
      <c r="AX583">
        <v>0</v>
      </c>
    </row>
    <row r="584" spans="1:50" x14ac:dyDescent="0.25">
      <c r="A584" s="36"/>
      <c r="B584" t="s">
        <v>120</v>
      </c>
      <c r="C584" s="36" t="str">
        <f>'Status Thresholds'!B575</f>
        <v>Rajang</v>
      </c>
      <c r="E584" s="36" t="str">
        <f t="shared" si="21"/>
        <v>Rajang</v>
      </c>
      <c r="F584" s="36" t="str">
        <f>IFERROR(VLOOKUP($E584,'Status Thresholds'!$E:$AS,1,FALSE),"")</f>
        <v/>
      </c>
      <c r="G584" t="s">
        <v>12</v>
      </c>
      <c r="H584" s="55" t="str">
        <f t="shared" si="22"/>
        <v>RajangCrag 2</v>
      </c>
      <c r="I584" s="50">
        <v>4</v>
      </c>
      <c r="J584" s="36">
        <v>0</v>
      </c>
      <c r="K584" s="36">
        <v>4</v>
      </c>
      <c r="L584" s="36">
        <v>4</v>
      </c>
      <c r="M584" s="36">
        <v>0</v>
      </c>
      <c r="N584" s="50">
        <v>4</v>
      </c>
      <c r="O584" s="36">
        <v>0</v>
      </c>
      <c r="P584" s="36">
        <v>4</v>
      </c>
      <c r="Q584" s="36">
        <v>4</v>
      </c>
      <c r="R584" s="36">
        <v>0</v>
      </c>
      <c r="S584" s="50">
        <v>0</v>
      </c>
      <c r="T584" s="36">
        <v>1</v>
      </c>
      <c r="U584" s="36">
        <v>3</v>
      </c>
      <c r="V584" s="36">
        <v>4</v>
      </c>
      <c r="W584" s="36">
        <v>0</v>
      </c>
      <c r="X584" s="50">
        <v>0</v>
      </c>
      <c r="Y584" s="36">
        <v>0</v>
      </c>
      <c r="Z584" s="36">
        <v>0</v>
      </c>
      <c r="AA584" s="36">
        <v>0</v>
      </c>
      <c r="AB584" s="36">
        <v>0</v>
      </c>
      <c r="AC584" s="50">
        <v>0</v>
      </c>
      <c r="AD584" s="36">
        <v>1</v>
      </c>
      <c r="AE584" s="36">
        <v>3</v>
      </c>
      <c r="AF584" s="36">
        <v>4</v>
      </c>
      <c r="AG584" s="36">
        <v>0</v>
      </c>
      <c r="AH584" s="50">
        <v>0</v>
      </c>
      <c r="AI584" s="36">
        <v>1</v>
      </c>
      <c r="AJ584" s="36">
        <v>3</v>
      </c>
      <c r="AK584" s="36">
        <v>4</v>
      </c>
      <c r="AL584" s="36">
        <v>0</v>
      </c>
      <c r="AM584" s="50">
        <v>1</v>
      </c>
      <c r="AN584" s="36">
        <v>3</v>
      </c>
      <c r="AO584" s="36">
        <v>4</v>
      </c>
      <c r="AP584" s="36">
        <v>4</v>
      </c>
      <c r="AQ584" s="36">
        <v>0</v>
      </c>
      <c r="AR584" s="50">
        <v>0</v>
      </c>
      <c r="AS584" s="36">
        <v>0</v>
      </c>
      <c r="AT584" s="36">
        <v>0</v>
      </c>
      <c r="AU584" s="36">
        <v>0</v>
      </c>
      <c r="AV584" s="36">
        <v>0</v>
      </c>
      <c r="AW584">
        <v>0</v>
      </c>
      <c r="AX584">
        <v>0</v>
      </c>
    </row>
    <row r="585" spans="1:50" x14ac:dyDescent="0.25">
      <c r="A585" s="36"/>
      <c r="B585" t="s">
        <v>120</v>
      </c>
      <c r="C585" s="36" t="str">
        <f>'Status Thresholds'!B576</f>
        <v>Rajang</v>
      </c>
      <c r="E585" s="36" t="str">
        <f t="shared" si="21"/>
        <v>Rajang</v>
      </c>
      <c r="F585" s="36" t="str">
        <f>IFERROR(VLOOKUP($E585,'Status Thresholds'!$E:$AS,1,FALSE),"")</f>
        <v/>
      </c>
      <c r="G585" t="s">
        <v>11</v>
      </c>
      <c r="H585" s="55" t="str">
        <f t="shared" si="22"/>
        <v>RajangCrag 1</v>
      </c>
      <c r="I585" s="50">
        <v>0</v>
      </c>
      <c r="J585" s="36">
        <v>7</v>
      </c>
      <c r="K585" s="36">
        <v>1</v>
      </c>
      <c r="L585" s="36">
        <v>8</v>
      </c>
      <c r="M585" s="36">
        <v>0</v>
      </c>
      <c r="N585" s="50">
        <v>0</v>
      </c>
      <c r="O585" s="36">
        <v>7</v>
      </c>
      <c r="P585" s="36">
        <v>1</v>
      </c>
      <c r="Q585" s="36">
        <v>8</v>
      </c>
      <c r="R585" s="36">
        <v>0</v>
      </c>
      <c r="S585" s="50">
        <v>3</v>
      </c>
      <c r="T585" s="36">
        <v>6</v>
      </c>
      <c r="U585" s="36">
        <v>8</v>
      </c>
      <c r="V585" s="36">
        <v>8</v>
      </c>
      <c r="W585" s="36">
        <v>0</v>
      </c>
      <c r="X585" s="50">
        <v>0</v>
      </c>
      <c r="Y585" s="36">
        <v>0</v>
      </c>
      <c r="Z585" s="36">
        <v>0</v>
      </c>
      <c r="AA585" s="36">
        <v>0</v>
      </c>
      <c r="AB585" s="36">
        <v>0</v>
      </c>
      <c r="AC585" s="50">
        <v>3</v>
      </c>
      <c r="AD585" s="36">
        <v>6</v>
      </c>
      <c r="AE585" s="36">
        <v>8</v>
      </c>
      <c r="AF585" s="36">
        <v>8</v>
      </c>
      <c r="AG585" s="36">
        <v>0</v>
      </c>
      <c r="AH585" s="50">
        <v>3</v>
      </c>
      <c r="AI585" s="36">
        <v>6</v>
      </c>
      <c r="AJ585" s="36">
        <v>8</v>
      </c>
      <c r="AK585" s="36">
        <v>8</v>
      </c>
      <c r="AL585" s="36">
        <v>0</v>
      </c>
      <c r="AM585" s="50">
        <v>0</v>
      </c>
      <c r="AN585" s="36">
        <v>7</v>
      </c>
      <c r="AO585" s="36">
        <v>8</v>
      </c>
      <c r="AP585" s="36">
        <v>8</v>
      </c>
      <c r="AQ585" s="36">
        <v>0</v>
      </c>
      <c r="AR585" s="50">
        <v>0</v>
      </c>
      <c r="AS585" s="36">
        <v>0</v>
      </c>
      <c r="AT585" s="36">
        <v>0</v>
      </c>
      <c r="AU585" s="36">
        <v>0</v>
      </c>
      <c r="AV585" s="36">
        <v>1</v>
      </c>
      <c r="AW585">
        <v>0</v>
      </c>
      <c r="AX585">
        <v>0</v>
      </c>
    </row>
    <row r="586" spans="1:50" x14ac:dyDescent="0.25">
      <c r="A586" s="36"/>
      <c r="B586" t="s">
        <v>119</v>
      </c>
      <c r="C586" s="36" t="str">
        <f>'Status Thresholds'!B577</f>
        <v>Rajang</v>
      </c>
      <c r="E586" s="36" t="str">
        <f t="shared" si="21"/>
        <v>Rajang</v>
      </c>
      <c r="F586" s="36" t="str">
        <f>IFERROR(VLOOKUP($E586,'Status Thresholds'!$E:$AS,1,FALSE),"")</f>
        <v/>
      </c>
      <c r="G586" t="s">
        <v>21</v>
      </c>
      <c r="H586" s="55" t="str">
        <f t="shared" si="22"/>
        <v>RajangTriblast</v>
      </c>
      <c r="I586" s="50">
        <v>2</v>
      </c>
      <c r="J586" s="36">
        <v>0</v>
      </c>
      <c r="K586" s="36">
        <v>2</v>
      </c>
      <c r="L586" s="36">
        <v>2</v>
      </c>
      <c r="M586" s="36">
        <v>0</v>
      </c>
      <c r="N586" s="50">
        <v>2</v>
      </c>
      <c r="O586" s="36">
        <v>0</v>
      </c>
      <c r="P586" s="36">
        <v>2</v>
      </c>
      <c r="Q586" s="36">
        <v>2</v>
      </c>
      <c r="R586" s="36">
        <v>0</v>
      </c>
      <c r="S586" s="50">
        <v>0</v>
      </c>
      <c r="T586" s="36">
        <v>1</v>
      </c>
      <c r="U586" s="36">
        <v>2</v>
      </c>
      <c r="V586" s="36">
        <v>2</v>
      </c>
      <c r="W586" s="36">
        <v>0</v>
      </c>
      <c r="X586" s="50">
        <v>0</v>
      </c>
      <c r="Y586" s="36">
        <v>0</v>
      </c>
      <c r="Z586" s="36">
        <v>0</v>
      </c>
      <c r="AA586" s="36">
        <v>0</v>
      </c>
      <c r="AB586" s="36">
        <v>0</v>
      </c>
      <c r="AC586" s="50">
        <v>0</v>
      </c>
      <c r="AD586" s="36">
        <v>1</v>
      </c>
      <c r="AE586" s="36">
        <v>2</v>
      </c>
      <c r="AF586" s="36">
        <v>2</v>
      </c>
      <c r="AG586" s="36">
        <v>0</v>
      </c>
      <c r="AH586" s="50">
        <v>0</v>
      </c>
      <c r="AI586" s="36">
        <v>1</v>
      </c>
      <c r="AJ586" s="36">
        <v>2</v>
      </c>
      <c r="AK586" s="36">
        <v>2</v>
      </c>
      <c r="AL586" s="36">
        <v>0</v>
      </c>
      <c r="AM586" s="50">
        <v>1</v>
      </c>
      <c r="AN586" s="36">
        <v>2</v>
      </c>
      <c r="AO586" s="36">
        <v>2</v>
      </c>
      <c r="AP586" s="36">
        <v>2</v>
      </c>
      <c r="AQ586" s="36">
        <v>0</v>
      </c>
      <c r="AR586" s="50">
        <v>0</v>
      </c>
      <c r="AS586" s="36">
        <v>0</v>
      </c>
      <c r="AT586" s="36">
        <v>0</v>
      </c>
      <c r="AU586" s="36">
        <v>0</v>
      </c>
      <c r="AV586" s="36">
        <v>0</v>
      </c>
      <c r="AW586">
        <v>0</v>
      </c>
      <c r="AX586">
        <v>0</v>
      </c>
    </row>
    <row r="587" spans="1:50" x14ac:dyDescent="0.25">
      <c r="A587" s="36"/>
      <c r="B587" t="s">
        <v>119</v>
      </c>
      <c r="C587" s="36" t="str">
        <f>'Status Thresholds'!B578</f>
        <v>Rajang</v>
      </c>
      <c r="E587" s="36" t="str">
        <f t="shared" si="21"/>
        <v>Rajang</v>
      </c>
      <c r="F587" s="36" t="str">
        <f>IFERROR(VLOOKUP($E587,'Status Thresholds'!$E:$AS,1,FALSE),"")</f>
        <v/>
      </c>
      <c r="G587" t="s">
        <v>13</v>
      </c>
      <c r="H587" s="55" t="str">
        <f t="shared" si="22"/>
        <v>RajangCrag 3</v>
      </c>
      <c r="I587" s="50">
        <v>0</v>
      </c>
      <c r="J587" s="36">
        <v>1</v>
      </c>
      <c r="K587" s="36">
        <v>1</v>
      </c>
      <c r="L587" s="36">
        <v>4</v>
      </c>
      <c r="M587" s="36">
        <v>0</v>
      </c>
      <c r="N587" s="50">
        <v>0</v>
      </c>
      <c r="O587" s="36">
        <v>1</v>
      </c>
      <c r="P587" s="36">
        <v>1</v>
      </c>
      <c r="Q587" s="36">
        <v>4</v>
      </c>
      <c r="R587" s="36">
        <v>0</v>
      </c>
      <c r="S587" s="50">
        <v>3</v>
      </c>
      <c r="T587" s="36">
        <v>3</v>
      </c>
      <c r="U587" s="36">
        <v>4</v>
      </c>
      <c r="V587" s="36">
        <v>4</v>
      </c>
      <c r="W587" s="36">
        <v>0</v>
      </c>
      <c r="X587" s="50">
        <v>0</v>
      </c>
      <c r="Y587" s="36">
        <v>0</v>
      </c>
      <c r="Z587" s="36">
        <v>0</v>
      </c>
      <c r="AA587" s="36">
        <v>0</v>
      </c>
      <c r="AB587" s="36">
        <v>0</v>
      </c>
      <c r="AC587" s="50">
        <v>3</v>
      </c>
      <c r="AD587" s="36">
        <v>3</v>
      </c>
      <c r="AE587" s="36">
        <v>4</v>
      </c>
      <c r="AF587" s="36">
        <v>4</v>
      </c>
      <c r="AG587" s="36">
        <v>0</v>
      </c>
      <c r="AH587" s="50">
        <v>3</v>
      </c>
      <c r="AI587" s="36">
        <v>3</v>
      </c>
      <c r="AJ587" s="36">
        <v>4</v>
      </c>
      <c r="AK587" s="36">
        <v>4</v>
      </c>
      <c r="AL587" s="36">
        <v>0</v>
      </c>
      <c r="AM587" s="50">
        <v>3</v>
      </c>
      <c r="AN587" s="36">
        <v>1</v>
      </c>
      <c r="AO587" s="36">
        <v>4</v>
      </c>
      <c r="AP587" s="36">
        <v>4</v>
      </c>
      <c r="AQ587" s="36">
        <v>0</v>
      </c>
      <c r="AR587" s="50">
        <v>0</v>
      </c>
      <c r="AS587" s="36">
        <v>0</v>
      </c>
      <c r="AT587" s="36">
        <v>0</v>
      </c>
      <c r="AU587" s="36">
        <v>0</v>
      </c>
      <c r="AV587" s="36">
        <v>0</v>
      </c>
      <c r="AW587">
        <v>0</v>
      </c>
      <c r="AX587">
        <v>0</v>
      </c>
    </row>
    <row r="588" spans="1:50" x14ac:dyDescent="0.25">
      <c r="A588" s="36"/>
      <c r="B588" t="s">
        <v>119</v>
      </c>
      <c r="C588" s="36" t="str">
        <f>'Status Thresholds'!B579</f>
        <v>Rajang</v>
      </c>
      <c r="E588" s="36" t="str">
        <f t="shared" si="21"/>
        <v>Rajang</v>
      </c>
      <c r="F588" s="36" t="str">
        <f>IFERROR(VLOOKUP($E588,'Status Thresholds'!$E:$AS,1,FALSE),"")</f>
        <v/>
      </c>
      <c r="G588" t="s">
        <v>12</v>
      </c>
      <c r="H588" s="55" t="str">
        <f t="shared" si="22"/>
        <v>RajangCrag 2</v>
      </c>
      <c r="I588" s="50">
        <v>1</v>
      </c>
      <c r="J588" s="36">
        <v>2</v>
      </c>
      <c r="K588" s="36">
        <v>1</v>
      </c>
      <c r="L588" s="36">
        <v>1</v>
      </c>
      <c r="M588" s="36">
        <v>0</v>
      </c>
      <c r="N588" s="50">
        <v>1</v>
      </c>
      <c r="O588" s="36">
        <v>2</v>
      </c>
      <c r="P588" s="36">
        <v>1</v>
      </c>
      <c r="Q588" s="36">
        <v>1</v>
      </c>
      <c r="R588" s="36">
        <v>0</v>
      </c>
      <c r="S588" s="50">
        <v>2</v>
      </c>
      <c r="T588" s="36">
        <v>0</v>
      </c>
      <c r="U588" s="36">
        <v>0</v>
      </c>
      <c r="V588" s="36">
        <v>4</v>
      </c>
      <c r="W588" s="36">
        <v>0</v>
      </c>
      <c r="X588" s="50">
        <v>0</v>
      </c>
      <c r="Y588" s="36">
        <v>0</v>
      </c>
      <c r="Z588" s="36">
        <v>0</v>
      </c>
      <c r="AA588" s="36">
        <v>0</v>
      </c>
      <c r="AB588" s="36">
        <v>0</v>
      </c>
      <c r="AC588" s="50">
        <v>2</v>
      </c>
      <c r="AD588" s="36">
        <v>0</v>
      </c>
      <c r="AE588" s="36">
        <v>0</v>
      </c>
      <c r="AF588" s="36">
        <v>4</v>
      </c>
      <c r="AG588" s="36">
        <v>0</v>
      </c>
      <c r="AH588" s="50">
        <v>2</v>
      </c>
      <c r="AI588" s="36">
        <v>0</v>
      </c>
      <c r="AJ588" s="36">
        <v>0</v>
      </c>
      <c r="AK588" s="36">
        <v>4</v>
      </c>
      <c r="AL588" s="36">
        <v>0</v>
      </c>
      <c r="AM588" s="50">
        <v>1</v>
      </c>
      <c r="AN588" s="36">
        <v>4</v>
      </c>
      <c r="AO588" s="36">
        <v>4</v>
      </c>
      <c r="AP588" s="36">
        <v>4</v>
      </c>
      <c r="AQ588" s="36">
        <v>0</v>
      </c>
      <c r="AR588" s="50">
        <v>0</v>
      </c>
      <c r="AS588" s="36">
        <v>0</v>
      </c>
      <c r="AT588" s="36">
        <v>0</v>
      </c>
      <c r="AU588" s="36">
        <v>0</v>
      </c>
      <c r="AV588" s="36">
        <v>0</v>
      </c>
      <c r="AW588">
        <v>0</v>
      </c>
      <c r="AX588">
        <v>0</v>
      </c>
    </row>
    <row r="589" spans="1:50" x14ac:dyDescent="0.25">
      <c r="A589" s="36"/>
      <c r="B589" t="s">
        <v>119</v>
      </c>
      <c r="C589" s="36" t="str">
        <f>'Status Thresholds'!B580</f>
        <v>Rajang</v>
      </c>
      <c r="E589" s="36" t="str">
        <f t="shared" si="21"/>
        <v>Rajang</v>
      </c>
      <c r="F589" s="36" t="str">
        <f>IFERROR(VLOOKUP($E589,'Status Thresholds'!$E:$AS,1,FALSE),"")</f>
        <v/>
      </c>
      <c r="G589" t="s">
        <v>11</v>
      </c>
      <c r="H589" s="55" t="str">
        <f t="shared" si="22"/>
        <v>RajangCrag 1</v>
      </c>
      <c r="I589" s="50">
        <v>0</v>
      </c>
      <c r="J589" s="36">
        <v>8</v>
      </c>
      <c r="K589" s="36">
        <v>8</v>
      </c>
      <c r="L589" s="36">
        <v>8</v>
      </c>
      <c r="M589" s="36">
        <v>0</v>
      </c>
      <c r="N589" s="50">
        <v>0</v>
      </c>
      <c r="O589" s="36">
        <v>8</v>
      </c>
      <c r="P589" s="36">
        <v>8</v>
      </c>
      <c r="Q589" s="36">
        <v>8</v>
      </c>
      <c r="R589" s="36">
        <v>0</v>
      </c>
      <c r="S589" s="50">
        <v>1</v>
      </c>
      <c r="T589" s="36">
        <v>6</v>
      </c>
      <c r="U589" s="36">
        <v>7</v>
      </c>
      <c r="V589" s="36">
        <v>8</v>
      </c>
      <c r="W589" s="36">
        <v>0</v>
      </c>
      <c r="X589" s="50">
        <v>0</v>
      </c>
      <c r="Y589" s="36">
        <v>0</v>
      </c>
      <c r="Z589" s="36">
        <v>0</v>
      </c>
      <c r="AA589" s="36">
        <v>0</v>
      </c>
      <c r="AB589" s="36">
        <v>0</v>
      </c>
      <c r="AC589" s="50">
        <v>1</v>
      </c>
      <c r="AD589" s="36">
        <v>6</v>
      </c>
      <c r="AE589" s="36">
        <v>7</v>
      </c>
      <c r="AF589" s="36">
        <v>8</v>
      </c>
      <c r="AG589" s="36">
        <v>0</v>
      </c>
      <c r="AH589" s="50">
        <v>1</v>
      </c>
      <c r="AI589" s="36">
        <v>6</v>
      </c>
      <c r="AJ589" s="36">
        <v>7</v>
      </c>
      <c r="AK589" s="36">
        <v>8</v>
      </c>
      <c r="AL589" s="36">
        <v>0</v>
      </c>
      <c r="AM589" s="50">
        <v>2</v>
      </c>
      <c r="AN589" s="36">
        <v>6</v>
      </c>
      <c r="AO589" s="36">
        <v>8</v>
      </c>
      <c r="AP589" s="36">
        <v>8</v>
      </c>
      <c r="AQ589" s="36">
        <v>0</v>
      </c>
      <c r="AR589" s="50">
        <v>0</v>
      </c>
      <c r="AS589" s="36">
        <v>0</v>
      </c>
      <c r="AT589" s="36">
        <v>0</v>
      </c>
      <c r="AU589" s="36">
        <v>0</v>
      </c>
      <c r="AV589" s="36">
        <v>1</v>
      </c>
      <c r="AW589">
        <v>0</v>
      </c>
      <c r="AX589">
        <v>0</v>
      </c>
    </row>
    <row r="590" spans="1:50" x14ac:dyDescent="0.25">
      <c r="A590" s="36"/>
      <c r="B590" t="s">
        <v>121</v>
      </c>
      <c r="C590" s="36" t="str">
        <f>'Status Thresholds'!B581</f>
        <v>Rajang (Furious)</v>
      </c>
      <c r="D590" t="s">
        <v>14</v>
      </c>
      <c r="E590" s="36" t="str">
        <f t="shared" si="21"/>
        <v>Rajang (Furious)KO</v>
      </c>
      <c r="F590" s="36" t="str">
        <f>IFERROR(VLOOKUP($E590,'Status Thresholds'!$E:$AS,1,FALSE),"")</f>
        <v>Rajang (Furious)KO</v>
      </c>
      <c r="H590" s="55" t="str">
        <f t="shared" si="22"/>
        <v>Rajang (Furious)KO</v>
      </c>
      <c r="I590" s="50">
        <f>VLOOKUP($F590,'Status Thresholds'!$E:$AS,2,FALSE)</f>
        <v>195</v>
      </c>
      <c r="J590" s="36">
        <f>VLOOKUP($F590,'Status Thresholds'!$E:$AS,3,FALSE)</f>
        <v>195</v>
      </c>
      <c r="K590" s="36">
        <f>VLOOKUP($F590,'Status Thresholds'!$E:$AS,4,FALSE)</f>
        <v>195</v>
      </c>
      <c r="L590" s="36">
        <f>VLOOKUP($F590,'Status Thresholds'!$E:$AS,5,FALSE)</f>
        <v>195</v>
      </c>
      <c r="M590" s="36">
        <f>VLOOKUP($F590,'Status Thresholds'!$E:$AS,6,FALSE)</f>
        <v>0</v>
      </c>
      <c r="N590" s="50">
        <f>VLOOKUP($F590,'Status Thresholds'!$E:$AS,7,FALSE)</f>
        <v>195</v>
      </c>
      <c r="O590" s="36">
        <f>VLOOKUP($F590,'Status Thresholds'!$E:$AS,8,FALSE)</f>
        <v>325</v>
      </c>
      <c r="P590" s="36">
        <f>VLOOKUP($F590,'Status Thresholds'!$E:$AS,9,FALSE)</f>
        <v>455</v>
      </c>
      <c r="Q590" s="36">
        <f>VLOOKUP($F590,'Status Thresholds'!$E:$AS,10,FALSE)</f>
        <v>585</v>
      </c>
      <c r="R590" s="36">
        <f>VLOOKUP($F590,'Status Thresholds'!$E:$AS,11,FALSE)</f>
        <v>0</v>
      </c>
      <c r="S590" s="50">
        <f>VLOOKUP($F590,'Status Thresholds'!$E:$AS,12,FALSE)</f>
        <v>0</v>
      </c>
      <c r="T590" s="36">
        <f>VLOOKUP($F590,'Status Thresholds'!$E:$AS,13,FALSE)</f>
        <v>0</v>
      </c>
      <c r="U590" s="36">
        <f>VLOOKUP($F590,'Status Thresholds'!$E:$AS,14,FALSE)</f>
        <v>0</v>
      </c>
      <c r="V590" s="36">
        <f>VLOOKUP($F590,'Status Thresholds'!$E:$AS,15,FALSE)</f>
        <v>0</v>
      </c>
      <c r="W590" s="36">
        <f>VLOOKUP($F590,'Status Thresholds'!$E:$AS,16,FALSE)</f>
        <v>0</v>
      </c>
      <c r="X590" s="50">
        <f>VLOOKUP($F590,'Status Thresholds'!$E:$AS,17,FALSE)</f>
        <v>0</v>
      </c>
      <c r="Y590" s="36">
        <f>VLOOKUP($F590,'Status Thresholds'!$E:$AS,18,FALSE)</f>
        <v>0</v>
      </c>
      <c r="Z590" s="36">
        <f>VLOOKUP($F590,'Status Thresholds'!$E:$AS,19,FALSE)</f>
        <v>0</v>
      </c>
      <c r="AA590" s="36">
        <f>VLOOKUP($F590,'Status Thresholds'!$E:$AS,20,FALSE)</f>
        <v>0</v>
      </c>
      <c r="AB590" s="36">
        <f>VLOOKUP($F590,'Status Thresholds'!$E:$AS,21,FALSE)</f>
        <v>0</v>
      </c>
      <c r="AC590" s="50">
        <f>VLOOKUP($F590,'Status Thresholds'!$E:$AS,22,FALSE)</f>
        <v>225</v>
      </c>
      <c r="AD590" s="36">
        <f>VLOOKUP($F590,'Status Thresholds'!$E:$AS,23,FALSE)</f>
        <v>375</v>
      </c>
      <c r="AE590" s="36">
        <f>VLOOKUP($F590,'Status Thresholds'!$E:$AS,24,FALSE)</f>
        <v>525</v>
      </c>
      <c r="AF590" s="36">
        <f>VLOOKUP($F590,'Status Thresholds'!$E:$AS,25,FALSE)</f>
        <v>675</v>
      </c>
      <c r="AG590" s="36">
        <f>VLOOKUP($F590,'Status Thresholds'!$E:$AS,26,FALSE)</f>
        <v>0</v>
      </c>
      <c r="AH590" s="50">
        <f>VLOOKUP($F590,'Status Thresholds'!$E:$AS,27,FALSE)</f>
        <v>0</v>
      </c>
      <c r="AI590" s="36">
        <f>VLOOKUP($F590,'Status Thresholds'!$E:$AS,28,FALSE)</f>
        <v>0</v>
      </c>
      <c r="AJ590" s="36">
        <f>VLOOKUP($F590,'Status Thresholds'!$E:$AS,29,FALSE)</f>
        <v>0</v>
      </c>
      <c r="AK590" s="36">
        <f>VLOOKUP($F590,'Status Thresholds'!$E:$AS,30,FALSE)</f>
        <v>0</v>
      </c>
      <c r="AL590" s="36">
        <f>VLOOKUP($F590,'Status Thresholds'!$E:$AS,31,FALSE)</f>
        <v>0</v>
      </c>
      <c r="AM590" s="50">
        <f>VLOOKUP($F590,'Status Thresholds'!$E:$AS,32,FALSE)</f>
        <v>0</v>
      </c>
      <c r="AN590" s="36">
        <f>VLOOKUP($F590,'Status Thresholds'!$E:$AS,33,FALSE)</f>
        <v>0</v>
      </c>
      <c r="AO590" s="36">
        <f>VLOOKUP($F590,'Status Thresholds'!$E:$AS,34,FALSE)</f>
        <v>0</v>
      </c>
      <c r="AP590" s="36">
        <f>VLOOKUP($F590,'Status Thresholds'!$E:$AS,35,FALSE)</f>
        <v>0</v>
      </c>
      <c r="AQ590" s="36">
        <f>VLOOKUP($F590,'Status Thresholds'!$E:$AS,36,FALSE)</f>
        <v>0</v>
      </c>
      <c r="AR590" s="50">
        <f>VLOOKUP($F590,'Status Thresholds'!$E:$AS,37,FALSE)</f>
        <v>0</v>
      </c>
      <c r="AS590" s="36">
        <f>VLOOKUP($F590,'Status Thresholds'!$E:$AS,38,FALSE)</f>
        <v>0</v>
      </c>
      <c r="AT590" s="36">
        <f>VLOOKUP($F590,'Status Thresholds'!$E:$AS,39,FALSE)</f>
        <v>0</v>
      </c>
      <c r="AU590" s="36">
        <f>VLOOKUP($F590,'Status Thresholds'!$E:$AS,40,FALSE)</f>
        <v>0</v>
      </c>
      <c r="AV590" s="36">
        <f>VLOOKUP($F590,'Status Thresholds'!$E:$AS,41,FALSE)</f>
        <v>10</v>
      </c>
      <c r="AW590">
        <v>0</v>
      </c>
      <c r="AX590">
        <v>0</v>
      </c>
    </row>
    <row r="591" spans="1:50" x14ac:dyDescent="0.25">
      <c r="A591" s="36"/>
      <c r="B591" t="s">
        <v>120</v>
      </c>
      <c r="C591" s="36" t="str">
        <f>'Status Thresholds'!B582</f>
        <v>Rajang (Furious)</v>
      </c>
      <c r="E591" s="36" t="str">
        <f t="shared" si="21"/>
        <v>Rajang (Furious)</v>
      </c>
      <c r="F591" s="36" t="str">
        <f>IFERROR(VLOOKUP($E591,'Status Thresholds'!$E:$AS,1,FALSE),"")</f>
        <v/>
      </c>
      <c r="G591" t="s">
        <v>21</v>
      </c>
      <c r="H591" s="55" t="str">
        <f t="shared" si="22"/>
        <v>Rajang (Furious)Triblast</v>
      </c>
      <c r="I591" s="50">
        <v>1</v>
      </c>
      <c r="J591" s="36">
        <v>1</v>
      </c>
      <c r="K591" s="36">
        <v>1</v>
      </c>
      <c r="L591" s="36">
        <v>1</v>
      </c>
      <c r="M591" s="36">
        <v>0</v>
      </c>
      <c r="N591" s="50">
        <v>1</v>
      </c>
      <c r="O591" s="36">
        <v>2</v>
      </c>
      <c r="P591" s="36">
        <v>2</v>
      </c>
      <c r="Q591" s="36">
        <v>2</v>
      </c>
      <c r="R591" s="36">
        <v>0</v>
      </c>
      <c r="S591" s="50">
        <v>0</v>
      </c>
      <c r="T591" s="36">
        <v>0</v>
      </c>
      <c r="U591" s="36">
        <v>0</v>
      </c>
      <c r="V591" s="36">
        <v>0</v>
      </c>
      <c r="W591" s="36">
        <v>0</v>
      </c>
      <c r="X591" s="50">
        <v>0</v>
      </c>
      <c r="Y591" s="36">
        <v>0</v>
      </c>
      <c r="Z591" s="36">
        <v>0</v>
      </c>
      <c r="AA591" s="36">
        <v>0</v>
      </c>
      <c r="AB591" s="36">
        <v>0</v>
      </c>
      <c r="AC591" s="50">
        <v>2</v>
      </c>
      <c r="AD591" s="36">
        <v>1</v>
      </c>
      <c r="AE591" s="36">
        <v>1</v>
      </c>
      <c r="AF591" s="36">
        <v>2</v>
      </c>
      <c r="AG591" s="36">
        <v>0</v>
      </c>
      <c r="AH591" s="50">
        <v>0</v>
      </c>
      <c r="AI591" s="36">
        <v>0</v>
      </c>
      <c r="AJ591" s="36">
        <v>0</v>
      </c>
      <c r="AK591" s="36">
        <v>0</v>
      </c>
      <c r="AL591" s="36">
        <v>0</v>
      </c>
      <c r="AM591" s="50">
        <v>0</v>
      </c>
      <c r="AN591" s="36">
        <v>0</v>
      </c>
      <c r="AO591" s="36">
        <v>0</v>
      </c>
      <c r="AP591" s="36">
        <v>0</v>
      </c>
      <c r="AQ591" s="36">
        <v>0</v>
      </c>
      <c r="AR591" s="50">
        <v>0</v>
      </c>
      <c r="AS591" s="36">
        <v>0</v>
      </c>
      <c r="AT591" s="36">
        <v>0</v>
      </c>
      <c r="AU591" s="36">
        <v>0</v>
      </c>
      <c r="AV591" s="36">
        <v>0</v>
      </c>
      <c r="AW591">
        <v>0</v>
      </c>
    </row>
    <row r="592" spans="1:50" x14ac:dyDescent="0.25">
      <c r="A592" s="36"/>
      <c r="B592" t="s">
        <v>120</v>
      </c>
      <c r="C592" s="36" t="str">
        <f>'Status Thresholds'!B583</f>
        <v>Rajang (Furious)</v>
      </c>
      <c r="E592" s="36" t="str">
        <f t="shared" si="21"/>
        <v>Rajang (Furious)</v>
      </c>
      <c r="F592" s="36" t="str">
        <f>IFERROR(VLOOKUP($E592,'Status Thresholds'!$E:$AS,1,FALSE),"")</f>
        <v/>
      </c>
      <c r="G592" t="s">
        <v>13</v>
      </c>
      <c r="H592" s="55" t="str">
        <f t="shared" si="22"/>
        <v>Rajang (Furious)Crag 3</v>
      </c>
      <c r="I592" s="50">
        <v>0</v>
      </c>
      <c r="J592" s="36">
        <v>0</v>
      </c>
      <c r="K592" s="36">
        <v>0</v>
      </c>
      <c r="L592" s="36">
        <v>0</v>
      </c>
      <c r="M592" s="36">
        <v>0</v>
      </c>
      <c r="N592" s="50">
        <v>0</v>
      </c>
      <c r="O592" s="36">
        <v>0</v>
      </c>
      <c r="P592" s="36">
        <v>4</v>
      </c>
      <c r="Q592" s="36">
        <v>3</v>
      </c>
      <c r="R592" s="36">
        <v>0</v>
      </c>
      <c r="S592" s="50">
        <v>0</v>
      </c>
      <c r="T592" s="36">
        <v>0</v>
      </c>
      <c r="U592" s="36">
        <v>0</v>
      </c>
      <c r="V592" s="36">
        <v>0</v>
      </c>
      <c r="W592" s="36">
        <v>0</v>
      </c>
      <c r="X592" s="50">
        <v>0</v>
      </c>
      <c r="Y592" s="36">
        <v>0</v>
      </c>
      <c r="Z592" s="36">
        <v>0</v>
      </c>
      <c r="AA592" s="36">
        <v>0</v>
      </c>
      <c r="AB592" s="36">
        <v>0</v>
      </c>
      <c r="AC592" s="50">
        <v>0</v>
      </c>
      <c r="AD592" s="36">
        <v>3</v>
      </c>
      <c r="AE592" s="36">
        <v>4</v>
      </c>
      <c r="AF592" s="36">
        <v>4</v>
      </c>
      <c r="AG592" s="36">
        <v>0</v>
      </c>
      <c r="AH592" s="50">
        <v>0</v>
      </c>
      <c r="AI592" s="36">
        <v>0</v>
      </c>
      <c r="AJ592" s="36">
        <v>0</v>
      </c>
      <c r="AK592" s="36">
        <v>0</v>
      </c>
      <c r="AL592" s="36">
        <v>0</v>
      </c>
      <c r="AM592" s="50">
        <v>0</v>
      </c>
      <c r="AN592" s="36">
        <v>0</v>
      </c>
      <c r="AO592" s="36">
        <v>0</v>
      </c>
      <c r="AP592" s="36">
        <v>0</v>
      </c>
      <c r="AQ592" s="36">
        <v>0</v>
      </c>
      <c r="AR592" s="50">
        <v>0</v>
      </c>
      <c r="AS592" s="36">
        <v>0</v>
      </c>
      <c r="AT592" s="36">
        <v>0</v>
      </c>
      <c r="AU592" s="36">
        <v>0</v>
      </c>
      <c r="AV592" s="36">
        <v>0</v>
      </c>
      <c r="AW592">
        <v>0</v>
      </c>
      <c r="AX592">
        <v>0</v>
      </c>
    </row>
    <row r="593" spans="1:50" x14ac:dyDescent="0.25">
      <c r="A593" s="36"/>
      <c r="B593" t="s">
        <v>120</v>
      </c>
      <c r="C593" s="36" t="str">
        <f>'Status Thresholds'!B584</f>
        <v>Rajang (Furious)</v>
      </c>
      <c r="E593" s="36" t="str">
        <f t="shared" si="21"/>
        <v>Rajang (Furious)</v>
      </c>
      <c r="F593" s="36" t="str">
        <f>IFERROR(VLOOKUP($E593,'Status Thresholds'!$E:$AS,1,FALSE),"")</f>
        <v/>
      </c>
      <c r="G593" t="s">
        <v>12</v>
      </c>
      <c r="H593" s="55" t="str">
        <f t="shared" si="22"/>
        <v>Rajang (Furious)Crag 2</v>
      </c>
      <c r="I593" s="50">
        <v>4</v>
      </c>
      <c r="J593" s="36">
        <v>4</v>
      </c>
      <c r="K593" s="36">
        <v>4</v>
      </c>
      <c r="L593" s="36">
        <v>4</v>
      </c>
      <c r="M593" s="36">
        <v>0</v>
      </c>
      <c r="N593" s="50">
        <v>4</v>
      </c>
      <c r="O593" s="36">
        <v>0</v>
      </c>
      <c r="P593" s="36">
        <v>4</v>
      </c>
      <c r="Q593" s="36">
        <v>4</v>
      </c>
      <c r="R593" s="36">
        <v>0</v>
      </c>
      <c r="S593" s="50">
        <v>0</v>
      </c>
      <c r="T593" s="36">
        <v>0</v>
      </c>
      <c r="U593" s="36">
        <v>0</v>
      </c>
      <c r="V593" s="36">
        <v>0</v>
      </c>
      <c r="W593" s="36">
        <v>0</v>
      </c>
      <c r="X593" s="50">
        <v>0</v>
      </c>
      <c r="Y593" s="36">
        <v>0</v>
      </c>
      <c r="Z593" s="36">
        <v>0</v>
      </c>
      <c r="AA593" s="36">
        <v>0</v>
      </c>
      <c r="AB593" s="36">
        <v>0</v>
      </c>
      <c r="AC593" s="50">
        <v>0</v>
      </c>
      <c r="AD593" s="36">
        <v>1</v>
      </c>
      <c r="AE593" s="36">
        <v>3</v>
      </c>
      <c r="AF593" s="36">
        <v>4</v>
      </c>
      <c r="AG593" s="36">
        <v>0</v>
      </c>
      <c r="AH593" s="50">
        <v>0</v>
      </c>
      <c r="AI593" s="36">
        <v>0</v>
      </c>
      <c r="AJ593" s="36">
        <v>0</v>
      </c>
      <c r="AK593" s="36">
        <v>0</v>
      </c>
      <c r="AL593" s="36">
        <v>0</v>
      </c>
      <c r="AM593" s="50">
        <v>0</v>
      </c>
      <c r="AN593" s="36">
        <v>0</v>
      </c>
      <c r="AO593" s="36">
        <v>0</v>
      </c>
      <c r="AP593" s="36">
        <v>0</v>
      </c>
      <c r="AQ593" s="36">
        <v>0</v>
      </c>
      <c r="AR593" s="50">
        <v>0</v>
      </c>
      <c r="AS593" s="36">
        <v>0</v>
      </c>
      <c r="AT593" s="36">
        <v>0</v>
      </c>
      <c r="AU593" s="36">
        <v>0</v>
      </c>
      <c r="AV593" s="36">
        <v>0</v>
      </c>
      <c r="AW593">
        <v>0</v>
      </c>
      <c r="AX593">
        <v>0</v>
      </c>
    </row>
    <row r="594" spans="1:50" x14ac:dyDescent="0.25">
      <c r="A594" s="36"/>
      <c r="B594" t="s">
        <v>120</v>
      </c>
      <c r="C594" s="36" t="str">
        <f>'Status Thresholds'!B585</f>
        <v>Rajang (Furious)</v>
      </c>
      <c r="E594" s="36" t="str">
        <f t="shared" si="21"/>
        <v>Rajang (Furious)</v>
      </c>
      <c r="F594" s="36" t="str">
        <f>IFERROR(VLOOKUP($E594,'Status Thresholds'!$E:$AS,1,FALSE),"")</f>
        <v/>
      </c>
      <c r="G594" t="s">
        <v>11</v>
      </c>
      <c r="H594" s="55" t="str">
        <f t="shared" si="22"/>
        <v>Rajang (Furious)Crag 1</v>
      </c>
      <c r="I594" s="50">
        <v>0</v>
      </c>
      <c r="J594" s="36">
        <v>0</v>
      </c>
      <c r="K594" s="36">
        <v>0</v>
      </c>
      <c r="L594" s="36">
        <v>0</v>
      </c>
      <c r="M594" s="36">
        <v>0</v>
      </c>
      <c r="N594" s="50">
        <v>0</v>
      </c>
      <c r="O594" s="36">
        <v>7</v>
      </c>
      <c r="P594" s="36">
        <v>1</v>
      </c>
      <c r="Q594" s="36">
        <v>8</v>
      </c>
      <c r="R594" s="36">
        <v>0</v>
      </c>
      <c r="S594" s="50">
        <v>0</v>
      </c>
      <c r="T594" s="36">
        <v>0</v>
      </c>
      <c r="U594" s="36">
        <v>0</v>
      </c>
      <c r="V594" s="36">
        <v>0</v>
      </c>
      <c r="W594" s="36">
        <v>0</v>
      </c>
      <c r="X594" s="50">
        <v>0</v>
      </c>
      <c r="Y594" s="36">
        <v>0</v>
      </c>
      <c r="Z594" s="36">
        <v>0</v>
      </c>
      <c r="AA594" s="36">
        <v>0</v>
      </c>
      <c r="AB594" s="36">
        <v>0</v>
      </c>
      <c r="AC594" s="50">
        <v>3</v>
      </c>
      <c r="AD594" s="36">
        <v>6</v>
      </c>
      <c r="AE594" s="36">
        <v>8</v>
      </c>
      <c r="AF594" s="36">
        <v>8</v>
      </c>
      <c r="AG594" s="36">
        <v>0</v>
      </c>
      <c r="AH594" s="50">
        <v>0</v>
      </c>
      <c r="AI594" s="36">
        <v>0</v>
      </c>
      <c r="AJ594" s="36">
        <v>0</v>
      </c>
      <c r="AK594" s="36">
        <v>0</v>
      </c>
      <c r="AL594" s="36">
        <v>0</v>
      </c>
      <c r="AM594" s="50">
        <v>0</v>
      </c>
      <c r="AN594" s="36">
        <v>0</v>
      </c>
      <c r="AO594" s="36">
        <v>0</v>
      </c>
      <c r="AP594" s="36">
        <v>0</v>
      </c>
      <c r="AQ594" s="36">
        <v>0</v>
      </c>
      <c r="AR594" s="50">
        <v>0</v>
      </c>
      <c r="AS594" s="36">
        <v>0</v>
      </c>
      <c r="AT594" s="36">
        <v>0</v>
      </c>
      <c r="AU594" s="36">
        <v>0</v>
      </c>
      <c r="AV594" s="36">
        <v>1</v>
      </c>
      <c r="AW594">
        <v>0</v>
      </c>
      <c r="AX594">
        <v>0</v>
      </c>
    </row>
    <row r="595" spans="1:50" x14ac:dyDescent="0.25">
      <c r="A595" s="36"/>
      <c r="B595" t="s">
        <v>119</v>
      </c>
      <c r="C595" s="36" t="str">
        <f>'Status Thresholds'!B586</f>
        <v>Rajang (Furious)</v>
      </c>
      <c r="E595" s="36" t="str">
        <f t="shared" si="21"/>
        <v>Rajang (Furious)</v>
      </c>
      <c r="F595" s="36" t="str">
        <f>IFERROR(VLOOKUP($E595,'Status Thresholds'!$E:$AS,1,FALSE),"")</f>
        <v/>
      </c>
      <c r="G595" t="s">
        <v>21</v>
      </c>
      <c r="H595" s="55" t="str">
        <f t="shared" si="22"/>
        <v>Rajang (Furious)Triblast</v>
      </c>
      <c r="I595" s="50">
        <v>2</v>
      </c>
      <c r="J595" s="36">
        <v>2</v>
      </c>
      <c r="K595" s="36">
        <v>2</v>
      </c>
      <c r="L595" s="36">
        <v>2</v>
      </c>
      <c r="M595" s="36">
        <v>0</v>
      </c>
      <c r="N595" s="50">
        <v>2</v>
      </c>
      <c r="O595" s="36">
        <v>0</v>
      </c>
      <c r="P595" s="36">
        <v>2</v>
      </c>
      <c r="Q595" s="36">
        <v>2</v>
      </c>
      <c r="R595" s="36">
        <v>0</v>
      </c>
      <c r="S595" s="50">
        <v>0</v>
      </c>
      <c r="T595" s="36">
        <v>0</v>
      </c>
      <c r="U595" s="36">
        <v>0</v>
      </c>
      <c r="V595" s="36">
        <v>0</v>
      </c>
      <c r="W595" s="36">
        <v>0</v>
      </c>
      <c r="X595" s="50">
        <v>0</v>
      </c>
      <c r="Y595" s="36">
        <v>0</v>
      </c>
      <c r="Z595" s="36">
        <v>0</v>
      </c>
      <c r="AA595" s="36">
        <v>0</v>
      </c>
      <c r="AB595" s="36">
        <v>0</v>
      </c>
      <c r="AC595" s="50">
        <v>0</v>
      </c>
      <c r="AD595" s="36">
        <v>1</v>
      </c>
      <c r="AE595" s="36">
        <v>2</v>
      </c>
      <c r="AF595" s="36">
        <v>2</v>
      </c>
      <c r="AG595" s="36">
        <v>0</v>
      </c>
      <c r="AH595" s="50">
        <v>0</v>
      </c>
      <c r="AI595" s="36">
        <v>0</v>
      </c>
      <c r="AJ595" s="36">
        <v>0</v>
      </c>
      <c r="AK595" s="36">
        <v>0</v>
      </c>
      <c r="AL595" s="36">
        <v>0</v>
      </c>
      <c r="AM595" s="50">
        <v>0</v>
      </c>
      <c r="AN595" s="36">
        <v>0</v>
      </c>
      <c r="AO595" s="36">
        <v>0</v>
      </c>
      <c r="AP595" s="36">
        <v>0</v>
      </c>
      <c r="AQ595" s="36">
        <v>0</v>
      </c>
      <c r="AR595" s="50">
        <v>0</v>
      </c>
      <c r="AS595" s="36">
        <v>0</v>
      </c>
      <c r="AT595" s="36">
        <v>0</v>
      </c>
      <c r="AU595" s="36">
        <v>0</v>
      </c>
      <c r="AV595" s="36">
        <v>0</v>
      </c>
      <c r="AW595">
        <v>0</v>
      </c>
      <c r="AX595">
        <v>0</v>
      </c>
    </row>
    <row r="596" spans="1:50" x14ac:dyDescent="0.25">
      <c r="A596" s="36"/>
      <c r="B596" t="s">
        <v>119</v>
      </c>
      <c r="C596" s="36" t="str">
        <f>'Status Thresholds'!B587</f>
        <v>Rajang (Furious)</v>
      </c>
      <c r="E596" s="36" t="str">
        <f t="shared" si="21"/>
        <v>Rajang (Furious)</v>
      </c>
      <c r="F596" s="36" t="str">
        <f>IFERROR(VLOOKUP($E596,'Status Thresholds'!$E:$AS,1,FALSE),"")</f>
        <v/>
      </c>
      <c r="G596" t="s">
        <v>13</v>
      </c>
      <c r="H596" s="55" t="str">
        <f t="shared" si="22"/>
        <v>Rajang (Furious)Crag 3</v>
      </c>
      <c r="I596" s="50">
        <v>0</v>
      </c>
      <c r="J596" s="36">
        <v>0</v>
      </c>
      <c r="K596" s="36">
        <v>0</v>
      </c>
      <c r="L596" s="36">
        <v>0</v>
      </c>
      <c r="M596" s="36">
        <v>0</v>
      </c>
      <c r="N596" s="50">
        <v>0</v>
      </c>
      <c r="O596" s="36">
        <v>1</v>
      </c>
      <c r="P596" s="36">
        <v>1</v>
      </c>
      <c r="Q596" s="36">
        <v>4</v>
      </c>
      <c r="R596" s="36">
        <v>0</v>
      </c>
      <c r="S596" s="50">
        <v>0</v>
      </c>
      <c r="T596" s="36">
        <v>0</v>
      </c>
      <c r="U596" s="36">
        <v>0</v>
      </c>
      <c r="V596" s="36">
        <v>0</v>
      </c>
      <c r="W596" s="36">
        <v>0</v>
      </c>
      <c r="X596" s="50">
        <v>0</v>
      </c>
      <c r="Y596" s="36">
        <v>0</v>
      </c>
      <c r="Z596" s="36">
        <v>0</v>
      </c>
      <c r="AA596" s="36">
        <v>0</v>
      </c>
      <c r="AB596" s="36">
        <v>0</v>
      </c>
      <c r="AC596" s="50">
        <v>3</v>
      </c>
      <c r="AD596" s="36">
        <v>3</v>
      </c>
      <c r="AE596" s="36">
        <v>4</v>
      </c>
      <c r="AF596" s="36">
        <v>4</v>
      </c>
      <c r="AG596" s="36">
        <v>0</v>
      </c>
      <c r="AH596" s="50">
        <v>0</v>
      </c>
      <c r="AI596" s="36">
        <v>0</v>
      </c>
      <c r="AJ596" s="36">
        <v>0</v>
      </c>
      <c r="AK596" s="36">
        <v>0</v>
      </c>
      <c r="AL596" s="36">
        <v>0</v>
      </c>
      <c r="AM596" s="50">
        <v>0</v>
      </c>
      <c r="AN596" s="36">
        <v>0</v>
      </c>
      <c r="AO596" s="36">
        <v>0</v>
      </c>
      <c r="AP596" s="36">
        <v>0</v>
      </c>
      <c r="AQ596" s="36">
        <v>0</v>
      </c>
      <c r="AR596" s="50">
        <v>0</v>
      </c>
      <c r="AS596" s="36">
        <v>0</v>
      </c>
      <c r="AT596" s="36">
        <v>0</v>
      </c>
      <c r="AU596" s="36">
        <v>0</v>
      </c>
      <c r="AV596" s="36">
        <v>0</v>
      </c>
      <c r="AW596">
        <v>0</v>
      </c>
      <c r="AX596">
        <v>0</v>
      </c>
    </row>
    <row r="597" spans="1:50" x14ac:dyDescent="0.25">
      <c r="A597" s="36"/>
      <c r="B597" t="s">
        <v>119</v>
      </c>
      <c r="C597" s="36" t="str">
        <f>'Status Thresholds'!B588</f>
        <v>Rajang (Furious)</v>
      </c>
      <c r="E597" s="36" t="str">
        <f t="shared" si="21"/>
        <v>Rajang (Furious)</v>
      </c>
      <c r="F597" s="36" t="str">
        <f>IFERROR(VLOOKUP($E597,'Status Thresholds'!$E:$AS,1,FALSE),"")</f>
        <v/>
      </c>
      <c r="G597" t="s">
        <v>12</v>
      </c>
      <c r="H597" s="55" t="str">
        <f t="shared" si="22"/>
        <v>Rajang (Furious)Crag 2</v>
      </c>
      <c r="I597" s="50">
        <v>1</v>
      </c>
      <c r="J597" s="36">
        <v>1</v>
      </c>
      <c r="K597" s="36">
        <v>1</v>
      </c>
      <c r="L597" s="36">
        <v>1</v>
      </c>
      <c r="M597" s="36">
        <v>0</v>
      </c>
      <c r="N597" s="50">
        <v>1</v>
      </c>
      <c r="O597" s="36">
        <v>2</v>
      </c>
      <c r="P597" s="36">
        <v>1</v>
      </c>
      <c r="Q597" s="36">
        <v>1</v>
      </c>
      <c r="R597" s="36">
        <v>0</v>
      </c>
      <c r="S597" s="50">
        <v>0</v>
      </c>
      <c r="T597" s="36">
        <v>0</v>
      </c>
      <c r="U597" s="36">
        <v>0</v>
      </c>
      <c r="V597" s="36">
        <v>0</v>
      </c>
      <c r="W597" s="36">
        <v>0</v>
      </c>
      <c r="X597" s="50">
        <v>0</v>
      </c>
      <c r="Y597" s="36">
        <v>0</v>
      </c>
      <c r="Z597" s="36">
        <v>0</v>
      </c>
      <c r="AA597" s="36">
        <v>0</v>
      </c>
      <c r="AB597" s="36">
        <v>0</v>
      </c>
      <c r="AC597" s="50">
        <v>2</v>
      </c>
      <c r="AD597" s="36">
        <v>0</v>
      </c>
      <c r="AE597" s="36">
        <v>0</v>
      </c>
      <c r="AF597" s="36">
        <v>4</v>
      </c>
      <c r="AG597" s="36">
        <v>0</v>
      </c>
      <c r="AH597" s="50">
        <v>0</v>
      </c>
      <c r="AI597" s="36">
        <v>0</v>
      </c>
      <c r="AJ597" s="36">
        <v>0</v>
      </c>
      <c r="AK597" s="36">
        <v>0</v>
      </c>
      <c r="AL597" s="36">
        <v>0</v>
      </c>
      <c r="AM597" s="50">
        <v>0</v>
      </c>
      <c r="AN597" s="36">
        <v>0</v>
      </c>
      <c r="AO597" s="36">
        <v>0</v>
      </c>
      <c r="AP597" s="36">
        <v>0</v>
      </c>
      <c r="AQ597" s="36">
        <v>0</v>
      </c>
      <c r="AR597" s="50">
        <v>0</v>
      </c>
      <c r="AS597" s="36">
        <v>0</v>
      </c>
      <c r="AT597" s="36">
        <v>0</v>
      </c>
      <c r="AU597" s="36">
        <v>0</v>
      </c>
      <c r="AV597" s="36">
        <v>0</v>
      </c>
      <c r="AW597">
        <v>0</v>
      </c>
      <c r="AX597">
        <v>0</v>
      </c>
    </row>
    <row r="598" spans="1:50" x14ac:dyDescent="0.25">
      <c r="A598" s="36"/>
      <c r="B598" t="s">
        <v>119</v>
      </c>
      <c r="C598" s="36" t="str">
        <f>'Status Thresholds'!B589</f>
        <v>Rajang (Furious)</v>
      </c>
      <c r="E598" s="36" t="str">
        <f t="shared" si="21"/>
        <v>Rajang (Furious)</v>
      </c>
      <c r="F598" s="36" t="str">
        <f>IFERROR(VLOOKUP($E598,'Status Thresholds'!$E:$AS,1,FALSE),"")</f>
        <v/>
      </c>
      <c r="G598" t="s">
        <v>11</v>
      </c>
      <c r="H598" s="55" t="str">
        <f t="shared" si="22"/>
        <v>Rajang (Furious)Crag 1</v>
      </c>
      <c r="I598" s="50">
        <v>0</v>
      </c>
      <c r="J598" s="36">
        <v>0</v>
      </c>
      <c r="K598" s="36">
        <v>0</v>
      </c>
      <c r="L598" s="36">
        <v>0</v>
      </c>
      <c r="M598" s="36">
        <v>0</v>
      </c>
      <c r="N598" s="50">
        <v>0</v>
      </c>
      <c r="O598" s="36">
        <v>8</v>
      </c>
      <c r="P598" s="36">
        <v>8</v>
      </c>
      <c r="Q598" s="36">
        <v>8</v>
      </c>
      <c r="R598" s="36">
        <v>0</v>
      </c>
      <c r="S598" s="50">
        <v>0</v>
      </c>
      <c r="T598" s="36">
        <v>0</v>
      </c>
      <c r="U598" s="36">
        <v>0</v>
      </c>
      <c r="V598" s="36">
        <v>0</v>
      </c>
      <c r="W598" s="36">
        <v>0</v>
      </c>
      <c r="X598" s="50">
        <v>0</v>
      </c>
      <c r="Y598" s="36">
        <v>0</v>
      </c>
      <c r="Z598" s="36">
        <v>0</v>
      </c>
      <c r="AA598" s="36">
        <v>0</v>
      </c>
      <c r="AB598" s="36">
        <v>0</v>
      </c>
      <c r="AC598" s="50">
        <v>1</v>
      </c>
      <c r="AD598" s="36">
        <v>6</v>
      </c>
      <c r="AE598" s="36">
        <v>7</v>
      </c>
      <c r="AF598" s="36">
        <v>8</v>
      </c>
      <c r="AG598" s="36">
        <v>0</v>
      </c>
      <c r="AH598" s="50">
        <v>0</v>
      </c>
      <c r="AI598" s="36">
        <v>0</v>
      </c>
      <c r="AJ598" s="36">
        <v>0</v>
      </c>
      <c r="AK598" s="36">
        <v>0</v>
      </c>
      <c r="AL598" s="36">
        <v>0</v>
      </c>
      <c r="AM598" s="50">
        <v>0</v>
      </c>
      <c r="AN598" s="36">
        <v>0</v>
      </c>
      <c r="AO598" s="36">
        <v>0</v>
      </c>
      <c r="AP598" s="36">
        <v>0</v>
      </c>
      <c r="AQ598" s="36">
        <v>0</v>
      </c>
      <c r="AR598" s="50">
        <v>0</v>
      </c>
      <c r="AS598" s="36">
        <v>0</v>
      </c>
      <c r="AT598" s="36">
        <v>0</v>
      </c>
      <c r="AU598" s="36">
        <v>0</v>
      </c>
      <c r="AV598" s="36">
        <v>1</v>
      </c>
      <c r="AW598">
        <v>0</v>
      </c>
      <c r="AX598">
        <v>0</v>
      </c>
    </row>
    <row r="599" spans="1:50" x14ac:dyDescent="0.25">
      <c r="A599" s="36"/>
      <c r="B599" t="s">
        <v>121</v>
      </c>
      <c r="C599" s="36" t="str">
        <f>'Status Thresholds'!B590</f>
        <v>Rathalos</v>
      </c>
      <c r="D599" t="s">
        <v>14</v>
      </c>
      <c r="E599" s="36" t="str">
        <f t="shared" si="21"/>
        <v>RathalosKO</v>
      </c>
      <c r="F599" s="36" t="str">
        <f>IFERROR(VLOOKUP($E599,'Status Thresholds'!$E:$AS,1,FALSE),"")</f>
        <v>RathalosKO</v>
      </c>
      <c r="H599" s="55" t="str">
        <f t="shared" si="22"/>
        <v>RathalosKO</v>
      </c>
      <c r="I599" s="50">
        <f>VLOOKUP($F599,'Status Thresholds'!$E:$AS,2,FALSE)</f>
        <v>195</v>
      </c>
      <c r="J599" s="36">
        <f>VLOOKUP($F599,'Status Thresholds'!$E:$AS,3,FALSE)</f>
        <v>390</v>
      </c>
      <c r="K599" s="36">
        <f>VLOOKUP($F599,'Status Thresholds'!$E:$AS,4,FALSE)</f>
        <v>585</v>
      </c>
      <c r="L599" s="36">
        <f>VLOOKUP($F599,'Status Thresholds'!$E:$AS,5,FALSE)</f>
        <v>780</v>
      </c>
      <c r="M599" s="36">
        <f>VLOOKUP($F599,'Status Thresholds'!$E:$AS,6,FALSE)</f>
        <v>0</v>
      </c>
      <c r="N599" s="50">
        <f>VLOOKUP($F599,'Status Thresholds'!$E:$AS,7,FALSE)</f>
        <v>195</v>
      </c>
      <c r="O599" s="36">
        <f>VLOOKUP($F599,'Status Thresholds'!$E:$AS,8,FALSE)</f>
        <v>390</v>
      </c>
      <c r="P599" s="36">
        <f>VLOOKUP($F599,'Status Thresholds'!$E:$AS,9,FALSE)</f>
        <v>585</v>
      </c>
      <c r="Q599" s="36">
        <f>VLOOKUP($F599,'Status Thresholds'!$E:$AS,10,FALSE)</f>
        <v>780</v>
      </c>
      <c r="R599" s="36">
        <f>VLOOKUP($F599,'Status Thresholds'!$E:$AS,11,FALSE)</f>
        <v>0</v>
      </c>
      <c r="S599" s="50">
        <f>VLOOKUP($F599,'Status Thresholds'!$E:$AS,12,FALSE)</f>
        <v>195</v>
      </c>
      <c r="T599" s="36">
        <f>VLOOKUP($F599,'Status Thresholds'!$E:$AS,13,FALSE)</f>
        <v>390</v>
      </c>
      <c r="U599" s="36">
        <f>VLOOKUP($F599,'Status Thresholds'!$E:$AS,14,FALSE)</f>
        <v>585</v>
      </c>
      <c r="V599" s="36">
        <f>VLOOKUP($F599,'Status Thresholds'!$E:$AS,15,FALSE)</f>
        <v>780</v>
      </c>
      <c r="W599" s="36">
        <f>VLOOKUP($F599,'Status Thresholds'!$E:$AS,16,FALSE)</f>
        <v>0</v>
      </c>
      <c r="X599" s="50">
        <f>VLOOKUP($F599,'Status Thresholds'!$E:$AS,17,FALSE)</f>
        <v>195</v>
      </c>
      <c r="Y599" s="36">
        <f>VLOOKUP($F599,'Status Thresholds'!$E:$AS,18,FALSE)</f>
        <v>390</v>
      </c>
      <c r="Z599" s="36">
        <f>VLOOKUP($F599,'Status Thresholds'!$E:$AS,19,FALSE)</f>
        <v>585</v>
      </c>
      <c r="AA599" s="36">
        <f>VLOOKUP($F599,'Status Thresholds'!$E:$AS,20,FALSE)</f>
        <v>780</v>
      </c>
      <c r="AB599" s="36">
        <f>VLOOKUP($F599,'Status Thresholds'!$E:$AS,21,FALSE)</f>
        <v>0</v>
      </c>
      <c r="AC599" s="50">
        <f>VLOOKUP($F599,'Status Thresholds'!$E:$AS,22,FALSE)</f>
        <v>225</v>
      </c>
      <c r="AD599" s="36">
        <f>VLOOKUP($F599,'Status Thresholds'!$E:$AS,23,FALSE)</f>
        <v>450</v>
      </c>
      <c r="AE599" s="36">
        <f>VLOOKUP($F599,'Status Thresholds'!$E:$AS,24,FALSE)</f>
        <v>675</v>
      </c>
      <c r="AF599" s="36">
        <f>VLOOKUP($F599,'Status Thresholds'!$E:$AS,25,FALSE)</f>
        <v>900</v>
      </c>
      <c r="AG599" s="36">
        <f>VLOOKUP($F599,'Status Thresholds'!$E:$AS,26,FALSE)</f>
        <v>0</v>
      </c>
      <c r="AH599" s="50">
        <f>VLOOKUP($F599,'Status Thresholds'!$E:$AS,27,FALSE)</f>
        <v>225</v>
      </c>
      <c r="AI599" s="36">
        <f>VLOOKUP($F599,'Status Thresholds'!$E:$AS,28,FALSE)</f>
        <v>450</v>
      </c>
      <c r="AJ599" s="36">
        <f>VLOOKUP($F599,'Status Thresholds'!$E:$AS,29,FALSE)</f>
        <v>675</v>
      </c>
      <c r="AK599" s="36">
        <f>VLOOKUP($F599,'Status Thresholds'!$E:$AS,30,FALSE)</f>
        <v>900</v>
      </c>
      <c r="AL599" s="36">
        <f>VLOOKUP($F599,'Status Thresholds'!$E:$AS,31,FALSE)</f>
        <v>0</v>
      </c>
      <c r="AM599" s="50">
        <f>VLOOKUP($F599,'Status Thresholds'!$E:$AS,32,FALSE)</f>
        <v>300</v>
      </c>
      <c r="AN599" s="36">
        <f>VLOOKUP($F599,'Status Thresholds'!$E:$AS,33,FALSE)</f>
        <v>600</v>
      </c>
      <c r="AO599" s="36">
        <f>VLOOKUP($F599,'Status Thresholds'!$E:$AS,34,FALSE)</f>
        <v>900</v>
      </c>
      <c r="AP599" s="36">
        <f>VLOOKUP($F599,'Status Thresholds'!$E:$AS,35,FALSE)</f>
        <v>1200</v>
      </c>
      <c r="AQ599" s="36">
        <f>VLOOKUP($F599,'Status Thresholds'!$E:$AS,36,FALSE)</f>
        <v>0</v>
      </c>
      <c r="AR599" s="50">
        <f>VLOOKUP($F599,'Status Thresholds'!$E:$AS,37,FALSE)</f>
        <v>0</v>
      </c>
      <c r="AS599" s="36">
        <f>VLOOKUP($F599,'Status Thresholds'!$E:$AS,38,FALSE)</f>
        <v>0</v>
      </c>
      <c r="AT599" s="36">
        <f>VLOOKUP($F599,'Status Thresholds'!$E:$AS,39,FALSE)</f>
        <v>0</v>
      </c>
      <c r="AU599" s="36">
        <f>VLOOKUP($F599,'Status Thresholds'!$E:$AS,40,FALSE)</f>
        <v>0</v>
      </c>
      <c r="AV599" s="36">
        <f>VLOOKUP($F599,'Status Thresholds'!$E:$AS,41,FALSE)</f>
        <v>10</v>
      </c>
      <c r="AW599">
        <v>0</v>
      </c>
      <c r="AX599">
        <v>0</v>
      </c>
    </row>
    <row r="600" spans="1:50" x14ac:dyDescent="0.25">
      <c r="A600" s="36"/>
      <c r="B600" t="s">
        <v>120</v>
      </c>
      <c r="C600" s="36" t="str">
        <f>'Status Thresholds'!B591</f>
        <v>Rathalos</v>
      </c>
      <c r="E600" s="36" t="str">
        <f t="shared" si="21"/>
        <v>Rathalos</v>
      </c>
      <c r="F600" s="36" t="str">
        <f>IFERROR(VLOOKUP($E600,'Status Thresholds'!$E:$AS,1,FALSE),"")</f>
        <v/>
      </c>
      <c r="G600" t="s">
        <v>21</v>
      </c>
      <c r="H600" s="55" t="str">
        <f t="shared" si="22"/>
        <v>RathalosTriblast</v>
      </c>
      <c r="I600" s="50">
        <v>1</v>
      </c>
      <c r="J600" s="36">
        <v>2</v>
      </c>
      <c r="K600" s="36">
        <v>2</v>
      </c>
      <c r="L600" s="36">
        <v>2</v>
      </c>
      <c r="M600" s="36">
        <v>0</v>
      </c>
      <c r="N600" s="50">
        <v>1</v>
      </c>
      <c r="O600" s="36">
        <v>2</v>
      </c>
      <c r="P600" s="36">
        <v>2</v>
      </c>
      <c r="Q600" s="36">
        <v>2</v>
      </c>
      <c r="R600" s="36">
        <v>0</v>
      </c>
      <c r="S600" s="50">
        <v>1</v>
      </c>
      <c r="T600" s="36">
        <v>2</v>
      </c>
      <c r="U600" s="36">
        <v>2</v>
      </c>
      <c r="V600" s="36">
        <v>2</v>
      </c>
      <c r="W600" s="36">
        <v>0</v>
      </c>
      <c r="X600" s="50">
        <v>1</v>
      </c>
      <c r="Y600" s="36">
        <v>2</v>
      </c>
      <c r="Z600" s="36">
        <v>2</v>
      </c>
      <c r="AA600" s="36">
        <v>2</v>
      </c>
      <c r="AB600" s="36">
        <v>0</v>
      </c>
      <c r="AC600" s="50">
        <v>2</v>
      </c>
      <c r="AD600" s="36">
        <v>0</v>
      </c>
      <c r="AE600" s="36">
        <v>2</v>
      </c>
      <c r="AF600" s="36">
        <v>2</v>
      </c>
      <c r="AG600" s="36">
        <v>0</v>
      </c>
      <c r="AH600" s="50">
        <v>2</v>
      </c>
      <c r="AI600" s="36">
        <v>0</v>
      </c>
      <c r="AJ600" s="36">
        <v>2</v>
      </c>
      <c r="AK600" s="36">
        <v>2</v>
      </c>
      <c r="AL600" s="36">
        <v>0</v>
      </c>
      <c r="AM600" s="50">
        <v>2</v>
      </c>
      <c r="AN600" s="36">
        <v>2</v>
      </c>
      <c r="AO600" s="36">
        <v>2</v>
      </c>
      <c r="AP600" s="36">
        <v>2</v>
      </c>
      <c r="AQ600" s="36">
        <v>0</v>
      </c>
      <c r="AR600" s="50">
        <v>0</v>
      </c>
      <c r="AS600" s="36">
        <v>0</v>
      </c>
      <c r="AT600" s="36">
        <v>0</v>
      </c>
      <c r="AU600" s="36">
        <v>0</v>
      </c>
      <c r="AV600" s="36">
        <v>0</v>
      </c>
      <c r="AW600">
        <v>0</v>
      </c>
    </row>
    <row r="601" spans="1:50" x14ac:dyDescent="0.25">
      <c r="A601" s="36"/>
      <c r="B601" t="s">
        <v>120</v>
      </c>
      <c r="C601" s="36" t="str">
        <f>'Status Thresholds'!B592</f>
        <v>Rathalos</v>
      </c>
      <c r="E601" s="36" t="str">
        <f t="shared" si="21"/>
        <v>Rathalos</v>
      </c>
      <c r="F601" s="36" t="str">
        <f>IFERROR(VLOOKUP($E601,'Status Thresholds'!$E:$AS,1,FALSE),"")</f>
        <v/>
      </c>
      <c r="G601" t="s">
        <v>13</v>
      </c>
      <c r="H601" s="55" t="str">
        <f t="shared" si="22"/>
        <v>RathalosCrag 3</v>
      </c>
      <c r="I601" s="50">
        <v>0</v>
      </c>
      <c r="J601" s="36">
        <v>4</v>
      </c>
      <c r="K601" s="36">
        <v>3</v>
      </c>
      <c r="L601" s="36">
        <v>4</v>
      </c>
      <c r="M601" s="36">
        <v>0</v>
      </c>
      <c r="N601" s="50">
        <v>0</v>
      </c>
      <c r="O601" s="36">
        <v>4</v>
      </c>
      <c r="P601" s="36">
        <v>3</v>
      </c>
      <c r="Q601" s="36">
        <v>4</v>
      </c>
      <c r="R601" s="36">
        <v>0</v>
      </c>
      <c r="S601" s="50">
        <v>0</v>
      </c>
      <c r="T601" s="36">
        <v>4</v>
      </c>
      <c r="U601" s="36">
        <v>3</v>
      </c>
      <c r="V601" s="36">
        <v>4</v>
      </c>
      <c r="W601" s="36">
        <v>0</v>
      </c>
      <c r="X601" s="50">
        <v>0</v>
      </c>
      <c r="Y601" s="36">
        <v>4</v>
      </c>
      <c r="Z601" s="36">
        <v>3</v>
      </c>
      <c r="AA601" s="36">
        <v>4</v>
      </c>
      <c r="AB601" s="36">
        <v>0</v>
      </c>
      <c r="AC601" s="50">
        <v>0</v>
      </c>
      <c r="AD601" s="36">
        <v>4</v>
      </c>
      <c r="AE601" s="36">
        <v>4</v>
      </c>
      <c r="AF601" s="36">
        <v>4</v>
      </c>
      <c r="AG601" s="36">
        <v>0</v>
      </c>
      <c r="AH601" s="50">
        <v>0</v>
      </c>
      <c r="AI601" s="36">
        <v>4</v>
      </c>
      <c r="AJ601" s="36">
        <v>4</v>
      </c>
      <c r="AK601" s="36">
        <v>4</v>
      </c>
      <c r="AL601" s="36">
        <v>0</v>
      </c>
      <c r="AM601" s="50">
        <v>3</v>
      </c>
      <c r="AN601" s="36">
        <v>4</v>
      </c>
      <c r="AO601" s="36">
        <v>4</v>
      </c>
      <c r="AP601" s="36">
        <v>4</v>
      </c>
      <c r="AQ601" s="36">
        <v>0</v>
      </c>
      <c r="AR601" s="50">
        <v>0</v>
      </c>
      <c r="AS601" s="36">
        <v>0</v>
      </c>
      <c r="AT601" s="36">
        <v>0</v>
      </c>
      <c r="AU601" s="36">
        <v>0</v>
      </c>
      <c r="AV601" s="36">
        <v>0</v>
      </c>
      <c r="AW601">
        <v>0</v>
      </c>
      <c r="AX601">
        <v>0</v>
      </c>
    </row>
    <row r="602" spans="1:50" x14ac:dyDescent="0.25">
      <c r="A602" s="36"/>
      <c r="B602" t="s">
        <v>120</v>
      </c>
      <c r="C602" s="36" t="str">
        <f>'Status Thresholds'!B593</f>
        <v>Rathalos</v>
      </c>
      <c r="E602" s="36" t="str">
        <f t="shared" si="21"/>
        <v>Rathalos</v>
      </c>
      <c r="F602" s="36" t="str">
        <f>IFERROR(VLOOKUP($E602,'Status Thresholds'!$E:$AS,1,FALSE),"")</f>
        <v/>
      </c>
      <c r="G602" t="s">
        <v>12</v>
      </c>
      <c r="H602" s="55" t="str">
        <f t="shared" si="22"/>
        <v>RathalosCrag 2</v>
      </c>
      <c r="I602" s="50">
        <v>4</v>
      </c>
      <c r="J602" s="36">
        <v>1</v>
      </c>
      <c r="K602" s="36">
        <v>4</v>
      </c>
      <c r="L602" s="36">
        <v>4</v>
      </c>
      <c r="M602" s="36">
        <v>0</v>
      </c>
      <c r="N602" s="50">
        <v>4</v>
      </c>
      <c r="O602" s="36">
        <v>1</v>
      </c>
      <c r="P602" s="36">
        <v>4</v>
      </c>
      <c r="Q602" s="36">
        <v>4</v>
      </c>
      <c r="R602" s="36">
        <v>0</v>
      </c>
      <c r="S602" s="50">
        <v>4</v>
      </c>
      <c r="T602" s="36">
        <v>1</v>
      </c>
      <c r="U602" s="36">
        <v>4</v>
      </c>
      <c r="V602" s="36">
        <v>4</v>
      </c>
      <c r="W602" s="36">
        <v>0</v>
      </c>
      <c r="X602" s="50">
        <v>4</v>
      </c>
      <c r="Y602" s="36">
        <v>1</v>
      </c>
      <c r="Z602" s="36">
        <v>4</v>
      </c>
      <c r="AA602" s="36">
        <v>4</v>
      </c>
      <c r="AB602" s="36">
        <v>0</v>
      </c>
      <c r="AC602" s="50">
        <v>0</v>
      </c>
      <c r="AD602" s="36">
        <v>3</v>
      </c>
      <c r="AE602" s="36">
        <v>4</v>
      </c>
      <c r="AF602" s="36">
        <v>4</v>
      </c>
      <c r="AG602" s="36">
        <v>0</v>
      </c>
      <c r="AH602" s="50">
        <v>0</v>
      </c>
      <c r="AI602" s="36">
        <v>3</v>
      </c>
      <c r="AJ602" s="36">
        <v>4</v>
      </c>
      <c r="AK602" s="36">
        <v>4</v>
      </c>
      <c r="AL602" s="36">
        <v>0</v>
      </c>
      <c r="AM602" s="50">
        <v>1</v>
      </c>
      <c r="AN602" s="36">
        <v>3</v>
      </c>
      <c r="AO602" s="36">
        <v>4</v>
      </c>
      <c r="AP602" s="36">
        <v>4</v>
      </c>
      <c r="AQ602" s="36">
        <v>0</v>
      </c>
      <c r="AR602" s="50">
        <v>0</v>
      </c>
      <c r="AS602" s="36">
        <v>0</v>
      </c>
      <c r="AT602" s="36">
        <v>0</v>
      </c>
      <c r="AU602" s="36">
        <v>0</v>
      </c>
      <c r="AV602" s="36">
        <v>0</v>
      </c>
      <c r="AW602">
        <v>0</v>
      </c>
      <c r="AX602">
        <v>0</v>
      </c>
    </row>
    <row r="603" spans="1:50" x14ac:dyDescent="0.25">
      <c r="A603" s="36"/>
      <c r="B603" t="s">
        <v>120</v>
      </c>
      <c r="C603" s="36" t="str">
        <f>'Status Thresholds'!B594</f>
        <v>Rathalos</v>
      </c>
      <c r="E603" s="36" t="str">
        <f t="shared" si="21"/>
        <v>Rathalos</v>
      </c>
      <c r="F603" s="36" t="str">
        <f>IFERROR(VLOOKUP($E603,'Status Thresholds'!$E:$AS,1,FALSE),"")</f>
        <v/>
      </c>
      <c r="G603" t="s">
        <v>11</v>
      </c>
      <c r="H603" s="55" t="str">
        <f t="shared" si="22"/>
        <v>RathalosCrag 1</v>
      </c>
      <c r="I603" s="50">
        <v>0</v>
      </c>
      <c r="J603" s="36">
        <v>2</v>
      </c>
      <c r="K603" s="36">
        <v>8</v>
      </c>
      <c r="L603" s="36">
        <v>8</v>
      </c>
      <c r="M603" s="36">
        <v>0</v>
      </c>
      <c r="N603" s="50">
        <v>0</v>
      </c>
      <c r="O603" s="36">
        <v>2</v>
      </c>
      <c r="P603" s="36">
        <v>8</v>
      </c>
      <c r="Q603" s="36">
        <v>8</v>
      </c>
      <c r="R603" s="36">
        <v>0</v>
      </c>
      <c r="S603" s="50">
        <v>0</v>
      </c>
      <c r="T603" s="36">
        <v>2</v>
      </c>
      <c r="U603" s="36">
        <v>8</v>
      </c>
      <c r="V603" s="36">
        <v>8</v>
      </c>
      <c r="W603" s="36">
        <v>0</v>
      </c>
      <c r="X603" s="50">
        <v>0</v>
      </c>
      <c r="Y603" s="36">
        <v>2</v>
      </c>
      <c r="Z603" s="36">
        <v>8</v>
      </c>
      <c r="AA603" s="36">
        <v>8</v>
      </c>
      <c r="AB603" s="36">
        <v>0</v>
      </c>
      <c r="AC603" s="50">
        <v>3</v>
      </c>
      <c r="AD603" s="36">
        <v>8</v>
      </c>
      <c r="AE603" s="36">
        <v>8</v>
      </c>
      <c r="AF603" s="36">
        <v>8</v>
      </c>
      <c r="AG603" s="36">
        <v>0</v>
      </c>
      <c r="AH603" s="50">
        <v>3</v>
      </c>
      <c r="AI603" s="36">
        <v>8</v>
      </c>
      <c r="AJ603" s="36">
        <v>8</v>
      </c>
      <c r="AK603" s="36">
        <v>8</v>
      </c>
      <c r="AL603" s="36">
        <v>0</v>
      </c>
      <c r="AM603" s="50">
        <v>0</v>
      </c>
      <c r="AN603" s="36">
        <v>8</v>
      </c>
      <c r="AO603" s="36">
        <v>8</v>
      </c>
      <c r="AP603" s="36">
        <v>8</v>
      </c>
      <c r="AQ603" s="36">
        <v>0</v>
      </c>
      <c r="AR603" s="50">
        <v>0</v>
      </c>
      <c r="AS603" s="36">
        <v>0</v>
      </c>
      <c r="AT603" s="36">
        <v>0</v>
      </c>
      <c r="AU603" s="36">
        <v>0</v>
      </c>
      <c r="AV603" s="36">
        <v>1</v>
      </c>
      <c r="AW603">
        <v>0</v>
      </c>
      <c r="AX603">
        <v>0</v>
      </c>
    </row>
    <row r="604" spans="1:50" x14ac:dyDescent="0.25">
      <c r="A604" s="36"/>
      <c r="B604" t="s">
        <v>119</v>
      </c>
      <c r="C604" s="36" t="str">
        <f>'Status Thresholds'!B595</f>
        <v>Rathalos</v>
      </c>
      <c r="E604" s="36" t="str">
        <f t="shared" si="21"/>
        <v>Rathalos</v>
      </c>
      <c r="F604" s="36" t="str">
        <f>IFERROR(VLOOKUP($E604,'Status Thresholds'!$E:$AS,1,FALSE),"")</f>
        <v/>
      </c>
      <c r="G604" t="s">
        <v>21</v>
      </c>
      <c r="H604" s="55" t="str">
        <f t="shared" si="22"/>
        <v>RathalosTriblast</v>
      </c>
      <c r="I604" s="50">
        <v>2</v>
      </c>
      <c r="J604" s="36">
        <v>2</v>
      </c>
      <c r="K604" s="36">
        <v>2</v>
      </c>
      <c r="L604" s="36">
        <v>2</v>
      </c>
      <c r="M604" s="36">
        <v>0</v>
      </c>
      <c r="N604" s="50">
        <v>2</v>
      </c>
      <c r="O604" s="36">
        <v>2</v>
      </c>
      <c r="P604" s="36">
        <v>2</v>
      </c>
      <c r="Q604" s="36">
        <v>2</v>
      </c>
      <c r="R604" s="36">
        <v>0</v>
      </c>
      <c r="S604" s="50">
        <v>2</v>
      </c>
      <c r="T604" s="36">
        <v>2</v>
      </c>
      <c r="U604" s="36">
        <v>2</v>
      </c>
      <c r="V604" s="36">
        <v>2</v>
      </c>
      <c r="W604" s="36">
        <v>0</v>
      </c>
      <c r="X604" s="50">
        <v>2</v>
      </c>
      <c r="Y604" s="36">
        <v>2</v>
      </c>
      <c r="Z604" s="36">
        <v>2</v>
      </c>
      <c r="AA604" s="36">
        <v>2</v>
      </c>
      <c r="AB604" s="36">
        <v>0</v>
      </c>
      <c r="AC604" s="50">
        <v>0</v>
      </c>
      <c r="AD604" s="36">
        <v>2</v>
      </c>
      <c r="AE604" s="36">
        <v>2</v>
      </c>
      <c r="AF604" s="36">
        <v>2</v>
      </c>
      <c r="AG604" s="36">
        <v>0</v>
      </c>
      <c r="AH604" s="50">
        <v>0</v>
      </c>
      <c r="AI604" s="36">
        <v>2</v>
      </c>
      <c r="AJ604" s="36">
        <v>2</v>
      </c>
      <c r="AK604" s="36">
        <v>2</v>
      </c>
      <c r="AL604" s="36">
        <v>0</v>
      </c>
      <c r="AM604" s="50">
        <v>1</v>
      </c>
      <c r="AN604" s="36">
        <v>2</v>
      </c>
      <c r="AO604" s="36">
        <v>2</v>
      </c>
      <c r="AP604" s="36">
        <v>2</v>
      </c>
      <c r="AQ604" s="36">
        <v>0</v>
      </c>
      <c r="AR604" s="50">
        <v>0</v>
      </c>
      <c r="AS604" s="36">
        <v>0</v>
      </c>
      <c r="AT604" s="36">
        <v>0</v>
      </c>
      <c r="AU604" s="36">
        <v>0</v>
      </c>
      <c r="AV604" s="36">
        <v>0</v>
      </c>
      <c r="AW604">
        <v>0</v>
      </c>
      <c r="AX604">
        <v>0</v>
      </c>
    </row>
    <row r="605" spans="1:50" x14ac:dyDescent="0.25">
      <c r="A605" s="36"/>
      <c r="B605" t="s">
        <v>119</v>
      </c>
      <c r="C605" s="36" t="str">
        <f>'Status Thresholds'!B596</f>
        <v>Rathalos</v>
      </c>
      <c r="E605" s="36" t="str">
        <f t="shared" si="21"/>
        <v>Rathalos</v>
      </c>
      <c r="F605" s="36" t="str">
        <f>IFERROR(VLOOKUP($E605,'Status Thresholds'!$E:$AS,1,FALSE),"")</f>
        <v/>
      </c>
      <c r="G605" t="s">
        <v>13</v>
      </c>
      <c r="H605" s="55" t="str">
        <f t="shared" si="22"/>
        <v>RathalosCrag 3</v>
      </c>
      <c r="I605" s="50">
        <v>0</v>
      </c>
      <c r="J605" s="36">
        <v>0</v>
      </c>
      <c r="K605" s="36">
        <v>4</v>
      </c>
      <c r="L605" s="36">
        <v>4</v>
      </c>
      <c r="M605" s="36">
        <v>0</v>
      </c>
      <c r="N605" s="50">
        <v>0</v>
      </c>
      <c r="O605" s="36">
        <v>0</v>
      </c>
      <c r="P605" s="36">
        <v>4</v>
      </c>
      <c r="Q605" s="36">
        <v>4</v>
      </c>
      <c r="R605" s="36">
        <v>0</v>
      </c>
      <c r="S605" s="50">
        <v>0</v>
      </c>
      <c r="T605" s="36">
        <v>0</v>
      </c>
      <c r="U605" s="36">
        <v>4</v>
      </c>
      <c r="V605" s="36">
        <v>4</v>
      </c>
      <c r="W605" s="36">
        <v>0</v>
      </c>
      <c r="X605" s="50">
        <v>0</v>
      </c>
      <c r="Y605" s="36">
        <v>0</v>
      </c>
      <c r="Z605" s="36">
        <v>4</v>
      </c>
      <c r="AA605" s="36">
        <v>4</v>
      </c>
      <c r="AB605" s="36">
        <v>0</v>
      </c>
      <c r="AC605" s="50">
        <v>3</v>
      </c>
      <c r="AD605" s="36">
        <v>0</v>
      </c>
      <c r="AE605" s="36">
        <v>4</v>
      </c>
      <c r="AF605" s="36">
        <v>4</v>
      </c>
      <c r="AG605" s="36">
        <v>0</v>
      </c>
      <c r="AH605" s="50">
        <v>3</v>
      </c>
      <c r="AI605" s="36">
        <v>0</v>
      </c>
      <c r="AJ605" s="36">
        <v>4</v>
      </c>
      <c r="AK605" s="36">
        <v>4</v>
      </c>
      <c r="AL605" s="36">
        <v>0</v>
      </c>
      <c r="AM605" s="50">
        <v>3</v>
      </c>
      <c r="AN605" s="36">
        <v>4</v>
      </c>
      <c r="AO605" s="36">
        <v>4</v>
      </c>
      <c r="AP605" s="36">
        <v>4</v>
      </c>
      <c r="AQ605" s="36">
        <v>0</v>
      </c>
      <c r="AR605" s="50">
        <v>0</v>
      </c>
      <c r="AS605" s="36">
        <v>0</v>
      </c>
      <c r="AT605" s="36">
        <v>0</v>
      </c>
      <c r="AU605" s="36">
        <v>0</v>
      </c>
      <c r="AV605" s="36">
        <v>0</v>
      </c>
      <c r="AW605">
        <v>0</v>
      </c>
      <c r="AX605">
        <v>0</v>
      </c>
    </row>
    <row r="606" spans="1:50" x14ac:dyDescent="0.25">
      <c r="A606" s="36"/>
      <c r="B606" t="s">
        <v>119</v>
      </c>
      <c r="C606" s="36" t="str">
        <f>'Status Thresholds'!B597</f>
        <v>Rathalos</v>
      </c>
      <c r="E606" s="36" t="str">
        <f t="shared" si="21"/>
        <v>Rathalos</v>
      </c>
      <c r="F606" s="36" t="str">
        <f>IFERROR(VLOOKUP($E606,'Status Thresholds'!$E:$AS,1,FALSE),"")</f>
        <v/>
      </c>
      <c r="G606" t="s">
        <v>12</v>
      </c>
      <c r="H606" s="55" t="str">
        <f t="shared" si="22"/>
        <v>RathalosCrag 2</v>
      </c>
      <c r="I606" s="50">
        <v>1</v>
      </c>
      <c r="J606" s="36">
        <v>2</v>
      </c>
      <c r="K606" s="36">
        <v>1</v>
      </c>
      <c r="L606" s="36">
        <v>4</v>
      </c>
      <c r="M606" s="36">
        <v>0</v>
      </c>
      <c r="N606" s="50">
        <v>1</v>
      </c>
      <c r="O606" s="36">
        <v>2</v>
      </c>
      <c r="P606" s="36">
        <v>1</v>
      </c>
      <c r="Q606" s="36">
        <v>4</v>
      </c>
      <c r="R606" s="36">
        <v>0</v>
      </c>
      <c r="S606" s="50">
        <v>1</v>
      </c>
      <c r="T606" s="36">
        <v>2</v>
      </c>
      <c r="U606" s="36">
        <v>1</v>
      </c>
      <c r="V606" s="36">
        <v>4</v>
      </c>
      <c r="W606" s="36">
        <v>0</v>
      </c>
      <c r="X606" s="50">
        <v>1</v>
      </c>
      <c r="Y606" s="36">
        <v>2</v>
      </c>
      <c r="Z606" s="36">
        <v>1</v>
      </c>
      <c r="AA606" s="36">
        <v>4</v>
      </c>
      <c r="AB606" s="36">
        <v>0</v>
      </c>
      <c r="AC606" s="50">
        <v>2</v>
      </c>
      <c r="AD606" s="36">
        <v>3</v>
      </c>
      <c r="AE606" s="36">
        <v>4</v>
      </c>
      <c r="AF606" s="36">
        <v>4</v>
      </c>
      <c r="AG606" s="36">
        <v>0</v>
      </c>
      <c r="AH606" s="50">
        <v>2</v>
      </c>
      <c r="AI606" s="36">
        <v>3</v>
      </c>
      <c r="AJ606" s="36">
        <v>4</v>
      </c>
      <c r="AK606" s="36">
        <v>4</v>
      </c>
      <c r="AL606" s="36">
        <v>0</v>
      </c>
      <c r="AM606" s="50">
        <v>1</v>
      </c>
      <c r="AN606" s="36">
        <v>4</v>
      </c>
      <c r="AO606" s="36">
        <v>4</v>
      </c>
      <c r="AP606" s="36">
        <v>4</v>
      </c>
      <c r="AQ606" s="36">
        <v>0</v>
      </c>
      <c r="AR606" s="50">
        <v>0</v>
      </c>
      <c r="AS606" s="36">
        <v>0</v>
      </c>
      <c r="AT606" s="36">
        <v>0</v>
      </c>
      <c r="AU606" s="36">
        <v>0</v>
      </c>
      <c r="AV606" s="36">
        <v>0</v>
      </c>
      <c r="AW606">
        <v>0</v>
      </c>
      <c r="AX606">
        <v>0</v>
      </c>
    </row>
    <row r="607" spans="1:50" x14ac:dyDescent="0.25">
      <c r="A607" s="36"/>
      <c r="B607" t="s">
        <v>119</v>
      </c>
      <c r="C607" s="36" t="str">
        <f>'Status Thresholds'!B598</f>
        <v>Rathalos</v>
      </c>
      <c r="E607" s="36" t="str">
        <f t="shared" si="21"/>
        <v>Rathalos</v>
      </c>
      <c r="F607" s="36" t="str">
        <f>IFERROR(VLOOKUP($E607,'Status Thresholds'!$E:$AS,1,FALSE),"")</f>
        <v/>
      </c>
      <c r="G607" t="s">
        <v>11</v>
      </c>
      <c r="H607" s="55" t="str">
        <f t="shared" si="22"/>
        <v>RathalosCrag 1</v>
      </c>
      <c r="I607" s="50">
        <v>0</v>
      </c>
      <c r="J607" s="36">
        <v>6</v>
      </c>
      <c r="K607" s="36">
        <v>8</v>
      </c>
      <c r="L607" s="36">
        <v>8</v>
      </c>
      <c r="M607" s="36">
        <v>0</v>
      </c>
      <c r="N607" s="50">
        <v>0</v>
      </c>
      <c r="O607" s="36">
        <v>6</v>
      </c>
      <c r="P607" s="36">
        <v>8</v>
      </c>
      <c r="Q607" s="36">
        <v>8</v>
      </c>
      <c r="R607" s="36">
        <v>0</v>
      </c>
      <c r="S607" s="50">
        <v>0</v>
      </c>
      <c r="T607" s="36">
        <v>6</v>
      </c>
      <c r="U607" s="36">
        <v>8</v>
      </c>
      <c r="V607" s="36">
        <v>8</v>
      </c>
      <c r="W607" s="36">
        <v>0</v>
      </c>
      <c r="X607" s="50">
        <v>0</v>
      </c>
      <c r="Y607" s="36">
        <v>6</v>
      </c>
      <c r="Z607" s="36">
        <v>8</v>
      </c>
      <c r="AA607" s="36">
        <v>8</v>
      </c>
      <c r="AB607" s="36">
        <v>0</v>
      </c>
      <c r="AC607" s="50">
        <v>1</v>
      </c>
      <c r="AD607" s="36">
        <v>7</v>
      </c>
      <c r="AE607" s="36">
        <v>8</v>
      </c>
      <c r="AF607" s="36">
        <v>8</v>
      </c>
      <c r="AG607" s="36">
        <v>0</v>
      </c>
      <c r="AH607" s="50">
        <v>1</v>
      </c>
      <c r="AI607" s="36">
        <v>7</v>
      </c>
      <c r="AJ607" s="36">
        <v>8</v>
      </c>
      <c r="AK607" s="36">
        <v>8</v>
      </c>
      <c r="AL607" s="36">
        <v>0</v>
      </c>
      <c r="AM607" s="50">
        <v>2</v>
      </c>
      <c r="AN607" s="36">
        <v>5</v>
      </c>
      <c r="AO607" s="36">
        <v>8</v>
      </c>
      <c r="AP607" s="36">
        <v>8</v>
      </c>
      <c r="AQ607" s="36">
        <v>0</v>
      </c>
      <c r="AR607" s="50">
        <v>0</v>
      </c>
      <c r="AS607" s="36">
        <v>0</v>
      </c>
      <c r="AT607" s="36">
        <v>0</v>
      </c>
      <c r="AU607" s="36">
        <v>0</v>
      </c>
      <c r="AV607" s="36">
        <v>1</v>
      </c>
      <c r="AW607">
        <v>0</v>
      </c>
      <c r="AX607">
        <v>0</v>
      </c>
    </row>
    <row r="608" spans="1:50" x14ac:dyDescent="0.25">
      <c r="A608" s="36"/>
      <c r="B608" t="s">
        <v>121</v>
      </c>
      <c r="C608" s="36" t="str">
        <f>'Status Thresholds'!B599</f>
        <v>Rathalos (Silver)</v>
      </c>
      <c r="D608" t="s">
        <v>14</v>
      </c>
      <c r="E608" s="36" t="str">
        <f t="shared" si="21"/>
        <v>Rathalos (Silver)KO</v>
      </c>
      <c r="F608" s="36" t="str">
        <f>IFERROR(VLOOKUP($E608,'Status Thresholds'!$E:$AS,1,FALSE),"")</f>
        <v>Rathalos (Silver)KO</v>
      </c>
      <c r="H608" s="55" t="str">
        <f t="shared" si="22"/>
        <v>Rathalos (Silver)KO</v>
      </c>
      <c r="I608" s="50">
        <f>VLOOKUP($F608,'Status Thresholds'!$E:$AS,2,FALSE)</f>
        <v>130</v>
      </c>
      <c r="J608" s="36">
        <f>VLOOKUP($F608,'Status Thresholds'!$E:$AS,3,FALSE)</f>
        <v>325</v>
      </c>
      <c r="K608" s="36">
        <f>VLOOKUP($F608,'Status Thresholds'!$E:$AS,4,FALSE)</f>
        <v>520</v>
      </c>
      <c r="L608" s="36">
        <f>VLOOKUP($F608,'Status Thresholds'!$E:$AS,5,FALSE)</f>
        <v>715</v>
      </c>
      <c r="M608" s="36">
        <f>VLOOKUP($F608,'Status Thresholds'!$E:$AS,6,FALSE)</f>
        <v>0</v>
      </c>
      <c r="N608" s="50">
        <f>VLOOKUP($F608,'Status Thresholds'!$E:$AS,7,FALSE)</f>
        <v>130</v>
      </c>
      <c r="O608" s="36">
        <f>VLOOKUP($F608,'Status Thresholds'!$E:$AS,8,FALSE)</f>
        <v>325</v>
      </c>
      <c r="P608" s="36">
        <f>VLOOKUP($F608,'Status Thresholds'!$E:$AS,9,FALSE)</f>
        <v>520</v>
      </c>
      <c r="Q608" s="36">
        <f>VLOOKUP($F608,'Status Thresholds'!$E:$AS,10,FALSE)</f>
        <v>715</v>
      </c>
      <c r="R608" s="36">
        <f>VLOOKUP($F608,'Status Thresholds'!$E:$AS,11,FALSE)</f>
        <v>0</v>
      </c>
      <c r="S608" s="50">
        <f>VLOOKUP($F608,'Status Thresholds'!$E:$AS,12,FALSE)</f>
        <v>150</v>
      </c>
      <c r="T608" s="36">
        <f>VLOOKUP($F608,'Status Thresholds'!$E:$AS,13,FALSE)</f>
        <v>375</v>
      </c>
      <c r="U608" s="36">
        <f>VLOOKUP($F608,'Status Thresholds'!$E:$AS,14,FALSE)</f>
        <v>600</v>
      </c>
      <c r="V608" s="36">
        <f>VLOOKUP($F608,'Status Thresholds'!$E:$AS,15,FALSE)</f>
        <v>825</v>
      </c>
      <c r="W608" s="36">
        <f>VLOOKUP($F608,'Status Thresholds'!$E:$AS,16,FALSE)</f>
        <v>0</v>
      </c>
      <c r="X608" s="50">
        <f>VLOOKUP($F608,'Status Thresholds'!$E:$AS,17,FALSE)</f>
        <v>140</v>
      </c>
      <c r="Y608" s="36">
        <f>VLOOKUP($F608,'Status Thresholds'!$E:$AS,18,FALSE)</f>
        <v>350</v>
      </c>
      <c r="Z608" s="36">
        <f>VLOOKUP($F608,'Status Thresholds'!$E:$AS,19,FALSE)</f>
        <v>560</v>
      </c>
      <c r="AA608" s="36">
        <f>VLOOKUP($F608,'Status Thresholds'!$E:$AS,20,FALSE)</f>
        <v>770</v>
      </c>
      <c r="AB608" s="36">
        <f>VLOOKUP($F608,'Status Thresholds'!$E:$AS,21,FALSE)</f>
        <v>0</v>
      </c>
      <c r="AC608" s="50">
        <f>VLOOKUP($F608,'Status Thresholds'!$E:$AS,22,FALSE)</f>
        <v>150</v>
      </c>
      <c r="AD608" s="36">
        <f>VLOOKUP($F608,'Status Thresholds'!$E:$AS,23,FALSE)</f>
        <v>375</v>
      </c>
      <c r="AE608" s="36">
        <f>VLOOKUP($F608,'Status Thresholds'!$E:$AS,24,FALSE)</f>
        <v>600</v>
      </c>
      <c r="AF608" s="36">
        <f>VLOOKUP($F608,'Status Thresholds'!$E:$AS,25,FALSE)</f>
        <v>825</v>
      </c>
      <c r="AG608" s="36">
        <f>VLOOKUP($F608,'Status Thresholds'!$E:$AS,26,FALSE)</f>
        <v>0</v>
      </c>
      <c r="AH608" s="50">
        <f>VLOOKUP($F608,'Status Thresholds'!$E:$AS,27,FALSE)</f>
        <v>195</v>
      </c>
      <c r="AI608" s="36">
        <f>VLOOKUP($F608,'Status Thresholds'!$E:$AS,28,FALSE)</f>
        <v>420</v>
      </c>
      <c r="AJ608" s="36">
        <f>VLOOKUP($F608,'Status Thresholds'!$E:$AS,29,FALSE)</f>
        <v>645</v>
      </c>
      <c r="AK608" s="36">
        <f>VLOOKUP($F608,'Status Thresholds'!$E:$AS,30,FALSE)</f>
        <v>870</v>
      </c>
      <c r="AL608" s="36">
        <f>VLOOKUP($F608,'Status Thresholds'!$E:$AS,31,FALSE)</f>
        <v>0</v>
      </c>
      <c r="AM608" s="50">
        <f>VLOOKUP($F608,'Status Thresholds'!$E:$AS,32,FALSE)</f>
        <v>200</v>
      </c>
      <c r="AN608" s="36">
        <f>VLOOKUP($F608,'Status Thresholds'!$E:$AS,33,FALSE)</f>
        <v>500</v>
      </c>
      <c r="AO608" s="36">
        <f>VLOOKUP($F608,'Status Thresholds'!$E:$AS,34,FALSE)</f>
        <v>800</v>
      </c>
      <c r="AP608" s="36">
        <f>VLOOKUP($F608,'Status Thresholds'!$E:$AS,35,FALSE)</f>
        <v>1100</v>
      </c>
      <c r="AQ608" s="36">
        <f>VLOOKUP($F608,'Status Thresholds'!$E:$AS,36,FALSE)</f>
        <v>0</v>
      </c>
      <c r="AR608" s="50">
        <f>VLOOKUP($F608,'Status Thresholds'!$E:$AS,37,FALSE)</f>
        <v>0</v>
      </c>
      <c r="AS608" s="36">
        <f>VLOOKUP($F608,'Status Thresholds'!$E:$AS,38,FALSE)</f>
        <v>0</v>
      </c>
      <c r="AT608" s="36">
        <f>VLOOKUP($F608,'Status Thresholds'!$E:$AS,39,FALSE)</f>
        <v>0</v>
      </c>
      <c r="AU608" s="36">
        <f>VLOOKUP($F608,'Status Thresholds'!$E:$AS,40,FALSE)</f>
        <v>0</v>
      </c>
      <c r="AV608" s="36">
        <f>VLOOKUP($F608,'Status Thresholds'!$E:$AS,41,FALSE)</f>
        <v>10</v>
      </c>
      <c r="AW608">
        <v>0</v>
      </c>
      <c r="AX608">
        <v>0</v>
      </c>
    </row>
    <row r="609" spans="1:50" x14ac:dyDescent="0.25">
      <c r="A609" s="36"/>
      <c r="B609" t="s">
        <v>120</v>
      </c>
      <c r="C609" s="36" t="str">
        <f>'Status Thresholds'!B600</f>
        <v>Rathalos (Silver)</v>
      </c>
      <c r="E609" s="36" t="str">
        <f t="shared" si="21"/>
        <v>Rathalos (Silver)</v>
      </c>
      <c r="F609" s="36" t="str">
        <f>IFERROR(VLOOKUP($E609,'Status Thresholds'!$E:$AS,1,FALSE),"")</f>
        <v/>
      </c>
      <c r="G609" t="s">
        <v>21</v>
      </c>
      <c r="H609" s="55" t="str">
        <f t="shared" si="22"/>
        <v>Rathalos (Silver)Triblast</v>
      </c>
      <c r="I609" s="50">
        <v>1</v>
      </c>
      <c r="J609" s="36">
        <v>2</v>
      </c>
      <c r="K609" s="36">
        <v>2</v>
      </c>
      <c r="L609" s="36">
        <v>2</v>
      </c>
      <c r="M609" s="36">
        <v>0</v>
      </c>
      <c r="N609" s="50">
        <v>1</v>
      </c>
      <c r="O609" s="36">
        <v>2</v>
      </c>
      <c r="P609" s="36">
        <v>2</v>
      </c>
      <c r="Q609" s="36">
        <v>2</v>
      </c>
      <c r="R609" s="36">
        <v>0</v>
      </c>
      <c r="S609" s="50">
        <v>2</v>
      </c>
      <c r="T609" s="36">
        <v>1</v>
      </c>
      <c r="U609" s="36">
        <v>2</v>
      </c>
      <c r="V609" s="36">
        <v>2</v>
      </c>
      <c r="W609" s="36">
        <v>0</v>
      </c>
      <c r="X609" s="50">
        <v>1</v>
      </c>
      <c r="Y609" s="36">
        <v>2</v>
      </c>
      <c r="Z609" s="36">
        <v>2</v>
      </c>
      <c r="AA609" s="36">
        <v>2</v>
      </c>
      <c r="AB609" s="36">
        <v>0</v>
      </c>
      <c r="AC609" s="50">
        <v>2</v>
      </c>
      <c r="AD609" s="36">
        <v>1</v>
      </c>
      <c r="AE609" s="36">
        <v>2</v>
      </c>
      <c r="AF609" s="36">
        <v>2</v>
      </c>
      <c r="AG609" s="36">
        <v>0</v>
      </c>
      <c r="AH609" s="50">
        <v>1</v>
      </c>
      <c r="AI609" s="36">
        <v>2</v>
      </c>
      <c r="AJ609" s="36">
        <v>2</v>
      </c>
      <c r="AK609" s="36">
        <v>2</v>
      </c>
      <c r="AL609" s="36">
        <v>0</v>
      </c>
      <c r="AM609" s="50">
        <v>2</v>
      </c>
      <c r="AN609" s="36">
        <v>1</v>
      </c>
      <c r="AO609" s="36">
        <v>2</v>
      </c>
      <c r="AP609" s="36">
        <v>2</v>
      </c>
      <c r="AQ609" s="36">
        <v>0</v>
      </c>
      <c r="AR609" s="50">
        <v>0</v>
      </c>
      <c r="AS609" s="36">
        <v>0</v>
      </c>
      <c r="AT609" s="36">
        <v>0</v>
      </c>
      <c r="AU609" s="36">
        <v>0</v>
      </c>
      <c r="AV609" s="36">
        <v>0</v>
      </c>
      <c r="AW609">
        <v>0</v>
      </c>
    </row>
    <row r="610" spans="1:50" x14ac:dyDescent="0.25">
      <c r="A610" s="36"/>
      <c r="B610" t="s">
        <v>120</v>
      </c>
      <c r="C610" s="36" t="str">
        <f>'Status Thresholds'!B601</f>
        <v>Rathalos (Silver)</v>
      </c>
      <c r="E610" s="36" t="str">
        <f t="shared" si="21"/>
        <v>Rathalos (Silver)</v>
      </c>
      <c r="F610" s="36" t="str">
        <f>IFERROR(VLOOKUP($E610,'Status Thresholds'!$E:$AS,1,FALSE),"")</f>
        <v/>
      </c>
      <c r="G610" t="s">
        <v>13</v>
      </c>
      <c r="H610" s="55" t="str">
        <f t="shared" si="22"/>
        <v>Rathalos (Silver)Crag 3</v>
      </c>
      <c r="I610" s="50">
        <v>0</v>
      </c>
      <c r="J610" s="36">
        <v>0</v>
      </c>
      <c r="K610" s="36">
        <v>2</v>
      </c>
      <c r="L610" s="36">
        <v>4</v>
      </c>
      <c r="M610" s="36">
        <v>0</v>
      </c>
      <c r="N610" s="50">
        <v>0</v>
      </c>
      <c r="O610" s="36">
        <v>0</v>
      </c>
      <c r="P610" s="36">
        <v>2</v>
      </c>
      <c r="Q610" s="36">
        <v>4</v>
      </c>
      <c r="R610" s="36">
        <v>0</v>
      </c>
      <c r="S610" s="50">
        <v>0</v>
      </c>
      <c r="T610" s="36">
        <v>3</v>
      </c>
      <c r="U610" s="36">
        <v>4</v>
      </c>
      <c r="V610" s="36">
        <v>4</v>
      </c>
      <c r="W610" s="36">
        <v>0</v>
      </c>
      <c r="X610" s="50">
        <v>1</v>
      </c>
      <c r="Y610" s="36">
        <v>0</v>
      </c>
      <c r="Z610" s="36">
        <v>3</v>
      </c>
      <c r="AA610" s="36">
        <v>4</v>
      </c>
      <c r="AB610" s="36">
        <v>0</v>
      </c>
      <c r="AC610" s="50">
        <v>0</v>
      </c>
      <c r="AD610" s="36">
        <v>3</v>
      </c>
      <c r="AE610" s="36">
        <v>4</v>
      </c>
      <c r="AF610" s="36">
        <v>4</v>
      </c>
      <c r="AG610" s="36">
        <v>0</v>
      </c>
      <c r="AH610" s="50">
        <v>0</v>
      </c>
      <c r="AI610" s="36">
        <v>4</v>
      </c>
      <c r="AJ610" s="36">
        <v>4</v>
      </c>
      <c r="AK610" s="36">
        <v>4</v>
      </c>
      <c r="AL610" s="36">
        <v>0</v>
      </c>
      <c r="AM610" s="50">
        <v>0</v>
      </c>
      <c r="AN610" s="36">
        <v>4</v>
      </c>
      <c r="AO610" s="36">
        <v>4</v>
      </c>
      <c r="AP610" s="36">
        <v>4</v>
      </c>
      <c r="AQ610" s="36">
        <v>0</v>
      </c>
      <c r="AR610" s="50">
        <v>0</v>
      </c>
      <c r="AS610" s="36">
        <v>0</v>
      </c>
      <c r="AT610" s="36">
        <v>0</v>
      </c>
      <c r="AU610" s="36">
        <v>0</v>
      </c>
      <c r="AV610" s="36">
        <v>0</v>
      </c>
      <c r="AW610">
        <v>0</v>
      </c>
      <c r="AX610">
        <v>0</v>
      </c>
    </row>
    <row r="611" spans="1:50" x14ac:dyDescent="0.25">
      <c r="A611" s="36"/>
      <c r="B611" t="s">
        <v>120</v>
      </c>
      <c r="C611" s="36" t="str">
        <f>'Status Thresholds'!B602</f>
        <v>Rathalos (Silver)</v>
      </c>
      <c r="E611" s="36" t="str">
        <f t="shared" si="21"/>
        <v>Rathalos (Silver)</v>
      </c>
      <c r="F611" s="36" t="str">
        <f>IFERROR(VLOOKUP($E611,'Status Thresholds'!$E:$AS,1,FALSE),"")</f>
        <v/>
      </c>
      <c r="G611" t="s">
        <v>12</v>
      </c>
      <c r="H611" s="55" t="str">
        <f t="shared" si="22"/>
        <v>Rathalos (Silver)Crag 2</v>
      </c>
      <c r="I611" s="50">
        <v>1</v>
      </c>
      <c r="J611" s="36">
        <v>0</v>
      </c>
      <c r="K611" s="36">
        <v>3</v>
      </c>
      <c r="L611" s="36">
        <v>4</v>
      </c>
      <c r="M611" s="36">
        <v>0</v>
      </c>
      <c r="N611" s="50">
        <v>1</v>
      </c>
      <c r="O611" s="36">
        <v>0</v>
      </c>
      <c r="P611" s="36">
        <v>3</v>
      </c>
      <c r="Q611" s="36">
        <v>4</v>
      </c>
      <c r="R611" s="36">
        <v>0</v>
      </c>
      <c r="S611" s="50">
        <v>0</v>
      </c>
      <c r="T611" s="36">
        <v>1</v>
      </c>
      <c r="U611" s="36">
        <v>3</v>
      </c>
      <c r="V611" s="36">
        <v>4</v>
      </c>
      <c r="W611" s="36">
        <v>0</v>
      </c>
      <c r="X611" s="50">
        <v>0</v>
      </c>
      <c r="Y611" s="36">
        <v>0</v>
      </c>
      <c r="Z611" s="36">
        <v>3</v>
      </c>
      <c r="AA611" s="36">
        <v>4</v>
      </c>
      <c r="AB611" s="36">
        <v>0</v>
      </c>
      <c r="AC611" s="50">
        <v>0</v>
      </c>
      <c r="AD611" s="36">
        <v>1</v>
      </c>
      <c r="AE611" s="36">
        <v>3</v>
      </c>
      <c r="AF611" s="36">
        <v>4</v>
      </c>
      <c r="AG611" s="36">
        <v>0</v>
      </c>
      <c r="AH611" s="50">
        <v>4</v>
      </c>
      <c r="AI611" s="36">
        <v>2</v>
      </c>
      <c r="AJ611" s="36">
        <v>4</v>
      </c>
      <c r="AK611" s="36">
        <v>4</v>
      </c>
      <c r="AL611" s="36">
        <v>0</v>
      </c>
      <c r="AM611" s="50">
        <v>0</v>
      </c>
      <c r="AN611" s="36">
        <v>3</v>
      </c>
      <c r="AO611" s="36">
        <v>4</v>
      </c>
      <c r="AP611" s="36">
        <v>4</v>
      </c>
      <c r="AQ611" s="36">
        <v>0</v>
      </c>
      <c r="AR611" s="50">
        <v>0</v>
      </c>
      <c r="AS611" s="36">
        <v>0</v>
      </c>
      <c r="AT611" s="36">
        <v>0</v>
      </c>
      <c r="AU611" s="36">
        <v>0</v>
      </c>
      <c r="AV611" s="36">
        <v>0</v>
      </c>
      <c r="AW611">
        <v>0</v>
      </c>
      <c r="AX611">
        <v>0</v>
      </c>
    </row>
    <row r="612" spans="1:50" x14ac:dyDescent="0.25">
      <c r="A612" s="36"/>
      <c r="B612" t="s">
        <v>120</v>
      </c>
      <c r="C612" s="36" t="str">
        <f>'Status Thresholds'!B603</f>
        <v>Rathalos (Silver)</v>
      </c>
      <c r="E612" s="36" t="str">
        <f t="shared" si="21"/>
        <v>Rathalos (Silver)</v>
      </c>
      <c r="F612" s="36" t="str">
        <f>IFERROR(VLOOKUP($E612,'Status Thresholds'!$E:$AS,1,FALSE),"")</f>
        <v/>
      </c>
      <c r="G612" t="s">
        <v>11</v>
      </c>
      <c r="H612" s="55" t="str">
        <f t="shared" si="22"/>
        <v>Rathalos (Silver)Crag 1</v>
      </c>
      <c r="I612" s="50">
        <v>1</v>
      </c>
      <c r="J612" s="36">
        <v>7</v>
      </c>
      <c r="K612" s="36">
        <v>8</v>
      </c>
      <c r="L612" s="36">
        <v>8</v>
      </c>
      <c r="M612" s="36">
        <v>0</v>
      </c>
      <c r="N612" s="50">
        <v>1</v>
      </c>
      <c r="O612" s="36">
        <v>7</v>
      </c>
      <c r="P612" s="36">
        <v>8</v>
      </c>
      <c r="Q612" s="36">
        <v>8</v>
      </c>
      <c r="R612" s="36">
        <v>0</v>
      </c>
      <c r="S612" s="50">
        <v>0</v>
      </c>
      <c r="T612" s="36">
        <v>6</v>
      </c>
      <c r="U612" s="36">
        <v>8</v>
      </c>
      <c r="V612" s="36">
        <v>8</v>
      </c>
      <c r="W612" s="36">
        <v>0</v>
      </c>
      <c r="X612" s="50">
        <v>1</v>
      </c>
      <c r="Y612" s="36">
        <v>8</v>
      </c>
      <c r="Z612" s="36">
        <v>8</v>
      </c>
      <c r="AA612" s="36">
        <v>8</v>
      </c>
      <c r="AB612" s="36">
        <v>0</v>
      </c>
      <c r="AC612" s="50">
        <v>0</v>
      </c>
      <c r="AD612" s="36">
        <v>6</v>
      </c>
      <c r="AE612" s="36">
        <v>8</v>
      </c>
      <c r="AF612" s="36">
        <v>8</v>
      </c>
      <c r="AG612" s="36">
        <v>0</v>
      </c>
      <c r="AH612" s="50">
        <v>0</v>
      </c>
      <c r="AI612" s="36">
        <v>2</v>
      </c>
      <c r="AJ612" s="36">
        <v>8</v>
      </c>
      <c r="AK612" s="36">
        <v>8</v>
      </c>
      <c r="AL612" s="36">
        <v>0</v>
      </c>
      <c r="AM612" s="50">
        <v>2</v>
      </c>
      <c r="AN612" s="36">
        <v>7</v>
      </c>
      <c r="AO612" s="36">
        <v>8</v>
      </c>
      <c r="AP612" s="36">
        <v>8</v>
      </c>
      <c r="AQ612" s="36">
        <v>0</v>
      </c>
      <c r="AR612" s="50">
        <v>0</v>
      </c>
      <c r="AS612" s="36">
        <v>0</v>
      </c>
      <c r="AT612" s="36">
        <v>0</v>
      </c>
      <c r="AU612" s="36">
        <v>0</v>
      </c>
      <c r="AV612" s="36">
        <v>1</v>
      </c>
      <c r="AW612">
        <v>0</v>
      </c>
      <c r="AX612">
        <v>0</v>
      </c>
    </row>
    <row r="613" spans="1:50" x14ac:dyDescent="0.25">
      <c r="A613" s="36"/>
      <c r="B613" t="s">
        <v>119</v>
      </c>
      <c r="C613" s="36" t="str">
        <f>'Status Thresholds'!B604</f>
        <v>Rathalos (Silver)</v>
      </c>
      <c r="E613" s="36" t="str">
        <f t="shared" si="21"/>
        <v>Rathalos (Silver)</v>
      </c>
      <c r="F613" s="36" t="str">
        <f>IFERROR(VLOOKUP($E613,'Status Thresholds'!$E:$AS,1,FALSE),"")</f>
        <v/>
      </c>
      <c r="G613" t="s">
        <v>21</v>
      </c>
      <c r="H613" s="55" t="str">
        <f t="shared" si="22"/>
        <v>Rathalos (Silver)Triblast</v>
      </c>
      <c r="I613" s="50">
        <v>0</v>
      </c>
      <c r="J613" s="36">
        <v>0</v>
      </c>
      <c r="K613" s="36">
        <v>2</v>
      </c>
      <c r="L613" s="36">
        <v>2</v>
      </c>
      <c r="M613" s="36">
        <v>0</v>
      </c>
      <c r="N613" s="50">
        <v>0</v>
      </c>
      <c r="O613" s="36">
        <v>0</v>
      </c>
      <c r="P613" s="36">
        <v>2</v>
      </c>
      <c r="Q613" s="36">
        <v>2</v>
      </c>
      <c r="R613" s="36">
        <v>0</v>
      </c>
      <c r="S613" s="50">
        <v>0</v>
      </c>
      <c r="T613" s="36">
        <v>1</v>
      </c>
      <c r="U613" s="36">
        <v>2</v>
      </c>
      <c r="V613" s="36">
        <v>2</v>
      </c>
      <c r="W613" s="36">
        <v>0</v>
      </c>
      <c r="X613" s="50">
        <v>0</v>
      </c>
      <c r="Y613" s="36">
        <v>1</v>
      </c>
      <c r="Z613" s="36">
        <v>2</v>
      </c>
      <c r="AA613" s="36">
        <v>2</v>
      </c>
      <c r="AB613" s="36">
        <v>0</v>
      </c>
      <c r="AC613" s="50">
        <v>0</v>
      </c>
      <c r="AD613" s="36">
        <v>1</v>
      </c>
      <c r="AE613" s="36">
        <v>2</v>
      </c>
      <c r="AF613" s="36">
        <v>2</v>
      </c>
      <c r="AG613" s="36">
        <v>0</v>
      </c>
      <c r="AH613" s="50">
        <v>2</v>
      </c>
      <c r="AI613" s="36">
        <v>0</v>
      </c>
      <c r="AJ613" s="36">
        <v>2</v>
      </c>
      <c r="AK613" s="36">
        <v>2</v>
      </c>
      <c r="AL613" s="36">
        <v>0</v>
      </c>
      <c r="AM613" s="50">
        <v>0</v>
      </c>
      <c r="AN613" s="36">
        <v>2</v>
      </c>
      <c r="AO613" s="36">
        <v>2</v>
      </c>
      <c r="AP613" s="36">
        <v>2</v>
      </c>
      <c r="AQ613" s="36">
        <v>0</v>
      </c>
      <c r="AR613" s="50">
        <v>0</v>
      </c>
      <c r="AS613" s="36">
        <v>0</v>
      </c>
      <c r="AT613" s="36">
        <v>0</v>
      </c>
      <c r="AU613" s="36">
        <v>0</v>
      </c>
      <c r="AV613" s="36">
        <v>0</v>
      </c>
      <c r="AW613">
        <v>0</v>
      </c>
      <c r="AX613">
        <v>0</v>
      </c>
    </row>
    <row r="614" spans="1:50" x14ac:dyDescent="0.25">
      <c r="A614" s="36"/>
      <c r="B614" t="s">
        <v>119</v>
      </c>
      <c r="C614" s="36" t="str">
        <f>'Status Thresholds'!B605</f>
        <v>Rathalos (Silver)</v>
      </c>
      <c r="E614" s="36" t="str">
        <f t="shared" si="21"/>
        <v>Rathalos (Silver)</v>
      </c>
      <c r="F614" s="36" t="str">
        <f>IFERROR(VLOOKUP($E614,'Status Thresholds'!$E:$AS,1,FALSE),"")</f>
        <v/>
      </c>
      <c r="G614" t="s">
        <v>13</v>
      </c>
      <c r="H614" s="55" t="str">
        <f t="shared" si="22"/>
        <v>Rathalos (Silver)Crag 3</v>
      </c>
      <c r="I614" s="50">
        <v>1</v>
      </c>
      <c r="J614" s="36">
        <v>1</v>
      </c>
      <c r="K614" s="36">
        <v>1</v>
      </c>
      <c r="L614" s="36">
        <v>4</v>
      </c>
      <c r="M614" s="36">
        <v>0</v>
      </c>
      <c r="N614" s="50">
        <v>1</v>
      </c>
      <c r="O614" s="36">
        <v>1</v>
      </c>
      <c r="P614" s="36">
        <v>1</v>
      </c>
      <c r="Q614" s="36">
        <v>4</v>
      </c>
      <c r="R614" s="36">
        <v>0</v>
      </c>
      <c r="S614" s="50">
        <v>1</v>
      </c>
      <c r="T614" s="36">
        <v>3</v>
      </c>
      <c r="U614" s="36">
        <v>4</v>
      </c>
      <c r="V614" s="36">
        <v>4</v>
      </c>
      <c r="W614" s="36">
        <v>0</v>
      </c>
      <c r="X614" s="50">
        <v>0</v>
      </c>
      <c r="Y614" s="36">
        <v>4</v>
      </c>
      <c r="Z614" s="36">
        <v>4</v>
      </c>
      <c r="AA614" s="36">
        <v>4</v>
      </c>
      <c r="AB614" s="36">
        <v>0</v>
      </c>
      <c r="AC614" s="50">
        <v>1</v>
      </c>
      <c r="AD614" s="36">
        <v>3</v>
      </c>
      <c r="AE614" s="36">
        <v>4</v>
      </c>
      <c r="AF614" s="36">
        <v>4</v>
      </c>
      <c r="AG614" s="36">
        <v>0</v>
      </c>
      <c r="AH614" s="50">
        <v>0</v>
      </c>
      <c r="AI614" s="36">
        <v>3</v>
      </c>
      <c r="AJ614" s="36">
        <v>4</v>
      </c>
      <c r="AK614" s="36">
        <v>4</v>
      </c>
      <c r="AL614" s="36">
        <v>0</v>
      </c>
      <c r="AM614" s="50">
        <v>0</v>
      </c>
      <c r="AN614" s="36">
        <v>1</v>
      </c>
      <c r="AO614" s="36">
        <v>4</v>
      </c>
      <c r="AP614" s="36">
        <v>4</v>
      </c>
      <c r="AQ614" s="36">
        <v>0</v>
      </c>
      <c r="AR614" s="50">
        <v>0</v>
      </c>
      <c r="AS614" s="36">
        <v>0</v>
      </c>
      <c r="AT614" s="36">
        <v>0</v>
      </c>
      <c r="AU614" s="36">
        <v>0</v>
      </c>
      <c r="AV614" s="36">
        <v>0</v>
      </c>
      <c r="AW614">
        <v>0</v>
      </c>
      <c r="AX614">
        <v>0</v>
      </c>
    </row>
    <row r="615" spans="1:50" x14ac:dyDescent="0.25">
      <c r="A615" s="36"/>
      <c r="B615" t="s">
        <v>119</v>
      </c>
      <c r="C615" s="36" t="str">
        <f>'Status Thresholds'!B606</f>
        <v>Rathalos (Silver)</v>
      </c>
      <c r="E615" s="36" t="str">
        <f t="shared" si="21"/>
        <v>Rathalos (Silver)</v>
      </c>
      <c r="F615" s="36" t="str">
        <f>IFERROR(VLOOKUP($E615,'Status Thresholds'!$E:$AS,1,FALSE),"")</f>
        <v/>
      </c>
      <c r="G615" t="s">
        <v>12</v>
      </c>
      <c r="H615" s="55" t="str">
        <f t="shared" si="22"/>
        <v>Rathalos (Silver)Crag 2</v>
      </c>
      <c r="I615" s="50">
        <v>1</v>
      </c>
      <c r="J615" s="36">
        <v>2</v>
      </c>
      <c r="K615" s="36">
        <v>3</v>
      </c>
      <c r="L615" s="36">
        <v>4</v>
      </c>
      <c r="M615" s="36">
        <v>0</v>
      </c>
      <c r="N615" s="50">
        <v>1</v>
      </c>
      <c r="O615" s="36">
        <v>2</v>
      </c>
      <c r="P615" s="36">
        <v>3</v>
      </c>
      <c r="Q615" s="36">
        <v>4</v>
      </c>
      <c r="R615" s="36">
        <v>0</v>
      </c>
      <c r="S615" s="50">
        <v>0</v>
      </c>
      <c r="T615" s="36">
        <v>0</v>
      </c>
      <c r="U615" s="36">
        <v>4</v>
      </c>
      <c r="V615" s="36">
        <v>4</v>
      </c>
      <c r="W615" s="36">
        <v>0</v>
      </c>
      <c r="X615" s="50">
        <v>1</v>
      </c>
      <c r="Y615" s="36">
        <v>2</v>
      </c>
      <c r="Z615" s="36">
        <v>1</v>
      </c>
      <c r="AA615" s="36">
        <v>4</v>
      </c>
      <c r="AB615" s="36">
        <v>0</v>
      </c>
      <c r="AC615" s="50">
        <v>0</v>
      </c>
      <c r="AD615" s="36">
        <v>0</v>
      </c>
      <c r="AE615" s="36">
        <v>4</v>
      </c>
      <c r="AF615" s="36">
        <v>4</v>
      </c>
      <c r="AG615" s="36">
        <v>0</v>
      </c>
      <c r="AH615" s="50">
        <v>1</v>
      </c>
      <c r="AI615" s="36">
        <v>3</v>
      </c>
      <c r="AJ615" s="36">
        <v>3</v>
      </c>
      <c r="AK615" s="36">
        <v>4</v>
      </c>
      <c r="AL615" s="36">
        <v>0</v>
      </c>
      <c r="AM615" s="50">
        <v>2</v>
      </c>
      <c r="AN615" s="36">
        <v>4</v>
      </c>
      <c r="AO615" s="36">
        <v>4</v>
      </c>
      <c r="AP615" s="36">
        <v>4</v>
      </c>
      <c r="AQ615" s="36">
        <v>0</v>
      </c>
      <c r="AR615" s="50">
        <v>0</v>
      </c>
      <c r="AS615" s="36">
        <v>0</v>
      </c>
      <c r="AT615" s="36">
        <v>0</v>
      </c>
      <c r="AU615" s="36">
        <v>0</v>
      </c>
      <c r="AV615" s="36">
        <v>0</v>
      </c>
      <c r="AW615">
        <v>0</v>
      </c>
      <c r="AX615">
        <v>0</v>
      </c>
    </row>
    <row r="616" spans="1:50" x14ac:dyDescent="0.25">
      <c r="A616" s="36"/>
      <c r="B616" t="s">
        <v>119</v>
      </c>
      <c r="C616" s="36" t="str">
        <f>'Status Thresholds'!B607</f>
        <v>Rathalos (Silver)</v>
      </c>
      <c r="E616" s="36" t="str">
        <f t="shared" si="21"/>
        <v>Rathalos (Silver)</v>
      </c>
      <c r="F616" s="36" t="str">
        <f>IFERROR(VLOOKUP($E616,'Status Thresholds'!$E:$AS,1,FALSE),"")</f>
        <v/>
      </c>
      <c r="G616" t="s">
        <v>11</v>
      </c>
      <c r="H616" s="55" t="str">
        <f t="shared" si="22"/>
        <v>Rathalos (Silver)Crag 1</v>
      </c>
      <c r="I616" s="50">
        <v>2</v>
      </c>
      <c r="J616" s="36">
        <v>8</v>
      </c>
      <c r="K616" s="36">
        <v>8</v>
      </c>
      <c r="L616" s="36">
        <v>8</v>
      </c>
      <c r="M616" s="36">
        <v>0</v>
      </c>
      <c r="N616" s="50">
        <v>2</v>
      </c>
      <c r="O616" s="36">
        <v>8</v>
      </c>
      <c r="P616" s="36">
        <v>8</v>
      </c>
      <c r="Q616" s="36">
        <v>8</v>
      </c>
      <c r="R616" s="36">
        <v>0</v>
      </c>
      <c r="S616" s="50">
        <v>4</v>
      </c>
      <c r="T616" s="36">
        <v>6</v>
      </c>
      <c r="U616" s="36">
        <v>5</v>
      </c>
      <c r="V616" s="36">
        <v>8</v>
      </c>
      <c r="W616" s="36">
        <v>0</v>
      </c>
      <c r="X616" s="50">
        <v>4</v>
      </c>
      <c r="Y616" s="36">
        <v>1</v>
      </c>
      <c r="Z616" s="36">
        <v>7</v>
      </c>
      <c r="AA616" s="36">
        <v>8</v>
      </c>
      <c r="AB616" s="36">
        <v>0</v>
      </c>
      <c r="AC616" s="50">
        <v>4</v>
      </c>
      <c r="AD616" s="36">
        <v>6</v>
      </c>
      <c r="AE616" s="36">
        <v>5</v>
      </c>
      <c r="AF616" s="36">
        <v>8</v>
      </c>
      <c r="AG616" s="36">
        <v>0</v>
      </c>
      <c r="AH616" s="50">
        <v>0</v>
      </c>
      <c r="AI616" s="36">
        <v>7</v>
      </c>
      <c r="AJ616" s="36">
        <v>8</v>
      </c>
      <c r="AK616" s="36">
        <v>8</v>
      </c>
      <c r="AL616" s="36">
        <v>0</v>
      </c>
      <c r="AM616" s="50">
        <v>5</v>
      </c>
      <c r="AN616" s="36">
        <v>6</v>
      </c>
      <c r="AO616" s="36">
        <v>8</v>
      </c>
      <c r="AP616" s="36">
        <v>8</v>
      </c>
      <c r="AQ616" s="36">
        <v>0</v>
      </c>
      <c r="AR616" s="50">
        <v>0</v>
      </c>
      <c r="AS616" s="36">
        <v>0</v>
      </c>
      <c r="AT616" s="36">
        <v>0</v>
      </c>
      <c r="AU616" s="36">
        <v>0</v>
      </c>
      <c r="AV616" s="36">
        <v>1</v>
      </c>
      <c r="AW616">
        <v>0</v>
      </c>
      <c r="AX616">
        <v>0</v>
      </c>
    </row>
    <row r="617" spans="1:50" x14ac:dyDescent="0.25">
      <c r="A617" s="36"/>
      <c r="B617" t="s">
        <v>121</v>
      </c>
      <c r="C617" s="36" t="str">
        <f>'Status Thresholds'!B608</f>
        <v>Rathian</v>
      </c>
      <c r="D617" s="36" t="s">
        <v>14</v>
      </c>
      <c r="E617" s="36" t="str">
        <f t="shared" si="21"/>
        <v>RathianKO</v>
      </c>
      <c r="F617" s="36" t="str">
        <f>IFERROR(VLOOKUP($E617,'Status Thresholds'!$E:$AS,1,FALSE),"")</f>
        <v>RathianKO</v>
      </c>
      <c r="H617" s="55" t="str">
        <f t="shared" si="22"/>
        <v>RathianKO</v>
      </c>
      <c r="I617" s="50">
        <f>VLOOKUP($F617,'Status Thresholds'!$E:$AS,2,FALSE)</f>
        <v>195</v>
      </c>
      <c r="J617" s="36">
        <f>VLOOKUP($F617,'Status Thresholds'!$E:$AS,3,FALSE)</f>
        <v>390</v>
      </c>
      <c r="K617" s="36">
        <f>VLOOKUP($F617,'Status Thresholds'!$E:$AS,4,FALSE)</f>
        <v>585</v>
      </c>
      <c r="L617" s="36">
        <f>VLOOKUP($F617,'Status Thresholds'!$E:$AS,5,FALSE)</f>
        <v>758</v>
      </c>
      <c r="M617" s="36">
        <f>VLOOKUP($F617,'Status Thresholds'!$E:$AS,6,FALSE)</f>
        <v>0</v>
      </c>
      <c r="N617" s="50">
        <f>VLOOKUP($F617,'Status Thresholds'!$E:$AS,7,FALSE)</f>
        <v>195</v>
      </c>
      <c r="O617" s="36">
        <f>VLOOKUP($F617,'Status Thresholds'!$E:$AS,8,FALSE)</f>
        <v>390</v>
      </c>
      <c r="P617" s="36">
        <f>VLOOKUP($F617,'Status Thresholds'!$E:$AS,9,FALSE)</f>
        <v>585</v>
      </c>
      <c r="Q617" s="36">
        <f>VLOOKUP($F617,'Status Thresholds'!$E:$AS,10,FALSE)</f>
        <v>780</v>
      </c>
      <c r="R617" s="36">
        <f>VLOOKUP($F617,'Status Thresholds'!$E:$AS,11,FALSE)</f>
        <v>0</v>
      </c>
      <c r="S617" s="50">
        <f>VLOOKUP($F617,'Status Thresholds'!$E:$AS,12,FALSE)</f>
        <v>195</v>
      </c>
      <c r="T617" s="36">
        <f>VLOOKUP($F617,'Status Thresholds'!$E:$AS,13,FALSE)</f>
        <v>390</v>
      </c>
      <c r="U617" s="36">
        <f>VLOOKUP($F617,'Status Thresholds'!$E:$AS,14,FALSE)</f>
        <v>585</v>
      </c>
      <c r="V617" s="36">
        <f>VLOOKUP($F617,'Status Thresholds'!$E:$AS,15,FALSE)</f>
        <v>780</v>
      </c>
      <c r="W617" s="36">
        <f>VLOOKUP($F617,'Status Thresholds'!$E:$AS,16,FALSE)</f>
        <v>0</v>
      </c>
      <c r="X617" s="50">
        <f>VLOOKUP($F617,'Status Thresholds'!$E:$AS,17,FALSE)</f>
        <v>195</v>
      </c>
      <c r="Y617" s="36">
        <f>VLOOKUP($F617,'Status Thresholds'!$E:$AS,18,FALSE)</f>
        <v>390</v>
      </c>
      <c r="Z617" s="36">
        <f>VLOOKUP($F617,'Status Thresholds'!$E:$AS,19,FALSE)</f>
        <v>585</v>
      </c>
      <c r="AA617" s="36">
        <f>VLOOKUP($F617,'Status Thresholds'!$E:$AS,20,FALSE)</f>
        <v>780</v>
      </c>
      <c r="AB617" s="36">
        <f>VLOOKUP($F617,'Status Thresholds'!$E:$AS,21,FALSE)</f>
        <v>0</v>
      </c>
      <c r="AC617" s="50">
        <f>VLOOKUP($F617,'Status Thresholds'!$E:$AS,22,FALSE)</f>
        <v>210</v>
      </c>
      <c r="AD617" s="36">
        <f>VLOOKUP($F617,'Status Thresholds'!$E:$AS,23,FALSE)</f>
        <v>420</v>
      </c>
      <c r="AE617" s="36">
        <f>VLOOKUP($F617,'Status Thresholds'!$E:$AS,24,FALSE)</f>
        <v>630</v>
      </c>
      <c r="AF617" s="36">
        <f>VLOOKUP($F617,'Status Thresholds'!$E:$AS,25,FALSE)</f>
        <v>840</v>
      </c>
      <c r="AG617" s="36">
        <f>VLOOKUP($F617,'Status Thresholds'!$E:$AS,26,FALSE)</f>
        <v>0</v>
      </c>
      <c r="AH617" s="50">
        <f>VLOOKUP($F617,'Status Thresholds'!$E:$AS,27,FALSE)</f>
        <v>225</v>
      </c>
      <c r="AI617" s="36">
        <f>VLOOKUP($F617,'Status Thresholds'!$E:$AS,28,FALSE)</f>
        <v>450</v>
      </c>
      <c r="AJ617" s="36">
        <f>VLOOKUP($F617,'Status Thresholds'!$E:$AS,29,FALSE)</f>
        <v>675</v>
      </c>
      <c r="AK617" s="36">
        <f>VLOOKUP($F617,'Status Thresholds'!$E:$AS,30,FALSE)</f>
        <v>900</v>
      </c>
      <c r="AL617" s="36">
        <f>VLOOKUP($F617,'Status Thresholds'!$E:$AS,31,FALSE)</f>
        <v>0</v>
      </c>
      <c r="AM617" s="50">
        <f>VLOOKUP($F617,'Status Thresholds'!$E:$AS,32,FALSE)</f>
        <v>300</v>
      </c>
      <c r="AN617" s="36">
        <f>VLOOKUP($F617,'Status Thresholds'!$E:$AS,33,FALSE)</f>
        <v>600</v>
      </c>
      <c r="AO617" s="36">
        <f>VLOOKUP($F617,'Status Thresholds'!$E:$AS,34,FALSE)</f>
        <v>900</v>
      </c>
      <c r="AP617" s="36">
        <f>VLOOKUP($F617,'Status Thresholds'!$E:$AS,35,FALSE)</f>
        <v>1200</v>
      </c>
      <c r="AQ617" s="36">
        <f>VLOOKUP($F617,'Status Thresholds'!$E:$AS,36,FALSE)</f>
        <v>0</v>
      </c>
      <c r="AR617" s="50">
        <f>VLOOKUP($F617,'Status Thresholds'!$E:$AS,37,FALSE)</f>
        <v>0</v>
      </c>
      <c r="AS617" s="36">
        <f>VLOOKUP($F617,'Status Thresholds'!$E:$AS,38,FALSE)</f>
        <v>0</v>
      </c>
      <c r="AT617" s="36">
        <f>VLOOKUP($F617,'Status Thresholds'!$E:$AS,39,FALSE)</f>
        <v>0</v>
      </c>
      <c r="AU617" s="36">
        <f>VLOOKUP($F617,'Status Thresholds'!$E:$AS,40,FALSE)</f>
        <v>0</v>
      </c>
      <c r="AV617" s="36">
        <f>VLOOKUP($F617,'Status Thresholds'!$E:$AS,41,FALSE)</f>
        <v>10</v>
      </c>
      <c r="AW617">
        <v>0</v>
      </c>
      <c r="AX617">
        <v>0</v>
      </c>
    </row>
    <row r="618" spans="1:50" x14ac:dyDescent="0.25">
      <c r="A618" s="36"/>
      <c r="B618" t="s">
        <v>120</v>
      </c>
      <c r="C618" s="36" t="str">
        <f>'Status Thresholds'!B609</f>
        <v>Rathian</v>
      </c>
      <c r="D618" s="46"/>
      <c r="E618" s="36" t="str">
        <f t="shared" si="21"/>
        <v>Rathian</v>
      </c>
      <c r="F618" s="36" t="str">
        <f>IFERROR(VLOOKUP($E618,'Status Thresholds'!$E:$AS,1,FALSE),"")</f>
        <v/>
      </c>
      <c r="G618" t="s">
        <v>21</v>
      </c>
      <c r="H618" s="55" t="str">
        <f t="shared" si="22"/>
        <v>RathianTriblast</v>
      </c>
      <c r="I618" s="50">
        <v>1</v>
      </c>
      <c r="J618" s="36">
        <v>2</v>
      </c>
      <c r="K618" s="36">
        <v>2</v>
      </c>
      <c r="L618" s="36">
        <v>2</v>
      </c>
      <c r="M618" s="36">
        <v>0</v>
      </c>
      <c r="N618" s="50">
        <v>1</v>
      </c>
      <c r="O618" s="36">
        <v>2</v>
      </c>
      <c r="P618" s="36">
        <v>2</v>
      </c>
      <c r="Q618" s="36">
        <v>2</v>
      </c>
      <c r="R618" s="36">
        <v>0</v>
      </c>
      <c r="S618" s="50">
        <v>1</v>
      </c>
      <c r="T618" s="36">
        <v>2</v>
      </c>
      <c r="U618" s="36">
        <v>2</v>
      </c>
      <c r="V618" s="36">
        <v>2</v>
      </c>
      <c r="W618" s="36">
        <v>0</v>
      </c>
      <c r="X618" s="50">
        <v>1</v>
      </c>
      <c r="Y618" s="36">
        <v>2</v>
      </c>
      <c r="Z618" s="36">
        <v>2</v>
      </c>
      <c r="AA618" s="36">
        <v>2</v>
      </c>
      <c r="AB618" s="36">
        <v>0</v>
      </c>
      <c r="AC618" s="50">
        <v>2</v>
      </c>
      <c r="AD618" s="36">
        <v>2</v>
      </c>
      <c r="AE618" s="36">
        <v>2</v>
      </c>
      <c r="AF618" s="36">
        <v>2</v>
      </c>
      <c r="AG618" s="36">
        <v>0</v>
      </c>
      <c r="AH618" s="50">
        <v>2</v>
      </c>
      <c r="AI618" s="36">
        <v>0</v>
      </c>
      <c r="AJ618" s="36">
        <v>2</v>
      </c>
      <c r="AK618" s="36">
        <v>2</v>
      </c>
      <c r="AL618" s="36">
        <v>0</v>
      </c>
      <c r="AM618" s="50">
        <v>2</v>
      </c>
      <c r="AN618" s="36">
        <v>2</v>
      </c>
      <c r="AO618" s="36">
        <v>2</v>
      </c>
      <c r="AP618" s="36">
        <v>2</v>
      </c>
      <c r="AQ618" s="36">
        <v>0</v>
      </c>
      <c r="AR618" s="50">
        <v>0</v>
      </c>
      <c r="AS618" s="36">
        <v>0</v>
      </c>
      <c r="AT618" s="36">
        <v>0</v>
      </c>
      <c r="AU618" s="36">
        <v>0</v>
      </c>
      <c r="AV618" s="36">
        <v>0</v>
      </c>
      <c r="AW618">
        <v>0</v>
      </c>
    </row>
    <row r="619" spans="1:50" x14ac:dyDescent="0.25">
      <c r="A619" s="36"/>
      <c r="B619" t="s">
        <v>120</v>
      </c>
      <c r="C619" s="36" t="str">
        <f>'Status Thresholds'!B610</f>
        <v>Rathian</v>
      </c>
      <c r="E619" s="36" t="str">
        <f t="shared" si="21"/>
        <v>Rathian</v>
      </c>
      <c r="F619" s="36" t="str">
        <f>IFERROR(VLOOKUP($E619,'Status Thresholds'!$E:$AS,1,FALSE),"")</f>
        <v/>
      </c>
      <c r="G619" t="s">
        <v>13</v>
      </c>
      <c r="H619" s="55" t="str">
        <f t="shared" si="22"/>
        <v>RathianCrag 3</v>
      </c>
      <c r="I619" s="50">
        <v>0</v>
      </c>
      <c r="J619" s="36">
        <v>4</v>
      </c>
      <c r="K619" s="36">
        <v>3</v>
      </c>
      <c r="L619" s="36">
        <v>4</v>
      </c>
      <c r="M619" s="36">
        <v>0</v>
      </c>
      <c r="N619" s="50">
        <v>0</v>
      </c>
      <c r="O619" s="36">
        <v>4</v>
      </c>
      <c r="P619" s="36">
        <v>3</v>
      </c>
      <c r="Q619" s="36">
        <v>4</v>
      </c>
      <c r="R619" s="36">
        <v>0</v>
      </c>
      <c r="S619" s="50">
        <v>0</v>
      </c>
      <c r="T619" s="36">
        <v>4</v>
      </c>
      <c r="U619" s="36">
        <v>3</v>
      </c>
      <c r="V619" s="36">
        <v>4</v>
      </c>
      <c r="W619" s="36">
        <v>0</v>
      </c>
      <c r="X619" s="50">
        <v>0</v>
      </c>
      <c r="Y619" s="36">
        <v>4</v>
      </c>
      <c r="Z619" s="36">
        <v>3</v>
      </c>
      <c r="AA619" s="36">
        <v>4</v>
      </c>
      <c r="AB619" s="36">
        <v>0</v>
      </c>
      <c r="AC619" s="50">
        <v>0</v>
      </c>
      <c r="AD619" s="36">
        <v>4</v>
      </c>
      <c r="AE619" s="36">
        <v>4</v>
      </c>
      <c r="AF619" s="36">
        <v>4</v>
      </c>
      <c r="AG619" s="36">
        <v>0</v>
      </c>
      <c r="AH619" s="50">
        <v>0</v>
      </c>
      <c r="AI619" s="36">
        <v>4</v>
      </c>
      <c r="AJ619" s="36">
        <v>4</v>
      </c>
      <c r="AK619" s="36">
        <v>4</v>
      </c>
      <c r="AL619" s="36">
        <v>0</v>
      </c>
      <c r="AM619" s="50">
        <v>3</v>
      </c>
      <c r="AN619" s="36">
        <v>4</v>
      </c>
      <c r="AO619" s="36">
        <v>4</v>
      </c>
      <c r="AP619" s="36">
        <v>4</v>
      </c>
      <c r="AQ619" s="36">
        <v>0</v>
      </c>
      <c r="AR619" s="50">
        <v>0</v>
      </c>
      <c r="AS619" s="36">
        <v>0</v>
      </c>
      <c r="AT619" s="36">
        <v>0</v>
      </c>
      <c r="AU619" s="36">
        <v>0</v>
      </c>
      <c r="AV619" s="36">
        <v>0</v>
      </c>
      <c r="AW619">
        <v>0</v>
      </c>
      <c r="AX619">
        <v>0</v>
      </c>
    </row>
    <row r="620" spans="1:50" x14ac:dyDescent="0.25">
      <c r="A620" s="36"/>
      <c r="B620" t="s">
        <v>120</v>
      </c>
      <c r="C620" s="36" t="str">
        <f>'Status Thresholds'!B611</f>
        <v>Rathian</v>
      </c>
      <c r="E620" s="36" t="str">
        <f t="shared" si="21"/>
        <v>Rathian</v>
      </c>
      <c r="F620" s="36" t="str">
        <f>IFERROR(VLOOKUP($E620,'Status Thresholds'!$E:$AS,1,FALSE),"")</f>
        <v/>
      </c>
      <c r="G620" t="s">
        <v>12</v>
      </c>
      <c r="H620" s="55" t="str">
        <f t="shared" si="22"/>
        <v>RathianCrag 2</v>
      </c>
      <c r="I620" s="50">
        <v>4</v>
      </c>
      <c r="J620" s="36">
        <v>1</v>
      </c>
      <c r="K620" s="36">
        <v>4</v>
      </c>
      <c r="L620" s="36">
        <v>4</v>
      </c>
      <c r="M620" s="36">
        <v>0</v>
      </c>
      <c r="N620" s="50">
        <v>4</v>
      </c>
      <c r="O620" s="36">
        <v>1</v>
      </c>
      <c r="P620" s="36">
        <v>4</v>
      </c>
      <c r="Q620" s="36">
        <v>4</v>
      </c>
      <c r="R620" s="36">
        <v>0</v>
      </c>
      <c r="S620" s="50">
        <v>4</v>
      </c>
      <c r="T620" s="36">
        <v>1</v>
      </c>
      <c r="U620" s="36">
        <v>4</v>
      </c>
      <c r="V620" s="36">
        <v>4</v>
      </c>
      <c r="W620" s="36">
        <v>0</v>
      </c>
      <c r="X620" s="50">
        <v>4</v>
      </c>
      <c r="Y620" s="36">
        <v>1</v>
      </c>
      <c r="Z620" s="36">
        <v>4</v>
      </c>
      <c r="AA620" s="36">
        <v>4</v>
      </c>
      <c r="AB620" s="36">
        <v>0</v>
      </c>
      <c r="AC620" s="50">
        <v>2</v>
      </c>
      <c r="AD620" s="36">
        <v>2</v>
      </c>
      <c r="AE620" s="36">
        <v>4</v>
      </c>
      <c r="AF620" s="36">
        <v>4</v>
      </c>
      <c r="AG620" s="36">
        <v>0</v>
      </c>
      <c r="AH620" s="50">
        <v>0</v>
      </c>
      <c r="AI620" s="36">
        <v>3</v>
      </c>
      <c r="AJ620" s="36">
        <v>4</v>
      </c>
      <c r="AK620" s="36">
        <v>4</v>
      </c>
      <c r="AL620" s="36">
        <v>0</v>
      </c>
      <c r="AM620" s="50">
        <v>1</v>
      </c>
      <c r="AN620" s="36">
        <v>3</v>
      </c>
      <c r="AO620" s="36">
        <v>4</v>
      </c>
      <c r="AP620" s="36">
        <v>4</v>
      </c>
      <c r="AQ620" s="36">
        <v>0</v>
      </c>
      <c r="AR620" s="50">
        <v>0</v>
      </c>
      <c r="AS620" s="36">
        <v>0</v>
      </c>
      <c r="AT620" s="36">
        <v>0</v>
      </c>
      <c r="AU620" s="36">
        <v>0</v>
      </c>
      <c r="AV620" s="36">
        <v>0</v>
      </c>
      <c r="AW620">
        <v>0</v>
      </c>
      <c r="AX620">
        <v>0</v>
      </c>
    </row>
    <row r="621" spans="1:50" x14ac:dyDescent="0.25">
      <c r="A621" s="36"/>
      <c r="B621" t="s">
        <v>120</v>
      </c>
      <c r="C621" s="36" t="str">
        <f>'Status Thresholds'!B612</f>
        <v>Rathian</v>
      </c>
      <c r="E621" s="36" t="str">
        <f t="shared" si="21"/>
        <v>Rathian</v>
      </c>
      <c r="F621" s="36" t="str">
        <f>IFERROR(VLOOKUP($E621,'Status Thresholds'!$E:$AS,1,FALSE),"")</f>
        <v/>
      </c>
      <c r="G621" t="s">
        <v>11</v>
      </c>
      <c r="H621" s="55" t="str">
        <f t="shared" si="22"/>
        <v>RathianCrag 1</v>
      </c>
      <c r="I621" s="50">
        <v>0</v>
      </c>
      <c r="J621" s="36">
        <v>2</v>
      </c>
      <c r="K621" s="36">
        <v>8</v>
      </c>
      <c r="L621" s="36">
        <v>8</v>
      </c>
      <c r="M621" s="36">
        <v>0</v>
      </c>
      <c r="N621" s="50">
        <v>0</v>
      </c>
      <c r="O621" s="36">
        <v>2</v>
      </c>
      <c r="P621" s="36">
        <v>8</v>
      </c>
      <c r="Q621" s="36">
        <v>8</v>
      </c>
      <c r="R621" s="36">
        <v>0</v>
      </c>
      <c r="S621" s="50">
        <v>0</v>
      </c>
      <c r="T621" s="36">
        <v>2</v>
      </c>
      <c r="U621" s="36">
        <v>8</v>
      </c>
      <c r="V621" s="36">
        <v>8</v>
      </c>
      <c r="W621" s="36">
        <v>0</v>
      </c>
      <c r="X621" s="50">
        <v>0</v>
      </c>
      <c r="Y621" s="36">
        <v>2</v>
      </c>
      <c r="Z621" s="36">
        <v>8</v>
      </c>
      <c r="AA621" s="36">
        <v>8</v>
      </c>
      <c r="AB621" s="36">
        <v>0</v>
      </c>
      <c r="AC621" s="50">
        <v>0</v>
      </c>
      <c r="AD621" s="36">
        <v>2</v>
      </c>
      <c r="AE621" s="36">
        <v>8</v>
      </c>
      <c r="AF621" s="36">
        <v>8</v>
      </c>
      <c r="AG621" s="36">
        <v>0</v>
      </c>
      <c r="AH621" s="50">
        <v>3</v>
      </c>
      <c r="AI621" s="36">
        <v>8</v>
      </c>
      <c r="AJ621" s="36">
        <v>8</v>
      </c>
      <c r="AK621" s="36">
        <v>8</v>
      </c>
      <c r="AL621" s="36">
        <v>0</v>
      </c>
      <c r="AM621" s="50">
        <v>0</v>
      </c>
      <c r="AN621" s="36">
        <v>8</v>
      </c>
      <c r="AO621" s="36">
        <v>8</v>
      </c>
      <c r="AP621" s="36">
        <v>8</v>
      </c>
      <c r="AQ621" s="36">
        <v>0</v>
      </c>
      <c r="AR621" s="50">
        <v>0</v>
      </c>
      <c r="AS621" s="36">
        <v>0</v>
      </c>
      <c r="AT621" s="36">
        <v>0</v>
      </c>
      <c r="AU621" s="36">
        <v>0</v>
      </c>
      <c r="AV621" s="36">
        <v>1</v>
      </c>
      <c r="AW621">
        <v>0</v>
      </c>
      <c r="AX621">
        <v>0</v>
      </c>
    </row>
    <row r="622" spans="1:50" x14ac:dyDescent="0.25">
      <c r="A622" s="36"/>
      <c r="B622" t="s">
        <v>119</v>
      </c>
      <c r="C622" s="36" t="str">
        <f>'Status Thresholds'!B613</f>
        <v>Rathian</v>
      </c>
      <c r="D622" s="36"/>
      <c r="E622" s="36" t="str">
        <f t="shared" si="21"/>
        <v>Rathian</v>
      </c>
      <c r="F622" s="36" t="str">
        <f>IFERROR(VLOOKUP($E622,'Status Thresholds'!$E:$AS,1,FALSE),"")</f>
        <v/>
      </c>
      <c r="G622" t="s">
        <v>21</v>
      </c>
      <c r="H622" s="55" t="str">
        <f t="shared" si="22"/>
        <v>RathianTriblast</v>
      </c>
      <c r="I622" s="50">
        <v>2</v>
      </c>
      <c r="J622" s="36">
        <v>2</v>
      </c>
      <c r="K622" s="36">
        <v>2</v>
      </c>
      <c r="L622" s="36">
        <v>2</v>
      </c>
      <c r="M622" s="36">
        <v>0</v>
      </c>
      <c r="N622" s="50">
        <v>2</v>
      </c>
      <c r="O622" s="36">
        <v>2</v>
      </c>
      <c r="P622" s="36">
        <v>2</v>
      </c>
      <c r="Q622" s="36">
        <v>2</v>
      </c>
      <c r="R622" s="36">
        <v>0</v>
      </c>
      <c r="S622" s="50">
        <v>2</v>
      </c>
      <c r="T622" s="36">
        <v>2</v>
      </c>
      <c r="U622" s="36">
        <v>2</v>
      </c>
      <c r="V622" s="36">
        <v>2</v>
      </c>
      <c r="W622" s="36">
        <v>0</v>
      </c>
      <c r="X622" s="50">
        <v>2</v>
      </c>
      <c r="Y622" s="36">
        <v>2</v>
      </c>
      <c r="Z622" s="36">
        <v>2</v>
      </c>
      <c r="AA622" s="36">
        <v>2</v>
      </c>
      <c r="AB622" s="36">
        <v>0</v>
      </c>
      <c r="AC622" s="50">
        <v>0</v>
      </c>
      <c r="AD622" s="36">
        <v>0</v>
      </c>
      <c r="AE622" s="36">
        <v>2</v>
      </c>
      <c r="AF622" s="36">
        <v>2</v>
      </c>
      <c r="AG622" s="36">
        <v>0</v>
      </c>
      <c r="AH622" s="50">
        <v>0</v>
      </c>
      <c r="AI622" s="36">
        <v>2</v>
      </c>
      <c r="AJ622" s="36">
        <v>2</v>
      </c>
      <c r="AK622" s="36">
        <v>2</v>
      </c>
      <c r="AL622" s="36">
        <v>0</v>
      </c>
      <c r="AM622" s="50">
        <v>1</v>
      </c>
      <c r="AN622" s="36">
        <v>2</v>
      </c>
      <c r="AO622" s="36">
        <v>2</v>
      </c>
      <c r="AP622" s="36">
        <v>2</v>
      </c>
      <c r="AQ622" s="36">
        <v>0</v>
      </c>
      <c r="AR622" s="50">
        <v>0</v>
      </c>
      <c r="AS622" s="36">
        <v>0</v>
      </c>
      <c r="AT622" s="36">
        <v>0</v>
      </c>
      <c r="AU622" s="36">
        <v>0</v>
      </c>
      <c r="AV622" s="36">
        <v>0</v>
      </c>
      <c r="AW622">
        <v>0</v>
      </c>
      <c r="AX622">
        <v>0</v>
      </c>
    </row>
    <row r="623" spans="1:50" x14ac:dyDescent="0.25">
      <c r="A623" s="36"/>
      <c r="B623" t="s">
        <v>119</v>
      </c>
      <c r="C623" s="36" t="str">
        <f>'Status Thresholds'!B614</f>
        <v>Rathian</v>
      </c>
      <c r="E623" s="36" t="str">
        <f t="shared" si="21"/>
        <v>Rathian</v>
      </c>
      <c r="F623" s="36" t="str">
        <f>IFERROR(VLOOKUP($E623,'Status Thresholds'!$E:$AS,1,FALSE),"")</f>
        <v/>
      </c>
      <c r="G623" t="s">
        <v>13</v>
      </c>
      <c r="H623" s="55" t="str">
        <f t="shared" si="22"/>
        <v>RathianCrag 3</v>
      </c>
      <c r="I623" s="50">
        <v>0</v>
      </c>
      <c r="J623" s="36">
        <v>0</v>
      </c>
      <c r="K623" s="36">
        <v>4</v>
      </c>
      <c r="L623" s="36">
        <v>4</v>
      </c>
      <c r="M623" s="36">
        <v>0</v>
      </c>
      <c r="N623" s="50">
        <v>0</v>
      </c>
      <c r="O623" s="36">
        <v>0</v>
      </c>
      <c r="P623" s="36">
        <v>4</v>
      </c>
      <c r="Q623" s="36">
        <v>4</v>
      </c>
      <c r="R623" s="36">
        <v>0</v>
      </c>
      <c r="S623" s="50">
        <v>0</v>
      </c>
      <c r="T623" s="36">
        <v>0</v>
      </c>
      <c r="U623" s="36">
        <v>4</v>
      </c>
      <c r="V623" s="36">
        <v>4</v>
      </c>
      <c r="W623" s="36">
        <v>0</v>
      </c>
      <c r="X623" s="50">
        <v>0</v>
      </c>
      <c r="Y623" s="36">
        <v>0</v>
      </c>
      <c r="Z623" s="36">
        <v>4</v>
      </c>
      <c r="AA623" s="36">
        <v>4</v>
      </c>
      <c r="AB623" s="36">
        <v>0</v>
      </c>
      <c r="AC623" s="50">
        <v>1</v>
      </c>
      <c r="AD623" s="36">
        <v>3</v>
      </c>
      <c r="AE623" s="36">
        <v>4</v>
      </c>
      <c r="AF623" s="36">
        <v>4</v>
      </c>
      <c r="AG623" s="36">
        <v>0</v>
      </c>
      <c r="AH623" s="50">
        <v>3</v>
      </c>
      <c r="AI623" s="36">
        <v>0</v>
      </c>
      <c r="AJ623" s="36">
        <v>4</v>
      </c>
      <c r="AK623" s="36">
        <v>4</v>
      </c>
      <c r="AL623" s="36">
        <v>0</v>
      </c>
      <c r="AM623" s="50">
        <v>3</v>
      </c>
      <c r="AN623" s="36">
        <v>4</v>
      </c>
      <c r="AO623" s="36">
        <v>4</v>
      </c>
      <c r="AP623" s="36">
        <v>4</v>
      </c>
      <c r="AQ623" s="36">
        <v>0</v>
      </c>
      <c r="AR623" s="50">
        <v>0</v>
      </c>
      <c r="AS623" s="36">
        <v>0</v>
      </c>
      <c r="AT623" s="36">
        <v>0</v>
      </c>
      <c r="AU623" s="36">
        <v>0</v>
      </c>
      <c r="AV623" s="36">
        <v>0</v>
      </c>
      <c r="AW623">
        <v>0</v>
      </c>
      <c r="AX623">
        <v>0</v>
      </c>
    </row>
    <row r="624" spans="1:50" x14ac:dyDescent="0.25">
      <c r="A624" s="36"/>
      <c r="B624" t="s">
        <v>119</v>
      </c>
      <c r="C624" s="36" t="str">
        <f>'Status Thresholds'!B615</f>
        <v>Rathian</v>
      </c>
      <c r="E624" s="36" t="str">
        <f t="shared" si="21"/>
        <v>Rathian</v>
      </c>
      <c r="F624" s="36" t="str">
        <f>IFERROR(VLOOKUP($E624,'Status Thresholds'!$E:$AS,1,FALSE),"")</f>
        <v/>
      </c>
      <c r="G624" t="s">
        <v>12</v>
      </c>
      <c r="H624" s="55" t="str">
        <f t="shared" si="22"/>
        <v>RathianCrag 2</v>
      </c>
      <c r="I624" s="50">
        <v>1</v>
      </c>
      <c r="J624" s="36">
        <v>2</v>
      </c>
      <c r="K624" s="36">
        <v>1</v>
      </c>
      <c r="L624" s="36">
        <v>4</v>
      </c>
      <c r="M624" s="36">
        <v>0</v>
      </c>
      <c r="N624" s="50">
        <v>1</v>
      </c>
      <c r="O624" s="36">
        <v>2</v>
      </c>
      <c r="P624" s="36">
        <v>1</v>
      </c>
      <c r="Q624" s="36">
        <v>4</v>
      </c>
      <c r="R624" s="36">
        <v>0</v>
      </c>
      <c r="S624" s="50">
        <v>1</v>
      </c>
      <c r="T624" s="36">
        <v>2</v>
      </c>
      <c r="U624" s="36">
        <v>1</v>
      </c>
      <c r="V624" s="36">
        <v>4</v>
      </c>
      <c r="W624" s="36">
        <v>0</v>
      </c>
      <c r="X624" s="50">
        <v>1</v>
      </c>
      <c r="Y624" s="36">
        <v>2</v>
      </c>
      <c r="Z624" s="36">
        <v>1</v>
      </c>
      <c r="AA624" s="36">
        <v>4</v>
      </c>
      <c r="AB624" s="36">
        <v>0</v>
      </c>
      <c r="AC624" s="50">
        <v>1</v>
      </c>
      <c r="AD624" s="36">
        <v>3</v>
      </c>
      <c r="AE624" s="36">
        <v>4</v>
      </c>
      <c r="AF624" s="36">
        <v>4</v>
      </c>
      <c r="AG624" s="36">
        <v>0</v>
      </c>
      <c r="AH624" s="50">
        <v>2</v>
      </c>
      <c r="AI624" s="36">
        <v>3</v>
      </c>
      <c r="AJ624" s="36">
        <v>4</v>
      </c>
      <c r="AK624" s="36">
        <v>4</v>
      </c>
      <c r="AL624" s="36">
        <v>0</v>
      </c>
      <c r="AM624" s="50">
        <v>1</v>
      </c>
      <c r="AN624" s="36">
        <v>4</v>
      </c>
      <c r="AO624" s="36">
        <v>4</v>
      </c>
      <c r="AP624" s="36">
        <v>4</v>
      </c>
      <c r="AQ624" s="36">
        <v>0</v>
      </c>
      <c r="AR624" s="50">
        <v>0</v>
      </c>
      <c r="AS624" s="36">
        <v>0</v>
      </c>
      <c r="AT624" s="36">
        <v>0</v>
      </c>
      <c r="AU624" s="36">
        <v>0</v>
      </c>
      <c r="AV624" s="36">
        <v>0</v>
      </c>
      <c r="AW624">
        <v>0</v>
      </c>
      <c r="AX624">
        <v>0</v>
      </c>
    </row>
    <row r="625" spans="1:50" x14ac:dyDescent="0.25">
      <c r="A625" s="36"/>
      <c r="B625" t="s">
        <v>119</v>
      </c>
      <c r="C625" s="36" t="str">
        <f>'Status Thresholds'!B616</f>
        <v>Rathian</v>
      </c>
      <c r="E625" s="36" t="str">
        <f t="shared" si="21"/>
        <v>Rathian</v>
      </c>
      <c r="F625" s="36" t="str">
        <f>IFERROR(VLOOKUP($E625,'Status Thresholds'!$E:$AS,1,FALSE),"")</f>
        <v/>
      </c>
      <c r="G625" t="s">
        <v>11</v>
      </c>
      <c r="H625" s="55" t="str">
        <f t="shared" si="22"/>
        <v>RathianCrag 1</v>
      </c>
      <c r="I625" s="50">
        <v>0</v>
      </c>
      <c r="J625" s="36">
        <v>6</v>
      </c>
      <c r="K625" s="36">
        <v>8</v>
      </c>
      <c r="L625" s="36">
        <v>8</v>
      </c>
      <c r="M625" s="36">
        <v>0</v>
      </c>
      <c r="N625" s="50">
        <v>0</v>
      </c>
      <c r="O625" s="36">
        <v>6</v>
      </c>
      <c r="P625" s="36">
        <v>8</v>
      </c>
      <c r="Q625" s="36">
        <v>8</v>
      </c>
      <c r="R625" s="36">
        <v>0</v>
      </c>
      <c r="S625" s="50">
        <v>0</v>
      </c>
      <c r="T625" s="36">
        <v>6</v>
      </c>
      <c r="U625" s="36">
        <v>8</v>
      </c>
      <c r="V625" s="36">
        <v>8</v>
      </c>
      <c r="W625" s="36">
        <v>0</v>
      </c>
      <c r="X625" s="50">
        <v>0</v>
      </c>
      <c r="Y625" s="36">
        <v>6</v>
      </c>
      <c r="Z625" s="36">
        <v>8</v>
      </c>
      <c r="AA625" s="36">
        <v>8</v>
      </c>
      <c r="AB625" s="36">
        <v>0</v>
      </c>
      <c r="AC625" s="50">
        <v>5</v>
      </c>
      <c r="AD625" s="36">
        <v>7</v>
      </c>
      <c r="AE625" s="36">
        <v>6</v>
      </c>
      <c r="AF625" s="36">
        <v>8</v>
      </c>
      <c r="AG625" s="36">
        <v>0</v>
      </c>
      <c r="AH625" s="50">
        <v>1</v>
      </c>
      <c r="AI625" s="36">
        <v>7</v>
      </c>
      <c r="AJ625" s="36">
        <v>8</v>
      </c>
      <c r="AK625" s="36">
        <v>8</v>
      </c>
      <c r="AL625" s="36">
        <v>0</v>
      </c>
      <c r="AM625" s="50">
        <v>2</v>
      </c>
      <c r="AN625" s="36">
        <v>5</v>
      </c>
      <c r="AO625" s="36">
        <v>8</v>
      </c>
      <c r="AP625" s="36">
        <v>8</v>
      </c>
      <c r="AQ625" s="36">
        <v>0</v>
      </c>
      <c r="AR625" s="50">
        <v>0</v>
      </c>
      <c r="AS625" s="36">
        <v>0</v>
      </c>
      <c r="AT625" s="36">
        <v>0</v>
      </c>
      <c r="AU625" s="36">
        <v>0</v>
      </c>
      <c r="AV625" s="36">
        <v>1</v>
      </c>
      <c r="AW625">
        <v>0</v>
      </c>
      <c r="AX625">
        <v>0</v>
      </c>
    </row>
    <row r="626" spans="1:50" x14ac:dyDescent="0.25">
      <c r="A626" s="36"/>
      <c r="B626" t="s">
        <v>121</v>
      </c>
      <c r="C626" s="36" t="str">
        <f>'Status Thresholds'!B617</f>
        <v>Rathian (Gold)</v>
      </c>
      <c r="D626" t="s">
        <v>14</v>
      </c>
      <c r="E626" s="36" t="str">
        <f t="shared" si="21"/>
        <v>Rathian (Gold)KO</v>
      </c>
      <c r="F626" s="36" t="str">
        <f>IFERROR(VLOOKUP($E626,'Status Thresholds'!$E:$AS,1,FALSE),"")</f>
        <v>Rathian (Gold)KO</v>
      </c>
      <c r="H626" s="55" t="str">
        <f t="shared" si="22"/>
        <v>Rathian (Gold)KO</v>
      </c>
      <c r="I626" s="50">
        <f>VLOOKUP($F626,'Status Thresholds'!$E:$AS,2,FALSE)</f>
        <v>169</v>
      </c>
      <c r="J626" s="36">
        <f>VLOOKUP($F626,'Status Thresholds'!$E:$AS,3,FALSE)</f>
        <v>364</v>
      </c>
      <c r="K626" s="36">
        <f>VLOOKUP($F626,'Status Thresholds'!$E:$AS,4,FALSE)</f>
        <v>559</v>
      </c>
      <c r="L626" s="36">
        <f>VLOOKUP($F626,'Status Thresholds'!$E:$AS,5,FALSE)</f>
        <v>754</v>
      </c>
      <c r="M626" s="36">
        <f>VLOOKUP($F626,'Status Thresholds'!$E:$AS,6,FALSE)</f>
        <v>0</v>
      </c>
      <c r="N626" s="50">
        <f>VLOOKUP($F626,'Status Thresholds'!$E:$AS,7,FALSE)</f>
        <v>169</v>
      </c>
      <c r="O626" s="36">
        <f>VLOOKUP($F626,'Status Thresholds'!$E:$AS,8,FALSE)</f>
        <v>364</v>
      </c>
      <c r="P626" s="36">
        <f>VLOOKUP($F626,'Status Thresholds'!$E:$AS,9,FALSE)</f>
        <v>559</v>
      </c>
      <c r="Q626" s="36">
        <f>VLOOKUP($F626,'Status Thresholds'!$E:$AS,10,FALSE)</f>
        <v>754</v>
      </c>
      <c r="R626" s="36">
        <f>VLOOKUP($F626,'Status Thresholds'!$E:$AS,11,FALSE)</f>
        <v>0</v>
      </c>
      <c r="S626" s="50">
        <f>VLOOKUP($F626,'Status Thresholds'!$E:$AS,12,FALSE)</f>
        <v>195</v>
      </c>
      <c r="T626" s="36">
        <f>VLOOKUP($F626,'Status Thresholds'!$E:$AS,13,FALSE)</f>
        <v>420</v>
      </c>
      <c r="U626" s="36">
        <f>VLOOKUP($F626,'Status Thresholds'!$E:$AS,14,FALSE)</f>
        <v>645</v>
      </c>
      <c r="V626" s="36">
        <f>VLOOKUP($F626,'Status Thresholds'!$E:$AS,15,FALSE)</f>
        <v>870</v>
      </c>
      <c r="W626" s="36">
        <f>VLOOKUP($F626,'Status Thresholds'!$E:$AS,16,FALSE)</f>
        <v>0</v>
      </c>
      <c r="X626" s="50">
        <f>VLOOKUP($F626,'Status Thresholds'!$E:$AS,17,FALSE)</f>
        <v>182</v>
      </c>
      <c r="Y626" s="36">
        <f>VLOOKUP($F626,'Status Thresholds'!$E:$AS,18,FALSE)</f>
        <v>385</v>
      </c>
      <c r="Z626" s="36">
        <f>VLOOKUP($F626,'Status Thresholds'!$E:$AS,19,FALSE)</f>
        <v>588</v>
      </c>
      <c r="AA626" s="36">
        <f>VLOOKUP($F626,'Status Thresholds'!$E:$AS,20,FALSE)</f>
        <v>791</v>
      </c>
      <c r="AB626" s="36">
        <f>VLOOKUP($F626,'Status Thresholds'!$E:$AS,21,FALSE)</f>
        <v>0</v>
      </c>
      <c r="AC626" s="50">
        <f>VLOOKUP($F626,'Status Thresholds'!$E:$AS,22,FALSE)</f>
        <v>195</v>
      </c>
      <c r="AD626" s="36">
        <f>VLOOKUP($F626,'Status Thresholds'!$E:$AS,23,FALSE)</f>
        <v>420</v>
      </c>
      <c r="AE626" s="36">
        <f>VLOOKUP($F626,'Status Thresholds'!$E:$AS,24,FALSE)</f>
        <v>645</v>
      </c>
      <c r="AF626" s="36">
        <f>VLOOKUP($F626,'Status Thresholds'!$E:$AS,25,FALSE)</f>
        <v>870</v>
      </c>
      <c r="AG626" s="36">
        <f>VLOOKUP($F626,'Status Thresholds'!$E:$AS,26,FALSE)</f>
        <v>0</v>
      </c>
      <c r="AH626" s="50">
        <f>VLOOKUP($F626,'Status Thresholds'!$E:$AS,27,FALSE)</f>
        <v>195</v>
      </c>
      <c r="AI626" s="36">
        <f>VLOOKUP($F626,'Status Thresholds'!$E:$AS,28,FALSE)</f>
        <v>420</v>
      </c>
      <c r="AJ626" s="36">
        <f>VLOOKUP($F626,'Status Thresholds'!$E:$AS,29,FALSE)</f>
        <v>645</v>
      </c>
      <c r="AK626" s="36">
        <f>VLOOKUP($F626,'Status Thresholds'!$E:$AS,30,FALSE)</f>
        <v>870</v>
      </c>
      <c r="AL626" s="36">
        <f>VLOOKUP($F626,'Status Thresholds'!$E:$AS,31,FALSE)</f>
        <v>0</v>
      </c>
      <c r="AM626" s="50">
        <f>VLOOKUP($F626,'Status Thresholds'!$E:$AS,32,FALSE)</f>
        <v>260</v>
      </c>
      <c r="AN626" s="36">
        <f>VLOOKUP($F626,'Status Thresholds'!$E:$AS,33,FALSE)</f>
        <v>560</v>
      </c>
      <c r="AO626" s="36">
        <f>VLOOKUP($F626,'Status Thresholds'!$E:$AS,34,FALSE)</f>
        <v>860</v>
      </c>
      <c r="AP626" s="36">
        <f>VLOOKUP($F626,'Status Thresholds'!$E:$AS,35,FALSE)</f>
        <v>1160</v>
      </c>
      <c r="AQ626" s="36">
        <f>VLOOKUP($F626,'Status Thresholds'!$E:$AS,36,FALSE)</f>
        <v>0</v>
      </c>
      <c r="AR626" s="50">
        <f>VLOOKUP($F626,'Status Thresholds'!$E:$AS,37,FALSE)</f>
        <v>0</v>
      </c>
      <c r="AS626" s="36">
        <f>VLOOKUP($F626,'Status Thresholds'!$E:$AS,38,FALSE)</f>
        <v>0</v>
      </c>
      <c r="AT626" s="36">
        <f>VLOOKUP($F626,'Status Thresholds'!$E:$AS,39,FALSE)</f>
        <v>0</v>
      </c>
      <c r="AU626" s="36">
        <f>VLOOKUP($F626,'Status Thresholds'!$E:$AS,40,FALSE)</f>
        <v>0</v>
      </c>
      <c r="AV626" s="36">
        <f>VLOOKUP($F626,'Status Thresholds'!$E:$AS,41,FALSE)</f>
        <v>10</v>
      </c>
      <c r="AW626">
        <v>0</v>
      </c>
      <c r="AX626">
        <v>0</v>
      </c>
    </row>
    <row r="627" spans="1:50" x14ac:dyDescent="0.25">
      <c r="A627" s="36"/>
      <c r="B627" t="s">
        <v>120</v>
      </c>
      <c r="C627" s="36" t="str">
        <f>'Status Thresholds'!B618</f>
        <v>Rathian (Gold)</v>
      </c>
      <c r="E627" s="36" t="str">
        <f t="shared" si="21"/>
        <v>Rathian (Gold)</v>
      </c>
      <c r="F627" s="36" t="str">
        <f>IFERROR(VLOOKUP($E627,'Status Thresholds'!$E:$AS,1,FALSE),"")</f>
        <v/>
      </c>
      <c r="G627" t="s">
        <v>21</v>
      </c>
      <c r="H627" s="55" t="str">
        <f t="shared" si="22"/>
        <v>Rathian (Gold)Triblast</v>
      </c>
      <c r="I627" s="50">
        <v>1</v>
      </c>
      <c r="J627" s="36">
        <v>2</v>
      </c>
      <c r="K627" s="36">
        <v>2</v>
      </c>
      <c r="L627" s="36">
        <v>2</v>
      </c>
      <c r="M627" s="36">
        <v>0</v>
      </c>
      <c r="N627" s="50">
        <v>1</v>
      </c>
      <c r="O627" s="36">
        <v>2</v>
      </c>
      <c r="P627" s="36">
        <v>2</v>
      </c>
      <c r="Q627" s="36">
        <v>2</v>
      </c>
      <c r="R627" s="36">
        <v>0</v>
      </c>
      <c r="S627" s="50">
        <v>1</v>
      </c>
      <c r="T627" s="36">
        <v>2</v>
      </c>
      <c r="U627" s="36">
        <v>2</v>
      </c>
      <c r="V627" s="36">
        <v>2</v>
      </c>
      <c r="W627" s="36">
        <v>0</v>
      </c>
      <c r="X627" s="50">
        <v>0</v>
      </c>
      <c r="Y627" s="36">
        <v>2</v>
      </c>
      <c r="Z627" s="36">
        <v>2</v>
      </c>
      <c r="AA627" s="36">
        <v>2</v>
      </c>
      <c r="AB627" s="36">
        <v>0</v>
      </c>
      <c r="AC627" s="50">
        <v>1</v>
      </c>
      <c r="AD627" s="36">
        <v>2</v>
      </c>
      <c r="AE627" s="36">
        <v>2</v>
      </c>
      <c r="AF627" s="36">
        <v>2</v>
      </c>
      <c r="AG627" s="36">
        <v>0</v>
      </c>
      <c r="AH627" s="50">
        <v>1</v>
      </c>
      <c r="AI627" s="36">
        <v>2</v>
      </c>
      <c r="AJ627" s="36">
        <v>2</v>
      </c>
      <c r="AK627" s="36">
        <v>2</v>
      </c>
      <c r="AL627" s="36">
        <v>0</v>
      </c>
      <c r="AM627" s="50">
        <v>2</v>
      </c>
      <c r="AN627" s="36">
        <v>2</v>
      </c>
      <c r="AO627" s="36">
        <v>2</v>
      </c>
      <c r="AP627" s="36">
        <v>2</v>
      </c>
      <c r="AQ627" s="36">
        <v>0</v>
      </c>
      <c r="AR627" s="50">
        <v>0</v>
      </c>
      <c r="AS627" s="36">
        <v>0</v>
      </c>
      <c r="AT627" s="36">
        <v>0</v>
      </c>
      <c r="AU627" s="36">
        <v>0</v>
      </c>
      <c r="AV627" s="36">
        <v>0</v>
      </c>
      <c r="AW627">
        <v>0</v>
      </c>
    </row>
    <row r="628" spans="1:50" x14ac:dyDescent="0.25">
      <c r="A628" s="36"/>
      <c r="B628" t="s">
        <v>120</v>
      </c>
      <c r="C628" s="36" t="str">
        <f>'Status Thresholds'!B619</f>
        <v>Rathian (Gold)</v>
      </c>
      <c r="E628" s="36" t="str">
        <f t="shared" si="21"/>
        <v>Rathian (Gold)</v>
      </c>
      <c r="F628" s="36" t="str">
        <f>IFERROR(VLOOKUP($E628,'Status Thresholds'!$E:$AS,1,FALSE),"")</f>
        <v/>
      </c>
      <c r="G628" t="s">
        <v>13</v>
      </c>
      <c r="H628" s="55" t="str">
        <f t="shared" si="22"/>
        <v>Rathian (Gold)Crag 3</v>
      </c>
      <c r="I628" s="50">
        <v>1</v>
      </c>
      <c r="J628" s="36">
        <v>2</v>
      </c>
      <c r="K628" s="36">
        <v>3</v>
      </c>
      <c r="L628" s="36">
        <v>4</v>
      </c>
      <c r="M628" s="36">
        <v>0</v>
      </c>
      <c r="N628" s="50">
        <v>1</v>
      </c>
      <c r="O628" s="36">
        <v>2</v>
      </c>
      <c r="P628" s="36">
        <v>3</v>
      </c>
      <c r="Q628" s="36">
        <v>4</v>
      </c>
      <c r="R628" s="36">
        <v>0</v>
      </c>
      <c r="S628" s="50">
        <v>0</v>
      </c>
      <c r="T628" s="36">
        <v>4</v>
      </c>
      <c r="U628" s="36">
        <v>4</v>
      </c>
      <c r="V628" s="36">
        <v>4</v>
      </c>
      <c r="W628" s="36">
        <v>0</v>
      </c>
      <c r="X628" s="50">
        <v>4</v>
      </c>
      <c r="Y628" s="36">
        <v>4</v>
      </c>
      <c r="Z628" s="36">
        <v>3</v>
      </c>
      <c r="AA628" s="36">
        <v>4</v>
      </c>
      <c r="AB628" s="36">
        <v>0</v>
      </c>
      <c r="AC628" s="50">
        <v>0</v>
      </c>
      <c r="AD628" s="36">
        <v>4</v>
      </c>
      <c r="AE628" s="36">
        <v>4</v>
      </c>
      <c r="AF628" s="36">
        <v>4</v>
      </c>
      <c r="AG628" s="36">
        <v>0</v>
      </c>
      <c r="AH628" s="50">
        <v>0</v>
      </c>
      <c r="AI628" s="36">
        <v>4</v>
      </c>
      <c r="AJ628" s="36">
        <v>4</v>
      </c>
      <c r="AK628" s="36">
        <v>4</v>
      </c>
      <c r="AL628" s="36">
        <v>0</v>
      </c>
      <c r="AM628" s="50">
        <v>2</v>
      </c>
      <c r="AN628" s="36">
        <v>3</v>
      </c>
      <c r="AO628" s="36">
        <v>4</v>
      </c>
      <c r="AP628" s="36">
        <v>4</v>
      </c>
      <c r="AQ628" s="36">
        <v>0</v>
      </c>
      <c r="AR628" s="50">
        <v>0</v>
      </c>
      <c r="AS628" s="36">
        <v>0</v>
      </c>
      <c r="AT628" s="36">
        <v>0</v>
      </c>
      <c r="AU628" s="36">
        <v>0</v>
      </c>
      <c r="AV628" s="36">
        <v>0</v>
      </c>
      <c r="AW628">
        <v>0</v>
      </c>
      <c r="AX628">
        <v>0</v>
      </c>
    </row>
    <row r="629" spans="1:50" x14ac:dyDescent="0.25">
      <c r="A629" s="36"/>
      <c r="B629" t="s">
        <v>120</v>
      </c>
      <c r="C629" s="36" t="str">
        <f>'Status Thresholds'!B620</f>
        <v>Rathian (Gold)</v>
      </c>
      <c r="E629" s="36" t="str">
        <f t="shared" si="21"/>
        <v>Rathian (Gold)</v>
      </c>
      <c r="F629" s="36" t="str">
        <f>IFERROR(VLOOKUP($E629,'Status Thresholds'!$E:$AS,1,FALSE),"")</f>
        <v/>
      </c>
      <c r="G629" t="s">
        <v>12</v>
      </c>
      <c r="H629" s="55" t="str">
        <f t="shared" si="22"/>
        <v>Rathian (Gold)Crag 2</v>
      </c>
      <c r="I629" s="50">
        <v>1</v>
      </c>
      <c r="J629" s="36">
        <v>2</v>
      </c>
      <c r="K629" s="36">
        <v>3</v>
      </c>
      <c r="L629" s="36">
        <v>4</v>
      </c>
      <c r="M629" s="36">
        <v>0</v>
      </c>
      <c r="N629" s="50">
        <v>1</v>
      </c>
      <c r="O629" s="36">
        <v>2</v>
      </c>
      <c r="P629" s="36">
        <v>3</v>
      </c>
      <c r="Q629" s="36">
        <v>4</v>
      </c>
      <c r="R629" s="36">
        <v>0</v>
      </c>
      <c r="S629" s="50">
        <v>4</v>
      </c>
      <c r="T629" s="36">
        <v>2</v>
      </c>
      <c r="U629" s="36">
        <v>4</v>
      </c>
      <c r="V629" s="36">
        <v>4</v>
      </c>
      <c r="W629" s="36">
        <v>0</v>
      </c>
      <c r="X629" s="50">
        <v>0</v>
      </c>
      <c r="Y629" s="36">
        <v>0</v>
      </c>
      <c r="Z629" s="36">
        <v>4</v>
      </c>
      <c r="AA629" s="36">
        <v>4</v>
      </c>
      <c r="AB629" s="36">
        <v>0</v>
      </c>
      <c r="AC629" s="50">
        <v>4</v>
      </c>
      <c r="AD629" s="36">
        <v>2</v>
      </c>
      <c r="AE629" s="36">
        <v>4</v>
      </c>
      <c r="AF629" s="36">
        <v>4</v>
      </c>
      <c r="AG629" s="36">
        <v>0</v>
      </c>
      <c r="AH629" s="50">
        <v>4</v>
      </c>
      <c r="AI629" s="36">
        <v>2</v>
      </c>
      <c r="AJ629" s="36">
        <v>4</v>
      </c>
      <c r="AK629" s="36">
        <v>4</v>
      </c>
      <c r="AL629" s="36">
        <v>0</v>
      </c>
      <c r="AM629" s="50">
        <v>1</v>
      </c>
      <c r="AN629" s="36">
        <v>3</v>
      </c>
      <c r="AO629" s="36">
        <v>4</v>
      </c>
      <c r="AP629" s="36">
        <v>4</v>
      </c>
      <c r="AQ629" s="36">
        <v>0</v>
      </c>
      <c r="AR629" s="50">
        <v>0</v>
      </c>
      <c r="AS629" s="36">
        <v>0</v>
      </c>
      <c r="AT629" s="36">
        <v>0</v>
      </c>
      <c r="AU629" s="36">
        <v>0</v>
      </c>
      <c r="AV629" s="36">
        <v>0</v>
      </c>
      <c r="AW629">
        <v>0</v>
      </c>
      <c r="AX629">
        <v>0</v>
      </c>
    </row>
    <row r="630" spans="1:50" x14ac:dyDescent="0.25">
      <c r="A630" s="36"/>
      <c r="B630" t="s">
        <v>120</v>
      </c>
      <c r="C630" s="36" t="str">
        <f>'Status Thresholds'!B621</f>
        <v>Rathian (Gold)</v>
      </c>
      <c r="E630" s="36" t="str">
        <f t="shared" si="21"/>
        <v>Rathian (Gold)</v>
      </c>
      <c r="F630" s="36" t="str">
        <f>IFERROR(VLOOKUP($E630,'Status Thresholds'!$E:$AS,1,FALSE),"")</f>
        <v/>
      </c>
      <c r="G630" t="s">
        <v>11</v>
      </c>
      <c r="H630" s="55" t="str">
        <f t="shared" si="22"/>
        <v>Rathian (Gold)Crag 1</v>
      </c>
      <c r="I630" s="50">
        <v>1</v>
      </c>
      <c r="J630" s="36">
        <v>3</v>
      </c>
      <c r="K630" s="36">
        <v>8</v>
      </c>
      <c r="L630" s="36">
        <v>8</v>
      </c>
      <c r="M630" s="36">
        <v>0</v>
      </c>
      <c r="N630" s="50">
        <v>1</v>
      </c>
      <c r="O630" s="36">
        <v>3</v>
      </c>
      <c r="P630" s="36">
        <v>8</v>
      </c>
      <c r="Q630" s="36">
        <v>8</v>
      </c>
      <c r="R630" s="36">
        <v>0</v>
      </c>
      <c r="S630" s="50">
        <v>0</v>
      </c>
      <c r="T630" s="36">
        <v>2</v>
      </c>
      <c r="U630" s="36">
        <v>8</v>
      </c>
      <c r="V630" s="36">
        <v>8</v>
      </c>
      <c r="W630" s="36">
        <v>0</v>
      </c>
      <c r="X630" s="50">
        <v>1</v>
      </c>
      <c r="Y630" s="36">
        <v>3</v>
      </c>
      <c r="Z630" s="36">
        <v>8</v>
      </c>
      <c r="AA630" s="36">
        <v>8</v>
      </c>
      <c r="AB630" s="36">
        <v>0</v>
      </c>
      <c r="AC630" s="50">
        <v>0</v>
      </c>
      <c r="AD630" s="36">
        <v>2</v>
      </c>
      <c r="AE630" s="36">
        <v>8</v>
      </c>
      <c r="AF630" s="36">
        <v>8</v>
      </c>
      <c r="AG630" s="36">
        <v>0</v>
      </c>
      <c r="AH630" s="50">
        <v>0</v>
      </c>
      <c r="AI630" s="36">
        <v>2</v>
      </c>
      <c r="AJ630" s="36">
        <v>8</v>
      </c>
      <c r="AK630" s="36">
        <v>8</v>
      </c>
      <c r="AL630" s="36">
        <v>0</v>
      </c>
      <c r="AM630" s="50">
        <v>0</v>
      </c>
      <c r="AN630" s="36">
        <v>8</v>
      </c>
      <c r="AO630" s="36">
        <v>8</v>
      </c>
      <c r="AP630" s="36">
        <v>8</v>
      </c>
      <c r="AQ630" s="36">
        <v>0</v>
      </c>
      <c r="AR630" s="50">
        <v>0</v>
      </c>
      <c r="AS630" s="36">
        <v>0</v>
      </c>
      <c r="AT630" s="36">
        <v>0</v>
      </c>
      <c r="AU630" s="36">
        <v>0</v>
      </c>
      <c r="AV630" s="36">
        <v>1</v>
      </c>
      <c r="AW630">
        <v>0</v>
      </c>
      <c r="AX630">
        <v>0</v>
      </c>
    </row>
    <row r="631" spans="1:50" x14ac:dyDescent="0.25">
      <c r="A631" s="36"/>
      <c r="B631" t="s">
        <v>119</v>
      </c>
      <c r="C631" s="36" t="str">
        <f>'Status Thresholds'!B622</f>
        <v>Rathian (Gold)</v>
      </c>
      <c r="E631" s="36" t="str">
        <f t="shared" si="21"/>
        <v>Rathian (Gold)</v>
      </c>
      <c r="F631" s="36" t="str">
        <f>IFERROR(VLOOKUP($E631,'Status Thresholds'!$E:$AS,1,FALSE),"")</f>
        <v/>
      </c>
      <c r="G631" t="s">
        <v>21</v>
      </c>
      <c r="H631" s="55" t="str">
        <f t="shared" si="22"/>
        <v>Rathian (Gold)Triblast</v>
      </c>
      <c r="I631" s="50">
        <v>1</v>
      </c>
      <c r="J631" s="36">
        <v>1</v>
      </c>
      <c r="K631" s="36">
        <v>2</v>
      </c>
      <c r="L631" s="36">
        <v>2</v>
      </c>
      <c r="M631" s="36">
        <v>0</v>
      </c>
      <c r="N631" s="50">
        <v>1</v>
      </c>
      <c r="O631" s="36">
        <v>1</v>
      </c>
      <c r="P631" s="36">
        <v>2</v>
      </c>
      <c r="Q631" s="36">
        <v>2</v>
      </c>
      <c r="R631" s="36">
        <v>0</v>
      </c>
      <c r="S631" s="50">
        <v>2</v>
      </c>
      <c r="T631" s="36">
        <v>0</v>
      </c>
      <c r="U631" s="36">
        <v>2</v>
      </c>
      <c r="V631" s="36">
        <v>2</v>
      </c>
      <c r="W631" s="36">
        <v>0</v>
      </c>
      <c r="X631" s="50">
        <v>1</v>
      </c>
      <c r="Y631" s="36">
        <v>1</v>
      </c>
      <c r="Z631" s="36">
        <v>2</v>
      </c>
      <c r="AA631" s="36">
        <v>2</v>
      </c>
      <c r="AB631" s="36">
        <v>0</v>
      </c>
      <c r="AC631" s="50">
        <v>2</v>
      </c>
      <c r="AD631" s="36">
        <v>0</v>
      </c>
      <c r="AE631" s="36">
        <v>2</v>
      </c>
      <c r="AF631" s="36">
        <v>2</v>
      </c>
      <c r="AG631" s="36">
        <v>0</v>
      </c>
      <c r="AH631" s="50">
        <v>2</v>
      </c>
      <c r="AI631" s="36">
        <v>0</v>
      </c>
      <c r="AJ631" s="36">
        <v>2</v>
      </c>
      <c r="AK631" s="36">
        <v>2</v>
      </c>
      <c r="AL631" s="36">
        <v>0</v>
      </c>
      <c r="AM631" s="50">
        <v>2</v>
      </c>
      <c r="AN631" s="36">
        <v>2</v>
      </c>
      <c r="AO631" s="36">
        <v>2</v>
      </c>
      <c r="AP631" s="36">
        <v>2</v>
      </c>
      <c r="AQ631" s="36">
        <v>0</v>
      </c>
      <c r="AR631" s="50">
        <v>0</v>
      </c>
      <c r="AS631" s="36">
        <v>0</v>
      </c>
      <c r="AT631" s="36">
        <v>0</v>
      </c>
      <c r="AU631" s="36">
        <v>0</v>
      </c>
      <c r="AV631" s="36">
        <v>0</v>
      </c>
      <c r="AW631">
        <v>0</v>
      </c>
      <c r="AX631">
        <v>0</v>
      </c>
    </row>
    <row r="632" spans="1:50" x14ac:dyDescent="0.25">
      <c r="A632" s="36"/>
      <c r="B632" t="s">
        <v>119</v>
      </c>
      <c r="C632" s="36" t="str">
        <f>'Status Thresholds'!B623</f>
        <v>Rathian (Gold)</v>
      </c>
      <c r="E632" s="36" t="str">
        <f t="shared" si="21"/>
        <v>Rathian (Gold)</v>
      </c>
      <c r="F632" s="36" t="str">
        <f>IFERROR(VLOOKUP($E632,'Status Thresholds'!$E:$AS,1,FALSE),"")</f>
        <v/>
      </c>
      <c r="G632" t="s">
        <v>13</v>
      </c>
      <c r="H632" s="55" t="str">
        <f t="shared" si="22"/>
        <v>Rathian (Gold)Crag 3</v>
      </c>
      <c r="I632" s="50">
        <v>2</v>
      </c>
      <c r="J632" s="36">
        <v>2</v>
      </c>
      <c r="K632" s="36">
        <v>4</v>
      </c>
      <c r="L632" s="36">
        <v>4</v>
      </c>
      <c r="M632" s="36">
        <v>0</v>
      </c>
      <c r="N632" s="50">
        <v>2</v>
      </c>
      <c r="O632" s="36">
        <v>2</v>
      </c>
      <c r="P632" s="36">
        <v>4</v>
      </c>
      <c r="Q632" s="36">
        <v>4</v>
      </c>
      <c r="R632" s="36">
        <v>0</v>
      </c>
      <c r="S632" s="50">
        <v>0</v>
      </c>
      <c r="T632" s="36">
        <v>3</v>
      </c>
      <c r="U632" s="36">
        <v>4</v>
      </c>
      <c r="V632" s="36">
        <v>4</v>
      </c>
      <c r="W632" s="36">
        <v>0</v>
      </c>
      <c r="X632" s="50">
        <v>1</v>
      </c>
      <c r="Y632" s="36">
        <v>2</v>
      </c>
      <c r="Z632" s="36">
        <v>3</v>
      </c>
      <c r="AA632" s="36">
        <v>4</v>
      </c>
      <c r="AB632" s="36">
        <v>0</v>
      </c>
      <c r="AC632" s="50">
        <v>0</v>
      </c>
      <c r="AD632" s="36">
        <v>3</v>
      </c>
      <c r="AE632" s="36">
        <v>4</v>
      </c>
      <c r="AF632" s="36">
        <v>4</v>
      </c>
      <c r="AG632" s="36">
        <v>0</v>
      </c>
      <c r="AH632" s="50">
        <v>0</v>
      </c>
      <c r="AI632" s="36">
        <v>3</v>
      </c>
      <c r="AJ632" s="36">
        <v>4</v>
      </c>
      <c r="AK632" s="36">
        <v>4</v>
      </c>
      <c r="AL632" s="36">
        <v>0</v>
      </c>
      <c r="AM632" s="50">
        <v>1</v>
      </c>
      <c r="AN632" s="36">
        <v>4</v>
      </c>
      <c r="AO632" s="36">
        <v>4</v>
      </c>
      <c r="AP632" s="36">
        <v>4</v>
      </c>
      <c r="AQ632" s="36">
        <v>0</v>
      </c>
      <c r="AR632" s="50">
        <v>0</v>
      </c>
      <c r="AS632" s="36">
        <v>0</v>
      </c>
      <c r="AT632" s="36">
        <v>0</v>
      </c>
      <c r="AU632" s="36">
        <v>0</v>
      </c>
      <c r="AV632" s="36">
        <v>0</v>
      </c>
      <c r="AW632">
        <v>0</v>
      </c>
      <c r="AX632">
        <v>0</v>
      </c>
    </row>
    <row r="633" spans="1:50" x14ac:dyDescent="0.25">
      <c r="A633" s="36"/>
      <c r="B633" t="s">
        <v>119</v>
      </c>
      <c r="C633" s="36" t="str">
        <f>'Status Thresholds'!B624</f>
        <v>Rathian (Gold)</v>
      </c>
      <c r="E633" s="36" t="str">
        <f t="shared" si="21"/>
        <v>Rathian (Gold)</v>
      </c>
      <c r="F633" s="36" t="str">
        <f>IFERROR(VLOOKUP($E633,'Status Thresholds'!$E:$AS,1,FALSE),"")</f>
        <v/>
      </c>
      <c r="G633" t="s">
        <v>12</v>
      </c>
      <c r="H633" s="55" t="str">
        <f t="shared" si="22"/>
        <v>Rathian (Gold)Crag 2</v>
      </c>
      <c r="I633" s="50">
        <v>0</v>
      </c>
      <c r="J633" s="36">
        <v>1</v>
      </c>
      <c r="K633" s="36">
        <v>1</v>
      </c>
      <c r="L633" s="36">
        <v>4</v>
      </c>
      <c r="M633" s="36">
        <v>0</v>
      </c>
      <c r="N633" s="50">
        <v>0</v>
      </c>
      <c r="O633" s="36">
        <v>1</v>
      </c>
      <c r="P633" s="36">
        <v>1</v>
      </c>
      <c r="Q633" s="36">
        <v>4</v>
      </c>
      <c r="R633" s="36">
        <v>0</v>
      </c>
      <c r="S633" s="50">
        <v>1</v>
      </c>
      <c r="T633" s="36">
        <v>3</v>
      </c>
      <c r="U633" s="36">
        <v>3</v>
      </c>
      <c r="V633" s="36">
        <v>4</v>
      </c>
      <c r="W633" s="36">
        <v>0</v>
      </c>
      <c r="X633" s="50">
        <v>1</v>
      </c>
      <c r="Y633" s="36">
        <v>0</v>
      </c>
      <c r="Z633" s="36">
        <v>4</v>
      </c>
      <c r="AA633" s="36">
        <v>4</v>
      </c>
      <c r="AB633" s="36">
        <v>0</v>
      </c>
      <c r="AC633" s="50">
        <v>1</v>
      </c>
      <c r="AD633" s="36">
        <v>3</v>
      </c>
      <c r="AE633" s="36">
        <v>3</v>
      </c>
      <c r="AF633" s="36">
        <v>4</v>
      </c>
      <c r="AG633" s="36">
        <v>0</v>
      </c>
      <c r="AH633" s="50">
        <v>1</v>
      </c>
      <c r="AI633" s="36">
        <v>3</v>
      </c>
      <c r="AJ633" s="36">
        <v>3</v>
      </c>
      <c r="AK633" s="36">
        <v>4</v>
      </c>
      <c r="AL633" s="36">
        <v>0</v>
      </c>
      <c r="AM633" s="50">
        <v>0</v>
      </c>
      <c r="AN633" s="36">
        <v>1</v>
      </c>
      <c r="AO633" s="36">
        <v>4</v>
      </c>
      <c r="AP633" s="36">
        <v>4</v>
      </c>
      <c r="AQ633" s="36">
        <v>0</v>
      </c>
      <c r="AR633" s="50">
        <v>0</v>
      </c>
      <c r="AS633" s="36">
        <v>0</v>
      </c>
      <c r="AT633" s="36">
        <v>0</v>
      </c>
      <c r="AU633" s="36">
        <v>0</v>
      </c>
      <c r="AV633" s="36">
        <v>0</v>
      </c>
      <c r="AW633">
        <v>0</v>
      </c>
      <c r="AX633">
        <v>0</v>
      </c>
    </row>
    <row r="634" spans="1:50" x14ac:dyDescent="0.25">
      <c r="A634" s="36"/>
      <c r="B634" t="s">
        <v>119</v>
      </c>
      <c r="C634" s="36" t="str">
        <f>'Status Thresholds'!B625</f>
        <v>Rathian (Gold)</v>
      </c>
      <c r="E634" s="36" t="str">
        <f t="shared" si="21"/>
        <v>Rathian (Gold)</v>
      </c>
      <c r="F634" s="36" t="str">
        <f>IFERROR(VLOOKUP($E634,'Status Thresholds'!$E:$AS,1,FALSE),"")</f>
        <v/>
      </c>
      <c r="G634" t="s">
        <v>11</v>
      </c>
      <c r="H634" s="55" t="str">
        <f t="shared" si="22"/>
        <v>Rathian (Gold)Crag 1</v>
      </c>
      <c r="I634" s="50">
        <v>0</v>
      </c>
      <c r="J634" s="36">
        <v>6</v>
      </c>
      <c r="K634" s="36">
        <v>7</v>
      </c>
      <c r="L634" s="36">
        <v>8</v>
      </c>
      <c r="M634" s="36">
        <v>0</v>
      </c>
      <c r="N634" s="50">
        <v>0</v>
      </c>
      <c r="O634" s="36">
        <v>6</v>
      </c>
      <c r="P634" s="36">
        <v>7</v>
      </c>
      <c r="Q634" s="36">
        <v>8</v>
      </c>
      <c r="R634" s="36">
        <v>0</v>
      </c>
      <c r="S634" s="50">
        <v>0</v>
      </c>
      <c r="T634" s="36">
        <v>7</v>
      </c>
      <c r="U634" s="36">
        <v>8</v>
      </c>
      <c r="V634" s="36">
        <v>8</v>
      </c>
      <c r="W634" s="36">
        <v>0</v>
      </c>
      <c r="X634" s="50">
        <v>1</v>
      </c>
      <c r="Y634" s="36">
        <v>8</v>
      </c>
      <c r="Z634" s="36">
        <v>6</v>
      </c>
      <c r="AA634" s="36">
        <v>8</v>
      </c>
      <c r="AB634" s="36">
        <v>0</v>
      </c>
      <c r="AC634" s="50">
        <v>0</v>
      </c>
      <c r="AD634" s="36">
        <v>7</v>
      </c>
      <c r="AE634" s="36">
        <v>8</v>
      </c>
      <c r="AF634" s="36">
        <v>8</v>
      </c>
      <c r="AG634" s="36">
        <v>0</v>
      </c>
      <c r="AH634" s="50">
        <v>0</v>
      </c>
      <c r="AI634" s="36">
        <v>7</v>
      </c>
      <c r="AJ634" s="36">
        <v>8</v>
      </c>
      <c r="AK634" s="36">
        <v>8</v>
      </c>
      <c r="AL634" s="36">
        <v>0</v>
      </c>
      <c r="AM634" s="50">
        <v>2</v>
      </c>
      <c r="AN634" s="36">
        <v>7</v>
      </c>
      <c r="AO634" s="36">
        <v>8</v>
      </c>
      <c r="AP634" s="36">
        <v>8</v>
      </c>
      <c r="AQ634" s="36">
        <v>0</v>
      </c>
      <c r="AR634" s="50">
        <v>0</v>
      </c>
      <c r="AS634" s="36">
        <v>0</v>
      </c>
      <c r="AT634" s="36">
        <v>0</v>
      </c>
      <c r="AU634" s="36">
        <v>0</v>
      </c>
      <c r="AV634" s="36">
        <v>1</v>
      </c>
      <c r="AW634">
        <v>0</v>
      </c>
      <c r="AX634">
        <v>0</v>
      </c>
    </row>
    <row r="635" spans="1:50" x14ac:dyDescent="0.25">
      <c r="A635" s="36"/>
      <c r="B635" t="s">
        <v>121</v>
      </c>
      <c r="C635" s="36" t="str">
        <f>'Status Thresholds'!B626</f>
        <v>Redhelm Arzuros</v>
      </c>
      <c r="D635" t="s">
        <v>14</v>
      </c>
      <c r="E635" s="36" t="str">
        <f t="shared" si="21"/>
        <v>Redhelm ArzurosKO</v>
      </c>
      <c r="F635" s="36" t="str">
        <f>IFERROR(VLOOKUP($E635,'Status Thresholds'!$E:$AS,1,FALSE),"")</f>
        <v>Redhelm ArzurosKO</v>
      </c>
      <c r="H635" s="55" t="str">
        <f t="shared" si="22"/>
        <v>Redhelm ArzurosKO</v>
      </c>
      <c r="I635" s="50">
        <f>VLOOKUP($F635,'Status Thresholds'!$E:$AS,2,FALSE)</f>
        <v>0</v>
      </c>
      <c r="J635" s="36">
        <f>VLOOKUP($F635,'Status Thresholds'!$E:$AS,3,FALSE)</f>
        <v>0</v>
      </c>
      <c r="K635" s="36">
        <f>VLOOKUP($F635,'Status Thresholds'!$E:$AS,4,FALSE)</f>
        <v>0</v>
      </c>
      <c r="L635" s="36">
        <f>VLOOKUP($F635,'Status Thresholds'!$E:$AS,5,FALSE)</f>
        <v>0</v>
      </c>
      <c r="M635" s="36">
        <f>VLOOKUP($F635,'Status Thresholds'!$E:$AS,6,FALSE)</f>
        <v>0</v>
      </c>
      <c r="N635" s="50">
        <f>VLOOKUP($F635,'Status Thresholds'!$E:$AS,7,FALSE)</f>
        <v>0</v>
      </c>
      <c r="O635" s="36">
        <f>VLOOKUP($F635,'Status Thresholds'!$E:$AS,8,FALSE)</f>
        <v>0</v>
      </c>
      <c r="P635" s="36">
        <f>VLOOKUP($F635,'Status Thresholds'!$E:$AS,9,FALSE)</f>
        <v>0</v>
      </c>
      <c r="Q635" s="36">
        <f>VLOOKUP($F635,'Status Thresholds'!$E:$AS,10,FALSE)</f>
        <v>0</v>
      </c>
      <c r="R635" s="36">
        <f>VLOOKUP($F635,'Status Thresholds'!$E:$AS,11,FALSE)</f>
        <v>0</v>
      </c>
      <c r="S635" s="50">
        <f>VLOOKUP($F635,'Status Thresholds'!$E:$AS,12,FALSE)</f>
        <v>0</v>
      </c>
      <c r="T635" s="36">
        <f>VLOOKUP($F635,'Status Thresholds'!$E:$AS,13,FALSE)</f>
        <v>0</v>
      </c>
      <c r="U635" s="36">
        <f>VLOOKUP($F635,'Status Thresholds'!$E:$AS,14,FALSE)</f>
        <v>0</v>
      </c>
      <c r="V635" s="36">
        <f>VLOOKUP($F635,'Status Thresholds'!$E:$AS,15,FALSE)</f>
        <v>0</v>
      </c>
      <c r="W635" s="36">
        <f>VLOOKUP($F635,'Status Thresholds'!$E:$AS,16,FALSE)</f>
        <v>0</v>
      </c>
      <c r="X635" s="50">
        <f>VLOOKUP($F635,'Status Thresholds'!$E:$AS,17,FALSE)</f>
        <v>0</v>
      </c>
      <c r="Y635" s="36">
        <f>VLOOKUP($F635,'Status Thresholds'!$E:$AS,18,FALSE)</f>
        <v>0</v>
      </c>
      <c r="Z635" s="36">
        <f>VLOOKUP($F635,'Status Thresholds'!$E:$AS,19,FALSE)</f>
        <v>0</v>
      </c>
      <c r="AA635" s="36">
        <f>VLOOKUP($F635,'Status Thresholds'!$E:$AS,20,FALSE)</f>
        <v>0</v>
      </c>
      <c r="AB635" s="36">
        <f>VLOOKUP($F635,'Status Thresholds'!$E:$AS,21,FALSE)</f>
        <v>0</v>
      </c>
      <c r="AC635" s="50">
        <f>VLOOKUP($F635,'Status Thresholds'!$E:$AS,22,FALSE)</f>
        <v>0</v>
      </c>
      <c r="AD635" s="36">
        <f>VLOOKUP($F635,'Status Thresholds'!$E:$AS,23,FALSE)</f>
        <v>0</v>
      </c>
      <c r="AE635" s="36">
        <f>VLOOKUP($F635,'Status Thresholds'!$E:$AS,24,FALSE)</f>
        <v>0</v>
      </c>
      <c r="AF635" s="36">
        <f>VLOOKUP($F635,'Status Thresholds'!$E:$AS,25,FALSE)</f>
        <v>0</v>
      </c>
      <c r="AG635" s="36">
        <f>VLOOKUP($F635,'Status Thresholds'!$E:$AS,26,FALSE)</f>
        <v>0</v>
      </c>
      <c r="AH635" s="50">
        <f>VLOOKUP($F635,'Status Thresholds'!$E:$AS,27,FALSE)</f>
        <v>0</v>
      </c>
      <c r="AI635" s="36">
        <f>VLOOKUP($F635,'Status Thresholds'!$E:$AS,28,FALSE)</f>
        <v>0</v>
      </c>
      <c r="AJ635" s="36">
        <f>VLOOKUP($F635,'Status Thresholds'!$E:$AS,29,FALSE)</f>
        <v>0</v>
      </c>
      <c r="AK635" s="36">
        <f>VLOOKUP($F635,'Status Thresholds'!$E:$AS,30,FALSE)</f>
        <v>0</v>
      </c>
      <c r="AL635" s="36">
        <f>VLOOKUP($F635,'Status Thresholds'!$E:$AS,31,FALSE)</f>
        <v>0</v>
      </c>
      <c r="AM635" s="50">
        <f>VLOOKUP($F635,'Status Thresholds'!$E:$AS,32,FALSE)</f>
        <v>0</v>
      </c>
      <c r="AN635" s="36">
        <f>VLOOKUP($F635,'Status Thresholds'!$E:$AS,33,FALSE)</f>
        <v>0</v>
      </c>
      <c r="AO635" s="36">
        <f>VLOOKUP($F635,'Status Thresholds'!$E:$AS,34,FALSE)</f>
        <v>0</v>
      </c>
      <c r="AP635" s="36">
        <f>VLOOKUP($F635,'Status Thresholds'!$E:$AS,35,FALSE)</f>
        <v>0</v>
      </c>
      <c r="AQ635" s="36">
        <f>VLOOKUP($F635,'Status Thresholds'!$E:$AS,36,FALSE)</f>
        <v>0</v>
      </c>
      <c r="AR635" s="50">
        <f>VLOOKUP($F635,'Status Thresholds'!$E:$AS,37,FALSE)</f>
        <v>0</v>
      </c>
      <c r="AS635" s="36">
        <f>VLOOKUP($F635,'Status Thresholds'!$E:$AS,38,FALSE)</f>
        <v>0</v>
      </c>
      <c r="AT635" s="36">
        <f>VLOOKUP($F635,'Status Thresholds'!$E:$AS,39,FALSE)</f>
        <v>0</v>
      </c>
      <c r="AU635" s="36">
        <f>VLOOKUP($F635,'Status Thresholds'!$E:$AS,40,FALSE)</f>
        <v>0</v>
      </c>
      <c r="AV635" s="36">
        <f>VLOOKUP($F635,'Status Thresholds'!$E:$AS,41,FALSE)</f>
        <v>7</v>
      </c>
      <c r="AW635">
        <v>0</v>
      </c>
      <c r="AX635">
        <v>0</v>
      </c>
    </row>
    <row r="636" spans="1:50" x14ac:dyDescent="0.25">
      <c r="A636" s="36"/>
      <c r="B636" t="s">
        <v>120</v>
      </c>
      <c r="C636" s="36" t="str">
        <f>'Status Thresholds'!B627</f>
        <v>Redhelm Arzuros</v>
      </c>
      <c r="E636" s="36" t="str">
        <f t="shared" si="21"/>
        <v>Redhelm Arzuros</v>
      </c>
      <c r="F636" s="36" t="str">
        <f>IFERROR(VLOOKUP($E636,'Status Thresholds'!$E:$AS,1,FALSE),"")</f>
        <v/>
      </c>
      <c r="G636" t="s">
        <v>21</v>
      </c>
      <c r="H636" s="55" t="str">
        <f t="shared" si="22"/>
        <v>Redhelm ArzurosTriblast</v>
      </c>
      <c r="I636" s="50">
        <v>0</v>
      </c>
      <c r="J636" s="36">
        <v>0</v>
      </c>
      <c r="K636" s="36">
        <v>0</v>
      </c>
      <c r="L636" s="36">
        <v>0</v>
      </c>
      <c r="M636" s="36">
        <v>0</v>
      </c>
      <c r="N636" s="50">
        <v>0</v>
      </c>
      <c r="O636" s="36">
        <v>0</v>
      </c>
      <c r="P636" s="36">
        <v>0</v>
      </c>
      <c r="Q636" s="36">
        <v>0</v>
      </c>
      <c r="R636" s="36">
        <v>0</v>
      </c>
      <c r="S636" s="50">
        <v>0</v>
      </c>
      <c r="T636" s="36">
        <v>0</v>
      </c>
      <c r="U636" s="36">
        <v>0</v>
      </c>
      <c r="V636" s="36">
        <v>0</v>
      </c>
      <c r="W636" s="36">
        <v>0</v>
      </c>
      <c r="X636" s="50">
        <v>0</v>
      </c>
      <c r="Y636" s="36">
        <v>0</v>
      </c>
      <c r="Z636" s="36">
        <v>0</v>
      </c>
      <c r="AA636" s="36">
        <v>0</v>
      </c>
      <c r="AB636" s="36">
        <v>0</v>
      </c>
      <c r="AC636" s="50">
        <v>0</v>
      </c>
      <c r="AD636" s="36">
        <v>0</v>
      </c>
      <c r="AE636" s="36">
        <v>0</v>
      </c>
      <c r="AF636" s="36">
        <v>0</v>
      </c>
      <c r="AG636" s="36">
        <v>0</v>
      </c>
      <c r="AH636" s="50">
        <v>0</v>
      </c>
      <c r="AI636" s="36">
        <v>0</v>
      </c>
      <c r="AJ636" s="36">
        <v>0</v>
      </c>
      <c r="AK636" s="36">
        <v>0</v>
      </c>
      <c r="AL636" s="36">
        <v>0</v>
      </c>
      <c r="AM636" s="50">
        <v>0</v>
      </c>
      <c r="AN636" s="36">
        <v>0</v>
      </c>
      <c r="AO636" s="36">
        <v>0</v>
      </c>
      <c r="AP636" s="36">
        <v>0</v>
      </c>
      <c r="AQ636" s="36">
        <v>0</v>
      </c>
      <c r="AR636" s="50">
        <v>0</v>
      </c>
      <c r="AS636" s="36">
        <v>0</v>
      </c>
      <c r="AT636" s="36">
        <v>0</v>
      </c>
      <c r="AU636" s="36">
        <v>0</v>
      </c>
      <c r="AV636" s="36">
        <v>0</v>
      </c>
      <c r="AW636">
        <v>0</v>
      </c>
    </row>
    <row r="637" spans="1:50" x14ac:dyDescent="0.25">
      <c r="A637" s="36"/>
      <c r="B637" t="s">
        <v>120</v>
      </c>
      <c r="C637" s="36" t="str">
        <f>'Status Thresholds'!B628</f>
        <v>Redhelm Arzuros</v>
      </c>
      <c r="E637" s="36" t="str">
        <f t="shared" si="21"/>
        <v>Redhelm Arzuros</v>
      </c>
      <c r="F637" s="36" t="str">
        <f>IFERROR(VLOOKUP($E637,'Status Thresholds'!$E:$AS,1,FALSE),"")</f>
        <v/>
      </c>
      <c r="G637" t="s">
        <v>13</v>
      </c>
      <c r="H637" s="55" t="str">
        <f t="shared" si="22"/>
        <v>Redhelm ArzurosCrag 3</v>
      </c>
      <c r="I637" s="50">
        <v>0</v>
      </c>
      <c r="J637" s="36">
        <v>0</v>
      </c>
      <c r="K637" s="36">
        <v>0</v>
      </c>
      <c r="L637" s="36">
        <v>0</v>
      </c>
      <c r="M637" s="36">
        <v>0</v>
      </c>
      <c r="N637" s="50">
        <v>0</v>
      </c>
      <c r="O637" s="36">
        <v>0</v>
      </c>
      <c r="P637" s="36">
        <v>0</v>
      </c>
      <c r="Q637" s="36">
        <v>0</v>
      </c>
      <c r="R637" s="36">
        <v>0</v>
      </c>
      <c r="S637" s="50">
        <v>0</v>
      </c>
      <c r="T637" s="36">
        <v>0</v>
      </c>
      <c r="U637" s="36">
        <v>0</v>
      </c>
      <c r="V637" s="36">
        <v>0</v>
      </c>
      <c r="W637" s="36">
        <v>0</v>
      </c>
      <c r="X637" s="50">
        <v>0</v>
      </c>
      <c r="Y637" s="36">
        <v>0</v>
      </c>
      <c r="Z637" s="36">
        <v>0</v>
      </c>
      <c r="AA637" s="36">
        <v>0</v>
      </c>
      <c r="AB637" s="36">
        <v>0</v>
      </c>
      <c r="AC637" s="50">
        <v>0</v>
      </c>
      <c r="AD637" s="36">
        <v>0</v>
      </c>
      <c r="AE637" s="36">
        <v>0</v>
      </c>
      <c r="AF637" s="36">
        <v>0</v>
      </c>
      <c r="AG637" s="36">
        <v>0</v>
      </c>
      <c r="AH637" s="50">
        <v>0</v>
      </c>
      <c r="AI637" s="36">
        <v>0</v>
      </c>
      <c r="AJ637" s="36">
        <v>0</v>
      </c>
      <c r="AK637" s="36">
        <v>0</v>
      </c>
      <c r="AL637" s="36">
        <v>0</v>
      </c>
      <c r="AM637" s="50">
        <v>0</v>
      </c>
      <c r="AN637" s="36">
        <v>0</v>
      </c>
      <c r="AO637" s="36">
        <v>0</v>
      </c>
      <c r="AP637" s="36">
        <v>0</v>
      </c>
      <c r="AQ637" s="36">
        <v>0</v>
      </c>
      <c r="AR637" s="50">
        <v>0</v>
      </c>
      <c r="AS637" s="36">
        <v>0</v>
      </c>
      <c r="AT637" s="36">
        <v>0</v>
      </c>
      <c r="AU637" s="36">
        <v>0</v>
      </c>
      <c r="AV637" s="36">
        <v>0</v>
      </c>
      <c r="AW637">
        <v>0</v>
      </c>
      <c r="AX637">
        <v>0</v>
      </c>
    </row>
    <row r="638" spans="1:50" x14ac:dyDescent="0.25">
      <c r="A638" s="36"/>
      <c r="B638" t="s">
        <v>120</v>
      </c>
      <c r="C638" s="36" t="str">
        <f>'Status Thresholds'!B629</f>
        <v>Redhelm Arzuros</v>
      </c>
      <c r="E638" s="36" t="str">
        <f t="shared" si="21"/>
        <v>Redhelm Arzuros</v>
      </c>
      <c r="F638" s="36" t="str">
        <f>IFERROR(VLOOKUP($E638,'Status Thresholds'!$E:$AS,1,FALSE),"")</f>
        <v/>
      </c>
      <c r="G638" t="s">
        <v>12</v>
      </c>
      <c r="H638" s="55" t="str">
        <f t="shared" si="22"/>
        <v>Redhelm ArzurosCrag 2</v>
      </c>
      <c r="I638" s="50">
        <v>0</v>
      </c>
      <c r="J638" s="36">
        <v>0</v>
      </c>
      <c r="K638" s="36">
        <v>0</v>
      </c>
      <c r="L638" s="36">
        <v>0</v>
      </c>
      <c r="M638" s="36">
        <v>0</v>
      </c>
      <c r="N638" s="50">
        <v>0</v>
      </c>
      <c r="O638" s="36">
        <v>0</v>
      </c>
      <c r="P638" s="36">
        <v>0</v>
      </c>
      <c r="Q638" s="36">
        <v>0</v>
      </c>
      <c r="R638" s="36">
        <v>0</v>
      </c>
      <c r="S638" s="50">
        <v>0</v>
      </c>
      <c r="T638" s="36">
        <v>0</v>
      </c>
      <c r="U638" s="36">
        <v>0</v>
      </c>
      <c r="V638" s="36">
        <v>0</v>
      </c>
      <c r="W638" s="36">
        <v>0</v>
      </c>
      <c r="X638" s="50">
        <v>0</v>
      </c>
      <c r="Y638" s="36">
        <v>0</v>
      </c>
      <c r="Z638" s="36">
        <v>0</v>
      </c>
      <c r="AA638" s="36">
        <v>0</v>
      </c>
      <c r="AB638" s="36">
        <v>0</v>
      </c>
      <c r="AC638" s="50">
        <v>0</v>
      </c>
      <c r="AD638" s="36">
        <v>0</v>
      </c>
      <c r="AE638" s="36">
        <v>0</v>
      </c>
      <c r="AF638" s="36">
        <v>0</v>
      </c>
      <c r="AG638" s="36">
        <v>0</v>
      </c>
      <c r="AH638" s="50">
        <v>0</v>
      </c>
      <c r="AI638" s="36">
        <v>0</v>
      </c>
      <c r="AJ638" s="36">
        <v>0</v>
      </c>
      <c r="AK638" s="36">
        <v>0</v>
      </c>
      <c r="AL638" s="36">
        <v>0</v>
      </c>
      <c r="AM638" s="50">
        <v>0</v>
      </c>
      <c r="AN638" s="36">
        <v>0</v>
      </c>
      <c r="AO638" s="36">
        <v>0</v>
      </c>
      <c r="AP638" s="36">
        <v>0</v>
      </c>
      <c r="AQ638" s="36">
        <v>0</v>
      </c>
      <c r="AR638" s="50">
        <v>0</v>
      </c>
      <c r="AS638" s="36">
        <v>0</v>
      </c>
      <c r="AT638" s="36">
        <v>0</v>
      </c>
      <c r="AU638" s="36">
        <v>0</v>
      </c>
      <c r="AV638" s="36">
        <v>0</v>
      </c>
      <c r="AW638">
        <v>0</v>
      </c>
      <c r="AX638">
        <v>0</v>
      </c>
    </row>
    <row r="639" spans="1:50" x14ac:dyDescent="0.25">
      <c r="A639" s="36"/>
      <c r="B639" t="s">
        <v>120</v>
      </c>
      <c r="C639" s="36" t="str">
        <f>'Status Thresholds'!B630</f>
        <v>Redhelm Arzuros</v>
      </c>
      <c r="E639" s="36" t="str">
        <f t="shared" si="21"/>
        <v>Redhelm Arzuros</v>
      </c>
      <c r="F639" s="36" t="str">
        <f>IFERROR(VLOOKUP($E639,'Status Thresholds'!$E:$AS,1,FALSE),"")</f>
        <v/>
      </c>
      <c r="G639" t="s">
        <v>11</v>
      </c>
      <c r="H639" s="55" t="str">
        <f t="shared" si="22"/>
        <v>Redhelm ArzurosCrag 1</v>
      </c>
      <c r="I639" s="50">
        <v>0</v>
      </c>
      <c r="J639" s="36">
        <v>0</v>
      </c>
      <c r="K639" s="36">
        <v>0</v>
      </c>
      <c r="L639" s="36">
        <v>0</v>
      </c>
      <c r="M639" s="36">
        <v>0</v>
      </c>
      <c r="N639" s="50">
        <v>0</v>
      </c>
      <c r="O639" s="36">
        <v>0</v>
      </c>
      <c r="P639" s="36">
        <v>0</v>
      </c>
      <c r="Q639" s="36">
        <v>0</v>
      </c>
      <c r="R639" s="36">
        <v>0</v>
      </c>
      <c r="S639" s="50">
        <v>0</v>
      </c>
      <c r="T639" s="36">
        <v>0</v>
      </c>
      <c r="U639" s="36">
        <v>0</v>
      </c>
      <c r="V639" s="36">
        <v>0</v>
      </c>
      <c r="W639" s="36">
        <v>0</v>
      </c>
      <c r="X639" s="50">
        <v>0</v>
      </c>
      <c r="Y639" s="36">
        <v>0</v>
      </c>
      <c r="Z639" s="36">
        <v>0</v>
      </c>
      <c r="AA639" s="36">
        <v>0</v>
      </c>
      <c r="AB639" s="36">
        <v>0</v>
      </c>
      <c r="AC639" s="50">
        <v>0</v>
      </c>
      <c r="AD639" s="36">
        <v>0</v>
      </c>
      <c r="AE639" s="36">
        <v>0</v>
      </c>
      <c r="AF639" s="36">
        <v>0</v>
      </c>
      <c r="AG639" s="36">
        <v>0</v>
      </c>
      <c r="AH639" s="50">
        <v>0</v>
      </c>
      <c r="AI639" s="36">
        <v>0</v>
      </c>
      <c r="AJ639" s="36">
        <v>0</v>
      </c>
      <c r="AK639" s="36">
        <v>0</v>
      </c>
      <c r="AL639" s="36">
        <v>0</v>
      </c>
      <c r="AM639" s="50">
        <v>0</v>
      </c>
      <c r="AN639" s="36">
        <v>0</v>
      </c>
      <c r="AO639" s="36">
        <v>0</v>
      </c>
      <c r="AP639" s="36">
        <v>0</v>
      </c>
      <c r="AQ639" s="36">
        <v>0</v>
      </c>
      <c r="AR639" s="50">
        <v>0</v>
      </c>
      <c r="AS639" s="36">
        <v>0</v>
      </c>
      <c r="AT639" s="36">
        <v>0</v>
      </c>
      <c r="AU639" s="36">
        <v>0</v>
      </c>
      <c r="AV639" s="36">
        <v>1</v>
      </c>
      <c r="AW639">
        <v>0</v>
      </c>
      <c r="AX639">
        <v>0</v>
      </c>
    </row>
    <row r="640" spans="1:50" x14ac:dyDescent="0.25">
      <c r="A640" s="36"/>
      <c r="B640" t="s">
        <v>119</v>
      </c>
      <c r="C640" s="36" t="str">
        <f>'Status Thresholds'!B631</f>
        <v>Redhelm Arzuros</v>
      </c>
      <c r="E640" s="36" t="str">
        <f t="shared" si="21"/>
        <v>Redhelm Arzuros</v>
      </c>
      <c r="F640" s="36" t="str">
        <f>IFERROR(VLOOKUP($E640,'Status Thresholds'!$E:$AS,1,FALSE),"")</f>
        <v/>
      </c>
      <c r="G640" t="s">
        <v>21</v>
      </c>
      <c r="H640" s="55" t="str">
        <f t="shared" si="22"/>
        <v>Redhelm ArzurosTriblast</v>
      </c>
      <c r="I640" s="50">
        <v>0</v>
      </c>
      <c r="J640" s="36">
        <v>0</v>
      </c>
      <c r="K640" s="36">
        <v>0</v>
      </c>
      <c r="L640" s="36">
        <v>0</v>
      </c>
      <c r="M640" s="36">
        <v>0</v>
      </c>
      <c r="N640" s="50">
        <v>0</v>
      </c>
      <c r="O640" s="36">
        <v>0</v>
      </c>
      <c r="P640" s="36">
        <v>0</v>
      </c>
      <c r="Q640" s="36">
        <v>0</v>
      </c>
      <c r="R640" s="36">
        <v>0</v>
      </c>
      <c r="S640" s="50">
        <v>0</v>
      </c>
      <c r="T640" s="36">
        <v>0</v>
      </c>
      <c r="U640" s="36">
        <v>0</v>
      </c>
      <c r="V640" s="36">
        <v>0</v>
      </c>
      <c r="W640" s="36">
        <v>0</v>
      </c>
      <c r="X640" s="50">
        <v>0</v>
      </c>
      <c r="Y640" s="36">
        <v>0</v>
      </c>
      <c r="Z640" s="36">
        <v>0</v>
      </c>
      <c r="AA640" s="36">
        <v>0</v>
      </c>
      <c r="AB640" s="36">
        <v>0</v>
      </c>
      <c r="AC640" s="50">
        <v>0</v>
      </c>
      <c r="AD640" s="36">
        <v>0</v>
      </c>
      <c r="AE640" s="36">
        <v>0</v>
      </c>
      <c r="AF640" s="36">
        <v>0</v>
      </c>
      <c r="AG640" s="36">
        <v>0</v>
      </c>
      <c r="AH640" s="50">
        <v>0</v>
      </c>
      <c r="AI640" s="36">
        <v>0</v>
      </c>
      <c r="AJ640" s="36">
        <v>0</v>
      </c>
      <c r="AK640" s="36">
        <v>0</v>
      </c>
      <c r="AL640" s="36">
        <v>0</v>
      </c>
      <c r="AM640" s="50">
        <v>0</v>
      </c>
      <c r="AN640" s="36">
        <v>0</v>
      </c>
      <c r="AO640" s="36">
        <v>0</v>
      </c>
      <c r="AP640" s="36">
        <v>0</v>
      </c>
      <c r="AQ640" s="36">
        <v>0</v>
      </c>
      <c r="AR640" s="50">
        <v>0</v>
      </c>
      <c r="AS640" s="36">
        <v>0</v>
      </c>
      <c r="AT640" s="36">
        <v>0</v>
      </c>
      <c r="AU640" s="36">
        <v>0</v>
      </c>
      <c r="AV640" s="36">
        <v>0</v>
      </c>
      <c r="AW640">
        <v>0</v>
      </c>
      <c r="AX640">
        <v>0</v>
      </c>
    </row>
    <row r="641" spans="1:50" x14ac:dyDescent="0.25">
      <c r="A641" s="36"/>
      <c r="B641" t="s">
        <v>119</v>
      </c>
      <c r="C641" s="36" t="str">
        <f>'Status Thresholds'!B632</f>
        <v>Redhelm Arzuros</v>
      </c>
      <c r="E641" s="36" t="str">
        <f t="shared" si="21"/>
        <v>Redhelm Arzuros</v>
      </c>
      <c r="F641" s="36" t="str">
        <f>IFERROR(VLOOKUP($E641,'Status Thresholds'!$E:$AS,1,FALSE),"")</f>
        <v/>
      </c>
      <c r="G641" t="s">
        <v>13</v>
      </c>
      <c r="H641" s="55" t="str">
        <f t="shared" si="22"/>
        <v>Redhelm ArzurosCrag 3</v>
      </c>
      <c r="I641" s="50">
        <v>0</v>
      </c>
      <c r="J641" s="36">
        <v>0</v>
      </c>
      <c r="K641" s="36">
        <v>0</v>
      </c>
      <c r="L641" s="36">
        <v>0</v>
      </c>
      <c r="M641" s="36">
        <v>0</v>
      </c>
      <c r="N641" s="50">
        <v>0</v>
      </c>
      <c r="O641" s="36">
        <v>0</v>
      </c>
      <c r="P641" s="36">
        <v>0</v>
      </c>
      <c r="Q641" s="36">
        <v>0</v>
      </c>
      <c r="R641" s="36">
        <v>0</v>
      </c>
      <c r="S641" s="50">
        <v>0</v>
      </c>
      <c r="T641" s="36">
        <v>0</v>
      </c>
      <c r="U641" s="36">
        <v>0</v>
      </c>
      <c r="V641" s="36">
        <v>0</v>
      </c>
      <c r="W641" s="36">
        <v>0</v>
      </c>
      <c r="X641" s="50">
        <v>0</v>
      </c>
      <c r="Y641" s="36">
        <v>0</v>
      </c>
      <c r="Z641" s="36">
        <v>0</v>
      </c>
      <c r="AA641" s="36">
        <v>0</v>
      </c>
      <c r="AB641" s="36">
        <v>0</v>
      </c>
      <c r="AC641" s="50">
        <v>0</v>
      </c>
      <c r="AD641" s="36">
        <v>0</v>
      </c>
      <c r="AE641" s="36">
        <v>0</v>
      </c>
      <c r="AF641" s="36">
        <v>0</v>
      </c>
      <c r="AG641" s="36">
        <v>0</v>
      </c>
      <c r="AH641" s="50">
        <v>0</v>
      </c>
      <c r="AI641" s="36">
        <v>0</v>
      </c>
      <c r="AJ641" s="36">
        <v>0</v>
      </c>
      <c r="AK641" s="36">
        <v>0</v>
      </c>
      <c r="AL641" s="36">
        <v>0</v>
      </c>
      <c r="AM641" s="50">
        <v>0</v>
      </c>
      <c r="AN641" s="36">
        <v>0</v>
      </c>
      <c r="AO641" s="36">
        <v>0</v>
      </c>
      <c r="AP641" s="36">
        <v>0</v>
      </c>
      <c r="AQ641" s="36">
        <v>0</v>
      </c>
      <c r="AR641" s="50">
        <v>0</v>
      </c>
      <c r="AS641" s="36">
        <v>0</v>
      </c>
      <c r="AT641" s="36">
        <v>0</v>
      </c>
      <c r="AU641" s="36">
        <v>0</v>
      </c>
      <c r="AV641" s="36">
        <v>0</v>
      </c>
      <c r="AW641">
        <v>0</v>
      </c>
      <c r="AX641">
        <v>0</v>
      </c>
    </row>
    <row r="642" spans="1:50" x14ac:dyDescent="0.25">
      <c r="A642" s="36"/>
      <c r="B642" t="s">
        <v>119</v>
      </c>
      <c r="C642" s="36" t="str">
        <f>'Status Thresholds'!B633</f>
        <v>Redhelm Arzuros</v>
      </c>
      <c r="E642" s="36" t="str">
        <f t="shared" si="21"/>
        <v>Redhelm Arzuros</v>
      </c>
      <c r="F642" s="36" t="str">
        <f>IFERROR(VLOOKUP($E642,'Status Thresholds'!$E:$AS,1,FALSE),"")</f>
        <v/>
      </c>
      <c r="G642" t="s">
        <v>12</v>
      </c>
      <c r="H642" s="55" t="str">
        <f t="shared" si="22"/>
        <v>Redhelm ArzurosCrag 2</v>
      </c>
      <c r="I642" s="50">
        <v>0</v>
      </c>
      <c r="J642" s="36">
        <v>0</v>
      </c>
      <c r="K642" s="36">
        <v>0</v>
      </c>
      <c r="L642" s="36">
        <v>0</v>
      </c>
      <c r="M642" s="36">
        <v>0</v>
      </c>
      <c r="N642" s="50">
        <v>0</v>
      </c>
      <c r="O642" s="36">
        <v>0</v>
      </c>
      <c r="P642" s="36">
        <v>0</v>
      </c>
      <c r="Q642" s="36">
        <v>0</v>
      </c>
      <c r="R642" s="36">
        <v>0</v>
      </c>
      <c r="S642" s="50">
        <v>0</v>
      </c>
      <c r="T642" s="36">
        <v>0</v>
      </c>
      <c r="U642" s="36">
        <v>0</v>
      </c>
      <c r="V642" s="36">
        <v>0</v>
      </c>
      <c r="W642" s="36">
        <v>0</v>
      </c>
      <c r="X642" s="50">
        <v>0</v>
      </c>
      <c r="Y642" s="36">
        <v>0</v>
      </c>
      <c r="Z642" s="36">
        <v>0</v>
      </c>
      <c r="AA642" s="36">
        <v>0</v>
      </c>
      <c r="AB642" s="36">
        <v>0</v>
      </c>
      <c r="AC642" s="50">
        <v>0</v>
      </c>
      <c r="AD642" s="36">
        <v>0</v>
      </c>
      <c r="AE642" s="36">
        <v>0</v>
      </c>
      <c r="AF642" s="36">
        <v>0</v>
      </c>
      <c r="AG642" s="36">
        <v>0</v>
      </c>
      <c r="AH642" s="50">
        <v>0</v>
      </c>
      <c r="AI642" s="36">
        <v>0</v>
      </c>
      <c r="AJ642" s="36">
        <v>0</v>
      </c>
      <c r="AK642" s="36">
        <v>0</v>
      </c>
      <c r="AL642" s="36">
        <v>0</v>
      </c>
      <c r="AM642" s="50">
        <v>0</v>
      </c>
      <c r="AN642" s="36">
        <v>0</v>
      </c>
      <c r="AO642" s="36">
        <v>0</v>
      </c>
      <c r="AP642" s="36">
        <v>0</v>
      </c>
      <c r="AQ642" s="36">
        <v>0</v>
      </c>
      <c r="AR642" s="50">
        <v>0</v>
      </c>
      <c r="AS642" s="36">
        <v>0</v>
      </c>
      <c r="AT642" s="36">
        <v>0</v>
      </c>
      <c r="AU642" s="36">
        <v>0</v>
      </c>
      <c r="AV642" s="36">
        <v>0</v>
      </c>
      <c r="AW642">
        <v>0</v>
      </c>
      <c r="AX642">
        <v>0</v>
      </c>
    </row>
    <row r="643" spans="1:50" x14ac:dyDescent="0.25">
      <c r="A643" s="36"/>
      <c r="B643" t="s">
        <v>119</v>
      </c>
      <c r="C643" s="36" t="str">
        <f>'Status Thresholds'!B634</f>
        <v>Redhelm Arzuros</v>
      </c>
      <c r="E643" s="36" t="str">
        <f t="shared" si="21"/>
        <v>Redhelm Arzuros</v>
      </c>
      <c r="F643" s="36" t="str">
        <f>IFERROR(VLOOKUP($E643,'Status Thresholds'!$E:$AS,1,FALSE),"")</f>
        <v/>
      </c>
      <c r="G643" t="s">
        <v>11</v>
      </c>
      <c r="H643" s="55" t="str">
        <f t="shared" si="22"/>
        <v>Redhelm ArzurosCrag 1</v>
      </c>
      <c r="I643" s="50">
        <v>0</v>
      </c>
      <c r="J643" s="36">
        <v>0</v>
      </c>
      <c r="K643" s="36">
        <v>0</v>
      </c>
      <c r="L643" s="36">
        <v>0</v>
      </c>
      <c r="M643" s="36">
        <v>0</v>
      </c>
      <c r="N643" s="50">
        <v>0</v>
      </c>
      <c r="O643" s="36">
        <v>0</v>
      </c>
      <c r="P643" s="36">
        <v>0</v>
      </c>
      <c r="Q643" s="36">
        <v>0</v>
      </c>
      <c r="R643" s="36">
        <v>0</v>
      </c>
      <c r="S643" s="50">
        <v>0</v>
      </c>
      <c r="T643" s="36">
        <v>0</v>
      </c>
      <c r="U643" s="36">
        <v>0</v>
      </c>
      <c r="V643" s="36">
        <v>0</v>
      </c>
      <c r="W643" s="36">
        <v>0</v>
      </c>
      <c r="X643" s="50">
        <v>0</v>
      </c>
      <c r="Y643" s="36">
        <v>0</v>
      </c>
      <c r="Z643" s="36">
        <v>0</v>
      </c>
      <c r="AA643" s="36">
        <v>0</v>
      </c>
      <c r="AB643" s="36">
        <v>0</v>
      </c>
      <c r="AC643" s="50">
        <v>0</v>
      </c>
      <c r="AD643" s="36">
        <v>0</v>
      </c>
      <c r="AE643" s="36">
        <v>0</v>
      </c>
      <c r="AF643" s="36">
        <v>0</v>
      </c>
      <c r="AG643" s="36">
        <v>0</v>
      </c>
      <c r="AH643" s="50">
        <v>0</v>
      </c>
      <c r="AI643" s="36">
        <v>0</v>
      </c>
      <c r="AJ643" s="36">
        <v>0</v>
      </c>
      <c r="AK643" s="36">
        <v>0</v>
      </c>
      <c r="AL643" s="36">
        <v>0</v>
      </c>
      <c r="AM643" s="50">
        <v>0</v>
      </c>
      <c r="AN643" s="36">
        <v>0</v>
      </c>
      <c r="AO643" s="36">
        <v>0</v>
      </c>
      <c r="AP643" s="36">
        <v>0</v>
      </c>
      <c r="AQ643" s="36">
        <v>0</v>
      </c>
      <c r="AR643" s="50">
        <v>0</v>
      </c>
      <c r="AS643" s="36">
        <v>0</v>
      </c>
      <c r="AT643" s="36">
        <v>0</v>
      </c>
      <c r="AU643" s="36">
        <v>0</v>
      </c>
      <c r="AV643" s="36">
        <v>1</v>
      </c>
      <c r="AW643">
        <v>0</v>
      </c>
      <c r="AX643">
        <v>0</v>
      </c>
    </row>
    <row r="644" spans="1:50" x14ac:dyDescent="0.25">
      <c r="A644" s="36"/>
      <c r="B644" t="s">
        <v>121</v>
      </c>
      <c r="C644" s="36" t="str">
        <f>'Status Thresholds'!B635</f>
        <v>Royal Ludroth</v>
      </c>
      <c r="D644" t="s">
        <v>14</v>
      </c>
      <c r="E644" s="36" t="str">
        <f t="shared" si="21"/>
        <v>Royal LudrothKO</v>
      </c>
      <c r="F644" s="36" t="str">
        <f>IFERROR(VLOOKUP($E644,'Status Thresholds'!$E:$AS,1,FALSE),"")</f>
        <v>Royal LudrothKO</v>
      </c>
      <c r="H644" s="55" t="str">
        <f t="shared" si="22"/>
        <v>Royal LudrothKO</v>
      </c>
      <c r="I644" s="50">
        <f>VLOOKUP($F644,'Status Thresholds'!$E:$AS,2,FALSE)</f>
        <v>260</v>
      </c>
      <c r="J644" s="36">
        <f>VLOOKUP($F644,'Status Thresholds'!$E:$AS,3,FALSE)</f>
        <v>390</v>
      </c>
      <c r="K644" s="36">
        <f>VLOOKUP($F644,'Status Thresholds'!$E:$AS,4,FALSE)</f>
        <v>520</v>
      </c>
      <c r="L644" s="36">
        <f>VLOOKUP($F644,'Status Thresholds'!$E:$AS,5,FALSE)</f>
        <v>650</v>
      </c>
      <c r="M644" s="36">
        <f>VLOOKUP($F644,'Status Thresholds'!$E:$AS,6,FALSE)</f>
        <v>0</v>
      </c>
      <c r="N644" s="50">
        <f>VLOOKUP($F644,'Status Thresholds'!$E:$AS,7,FALSE)</f>
        <v>0</v>
      </c>
      <c r="O644" s="36">
        <f>VLOOKUP($F644,'Status Thresholds'!$E:$AS,8,FALSE)</f>
        <v>0</v>
      </c>
      <c r="P644" s="36">
        <f>VLOOKUP($F644,'Status Thresholds'!$E:$AS,9,FALSE)</f>
        <v>0</v>
      </c>
      <c r="Q644" s="36">
        <f>VLOOKUP($F644,'Status Thresholds'!$E:$AS,10,FALSE)</f>
        <v>0</v>
      </c>
      <c r="R644" s="36">
        <f>VLOOKUP($F644,'Status Thresholds'!$E:$AS,11,FALSE)</f>
        <v>0</v>
      </c>
      <c r="S644" s="50">
        <f>VLOOKUP($F644,'Status Thresholds'!$E:$AS,12,FALSE)</f>
        <v>260</v>
      </c>
      <c r="T644" s="36">
        <f>VLOOKUP($F644,'Status Thresholds'!$E:$AS,13,FALSE)</f>
        <v>390</v>
      </c>
      <c r="U644" s="36">
        <f>VLOOKUP($F644,'Status Thresholds'!$E:$AS,14,FALSE)</f>
        <v>520</v>
      </c>
      <c r="V644" s="36">
        <f>VLOOKUP($F644,'Status Thresholds'!$E:$AS,15,FALSE)</f>
        <v>650</v>
      </c>
      <c r="W644" s="36">
        <f>VLOOKUP($F644,'Status Thresholds'!$E:$AS,16,FALSE)</f>
        <v>0</v>
      </c>
      <c r="X644" s="50">
        <f>VLOOKUP($F644,'Status Thresholds'!$E:$AS,17,FALSE)</f>
        <v>0</v>
      </c>
      <c r="Y644" s="36">
        <f>VLOOKUP($F644,'Status Thresholds'!$E:$AS,18,FALSE)</f>
        <v>0</v>
      </c>
      <c r="Z644" s="36">
        <f>VLOOKUP($F644,'Status Thresholds'!$E:$AS,19,FALSE)</f>
        <v>0</v>
      </c>
      <c r="AA644" s="36">
        <f>VLOOKUP($F644,'Status Thresholds'!$E:$AS,20,FALSE)</f>
        <v>0</v>
      </c>
      <c r="AB644" s="36">
        <f>VLOOKUP($F644,'Status Thresholds'!$E:$AS,21,FALSE)</f>
        <v>0</v>
      </c>
      <c r="AC644" s="50">
        <f>VLOOKUP($F644,'Status Thresholds'!$E:$AS,22,FALSE)</f>
        <v>280</v>
      </c>
      <c r="AD644" s="36">
        <f>VLOOKUP($F644,'Status Thresholds'!$E:$AS,23,FALSE)</f>
        <v>420</v>
      </c>
      <c r="AE644" s="36">
        <f>VLOOKUP($F644,'Status Thresholds'!$E:$AS,24,FALSE)</f>
        <v>560</v>
      </c>
      <c r="AF644" s="36">
        <f>VLOOKUP($F644,'Status Thresholds'!$E:$AS,25,FALSE)</f>
        <v>700</v>
      </c>
      <c r="AG644" s="36">
        <f>VLOOKUP($F644,'Status Thresholds'!$E:$AS,26,FALSE)</f>
        <v>0</v>
      </c>
      <c r="AH644" s="50">
        <f>VLOOKUP($F644,'Status Thresholds'!$E:$AS,27,FALSE)</f>
        <v>280</v>
      </c>
      <c r="AI644" s="36">
        <f>VLOOKUP($F644,'Status Thresholds'!$E:$AS,28,FALSE)</f>
        <v>420</v>
      </c>
      <c r="AJ644" s="36">
        <f>VLOOKUP($F644,'Status Thresholds'!$E:$AS,29,FALSE)</f>
        <v>560</v>
      </c>
      <c r="AK644" s="36">
        <f>VLOOKUP($F644,'Status Thresholds'!$E:$AS,30,FALSE)</f>
        <v>700</v>
      </c>
      <c r="AL644" s="36">
        <f>VLOOKUP($F644,'Status Thresholds'!$E:$AS,31,FALSE)</f>
        <v>0</v>
      </c>
      <c r="AM644" s="50">
        <f>VLOOKUP($F644,'Status Thresholds'!$E:$AS,32,FALSE)</f>
        <v>320</v>
      </c>
      <c r="AN644" s="36">
        <f>VLOOKUP($F644,'Status Thresholds'!$E:$AS,33,FALSE)</f>
        <v>480</v>
      </c>
      <c r="AO644" s="36">
        <f>VLOOKUP($F644,'Status Thresholds'!$E:$AS,34,FALSE)</f>
        <v>640</v>
      </c>
      <c r="AP644" s="36">
        <f>VLOOKUP($F644,'Status Thresholds'!$E:$AS,35,FALSE)</f>
        <v>800</v>
      </c>
      <c r="AQ644" s="36">
        <f>VLOOKUP($F644,'Status Thresholds'!$E:$AS,36,FALSE)</f>
        <v>0</v>
      </c>
      <c r="AR644" s="50">
        <f>VLOOKUP($F644,'Status Thresholds'!$E:$AS,37,FALSE)</f>
        <v>0</v>
      </c>
      <c r="AS644" s="36">
        <f>VLOOKUP($F644,'Status Thresholds'!$E:$AS,38,FALSE)</f>
        <v>0</v>
      </c>
      <c r="AT644" s="36">
        <f>VLOOKUP($F644,'Status Thresholds'!$E:$AS,39,FALSE)</f>
        <v>0</v>
      </c>
      <c r="AU644" s="36">
        <f>VLOOKUP($F644,'Status Thresholds'!$E:$AS,40,FALSE)</f>
        <v>0</v>
      </c>
      <c r="AV644" s="36">
        <f>VLOOKUP($F644,'Status Thresholds'!$E:$AS,41,FALSE)</f>
        <v>10</v>
      </c>
      <c r="AW644">
        <v>0</v>
      </c>
      <c r="AX644">
        <v>0</v>
      </c>
    </row>
    <row r="645" spans="1:50" x14ac:dyDescent="0.25">
      <c r="A645" s="36"/>
      <c r="B645" t="s">
        <v>120</v>
      </c>
      <c r="C645" s="36" t="str">
        <f>'Status Thresholds'!B636</f>
        <v>Royal Ludroth</v>
      </c>
      <c r="E645" s="36" t="str">
        <f t="shared" si="21"/>
        <v>Royal Ludroth</v>
      </c>
      <c r="F645" s="36" t="str">
        <f>IFERROR(VLOOKUP($E645,'Status Thresholds'!$E:$AS,1,FALSE),"")</f>
        <v/>
      </c>
      <c r="G645" t="s">
        <v>21</v>
      </c>
      <c r="H645" s="55" t="str">
        <f t="shared" si="22"/>
        <v>Royal LudrothTriblast</v>
      </c>
      <c r="I645" s="50">
        <v>2</v>
      </c>
      <c r="J645" s="36">
        <v>2</v>
      </c>
      <c r="K645" s="36">
        <v>2</v>
      </c>
      <c r="L645" s="36">
        <v>2</v>
      </c>
      <c r="M645" s="36">
        <v>0</v>
      </c>
      <c r="N645" s="50">
        <v>0</v>
      </c>
      <c r="O645" s="36">
        <v>0</v>
      </c>
      <c r="P645" s="36">
        <v>0</v>
      </c>
      <c r="Q645" s="36">
        <v>0</v>
      </c>
      <c r="R645" s="36">
        <v>0</v>
      </c>
      <c r="S645" s="50">
        <v>2</v>
      </c>
      <c r="T645" s="36">
        <v>2</v>
      </c>
      <c r="U645" s="36">
        <v>2</v>
      </c>
      <c r="V645" s="36">
        <v>2</v>
      </c>
      <c r="W645" s="36">
        <v>0</v>
      </c>
      <c r="X645" s="50">
        <v>0</v>
      </c>
      <c r="Y645" s="36">
        <v>0</v>
      </c>
      <c r="Z645" s="36">
        <v>0</v>
      </c>
      <c r="AA645" s="36">
        <v>0</v>
      </c>
      <c r="AB645" s="36">
        <v>0</v>
      </c>
      <c r="AC645" s="50">
        <v>2</v>
      </c>
      <c r="AD645" s="36">
        <v>2</v>
      </c>
      <c r="AE645" s="36">
        <v>2</v>
      </c>
      <c r="AF645" s="36">
        <v>2</v>
      </c>
      <c r="AG645" s="36">
        <v>0</v>
      </c>
      <c r="AH645" s="50">
        <v>2</v>
      </c>
      <c r="AI645" s="36">
        <v>2</v>
      </c>
      <c r="AJ645" s="36">
        <v>2</v>
      </c>
      <c r="AK645" s="36">
        <v>2</v>
      </c>
      <c r="AL645" s="36">
        <v>0</v>
      </c>
      <c r="AM645" s="50">
        <v>0</v>
      </c>
      <c r="AN645" s="36">
        <v>2</v>
      </c>
      <c r="AO645" s="36">
        <v>2</v>
      </c>
      <c r="AP645" s="36">
        <v>2</v>
      </c>
      <c r="AQ645" s="36">
        <v>0</v>
      </c>
      <c r="AR645" s="50">
        <v>0</v>
      </c>
      <c r="AS645" s="36">
        <v>0</v>
      </c>
      <c r="AT645" s="36">
        <v>0</v>
      </c>
      <c r="AU645" s="36">
        <v>0</v>
      </c>
      <c r="AV645" s="36">
        <v>0</v>
      </c>
      <c r="AW645">
        <v>0</v>
      </c>
    </row>
    <row r="646" spans="1:50" x14ac:dyDescent="0.25">
      <c r="A646" s="36"/>
      <c r="B646" t="s">
        <v>120</v>
      </c>
      <c r="C646" s="36" t="str">
        <f>'Status Thresholds'!B637</f>
        <v>Royal Ludroth</v>
      </c>
      <c r="E646" s="36" t="str">
        <f t="shared" ref="E646:E709" si="23">C646&amp;D646</f>
        <v>Royal Ludroth</v>
      </c>
      <c r="F646" s="36" t="str">
        <f>IFERROR(VLOOKUP($E646,'Status Thresholds'!$E:$AS,1,FALSE),"")</f>
        <v/>
      </c>
      <c r="G646" t="s">
        <v>13</v>
      </c>
      <c r="H646" s="55" t="str">
        <f t="shared" ref="H646:H709" si="24">E646&amp;G646</f>
        <v>Royal LudrothCrag 3</v>
      </c>
      <c r="I646" s="50">
        <v>2</v>
      </c>
      <c r="J646" s="36">
        <v>4</v>
      </c>
      <c r="K646" s="36">
        <v>2</v>
      </c>
      <c r="L646" s="36">
        <v>4</v>
      </c>
      <c r="M646" s="36">
        <v>0</v>
      </c>
      <c r="N646" s="50">
        <v>0</v>
      </c>
      <c r="O646" s="36">
        <v>0</v>
      </c>
      <c r="P646" s="36">
        <v>0</v>
      </c>
      <c r="Q646" s="36">
        <v>0</v>
      </c>
      <c r="R646" s="36">
        <v>0</v>
      </c>
      <c r="S646" s="50">
        <v>2</v>
      </c>
      <c r="T646" s="36">
        <v>4</v>
      </c>
      <c r="U646" s="36">
        <v>2</v>
      </c>
      <c r="V646" s="36">
        <v>4</v>
      </c>
      <c r="W646" s="36">
        <v>0</v>
      </c>
      <c r="X646" s="50">
        <v>0</v>
      </c>
      <c r="Y646" s="36">
        <v>0</v>
      </c>
      <c r="Z646" s="36">
        <v>0</v>
      </c>
      <c r="AA646" s="36">
        <v>0</v>
      </c>
      <c r="AB646" s="36">
        <v>0</v>
      </c>
      <c r="AC646" s="50">
        <v>2</v>
      </c>
      <c r="AD646" s="36">
        <v>4</v>
      </c>
      <c r="AE646" s="36">
        <v>3</v>
      </c>
      <c r="AF646" s="36">
        <v>4</v>
      </c>
      <c r="AG646" s="36">
        <v>0</v>
      </c>
      <c r="AH646" s="50">
        <v>2</v>
      </c>
      <c r="AI646" s="36">
        <v>4</v>
      </c>
      <c r="AJ646" s="36">
        <v>3</v>
      </c>
      <c r="AK646" s="36">
        <v>4</v>
      </c>
      <c r="AL646" s="36">
        <v>0</v>
      </c>
      <c r="AM646" s="50">
        <v>3</v>
      </c>
      <c r="AN646" s="36">
        <v>4</v>
      </c>
      <c r="AO646" s="36">
        <v>4</v>
      </c>
      <c r="AP646" s="36">
        <v>4</v>
      </c>
      <c r="AQ646" s="36">
        <v>0</v>
      </c>
      <c r="AR646" s="50">
        <v>0</v>
      </c>
      <c r="AS646" s="36">
        <v>0</v>
      </c>
      <c r="AT646" s="36">
        <v>0</v>
      </c>
      <c r="AU646" s="36">
        <v>0</v>
      </c>
      <c r="AV646" s="36">
        <v>0</v>
      </c>
      <c r="AW646">
        <v>0</v>
      </c>
      <c r="AX646">
        <v>0</v>
      </c>
    </row>
    <row r="647" spans="1:50" x14ac:dyDescent="0.25">
      <c r="A647" s="36"/>
      <c r="B647" t="s">
        <v>120</v>
      </c>
      <c r="C647" s="36" t="str">
        <f>'Status Thresholds'!B638</f>
        <v>Royal Ludroth</v>
      </c>
      <c r="E647" s="36" t="str">
        <f t="shared" si="23"/>
        <v>Royal Ludroth</v>
      </c>
      <c r="F647" s="36" t="str">
        <f>IFERROR(VLOOKUP($E647,'Status Thresholds'!$E:$AS,1,FALSE),"")</f>
        <v/>
      </c>
      <c r="G647" t="s">
        <v>12</v>
      </c>
      <c r="H647" s="55" t="str">
        <f t="shared" si="24"/>
        <v>Royal LudrothCrag 2</v>
      </c>
      <c r="I647" s="50">
        <v>1</v>
      </c>
      <c r="J647" s="36">
        <v>1</v>
      </c>
      <c r="K647" s="36">
        <v>3</v>
      </c>
      <c r="L647" s="36">
        <v>4</v>
      </c>
      <c r="M647" s="36">
        <v>0</v>
      </c>
      <c r="N647" s="50">
        <v>0</v>
      </c>
      <c r="O647" s="36">
        <v>0</v>
      </c>
      <c r="P647" s="36">
        <v>0</v>
      </c>
      <c r="Q647" s="36">
        <v>0</v>
      </c>
      <c r="R647" s="36">
        <v>0</v>
      </c>
      <c r="S647" s="50">
        <v>1</v>
      </c>
      <c r="T647" s="36">
        <v>1</v>
      </c>
      <c r="U647" s="36">
        <v>3</v>
      </c>
      <c r="V647" s="36">
        <v>4</v>
      </c>
      <c r="W647" s="36">
        <v>0</v>
      </c>
      <c r="X647" s="50">
        <v>0</v>
      </c>
      <c r="Y647" s="36">
        <v>0</v>
      </c>
      <c r="Z647" s="36">
        <v>0</v>
      </c>
      <c r="AA647" s="36">
        <v>0</v>
      </c>
      <c r="AB647" s="36">
        <v>0</v>
      </c>
      <c r="AC647" s="50">
        <v>0</v>
      </c>
      <c r="AD647" s="36">
        <v>2</v>
      </c>
      <c r="AE647" s="36">
        <v>3</v>
      </c>
      <c r="AF647" s="36">
        <v>4</v>
      </c>
      <c r="AG647" s="36">
        <v>0</v>
      </c>
      <c r="AH647" s="50">
        <v>0</v>
      </c>
      <c r="AI647" s="36">
        <v>2</v>
      </c>
      <c r="AJ647" s="36">
        <v>3</v>
      </c>
      <c r="AK647" s="36">
        <v>4</v>
      </c>
      <c r="AL647" s="36">
        <v>0</v>
      </c>
      <c r="AM647" s="50">
        <v>0</v>
      </c>
      <c r="AN647" s="36">
        <v>4</v>
      </c>
      <c r="AO647" s="36">
        <v>4</v>
      </c>
      <c r="AP647" s="36">
        <v>4</v>
      </c>
      <c r="AQ647" s="36">
        <v>0</v>
      </c>
      <c r="AR647" s="50">
        <v>0</v>
      </c>
      <c r="AS647" s="36">
        <v>0</v>
      </c>
      <c r="AT647" s="36">
        <v>0</v>
      </c>
      <c r="AU647" s="36">
        <v>0</v>
      </c>
      <c r="AV647" s="36">
        <v>0</v>
      </c>
      <c r="AW647">
        <v>0</v>
      </c>
      <c r="AX647">
        <v>0</v>
      </c>
    </row>
    <row r="648" spans="1:50" x14ac:dyDescent="0.25">
      <c r="A648" s="36"/>
      <c r="B648" t="s">
        <v>120</v>
      </c>
      <c r="C648" s="36" t="str">
        <f>'Status Thresholds'!B639</f>
        <v>Royal Ludroth</v>
      </c>
      <c r="E648" s="36" t="str">
        <f t="shared" si="23"/>
        <v>Royal Ludroth</v>
      </c>
      <c r="F648" s="36" t="str">
        <f>IFERROR(VLOOKUP($E648,'Status Thresholds'!$E:$AS,1,FALSE),"")</f>
        <v/>
      </c>
      <c r="G648" t="s">
        <v>11</v>
      </c>
      <c r="H648" s="55" t="str">
        <f t="shared" si="24"/>
        <v>Royal LudrothCrag 1</v>
      </c>
      <c r="I648" s="50">
        <v>0</v>
      </c>
      <c r="J648" s="36">
        <v>2</v>
      </c>
      <c r="K648" s="36">
        <v>8</v>
      </c>
      <c r="L648" s="36">
        <v>8</v>
      </c>
      <c r="M648" s="36">
        <v>0</v>
      </c>
      <c r="N648" s="50">
        <v>0</v>
      </c>
      <c r="O648" s="36">
        <v>0</v>
      </c>
      <c r="P648" s="36">
        <v>0</v>
      </c>
      <c r="Q648" s="36">
        <v>0</v>
      </c>
      <c r="R648" s="36">
        <v>0</v>
      </c>
      <c r="S648" s="50">
        <v>0</v>
      </c>
      <c r="T648" s="36">
        <v>2</v>
      </c>
      <c r="U648" s="36">
        <v>8</v>
      </c>
      <c r="V648" s="36">
        <v>8</v>
      </c>
      <c r="W648" s="36">
        <v>0</v>
      </c>
      <c r="X648" s="50">
        <v>0</v>
      </c>
      <c r="Y648" s="36">
        <v>0</v>
      </c>
      <c r="Z648" s="36">
        <v>0</v>
      </c>
      <c r="AA648" s="36">
        <v>0</v>
      </c>
      <c r="AB648" s="36">
        <v>0</v>
      </c>
      <c r="AC648" s="50">
        <v>2</v>
      </c>
      <c r="AD648" s="36">
        <v>2</v>
      </c>
      <c r="AE648" s="36">
        <v>8</v>
      </c>
      <c r="AF648" s="36">
        <v>8</v>
      </c>
      <c r="AG648" s="36">
        <v>0</v>
      </c>
      <c r="AH648" s="50">
        <v>2</v>
      </c>
      <c r="AI648" s="36">
        <v>2</v>
      </c>
      <c r="AJ648" s="36">
        <v>8</v>
      </c>
      <c r="AK648" s="36">
        <v>8</v>
      </c>
      <c r="AL648" s="36">
        <v>0</v>
      </c>
      <c r="AM648" s="50">
        <v>8</v>
      </c>
      <c r="AN648" s="36">
        <v>2</v>
      </c>
      <c r="AO648" s="36">
        <v>8</v>
      </c>
      <c r="AP648" s="36">
        <v>8</v>
      </c>
      <c r="AQ648" s="36">
        <v>0</v>
      </c>
      <c r="AR648" s="50">
        <v>0</v>
      </c>
      <c r="AS648" s="36">
        <v>0</v>
      </c>
      <c r="AT648" s="36">
        <v>0</v>
      </c>
      <c r="AU648" s="36">
        <v>0</v>
      </c>
      <c r="AV648" s="36">
        <v>1</v>
      </c>
      <c r="AW648">
        <v>0</v>
      </c>
      <c r="AX648">
        <v>0</v>
      </c>
    </row>
    <row r="649" spans="1:50" x14ac:dyDescent="0.25">
      <c r="A649" s="36"/>
      <c r="B649" t="s">
        <v>119</v>
      </c>
      <c r="C649" s="36" t="str">
        <f>'Status Thresholds'!B640</f>
        <v>Royal Ludroth</v>
      </c>
      <c r="E649" s="36" t="str">
        <f t="shared" si="23"/>
        <v>Royal Ludroth</v>
      </c>
      <c r="F649" s="36" t="str">
        <f>IFERROR(VLOOKUP($E649,'Status Thresholds'!$E:$AS,1,FALSE),"")</f>
        <v/>
      </c>
      <c r="G649" t="s">
        <v>21</v>
      </c>
      <c r="H649" s="55" t="str">
        <f t="shared" si="24"/>
        <v>Royal LudrothTriblast</v>
      </c>
      <c r="I649" s="50">
        <v>2</v>
      </c>
      <c r="J649" s="36">
        <v>2</v>
      </c>
      <c r="K649" s="36">
        <v>2</v>
      </c>
      <c r="L649" s="36">
        <v>2</v>
      </c>
      <c r="M649" s="36">
        <v>0</v>
      </c>
      <c r="N649" s="50">
        <v>0</v>
      </c>
      <c r="O649" s="36">
        <v>0</v>
      </c>
      <c r="P649" s="36">
        <v>0</v>
      </c>
      <c r="Q649" s="36">
        <v>0</v>
      </c>
      <c r="R649" s="36">
        <v>0</v>
      </c>
      <c r="S649" s="50">
        <v>2</v>
      </c>
      <c r="T649" s="36">
        <v>2</v>
      </c>
      <c r="U649" s="36">
        <v>2</v>
      </c>
      <c r="V649" s="36">
        <v>2</v>
      </c>
      <c r="W649" s="36">
        <v>0</v>
      </c>
      <c r="X649" s="50">
        <v>0</v>
      </c>
      <c r="Y649" s="36">
        <v>0</v>
      </c>
      <c r="Z649" s="36">
        <v>0</v>
      </c>
      <c r="AA649" s="36">
        <v>0</v>
      </c>
      <c r="AB649" s="36">
        <v>0</v>
      </c>
      <c r="AC649" s="50">
        <v>0</v>
      </c>
      <c r="AD649" s="36">
        <v>0</v>
      </c>
      <c r="AE649" s="36">
        <v>2</v>
      </c>
      <c r="AF649" s="36">
        <v>2</v>
      </c>
      <c r="AG649" s="36">
        <v>0</v>
      </c>
      <c r="AH649" s="50">
        <v>0</v>
      </c>
      <c r="AI649" s="36">
        <v>0</v>
      </c>
      <c r="AJ649" s="36">
        <v>2</v>
      </c>
      <c r="AK649" s="36">
        <v>2</v>
      </c>
      <c r="AL649" s="36">
        <v>0</v>
      </c>
      <c r="AM649" s="50">
        <v>2</v>
      </c>
      <c r="AN649" s="36">
        <v>0</v>
      </c>
      <c r="AO649" s="36">
        <v>2</v>
      </c>
      <c r="AP649" s="36">
        <v>2</v>
      </c>
      <c r="AQ649" s="36">
        <v>0</v>
      </c>
      <c r="AR649" s="50">
        <v>0</v>
      </c>
      <c r="AS649" s="36">
        <v>0</v>
      </c>
      <c r="AT649" s="36">
        <v>0</v>
      </c>
      <c r="AU649" s="36">
        <v>0</v>
      </c>
      <c r="AV649" s="36">
        <v>0</v>
      </c>
      <c r="AW649">
        <v>0</v>
      </c>
      <c r="AX649">
        <v>0</v>
      </c>
    </row>
    <row r="650" spans="1:50" x14ac:dyDescent="0.25">
      <c r="A650" s="36"/>
      <c r="B650" t="s">
        <v>119</v>
      </c>
      <c r="C650" s="36" t="str">
        <f>'Status Thresholds'!B641</f>
        <v>Royal Ludroth</v>
      </c>
      <c r="E650" s="36" t="str">
        <f t="shared" si="23"/>
        <v>Royal Ludroth</v>
      </c>
      <c r="F650" s="36" t="str">
        <f>IFERROR(VLOOKUP($E650,'Status Thresholds'!$E:$AS,1,FALSE),"")</f>
        <v/>
      </c>
      <c r="G650" t="s">
        <v>13</v>
      </c>
      <c r="H650" s="55" t="str">
        <f t="shared" si="24"/>
        <v>Royal LudrothCrag 3</v>
      </c>
      <c r="I650" s="50">
        <v>1</v>
      </c>
      <c r="J650" s="36">
        <v>0</v>
      </c>
      <c r="K650" s="36">
        <v>1</v>
      </c>
      <c r="L650" s="36">
        <v>4</v>
      </c>
      <c r="M650" s="36">
        <v>0</v>
      </c>
      <c r="N650" s="50">
        <v>0</v>
      </c>
      <c r="O650" s="36">
        <v>0</v>
      </c>
      <c r="P650" s="36">
        <v>0</v>
      </c>
      <c r="Q650" s="36">
        <v>0</v>
      </c>
      <c r="R650" s="36">
        <v>0</v>
      </c>
      <c r="S650" s="50">
        <v>1</v>
      </c>
      <c r="T650" s="36">
        <v>0</v>
      </c>
      <c r="U650" s="36">
        <v>1</v>
      </c>
      <c r="V650" s="36">
        <v>4</v>
      </c>
      <c r="W650" s="36">
        <v>0</v>
      </c>
      <c r="X650" s="50">
        <v>0</v>
      </c>
      <c r="Y650" s="36">
        <v>0</v>
      </c>
      <c r="Z650" s="36">
        <v>0</v>
      </c>
      <c r="AA650" s="36">
        <v>0</v>
      </c>
      <c r="AB650" s="36">
        <v>0</v>
      </c>
      <c r="AC650" s="50">
        <v>0</v>
      </c>
      <c r="AD650" s="36">
        <v>3</v>
      </c>
      <c r="AE650" s="36">
        <v>4</v>
      </c>
      <c r="AF650" s="36">
        <v>4</v>
      </c>
      <c r="AG650" s="36">
        <v>0</v>
      </c>
      <c r="AH650" s="50">
        <v>0</v>
      </c>
      <c r="AI650" s="36">
        <v>3</v>
      </c>
      <c r="AJ650" s="36">
        <v>4</v>
      </c>
      <c r="AK650" s="36">
        <v>4</v>
      </c>
      <c r="AL650" s="36">
        <v>0</v>
      </c>
      <c r="AM650" s="50">
        <v>1</v>
      </c>
      <c r="AN650" s="36">
        <v>3</v>
      </c>
      <c r="AO650" s="36">
        <v>3</v>
      </c>
      <c r="AP650" s="36">
        <v>4</v>
      </c>
      <c r="AQ650" s="36">
        <v>0</v>
      </c>
      <c r="AR650" s="50">
        <v>0</v>
      </c>
      <c r="AS650" s="36">
        <v>0</v>
      </c>
      <c r="AT650" s="36">
        <v>0</v>
      </c>
      <c r="AU650" s="36">
        <v>0</v>
      </c>
      <c r="AV650" s="36">
        <v>0</v>
      </c>
      <c r="AW650">
        <v>0</v>
      </c>
      <c r="AX650">
        <v>0</v>
      </c>
    </row>
    <row r="651" spans="1:50" x14ac:dyDescent="0.25">
      <c r="A651" s="36"/>
      <c r="B651" t="s">
        <v>119</v>
      </c>
      <c r="C651" s="36" t="str">
        <f>'Status Thresholds'!B642</f>
        <v>Royal Ludroth</v>
      </c>
      <c r="E651" s="36" t="str">
        <f t="shared" si="23"/>
        <v>Royal Ludroth</v>
      </c>
      <c r="F651" s="36" t="str">
        <f>IFERROR(VLOOKUP($E651,'Status Thresholds'!$E:$AS,1,FALSE),"")</f>
        <v/>
      </c>
      <c r="G651" t="s">
        <v>12</v>
      </c>
      <c r="H651" s="55" t="str">
        <f t="shared" si="24"/>
        <v>Royal LudrothCrag 2</v>
      </c>
      <c r="I651" s="50">
        <v>0</v>
      </c>
      <c r="J651" s="36">
        <v>2</v>
      </c>
      <c r="K651" s="36">
        <v>3</v>
      </c>
      <c r="L651" s="36">
        <v>3</v>
      </c>
      <c r="M651" s="36">
        <v>0</v>
      </c>
      <c r="N651" s="50">
        <v>0</v>
      </c>
      <c r="O651" s="36">
        <v>0</v>
      </c>
      <c r="P651" s="36">
        <v>0</v>
      </c>
      <c r="Q651" s="36">
        <v>0</v>
      </c>
      <c r="R651" s="36">
        <v>0</v>
      </c>
      <c r="S651" s="50">
        <v>0</v>
      </c>
      <c r="T651" s="36">
        <v>2</v>
      </c>
      <c r="U651" s="36">
        <v>3</v>
      </c>
      <c r="V651" s="36">
        <v>3</v>
      </c>
      <c r="W651" s="36">
        <v>0</v>
      </c>
      <c r="X651" s="50">
        <v>0</v>
      </c>
      <c r="Y651" s="36">
        <v>0</v>
      </c>
      <c r="Z651" s="36">
        <v>0</v>
      </c>
      <c r="AA651" s="36">
        <v>0</v>
      </c>
      <c r="AB651" s="36">
        <v>0</v>
      </c>
      <c r="AC651" s="50">
        <v>2</v>
      </c>
      <c r="AD651" s="36">
        <v>3</v>
      </c>
      <c r="AE651" s="36">
        <v>1</v>
      </c>
      <c r="AF651" s="36">
        <v>4</v>
      </c>
      <c r="AG651" s="36">
        <v>0</v>
      </c>
      <c r="AH651" s="50">
        <v>2</v>
      </c>
      <c r="AI651" s="36">
        <v>3</v>
      </c>
      <c r="AJ651" s="36">
        <v>1</v>
      </c>
      <c r="AK651" s="36">
        <v>4</v>
      </c>
      <c r="AL651" s="36">
        <v>0</v>
      </c>
      <c r="AM651" s="50">
        <v>1</v>
      </c>
      <c r="AN651" s="36">
        <v>4</v>
      </c>
      <c r="AO651" s="36">
        <v>4</v>
      </c>
      <c r="AP651" s="36">
        <v>4</v>
      </c>
      <c r="AQ651" s="36">
        <v>0</v>
      </c>
      <c r="AR651" s="50">
        <v>0</v>
      </c>
      <c r="AS651" s="36">
        <v>0</v>
      </c>
      <c r="AT651" s="36">
        <v>0</v>
      </c>
      <c r="AU651" s="36">
        <v>0</v>
      </c>
      <c r="AV651" s="36">
        <v>0</v>
      </c>
      <c r="AW651">
        <v>0</v>
      </c>
      <c r="AX651">
        <v>0</v>
      </c>
    </row>
    <row r="652" spans="1:50" x14ac:dyDescent="0.25">
      <c r="A652" s="36"/>
      <c r="B652" t="s">
        <v>119</v>
      </c>
      <c r="C652" s="36" t="str">
        <f>'Status Thresholds'!B643</f>
        <v>Royal Ludroth</v>
      </c>
      <c r="E652" s="36" t="str">
        <f t="shared" si="23"/>
        <v>Royal Ludroth</v>
      </c>
      <c r="F652" s="36" t="str">
        <f>IFERROR(VLOOKUP($E652,'Status Thresholds'!$E:$AS,1,FALSE),"")</f>
        <v/>
      </c>
      <c r="G652" t="s">
        <v>11</v>
      </c>
      <c r="H652" s="55" t="str">
        <f t="shared" si="24"/>
        <v>Royal LudrothCrag 1</v>
      </c>
      <c r="I652" s="50">
        <v>2</v>
      </c>
      <c r="J652" s="36">
        <v>6</v>
      </c>
      <c r="K652" s="36">
        <v>8</v>
      </c>
      <c r="L652" s="36">
        <v>8</v>
      </c>
      <c r="M652" s="36">
        <v>0</v>
      </c>
      <c r="N652" s="50">
        <v>0</v>
      </c>
      <c r="O652" s="36">
        <v>0</v>
      </c>
      <c r="P652" s="36">
        <v>0</v>
      </c>
      <c r="Q652" s="36">
        <v>0</v>
      </c>
      <c r="R652" s="36">
        <v>0</v>
      </c>
      <c r="S652" s="50">
        <v>2</v>
      </c>
      <c r="T652" s="36">
        <v>6</v>
      </c>
      <c r="U652" s="36">
        <v>8</v>
      </c>
      <c r="V652" s="36">
        <v>8</v>
      </c>
      <c r="W652" s="36">
        <v>0</v>
      </c>
      <c r="X652" s="50">
        <v>0</v>
      </c>
      <c r="Y652" s="36">
        <v>0</v>
      </c>
      <c r="Z652" s="36">
        <v>0</v>
      </c>
      <c r="AA652" s="36">
        <v>0</v>
      </c>
      <c r="AB652" s="36">
        <v>0</v>
      </c>
      <c r="AC652" s="50">
        <v>8</v>
      </c>
      <c r="AD652" s="36">
        <v>7</v>
      </c>
      <c r="AE652" s="36">
        <v>7</v>
      </c>
      <c r="AF652" s="36">
        <v>8</v>
      </c>
      <c r="AG652" s="36">
        <v>0</v>
      </c>
      <c r="AH652" s="50">
        <v>8</v>
      </c>
      <c r="AI652" s="36">
        <v>7</v>
      </c>
      <c r="AJ652" s="36">
        <v>7</v>
      </c>
      <c r="AK652" s="36">
        <v>8</v>
      </c>
      <c r="AL652" s="36">
        <v>0</v>
      </c>
      <c r="AM652" s="50">
        <v>3</v>
      </c>
      <c r="AN652" s="36">
        <v>8</v>
      </c>
      <c r="AO652" s="36">
        <v>8</v>
      </c>
      <c r="AP652" s="36">
        <v>8</v>
      </c>
      <c r="AQ652" s="36">
        <v>0</v>
      </c>
      <c r="AR652" s="50">
        <v>0</v>
      </c>
      <c r="AS652" s="36">
        <v>0</v>
      </c>
      <c r="AT652" s="36">
        <v>0</v>
      </c>
      <c r="AU652" s="36">
        <v>0</v>
      </c>
      <c r="AV652" s="36">
        <v>1</v>
      </c>
      <c r="AW652">
        <v>0</v>
      </c>
      <c r="AX652">
        <v>0</v>
      </c>
    </row>
    <row r="653" spans="1:50" x14ac:dyDescent="0.25">
      <c r="A653" s="36"/>
      <c r="B653" s="36" t="s">
        <v>121</v>
      </c>
      <c r="C653" s="36" t="str">
        <f>'Status Thresholds'!B644</f>
        <v>Rustrazor Ceanataur</v>
      </c>
      <c r="D653" t="s">
        <v>14</v>
      </c>
      <c r="E653" s="36" t="str">
        <f t="shared" si="23"/>
        <v>Rustrazor CeanataurKO</v>
      </c>
      <c r="F653" s="36" t="str">
        <f>IFERROR(VLOOKUP($E653,'Status Thresholds'!$E:$AS,1,FALSE),"")</f>
        <v>Rustrazor CeanataurKO</v>
      </c>
      <c r="H653" s="55" t="str">
        <f t="shared" si="24"/>
        <v>Rustrazor CeanataurKO</v>
      </c>
      <c r="I653" s="50">
        <f>VLOOKUP($F653,'Status Thresholds'!$E:$AS,2,FALSE)</f>
        <v>0</v>
      </c>
      <c r="J653" s="36">
        <f>VLOOKUP($F653,'Status Thresholds'!$E:$AS,3,FALSE)</f>
        <v>0</v>
      </c>
      <c r="K653" s="36">
        <f>VLOOKUP($F653,'Status Thresholds'!$E:$AS,4,FALSE)</f>
        <v>0</v>
      </c>
      <c r="L653" s="36">
        <f>VLOOKUP($F653,'Status Thresholds'!$E:$AS,5,FALSE)</f>
        <v>0</v>
      </c>
      <c r="M653" s="36">
        <f>VLOOKUP($F653,'Status Thresholds'!$E:$AS,6,FALSE)</f>
        <v>0</v>
      </c>
      <c r="N653" s="50">
        <f>VLOOKUP($F653,'Status Thresholds'!$E:$AS,7,FALSE)</f>
        <v>0</v>
      </c>
      <c r="O653" s="36">
        <f>VLOOKUP($F653,'Status Thresholds'!$E:$AS,8,FALSE)</f>
        <v>0</v>
      </c>
      <c r="P653" s="36">
        <f>VLOOKUP($F653,'Status Thresholds'!$E:$AS,9,FALSE)</f>
        <v>0</v>
      </c>
      <c r="Q653" s="36">
        <f>VLOOKUP($F653,'Status Thresholds'!$E:$AS,10,FALSE)</f>
        <v>0</v>
      </c>
      <c r="R653" s="36">
        <f>VLOOKUP($F653,'Status Thresholds'!$E:$AS,11,FALSE)</f>
        <v>0</v>
      </c>
      <c r="S653" s="50">
        <f>VLOOKUP($F653,'Status Thresholds'!$E:$AS,12,FALSE)</f>
        <v>0</v>
      </c>
      <c r="T653" s="36">
        <f>VLOOKUP($F653,'Status Thresholds'!$E:$AS,13,FALSE)</f>
        <v>0</v>
      </c>
      <c r="U653" s="36">
        <f>VLOOKUP($F653,'Status Thresholds'!$E:$AS,14,FALSE)</f>
        <v>0</v>
      </c>
      <c r="V653" s="36">
        <f>VLOOKUP($F653,'Status Thresholds'!$E:$AS,15,FALSE)</f>
        <v>0</v>
      </c>
      <c r="W653" s="36">
        <f>VLOOKUP($F653,'Status Thresholds'!$E:$AS,16,FALSE)</f>
        <v>0</v>
      </c>
      <c r="X653" s="50">
        <f>VLOOKUP($F653,'Status Thresholds'!$E:$AS,17,FALSE)</f>
        <v>0</v>
      </c>
      <c r="Y653" s="36">
        <f>VLOOKUP($F653,'Status Thresholds'!$E:$AS,18,FALSE)</f>
        <v>0</v>
      </c>
      <c r="Z653" s="36">
        <f>VLOOKUP($F653,'Status Thresholds'!$E:$AS,19,FALSE)</f>
        <v>0</v>
      </c>
      <c r="AA653" s="36">
        <f>VLOOKUP($F653,'Status Thresholds'!$E:$AS,20,FALSE)</f>
        <v>0</v>
      </c>
      <c r="AB653" s="36">
        <f>VLOOKUP($F653,'Status Thresholds'!$E:$AS,21,FALSE)</f>
        <v>0</v>
      </c>
      <c r="AC653" s="50">
        <f>VLOOKUP($F653,'Status Thresholds'!$E:$AS,22,FALSE)</f>
        <v>0</v>
      </c>
      <c r="AD653" s="36">
        <f>VLOOKUP($F653,'Status Thresholds'!$E:$AS,23,FALSE)</f>
        <v>0</v>
      </c>
      <c r="AE653" s="36">
        <f>VLOOKUP($F653,'Status Thresholds'!$E:$AS,24,FALSE)</f>
        <v>0</v>
      </c>
      <c r="AF653" s="36">
        <f>VLOOKUP($F653,'Status Thresholds'!$E:$AS,25,FALSE)</f>
        <v>0</v>
      </c>
      <c r="AG653" s="36">
        <f>VLOOKUP($F653,'Status Thresholds'!$E:$AS,26,FALSE)</f>
        <v>0</v>
      </c>
      <c r="AH653" s="50">
        <f>VLOOKUP($F653,'Status Thresholds'!$E:$AS,27,FALSE)</f>
        <v>0</v>
      </c>
      <c r="AI653" s="36">
        <f>VLOOKUP($F653,'Status Thresholds'!$E:$AS,28,FALSE)</f>
        <v>0</v>
      </c>
      <c r="AJ653" s="36">
        <f>VLOOKUP($F653,'Status Thresholds'!$E:$AS,29,FALSE)</f>
        <v>0</v>
      </c>
      <c r="AK653" s="36">
        <f>VLOOKUP($F653,'Status Thresholds'!$E:$AS,30,FALSE)</f>
        <v>0</v>
      </c>
      <c r="AL653" s="36">
        <f>VLOOKUP($F653,'Status Thresholds'!$E:$AS,31,FALSE)</f>
        <v>0</v>
      </c>
      <c r="AM653" s="50">
        <f>VLOOKUP($F653,'Status Thresholds'!$E:$AS,32,FALSE)</f>
        <v>0</v>
      </c>
      <c r="AN653" s="36">
        <f>VLOOKUP($F653,'Status Thresholds'!$E:$AS,33,FALSE)</f>
        <v>0</v>
      </c>
      <c r="AO653" s="36">
        <f>VLOOKUP($F653,'Status Thresholds'!$E:$AS,34,FALSE)</f>
        <v>0</v>
      </c>
      <c r="AP653" s="36">
        <f>VLOOKUP($F653,'Status Thresholds'!$E:$AS,35,FALSE)</f>
        <v>0</v>
      </c>
      <c r="AQ653" s="36">
        <f>VLOOKUP($F653,'Status Thresholds'!$E:$AS,36,FALSE)</f>
        <v>0</v>
      </c>
      <c r="AR653" s="50">
        <f>VLOOKUP($F653,'Status Thresholds'!$E:$AS,37,FALSE)</f>
        <v>0</v>
      </c>
      <c r="AS653" s="36">
        <f>VLOOKUP($F653,'Status Thresholds'!$E:$AS,38,FALSE)</f>
        <v>0</v>
      </c>
      <c r="AT653" s="36">
        <f>VLOOKUP($F653,'Status Thresholds'!$E:$AS,39,FALSE)</f>
        <v>0</v>
      </c>
      <c r="AU653" s="36">
        <f>VLOOKUP($F653,'Status Thresholds'!$E:$AS,40,FALSE)</f>
        <v>0</v>
      </c>
      <c r="AV653" s="36">
        <f>VLOOKUP($F653,'Status Thresholds'!$E:$AS,41,FALSE)</f>
        <v>10</v>
      </c>
      <c r="AW653">
        <v>0</v>
      </c>
      <c r="AX653">
        <v>0</v>
      </c>
    </row>
    <row r="654" spans="1:50" x14ac:dyDescent="0.25">
      <c r="A654" s="36"/>
      <c r="B654" s="46" t="s">
        <v>120</v>
      </c>
      <c r="C654" s="36" t="str">
        <f>'Status Thresholds'!B645</f>
        <v>Rustrazor Ceanataur</v>
      </c>
      <c r="E654" s="36" t="str">
        <f t="shared" si="23"/>
        <v>Rustrazor Ceanataur</v>
      </c>
      <c r="F654" s="36" t="str">
        <f>IFERROR(VLOOKUP($E654,'Status Thresholds'!$E:$AS,1,FALSE),"")</f>
        <v/>
      </c>
      <c r="G654" t="s">
        <v>21</v>
      </c>
      <c r="H654" s="55" t="str">
        <f t="shared" si="24"/>
        <v>Rustrazor CeanataurTriblast</v>
      </c>
      <c r="I654" s="50">
        <v>0</v>
      </c>
      <c r="J654" s="36">
        <v>0</v>
      </c>
      <c r="K654" s="36">
        <v>0</v>
      </c>
      <c r="L654" s="36">
        <v>0</v>
      </c>
      <c r="M654" s="36">
        <v>0</v>
      </c>
      <c r="N654" s="50">
        <v>0</v>
      </c>
      <c r="O654" s="36">
        <v>0</v>
      </c>
      <c r="P654" s="36">
        <v>0</v>
      </c>
      <c r="Q654" s="36">
        <v>0</v>
      </c>
      <c r="R654" s="36">
        <v>0</v>
      </c>
      <c r="S654" s="50">
        <v>0</v>
      </c>
      <c r="T654" s="36">
        <v>0</v>
      </c>
      <c r="U654" s="36">
        <v>0</v>
      </c>
      <c r="V654" s="36">
        <v>0</v>
      </c>
      <c r="W654" s="36">
        <v>0</v>
      </c>
      <c r="X654" s="50">
        <v>0</v>
      </c>
      <c r="Y654" s="36">
        <v>0</v>
      </c>
      <c r="Z654" s="36">
        <v>0</v>
      </c>
      <c r="AA654" s="36">
        <v>0</v>
      </c>
      <c r="AB654" s="36">
        <v>0</v>
      </c>
      <c r="AC654" s="50">
        <v>0</v>
      </c>
      <c r="AD654" s="36">
        <v>0</v>
      </c>
      <c r="AE654" s="36">
        <v>0</v>
      </c>
      <c r="AF654" s="36">
        <v>0</v>
      </c>
      <c r="AG654" s="36">
        <v>0</v>
      </c>
      <c r="AH654" s="50">
        <v>0</v>
      </c>
      <c r="AI654" s="36">
        <v>0</v>
      </c>
      <c r="AJ654" s="36">
        <v>0</v>
      </c>
      <c r="AK654" s="36">
        <v>0</v>
      </c>
      <c r="AL654" s="36">
        <v>0</v>
      </c>
      <c r="AM654" s="50">
        <v>0</v>
      </c>
      <c r="AN654" s="36">
        <v>0</v>
      </c>
      <c r="AO654" s="36">
        <v>0</v>
      </c>
      <c r="AP654" s="36">
        <v>0</v>
      </c>
      <c r="AQ654" s="36">
        <v>0</v>
      </c>
      <c r="AR654" s="50">
        <v>0</v>
      </c>
      <c r="AS654" s="36">
        <v>0</v>
      </c>
      <c r="AT654" s="36">
        <v>0</v>
      </c>
      <c r="AU654" s="36">
        <v>0</v>
      </c>
      <c r="AV654" s="36">
        <v>0</v>
      </c>
      <c r="AW654">
        <v>0</v>
      </c>
    </row>
    <row r="655" spans="1:50" x14ac:dyDescent="0.25">
      <c r="A655" s="36"/>
      <c r="B655" t="s">
        <v>120</v>
      </c>
      <c r="C655" s="36" t="str">
        <f>'Status Thresholds'!B646</f>
        <v>Rustrazor Ceanataur</v>
      </c>
      <c r="E655" s="36" t="str">
        <f t="shared" si="23"/>
        <v>Rustrazor Ceanataur</v>
      </c>
      <c r="F655" s="36" t="str">
        <f>IFERROR(VLOOKUP($E655,'Status Thresholds'!$E:$AS,1,FALSE),"")</f>
        <v/>
      </c>
      <c r="G655" t="s">
        <v>13</v>
      </c>
      <c r="H655" s="55" t="str">
        <f t="shared" si="24"/>
        <v>Rustrazor CeanataurCrag 3</v>
      </c>
      <c r="I655" s="50">
        <v>0</v>
      </c>
      <c r="J655" s="36">
        <v>0</v>
      </c>
      <c r="K655" s="36">
        <v>0</v>
      </c>
      <c r="L655" s="36">
        <v>0</v>
      </c>
      <c r="M655" s="36">
        <v>0</v>
      </c>
      <c r="N655" s="50">
        <v>0</v>
      </c>
      <c r="O655" s="36">
        <v>0</v>
      </c>
      <c r="P655" s="36">
        <v>0</v>
      </c>
      <c r="Q655" s="36">
        <v>0</v>
      </c>
      <c r="R655" s="36">
        <v>0</v>
      </c>
      <c r="S655" s="50">
        <v>0</v>
      </c>
      <c r="T655" s="36">
        <v>0</v>
      </c>
      <c r="U655" s="36">
        <v>0</v>
      </c>
      <c r="V655" s="36">
        <v>0</v>
      </c>
      <c r="W655" s="36">
        <v>0</v>
      </c>
      <c r="X655" s="50">
        <v>0</v>
      </c>
      <c r="Y655" s="36">
        <v>0</v>
      </c>
      <c r="Z655" s="36">
        <v>0</v>
      </c>
      <c r="AA655" s="36">
        <v>0</v>
      </c>
      <c r="AB655" s="36">
        <v>0</v>
      </c>
      <c r="AC655" s="50">
        <v>0</v>
      </c>
      <c r="AD655" s="36">
        <v>0</v>
      </c>
      <c r="AE655" s="36">
        <v>0</v>
      </c>
      <c r="AF655" s="36">
        <v>0</v>
      </c>
      <c r="AG655" s="36">
        <v>0</v>
      </c>
      <c r="AH655" s="50">
        <v>0</v>
      </c>
      <c r="AI655" s="36">
        <v>0</v>
      </c>
      <c r="AJ655" s="36">
        <v>0</v>
      </c>
      <c r="AK655" s="36">
        <v>0</v>
      </c>
      <c r="AL655" s="36">
        <v>0</v>
      </c>
      <c r="AM655" s="50">
        <v>0</v>
      </c>
      <c r="AN655" s="36">
        <v>0</v>
      </c>
      <c r="AO655" s="36">
        <v>0</v>
      </c>
      <c r="AP655" s="36">
        <v>0</v>
      </c>
      <c r="AQ655" s="36">
        <v>0</v>
      </c>
      <c r="AR655" s="50">
        <v>0</v>
      </c>
      <c r="AS655" s="36">
        <v>0</v>
      </c>
      <c r="AT655" s="36">
        <v>0</v>
      </c>
      <c r="AU655" s="36">
        <v>0</v>
      </c>
      <c r="AV655" s="36">
        <v>0</v>
      </c>
      <c r="AW655">
        <v>0</v>
      </c>
      <c r="AX655">
        <v>0</v>
      </c>
    </row>
    <row r="656" spans="1:50" x14ac:dyDescent="0.25">
      <c r="A656" s="36"/>
      <c r="B656" t="s">
        <v>120</v>
      </c>
      <c r="C656" s="36" t="str">
        <f>'Status Thresholds'!B647</f>
        <v>Rustrazor Ceanataur</v>
      </c>
      <c r="E656" s="36" t="str">
        <f t="shared" si="23"/>
        <v>Rustrazor Ceanataur</v>
      </c>
      <c r="F656" s="36" t="str">
        <f>IFERROR(VLOOKUP($E656,'Status Thresholds'!$E:$AS,1,FALSE),"")</f>
        <v/>
      </c>
      <c r="G656" t="s">
        <v>12</v>
      </c>
      <c r="H656" s="55" t="str">
        <f t="shared" si="24"/>
        <v>Rustrazor CeanataurCrag 2</v>
      </c>
      <c r="I656" s="50">
        <v>0</v>
      </c>
      <c r="J656" s="36">
        <v>0</v>
      </c>
      <c r="K656" s="36">
        <v>0</v>
      </c>
      <c r="L656" s="36">
        <v>0</v>
      </c>
      <c r="M656" s="36">
        <v>0</v>
      </c>
      <c r="N656" s="50">
        <v>0</v>
      </c>
      <c r="O656" s="36">
        <v>0</v>
      </c>
      <c r="P656" s="36">
        <v>0</v>
      </c>
      <c r="Q656" s="36">
        <v>0</v>
      </c>
      <c r="R656" s="36">
        <v>0</v>
      </c>
      <c r="S656" s="50">
        <v>0</v>
      </c>
      <c r="T656" s="36">
        <v>0</v>
      </c>
      <c r="U656" s="36">
        <v>0</v>
      </c>
      <c r="V656" s="36">
        <v>0</v>
      </c>
      <c r="W656" s="36">
        <v>0</v>
      </c>
      <c r="X656" s="50">
        <v>0</v>
      </c>
      <c r="Y656" s="36">
        <v>0</v>
      </c>
      <c r="Z656" s="36">
        <v>0</v>
      </c>
      <c r="AA656" s="36">
        <v>0</v>
      </c>
      <c r="AB656" s="36">
        <v>0</v>
      </c>
      <c r="AC656" s="50">
        <v>0</v>
      </c>
      <c r="AD656" s="36">
        <v>0</v>
      </c>
      <c r="AE656" s="36">
        <v>0</v>
      </c>
      <c r="AF656" s="36">
        <v>0</v>
      </c>
      <c r="AG656" s="36">
        <v>0</v>
      </c>
      <c r="AH656" s="50">
        <v>0</v>
      </c>
      <c r="AI656" s="36">
        <v>0</v>
      </c>
      <c r="AJ656" s="36">
        <v>0</v>
      </c>
      <c r="AK656" s="36">
        <v>0</v>
      </c>
      <c r="AL656" s="36">
        <v>0</v>
      </c>
      <c r="AM656" s="50">
        <v>0</v>
      </c>
      <c r="AN656" s="36">
        <v>0</v>
      </c>
      <c r="AO656" s="36">
        <v>0</v>
      </c>
      <c r="AP656" s="36">
        <v>0</v>
      </c>
      <c r="AQ656" s="36">
        <v>0</v>
      </c>
      <c r="AR656" s="50">
        <v>0</v>
      </c>
      <c r="AS656" s="36">
        <v>0</v>
      </c>
      <c r="AT656" s="36">
        <v>0</v>
      </c>
      <c r="AU656" s="36">
        <v>0</v>
      </c>
      <c r="AV656" s="36">
        <v>0</v>
      </c>
      <c r="AW656">
        <v>0</v>
      </c>
      <c r="AX656">
        <v>0</v>
      </c>
    </row>
    <row r="657" spans="1:50" x14ac:dyDescent="0.25">
      <c r="A657" s="36"/>
      <c r="B657" t="s">
        <v>120</v>
      </c>
      <c r="C657" s="36" t="str">
        <f>'Status Thresholds'!B648</f>
        <v>Rustrazor Ceanataur</v>
      </c>
      <c r="E657" s="36" t="str">
        <f t="shared" si="23"/>
        <v>Rustrazor Ceanataur</v>
      </c>
      <c r="F657" s="36" t="str">
        <f>IFERROR(VLOOKUP($E657,'Status Thresholds'!$E:$AS,1,FALSE),"")</f>
        <v/>
      </c>
      <c r="G657" t="s">
        <v>11</v>
      </c>
      <c r="H657" s="55" t="str">
        <f t="shared" si="24"/>
        <v>Rustrazor CeanataurCrag 1</v>
      </c>
      <c r="I657" s="50">
        <v>0</v>
      </c>
      <c r="J657" s="36">
        <v>0</v>
      </c>
      <c r="K657" s="36">
        <v>0</v>
      </c>
      <c r="L657" s="36">
        <v>0</v>
      </c>
      <c r="M657" s="36">
        <v>0</v>
      </c>
      <c r="N657" s="50">
        <v>0</v>
      </c>
      <c r="O657" s="36">
        <v>0</v>
      </c>
      <c r="P657" s="36">
        <v>0</v>
      </c>
      <c r="Q657" s="36">
        <v>0</v>
      </c>
      <c r="R657" s="36">
        <v>0</v>
      </c>
      <c r="S657" s="50">
        <v>0</v>
      </c>
      <c r="T657" s="36">
        <v>0</v>
      </c>
      <c r="U657" s="36">
        <v>0</v>
      </c>
      <c r="V657" s="36">
        <v>0</v>
      </c>
      <c r="W657" s="36">
        <v>0</v>
      </c>
      <c r="X657" s="50">
        <v>0</v>
      </c>
      <c r="Y657" s="36">
        <v>0</v>
      </c>
      <c r="Z657" s="36">
        <v>0</v>
      </c>
      <c r="AA657" s="36">
        <v>0</v>
      </c>
      <c r="AB657" s="36">
        <v>0</v>
      </c>
      <c r="AC657" s="50">
        <v>0</v>
      </c>
      <c r="AD657" s="36">
        <v>0</v>
      </c>
      <c r="AE657" s="36">
        <v>0</v>
      </c>
      <c r="AF657" s="36">
        <v>0</v>
      </c>
      <c r="AG657" s="36">
        <v>0</v>
      </c>
      <c r="AH657" s="50">
        <v>0</v>
      </c>
      <c r="AI657" s="36">
        <v>0</v>
      </c>
      <c r="AJ657" s="36">
        <v>0</v>
      </c>
      <c r="AK657" s="36">
        <v>0</v>
      </c>
      <c r="AL657" s="36">
        <v>0</v>
      </c>
      <c r="AM657" s="50">
        <v>0</v>
      </c>
      <c r="AN657" s="36">
        <v>0</v>
      </c>
      <c r="AO657" s="36">
        <v>0</v>
      </c>
      <c r="AP657" s="36">
        <v>0</v>
      </c>
      <c r="AQ657" s="36">
        <v>0</v>
      </c>
      <c r="AR657" s="50">
        <v>0</v>
      </c>
      <c r="AS657" s="36">
        <v>0</v>
      </c>
      <c r="AT657" s="36">
        <v>0</v>
      </c>
      <c r="AU657" s="36">
        <v>0</v>
      </c>
      <c r="AV657" s="36">
        <v>1</v>
      </c>
      <c r="AW657">
        <v>0</v>
      </c>
      <c r="AX657">
        <v>0</v>
      </c>
    </row>
    <row r="658" spans="1:50" x14ac:dyDescent="0.25">
      <c r="A658" s="36"/>
      <c r="B658" s="36" t="s">
        <v>119</v>
      </c>
      <c r="C658" s="36" t="str">
        <f>'Status Thresholds'!B649</f>
        <v>Rustrazor Ceanataur</v>
      </c>
      <c r="E658" s="36" t="str">
        <f t="shared" si="23"/>
        <v>Rustrazor Ceanataur</v>
      </c>
      <c r="F658" s="36" t="str">
        <f>IFERROR(VLOOKUP($E658,'Status Thresholds'!$E:$AS,1,FALSE),"")</f>
        <v/>
      </c>
      <c r="G658" t="s">
        <v>21</v>
      </c>
      <c r="H658" s="55" t="str">
        <f t="shared" si="24"/>
        <v>Rustrazor CeanataurTriblast</v>
      </c>
      <c r="I658" s="50">
        <v>0</v>
      </c>
      <c r="J658" s="36">
        <v>0</v>
      </c>
      <c r="K658" s="36">
        <v>0</v>
      </c>
      <c r="L658" s="36">
        <v>0</v>
      </c>
      <c r="M658" s="36">
        <v>0</v>
      </c>
      <c r="N658" s="50">
        <v>0</v>
      </c>
      <c r="O658" s="36">
        <v>0</v>
      </c>
      <c r="P658" s="36">
        <v>0</v>
      </c>
      <c r="Q658" s="36">
        <v>0</v>
      </c>
      <c r="R658" s="36">
        <v>0</v>
      </c>
      <c r="S658" s="50">
        <v>0</v>
      </c>
      <c r="T658" s="36">
        <v>0</v>
      </c>
      <c r="U658" s="36">
        <v>0</v>
      </c>
      <c r="V658" s="36">
        <v>0</v>
      </c>
      <c r="W658" s="36">
        <v>0</v>
      </c>
      <c r="X658" s="50">
        <v>0</v>
      </c>
      <c r="Y658" s="36">
        <v>0</v>
      </c>
      <c r="Z658" s="36">
        <v>0</v>
      </c>
      <c r="AA658" s="36">
        <v>0</v>
      </c>
      <c r="AB658" s="36">
        <v>0</v>
      </c>
      <c r="AC658" s="50">
        <v>0</v>
      </c>
      <c r="AD658" s="36">
        <v>0</v>
      </c>
      <c r="AE658" s="36">
        <v>0</v>
      </c>
      <c r="AF658" s="36">
        <v>0</v>
      </c>
      <c r="AG658" s="36">
        <v>0</v>
      </c>
      <c r="AH658" s="50">
        <v>0</v>
      </c>
      <c r="AI658" s="36">
        <v>0</v>
      </c>
      <c r="AJ658" s="36">
        <v>0</v>
      </c>
      <c r="AK658" s="36">
        <v>0</v>
      </c>
      <c r="AL658" s="36">
        <v>0</v>
      </c>
      <c r="AM658" s="50">
        <v>0</v>
      </c>
      <c r="AN658" s="36">
        <v>0</v>
      </c>
      <c r="AO658" s="36">
        <v>0</v>
      </c>
      <c r="AP658" s="36">
        <v>0</v>
      </c>
      <c r="AQ658" s="36">
        <v>0</v>
      </c>
      <c r="AR658" s="50">
        <v>0</v>
      </c>
      <c r="AS658" s="36">
        <v>0</v>
      </c>
      <c r="AT658" s="36">
        <v>0</v>
      </c>
      <c r="AU658" s="36">
        <v>0</v>
      </c>
      <c r="AV658" s="36">
        <v>0</v>
      </c>
      <c r="AW658">
        <v>0</v>
      </c>
      <c r="AX658">
        <v>0</v>
      </c>
    </row>
    <row r="659" spans="1:50" x14ac:dyDescent="0.25">
      <c r="A659" s="36"/>
      <c r="B659" t="s">
        <v>119</v>
      </c>
      <c r="C659" s="36" t="str">
        <f>'Status Thresholds'!B650</f>
        <v>Rustrazor Ceanataur</v>
      </c>
      <c r="E659" s="36" t="str">
        <f t="shared" si="23"/>
        <v>Rustrazor Ceanataur</v>
      </c>
      <c r="F659" s="36" t="str">
        <f>IFERROR(VLOOKUP($E659,'Status Thresholds'!$E:$AS,1,FALSE),"")</f>
        <v/>
      </c>
      <c r="G659" t="s">
        <v>13</v>
      </c>
      <c r="H659" s="55" t="str">
        <f t="shared" si="24"/>
        <v>Rustrazor CeanataurCrag 3</v>
      </c>
      <c r="I659" s="50">
        <v>0</v>
      </c>
      <c r="J659" s="36">
        <v>0</v>
      </c>
      <c r="K659" s="36">
        <v>0</v>
      </c>
      <c r="L659" s="36">
        <v>0</v>
      </c>
      <c r="M659" s="36">
        <v>0</v>
      </c>
      <c r="N659" s="50">
        <v>0</v>
      </c>
      <c r="O659" s="36">
        <v>0</v>
      </c>
      <c r="P659" s="36">
        <v>0</v>
      </c>
      <c r="Q659" s="36">
        <v>0</v>
      </c>
      <c r="R659" s="36">
        <v>0</v>
      </c>
      <c r="S659" s="50">
        <v>0</v>
      </c>
      <c r="T659" s="36">
        <v>0</v>
      </c>
      <c r="U659" s="36">
        <v>0</v>
      </c>
      <c r="V659" s="36">
        <v>0</v>
      </c>
      <c r="W659" s="36">
        <v>0</v>
      </c>
      <c r="X659" s="50">
        <v>0</v>
      </c>
      <c r="Y659" s="36">
        <v>0</v>
      </c>
      <c r="Z659" s="36">
        <v>0</v>
      </c>
      <c r="AA659" s="36">
        <v>0</v>
      </c>
      <c r="AB659" s="36">
        <v>0</v>
      </c>
      <c r="AC659" s="50">
        <v>0</v>
      </c>
      <c r="AD659" s="36">
        <v>0</v>
      </c>
      <c r="AE659" s="36">
        <v>0</v>
      </c>
      <c r="AF659" s="36">
        <v>0</v>
      </c>
      <c r="AG659" s="36">
        <v>0</v>
      </c>
      <c r="AH659" s="50">
        <v>0</v>
      </c>
      <c r="AI659" s="36">
        <v>0</v>
      </c>
      <c r="AJ659" s="36">
        <v>0</v>
      </c>
      <c r="AK659" s="36">
        <v>0</v>
      </c>
      <c r="AL659" s="36">
        <v>0</v>
      </c>
      <c r="AM659" s="50">
        <v>0</v>
      </c>
      <c r="AN659" s="36">
        <v>0</v>
      </c>
      <c r="AO659" s="36">
        <v>0</v>
      </c>
      <c r="AP659" s="36">
        <v>0</v>
      </c>
      <c r="AQ659" s="36">
        <v>0</v>
      </c>
      <c r="AR659" s="50">
        <v>0</v>
      </c>
      <c r="AS659" s="36">
        <v>0</v>
      </c>
      <c r="AT659" s="36">
        <v>0</v>
      </c>
      <c r="AU659" s="36">
        <v>0</v>
      </c>
      <c r="AV659" s="36">
        <v>0</v>
      </c>
      <c r="AW659">
        <v>0</v>
      </c>
      <c r="AX659">
        <v>0</v>
      </c>
    </row>
    <row r="660" spans="1:50" x14ac:dyDescent="0.25">
      <c r="A660" s="36"/>
      <c r="B660" t="s">
        <v>119</v>
      </c>
      <c r="C660" s="36" t="str">
        <f>'Status Thresholds'!B651</f>
        <v>Rustrazor Ceanataur</v>
      </c>
      <c r="E660" s="36" t="str">
        <f t="shared" si="23"/>
        <v>Rustrazor Ceanataur</v>
      </c>
      <c r="F660" s="36" t="str">
        <f>IFERROR(VLOOKUP($E660,'Status Thresholds'!$E:$AS,1,FALSE),"")</f>
        <v/>
      </c>
      <c r="G660" t="s">
        <v>12</v>
      </c>
      <c r="H660" s="55" t="str">
        <f t="shared" si="24"/>
        <v>Rustrazor CeanataurCrag 2</v>
      </c>
      <c r="I660" s="50">
        <v>0</v>
      </c>
      <c r="J660" s="36">
        <v>0</v>
      </c>
      <c r="K660" s="36">
        <v>0</v>
      </c>
      <c r="L660" s="36">
        <v>0</v>
      </c>
      <c r="M660" s="36">
        <v>0</v>
      </c>
      <c r="N660" s="50">
        <v>0</v>
      </c>
      <c r="O660" s="36">
        <v>0</v>
      </c>
      <c r="P660" s="36">
        <v>0</v>
      </c>
      <c r="Q660" s="36">
        <v>0</v>
      </c>
      <c r="R660" s="36">
        <v>0</v>
      </c>
      <c r="S660" s="50">
        <v>0</v>
      </c>
      <c r="T660" s="36">
        <v>0</v>
      </c>
      <c r="U660" s="36">
        <v>0</v>
      </c>
      <c r="V660" s="36">
        <v>0</v>
      </c>
      <c r="W660" s="36">
        <v>0</v>
      </c>
      <c r="X660" s="50">
        <v>0</v>
      </c>
      <c r="Y660" s="36">
        <v>0</v>
      </c>
      <c r="Z660" s="36">
        <v>0</v>
      </c>
      <c r="AA660" s="36">
        <v>0</v>
      </c>
      <c r="AB660" s="36">
        <v>0</v>
      </c>
      <c r="AC660" s="50">
        <v>0</v>
      </c>
      <c r="AD660" s="36">
        <v>0</v>
      </c>
      <c r="AE660" s="36">
        <v>0</v>
      </c>
      <c r="AF660" s="36">
        <v>0</v>
      </c>
      <c r="AG660" s="36">
        <v>0</v>
      </c>
      <c r="AH660" s="50">
        <v>0</v>
      </c>
      <c r="AI660" s="36">
        <v>0</v>
      </c>
      <c r="AJ660" s="36">
        <v>0</v>
      </c>
      <c r="AK660" s="36">
        <v>0</v>
      </c>
      <c r="AL660" s="36">
        <v>0</v>
      </c>
      <c r="AM660" s="50">
        <v>0</v>
      </c>
      <c r="AN660" s="36">
        <v>0</v>
      </c>
      <c r="AO660" s="36">
        <v>0</v>
      </c>
      <c r="AP660" s="36">
        <v>0</v>
      </c>
      <c r="AQ660" s="36">
        <v>0</v>
      </c>
      <c r="AR660" s="50">
        <v>0</v>
      </c>
      <c r="AS660" s="36">
        <v>0</v>
      </c>
      <c r="AT660" s="36">
        <v>0</v>
      </c>
      <c r="AU660" s="36">
        <v>0</v>
      </c>
      <c r="AV660" s="36">
        <v>0</v>
      </c>
      <c r="AW660">
        <v>0</v>
      </c>
      <c r="AX660">
        <v>0</v>
      </c>
    </row>
    <row r="661" spans="1:50" x14ac:dyDescent="0.25">
      <c r="A661" s="36"/>
      <c r="B661" t="s">
        <v>119</v>
      </c>
      <c r="C661" s="36" t="str">
        <f>'Status Thresholds'!B652</f>
        <v>Rustrazor Ceanataur</v>
      </c>
      <c r="E661" s="36" t="str">
        <f t="shared" si="23"/>
        <v>Rustrazor Ceanataur</v>
      </c>
      <c r="F661" s="36" t="str">
        <f>IFERROR(VLOOKUP($E661,'Status Thresholds'!$E:$AS,1,FALSE),"")</f>
        <v/>
      </c>
      <c r="G661" t="s">
        <v>11</v>
      </c>
      <c r="H661" s="55" t="str">
        <f t="shared" si="24"/>
        <v>Rustrazor CeanataurCrag 1</v>
      </c>
      <c r="I661" s="50">
        <v>0</v>
      </c>
      <c r="J661" s="36">
        <v>0</v>
      </c>
      <c r="K661" s="36">
        <v>0</v>
      </c>
      <c r="L661" s="36">
        <v>0</v>
      </c>
      <c r="M661" s="36">
        <v>0</v>
      </c>
      <c r="N661" s="50">
        <v>0</v>
      </c>
      <c r="O661" s="36">
        <v>0</v>
      </c>
      <c r="P661" s="36">
        <v>0</v>
      </c>
      <c r="Q661" s="36">
        <v>0</v>
      </c>
      <c r="R661" s="36">
        <v>0</v>
      </c>
      <c r="S661" s="50">
        <v>0</v>
      </c>
      <c r="T661" s="36">
        <v>0</v>
      </c>
      <c r="U661" s="36">
        <v>0</v>
      </c>
      <c r="V661" s="36">
        <v>0</v>
      </c>
      <c r="W661" s="36">
        <v>0</v>
      </c>
      <c r="X661" s="50">
        <v>0</v>
      </c>
      <c r="Y661" s="36">
        <v>0</v>
      </c>
      <c r="Z661" s="36">
        <v>0</v>
      </c>
      <c r="AA661" s="36">
        <v>0</v>
      </c>
      <c r="AB661" s="36">
        <v>0</v>
      </c>
      <c r="AC661" s="50">
        <v>0</v>
      </c>
      <c r="AD661" s="36">
        <v>0</v>
      </c>
      <c r="AE661" s="36">
        <v>0</v>
      </c>
      <c r="AF661" s="36">
        <v>0</v>
      </c>
      <c r="AG661" s="36">
        <v>0</v>
      </c>
      <c r="AH661" s="50">
        <v>0</v>
      </c>
      <c r="AI661" s="36">
        <v>0</v>
      </c>
      <c r="AJ661" s="36">
        <v>0</v>
      </c>
      <c r="AK661" s="36">
        <v>0</v>
      </c>
      <c r="AL661" s="36">
        <v>0</v>
      </c>
      <c r="AM661" s="50">
        <v>0</v>
      </c>
      <c r="AN661" s="36">
        <v>0</v>
      </c>
      <c r="AO661" s="36">
        <v>0</v>
      </c>
      <c r="AP661" s="36">
        <v>0</v>
      </c>
      <c r="AQ661" s="36">
        <v>0</v>
      </c>
      <c r="AR661" s="50">
        <v>0</v>
      </c>
      <c r="AS661" s="36">
        <v>0</v>
      </c>
      <c r="AT661" s="36">
        <v>0</v>
      </c>
      <c r="AU661" s="36">
        <v>0</v>
      </c>
      <c r="AV661" s="36">
        <v>1</v>
      </c>
      <c r="AW661">
        <v>0</v>
      </c>
      <c r="AX661">
        <v>0</v>
      </c>
    </row>
    <row r="662" spans="1:50" x14ac:dyDescent="0.25">
      <c r="A662" s="36"/>
      <c r="B662" t="s">
        <v>121</v>
      </c>
      <c r="C662" s="36" t="str">
        <f>'Status Thresholds'!B653</f>
        <v>Seltas</v>
      </c>
      <c r="D662" t="s">
        <v>14</v>
      </c>
      <c r="E662" s="36" t="str">
        <f t="shared" si="23"/>
        <v>SeltasKO</v>
      </c>
      <c r="F662" s="36" t="str">
        <f>IFERROR(VLOOKUP($E662,'Status Thresholds'!$E:$AS,1,FALSE),"")</f>
        <v>SeltasKO</v>
      </c>
      <c r="G662" s="36"/>
      <c r="H662" s="55" t="str">
        <f t="shared" si="24"/>
        <v>SeltasKO</v>
      </c>
      <c r="I662" s="50">
        <f>VLOOKUP($F662,'Status Thresholds'!$E:$AS,2,FALSE)</f>
        <v>183</v>
      </c>
      <c r="J662" s="36">
        <f>VLOOKUP($F662,'Status Thresholds'!$E:$AS,3,FALSE)</f>
        <v>208</v>
      </c>
      <c r="K662" s="36">
        <f>VLOOKUP($F662,'Status Thresholds'!$E:$AS,4,FALSE)</f>
        <v>233</v>
      </c>
      <c r="L662" s="36">
        <f>VLOOKUP($F662,'Status Thresholds'!$E:$AS,5,FALSE)</f>
        <v>258</v>
      </c>
      <c r="M662" s="36">
        <f>VLOOKUP($F662,'Status Thresholds'!$E:$AS,6,FALSE)</f>
        <v>0</v>
      </c>
      <c r="N662" s="50">
        <f>VLOOKUP($F662,'Status Thresholds'!$E:$AS,7,FALSE)</f>
        <v>0</v>
      </c>
      <c r="O662" s="36">
        <f>VLOOKUP($F662,'Status Thresholds'!$E:$AS,8,FALSE)</f>
        <v>0</v>
      </c>
      <c r="P662" s="36">
        <f>VLOOKUP($F662,'Status Thresholds'!$E:$AS,9,FALSE)</f>
        <v>0</v>
      </c>
      <c r="Q662" s="36">
        <f>VLOOKUP($F662,'Status Thresholds'!$E:$AS,10,FALSE)</f>
        <v>0</v>
      </c>
      <c r="R662" s="36">
        <f>VLOOKUP($F662,'Status Thresholds'!$E:$AS,11,FALSE)</f>
        <v>0</v>
      </c>
      <c r="S662" s="50">
        <f>VLOOKUP($F662,'Status Thresholds'!$E:$AS,12,FALSE)</f>
        <v>156</v>
      </c>
      <c r="T662" s="36">
        <f>VLOOKUP($F662,'Status Thresholds'!$E:$AS,13,FALSE)</f>
        <v>183</v>
      </c>
      <c r="U662" s="36">
        <f>VLOOKUP($F662,'Status Thresholds'!$E:$AS,14,FALSE)</f>
        <v>210</v>
      </c>
      <c r="V662" s="36">
        <f>VLOOKUP($F662,'Status Thresholds'!$E:$AS,15,FALSE)</f>
        <v>237</v>
      </c>
      <c r="W662" s="36">
        <f>VLOOKUP($F662,'Status Thresholds'!$E:$AS,16,FALSE)</f>
        <v>0</v>
      </c>
      <c r="X662" s="50">
        <f>VLOOKUP($F662,'Status Thresholds'!$E:$AS,17,FALSE)</f>
        <v>0</v>
      </c>
      <c r="Y662" s="36">
        <f>VLOOKUP($F662,'Status Thresholds'!$E:$AS,18,FALSE)</f>
        <v>0</v>
      </c>
      <c r="Z662" s="36">
        <f>VLOOKUP($F662,'Status Thresholds'!$E:$AS,19,FALSE)</f>
        <v>0</v>
      </c>
      <c r="AA662" s="36">
        <f>VLOOKUP($F662,'Status Thresholds'!$E:$AS,20,FALSE)</f>
        <v>0</v>
      </c>
      <c r="AB662" s="36">
        <f>VLOOKUP($F662,'Status Thresholds'!$E:$AS,21,FALSE)</f>
        <v>0</v>
      </c>
      <c r="AC662" s="50">
        <f>VLOOKUP($F662,'Status Thresholds'!$E:$AS,22,FALSE)</f>
        <v>168</v>
      </c>
      <c r="AD662" s="36">
        <f>VLOOKUP($F662,'Status Thresholds'!$E:$AS,23,FALSE)</f>
        <v>210</v>
      </c>
      <c r="AE662" s="36">
        <f>VLOOKUP($F662,'Status Thresholds'!$E:$AS,24,FALSE)</f>
        <v>252</v>
      </c>
      <c r="AF662" s="36">
        <f>VLOOKUP($F662,'Status Thresholds'!$E:$AS,25,FALSE)</f>
        <v>294</v>
      </c>
      <c r="AG662" s="36">
        <f>VLOOKUP($F662,'Status Thresholds'!$E:$AS,26,FALSE)</f>
        <v>0</v>
      </c>
      <c r="AH662" s="50">
        <f>VLOOKUP($F662,'Status Thresholds'!$E:$AS,27,FALSE)</f>
        <v>168</v>
      </c>
      <c r="AI662" s="36">
        <f>VLOOKUP($F662,'Status Thresholds'!$E:$AS,28,FALSE)</f>
        <v>210</v>
      </c>
      <c r="AJ662" s="36">
        <f>VLOOKUP($F662,'Status Thresholds'!$E:$AS,29,FALSE)</f>
        <v>252</v>
      </c>
      <c r="AK662" s="36">
        <f>VLOOKUP($F662,'Status Thresholds'!$E:$AS,30,FALSE)</f>
        <v>294</v>
      </c>
      <c r="AL662" s="36">
        <f>VLOOKUP($F662,'Status Thresholds'!$E:$AS,31,FALSE)</f>
        <v>0</v>
      </c>
      <c r="AM662" s="50">
        <f>VLOOKUP($F662,'Status Thresholds'!$E:$AS,32,FALSE)</f>
        <v>180</v>
      </c>
      <c r="AN662" s="36">
        <f>VLOOKUP($F662,'Status Thresholds'!$E:$AS,33,FALSE)</f>
        <v>205</v>
      </c>
      <c r="AO662" s="36">
        <f>VLOOKUP($F662,'Status Thresholds'!$E:$AS,34,FALSE)</f>
        <v>230</v>
      </c>
      <c r="AP662" s="36">
        <f>VLOOKUP($F662,'Status Thresholds'!$E:$AS,35,FALSE)</f>
        <v>255</v>
      </c>
      <c r="AQ662" s="36">
        <f>VLOOKUP($F662,'Status Thresholds'!$E:$AS,36,FALSE)</f>
        <v>0</v>
      </c>
      <c r="AR662" s="50">
        <f>VLOOKUP($F662,'Status Thresholds'!$E:$AS,37,FALSE)</f>
        <v>0</v>
      </c>
      <c r="AS662" s="36">
        <f>VLOOKUP($F662,'Status Thresholds'!$E:$AS,38,FALSE)</f>
        <v>0</v>
      </c>
      <c r="AT662" s="36">
        <f>VLOOKUP($F662,'Status Thresholds'!$E:$AS,39,FALSE)</f>
        <v>0</v>
      </c>
      <c r="AU662" s="36">
        <f>VLOOKUP($F662,'Status Thresholds'!$E:$AS,40,FALSE)</f>
        <v>0</v>
      </c>
      <c r="AV662" s="36">
        <f>VLOOKUP($F662,'Status Thresholds'!$E:$AS,41,FALSE)</f>
        <v>8</v>
      </c>
      <c r="AW662">
        <v>0</v>
      </c>
      <c r="AX662">
        <v>0</v>
      </c>
    </row>
    <row r="663" spans="1:50" x14ac:dyDescent="0.25">
      <c r="A663" s="36"/>
      <c r="B663" t="s">
        <v>120</v>
      </c>
      <c r="C663" s="36" t="str">
        <f>'Status Thresholds'!B654</f>
        <v>Seltas</v>
      </c>
      <c r="E663" s="36" t="str">
        <f t="shared" si="23"/>
        <v>Seltas</v>
      </c>
      <c r="F663" s="36" t="str">
        <f>IFERROR(VLOOKUP($E663,'Status Thresholds'!$E:$AS,1,FALSE),"")</f>
        <v/>
      </c>
      <c r="G663" s="46" t="s">
        <v>21</v>
      </c>
      <c r="H663" s="55" t="str">
        <f t="shared" si="24"/>
        <v>SeltasTriblast</v>
      </c>
      <c r="I663" s="50">
        <v>0</v>
      </c>
      <c r="J663" s="36">
        <v>0</v>
      </c>
      <c r="K663" s="36">
        <v>0</v>
      </c>
      <c r="L663" s="36">
        <v>0</v>
      </c>
      <c r="M663" s="36">
        <v>0</v>
      </c>
      <c r="N663" s="50">
        <v>0</v>
      </c>
      <c r="O663" s="36">
        <v>0</v>
      </c>
      <c r="P663" s="36">
        <v>0</v>
      </c>
      <c r="Q663" s="36">
        <v>0</v>
      </c>
      <c r="R663" s="36">
        <v>0</v>
      </c>
      <c r="S663" s="50">
        <v>0</v>
      </c>
      <c r="T663" s="36">
        <v>0</v>
      </c>
      <c r="U663" s="36">
        <v>2</v>
      </c>
      <c r="V663" s="36">
        <v>0</v>
      </c>
      <c r="W663" s="36">
        <v>0</v>
      </c>
      <c r="X663" s="50">
        <v>0</v>
      </c>
      <c r="Y663" s="36">
        <v>0</v>
      </c>
      <c r="Z663" s="36">
        <v>0</v>
      </c>
      <c r="AA663" s="36">
        <v>0</v>
      </c>
      <c r="AB663" s="36">
        <v>0</v>
      </c>
      <c r="AC663" s="50">
        <v>0</v>
      </c>
      <c r="AD663" s="36">
        <v>2</v>
      </c>
      <c r="AE663" s="36">
        <v>0</v>
      </c>
      <c r="AF663" s="36">
        <v>2</v>
      </c>
      <c r="AG663" s="36">
        <v>0</v>
      </c>
      <c r="AH663" s="50">
        <v>0</v>
      </c>
      <c r="AI663" s="36">
        <v>2</v>
      </c>
      <c r="AJ663" s="36">
        <v>0</v>
      </c>
      <c r="AK663" s="36">
        <v>2</v>
      </c>
      <c r="AL663" s="36">
        <v>0</v>
      </c>
      <c r="AM663" s="50">
        <v>2</v>
      </c>
      <c r="AN663" s="36">
        <v>2</v>
      </c>
      <c r="AO663" s="36">
        <v>2</v>
      </c>
      <c r="AP663" s="36">
        <v>2</v>
      </c>
      <c r="AQ663" s="36">
        <v>0</v>
      </c>
      <c r="AR663" s="50">
        <v>0</v>
      </c>
      <c r="AS663" s="36">
        <v>0</v>
      </c>
      <c r="AT663" s="36">
        <v>0</v>
      </c>
      <c r="AU663" s="36">
        <v>0</v>
      </c>
      <c r="AV663" s="36">
        <v>0</v>
      </c>
      <c r="AW663">
        <v>0</v>
      </c>
    </row>
    <row r="664" spans="1:50" x14ac:dyDescent="0.25">
      <c r="A664" s="36"/>
      <c r="B664" t="s">
        <v>120</v>
      </c>
      <c r="C664" s="36" t="str">
        <f>'Status Thresholds'!B655</f>
        <v>Seltas</v>
      </c>
      <c r="E664" s="36" t="str">
        <f t="shared" si="23"/>
        <v>Seltas</v>
      </c>
      <c r="F664" s="36" t="str">
        <f>IFERROR(VLOOKUP($E664,'Status Thresholds'!$E:$AS,1,FALSE),"")</f>
        <v/>
      </c>
      <c r="G664" t="s">
        <v>13</v>
      </c>
      <c r="H664" s="55" t="str">
        <f t="shared" si="24"/>
        <v>SeltasCrag 3</v>
      </c>
      <c r="I664" s="50">
        <v>4</v>
      </c>
      <c r="J664" s="36">
        <v>4</v>
      </c>
      <c r="K664" s="36">
        <v>4</v>
      </c>
      <c r="L664" s="36">
        <v>3</v>
      </c>
      <c r="M664" s="36">
        <v>0</v>
      </c>
      <c r="N664" s="50">
        <v>0</v>
      </c>
      <c r="O664" s="36">
        <v>0</v>
      </c>
      <c r="P664" s="36">
        <v>0</v>
      </c>
      <c r="Q664" s="36">
        <v>0</v>
      </c>
      <c r="R664" s="36">
        <v>0</v>
      </c>
      <c r="S664" s="50">
        <v>4</v>
      </c>
      <c r="T664" s="36">
        <v>4</v>
      </c>
      <c r="U664" s="36">
        <v>0</v>
      </c>
      <c r="V664" s="36">
        <v>4</v>
      </c>
      <c r="W664" s="36">
        <v>0</v>
      </c>
      <c r="X664" s="50">
        <v>0</v>
      </c>
      <c r="Y664" s="36">
        <v>0</v>
      </c>
      <c r="Z664" s="36">
        <v>0</v>
      </c>
      <c r="AA664" s="36">
        <v>0</v>
      </c>
      <c r="AB664" s="36">
        <v>0</v>
      </c>
      <c r="AC664" s="50">
        <v>3</v>
      </c>
      <c r="AD664" s="36">
        <v>0</v>
      </c>
      <c r="AE664" s="36">
        <v>3</v>
      </c>
      <c r="AF664" s="36">
        <v>0</v>
      </c>
      <c r="AG664" s="36">
        <v>0</v>
      </c>
      <c r="AH664" s="50">
        <v>3</v>
      </c>
      <c r="AI664" s="36">
        <v>0</v>
      </c>
      <c r="AJ664" s="36">
        <v>3</v>
      </c>
      <c r="AK664" s="36">
        <v>0</v>
      </c>
      <c r="AL664" s="36">
        <v>0</v>
      </c>
      <c r="AM664" s="50">
        <v>0</v>
      </c>
      <c r="AN664" s="36">
        <v>0</v>
      </c>
      <c r="AO664" s="36">
        <v>2</v>
      </c>
      <c r="AP664" s="36">
        <v>2</v>
      </c>
      <c r="AQ664" s="36">
        <v>0</v>
      </c>
      <c r="AR664" s="50">
        <v>0</v>
      </c>
      <c r="AS664" s="36">
        <v>0</v>
      </c>
      <c r="AT664" s="36">
        <v>0</v>
      </c>
      <c r="AU664" s="36">
        <v>0</v>
      </c>
      <c r="AV664" s="36">
        <v>0</v>
      </c>
      <c r="AW664">
        <v>0</v>
      </c>
      <c r="AX664">
        <v>0</v>
      </c>
    </row>
    <row r="665" spans="1:50" x14ac:dyDescent="0.25">
      <c r="A665" s="36"/>
      <c r="B665" t="s">
        <v>120</v>
      </c>
      <c r="C665" s="36" t="str">
        <f>'Status Thresholds'!B656</f>
        <v>Seltas</v>
      </c>
      <c r="E665" s="36" t="str">
        <f t="shared" si="23"/>
        <v>Seltas</v>
      </c>
      <c r="F665" s="36" t="str">
        <f>IFERROR(VLOOKUP($E665,'Status Thresholds'!$E:$AS,1,FALSE),"")</f>
        <v/>
      </c>
      <c r="G665" t="s">
        <v>12</v>
      </c>
      <c r="H665" s="55" t="str">
        <f t="shared" si="24"/>
        <v>SeltasCrag 2</v>
      </c>
      <c r="I665" s="50">
        <v>0</v>
      </c>
      <c r="J665" s="36">
        <v>0</v>
      </c>
      <c r="K665" s="36">
        <v>0</v>
      </c>
      <c r="L665" s="36">
        <v>3</v>
      </c>
      <c r="M665" s="36">
        <v>0</v>
      </c>
      <c r="N665" s="50">
        <v>0</v>
      </c>
      <c r="O665" s="36">
        <v>0</v>
      </c>
      <c r="P665" s="36">
        <v>0</v>
      </c>
      <c r="Q665" s="36">
        <v>0</v>
      </c>
      <c r="R665" s="36">
        <v>0</v>
      </c>
      <c r="S665" s="50">
        <v>0</v>
      </c>
      <c r="T665" s="36">
        <v>0</v>
      </c>
      <c r="U665" s="36">
        <v>2</v>
      </c>
      <c r="V665" s="36">
        <v>1</v>
      </c>
      <c r="W665" s="36">
        <v>0</v>
      </c>
      <c r="X665" s="50">
        <v>0</v>
      </c>
      <c r="Y665" s="36">
        <v>0</v>
      </c>
      <c r="Z665" s="36">
        <v>0</v>
      </c>
      <c r="AA665" s="36">
        <v>0</v>
      </c>
      <c r="AB665" s="36">
        <v>0</v>
      </c>
      <c r="AC665" s="50">
        <v>0</v>
      </c>
      <c r="AD665" s="36">
        <v>2</v>
      </c>
      <c r="AE665" s="36">
        <v>2</v>
      </c>
      <c r="AF665" s="36">
        <v>4</v>
      </c>
      <c r="AG665" s="36">
        <v>0</v>
      </c>
      <c r="AH665" s="50">
        <v>0</v>
      </c>
      <c r="AI665" s="36">
        <v>2</v>
      </c>
      <c r="AJ665" s="36">
        <v>2</v>
      </c>
      <c r="AK665" s="36">
        <v>4</v>
      </c>
      <c r="AL665" s="36">
        <v>0</v>
      </c>
      <c r="AM665" s="50">
        <v>1</v>
      </c>
      <c r="AN665" s="36">
        <v>1</v>
      </c>
      <c r="AO665" s="36">
        <v>0</v>
      </c>
      <c r="AP665" s="36">
        <v>0</v>
      </c>
      <c r="AQ665" s="36">
        <v>0</v>
      </c>
      <c r="AR665" s="50">
        <v>0</v>
      </c>
      <c r="AS665" s="36">
        <v>0</v>
      </c>
      <c r="AT665" s="36">
        <v>0</v>
      </c>
      <c r="AU665" s="36">
        <v>0</v>
      </c>
      <c r="AV665" s="36">
        <v>0</v>
      </c>
      <c r="AW665">
        <v>0</v>
      </c>
      <c r="AX665">
        <v>0</v>
      </c>
    </row>
    <row r="666" spans="1:50" x14ac:dyDescent="0.25">
      <c r="A666" s="36"/>
      <c r="B666" t="s">
        <v>120</v>
      </c>
      <c r="C666" s="36" t="str">
        <f>'Status Thresholds'!B657</f>
        <v>Seltas</v>
      </c>
      <c r="E666" s="36" t="str">
        <f t="shared" si="23"/>
        <v>Seltas</v>
      </c>
      <c r="F666" s="36" t="str">
        <f>IFERROR(VLOOKUP($E666,'Status Thresholds'!$E:$AS,1,FALSE),"")</f>
        <v/>
      </c>
      <c r="G666" t="s">
        <v>11</v>
      </c>
      <c r="H666" s="55" t="str">
        <f t="shared" si="24"/>
        <v>SeltasCrag 1</v>
      </c>
      <c r="I666" s="50">
        <v>1</v>
      </c>
      <c r="J666" s="36">
        <v>2</v>
      </c>
      <c r="K666" s="36">
        <v>3</v>
      </c>
      <c r="L666" s="36">
        <v>2</v>
      </c>
      <c r="M666" s="36">
        <v>0</v>
      </c>
      <c r="N666" s="50">
        <v>0</v>
      </c>
      <c r="O666" s="36">
        <v>0</v>
      </c>
      <c r="P666" s="36">
        <v>0</v>
      </c>
      <c r="Q666" s="36">
        <v>0</v>
      </c>
      <c r="R666" s="36">
        <v>0</v>
      </c>
      <c r="S666" s="50">
        <v>0</v>
      </c>
      <c r="T666" s="36">
        <v>1</v>
      </c>
      <c r="U666" s="36">
        <v>0</v>
      </c>
      <c r="V666" s="36">
        <v>2</v>
      </c>
      <c r="W666" s="36">
        <v>0</v>
      </c>
      <c r="X666" s="50">
        <v>0</v>
      </c>
      <c r="Y666" s="36">
        <v>0</v>
      </c>
      <c r="Z666" s="36">
        <v>0</v>
      </c>
      <c r="AA666" s="36">
        <v>0</v>
      </c>
      <c r="AB666" s="36">
        <v>0</v>
      </c>
      <c r="AC666" s="50">
        <v>2</v>
      </c>
      <c r="AD666" s="36">
        <v>0</v>
      </c>
      <c r="AE666" s="36">
        <v>3</v>
      </c>
      <c r="AF666" s="36">
        <v>1</v>
      </c>
      <c r="AG666" s="36">
        <v>0</v>
      </c>
      <c r="AH666" s="50">
        <v>2</v>
      </c>
      <c r="AI666" s="36">
        <v>0</v>
      </c>
      <c r="AJ666" s="36">
        <v>3</v>
      </c>
      <c r="AK666" s="36">
        <v>1</v>
      </c>
      <c r="AL666" s="36">
        <v>0</v>
      </c>
      <c r="AM666" s="50">
        <v>0</v>
      </c>
      <c r="AN666" s="36">
        <v>1</v>
      </c>
      <c r="AO666" s="36">
        <v>0</v>
      </c>
      <c r="AP666" s="36">
        <v>1</v>
      </c>
      <c r="AQ666" s="36">
        <v>0</v>
      </c>
      <c r="AR666" s="50">
        <v>0</v>
      </c>
      <c r="AS666" s="36">
        <v>0</v>
      </c>
      <c r="AT666" s="36">
        <v>0</v>
      </c>
      <c r="AU666" s="36">
        <v>0</v>
      </c>
      <c r="AV666" s="36">
        <v>1</v>
      </c>
      <c r="AW666">
        <v>0</v>
      </c>
      <c r="AX666">
        <v>0</v>
      </c>
    </row>
    <row r="667" spans="1:50" x14ac:dyDescent="0.25">
      <c r="A667" s="36"/>
      <c r="B667" t="s">
        <v>119</v>
      </c>
      <c r="C667" s="36" t="str">
        <f>'Status Thresholds'!B658</f>
        <v>Seltas</v>
      </c>
      <c r="E667" s="36" t="str">
        <f t="shared" si="23"/>
        <v>Seltas</v>
      </c>
      <c r="F667" s="36" t="str">
        <f>IFERROR(VLOOKUP($E667,'Status Thresholds'!$E:$AS,1,FALSE),"")</f>
        <v/>
      </c>
      <c r="G667" s="36" t="s">
        <v>21</v>
      </c>
      <c r="H667" s="55" t="str">
        <f t="shared" si="24"/>
        <v>SeltasTriblast</v>
      </c>
      <c r="I667" s="50">
        <v>1</v>
      </c>
      <c r="J667" s="36">
        <v>0</v>
      </c>
      <c r="K667" s="36">
        <v>2</v>
      </c>
      <c r="L667" s="36">
        <v>0</v>
      </c>
      <c r="M667" s="36">
        <v>0</v>
      </c>
      <c r="N667" s="50">
        <v>0</v>
      </c>
      <c r="O667" s="36">
        <v>0</v>
      </c>
      <c r="P667" s="36">
        <v>0</v>
      </c>
      <c r="Q667" s="36">
        <v>0</v>
      </c>
      <c r="R667" s="36">
        <v>0</v>
      </c>
      <c r="S667" s="50">
        <v>0</v>
      </c>
      <c r="T667" s="36">
        <v>1</v>
      </c>
      <c r="U667" s="36">
        <v>0</v>
      </c>
      <c r="V667" s="36">
        <v>0</v>
      </c>
      <c r="W667" s="36">
        <v>0</v>
      </c>
      <c r="X667" s="50">
        <v>0</v>
      </c>
      <c r="Y667" s="36">
        <v>0</v>
      </c>
      <c r="Z667" s="36">
        <v>0</v>
      </c>
      <c r="AA667" s="36">
        <v>0</v>
      </c>
      <c r="AB667" s="36">
        <v>0</v>
      </c>
      <c r="AC667" s="50">
        <v>1</v>
      </c>
      <c r="AD667" s="36">
        <v>0</v>
      </c>
      <c r="AE667" s="36">
        <v>0</v>
      </c>
      <c r="AF667" s="36">
        <v>2</v>
      </c>
      <c r="AG667" s="36">
        <v>0</v>
      </c>
      <c r="AH667" s="50">
        <v>1</v>
      </c>
      <c r="AI667" s="36">
        <v>0</v>
      </c>
      <c r="AJ667" s="36">
        <v>0</v>
      </c>
      <c r="AK667" s="36">
        <v>2</v>
      </c>
      <c r="AL667" s="36">
        <v>0</v>
      </c>
      <c r="AM667" s="50">
        <v>1</v>
      </c>
      <c r="AN667" s="36">
        <v>0</v>
      </c>
      <c r="AO667" s="36">
        <v>0</v>
      </c>
      <c r="AP667" s="36">
        <v>2</v>
      </c>
      <c r="AQ667" s="36">
        <v>0</v>
      </c>
      <c r="AR667" s="50">
        <v>0</v>
      </c>
      <c r="AS667" s="36">
        <v>0</v>
      </c>
      <c r="AT667" s="36">
        <v>0</v>
      </c>
      <c r="AU667" s="36">
        <v>0</v>
      </c>
      <c r="AV667" s="36">
        <v>0</v>
      </c>
      <c r="AW667">
        <v>0</v>
      </c>
      <c r="AX667">
        <v>0</v>
      </c>
    </row>
    <row r="668" spans="1:50" x14ac:dyDescent="0.25">
      <c r="A668" s="36"/>
      <c r="B668" t="s">
        <v>119</v>
      </c>
      <c r="C668" s="36" t="str">
        <f>'Status Thresholds'!B659</f>
        <v>Seltas</v>
      </c>
      <c r="E668" s="36" t="str">
        <f t="shared" si="23"/>
        <v>Seltas</v>
      </c>
      <c r="F668" s="36" t="str">
        <f>IFERROR(VLOOKUP($E668,'Status Thresholds'!$E:$AS,1,FALSE),"")</f>
        <v/>
      </c>
      <c r="G668" t="s">
        <v>13</v>
      </c>
      <c r="H668" s="55" t="str">
        <f t="shared" si="24"/>
        <v>SeltasCrag 3</v>
      </c>
      <c r="I668" s="50">
        <v>1</v>
      </c>
      <c r="J668" s="36">
        <v>2</v>
      </c>
      <c r="K668" s="36">
        <v>1</v>
      </c>
      <c r="L668" s="36">
        <v>3</v>
      </c>
      <c r="M668" s="36">
        <v>0</v>
      </c>
      <c r="N668" s="50">
        <v>0</v>
      </c>
      <c r="O668" s="36">
        <v>0</v>
      </c>
      <c r="P668" s="36">
        <v>0</v>
      </c>
      <c r="Q668" s="36">
        <v>0</v>
      </c>
      <c r="R668" s="36">
        <v>0</v>
      </c>
      <c r="S668" s="50">
        <v>1</v>
      </c>
      <c r="T668" s="36">
        <v>1</v>
      </c>
      <c r="U668" s="36">
        <v>1</v>
      </c>
      <c r="V668" s="36">
        <v>1</v>
      </c>
      <c r="W668" s="36">
        <v>0</v>
      </c>
      <c r="X668" s="50">
        <v>0</v>
      </c>
      <c r="Y668" s="36">
        <v>0</v>
      </c>
      <c r="Z668" s="36">
        <v>0</v>
      </c>
      <c r="AA668" s="36">
        <v>0</v>
      </c>
      <c r="AB668" s="36">
        <v>0</v>
      </c>
      <c r="AC668" s="50">
        <v>0</v>
      </c>
      <c r="AD668" s="36">
        <v>1</v>
      </c>
      <c r="AE668" s="36">
        <v>3</v>
      </c>
      <c r="AF668" s="36">
        <v>3</v>
      </c>
      <c r="AG668" s="36">
        <v>0</v>
      </c>
      <c r="AH668" s="50">
        <v>0</v>
      </c>
      <c r="AI668" s="36">
        <v>1</v>
      </c>
      <c r="AJ668" s="36">
        <v>3</v>
      </c>
      <c r="AK668" s="36">
        <v>3</v>
      </c>
      <c r="AL668" s="36">
        <v>0</v>
      </c>
      <c r="AM668" s="50">
        <v>0</v>
      </c>
      <c r="AN668" s="36">
        <v>1</v>
      </c>
      <c r="AO668" s="36">
        <v>1</v>
      </c>
      <c r="AP668" s="36">
        <v>0</v>
      </c>
      <c r="AQ668" s="36">
        <v>0</v>
      </c>
      <c r="AR668" s="50">
        <v>0</v>
      </c>
      <c r="AS668" s="36">
        <v>0</v>
      </c>
      <c r="AT668" s="36">
        <v>0</v>
      </c>
      <c r="AU668" s="36">
        <v>0</v>
      </c>
      <c r="AV668" s="36">
        <v>0</v>
      </c>
      <c r="AW668">
        <v>0</v>
      </c>
      <c r="AX668">
        <v>0</v>
      </c>
    </row>
    <row r="669" spans="1:50" x14ac:dyDescent="0.25">
      <c r="A669" s="36"/>
      <c r="B669" t="s">
        <v>119</v>
      </c>
      <c r="C669" s="36" t="str">
        <f>'Status Thresholds'!B660</f>
        <v>Seltas</v>
      </c>
      <c r="E669" s="36" t="str">
        <f t="shared" si="23"/>
        <v>Seltas</v>
      </c>
      <c r="F669" s="36" t="str">
        <f>IFERROR(VLOOKUP($E669,'Status Thresholds'!$E:$AS,1,FALSE),"")</f>
        <v/>
      </c>
      <c r="G669" t="s">
        <v>12</v>
      </c>
      <c r="H669" s="55" t="str">
        <f t="shared" si="24"/>
        <v>SeltasCrag 2</v>
      </c>
      <c r="I669" s="50">
        <v>1</v>
      </c>
      <c r="J669" s="36">
        <v>2</v>
      </c>
      <c r="K669" s="36">
        <v>0</v>
      </c>
      <c r="L669" s="36">
        <v>3</v>
      </c>
      <c r="M669" s="36">
        <v>0</v>
      </c>
      <c r="N669" s="50">
        <v>0</v>
      </c>
      <c r="O669" s="36">
        <v>0</v>
      </c>
      <c r="P669" s="36">
        <v>0</v>
      </c>
      <c r="Q669" s="36">
        <v>0</v>
      </c>
      <c r="R669" s="36">
        <v>0</v>
      </c>
      <c r="S669" s="50">
        <v>1</v>
      </c>
      <c r="T669" s="36">
        <v>1</v>
      </c>
      <c r="U669" s="36">
        <v>1</v>
      </c>
      <c r="V669" s="36">
        <v>1</v>
      </c>
      <c r="W669" s="36">
        <v>0</v>
      </c>
      <c r="X669" s="50">
        <v>0</v>
      </c>
      <c r="Y669" s="36">
        <v>0</v>
      </c>
      <c r="Z669" s="36">
        <v>0</v>
      </c>
      <c r="AA669" s="36">
        <v>0</v>
      </c>
      <c r="AB669" s="36">
        <v>0</v>
      </c>
      <c r="AC669" s="50">
        <v>1</v>
      </c>
      <c r="AD669" s="36">
        <v>1</v>
      </c>
      <c r="AE669" s="36">
        <v>2</v>
      </c>
      <c r="AF669" s="36">
        <v>0</v>
      </c>
      <c r="AG669" s="36">
        <v>0</v>
      </c>
      <c r="AH669" s="50">
        <v>1</v>
      </c>
      <c r="AI669" s="36">
        <v>1</v>
      </c>
      <c r="AJ669" s="36">
        <v>2</v>
      </c>
      <c r="AK669" s="36">
        <v>0</v>
      </c>
      <c r="AL669" s="36">
        <v>0</v>
      </c>
      <c r="AM669" s="50">
        <v>3</v>
      </c>
      <c r="AN669" s="36">
        <v>0</v>
      </c>
      <c r="AO669" s="36">
        <v>4</v>
      </c>
      <c r="AP669" s="36">
        <v>2</v>
      </c>
      <c r="AQ669" s="36">
        <v>0</v>
      </c>
      <c r="AR669" s="50">
        <v>0</v>
      </c>
      <c r="AS669" s="36">
        <v>0</v>
      </c>
      <c r="AT669" s="36">
        <v>0</v>
      </c>
      <c r="AU669" s="36">
        <v>0</v>
      </c>
      <c r="AV669" s="36">
        <v>0</v>
      </c>
      <c r="AW669">
        <v>0</v>
      </c>
      <c r="AX669">
        <v>0</v>
      </c>
    </row>
    <row r="670" spans="1:50" x14ac:dyDescent="0.25">
      <c r="A670" s="36"/>
      <c r="B670" t="s">
        <v>119</v>
      </c>
      <c r="C670" s="36" t="str">
        <f>'Status Thresholds'!B661</f>
        <v>Seltas</v>
      </c>
      <c r="E670" s="36" t="str">
        <f t="shared" si="23"/>
        <v>Seltas</v>
      </c>
      <c r="F670" s="36" t="str">
        <f>IFERROR(VLOOKUP($E670,'Status Thresholds'!$E:$AS,1,FALSE),"")</f>
        <v/>
      </c>
      <c r="G670" t="s">
        <v>11</v>
      </c>
      <c r="H670" s="55" t="str">
        <f t="shared" si="24"/>
        <v>SeltasCrag 1</v>
      </c>
      <c r="I670" s="50">
        <v>1</v>
      </c>
      <c r="J670" s="36">
        <v>2</v>
      </c>
      <c r="K670" s="36">
        <v>1</v>
      </c>
      <c r="L670" s="36">
        <v>1</v>
      </c>
      <c r="M670" s="36">
        <v>0</v>
      </c>
      <c r="N670" s="50">
        <v>0</v>
      </c>
      <c r="O670" s="36">
        <v>0</v>
      </c>
      <c r="P670" s="36">
        <v>0</v>
      </c>
      <c r="Q670" s="36">
        <v>0</v>
      </c>
      <c r="R670" s="36">
        <v>0</v>
      </c>
      <c r="S670" s="50">
        <v>3</v>
      </c>
      <c r="T670" s="36">
        <v>1</v>
      </c>
      <c r="U670" s="36">
        <v>5</v>
      </c>
      <c r="V670" s="36">
        <v>6</v>
      </c>
      <c r="W670" s="36">
        <v>0</v>
      </c>
      <c r="X670" s="50">
        <v>0</v>
      </c>
      <c r="Y670" s="36">
        <v>0</v>
      </c>
      <c r="Z670" s="36">
        <v>0</v>
      </c>
      <c r="AA670" s="36">
        <v>0</v>
      </c>
      <c r="AB670" s="36">
        <v>0</v>
      </c>
      <c r="AC670" s="50">
        <v>2</v>
      </c>
      <c r="AD670" s="36">
        <v>5</v>
      </c>
      <c r="AE670" s="36">
        <v>2</v>
      </c>
      <c r="AF670" s="36">
        <v>0</v>
      </c>
      <c r="AG670" s="36">
        <v>0</v>
      </c>
      <c r="AH670" s="50">
        <v>2</v>
      </c>
      <c r="AI670" s="36">
        <v>5</v>
      </c>
      <c r="AJ670" s="36">
        <v>2</v>
      </c>
      <c r="AK670" s="36">
        <v>0</v>
      </c>
      <c r="AL670" s="36">
        <v>0</v>
      </c>
      <c r="AM670" s="50">
        <v>0</v>
      </c>
      <c r="AN670" s="36">
        <v>6</v>
      </c>
      <c r="AO670" s="36">
        <v>2</v>
      </c>
      <c r="AP670" s="36">
        <v>1</v>
      </c>
      <c r="AQ670" s="36">
        <v>0</v>
      </c>
      <c r="AR670" s="50">
        <v>0</v>
      </c>
      <c r="AS670" s="36">
        <v>0</v>
      </c>
      <c r="AT670" s="36">
        <v>0</v>
      </c>
      <c r="AU670" s="36">
        <v>0</v>
      </c>
      <c r="AV670" s="36">
        <v>1</v>
      </c>
      <c r="AW670">
        <v>0</v>
      </c>
      <c r="AX670">
        <v>0</v>
      </c>
    </row>
    <row r="671" spans="1:50" x14ac:dyDescent="0.25">
      <c r="A671" s="36"/>
      <c r="B671" t="s">
        <v>121</v>
      </c>
      <c r="C671" s="36" t="str">
        <f>'Status Thresholds'!B662</f>
        <v>Seltas Queen</v>
      </c>
      <c r="D671" t="s">
        <v>14</v>
      </c>
      <c r="E671" s="36" t="str">
        <f t="shared" si="23"/>
        <v>Seltas QueenKO</v>
      </c>
      <c r="F671" s="36" t="str">
        <f>IFERROR(VLOOKUP($E671,'Status Thresholds'!$E:$AS,1,FALSE),"")</f>
        <v>Seltas QueenKO</v>
      </c>
      <c r="H671" s="55" t="str">
        <f t="shared" si="24"/>
        <v>Seltas QueenKO</v>
      </c>
      <c r="I671" s="50">
        <f>VLOOKUP($F671,'Status Thresholds'!$E:$AS,2,FALSE)</f>
        <v>156</v>
      </c>
      <c r="J671" s="36">
        <f>VLOOKUP($F671,'Status Thresholds'!$E:$AS,3,FALSE)</f>
        <v>260</v>
      </c>
      <c r="K671" s="36">
        <f>VLOOKUP($F671,'Status Thresholds'!$E:$AS,4,FALSE)</f>
        <v>364</v>
      </c>
      <c r="L671" s="36">
        <f>VLOOKUP($F671,'Status Thresholds'!$E:$AS,5,FALSE)</f>
        <v>468</v>
      </c>
      <c r="M671" s="36">
        <f>VLOOKUP($F671,'Status Thresholds'!$E:$AS,6,FALSE)</f>
        <v>0</v>
      </c>
      <c r="N671" s="50">
        <f>VLOOKUP($F671,'Status Thresholds'!$E:$AS,7,FALSE)</f>
        <v>0</v>
      </c>
      <c r="O671" s="36">
        <f>VLOOKUP($F671,'Status Thresholds'!$E:$AS,8,FALSE)</f>
        <v>0</v>
      </c>
      <c r="P671" s="36">
        <f>VLOOKUP($F671,'Status Thresholds'!$E:$AS,9,FALSE)</f>
        <v>0</v>
      </c>
      <c r="Q671" s="36">
        <f>VLOOKUP($F671,'Status Thresholds'!$E:$AS,10,FALSE)</f>
        <v>0</v>
      </c>
      <c r="R671" s="36">
        <f>VLOOKUP($F671,'Status Thresholds'!$E:$AS,11,FALSE)</f>
        <v>0</v>
      </c>
      <c r="S671" s="50">
        <f>VLOOKUP($F671,'Status Thresholds'!$E:$AS,12,FALSE)</f>
        <v>280</v>
      </c>
      <c r="T671" s="36">
        <f>VLOOKUP($F671,'Status Thresholds'!$E:$AS,13,FALSE)</f>
        <v>490</v>
      </c>
      <c r="U671" s="36">
        <f>VLOOKUP($F671,'Status Thresholds'!$E:$AS,14,FALSE)</f>
        <v>700</v>
      </c>
      <c r="V671" s="36">
        <f>VLOOKUP($F671,'Status Thresholds'!$E:$AS,15,FALSE)</f>
        <v>910</v>
      </c>
      <c r="W671" s="36">
        <f>VLOOKUP($F671,'Status Thresholds'!$E:$AS,16,FALSE)</f>
        <v>0</v>
      </c>
      <c r="X671" s="50">
        <f>VLOOKUP($F671,'Status Thresholds'!$E:$AS,17,FALSE)</f>
        <v>0</v>
      </c>
      <c r="Y671" s="36">
        <f>VLOOKUP($F671,'Status Thresholds'!$E:$AS,18,FALSE)</f>
        <v>0</v>
      </c>
      <c r="Z671" s="36">
        <f>VLOOKUP($F671,'Status Thresholds'!$E:$AS,19,FALSE)</f>
        <v>0</v>
      </c>
      <c r="AA671" s="36">
        <f>VLOOKUP($F671,'Status Thresholds'!$E:$AS,20,FALSE)</f>
        <v>0</v>
      </c>
      <c r="AB671" s="36">
        <f>VLOOKUP($F671,'Status Thresholds'!$E:$AS,21,FALSE)</f>
        <v>0</v>
      </c>
      <c r="AC671" s="50">
        <f>VLOOKUP($F671,'Status Thresholds'!$E:$AS,22,FALSE)</f>
        <v>300</v>
      </c>
      <c r="AD671" s="36">
        <f>VLOOKUP($F671,'Status Thresholds'!$E:$AS,23,FALSE)</f>
        <v>525</v>
      </c>
      <c r="AE671" s="36">
        <f>VLOOKUP($F671,'Status Thresholds'!$E:$AS,24,FALSE)</f>
        <v>750</v>
      </c>
      <c r="AF671" s="36">
        <f>VLOOKUP($F671,'Status Thresholds'!$E:$AS,25,FALSE)</f>
        <v>975</v>
      </c>
      <c r="AG671" s="36">
        <f>VLOOKUP($F671,'Status Thresholds'!$E:$AS,26,FALSE)</f>
        <v>0</v>
      </c>
      <c r="AH671" s="50">
        <f>VLOOKUP($F671,'Status Thresholds'!$E:$AS,27,FALSE)</f>
        <v>0</v>
      </c>
      <c r="AI671" s="36">
        <f>VLOOKUP($F671,'Status Thresholds'!$E:$AS,28,FALSE)</f>
        <v>0</v>
      </c>
      <c r="AJ671" s="36">
        <f>VLOOKUP($F671,'Status Thresholds'!$E:$AS,29,FALSE)</f>
        <v>0</v>
      </c>
      <c r="AK671" s="36">
        <f>VLOOKUP($F671,'Status Thresholds'!$E:$AS,30,FALSE)</f>
        <v>0</v>
      </c>
      <c r="AL671" s="36">
        <f>VLOOKUP($F671,'Status Thresholds'!$E:$AS,31,FALSE)</f>
        <v>0</v>
      </c>
      <c r="AM671" s="50">
        <f>VLOOKUP($F671,'Status Thresholds'!$E:$AS,32,FALSE)</f>
        <v>400</v>
      </c>
      <c r="AN671" s="36">
        <f>VLOOKUP($F671,'Status Thresholds'!$E:$AS,33,FALSE)</f>
        <v>700</v>
      </c>
      <c r="AO671" s="36">
        <f>VLOOKUP($F671,'Status Thresholds'!$E:$AS,34,FALSE)</f>
        <v>1000</v>
      </c>
      <c r="AP671" s="36">
        <f>VLOOKUP($F671,'Status Thresholds'!$E:$AS,35,FALSE)</f>
        <v>1300</v>
      </c>
      <c r="AQ671" s="36">
        <f>VLOOKUP($F671,'Status Thresholds'!$E:$AS,36,FALSE)</f>
        <v>0</v>
      </c>
      <c r="AR671" s="50">
        <f>VLOOKUP($F671,'Status Thresholds'!$E:$AS,37,FALSE)</f>
        <v>0</v>
      </c>
      <c r="AS671" s="36">
        <f>VLOOKUP($F671,'Status Thresholds'!$E:$AS,38,FALSE)</f>
        <v>0</v>
      </c>
      <c r="AT671" s="36">
        <f>VLOOKUP($F671,'Status Thresholds'!$E:$AS,39,FALSE)</f>
        <v>0</v>
      </c>
      <c r="AU671" s="36">
        <f>VLOOKUP($F671,'Status Thresholds'!$E:$AS,40,FALSE)</f>
        <v>0</v>
      </c>
      <c r="AV671" s="36">
        <f>VLOOKUP($F671,'Status Thresholds'!$E:$AS,41,FALSE)</f>
        <v>7</v>
      </c>
      <c r="AW671">
        <v>0</v>
      </c>
      <c r="AX671">
        <v>0</v>
      </c>
    </row>
    <row r="672" spans="1:50" x14ac:dyDescent="0.25">
      <c r="A672" s="36"/>
      <c r="B672" t="s">
        <v>120</v>
      </c>
      <c r="C672" s="36" t="str">
        <f>'Status Thresholds'!B663</f>
        <v>Seltas Queen</v>
      </c>
      <c r="E672" s="36" t="str">
        <f t="shared" si="23"/>
        <v>Seltas Queen</v>
      </c>
      <c r="F672" s="36" t="str">
        <f>IFERROR(VLOOKUP($E672,'Status Thresholds'!$E:$AS,1,FALSE),"")</f>
        <v/>
      </c>
      <c r="G672" t="s">
        <v>21</v>
      </c>
      <c r="H672" s="55" t="str">
        <f t="shared" si="24"/>
        <v>Seltas QueenTriblast</v>
      </c>
      <c r="I672" s="50">
        <v>0</v>
      </c>
      <c r="J672" s="36">
        <v>2</v>
      </c>
      <c r="K672" s="36">
        <v>2</v>
      </c>
      <c r="L672" s="36">
        <v>2</v>
      </c>
      <c r="M672" s="36">
        <v>0</v>
      </c>
      <c r="N672" s="50">
        <v>0</v>
      </c>
      <c r="O672" s="36">
        <v>0</v>
      </c>
      <c r="P672" s="36">
        <v>0</v>
      </c>
      <c r="Q672" s="36">
        <v>0</v>
      </c>
      <c r="R672" s="36">
        <v>0</v>
      </c>
      <c r="S672" s="50">
        <v>2</v>
      </c>
      <c r="T672" s="36">
        <v>1</v>
      </c>
      <c r="U672" s="36">
        <v>2</v>
      </c>
      <c r="V672" s="36">
        <v>2</v>
      </c>
      <c r="W672" s="36">
        <v>0</v>
      </c>
      <c r="X672" s="50">
        <v>0</v>
      </c>
      <c r="Y672" s="36">
        <v>0</v>
      </c>
      <c r="Z672" s="36">
        <v>0</v>
      </c>
      <c r="AA672" s="36">
        <v>0</v>
      </c>
      <c r="AB672" s="36">
        <v>0</v>
      </c>
      <c r="AC672" s="50">
        <v>2</v>
      </c>
      <c r="AD672" s="36">
        <v>1</v>
      </c>
      <c r="AE672" s="36">
        <v>2</v>
      </c>
      <c r="AF672" s="36">
        <v>2</v>
      </c>
      <c r="AG672" s="36">
        <v>0</v>
      </c>
      <c r="AH672" s="50">
        <v>0</v>
      </c>
      <c r="AI672" s="36">
        <v>0</v>
      </c>
      <c r="AJ672" s="36">
        <v>0</v>
      </c>
      <c r="AK672" s="36">
        <v>0</v>
      </c>
      <c r="AL672" s="36">
        <v>0</v>
      </c>
      <c r="AM672" s="50">
        <v>2</v>
      </c>
      <c r="AN672" s="36">
        <v>2</v>
      </c>
      <c r="AO672" s="36">
        <v>2</v>
      </c>
      <c r="AP672" s="36">
        <v>2</v>
      </c>
      <c r="AQ672" s="36">
        <v>0</v>
      </c>
      <c r="AR672" s="50">
        <v>0</v>
      </c>
      <c r="AS672" s="36">
        <v>0</v>
      </c>
      <c r="AT672" s="36">
        <v>0</v>
      </c>
      <c r="AU672" s="36">
        <v>0</v>
      </c>
      <c r="AV672" s="36">
        <v>0</v>
      </c>
      <c r="AW672">
        <v>0</v>
      </c>
    </row>
    <row r="673" spans="1:50" x14ac:dyDescent="0.25">
      <c r="A673" s="36"/>
      <c r="B673" t="s">
        <v>120</v>
      </c>
      <c r="C673" s="36" t="str">
        <f>'Status Thresholds'!B664</f>
        <v>Seltas Queen</v>
      </c>
      <c r="E673" s="36" t="str">
        <f t="shared" si="23"/>
        <v>Seltas Queen</v>
      </c>
      <c r="F673" s="36" t="str">
        <f>IFERROR(VLOOKUP($E673,'Status Thresholds'!$E:$AS,1,FALSE),"")</f>
        <v/>
      </c>
      <c r="G673" t="s">
        <v>13</v>
      </c>
      <c r="H673" s="55" t="str">
        <f t="shared" si="24"/>
        <v>Seltas QueenCrag 3</v>
      </c>
      <c r="I673" s="50">
        <v>4</v>
      </c>
      <c r="J673" s="36">
        <v>2</v>
      </c>
      <c r="K673" s="36">
        <v>2</v>
      </c>
      <c r="L673" s="36">
        <v>2</v>
      </c>
      <c r="M673" s="36">
        <v>0</v>
      </c>
      <c r="N673" s="50">
        <v>0</v>
      </c>
      <c r="O673" s="36">
        <v>0</v>
      </c>
      <c r="P673" s="36">
        <v>0</v>
      </c>
      <c r="Q673" s="36">
        <v>0</v>
      </c>
      <c r="R673" s="36">
        <v>0</v>
      </c>
      <c r="S673" s="50">
        <v>2</v>
      </c>
      <c r="T673" s="36">
        <v>3</v>
      </c>
      <c r="U673" s="36">
        <v>4</v>
      </c>
      <c r="V673" s="36">
        <v>4</v>
      </c>
      <c r="W673" s="36">
        <v>0</v>
      </c>
      <c r="X673" s="50">
        <v>0</v>
      </c>
      <c r="Y673" s="36">
        <v>0</v>
      </c>
      <c r="Z673" s="36">
        <v>0</v>
      </c>
      <c r="AA673" s="36">
        <v>0</v>
      </c>
      <c r="AB673" s="36">
        <v>0</v>
      </c>
      <c r="AC673" s="50">
        <v>3</v>
      </c>
      <c r="AD673" s="36">
        <v>4</v>
      </c>
      <c r="AE673" s="36">
        <v>4</v>
      </c>
      <c r="AF673" s="36">
        <v>4</v>
      </c>
      <c r="AG673" s="36">
        <v>0</v>
      </c>
      <c r="AH673" s="50">
        <v>0</v>
      </c>
      <c r="AI673" s="36">
        <v>0</v>
      </c>
      <c r="AJ673" s="36">
        <v>0</v>
      </c>
      <c r="AK673" s="36">
        <v>0</v>
      </c>
      <c r="AL673" s="36">
        <v>0</v>
      </c>
      <c r="AM673" s="50">
        <v>4</v>
      </c>
      <c r="AN673" s="36">
        <v>4</v>
      </c>
      <c r="AO673" s="36">
        <v>4</v>
      </c>
      <c r="AP673" s="36">
        <v>4</v>
      </c>
      <c r="AQ673" s="36">
        <v>0</v>
      </c>
      <c r="AR673" s="50">
        <v>0</v>
      </c>
      <c r="AS673" s="36">
        <v>0</v>
      </c>
      <c r="AT673" s="36">
        <v>0</v>
      </c>
      <c r="AU673" s="36">
        <v>0</v>
      </c>
      <c r="AV673" s="36">
        <v>0</v>
      </c>
      <c r="AW673">
        <v>0</v>
      </c>
      <c r="AX673">
        <v>0</v>
      </c>
    </row>
    <row r="674" spans="1:50" x14ac:dyDescent="0.25">
      <c r="A674" s="36"/>
      <c r="B674" t="s">
        <v>120</v>
      </c>
      <c r="C674" s="36" t="str">
        <f>'Status Thresholds'!B665</f>
        <v>Seltas Queen</v>
      </c>
      <c r="E674" s="36" t="str">
        <f t="shared" si="23"/>
        <v>Seltas Queen</v>
      </c>
      <c r="F674" s="36" t="str">
        <f>IFERROR(VLOOKUP($E674,'Status Thresholds'!$E:$AS,1,FALSE),"")</f>
        <v/>
      </c>
      <c r="G674" t="s">
        <v>12</v>
      </c>
      <c r="H674" s="55" t="str">
        <f t="shared" si="24"/>
        <v>Seltas QueenCrag 2</v>
      </c>
      <c r="I674" s="50">
        <v>0</v>
      </c>
      <c r="J674" s="36">
        <v>1</v>
      </c>
      <c r="K674" s="36">
        <v>2</v>
      </c>
      <c r="L674" s="36">
        <v>3</v>
      </c>
      <c r="M674" s="36">
        <v>0</v>
      </c>
      <c r="N674" s="50">
        <v>0</v>
      </c>
      <c r="O674" s="36">
        <v>0</v>
      </c>
      <c r="P674" s="36">
        <v>0</v>
      </c>
      <c r="Q674" s="36">
        <v>0</v>
      </c>
      <c r="R674" s="36">
        <v>0</v>
      </c>
      <c r="S674" s="50">
        <v>0</v>
      </c>
      <c r="T674" s="36">
        <v>4</v>
      </c>
      <c r="U674" s="36">
        <v>4</v>
      </c>
      <c r="V674" s="36">
        <v>4</v>
      </c>
      <c r="W674" s="36">
        <v>0</v>
      </c>
      <c r="X674" s="50">
        <v>0</v>
      </c>
      <c r="Y674" s="36">
        <v>0</v>
      </c>
      <c r="Z674" s="36">
        <v>0</v>
      </c>
      <c r="AA674" s="36">
        <v>0</v>
      </c>
      <c r="AB674" s="36">
        <v>0</v>
      </c>
      <c r="AC674" s="50">
        <v>1</v>
      </c>
      <c r="AD674" s="36">
        <v>3</v>
      </c>
      <c r="AE674" s="36">
        <v>4</v>
      </c>
      <c r="AF674" s="36">
        <v>4</v>
      </c>
      <c r="AG674" s="36">
        <v>0</v>
      </c>
      <c r="AH674" s="50">
        <v>0</v>
      </c>
      <c r="AI674" s="36">
        <v>0</v>
      </c>
      <c r="AJ674" s="36">
        <v>0</v>
      </c>
      <c r="AK674" s="36">
        <v>0</v>
      </c>
      <c r="AL674" s="36">
        <v>0</v>
      </c>
      <c r="AM674" s="50">
        <v>3</v>
      </c>
      <c r="AN674" s="36">
        <v>4</v>
      </c>
      <c r="AO674" s="36">
        <v>4</v>
      </c>
      <c r="AP674" s="36">
        <v>4</v>
      </c>
      <c r="AQ674" s="36">
        <v>0</v>
      </c>
      <c r="AR674" s="50">
        <v>0</v>
      </c>
      <c r="AS674" s="36">
        <v>0</v>
      </c>
      <c r="AT674" s="36">
        <v>0</v>
      </c>
      <c r="AU674" s="36">
        <v>0</v>
      </c>
      <c r="AV674" s="36">
        <v>0</v>
      </c>
      <c r="AW674">
        <v>0</v>
      </c>
      <c r="AX674">
        <v>0</v>
      </c>
    </row>
    <row r="675" spans="1:50" x14ac:dyDescent="0.25">
      <c r="A675" s="36"/>
      <c r="B675" t="s">
        <v>120</v>
      </c>
      <c r="C675" s="36" t="str">
        <f>'Status Thresholds'!B666</f>
        <v>Seltas Queen</v>
      </c>
      <c r="E675" s="36" t="str">
        <f t="shared" si="23"/>
        <v>Seltas Queen</v>
      </c>
      <c r="F675" s="36" t="str">
        <f>IFERROR(VLOOKUP($E675,'Status Thresholds'!$E:$AS,1,FALSE),"")</f>
        <v/>
      </c>
      <c r="G675" t="s">
        <v>11</v>
      </c>
      <c r="H675" s="55" t="str">
        <f t="shared" si="24"/>
        <v>Seltas QueenCrag 1</v>
      </c>
      <c r="I675" s="50">
        <v>0</v>
      </c>
      <c r="J675" s="36">
        <v>0</v>
      </c>
      <c r="K675" s="36">
        <v>3</v>
      </c>
      <c r="L675" s="36">
        <v>6</v>
      </c>
      <c r="M675" s="36">
        <v>0</v>
      </c>
      <c r="N675" s="50">
        <v>0</v>
      </c>
      <c r="O675" s="36">
        <v>0</v>
      </c>
      <c r="P675" s="36">
        <v>0</v>
      </c>
      <c r="Q675" s="36">
        <v>0</v>
      </c>
      <c r="R675" s="36">
        <v>0</v>
      </c>
      <c r="S675" s="50">
        <v>2</v>
      </c>
      <c r="T675" s="36">
        <v>7</v>
      </c>
      <c r="U675" s="36">
        <v>8</v>
      </c>
      <c r="V675" s="36">
        <v>8</v>
      </c>
      <c r="W675" s="36">
        <v>0</v>
      </c>
      <c r="X675" s="50">
        <v>0</v>
      </c>
      <c r="Y675" s="36">
        <v>0</v>
      </c>
      <c r="Z675" s="36">
        <v>0</v>
      </c>
      <c r="AA675" s="36">
        <v>0</v>
      </c>
      <c r="AB675" s="36">
        <v>0</v>
      </c>
      <c r="AC675" s="50">
        <v>0</v>
      </c>
      <c r="AD675" s="36">
        <v>8</v>
      </c>
      <c r="AE675" s="36">
        <v>8</v>
      </c>
      <c r="AF675" s="36">
        <v>8</v>
      </c>
      <c r="AG675" s="36">
        <v>0</v>
      </c>
      <c r="AH675" s="50">
        <v>0</v>
      </c>
      <c r="AI675" s="36">
        <v>0</v>
      </c>
      <c r="AJ675" s="36">
        <v>0</v>
      </c>
      <c r="AK675" s="36">
        <v>0</v>
      </c>
      <c r="AL675" s="36">
        <v>0</v>
      </c>
      <c r="AM675" s="50">
        <v>0</v>
      </c>
      <c r="AN675" s="36">
        <v>8</v>
      </c>
      <c r="AO675" s="36">
        <v>8</v>
      </c>
      <c r="AP675" s="36">
        <v>8</v>
      </c>
      <c r="AQ675" s="36">
        <v>0</v>
      </c>
      <c r="AR675" s="50">
        <v>0</v>
      </c>
      <c r="AS675" s="36">
        <v>0</v>
      </c>
      <c r="AT675" s="36">
        <v>0</v>
      </c>
      <c r="AU675" s="36">
        <v>0</v>
      </c>
      <c r="AV675" s="36">
        <v>1</v>
      </c>
      <c r="AW675">
        <v>0</v>
      </c>
      <c r="AX675">
        <v>0</v>
      </c>
    </row>
    <row r="676" spans="1:50" x14ac:dyDescent="0.25">
      <c r="A676" s="36"/>
      <c r="B676" t="s">
        <v>119</v>
      </c>
      <c r="C676" s="36" t="str">
        <f>'Status Thresholds'!B667</f>
        <v>Seltas Queen</v>
      </c>
      <c r="E676" s="36" t="str">
        <f t="shared" si="23"/>
        <v>Seltas Queen</v>
      </c>
      <c r="F676" s="36" t="str">
        <f>IFERROR(VLOOKUP($E676,'Status Thresholds'!$E:$AS,1,FALSE),"")</f>
        <v/>
      </c>
      <c r="G676" t="s">
        <v>21</v>
      </c>
      <c r="H676" s="55" t="str">
        <f t="shared" si="24"/>
        <v>Seltas QueenTriblast</v>
      </c>
      <c r="I676" s="50">
        <v>0</v>
      </c>
      <c r="J676" s="36">
        <v>2</v>
      </c>
      <c r="K676" s="36">
        <v>1</v>
      </c>
      <c r="L676" s="36">
        <v>1</v>
      </c>
      <c r="M676" s="36">
        <v>0</v>
      </c>
      <c r="N676" s="50">
        <v>0</v>
      </c>
      <c r="O676" s="36">
        <v>0</v>
      </c>
      <c r="P676" s="36">
        <v>0</v>
      </c>
      <c r="Q676" s="36">
        <v>0</v>
      </c>
      <c r="R676" s="36">
        <v>0</v>
      </c>
      <c r="S676" s="50">
        <v>0</v>
      </c>
      <c r="T676" s="36">
        <v>1</v>
      </c>
      <c r="U676" s="36">
        <v>2</v>
      </c>
      <c r="V676" s="36">
        <v>2</v>
      </c>
      <c r="W676" s="36">
        <v>0</v>
      </c>
      <c r="X676" s="50">
        <v>0</v>
      </c>
      <c r="Y676" s="36">
        <v>0</v>
      </c>
      <c r="Z676" s="36">
        <v>0</v>
      </c>
      <c r="AA676" s="36">
        <v>0</v>
      </c>
      <c r="AB676" s="36">
        <v>0</v>
      </c>
      <c r="AC676" s="50">
        <v>1</v>
      </c>
      <c r="AD676" s="36">
        <v>2</v>
      </c>
      <c r="AE676" s="36">
        <v>2</v>
      </c>
      <c r="AF676" s="36">
        <v>2</v>
      </c>
      <c r="AG676" s="36">
        <v>0</v>
      </c>
      <c r="AH676" s="50">
        <v>0</v>
      </c>
      <c r="AI676" s="36">
        <v>0</v>
      </c>
      <c r="AJ676" s="36">
        <v>0</v>
      </c>
      <c r="AK676" s="36">
        <v>0</v>
      </c>
      <c r="AL676" s="36">
        <v>0</v>
      </c>
      <c r="AM676" s="50">
        <v>2</v>
      </c>
      <c r="AN676" s="36">
        <v>2</v>
      </c>
      <c r="AO676" s="36">
        <v>2</v>
      </c>
      <c r="AP676" s="36">
        <v>2</v>
      </c>
      <c r="AQ676" s="36">
        <v>0</v>
      </c>
      <c r="AR676" s="50">
        <v>0</v>
      </c>
      <c r="AS676" s="36">
        <v>0</v>
      </c>
      <c r="AT676" s="36">
        <v>0</v>
      </c>
      <c r="AU676" s="36">
        <v>0</v>
      </c>
      <c r="AV676" s="36">
        <v>0</v>
      </c>
      <c r="AW676">
        <v>0</v>
      </c>
      <c r="AX676">
        <v>0</v>
      </c>
    </row>
    <row r="677" spans="1:50" x14ac:dyDescent="0.25">
      <c r="A677" s="36"/>
      <c r="B677" t="s">
        <v>119</v>
      </c>
      <c r="C677" s="36" t="str">
        <f>'Status Thresholds'!B668</f>
        <v>Seltas Queen</v>
      </c>
      <c r="E677" s="36" t="str">
        <f t="shared" si="23"/>
        <v>Seltas Queen</v>
      </c>
      <c r="F677" s="36" t="str">
        <f>IFERROR(VLOOKUP($E677,'Status Thresholds'!$E:$AS,1,FALSE),"")</f>
        <v/>
      </c>
      <c r="G677" t="s">
        <v>13</v>
      </c>
      <c r="H677" s="55" t="str">
        <f t="shared" si="24"/>
        <v>Seltas QueenCrag 3</v>
      </c>
      <c r="I677" s="50">
        <v>1</v>
      </c>
      <c r="J677" s="36">
        <v>1</v>
      </c>
      <c r="K677" s="36">
        <v>2</v>
      </c>
      <c r="L677" s="36">
        <v>3</v>
      </c>
      <c r="M677" s="36">
        <v>0</v>
      </c>
      <c r="N677" s="50">
        <v>0</v>
      </c>
      <c r="O677" s="36">
        <v>0</v>
      </c>
      <c r="P677" s="36">
        <v>0</v>
      </c>
      <c r="Q677" s="36">
        <v>0</v>
      </c>
      <c r="R677" s="36">
        <v>0</v>
      </c>
      <c r="S677" s="50">
        <v>0</v>
      </c>
      <c r="T677" s="36">
        <v>2</v>
      </c>
      <c r="U677" s="36">
        <v>4</v>
      </c>
      <c r="V677" s="36">
        <v>4</v>
      </c>
      <c r="W677" s="36">
        <v>0</v>
      </c>
      <c r="X677" s="50">
        <v>0</v>
      </c>
      <c r="Y677" s="36">
        <v>0</v>
      </c>
      <c r="Z677" s="36">
        <v>0</v>
      </c>
      <c r="AA677" s="36">
        <v>0</v>
      </c>
      <c r="AB677" s="36">
        <v>0</v>
      </c>
      <c r="AC677" s="50">
        <v>3</v>
      </c>
      <c r="AD677" s="36">
        <v>4</v>
      </c>
      <c r="AE677" s="36">
        <v>4</v>
      </c>
      <c r="AF677" s="36">
        <v>4</v>
      </c>
      <c r="AG677" s="36">
        <v>0</v>
      </c>
      <c r="AH677" s="50">
        <v>0</v>
      </c>
      <c r="AI677" s="36">
        <v>0</v>
      </c>
      <c r="AJ677" s="36">
        <v>0</v>
      </c>
      <c r="AK677" s="36">
        <v>0</v>
      </c>
      <c r="AL677" s="36">
        <v>0</v>
      </c>
      <c r="AM677" s="50">
        <v>1</v>
      </c>
      <c r="AN677" s="36">
        <v>4</v>
      </c>
      <c r="AO677" s="36">
        <v>4</v>
      </c>
      <c r="AP677" s="36">
        <v>4</v>
      </c>
      <c r="AQ677" s="36">
        <v>0</v>
      </c>
      <c r="AR677" s="50">
        <v>0</v>
      </c>
      <c r="AS677" s="36">
        <v>0</v>
      </c>
      <c r="AT677" s="36">
        <v>0</v>
      </c>
      <c r="AU677" s="36">
        <v>0</v>
      </c>
      <c r="AV677" s="36">
        <v>0</v>
      </c>
      <c r="AW677">
        <v>0</v>
      </c>
      <c r="AX677">
        <v>0</v>
      </c>
    </row>
    <row r="678" spans="1:50" x14ac:dyDescent="0.25">
      <c r="A678" s="36"/>
      <c r="B678" t="s">
        <v>119</v>
      </c>
      <c r="C678" s="36" t="str">
        <f>'Status Thresholds'!B669</f>
        <v>Seltas Queen</v>
      </c>
      <c r="E678" s="36" t="str">
        <f t="shared" si="23"/>
        <v>Seltas Queen</v>
      </c>
      <c r="F678" s="36" t="str">
        <f>IFERROR(VLOOKUP($E678,'Status Thresholds'!$E:$AS,1,FALSE),"")</f>
        <v/>
      </c>
      <c r="G678" t="s">
        <v>12</v>
      </c>
      <c r="H678" s="55" t="str">
        <f t="shared" si="24"/>
        <v>Seltas QueenCrag 2</v>
      </c>
      <c r="I678" s="50">
        <v>1</v>
      </c>
      <c r="J678" s="36">
        <v>0</v>
      </c>
      <c r="K678" s="36">
        <v>1</v>
      </c>
      <c r="L678" s="36">
        <v>2</v>
      </c>
      <c r="M678" s="36">
        <v>0</v>
      </c>
      <c r="N678" s="50">
        <v>0</v>
      </c>
      <c r="O678" s="36">
        <v>0</v>
      </c>
      <c r="P678" s="36">
        <v>0</v>
      </c>
      <c r="Q678" s="36">
        <v>0</v>
      </c>
      <c r="R678" s="36">
        <v>0</v>
      </c>
      <c r="S678" s="50">
        <v>2</v>
      </c>
      <c r="T678" s="36">
        <v>4</v>
      </c>
      <c r="U678" s="36">
        <v>4</v>
      </c>
      <c r="V678" s="36">
        <v>4</v>
      </c>
      <c r="W678" s="36">
        <v>0</v>
      </c>
      <c r="X678" s="50">
        <v>0</v>
      </c>
      <c r="Y678" s="36">
        <v>0</v>
      </c>
      <c r="Z678" s="36">
        <v>0</v>
      </c>
      <c r="AA678" s="36">
        <v>0</v>
      </c>
      <c r="AB678" s="36">
        <v>0</v>
      </c>
      <c r="AC678" s="50">
        <v>1</v>
      </c>
      <c r="AD678" s="36">
        <v>0</v>
      </c>
      <c r="AE678" s="36">
        <v>4</v>
      </c>
      <c r="AF678" s="36">
        <v>4</v>
      </c>
      <c r="AG678" s="36">
        <v>0</v>
      </c>
      <c r="AH678" s="50">
        <v>0</v>
      </c>
      <c r="AI678" s="36">
        <v>0</v>
      </c>
      <c r="AJ678" s="36">
        <v>0</v>
      </c>
      <c r="AK678" s="36">
        <v>0</v>
      </c>
      <c r="AL678" s="36">
        <v>0</v>
      </c>
      <c r="AM678" s="50">
        <v>1</v>
      </c>
      <c r="AN678" s="36">
        <v>4</v>
      </c>
      <c r="AO678" s="36">
        <v>4</v>
      </c>
      <c r="AP678" s="36">
        <v>4</v>
      </c>
      <c r="AQ678" s="36">
        <v>0</v>
      </c>
      <c r="AR678" s="50">
        <v>0</v>
      </c>
      <c r="AS678" s="36">
        <v>0</v>
      </c>
      <c r="AT678" s="36">
        <v>0</v>
      </c>
      <c r="AU678" s="36">
        <v>0</v>
      </c>
      <c r="AV678" s="36">
        <v>0</v>
      </c>
      <c r="AW678">
        <v>0</v>
      </c>
      <c r="AX678">
        <v>0</v>
      </c>
    </row>
    <row r="679" spans="1:50" x14ac:dyDescent="0.25">
      <c r="A679" s="36"/>
      <c r="B679" t="s">
        <v>119</v>
      </c>
      <c r="C679" s="36" t="str">
        <f>'Status Thresholds'!B670</f>
        <v>Seltas Queen</v>
      </c>
      <c r="E679" s="36" t="str">
        <f t="shared" si="23"/>
        <v>Seltas Queen</v>
      </c>
      <c r="F679" s="36" t="str">
        <f>IFERROR(VLOOKUP($E679,'Status Thresholds'!$E:$AS,1,FALSE),"")</f>
        <v/>
      </c>
      <c r="G679" t="s">
        <v>11</v>
      </c>
      <c r="H679" s="55" t="str">
        <f t="shared" si="24"/>
        <v>Seltas QueenCrag 1</v>
      </c>
      <c r="I679" s="50">
        <v>3</v>
      </c>
      <c r="J679" s="36">
        <v>2</v>
      </c>
      <c r="K679" s="36">
        <v>6</v>
      </c>
      <c r="L679" s="36">
        <v>7</v>
      </c>
      <c r="M679" s="36">
        <v>0</v>
      </c>
      <c r="N679" s="50">
        <v>0</v>
      </c>
      <c r="O679" s="36">
        <v>0</v>
      </c>
      <c r="P679" s="36">
        <v>0</v>
      </c>
      <c r="Q679" s="36">
        <v>0</v>
      </c>
      <c r="R679" s="36">
        <v>0</v>
      </c>
      <c r="S679" s="50">
        <v>8</v>
      </c>
      <c r="T679" s="36">
        <v>7</v>
      </c>
      <c r="U679" s="36">
        <v>8</v>
      </c>
      <c r="V679" s="36">
        <v>8</v>
      </c>
      <c r="W679" s="36">
        <v>0</v>
      </c>
      <c r="X679" s="50">
        <v>0</v>
      </c>
      <c r="Y679" s="36">
        <v>0</v>
      </c>
      <c r="Z679" s="36">
        <v>0</v>
      </c>
      <c r="AA679" s="36">
        <v>0</v>
      </c>
      <c r="AB679" s="36">
        <v>0</v>
      </c>
      <c r="AC679" s="50">
        <v>2</v>
      </c>
      <c r="AD679" s="36">
        <v>7</v>
      </c>
      <c r="AE679" s="36">
        <v>8</v>
      </c>
      <c r="AF679" s="36">
        <v>8</v>
      </c>
      <c r="AG679" s="36">
        <v>0</v>
      </c>
      <c r="AH679" s="50">
        <v>0</v>
      </c>
      <c r="AI679" s="36">
        <v>0</v>
      </c>
      <c r="AJ679" s="36">
        <v>0</v>
      </c>
      <c r="AK679" s="36">
        <v>0</v>
      </c>
      <c r="AL679" s="36">
        <v>0</v>
      </c>
      <c r="AM679" s="50">
        <v>6</v>
      </c>
      <c r="AN679" s="36">
        <v>8</v>
      </c>
      <c r="AO679" s="36">
        <v>8</v>
      </c>
      <c r="AP679" s="36">
        <v>8</v>
      </c>
      <c r="AQ679" s="36">
        <v>0</v>
      </c>
      <c r="AR679" s="50">
        <v>0</v>
      </c>
      <c r="AS679" s="36">
        <v>0</v>
      </c>
      <c r="AT679" s="36">
        <v>0</v>
      </c>
      <c r="AU679" s="36">
        <v>0</v>
      </c>
      <c r="AV679" s="36">
        <v>1</v>
      </c>
      <c r="AW679">
        <v>0</v>
      </c>
      <c r="AX679">
        <v>0</v>
      </c>
    </row>
    <row r="680" spans="1:50" x14ac:dyDescent="0.25">
      <c r="A680" s="36"/>
      <c r="B680" t="s">
        <v>121</v>
      </c>
      <c r="C680" s="36" t="str">
        <f>'Status Thresholds'!B671</f>
        <v>Seregios</v>
      </c>
      <c r="D680" t="s">
        <v>14</v>
      </c>
      <c r="E680" s="36" t="str">
        <f t="shared" si="23"/>
        <v>SeregiosKO</v>
      </c>
      <c r="F680" s="36" t="str">
        <f>IFERROR(VLOOKUP($E680,'Status Thresholds'!$E:$AS,1,FALSE),"")</f>
        <v>SeregiosKO</v>
      </c>
      <c r="H680" s="55" t="str">
        <f t="shared" si="24"/>
        <v>SeregiosKO</v>
      </c>
      <c r="I680" s="50">
        <f>VLOOKUP($F680,'Status Thresholds'!$E:$AS,2,FALSE)</f>
        <v>195</v>
      </c>
      <c r="J680" s="36">
        <f>VLOOKUP($F680,'Status Thresholds'!$E:$AS,3,FALSE)</f>
        <v>390</v>
      </c>
      <c r="K680" s="36">
        <f>VLOOKUP($F680,'Status Thresholds'!$E:$AS,4,FALSE)</f>
        <v>585</v>
      </c>
      <c r="L680" s="36">
        <f>VLOOKUP($F680,'Status Thresholds'!$E:$AS,5,FALSE)</f>
        <v>780</v>
      </c>
      <c r="M680" s="36">
        <f>VLOOKUP($F680,'Status Thresholds'!$E:$AS,6,FALSE)</f>
        <v>0</v>
      </c>
      <c r="N680" s="50">
        <f>VLOOKUP($F680,'Status Thresholds'!$E:$AS,7,FALSE)</f>
        <v>0</v>
      </c>
      <c r="O680" s="36">
        <f>VLOOKUP($F680,'Status Thresholds'!$E:$AS,8,FALSE)</f>
        <v>0</v>
      </c>
      <c r="P680" s="36">
        <f>VLOOKUP($F680,'Status Thresholds'!$E:$AS,9,FALSE)</f>
        <v>0</v>
      </c>
      <c r="Q680" s="36">
        <f>VLOOKUP($F680,'Status Thresholds'!$E:$AS,10,FALSE)</f>
        <v>0</v>
      </c>
      <c r="R680" s="36">
        <f>VLOOKUP($F680,'Status Thresholds'!$E:$AS,11,FALSE)</f>
        <v>0</v>
      </c>
      <c r="S680" s="50">
        <f>VLOOKUP($F680,'Status Thresholds'!$E:$AS,12,FALSE)</f>
        <v>210</v>
      </c>
      <c r="T680" s="36">
        <f>VLOOKUP($F680,'Status Thresholds'!$E:$AS,13,FALSE)</f>
        <v>420</v>
      </c>
      <c r="U680" s="36">
        <f>VLOOKUP($F680,'Status Thresholds'!$E:$AS,14,FALSE)</f>
        <v>630</v>
      </c>
      <c r="V680" s="36">
        <f>VLOOKUP($F680,'Status Thresholds'!$E:$AS,15,FALSE)</f>
        <v>840</v>
      </c>
      <c r="W680" s="36">
        <f>VLOOKUP($F680,'Status Thresholds'!$E:$AS,16,FALSE)</f>
        <v>0</v>
      </c>
      <c r="X680" s="50">
        <f>VLOOKUP($F680,'Status Thresholds'!$E:$AS,17,FALSE)</f>
        <v>195</v>
      </c>
      <c r="Y680" s="36">
        <f>VLOOKUP($F680,'Status Thresholds'!$E:$AS,18,FALSE)</f>
        <v>390</v>
      </c>
      <c r="Z680" s="36">
        <f>VLOOKUP($F680,'Status Thresholds'!$E:$AS,19,FALSE)</f>
        <v>585</v>
      </c>
      <c r="AA680" s="36">
        <f>VLOOKUP($F680,'Status Thresholds'!$E:$AS,20,FALSE)</f>
        <v>780</v>
      </c>
      <c r="AB680" s="36">
        <f>VLOOKUP($F680,'Status Thresholds'!$E:$AS,21,FALSE)</f>
        <v>0</v>
      </c>
      <c r="AC680" s="50">
        <f>VLOOKUP($F680,'Status Thresholds'!$E:$AS,22,FALSE)</f>
        <v>225</v>
      </c>
      <c r="AD680" s="36">
        <f>VLOOKUP($F680,'Status Thresholds'!$E:$AS,23,FALSE)</f>
        <v>450</v>
      </c>
      <c r="AE680" s="36">
        <f>VLOOKUP($F680,'Status Thresholds'!$E:$AS,24,FALSE)</f>
        <v>675</v>
      </c>
      <c r="AF680" s="36">
        <f>VLOOKUP($F680,'Status Thresholds'!$E:$AS,25,FALSE)</f>
        <v>900</v>
      </c>
      <c r="AG680" s="36">
        <f>VLOOKUP($F680,'Status Thresholds'!$E:$AS,26,FALSE)</f>
        <v>0</v>
      </c>
      <c r="AH680" s="50">
        <f>VLOOKUP($F680,'Status Thresholds'!$E:$AS,27,FALSE)</f>
        <v>0</v>
      </c>
      <c r="AI680" s="36">
        <f>VLOOKUP($F680,'Status Thresholds'!$E:$AS,28,FALSE)</f>
        <v>0</v>
      </c>
      <c r="AJ680" s="36">
        <f>VLOOKUP($F680,'Status Thresholds'!$E:$AS,29,FALSE)</f>
        <v>0</v>
      </c>
      <c r="AK680" s="36">
        <f>VLOOKUP($F680,'Status Thresholds'!$E:$AS,30,FALSE)</f>
        <v>0</v>
      </c>
      <c r="AL680" s="36">
        <f>VLOOKUP($F680,'Status Thresholds'!$E:$AS,31,FALSE)</f>
        <v>0</v>
      </c>
      <c r="AM680" s="50">
        <f>VLOOKUP($F680,'Status Thresholds'!$E:$AS,32,FALSE)</f>
        <v>0</v>
      </c>
      <c r="AN680" s="36">
        <f>VLOOKUP($F680,'Status Thresholds'!$E:$AS,33,FALSE)</f>
        <v>0</v>
      </c>
      <c r="AO680" s="36">
        <f>VLOOKUP($F680,'Status Thresholds'!$E:$AS,34,FALSE)</f>
        <v>0</v>
      </c>
      <c r="AP680" s="36">
        <f>VLOOKUP($F680,'Status Thresholds'!$E:$AS,35,FALSE)</f>
        <v>0</v>
      </c>
      <c r="AQ680" s="36">
        <f>VLOOKUP($F680,'Status Thresholds'!$E:$AS,36,FALSE)</f>
        <v>0</v>
      </c>
      <c r="AR680" s="50">
        <f>VLOOKUP($F680,'Status Thresholds'!$E:$AS,37,FALSE)</f>
        <v>0</v>
      </c>
      <c r="AS680" s="36">
        <f>VLOOKUP($F680,'Status Thresholds'!$E:$AS,38,FALSE)</f>
        <v>0</v>
      </c>
      <c r="AT680" s="36">
        <f>VLOOKUP($F680,'Status Thresholds'!$E:$AS,39,FALSE)</f>
        <v>0</v>
      </c>
      <c r="AU680" s="36">
        <f>VLOOKUP($F680,'Status Thresholds'!$E:$AS,40,FALSE)</f>
        <v>0</v>
      </c>
      <c r="AV680" s="36">
        <f>VLOOKUP($F680,'Status Thresholds'!$E:$AS,41,FALSE)</f>
        <v>10</v>
      </c>
      <c r="AW680">
        <v>0</v>
      </c>
      <c r="AX680">
        <v>0</v>
      </c>
    </row>
    <row r="681" spans="1:50" x14ac:dyDescent="0.25">
      <c r="A681" s="36"/>
      <c r="B681" t="s">
        <v>120</v>
      </c>
      <c r="C681" s="36" t="str">
        <f>'Status Thresholds'!B672</f>
        <v>Seregios</v>
      </c>
      <c r="E681" s="36" t="str">
        <f t="shared" si="23"/>
        <v>Seregios</v>
      </c>
      <c r="F681" s="36" t="str">
        <f>IFERROR(VLOOKUP($E681,'Status Thresholds'!$E:$AS,1,FALSE),"")</f>
        <v/>
      </c>
      <c r="G681" t="s">
        <v>21</v>
      </c>
      <c r="H681" s="55" t="str">
        <f t="shared" si="24"/>
        <v>SeregiosTriblast</v>
      </c>
      <c r="I681" s="50">
        <v>1</v>
      </c>
      <c r="J681" s="36">
        <v>2</v>
      </c>
      <c r="K681" s="36">
        <v>2</v>
      </c>
      <c r="L681" s="36">
        <v>2</v>
      </c>
      <c r="M681" s="36">
        <v>0</v>
      </c>
      <c r="N681" s="50">
        <v>0</v>
      </c>
      <c r="O681" s="36">
        <v>0</v>
      </c>
      <c r="P681" s="36">
        <v>0</v>
      </c>
      <c r="Q681" s="36">
        <v>0</v>
      </c>
      <c r="R681" s="36">
        <v>0</v>
      </c>
      <c r="S681" s="50">
        <v>2</v>
      </c>
      <c r="T681" s="36">
        <v>2</v>
      </c>
      <c r="U681" s="36">
        <v>2</v>
      </c>
      <c r="V681" s="36">
        <v>2</v>
      </c>
      <c r="W681" s="36">
        <v>0</v>
      </c>
      <c r="X681" s="50">
        <v>1</v>
      </c>
      <c r="Y681" s="36">
        <v>2</v>
      </c>
      <c r="Z681" s="36">
        <v>2</v>
      </c>
      <c r="AA681" s="36">
        <v>2</v>
      </c>
      <c r="AB681" s="36">
        <v>0</v>
      </c>
      <c r="AC681" s="50">
        <v>2</v>
      </c>
      <c r="AD681" s="36">
        <v>0</v>
      </c>
      <c r="AE681" s="36">
        <v>2</v>
      </c>
      <c r="AF681" s="36">
        <v>2</v>
      </c>
      <c r="AG681" s="36">
        <v>0</v>
      </c>
      <c r="AH681" s="50">
        <v>0</v>
      </c>
      <c r="AI681" s="36">
        <v>0</v>
      </c>
      <c r="AJ681" s="36">
        <v>0</v>
      </c>
      <c r="AK681" s="36">
        <v>0</v>
      </c>
      <c r="AL681" s="36">
        <v>0</v>
      </c>
      <c r="AM681" s="50">
        <v>0</v>
      </c>
      <c r="AN681" s="36">
        <v>0</v>
      </c>
      <c r="AO681" s="36">
        <v>0</v>
      </c>
      <c r="AP681" s="36">
        <v>0</v>
      </c>
      <c r="AQ681" s="36">
        <v>0</v>
      </c>
      <c r="AR681" s="50">
        <v>0</v>
      </c>
      <c r="AS681" s="36">
        <v>0</v>
      </c>
      <c r="AT681" s="36">
        <v>0</v>
      </c>
      <c r="AU681" s="36">
        <v>0</v>
      </c>
      <c r="AV681" s="36">
        <v>0</v>
      </c>
      <c r="AW681">
        <v>0</v>
      </c>
    </row>
    <row r="682" spans="1:50" x14ac:dyDescent="0.25">
      <c r="A682" s="36"/>
      <c r="B682" t="s">
        <v>120</v>
      </c>
      <c r="C682" s="36" t="str">
        <f>'Status Thresholds'!B673</f>
        <v>Seregios</v>
      </c>
      <c r="E682" s="36" t="str">
        <f t="shared" si="23"/>
        <v>Seregios</v>
      </c>
      <c r="F682" s="36" t="str">
        <f>IFERROR(VLOOKUP($E682,'Status Thresholds'!$E:$AS,1,FALSE),"")</f>
        <v/>
      </c>
      <c r="G682" t="s">
        <v>13</v>
      </c>
      <c r="H682" s="55" t="str">
        <f t="shared" si="24"/>
        <v>SeregiosCrag 3</v>
      </c>
      <c r="I682" s="50">
        <v>0</v>
      </c>
      <c r="J682" s="36">
        <v>4</v>
      </c>
      <c r="K682" s="36">
        <v>3</v>
      </c>
      <c r="L682" s="36">
        <v>4</v>
      </c>
      <c r="M682" s="36">
        <v>0</v>
      </c>
      <c r="N682" s="50">
        <v>0</v>
      </c>
      <c r="O682" s="36">
        <v>0</v>
      </c>
      <c r="P682" s="36">
        <v>0</v>
      </c>
      <c r="Q682" s="36">
        <v>0</v>
      </c>
      <c r="R682" s="36">
        <v>0</v>
      </c>
      <c r="S682" s="50">
        <v>0</v>
      </c>
      <c r="T682" s="36">
        <v>4</v>
      </c>
      <c r="U682" s="36">
        <v>4</v>
      </c>
      <c r="V682" s="36">
        <v>4</v>
      </c>
      <c r="W682" s="36">
        <v>0</v>
      </c>
      <c r="X682" s="50">
        <v>0</v>
      </c>
      <c r="Y682" s="36">
        <v>4</v>
      </c>
      <c r="Z682" s="36">
        <v>3</v>
      </c>
      <c r="AA682" s="36">
        <v>4</v>
      </c>
      <c r="AB682" s="36">
        <v>0</v>
      </c>
      <c r="AC682" s="50">
        <v>0</v>
      </c>
      <c r="AD682" s="36">
        <v>4</v>
      </c>
      <c r="AE682" s="36">
        <v>4</v>
      </c>
      <c r="AF682" s="36">
        <v>4</v>
      </c>
      <c r="AG682" s="36">
        <v>0</v>
      </c>
      <c r="AH682" s="50">
        <v>0</v>
      </c>
      <c r="AI682" s="36">
        <v>0</v>
      </c>
      <c r="AJ682" s="36">
        <v>0</v>
      </c>
      <c r="AK682" s="36">
        <v>0</v>
      </c>
      <c r="AL682" s="36">
        <v>0</v>
      </c>
      <c r="AM682" s="50">
        <v>0</v>
      </c>
      <c r="AN682" s="36">
        <v>0</v>
      </c>
      <c r="AO682" s="36">
        <v>0</v>
      </c>
      <c r="AP682" s="36">
        <v>0</v>
      </c>
      <c r="AQ682" s="36">
        <v>0</v>
      </c>
      <c r="AR682" s="50">
        <v>0</v>
      </c>
      <c r="AS682" s="36">
        <v>0</v>
      </c>
      <c r="AT682" s="36">
        <v>0</v>
      </c>
      <c r="AU682" s="36">
        <v>0</v>
      </c>
      <c r="AV682" s="36">
        <v>0</v>
      </c>
      <c r="AW682">
        <v>0</v>
      </c>
      <c r="AX682">
        <v>0</v>
      </c>
    </row>
    <row r="683" spans="1:50" x14ac:dyDescent="0.25">
      <c r="A683" s="36"/>
      <c r="B683" t="s">
        <v>120</v>
      </c>
      <c r="C683" s="36" t="str">
        <f>'Status Thresholds'!B674</f>
        <v>Seregios</v>
      </c>
      <c r="E683" s="36" t="str">
        <f t="shared" si="23"/>
        <v>Seregios</v>
      </c>
      <c r="F683" s="36" t="str">
        <f>IFERROR(VLOOKUP($E683,'Status Thresholds'!$E:$AS,1,FALSE),"")</f>
        <v/>
      </c>
      <c r="G683" t="s">
        <v>12</v>
      </c>
      <c r="H683" s="55" t="str">
        <f t="shared" si="24"/>
        <v>SeregiosCrag 2</v>
      </c>
      <c r="I683" s="50">
        <v>4</v>
      </c>
      <c r="J683" s="36">
        <v>1</v>
      </c>
      <c r="K683" s="36">
        <v>4</v>
      </c>
      <c r="L683" s="36">
        <v>4</v>
      </c>
      <c r="M683" s="36">
        <v>0</v>
      </c>
      <c r="N683" s="50">
        <v>0</v>
      </c>
      <c r="O683" s="36">
        <v>0</v>
      </c>
      <c r="P683" s="36">
        <v>0</v>
      </c>
      <c r="Q683" s="36">
        <v>0</v>
      </c>
      <c r="R683" s="36">
        <v>0</v>
      </c>
      <c r="S683" s="50">
        <v>2</v>
      </c>
      <c r="T683" s="36">
        <v>2</v>
      </c>
      <c r="U683" s="36">
        <v>4</v>
      </c>
      <c r="V683" s="36">
        <v>4</v>
      </c>
      <c r="W683" s="36">
        <v>0</v>
      </c>
      <c r="X683" s="50">
        <v>4</v>
      </c>
      <c r="Y683" s="36">
        <v>1</v>
      </c>
      <c r="Z683" s="36">
        <v>4</v>
      </c>
      <c r="AA683" s="36">
        <v>4</v>
      </c>
      <c r="AB683" s="36">
        <v>0</v>
      </c>
      <c r="AC683" s="50">
        <v>0</v>
      </c>
      <c r="AD683" s="36">
        <v>3</v>
      </c>
      <c r="AE683" s="36">
        <v>4</v>
      </c>
      <c r="AF683" s="36">
        <v>4</v>
      </c>
      <c r="AG683" s="36">
        <v>0</v>
      </c>
      <c r="AH683" s="50">
        <v>0</v>
      </c>
      <c r="AI683" s="36">
        <v>0</v>
      </c>
      <c r="AJ683" s="36">
        <v>0</v>
      </c>
      <c r="AK683" s="36">
        <v>0</v>
      </c>
      <c r="AL683" s="36">
        <v>0</v>
      </c>
      <c r="AM683" s="50">
        <v>0</v>
      </c>
      <c r="AN683" s="36">
        <v>0</v>
      </c>
      <c r="AO683" s="36">
        <v>0</v>
      </c>
      <c r="AP683" s="36">
        <v>0</v>
      </c>
      <c r="AQ683" s="36">
        <v>0</v>
      </c>
      <c r="AR683" s="50">
        <v>0</v>
      </c>
      <c r="AS683" s="36">
        <v>0</v>
      </c>
      <c r="AT683" s="36">
        <v>0</v>
      </c>
      <c r="AU683" s="36">
        <v>0</v>
      </c>
      <c r="AV683" s="36">
        <v>0</v>
      </c>
      <c r="AW683">
        <v>0</v>
      </c>
      <c r="AX683">
        <v>0</v>
      </c>
    </row>
    <row r="684" spans="1:50" x14ac:dyDescent="0.25">
      <c r="A684" s="36"/>
      <c r="B684" t="s">
        <v>120</v>
      </c>
      <c r="C684" s="36" t="str">
        <f>'Status Thresholds'!B675</f>
        <v>Seregios</v>
      </c>
      <c r="E684" s="36" t="str">
        <f t="shared" si="23"/>
        <v>Seregios</v>
      </c>
      <c r="F684" s="36" t="str">
        <f>IFERROR(VLOOKUP($E684,'Status Thresholds'!$E:$AS,1,FALSE),"")</f>
        <v/>
      </c>
      <c r="G684" t="s">
        <v>11</v>
      </c>
      <c r="H684" s="55" t="str">
        <f t="shared" si="24"/>
        <v>SeregiosCrag 1</v>
      </c>
      <c r="I684" s="50">
        <v>0</v>
      </c>
      <c r="J684" s="36">
        <v>2</v>
      </c>
      <c r="K684" s="36">
        <v>8</v>
      </c>
      <c r="L684" s="36">
        <v>8</v>
      </c>
      <c r="M684" s="36">
        <v>0</v>
      </c>
      <c r="N684" s="50">
        <v>0</v>
      </c>
      <c r="O684" s="36">
        <v>0</v>
      </c>
      <c r="P684" s="36">
        <v>0</v>
      </c>
      <c r="Q684" s="36">
        <v>0</v>
      </c>
      <c r="R684" s="36">
        <v>0</v>
      </c>
      <c r="S684" s="50">
        <v>0</v>
      </c>
      <c r="T684" s="36">
        <v>2</v>
      </c>
      <c r="U684" s="36">
        <v>8</v>
      </c>
      <c r="V684" s="36">
        <v>8</v>
      </c>
      <c r="W684" s="36">
        <v>0</v>
      </c>
      <c r="X684" s="50">
        <v>0</v>
      </c>
      <c r="Y684" s="36">
        <v>2</v>
      </c>
      <c r="Z684" s="36">
        <v>8</v>
      </c>
      <c r="AA684" s="36">
        <v>8</v>
      </c>
      <c r="AB684" s="36">
        <v>0</v>
      </c>
      <c r="AC684" s="50">
        <v>3</v>
      </c>
      <c r="AD684" s="36">
        <v>8</v>
      </c>
      <c r="AE684" s="36">
        <v>8</v>
      </c>
      <c r="AF684" s="36">
        <v>8</v>
      </c>
      <c r="AG684" s="36">
        <v>0</v>
      </c>
      <c r="AH684" s="50">
        <v>0</v>
      </c>
      <c r="AI684" s="36">
        <v>0</v>
      </c>
      <c r="AJ684" s="36">
        <v>0</v>
      </c>
      <c r="AK684" s="36">
        <v>0</v>
      </c>
      <c r="AL684" s="36">
        <v>0</v>
      </c>
      <c r="AM684" s="50">
        <v>0</v>
      </c>
      <c r="AN684" s="36">
        <v>0</v>
      </c>
      <c r="AO684" s="36">
        <v>0</v>
      </c>
      <c r="AP684" s="36">
        <v>0</v>
      </c>
      <c r="AQ684" s="36">
        <v>0</v>
      </c>
      <c r="AR684" s="50">
        <v>0</v>
      </c>
      <c r="AS684" s="36">
        <v>0</v>
      </c>
      <c r="AT684" s="36">
        <v>0</v>
      </c>
      <c r="AU684" s="36">
        <v>0</v>
      </c>
      <c r="AV684" s="36">
        <v>1</v>
      </c>
      <c r="AW684">
        <v>0</v>
      </c>
      <c r="AX684">
        <v>0</v>
      </c>
    </row>
    <row r="685" spans="1:50" x14ac:dyDescent="0.25">
      <c r="A685" s="36"/>
      <c r="B685" t="s">
        <v>119</v>
      </c>
      <c r="C685" s="36" t="str">
        <f>'Status Thresholds'!B676</f>
        <v>Seregios</v>
      </c>
      <c r="E685" s="36" t="str">
        <f t="shared" si="23"/>
        <v>Seregios</v>
      </c>
      <c r="F685" s="36" t="str">
        <f>IFERROR(VLOOKUP($E685,'Status Thresholds'!$E:$AS,1,FALSE),"")</f>
        <v/>
      </c>
      <c r="G685" t="s">
        <v>21</v>
      </c>
      <c r="H685" s="55" t="str">
        <f t="shared" si="24"/>
        <v>SeregiosTriblast</v>
      </c>
      <c r="I685" s="50">
        <v>2</v>
      </c>
      <c r="J685" s="36">
        <v>2</v>
      </c>
      <c r="K685" s="36">
        <v>2</v>
      </c>
      <c r="L685" s="36">
        <v>2</v>
      </c>
      <c r="M685" s="36">
        <v>0</v>
      </c>
      <c r="N685" s="50">
        <v>0</v>
      </c>
      <c r="O685" s="36">
        <v>0</v>
      </c>
      <c r="P685" s="36">
        <v>0</v>
      </c>
      <c r="Q685" s="36">
        <v>0</v>
      </c>
      <c r="R685" s="36">
        <v>0</v>
      </c>
      <c r="S685" s="50">
        <v>0</v>
      </c>
      <c r="T685" s="36">
        <v>0</v>
      </c>
      <c r="U685" s="36">
        <v>2</v>
      </c>
      <c r="V685" s="36">
        <v>2</v>
      </c>
      <c r="W685" s="36">
        <v>0</v>
      </c>
      <c r="X685" s="50">
        <v>2</v>
      </c>
      <c r="Y685" s="36">
        <v>2</v>
      </c>
      <c r="Z685" s="36">
        <v>2</v>
      </c>
      <c r="AA685" s="36">
        <v>2</v>
      </c>
      <c r="AB685" s="36">
        <v>0</v>
      </c>
      <c r="AC685" s="50">
        <v>0</v>
      </c>
      <c r="AD685" s="36">
        <v>2</v>
      </c>
      <c r="AE685" s="36">
        <v>2</v>
      </c>
      <c r="AF685" s="36">
        <v>2</v>
      </c>
      <c r="AG685" s="36">
        <v>0</v>
      </c>
      <c r="AH685" s="50">
        <v>0</v>
      </c>
      <c r="AI685" s="36">
        <v>0</v>
      </c>
      <c r="AJ685" s="36">
        <v>0</v>
      </c>
      <c r="AK685" s="36">
        <v>0</v>
      </c>
      <c r="AL685" s="36">
        <v>0</v>
      </c>
      <c r="AM685" s="50">
        <v>0</v>
      </c>
      <c r="AN685" s="36">
        <v>0</v>
      </c>
      <c r="AO685" s="36">
        <v>0</v>
      </c>
      <c r="AP685" s="36">
        <v>0</v>
      </c>
      <c r="AQ685" s="36">
        <v>0</v>
      </c>
      <c r="AR685" s="50">
        <v>0</v>
      </c>
      <c r="AS685" s="36">
        <v>0</v>
      </c>
      <c r="AT685" s="36">
        <v>0</v>
      </c>
      <c r="AU685" s="36">
        <v>0</v>
      </c>
      <c r="AV685" s="36">
        <v>0</v>
      </c>
      <c r="AW685">
        <v>0</v>
      </c>
      <c r="AX685">
        <v>0</v>
      </c>
    </row>
    <row r="686" spans="1:50" x14ac:dyDescent="0.25">
      <c r="A686" s="36"/>
      <c r="B686" t="s">
        <v>119</v>
      </c>
      <c r="C686" s="36" t="str">
        <f>'Status Thresholds'!B677</f>
        <v>Seregios</v>
      </c>
      <c r="E686" s="36" t="str">
        <f t="shared" si="23"/>
        <v>Seregios</v>
      </c>
      <c r="F686" s="36" t="str">
        <f>IFERROR(VLOOKUP($E686,'Status Thresholds'!$E:$AS,1,FALSE),"")</f>
        <v/>
      </c>
      <c r="G686" t="s">
        <v>13</v>
      </c>
      <c r="H686" s="55" t="str">
        <f t="shared" si="24"/>
        <v>SeregiosCrag 3</v>
      </c>
      <c r="I686" s="50">
        <v>0</v>
      </c>
      <c r="J686" s="36">
        <v>0</v>
      </c>
      <c r="K686" s="36">
        <v>4</v>
      </c>
      <c r="L686" s="36">
        <v>4</v>
      </c>
      <c r="M686" s="36">
        <v>0</v>
      </c>
      <c r="N686" s="50">
        <v>0</v>
      </c>
      <c r="O686" s="36">
        <v>0</v>
      </c>
      <c r="P686" s="36">
        <v>0</v>
      </c>
      <c r="Q686" s="36">
        <v>0</v>
      </c>
      <c r="R686" s="36">
        <v>0</v>
      </c>
      <c r="S686" s="50">
        <v>1</v>
      </c>
      <c r="T686" s="36">
        <v>3</v>
      </c>
      <c r="U686" s="36">
        <v>4</v>
      </c>
      <c r="V686" s="36">
        <v>4</v>
      </c>
      <c r="W686" s="36">
        <v>0</v>
      </c>
      <c r="X686" s="50">
        <v>0</v>
      </c>
      <c r="Y686" s="36">
        <v>0</v>
      </c>
      <c r="Z686" s="36">
        <v>4</v>
      </c>
      <c r="AA686" s="36">
        <v>4</v>
      </c>
      <c r="AB686" s="36">
        <v>0</v>
      </c>
      <c r="AC686" s="50">
        <v>3</v>
      </c>
      <c r="AD686" s="36">
        <v>0</v>
      </c>
      <c r="AE686" s="36">
        <v>4</v>
      </c>
      <c r="AF686" s="36">
        <v>4</v>
      </c>
      <c r="AG686" s="36">
        <v>0</v>
      </c>
      <c r="AH686" s="50">
        <v>0</v>
      </c>
      <c r="AI686" s="36">
        <v>0</v>
      </c>
      <c r="AJ686" s="36">
        <v>0</v>
      </c>
      <c r="AK686" s="36">
        <v>0</v>
      </c>
      <c r="AL686" s="36">
        <v>0</v>
      </c>
      <c r="AM686" s="50">
        <v>0</v>
      </c>
      <c r="AN686" s="36">
        <v>0</v>
      </c>
      <c r="AO686" s="36">
        <v>0</v>
      </c>
      <c r="AP686" s="36">
        <v>0</v>
      </c>
      <c r="AQ686" s="36">
        <v>0</v>
      </c>
      <c r="AR686" s="50">
        <v>0</v>
      </c>
      <c r="AS686" s="36">
        <v>0</v>
      </c>
      <c r="AT686" s="36">
        <v>0</v>
      </c>
      <c r="AU686" s="36">
        <v>0</v>
      </c>
      <c r="AV686" s="36">
        <v>0</v>
      </c>
      <c r="AW686">
        <v>0</v>
      </c>
      <c r="AX686">
        <v>0</v>
      </c>
    </row>
    <row r="687" spans="1:50" x14ac:dyDescent="0.25">
      <c r="A687" s="36"/>
      <c r="B687" t="s">
        <v>119</v>
      </c>
      <c r="C687" s="36" t="str">
        <f>'Status Thresholds'!B678</f>
        <v>Seregios</v>
      </c>
      <c r="E687" s="36" t="str">
        <f t="shared" si="23"/>
        <v>Seregios</v>
      </c>
      <c r="F687" s="36" t="str">
        <f>IFERROR(VLOOKUP($E687,'Status Thresholds'!$E:$AS,1,FALSE),"")</f>
        <v/>
      </c>
      <c r="G687" t="s">
        <v>12</v>
      </c>
      <c r="H687" s="55" t="str">
        <f t="shared" si="24"/>
        <v>SeregiosCrag 2</v>
      </c>
      <c r="I687" s="50">
        <v>1</v>
      </c>
      <c r="J687" s="36">
        <v>2</v>
      </c>
      <c r="K687" s="36">
        <v>1</v>
      </c>
      <c r="L687" s="36">
        <v>4</v>
      </c>
      <c r="M687" s="36">
        <v>0</v>
      </c>
      <c r="N687" s="50">
        <v>0</v>
      </c>
      <c r="O687" s="36">
        <v>0</v>
      </c>
      <c r="P687" s="36">
        <v>0</v>
      </c>
      <c r="Q687" s="36">
        <v>0</v>
      </c>
      <c r="R687" s="36">
        <v>0</v>
      </c>
      <c r="S687" s="50">
        <v>1</v>
      </c>
      <c r="T687" s="36">
        <v>3</v>
      </c>
      <c r="U687" s="36">
        <v>4</v>
      </c>
      <c r="V687" s="36">
        <v>4</v>
      </c>
      <c r="W687" s="36">
        <v>0</v>
      </c>
      <c r="X687" s="50">
        <v>1</v>
      </c>
      <c r="Y687" s="36">
        <v>2</v>
      </c>
      <c r="Z687" s="36">
        <v>1</v>
      </c>
      <c r="AA687" s="36">
        <v>4</v>
      </c>
      <c r="AB687" s="36">
        <v>0</v>
      </c>
      <c r="AC687" s="50">
        <v>2</v>
      </c>
      <c r="AD687" s="36">
        <v>3</v>
      </c>
      <c r="AE687" s="36">
        <v>4</v>
      </c>
      <c r="AF687" s="36">
        <v>4</v>
      </c>
      <c r="AG687" s="36">
        <v>0</v>
      </c>
      <c r="AH687" s="50">
        <v>0</v>
      </c>
      <c r="AI687" s="36">
        <v>0</v>
      </c>
      <c r="AJ687" s="36">
        <v>0</v>
      </c>
      <c r="AK687" s="36">
        <v>0</v>
      </c>
      <c r="AL687" s="36">
        <v>0</v>
      </c>
      <c r="AM687" s="50">
        <v>0</v>
      </c>
      <c r="AN687" s="36">
        <v>0</v>
      </c>
      <c r="AO687" s="36">
        <v>0</v>
      </c>
      <c r="AP687" s="36">
        <v>0</v>
      </c>
      <c r="AQ687" s="36">
        <v>0</v>
      </c>
      <c r="AR687" s="50">
        <v>0</v>
      </c>
      <c r="AS687" s="36">
        <v>0</v>
      </c>
      <c r="AT687" s="36">
        <v>0</v>
      </c>
      <c r="AU687" s="36">
        <v>0</v>
      </c>
      <c r="AV687" s="36">
        <v>0</v>
      </c>
      <c r="AW687">
        <v>0</v>
      </c>
      <c r="AX687">
        <v>0</v>
      </c>
    </row>
    <row r="688" spans="1:50" x14ac:dyDescent="0.25">
      <c r="A688" s="36"/>
      <c r="B688" t="s">
        <v>119</v>
      </c>
      <c r="C688" s="36" t="str">
        <f>'Status Thresholds'!B679</f>
        <v>Seregios</v>
      </c>
      <c r="E688" s="36" t="str">
        <f t="shared" si="23"/>
        <v>Seregios</v>
      </c>
      <c r="F688" s="36" t="str">
        <f>IFERROR(VLOOKUP($E688,'Status Thresholds'!$E:$AS,1,FALSE),"")</f>
        <v/>
      </c>
      <c r="G688" t="s">
        <v>11</v>
      </c>
      <c r="H688" s="55" t="str">
        <f t="shared" si="24"/>
        <v>SeregiosCrag 1</v>
      </c>
      <c r="I688" s="50">
        <v>0</v>
      </c>
      <c r="J688" s="36">
        <v>6</v>
      </c>
      <c r="K688" s="36">
        <v>8</v>
      </c>
      <c r="L688" s="36">
        <v>8</v>
      </c>
      <c r="M688" s="36">
        <v>0</v>
      </c>
      <c r="N688" s="50">
        <v>0</v>
      </c>
      <c r="O688" s="36">
        <v>0</v>
      </c>
      <c r="P688" s="36">
        <v>0</v>
      </c>
      <c r="Q688" s="36">
        <v>0</v>
      </c>
      <c r="R688" s="36">
        <v>0</v>
      </c>
      <c r="S688" s="50">
        <v>5</v>
      </c>
      <c r="T688" s="36">
        <v>7</v>
      </c>
      <c r="U688" s="36">
        <v>6</v>
      </c>
      <c r="V688" s="36">
        <v>8</v>
      </c>
      <c r="W688" s="36">
        <v>0</v>
      </c>
      <c r="X688" s="50">
        <v>0</v>
      </c>
      <c r="Y688" s="36">
        <v>6</v>
      </c>
      <c r="Z688" s="36">
        <v>8</v>
      </c>
      <c r="AA688" s="36">
        <v>8</v>
      </c>
      <c r="AB688" s="36">
        <v>0</v>
      </c>
      <c r="AC688" s="50">
        <v>1</v>
      </c>
      <c r="AD688" s="36">
        <v>7</v>
      </c>
      <c r="AE688" s="36">
        <v>8</v>
      </c>
      <c r="AF688" s="36">
        <v>8</v>
      </c>
      <c r="AG688" s="36">
        <v>0</v>
      </c>
      <c r="AH688" s="50">
        <v>0</v>
      </c>
      <c r="AI688" s="36">
        <v>0</v>
      </c>
      <c r="AJ688" s="36">
        <v>0</v>
      </c>
      <c r="AK688" s="36">
        <v>0</v>
      </c>
      <c r="AL688" s="36">
        <v>0</v>
      </c>
      <c r="AM688" s="50">
        <v>0</v>
      </c>
      <c r="AN688" s="36">
        <v>0</v>
      </c>
      <c r="AO688" s="36">
        <v>0</v>
      </c>
      <c r="AP688" s="36">
        <v>0</v>
      </c>
      <c r="AQ688" s="36">
        <v>0</v>
      </c>
      <c r="AR688" s="50">
        <v>0</v>
      </c>
      <c r="AS688" s="36">
        <v>0</v>
      </c>
      <c r="AT688" s="36">
        <v>0</v>
      </c>
      <c r="AU688" s="36">
        <v>0</v>
      </c>
      <c r="AV688" s="36">
        <v>1</v>
      </c>
      <c r="AW688">
        <v>0</v>
      </c>
      <c r="AX688">
        <v>0</v>
      </c>
    </row>
    <row r="689" spans="1:50" x14ac:dyDescent="0.25">
      <c r="A689" s="36"/>
      <c r="B689" t="s">
        <v>121</v>
      </c>
      <c r="C689" s="36" t="str">
        <f>'Status Thresholds'!B680</f>
        <v>Shogun Ceanataur</v>
      </c>
      <c r="D689" t="s">
        <v>14</v>
      </c>
      <c r="E689" s="36" t="str">
        <f t="shared" si="23"/>
        <v>Shogun CeanataurKO</v>
      </c>
      <c r="F689" s="36" t="str">
        <f>IFERROR(VLOOKUP($E689,'Status Thresholds'!$E:$AS,1,FALSE),"")</f>
        <v>Shogun CeanataurKO</v>
      </c>
      <c r="H689" s="55" t="str">
        <f t="shared" si="24"/>
        <v>Shogun CeanataurKO</v>
      </c>
      <c r="I689" s="50">
        <f>VLOOKUP($F689,'Status Thresholds'!$E:$AS,2,FALSE)</f>
        <v>156</v>
      </c>
      <c r="J689" s="36">
        <f>VLOOKUP($F689,'Status Thresholds'!$E:$AS,3,FALSE)</f>
        <v>253</v>
      </c>
      <c r="K689" s="36">
        <f>VLOOKUP($F689,'Status Thresholds'!$E:$AS,4,FALSE)</f>
        <v>351</v>
      </c>
      <c r="L689" s="36">
        <f>VLOOKUP($F689,'Status Thresholds'!$E:$AS,5,FALSE)</f>
        <v>448</v>
      </c>
      <c r="M689" s="36">
        <f>VLOOKUP($F689,'Status Thresholds'!$E:$AS,6,FALSE)</f>
        <v>0</v>
      </c>
      <c r="N689" s="50">
        <f>VLOOKUP($F689,'Status Thresholds'!$E:$AS,7,FALSE)</f>
        <v>156</v>
      </c>
      <c r="O689" s="36">
        <f>VLOOKUP($F689,'Status Thresholds'!$E:$AS,8,FALSE)</f>
        <v>253</v>
      </c>
      <c r="P689" s="36">
        <f>VLOOKUP($F689,'Status Thresholds'!$E:$AS,9,FALSE)</f>
        <v>351</v>
      </c>
      <c r="Q689" s="36">
        <f>VLOOKUP($F689,'Status Thresholds'!$E:$AS,10,FALSE)</f>
        <v>448</v>
      </c>
      <c r="R689" s="36">
        <f>VLOOKUP($F689,'Status Thresholds'!$E:$AS,11,FALSE)</f>
        <v>0</v>
      </c>
      <c r="S689" s="50">
        <f>VLOOKUP($F689,'Status Thresholds'!$E:$AS,12,FALSE)</f>
        <v>156</v>
      </c>
      <c r="T689" s="36">
        <f>VLOOKUP($F689,'Status Thresholds'!$E:$AS,13,FALSE)</f>
        <v>253</v>
      </c>
      <c r="U689" s="36">
        <f>VLOOKUP($F689,'Status Thresholds'!$E:$AS,14,FALSE)</f>
        <v>350</v>
      </c>
      <c r="V689" s="36">
        <f>VLOOKUP($F689,'Status Thresholds'!$E:$AS,15,FALSE)</f>
        <v>447</v>
      </c>
      <c r="W689" s="36">
        <f>VLOOKUP($F689,'Status Thresholds'!$E:$AS,16,FALSE)</f>
        <v>0</v>
      </c>
      <c r="X689" s="50">
        <f>VLOOKUP($F689,'Status Thresholds'!$E:$AS,17,FALSE)</f>
        <v>156</v>
      </c>
      <c r="Y689" s="36">
        <f>VLOOKUP($F689,'Status Thresholds'!$E:$AS,18,FALSE)</f>
        <v>253</v>
      </c>
      <c r="Z689" s="36">
        <f>VLOOKUP($F689,'Status Thresholds'!$E:$AS,19,FALSE)</f>
        <v>350</v>
      </c>
      <c r="AA689" s="36">
        <f>VLOOKUP($F689,'Status Thresholds'!$E:$AS,20,FALSE)</f>
        <v>447</v>
      </c>
      <c r="AB689" s="36">
        <f>VLOOKUP($F689,'Status Thresholds'!$E:$AS,21,FALSE)</f>
        <v>0</v>
      </c>
      <c r="AC689" s="50">
        <f>VLOOKUP($F689,'Status Thresholds'!$E:$AS,22,FALSE)</f>
        <v>168</v>
      </c>
      <c r="AD689" s="36">
        <f>VLOOKUP($F689,'Status Thresholds'!$E:$AS,23,FALSE)</f>
        <v>273</v>
      </c>
      <c r="AE689" s="36">
        <f>VLOOKUP($F689,'Status Thresholds'!$E:$AS,24,FALSE)</f>
        <v>378</v>
      </c>
      <c r="AF689" s="36">
        <f>VLOOKUP($F689,'Status Thresholds'!$E:$AS,25,FALSE)</f>
        <v>483</v>
      </c>
      <c r="AG689" s="36">
        <f>VLOOKUP($F689,'Status Thresholds'!$E:$AS,26,FALSE)</f>
        <v>0</v>
      </c>
      <c r="AH689" s="50">
        <f>VLOOKUP($F689,'Status Thresholds'!$E:$AS,27,FALSE)</f>
        <v>0</v>
      </c>
      <c r="AI689" s="36">
        <f>VLOOKUP($F689,'Status Thresholds'!$E:$AS,28,FALSE)</f>
        <v>0</v>
      </c>
      <c r="AJ689" s="36">
        <f>VLOOKUP($F689,'Status Thresholds'!$E:$AS,29,FALSE)</f>
        <v>0</v>
      </c>
      <c r="AK689" s="36">
        <f>VLOOKUP($F689,'Status Thresholds'!$E:$AS,30,FALSE)</f>
        <v>0</v>
      </c>
      <c r="AL689" s="36">
        <f>VLOOKUP($F689,'Status Thresholds'!$E:$AS,31,FALSE)</f>
        <v>0</v>
      </c>
      <c r="AM689" s="50">
        <f>VLOOKUP($F689,'Status Thresholds'!$E:$AS,32,FALSE)</f>
        <v>240</v>
      </c>
      <c r="AN689" s="36">
        <f>VLOOKUP($F689,'Status Thresholds'!$E:$AS,33,FALSE)</f>
        <v>390</v>
      </c>
      <c r="AO689" s="36">
        <f>VLOOKUP($F689,'Status Thresholds'!$E:$AS,34,FALSE)</f>
        <v>540</v>
      </c>
      <c r="AP689" s="36">
        <f>VLOOKUP($F689,'Status Thresholds'!$E:$AS,35,FALSE)</f>
        <v>690</v>
      </c>
      <c r="AQ689" s="36">
        <f>VLOOKUP($F689,'Status Thresholds'!$E:$AS,36,FALSE)</f>
        <v>0</v>
      </c>
      <c r="AR689" s="50">
        <f>VLOOKUP($F689,'Status Thresholds'!$E:$AS,37,FALSE)</f>
        <v>0</v>
      </c>
      <c r="AS689" s="36">
        <f>VLOOKUP($F689,'Status Thresholds'!$E:$AS,38,FALSE)</f>
        <v>0</v>
      </c>
      <c r="AT689" s="36">
        <f>VLOOKUP($F689,'Status Thresholds'!$E:$AS,39,FALSE)</f>
        <v>0</v>
      </c>
      <c r="AU689" s="36">
        <f>VLOOKUP($F689,'Status Thresholds'!$E:$AS,40,FALSE)</f>
        <v>0</v>
      </c>
      <c r="AV689" s="36">
        <f>VLOOKUP($F689,'Status Thresholds'!$E:$AS,41,FALSE)</f>
        <v>10</v>
      </c>
      <c r="AW689">
        <v>0</v>
      </c>
      <c r="AX689">
        <v>0</v>
      </c>
    </row>
    <row r="690" spans="1:50" x14ac:dyDescent="0.25">
      <c r="A690" s="36"/>
      <c r="B690" t="s">
        <v>120</v>
      </c>
      <c r="C690" s="36" t="str">
        <f>'Status Thresholds'!B681</f>
        <v>Shogun Ceanataur</v>
      </c>
      <c r="E690" s="36" t="str">
        <f t="shared" si="23"/>
        <v>Shogun Ceanataur</v>
      </c>
      <c r="F690" s="36" t="str">
        <f>IFERROR(VLOOKUP($E690,'Status Thresholds'!$E:$AS,1,FALSE),"")</f>
        <v/>
      </c>
      <c r="G690" t="s">
        <v>21</v>
      </c>
      <c r="H690" s="55" t="str">
        <f t="shared" si="24"/>
        <v>Shogun CeanataurTriblast</v>
      </c>
      <c r="I690" s="50">
        <v>0</v>
      </c>
      <c r="J690" s="36">
        <v>0</v>
      </c>
      <c r="K690" s="36">
        <v>2</v>
      </c>
      <c r="L690" s="36">
        <v>2</v>
      </c>
      <c r="M690" s="36">
        <v>0</v>
      </c>
      <c r="N690" s="50">
        <v>0</v>
      </c>
      <c r="O690" s="36">
        <v>0</v>
      </c>
      <c r="P690" s="36">
        <v>2</v>
      </c>
      <c r="Q690" s="36">
        <v>2</v>
      </c>
      <c r="R690" s="36">
        <v>0</v>
      </c>
      <c r="S690" s="50">
        <v>0</v>
      </c>
      <c r="T690" s="36">
        <v>0</v>
      </c>
      <c r="U690" s="36">
        <v>2</v>
      </c>
      <c r="V690" s="36">
        <v>2</v>
      </c>
      <c r="W690" s="36">
        <v>0</v>
      </c>
      <c r="X690" s="50">
        <v>0</v>
      </c>
      <c r="Y690" s="36">
        <v>0</v>
      </c>
      <c r="Z690" s="36">
        <v>2</v>
      </c>
      <c r="AA690" s="36">
        <v>2</v>
      </c>
      <c r="AB690" s="36">
        <v>0</v>
      </c>
      <c r="AC690" s="50">
        <v>0</v>
      </c>
      <c r="AD690" s="36">
        <v>0</v>
      </c>
      <c r="AE690" s="36">
        <v>2</v>
      </c>
      <c r="AF690" s="36">
        <v>2</v>
      </c>
      <c r="AG690" s="36">
        <v>0</v>
      </c>
      <c r="AH690" s="50">
        <v>0</v>
      </c>
      <c r="AI690" s="36">
        <v>0</v>
      </c>
      <c r="AJ690" s="36">
        <v>0</v>
      </c>
      <c r="AK690" s="36">
        <v>0</v>
      </c>
      <c r="AL690" s="36">
        <v>0</v>
      </c>
      <c r="AM690" s="50">
        <v>2</v>
      </c>
      <c r="AN690" s="36">
        <v>2</v>
      </c>
      <c r="AO690" s="36">
        <v>2</v>
      </c>
      <c r="AP690" s="36">
        <v>2</v>
      </c>
      <c r="AQ690" s="36">
        <v>0</v>
      </c>
      <c r="AR690" s="50">
        <v>0</v>
      </c>
      <c r="AS690" s="36">
        <v>0</v>
      </c>
      <c r="AT690" s="36">
        <v>0</v>
      </c>
      <c r="AU690" s="36">
        <v>0</v>
      </c>
      <c r="AV690" s="36">
        <v>0</v>
      </c>
      <c r="AW690">
        <v>0</v>
      </c>
    </row>
    <row r="691" spans="1:50" x14ac:dyDescent="0.25">
      <c r="A691" s="36"/>
      <c r="B691" t="s">
        <v>120</v>
      </c>
      <c r="C691" s="36" t="str">
        <f>'Status Thresholds'!B682</f>
        <v>Shogun Ceanataur</v>
      </c>
      <c r="E691" s="36" t="str">
        <f t="shared" si="23"/>
        <v>Shogun Ceanataur</v>
      </c>
      <c r="F691" s="36" t="str">
        <f>IFERROR(VLOOKUP($E691,'Status Thresholds'!$E:$AS,1,FALSE),"")</f>
        <v/>
      </c>
      <c r="G691" t="s">
        <v>13</v>
      </c>
      <c r="H691" s="55" t="str">
        <f t="shared" si="24"/>
        <v>Shogun CeanataurCrag 3</v>
      </c>
      <c r="I691" s="50">
        <v>4</v>
      </c>
      <c r="J691" s="36">
        <v>3</v>
      </c>
      <c r="K691" s="36">
        <v>1</v>
      </c>
      <c r="L691" s="36">
        <v>4</v>
      </c>
      <c r="M691" s="36">
        <v>0</v>
      </c>
      <c r="N691" s="50">
        <v>4</v>
      </c>
      <c r="O691" s="36">
        <v>3</v>
      </c>
      <c r="P691" s="36">
        <v>1</v>
      </c>
      <c r="Q691" s="36">
        <v>4</v>
      </c>
      <c r="R691" s="36">
        <v>0</v>
      </c>
      <c r="S691" s="50">
        <v>4</v>
      </c>
      <c r="T691" s="36">
        <v>3</v>
      </c>
      <c r="U691" s="36">
        <v>0</v>
      </c>
      <c r="V691" s="36">
        <v>1</v>
      </c>
      <c r="W691" s="36">
        <v>0</v>
      </c>
      <c r="X691" s="50">
        <v>4</v>
      </c>
      <c r="Y691" s="36">
        <v>3</v>
      </c>
      <c r="Z691" s="36">
        <v>0</v>
      </c>
      <c r="AA691" s="36">
        <v>1</v>
      </c>
      <c r="AB691" s="36">
        <v>0</v>
      </c>
      <c r="AC691" s="50">
        <v>3</v>
      </c>
      <c r="AD691" s="36">
        <v>4</v>
      </c>
      <c r="AE691" s="36">
        <v>2</v>
      </c>
      <c r="AF691" s="36">
        <v>1</v>
      </c>
      <c r="AG691" s="36">
        <v>0</v>
      </c>
      <c r="AH691" s="50">
        <v>0</v>
      </c>
      <c r="AI691" s="36">
        <v>0</v>
      </c>
      <c r="AJ691" s="36">
        <v>0</v>
      </c>
      <c r="AK691" s="36">
        <v>0</v>
      </c>
      <c r="AL691" s="36">
        <v>0</v>
      </c>
      <c r="AM691" s="50">
        <v>1</v>
      </c>
      <c r="AN691" s="36">
        <v>4</v>
      </c>
      <c r="AO691" s="36">
        <v>3</v>
      </c>
      <c r="AP691" s="36">
        <v>4</v>
      </c>
      <c r="AQ691" s="36">
        <v>0</v>
      </c>
      <c r="AR691" s="50">
        <v>0</v>
      </c>
      <c r="AS691" s="36">
        <v>0</v>
      </c>
      <c r="AT691" s="36">
        <v>0</v>
      </c>
      <c r="AU691" s="36">
        <v>0</v>
      </c>
      <c r="AV691" s="36">
        <v>0</v>
      </c>
      <c r="AW691">
        <v>0</v>
      </c>
      <c r="AX691">
        <v>0</v>
      </c>
    </row>
    <row r="692" spans="1:50" x14ac:dyDescent="0.25">
      <c r="A692" s="36"/>
      <c r="B692" t="s">
        <v>120</v>
      </c>
      <c r="C692" s="36" t="str">
        <f>'Status Thresholds'!B683</f>
        <v>Shogun Ceanataur</v>
      </c>
      <c r="E692" s="36" t="str">
        <f t="shared" si="23"/>
        <v>Shogun Ceanataur</v>
      </c>
      <c r="F692" s="36" t="str">
        <f>IFERROR(VLOOKUP($E692,'Status Thresholds'!$E:$AS,1,FALSE),"")</f>
        <v/>
      </c>
      <c r="G692" t="s">
        <v>12</v>
      </c>
      <c r="H692" s="55" t="str">
        <f t="shared" si="24"/>
        <v>Shogun CeanataurCrag 2</v>
      </c>
      <c r="I692" s="50">
        <v>0</v>
      </c>
      <c r="J692" s="36">
        <v>2</v>
      </c>
      <c r="K692" s="36">
        <v>3</v>
      </c>
      <c r="L692" s="36">
        <v>3</v>
      </c>
      <c r="M692" s="36">
        <v>0</v>
      </c>
      <c r="N692" s="50">
        <v>0</v>
      </c>
      <c r="O692" s="36">
        <v>2</v>
      </c>
      <c r="P692" s="36">
        <v>3</v>
      </c>
      <c r="Q692" s="36">
        <v>3</v>
      </c>
      <c r="R692" s="36">
        <v>0</v>
      </c>
      <c r="S692" s="50">
        <v>0</v>
      </c>
      <c r="T692" s="36">
        <v>2</v>
      </c>
      <c r="U692" s="36">
        <v>0</v>
      </c>
      <c r="V692" s="36">
        <v>2</v>
      </c>
      <c r="W692" s="36">
        <v>0</v>
      </c>
      <c r="X692" s="50">
        <v>0</v>
      </c>
      <c r="Y692" s="36">
        <v>2</v>
      </c>
      <c r="Z692" s="36">
        <v>0</v>
      </c>
      <c r="AA692" s="36">
        <v>2</v>
      </c>
      <c r="AB692" s="36">
        <v>0</v>
      </c>
      <c r="AC692" s="50">
        <v>0</v>
      </c>
      <c r="AD692" s="36">
        <v>3</v>
      </c>
      <c r="AE692" s="36">
        <v>0</v>
      </c>
      <c r="AF692" s="36">
        <v>4</v>
      </c>
      <c r="AG692" s="36">
        <v>0</v>
      </c>
      <c r="AH692" s="50">
        <v>0</v>
      </c>
      <c r="AI692" s="36">
        <v>0</v>
      </c>
      <c r="AJ692" s="36">
        <v>0</v>
      </c>
      <c r="AK692" s="36">
        <v>0</v>
      </c>
      <c r="AL692" s="36">
        <v>0</v>
      </c>
      <c r="AM692" s="50">
        <v>0</v>
      </c>
      <c r="AN692" s="36">
        <v>1</v>
      </c>
      <c r="AO692" s="36">
        <v>4</v>
      </c>
      <c r="AP692" s="36">
        <v>4</v>
      </c>
      <c r="AQ692" s="36">
        <v>0</v>
      </c>
      <c r="AR692" s="50">
        <v>0</v>
      </c>
      <c r="AS692" s="36">
        <v>0</v>
      </c>
      <c r="AT692" s="36">
        <v>0</v>
      </c>
      <c r="AU692" s="36">
        <v>0</v>
      </c>
      <c r="AV692" s="36">
        <v>0</v>
      </c>
      <c r="AW692">
        <v>0</v>
      </c>
      <c r="AX692">
        <v>0</v>
      </c>
    </row>
    <row r="693" spans="1:50" x14ac:dyDescent="0.25">
      <c r="A693" s="36"/>
      <c r="B693" t="s">
        <v>120</v>
      </c>
      <c r="C693" s="36" t="str">
        <f>'Status Thresholds'!B684</f>
        <v>Shogun Ceanataur</v>
      </c>
      <c r="E693" s="36" t="str">
        <f t="shared" si="23"/>
        <v>Shogun Ceanataur</v>
      </c>
      <c r="F693" s="36" t="str">
        <f>IFERROR(VLOOKUP($E693,'Status Thresholds'!$E:$AS,1,FALSE),"")</f>
        <v/>
      </c>
      <c r="G693" t="s">
        <v>11</v>
      </c>
      <c r="H693" s="55" t="str">
        <f t="shared" si="24"/>
        <v>Shogun CeanataurCrag 1</v>
      </c>
      <c r="I693" s="50">
        <v>0</v>
      </c>
      <c r="J693" s="36">
        <v>3</v>
      </c>
      <c r="K693" s="36">
        <v>3</v>
      </c>
      <c r="L693" s="36">
        <v>2</v>
      </c>
      <c r="M693" s="36">
        <v>0</v>
      </c>
      <c r="N693" s="50">
        <v>0</v>
      </c>
      <c r="O693" s="36">
        <v>3</v>
      </c>
      <c r="P693" s="36">
        <v>3</v>
      </c>
      <c r="Q693" s="36">
        <v>2</v>
      </c>
      <c r="R693" s="36">
        <v>0</v>
      </c>
      <c r="S693" s="50">
        <v>0</v>
      </c>
      <c r="T693" s="36">
        <v>3</v>
      </c>
      <c r="U693" s="36">
        <v>8</v>
      </c>
      <c r="V693" s="36">
        <v>8</v>
      </c>
      <c r="W693" s="36">
        <v>0</v>
      </c>
      <c r="X693" s="50">
        <v>0</v>
      </c>
      <c r="Y693" s="36">
        <v>3</v>
      </c>
      <c r="Z693" s="36">
        <v>8</v>
      </c>
      <c r="AA693" s="36">
        <v>8</v>
      </c>
      <c r="AB693" s="36">
        <v>0</v>
      </c>
      <c r="AC693" s="50">
        <v>2</v>
      </c>
      <c r="AD693" s="36">
        <v>1</v>
      </c>
      <c r="AE693" s="36">
        <v>6</v>
      </c>
      <c r="AF693" s="36">
        <v>7</v>
      </c>
      <c r="AG693" s="36">
        <v>0</v>
      </c>
      <c r="AH693" s="50">
        <v>0</v>
      </c>
      <c r="AI693" s="36">
        <v>0</v>
      </c>
      <c r="AJ693" s="36">
        <v>0</v>
      </c>
      <c r="AK693" s="36">
        <v>0</v>
      </c>
      <c r="AL693" s="36">
        <v>0</v>
      </c>
      <c r="AM693" s="50">
        <v>2</v>
      </c>
      <c r="AN693" s="36">
        <v>2</v>
      </c>
      <c r="AO693" s="36">
        <v>6</v>
      </c>
      <c r="AP693" s="36">
        <v>8</v>
      </c>
      <c r="AQ693" s="36">
        <v>0</v>
      </c>
      <c r="AR693" s="50">
        <v>0</v>
      </c>
      <c r="AS693" s="36">
        <v>0</v>
      </c>
      <c r="AT693" s="36">
        <v>0</v>
      </c>
      <c r="AU693" s="36">
        <v>0</v>
      </c>
      <c r="AV693" s="36">
        <v>1</v>
      </c>
      <c r="AW693">
        <v>0</v>
      </c>
      <c r="AX693">
        <v>0</v>
      </c>
    </row>
    <row r="694" spans="1:50" x14ac:dyDescent="0.25">
      <c r="A694" s="36"/>
      <c r="B694" t="s">
        <v>119</v>
      </c>
      <c r="C694" s="36" t="str">
        <f>'Status Thresholds'!B685</f>
        <v>Shogun Ceanataur</v>
      </c>
      <c r="E694" s="36" t="str">
        <f t="shared" si="23"/>
        <v>Shogun Ceanataur</v>
      </c>
      <c r="F694" s="36" t="str">
        <f>IFERROR(VLOOKUP($E694,'Status Thresholds'!$E:$AS,1,FALSE),"")</f>
        <v/>
      </c>
      <c r="G694" t="s">
        <v>21</v>
      </c>
      <c r="H694" s="55" t="str">
        <f t="shared" si="24"/>
        <v>Shogun CeanataurTriblast</v>
      </c>
      <c r="I694" s="50">
        <v>0</v>
      </c>
      <c r="J694" s="36">
        <v>2</v>
      </c>
      <c r="K694" s="36">
        <v>2</v>
      </c>
      <c r="L694" s="36">
        <v>2</v>
      </c>
      <c r="M694" s="36">
        <v>0</v>
      </c>
      <c r="N694" s="50">
        <v>0</v>
      </c>
      <c r="O694" s="36">
        <v>2</v>
      </c>
      <c r="P694" s="36">
        <v>2</v>
      </c>
      <c r="Q694" s="36">
        <v>2</v>
      </c>
      <c r="R694" s="36">
        <v>0</v>
      </c>
      <c r="S694" s="50">
        <v>0</v>
      </c>
      <c r="T694" s="36">
        <v>2</v>
      </c>
      <c r="U694" s="36">
        <v>1</v>
      </c>
      <c r="V694" s="36">
        <v>0</v>
      </c>
      <c r="W694" s="36">
        <v>0</v>
      </c>
      <c r="X694" s="50">
        <v>0</v>
      </c>
      <c r="Y694" s="36">
        <v>2</v>
      </c>
      <c r="Z694" s="36">
        <v>1</v>
      </c>
      <c r="AA694" s="36">
        <v>0</v>
      </c>
      <c r="AB694" s="36">
        <v>0</v>
      </c>
      <c r="AC694" s="50">
        <v>1</v>
      </c>
      <c r="AD694" s="36">
        <v>1</v>
      </c>
      <c r="AE694" s="36">
        <v>2</v>
      </c>
      <c r="AF694" s="36">
        <v>2</v>
      </c>
      <c r="AG694" s="36">
        <v>0</v>
      </c>
      <c r="AH694" s="50">
        <v>0</v>
      </c>
      <c r="AI694" s="36">
        <v>0</v>
      </c>
      <c r="AJ694" s="36">
        <v>0</v>
      </c>
      <c r="AK694" s="36">
        <v>0</v>
      </c>
      <c r="AL694" s="36">
        <v>0</v>
      </c>
      <c r="AM694" s="50">
        <v>1</v>
      </c>
      <c r="AN694" s="36">
        <v>2</v>
      </c>
      <c r="AO694" s="36">
        <v>2</v>
      </c>
      <c r="AP694" s="36">
        <v>2</v>
      </c>
      <c r="AQ694" s="36">
        <v>0</v>
      </c>
      <c r="AR694" s="50">
        <v>0</v>
      </c>
      <c r="AS694" s="36">
        <v>0</v>
      </c>
      <c r="AT694" s="36">
        <v>0</v>
      </c>
      <c r="AU694" s="36">
        <v>0</v>
      </c>
      <c r="AV694" s="36">
        <v>0</v>
      </c>
      <c r="AW694">
        <v>0</v>
      </c>
      <c r="AX694">
        <v>0</v>
      </c>
    </row>
    <row r="695" spans="1:50" x14ac:dyDescent="0.25">
      <c r="A695" s="36"/>
      <c r="B695" t="s">
        <v>119</v>
      </c>
      <c r="C695" s="36" t="str">
        <f>'Status Thresholds'!B686</f>
        <v>Shogun Ceanataur</v>
      </c>
      <c r="E695" s="36" t="str">
        <f t="shared" si="23"/>
        <v>Shogun Ceanataur</v>
      </c>
      <c r="F695" s="36" t="str">
        <f>IFERROR(VLOOKUP($E695,'Status Thresholds'!$E:$AS,1,FALSE),"")</f>
        <v/>
      </c>
      <c r="G695" t="s">
        <v>13</v>
      </c>
      <c r="H695" s="55" t="str">
        <f t="shared" si="24"/>
        <v>Shogun CeanataurCrag 3</v>
      </c>
      <c r="I695" s="50">
        <v>1</v>
      </c>
      <c r="J695" s="36">
        <v>0</v>
      </c>
      <c r="K695" s="36">
        <v>0</v>
      </c>
      <c r="L695" s="36">
        <v>0</v>
      </c>
      <c r="M695" s="36">
        <v>0</v>
      </c>
      <c r="N695" s="50">
        <v>1</v>
      </c>
      <c r="O695" s="36">
        <v>0</v>
      </c>
      <c r="P695" s="36">
        <v>0</v>
      </c>
      <c r="Q695" s="36">
        <v>0</v>
      </c>
      <c r="R695" s="36">
        <v>0</v>
      </c>
      <c r="S695" s="50">
        <v>1</v>
      </c>
      <c r="T695" s="36">
        <v>0</v>
      </c>
      <c r="U695" s="36">
        <v>4</v>
      </c>
      <c r="V695" s="36">
        <v>3</v>
      </c>
      <c r="W695" s="36">
        <v>0</v>
      </c>
      <c r="X695" s="50">
        <v>1</v>
      </c>
      <c r="Y695" s="36">
        <v>0</v>
      </c>
      <c r="Z695" s="36">
        <v>4</v>
      </c>
      <c r="AA695" s="36">
        <v>3</v>
      </c>
      <c r="AB695" s="36">
        <v>0</v>
      </c>
      <c r="AC695" s="50">
        <v>0</v>
      </c>
      <c r="AD695" s="36">
        <v>3</v>
      </c>
      <c r="AE695" s="36">
        <v>0</v>
      </c>
      <c r="AF695" s="36">
        <v>0</v>
      </c>
      <c r="AG695" s="36">
        <v>0</v>
      </c>
      <c r="AH695" s="50">
        <v>0</v>
      </c>
      <c r="AI695" s="36">
        <v>0</v>
      </c>
      <c r="AJ695" s="36">
        <v>0</v>
      </c>
      <c r="AK695" s="36">
        <v>0</v>
      </c>
      <c r="AL695" s="36">
        <v>0</v>
      </c>
      <c r="AM695" s="50">
        <v>0</v>
      </c>
      <c r="AN695" s="36">
        <v>0</v>
      </c>
      <c r="AO695" s="36">
        <v>3</v>
      </c>
      <c r="AP695" s="36">
        <v>4</v>
      </c>
      <c r="AQ695" s="36">
        <v>0</v>
      </c>
      <c r="AR695" s="50">
        <v>0</v>
      </c>
      <c r="AS695" s="36">
        <v>0</v>
      </c>
      <c r="AT695" s="36">
        <v>0</v>
      </c>
      <c r="AU695" s="36">
        <v>0</v>
      </c>
      <c r="AV695" s="36">
        <v>0</v>
      </c>
      <c r="AW695">
        <v>0</v>
      </c>
      <c r="AX695">
        <v>0</v>
      </c>
    </row>
    <row r="696" spans="1:50" x14ac:dyDescent="0.25">
      <c r="A696" s="36"/>
      <c r="B696" t="s">
        <v>119</v>
      </c>
      <c r="C696" s="36" t="str">
        <f>'Status Thresholds'!B687</f>
        <v>Shogun Ceanataur</v>
      </c>
      <c r="E696" s="36" t="str">
        <f t="shared" si="23"/>
        <v>Shogun Ceanataur</v>
      </c>
      <c r="F696" s="36" t="str">
        <f>IFERROR(VLOOKUP($E696,'Status Thresholds'!$E:$AS,1,FALSE),"")</f>
        <v/>
      </c>
      <c r="G696" t="s">
        <v>12</v>
      </c>
      <c r="H696" s="55" t="str">
        <f t="shared" si="24"/>
        <v>Shogun CeanataurCrag 2</v>
      </c>
      <c r="I696" s="50">
        <v>1</v>
      </c>
      <c r="J696" s="36">
        <v>2</v>
      </c>
      <c r="K696" s="36">
        <v>0</v>
      </c>
      <c r="L696" s="36">
        <v>3</v>
      </c>
      <c r="M696" s="36">
        <v>0</v>
      </c>
      <c r="N696" s="50">
        <v>1</v>
      </c>
      <c r="O696" s="36">
        <v>2</v>
      </c>
      <c r="P696" s="36">
        <v>0</v>
      </c>
      <c r="Q696" s="36">
        <v>3</v>
      </c>
      <c r="R696" s="36">
        <v>0</v>
      </c>
      <c r="S696" s="50">
        <v>1</v>
      </c>
      <c r="T696" s="36">
        <v>2</v>
      </c>
      <c r="U696" s="36">
        <v>2</v>
      </c>
      <c r="V696" s="36">
        <v>3</v>
      </c>
      <c r="W696" s="36">
        <v>0</v>
      </c>
      <c r="X696" s="50">
        <v>1</v>
      </c>
      <c r="Y696" s="36">
        <v>2</v>
      </c>
      <c r="Z696" s="36">
        <v>2</v>
      </c>
      <c r="AA696" s="36">
        <v>3</v>
      </c>
      <c r="AB696" s="36">
        <v>0</v>
      </c>
      <c r="AC696" s="50">
        <v>1</v>
      </c>
      <c r="AD696" s="36">
        <v>1</v>
      </c>
      <c r="AE696" s="36">
        <v>0</v>
      </c>
      <c r="AF696" s="36">
        <v>4</v>
      </c>
      <c r="AG696" s="36">
        <v>0</v>
      </c>
      <c r="AH696" s="50">
        <v>0</v>
      </c>
      <c r="AI696" s="36">
        <v>0</v>
      </c>
      <c r="AJ696" s="36">
        <v>0</v>
      </c>
      <c r="AK696" s="36">
        <v>0</v>
      </c>
      <c r="AL696" s="36">
        <v>0</v>
      </c>
      <c r="AM696" s="50">
        <v>4</v>
      </c>
      <c r="AN696" s="36">
        <v>2</v>
      </c>
      <c r="AO696" s="36">
        <v>1</v>
      </c>
      <c r="AP696" s="36">
        <v>4</v>
      </c>
      <c r="AQ696" s="36">
        <v>0</v>
      </c>
      <c r="AR696" s="50">
        <v>0</v>
      </c>
      <c r="AS696" s="36">
        <v>0</v>
      </c>
      <c r="AT696" s="36">
        <v>0</v>
      </c>
      <c r="AU696" s="36">
        <v>0</v>
      </c>
      <c r="AV696" s="36">
        <v>0</v>
      </c>
      <c r="AW696">
        <v>0</v>
      </c>
      <c r="AX696">
        <v>0</v>
      </c>
    </row>
    <row r="697" spans="1:50" x14ac:dyDescent="0.25">
      <c r="A697" s="36"/>
      <c r="B697" t="s">
        <v>119</v>
      </c>
      <c r="C697" s="36" t="str">
        <f>'Status Thresholds'!B688</f>
        <v>Shogun Ceanataur</v>
      </c>
      <c r="E697" s="36" t="str">
        <f t="shared" si="23"/>
        <v>Shogun Ceanataur</v>
      </c>
      <c r="F697" s="36" t="str">
        <f>IFERROR(VLOOKUP($E697,'Status Thresholds'!$E:$AS,1,FALSE),"")</f>
        <v/>
      </c>
      <c r="G697" t="s">
        <v>11</v>
      </c>
      <c r="H697" s="55" t="str">
        <f t="shared" si="24"/>
        <v>Shogun CeanataurCrag 1</v>
      </c>
      <c r="I697" s="50">
        <v>3</v>
      </c>
      <c r="J697" s="36">
        <v>1</v>
      </c>
      <c r="K697" s="36">
        <v>7</v>
      </c>
      <c r="L697" s="36">
        <v>7</v>
      </c>
      <c r="M697" s="36">
        <v>0</v>
      </c>
      <c r="N697" s="50">
        <v>3</v>
      </c>
      <c r="O697" s="36">
        <v>1</v>
      </c>
      <c r="P697" s="36">
        <v>7</v>
      </c>
      <c r="Q697" s="36">
        <v>7</v>
      </c>
      <c r="R697" s="36">
        <v>0</v>
      </c>
      <c r="S697" s="50">
        <v>3</v>
      </c>
      <c r="T697" s="36">
        <v>1</v>
      </c>
      <c r="U697" s="36">
        <v>1</v>
      </c>
      <c r="V697" s="36">
        <v>8</v>
      </c>
      <c r="W697" s="36">
        <v>0</v>
      </c>
      <c r="X697" s="50">
        <v>3</v>
      </c>
      <c r="Y697" s="36">
        <v>1</v>
      </c>
      <c r="Z697" s="36">
        <v>1</v>
      </c>
      <c r="AA697" s="36">
        <v>8</v>
      </c>
      <c r="AB697" s="36">
        <v>0</v>
      </c>
      <c r="AC697" s="50">
        <v>2</v>
      </c>
      <c r="AD697" s="36">
        <v>1</v>
      </c>
      <c r="AE697" s="36">
        <v>8</v>
      </c>
      <c r="AF697" s="36">
        <v>7</v>
      </c>
      <c r="AG697" s="36">
        <v>0</v>
      </c>
      <c r="AH697" s="50">
        <v>0</v>
      </c>
      <c r="AI697" s="36">
        <v>0</v>
      </c>
      <c r="AJ697" s="36">
        <v>0</v>
      </c>
      <c r="AK697" s="36">
        <v>0</v>
      </c>
      <c r="AL697" s="36">
        <v>0</v>
      </c>
      <c r="AM697" s="50">
        <v>1</v>
      </c>
      <c r="AN697" s="36">
        <v>6</v>
      </c>
      <c r="AO697" s="36">
        <v>8</v>
      </c>
      <c r="AP697" s="36">
        <v>8</v>
      </c>
      <c r="AQ697" s="36">
        <v>0</v>
      </c>
      <c r="AR697" s="50">
        <v>0</v>
      </c>
      <c r="AS697" s="36">
        <v>0</v>
      </c>
      <c r="AT697" s="36">
        <v>0</v>
      </c>
      <c r="AU697" s="36">
        <v>0</v>
      </c>
      <c r="AV697" s="36">
        <v>1</v>
      </c>
      <c r="AW697">
        <v>0</v>
      </c>
      <c r="AX697">
        <v>0</v>
      </c>
    </row>
    <row r="698" spans="1:50" x14ac:dyDescent="0.25">
      <c r="A698" s="36"/>
      <c r="B698" t="s">
        <v>121</v>
      </c>
      <c r="C698" s="36" t="str">
        <f>'Status Thresholds'!B689</f>
        <v>Silverwind Nargacuga</v>
      </c>
      <c r="D698" t="s">
        <v>14</v>
      </c>
      <c r="E698" s="36" t="str">
        <f t="shared" si="23"/>
        <v>Silverwind NargacugaKO</v>
      </c>
      <c r="F698" s="36" t="str">
        <f>IFERROR(VLOOKUP($E698,'Status Thresholds'!$E:$AS,1,FALSE),"")</f>
        <v>Silverwind NargacugaKO</v>
      </c>
      <c r="H698" s="55" t="str">
        <f t="shared" si="24"/>
        <v>Silverwind NargacugaKO</v>
      </c>
      <c r="I698" s="50">
        <f>VLOOKUP($F698,'Status Thresholds'!$E:$AS,2,FALSE)</f>
        <v>0</v>
      </c>
      <c r="J698" s="36">
        <f>VLOOKUP($F698,'Status Thresholds'!$E:$AS,3,FALSE)</f>
        <v>0</v>
      </c>
      <c r="K698" s="36">
        <f>VLOOKUP($F698,'Status Thresholds'!$E:$AS,4,FALSE)</f>
        <v>0</v>
      </c>
      <c r="L698" s="36">
        <f>VLOOKUP($F698,'Status Thresholds'!$E:$AS,5,FALSE)</f>
        <v>0</v>
      </c>
      <c r="M698" s="36">
        <f>VLOOKUP($F698,'Status Thresholds'!$E:$AS,6,FALSE)</f>
        <v>0</v>
      </c>
      <c r="N698" s="50">
        <f>VLOOKUP($F698,'Status Thresholds'!$E:$AS,7,FALSE)</f>
        <v>0</v>
      </c>
      <c r="O698" s="36">
        <f>VLOOKUP($F698,'Status Thresholds'!$E:$AS,8,FALSE)</f>
        <v>0</v>
      </c>
      <c r="P698" s="36">
        <f>VLOOKUP($F698,'Status Thresholds'!$E:$AS,9,FALSE)</f>
        <v>0</v>
      </c>
      <c r="Q698" s="36">
        <f>VLOOKUP($F698,'Status Thresholds'!$E:$AS,10,FALSE)</f>
        <v>0</v>
      </c>
      <c r="R698" s="36">
        <f>VLOOKUP($F698,'Status Thresholds'!$E:$AS,11,FALSE)</f>
        <v>0</v>
      </c>
      <c r="S698" s="50">
        <f>VLOOKUP($F698,'Status Thresholds'!$E:$AS,12,FALSE)</f>
        <v>0</v>
      </c>
      <c r="T698" s="36">
        <f>VLOOKUP($F698,'Status Thresholds'!$E:$AS,13,FALSE)</f>
        <v>0</v>
      </c>
      <c r="U698" s="36">
        <f>VLOOKUP($F698,'Status Thresholds'!$E:$AS,14,FALSE)</f>
        <v>0</v>
      </c>
      <c r="V698" s="36">
        <f>VLOOKUP($F698,'Status Thresholds'!$E:$AS,15,FALSE)</f>
        <v>0</v>
      </c>
      <c r="W698" s="36">
        <f>VLOOKUP($F698,'Status Thresholds'!$E:$AS,16,FALSE)</f>
        <v>0</v>
      </c>
      <c r="X698" s="50">
        <f>VLOOKUP($F698,'Status Thresholds'!$E:$AS,17,FALSE)</f>
        <v>0</v>
      </c>
      <c r="Y698" s="36">
        <f>VLOOKUP($F698,'Status Thresholds'!$E:$AS,18,FALSE)</f>
        <v>0</v>
      </c>
      <c r="Z698" s="36">
        <f>VLOOKUP($F698,'Status Thresholds'!$E:$AS,19,FALSE)</f>
        <v>0</v>
      </c>
      <c r="AA698" s="36">
        <f>VLOOKUP($F698,'Status Thresholds'!$E:$AS,20,FALSE)</f>
        <v>0</v>
      </c>
      <c r="AB698" s="36">
        <f>VLOOKUP($F698,'Status Thresholds'!$E:$AS,21,FALSE)</f>
        <v>0</v>
      </c>
      <c r="AC698" s="50">
        <f>VLOOKUP($F698,'Status Thresholds'!$E:$AS,22,FALSE)</f>
        <v>0</v>
      </c>
      <c r="AD698" s="36">
        <f>VLOOKUP($F698,'Status Thresholds'!$E:$AS,23,FALSE)</f>
        <v>0</v>
      </c>
      <c r="AE698" s="36">
        <f>VLOOKUP($F698,'Status Thresholds'!$E:$AS,24,FALSE)</f>
        <v>0</v>
      </c>
      <c r="AF698" s="36">
        <f>VLOOKUP($F698,'Status Thresholds'!$E:$AS,25,FALSE)</f>
        <v>0</v>
      </c>
      <c r="AG698" s="36">
        <f>VLOOKUP($F698,'Status Thresholds'!$E:$AS,26,FALSE)</f>
        <v>0</v>
      </c>
      <c r="AH698" s="50">
        <f>VLOOKUP($F698,'Status Thresholds'!$E:$AS,27,FALSE)</f>
        <v>0</v>
      </c>
      <c r="AI698" s="36">
        <f>VLOOKUP($F698,'Status Thresholds'!$E:$AS,28,FALSE)</f>
        <v>0</v>
      </c>
      <c r="AJ698" s="36">
        <f>VLOOKUP($F698,'Status Thresholds'!$E:$AS,29,FALSE)</f>
        <v>0</v>
      </c>
      <c r="AK698" s="36">
        <f>VLOOKUP($F698,'Status Thresholds'!$E:$AS,30,FALSE)</f>
        <v>0</v>
      </c>
      <c r="AL698" s="36">
        <f>VLOOKUP($F698,'Status Thresholds'!$E:$AS,31,FALSE)</f>
        <v>0</v>
      </c>
      <c r="AM698" s="50">
        <f>VLOOKUP($F698,'Status Thresholds'!$E:$AS,32,FALSE)</f>
        <v>0</v>
      </c>
      <c r="AN698" s="36">
        <f>VLOOKUP($F698,'Status Thresholds'!$E:$AS,33,FALSE)</f>
        <v>0</v>
      </c>
      <c r="AO698" s="36">
        <f>VLOOKUP($F698,'Status Thresholds'!$E:$AS,34,FALSE)</f>
        <v>0</v>
      </c>
      <c r="AP698" s="36">
        <f>VLOOKUP($F698,'Status Thresholds'!$E:$AS,35,FALSE)</f>
        <v>0</v>
      </c>
      <c r="AQ698" s="36">
        <f>VLOOKUP($F698,'Status Thresholds'!$E:$AS,36,FALSE)</f>
        <v>0</v>
      </c>
      <c r="AR698" s="50">
        <f>VLOOKUP($F698,'Status Thresholds'!$E:$AS,37,FALSE)</f>
        <v>0</v>
      </c>
      <c r="AS698" s="36">
        <f>VLOOKUP($F698,'Status Thresholds'!$E:$AS,38,FALSE)</f>
        <v>0</v>
      </c>
      <c r="AT698" s="36">
        <f>VLOOKUP($F698,'Status Thresholds'!$E:$AS,39,FALSE)</f>
        <v>0</v>
      </c>
      <c r="AU698" s="36">
        <f>VLOOKUP($F698,'Status Thresholds'!$E:$AS,40,FALSE)</f>
        <v>0</v>
      </c>
      <c r="AV698" s="36">
        <f>VLOOKUP($F698,'Status Thresholds'!$E:$AS,41,FALSE)</f>
        <v>10</v>
      </c>
      <c r="AW698">
        <v>0</v>
      </c>
      <c r="AX698">
        <v>0</v>
      </c>
    </row>
    <row r="699" spans="1:50" x14ac:dyDescent="0.25">
      <c r="A699" s="36"/>
      <c r="B699" t="s">
        <v>120</v>
      </c>
      <c r="C699" s="36" t="str">
        <f>'Status Thresholds'!B690</f>
        <v>Silverwind Nargacuga</v>
      </c>
      <c r="E699" s="36" t="str">
        <f t="shared" si="23"/>
        <v>Silverwind Nargacuga</v>
      </c>
      <c r="F699" s="36" t="str">
        <f>IFERROR(VLOOKUP($E699,'Status Thresholds'!$E:$AS,1,FALSE),"")</f>
        <v/>
      </c>
      <c r="G699" t="s">
        <v>21</v>
      </c>
      <c r="H699" s="55" t="str">
        <f t="shared" si="24"/>
        <v>Silverwind NargacugaTriblast</v>
      </c>
      <c r="I699" s="50">
        <v>0</v>
      </c>
      <c r="J699" s="36">
        <v>0</v>
      </c>
      <c r="K699" s="36">
        <v>0</v>
      </c>
      <c r="L699" s="36">
        <v>0</v>
      </c>
      <c r="M699" s="36">
        <v>0</v>
      </c>
      <c r="N699" s="50">
        <v>0</v>
      </c>
      <c r="O699" s="36">
        <v>0</v>
      </c>
      <c r="P699" s="36">
        <v>0</v>
      </c>
      <c r="Q699" s="36">
        <v>0</v>
      </c>
      <c r="R699" s="36">
        <v>0</v>
      </c>
      <c r="S699" s="50">
        <v>0</v>
      </c>
      <c r="T699" s="36">
        <v>0</v>
      </c>
      <c r="U699" s="36">
        <v>0</v>
      </c>
      <c r="V699" s="36">
        <v>0</v>
      </c>
      <c r="W699" s="36">
        <v>0</v>
      </c>
      <c r="X699" s="50">
        <v>0</v>
      </c>
      <c r="Y699" s="36">
        <v>0</v>
      </c>
      <c r="Z699" s="36">
        <v>0</v>
      </c>
      <c r="AA699" s="36">
        <v>0</v>
      </c>
      <c r="AB699" s="36">
        <v>0</v>
      </c>
      <c r="AC699" s="50">
        <v>0</v>
      </c>
      <c r="AD699" s="36">
        <v>0</v>
      </c>
      <c r="AE699" s="36">
        <v>0</v>
      </c>
      <c r="AF699" s="36">
        <v>0</v>
      </c>
      <c r="AG699" s="36">
        <v>0</v>
      </c>
      <c r="AH699" s="50">
        <v>0</v>
      </c>
      <c r="AI699" s="36">
        <v>0</v>
      </c>
      <c r="AJ699" s="36">
        <v>0</v>
      </c>
      <c r="AK699" s="36">
        <v>0</v>
      </c>
      <c r="AL699" s="36">
        <v>0</v>
      </c>
      <c r="AM699" s="50">
        <v>0</v>
      </c>
      <c r="AN699" s="36">
        <v>0</v>
      </c>
      <c r="AO699" s="36">
        <v>0</v>
      </c>
      <c r="AP699" s="36">
        <v>0</v>
      </c>
      <c r="AQ699" s="36">
        <v>0</v>
      </c>
      <c r="AR699" s="50">
        <v>0</v>
      </c>
      <c r="AS699" s="36">
        <v>0</v>
      </c>
      <c r="AT699" s="36">
        <v>0</v>
      </c>
      <c r="AU699" s="36">
        <v>0</v>
      </c>
      <c r="AV699" s="36">
        <v>0</v>
      </c>
      <c r="AW699">
        <v>0</v>
      </c>
    </row>
    <row r="700" spans="1:50" x14ac:dyDescent="0.25">
      <c r="A700" s="36"/>
      <c r="B700" t="s">
        <v>120</v>
      </c>
      <c r="C700" s="36" t="str">
        <f>'Status Thresholds'!B691</f>
        <v>Silverwind Nargacuga</v>
      </c>
      <c r="E700" s="36" t="str">
        <f t="shared" si="23"/>
        <v>Silverwind Nargacuga</v>
      </c>
      <c r="F700" s="36" t="str">
        <f>IFERROR(VLOOKUP($E700,'Status Thresholds'!$E:$AS,1,FALSE),"")</f>
        <v/>
      </c>
      <c r="G700" t="s">
        <v>13</v>
      </c>
      <c r="H700" s="55" t="str">
        <f t="shared" si="24"/>
        <v>Silverwind NargacugaCrag 3</v>
      </c>
      <c r="I700" s="50">
        <v>0</v>
      </c>
      <c r="J700" s="36">
        <v>0</v>
      </c>
      <c r="K700" s="36">
        <v>0</v>
      </c>
      <c r="L700" s="36">
        <v>0</v>
      </c>
      <c r="M700" s="36">
        <v>0</v>
      </c>
      <c r="N700" s="50">
        <v>0</v>
      </c>
      <c r="O700" s="36">
        <v>0</v>
      </c>
      <c r="P700" s="36">
        <v>0</v>
      </c>
      <c r="Q700" s="36">
        <v>0</v>
      </c>
      <c r="R700" s="36">
        <v>0</v>
      </c>
      <c r="S700" s="50">
        <v>0</v>
      </c>
      <c r="T700" s="36">
        <v>0</v>
      </c>
      <c r="U700" s="36">
        <v>0</v>
      </c>
      <c r="V700" s="36">
        <v>0</v>
      </c>
      <c r="W700" s="36">
        <v>0</v>
      </c>
      <c r="X700" s="50">
        <v>0</v>
      </c>
      <c r="Y700" s="36">
        <v>0</v>
      </c>
      <c r="Z700" s="36">
        <v>0</v>
      </c>
      <c r="AA700" s="36">
        <v>0</v>
      </c>
      <c r="AB700" s="36">
        <v>0</v>
      </c>
      <c r="AC700" s="50">
        <v>0</v>
      </c>
      <c r="AD700" s="36">
        <v>0</v>
      </c>
      <c r="AE700" s="36">
        <v>0</v>
      </c>
      <c r="AF700" s="36">
        <v>0</v>
      </c>
      <c r="AG700" s="36">
        <v>0</v>
      </c>
      <c r="AH700" s="50">
        <v>0</v>
      </c>
      <c r="AI700" s="36">
        <v>0</v>
      </c>
      <c r="AJ700" s="36">
        <v>0</v>
      </c>
      <c r="AK700" s="36">
        <v>0</v>
      </c>
      <c r="AL700" s="36">
        <v>0</v>
      </c>
      <c r="AM700" s="50">
        <v>0</v>
      </c>
      <c r="AN700" s="36">
        <v>0</v>
      </c>
      <c r="AO700" s="36">
        <v>0</v>
      </c>
      <c r="AP700" s="36">
        <v>0</v>
      </c>
      <c r="AQ700" s="36">
        <v>0</v>
      </c>
      <c r="AR700" s="50">
        <v>0</v>
      </c>
      <c r="AS700" s="36">
        <v>0</v>
      </c>
      <c r="AT700" s="36">
        <v>0</v>
      </c>
      <c r="AU700" s="36">
        <v>0</v>
      </c>
      <c r="AV700" s="36">
        <v>0</v>
      </c>
      <c r="AW700">
        <v>0</v>
      </c>
      <c r="AX700">
        <v>0</v>
      </c>
    </row>
    <row r="701" spans="1:50" x14ac:dyDescent="0.25">
      <c r="A701" s="36"/>
      <c r="B701" t="s">
        <v>120</v>
      </c>
      <c r="C701" s="36" t="str">
        <f>'Status Thresholds'!B692</f>
        <v>Silverwind Nargacuga</v>
      </c>
      <c r="E701" s="36" t="str">
        <f t="shared" si="23"/>
        <v>Silverwind Nargacuga</v>
      </c>
      <c r="F701" s="36" t="str">
        <f>IFERROR(VLOOKUP($E701,'Status Thresholds'!$E:$AS,1,FALSE),"")</f>
        <v/>
      </c>
      <c r="G701" t="s">
        <v>12</v>
      </c>
      <c r="H701" s="55" t="str">
        <f t="shared" si="24"/>
        <v>Silverwind NargacugaCrag 2</v>
      </c>
      <c r="I701" s="50">
        <v>0</v>
      </c>
      <c r="J701" s="36">
        <v>0</v>
      </c>
      <c r="K701" s="36">
        <v>0</v>
      </c>
      <c r="L701" s="36">
        <v>0</v>
      </c>
      <c r="M701" s="36">
        <v>0</v>
      </c>
      <c r="N701" s="50">
        <v>0</v>
      </c>
      <c r="O701" s="36">
        <v>0</v>
      </c>
      <c r="P701" s="36">
        <v>0</v>
      </c>
      <c r="Q701" s="36">
        <v>0</v>
      </c>
      <c r="R701" s="36">
        <v>0</v>
      </c>
      <c r="S701" s="50">
        <v>0</v>
      </c>
      <c r="T701" s="36">
        <v>0</v>
      </c>
      <c r="U701" s="36">
        <v>0</v>
      </c>
      <c r="V701" s="36">
        <v>0</v>
      </c>
      <c r="W701" s="36">
        <v>0</v>
      </c>
      <c r="X701" s="50">
        <v>0</v>
      </c>
      <c r="Y701" s="36">
        <v>0</v>
      </c>
      <c r="Z701" s="36">
        <v>0</v>
      </c>
      <c r="AA701" s="36">
        <v>0</v>
      </c>
      <c r="AB701" s="36">
        <v>0</v>
      </c>
      <c r="AC701" s="50">
        <v>0</v>
      </c>
      <c r="AD701" s="36">
        <v>0</v>
      </c>
      <c r="AE701" s="36">
        <v>0</v>
      </c>
      <c r="AF701" s="36">
        <v>0</v>
      </c>
      <c r="AG701" s="36">
        <v>0</v>
      </c>
      <c r="AH701" s="50">
        <v>0</v>
      </c>
      <c r="AI701" s="36">
        <v>0</v>
      </c>
      <c r="AJ701" s="36">
        <v>0</v>
      </c>
      <c r="AK701" s="36">
        <v>0</v>
      </c>
      <c r="AL701" s="36">
        <v>0</v>
      </c>
      <c r="AM701" s="50">
        <v>0</v>
      </c>
      <c r="AN701" s="36">
        <v>0</v>
      </c>
      <c r="AO701" s="36">
        <v>0</v>
      </c>
      <c r="AP701" s="36">
        <v>0</v>
      </c>
      <c r="AQ701" s="36">
        <v>0</v>
      </c>
      <c r="AR701" s="50">
        <v>0</v>
      </c>
      <c r="AS701" s="36">
        <v>0</v>
      </c>
      <c r="AT701" s="36">
        <v>0</v>
      </c>
      <c r="AU701" s="36">
        <v>0</v>
      </c>
      <c r="AV701" s="36">
        <v>0</v>
      </c>
      <c r="AW701">
        <v>0</v>
      </c>
      <c r="AX701">
        <v>0</v>
      </c>
    </row>
    <row r="702" spans="1:50" x14ac:dyDescent="0.25">
      <c r="A702" s="36"/>
      <c r="B702" t="s">
        <v>120</v>
      </c>
      <c r="C702" s="36" t="str">
        <f>'Status Thresholds'!B693</f>
        <v>Silverwind Nargacuga</v>
      </c>
      <c r="E702" s="36" t="str">
        <f t="shared" si="23"/>
        <v>Silverwind Nargacuga</v>
      </c>
      <c r="F702" s="36" t="str">
        <f>IFERROR(VLOOKUP($E702,'Status Thresholds'!$E:$AS,1,FALSE),"")</f>
        <v/>
      </c>
      <c r="G702" t="s">
        <v>11</v>
      </c>
      <c r="H702" s="55" t="str">
        <f t="shared" si="24"/>
        <v>Silverwind NargacugaCrag 1</v>
      </c>
      <c r="I702" s="50">
        <v>0</v>
      </c>
      <c r="J702" s="36">
        <v>0</v>
      </c>
      <c r="K702" s="36">
        <v>0</v>
      </c>
      <c r="L702" s="36">
        <v>0</v>
      </c>
      <c r="M702" s="36">
        <v>0</v>
      </c>
      <c r="N702" s="50">
        <v>0</v>
      </c>
      <c r="O702" s="36">
        <v>0</v>
      </c>
      <c r="P702" s="36">
        <v>0</v>
      </c>
      <c r="Q702" s="36">
        <v>0</v>
      </c>
      <c r="R702" s="36">
        <v>0</v>
      </c>
      <c r="S702" s="50">
        <v>0</v>
      </c>
      <c r="T702" s="36">
        <v>0</v>
      </c>
      <c r="U702" s="36">
        <v>0</v>
      </c>
      <c r="V702" s="36">
        <v>0</v>
      </c>
      <c r="W702" s="36">
        <v>0</v>
      </c>
      <c r="X702" s="50">
        <v>0</v>
      </c>
      <c r="Y702" s="36">
        <v>0</v>
      </c>
      <c r="Z702" s="36">
        <v>0</v>
      </c>
      <c r="AA702" s="36">
        <v>0</v>
      </c>
      <c r="AB702" s="36">
        <v>0</v>
      </c>
      <c r="AC702" s="50">
        <v>0</v>
      </c>
      <c r="AD702" s="36">
        <v>0</v>
      </c>
      <c r="AE702" s="36">
        <v>0</v>
      </c>
      <c r="AF702" s="36">
        <v>0</v>
      </c>
      <c r="AG702" s="36">
        <v>0</v>
      </c>
      <c r="AH702" s="50">
        <v>0</v>
      </c>
      <c r="AI702" s="36">
        <v>0</v>
      </c>
      <c r="AJ702" s="36">
        <v>0</v>
      </c>
      <c r="AK702" s="36">
        <v>0</v>
      </c>
      <c r="AL702" s="36">
        <v>0</v>
      </c>
      <c r="AM702" s="50">
        <v>0</v>
      </c>
      <c r="AN702" s="36">
        <v>0</v>
      </c>
      <c r="AO702" s="36">
        <v>0</v>
      </c>
      <c r="AP702" s="36">
        <v>0</v>
      </c>
      <c r="AQ702" s="36">
        <v>0</v>
      </c>
      <c r="AR702" s="50">
        <v>0</v>
      </c>
      <c r="AS702" s="36">
        <v>0</v>
      </c>
      <c r="AT702" s="36">
        <v>0</v>
      </c>
      <c r="AU702" s="36">
        <v>0</v>
      </c>
      <c r="AV702" s="36">
        <v>1</v>
      </c>
      <c r="AW702">
        <v>0</v>
      </c>
      <c r="AX702">
        <v>0</v>
      </c>
    </row>
    <row r="703" spans="1:50" x14ac:dyDescent="0.25">
      <c r="A703" s="36"/>
      <c r="B703" t="s">
        <v>119</v>
      </c>
      <c r="C703" s="36" t="str">
        <f>'Status Thresholds'!B694</f>
        <v>Silverwind Nargacuga</v>
      </c>
      <c r="E703" s="36" t="str">
        <f t="shared" si="23"/>
        <v>Silverwind Nargacuga</v>
      </c>
      <c r="F703" s="36" t="str">
        <f>IFERROR(VLOOKUP($E703,'Status Thresholds'!$E:$AS,1,FALSE),"")</f>
        <v/>
      </c>
      <c r="G703" t="s">
        <v>21</v>
      </c>
      <c r="H703" s="55" t="str">
        <f t="shared" si="24"/>
        <v>Silverwind NargacugaTriblast</v>
      </c>
      <c r="I703" s="50">
        <v>0</v>
      </c>
      <c r="J703" s="36">
        <v>0</v>
      </c>
      <c r="K703" s="36">
        <v>0</v>
      </c>
      <c r="L703" s="36">
        <v>0</v>
      </c>
      <c r="M703" s="36">
        <v>0</v>
      </c>
      <c r="N703" s="50">
        <v>0</v>
      </c>
      <c r="O703" s="36">
        <v>0</v>
      </c>
      <c r="P703" s="36">
        <v>0</v>
      </c>
      <c r="Q703" s="36">
        <v>0</v>
      </c>
      <c r="R703" s="36">
        <v>0</v>
      </c>
      <c r="S703" s="50">
        <v>0</v>
      </c>
      <c r="T703" s="36">
        <v>0</v>
      </c>
      <c r="U703" s="36">
        <v>0</v>
      </c>
      <c r="V703" s="36">
        <v>0</v>
      </c>
      <c r="W703" s="36">
        <v>0</v>
      </c>
      <c r="X703" s="50">
        <v>0</v>
      </c>
      <c r="Y703" s="36">
        <v>0</v>
      </c>
      <c r="Z703" s="36">
        <v>0</v>
      </c>
      <c r="AA703" s="36">
        <v>0</v>
      </c>
      <c r="AB703" s="36">
        <v>0</v>
      </c>
      <c r="AC703" s="50">
        <v>0</v>
      </c>
      <c r="AD703" s="36">
        <v>0</v>
      </c>
      <c r="AE703" s="36">
        <v>0</v>
      </c>
      <c r="AF703" s="36">
        <v>0</v>
      </c>
      <c r="AG703" s="36">
        <v>0</v>
      </c>
      <c r="AH703" s="50">
        <v>0</v>
      </c>
      <c r="AI703" s="36">
        <v>0</v>
      </c>
      <c r="AJ703" s="36">
        <v>0</v>
      </c>
      <c r="AK703" s="36">
        <v>0</v>
      </c>
      <c r="AL703" s="36">
        <v>0</v>
      </c>
      <c r="AM703" s="50">
        <v>0</v>
      </c>
      <c r="AN703" s="36">
        <v>0</v>
      </c>
      <c r="AO703" s="36">
        <v>0</v>
      </c>
      <c r="AP703" s="36">
        <v>0</v>
      </c>
      <c r="AQ703" s="36">
        <v>0</v>
      </c>
      <c r="AR703" s="50">
        <v>0</v>
      </c>
      <c r="AS703" s="36">
        <v>0</v>
      </c>
      <c r="AT703" s="36">
        <v>0</v>
      </c>
      <c r="AU703" s="36">
        <v>0</v>
      </c>
      <c r="AV703" s="36">
        <v>0</v>
      </c>
      <c r="AW703">
        <v>0</v>
      </c>
      <c r="AX703">
        <v>0</v>
      </c>
    </row>
    <row r="704" spans="1:50" x14ac:dyDescent="0.25">
      <c r="A704" s="36"/>
      <c r="B704" t="s">
        <v>119</v>
      </c>
      <c r="C704" s="36" t="str">
        <f>'Status Thresholds'!B695</f>
        <v>Silverwind Nargacuga</v>
      </c>
      <c r="E704" s="36" t="str">
        <f t="shared" si="23"/>
        <v>Silverwind Nargacuga</v>
      </c>
      <c r="F704" s="36" t="str">
        <f>IFERROR(VLOOKUP($E704,'Status Thresholds'!$E:$AS,1,FALSE),"")</f>
        <v/>
      </c>
      <c r="G704" t="s">
        <v>13</v>
      </c>
      <c r="H704" s="55" t="str">
        <f t="shared" si="24"/>
        <v>Silverwind NargacugaCrag 3</v>
      </c>
      <c r="I704" s="50">
        <v>0</v>
      </c>
      <c r="J704" s="36">
        <v>0</v>
      </c>
      <c r="K704" s="36">
        <v>0</v>
      </c>
      <c r="L704" s="36">
        <v>0</v>
      </c>
      <c r="M704" s="36">
        <v>0</v>
      </c>
      <c r="N704" s="50">
        <v>0</v>
      </c>
      <c r="O704" s="36">
        <v>0</v>
      </c>
      <c r="P704" s="36">
        <v>0</v>
      </c>
      <c r="Q704" s="36">
        <v>0</v>
      </c>
      <c r="R704" s="36">
        <v>0</v>
      </c>
      <c r="S704" s="50">
        <v>0</v>
      </c>
      <c r="T704" s="36">
        <v>0</v>
      </c>
      <c r="U704" s="36">
        <v>0</v>
      </c>
      <c r="V704" s="36">
        <v>0</v>
      </c>
      <c r="W704" s="36">
        <v>0</v>
      </c>
      <c r="X704" s="50">
        <v>0</v>
      </c>
      <c r="Y704" s="36">
        <v>0</v>
      </c>
      <c r="Z704" s="36">
        <v>0</v>
      </c>
      <c r="AA704" s="36">
        <v>0</v>
      </c>
      <c r="AB704" s="36">
        <v>0</v>
      </c>
      <c r="AC704" s="50">
        <v>0</v>
      </c>
      <c r="AD704" s="36">
        <v>0</v>
      </c>
      <c r="AE704" s="36">
        <v>0</v>
      </c>
      <c r="AF704" s="36">
        <v>0</v>
      </c>
      <c r="AG704" s="36">
        <v>0</v>
      </c>
      <c r="AH704" s="50">
        <v>0</v>
      </c>
      <c r="AI704" s="36">
        <v>0</v>
      </c>
      <c r="AJ704" s="36">
        <v>0</v>
      </c>
      <c r="AK704" s="36">
        <v>0</v>
      </c>
      <c r="AL704" s="36">
        <v>0</v>
      </c>
      <c r="AM704" s="50">
        <v>0</v>
      </c>
      <c r="AN704" s="36">
        <v>0</v>
      </c>
      <c r="AO704" s="36">
        <v>0</v>
      </c>
      <c r="AP704" s="36">
        <v>0</v>
      </c>
      <c r="AQ704" s="36">
        <v>0</v>
      </c>
      <c r="AR704" s="50">
        <v>0</v>
      </c>
      <c r="AS704" s="36">
        <v>0</v>
      </c>
      <c r="AT704" s="36">
        <v>0</v>
      </c>
      <c r="AU704" s="36">
        <v>0</v>
      </c>
      <c r="AV704" s="36">
        <v>0</v>
      </c>
      <c r="AW704">
        <v>0</v>
      </c>
      <c r="AX704">
        <v>0</v>
      </c>
    </row>
    <row r="705" spans="1:50" x14ac:dyDescent="0.25">
      <c r="A705" s="36"/>
      <c r="B705" t="s">
        <v>119</v>
      </c>
      <c r="C705" s="36" t="str">
        <f>'Status Thresholds'!B696</f>
        <v>Silverwind Nargacuga</v>
      </c>
      <c r="E705" s="36" t="str">
        <f t="shared" si="23"/>
        <v>Silverwind Nargacuga</v>
      </c>
      <c r="F705" s="36" t="str">
        <f>IFERROR(VLOOKUP($E705,'Status Thresholds'!$E:$AS,1,FALSE),"")</f>
        <v/>
      </c>
      <c r="G705" t="s">
        <v>12</v>
      </c>
      <c r="H705" s="55" t="str">
        <f t="shared" si="24"/>
        <v>Silverwind NargacugaCrag 2</v>
      </c>
      <c r="I705" s="50">
        <v>0</v>
      </c>
      <c r="J705" s="36">
        <v>0</v>
      </c>
      <c r="K705" s="36">
        <v>0</v>
      </c>
      <c r="L705" s="36">
        <v>0</v>
      </c>
      <c r="M705" s="36">
        <v>0</v>
      </c>
      <c r="N705" s="50">
        <v>0</v>
      </c>
      <c r="O705" s="36">
        <v>0</v>
      </c>
      <c r="P705" s="36">
        <v>0</v>
      </c>
      <c r="Q705" s="36">
        <v>0</v>
      </c>
      <c r="R705" s="36">
        <v>0</v>
      </c>
      <c r="S705" s="50">
        <v>0</v>
      </c>
      <c r="T705" s="36">
        <v>0</v>
      </c>
      <c r="U705" s="36">
        <v>0</v>
      </c>
      <c r="V705" s="36">
        <v>0</v>
      </c>
      <c r="W705" s="36">
        <v>0</v>
      </c>
      <c r="X705" s="50">
        <v>0</v>
      </c>
      <c r="Y705" s="36">
        <v>0</v>
      </c>
      <c r="Z705" s="36">
        <v>0</v>
      </c>
      <c r="AA705" s="36">
        <v>0</v>
      </c>
      <c r="AB705" s="36">
        <v>0</v>
      </c>
      <c r="AC705" s="50">
        <v>0</v>
      </c>
      <c r="AD705" s="36">
        <v>0</v>
      </c>
      <c r="AE705" s="36">
        <v>0</v>
      </c>
      <c r="AF705" s="36">
        <v>0</v>
      </c>
      <c r="AG705" s="36">
        <v>0</v>
      </c>
      <c r="AH705" s="50">
        <v>0</v>
      </c>
      <c r="AI705" s="36">
        <v>0</v>
      </c>
      <c r="AJ705" s="36">
        <v>0</v>
      </c>
      <c r="AK705" s="36">
        <v>0</v>
      </c>
      <c r="AL705" s="36">
        <v>0</v>
      </c>
      <c r="AM705" s="50">
        <v>0</v>
      </c>
      <c r="AN705" s="36">
        <v>0</v>
      </c>
      <c r="AO705" s="36">
        <v>0</v>
      </c>
      <c r="AP705" s="36">
        <v>0</v>
      </c>
      <c r="AQ705" s="36">
        <v>0</v>
      </c>
      <c r="AR705" s="50">
        <v>0</v>
      </c>
      <c r="AS705" s="36">
        <v>0</v>
      </c>
      <c r="AT705" s="36">
        <v>0</v>
      </c>
      <c r="AU705" s="36">
        <v>0</v>
      </c>
      <c r="AV705" s="36">
        <v>0</v>
      </c>
      <c r="AW705">
        <v>0</v>
      </c>
      <c r="AX705">
        <v>0</v>
      </c>
    </row>
    <row r="706" spans="1:50" x14ac:dyDescent="0.25">
      <c r="A706" s="36"/>
      <c r="B706" t="s">
        <v>119</v>
      </c>
      <c r="C706" s="36" t="str">
        <f>'Status Thresholds'!B697</f>
        <v>Silverwind Nargacuga</v>
      </c>
      <c r="E706" s="36" t="str">
        <f t="shared" si="23"/>
        <v>Silverwind Nargacuga</v>
      </c>
      <c r="F706" s="36" t="str">
        <f>IFERROR(VLOOKUP($E706,'Status Thresholds'!$E:$AS,1,FALSE),"")</f>
        <v/>
      </c>
      <c r="G706" t="s">
        <v>11</v>
      </c>
      <c r="H706" s="55" t="str">
        <f t="shared" si="24"/>
        <v>Silverwind NargacugaCrag 1</v>
      </c>
      <c r="I706" s="50">
        <v>0</v>
      </c>
      <c r="J706" s="36">
        <v>0</v>
      </c>
      <c r="K706" s="36">
        <v>0</v>
      </c>
      <c r="L706" s="36">
        <v>0</v>
      </c>
      <c r="M706" s="36">
        <v>0</v>
      </c>
      <c r="N706" s="50">
        <v>0</v>
      </c>
      <c r="O706" s="36">
        <v>0</v>
      </c>
      <c r="P706" s="36">
        <v>0</v>
      </c>
      <c r="Q706" s="36">
        <v>0</v>
      </c>
      <c r="R706" s="36">
        <v>0</v>
      </c>
      <c r="S706" s="50">
        <v>0</v>
      </c>
      <c r="T706" s="36">
        <v>0</v>
      </c>
      <c r="U706" s="36">
        <v>0</v>
      </c>
      <c r="V706" s="36">
        <v>0</v>
      </c>
      <c r="W706" s="36">
        <v>0</v>
      </c>
      <c r="X706" s="50">
        <v>0</v>
      </c>
      <c r="Y706" s="36">
        <v>0</v>
      </c>
      <c r="Z706" s="36">
        <v>0</v>
      </c>
      <c r="AA706" s="36">
        <v>0</v>
      </c>
      <c r="AB706" s="36">
        <v>0</v>
      </c>
      <c r="AC706" s="50">
        <v>0</v>
      </c>
      <c r="AD706" s="36">
        <v>0</v>
      </c>
      <c r="AE706" s="36">
        <v>0</v>
      </c>
      <c r="AF706" s="36">
        <v>0</v>
      </c>
      <c r="AG706" s="36">
        <v>0</v>
      </c>
      <c r="AH706" s="50">
        <v>0</v>
      </c>
      <c r="AI706" s="36">
        <v>0</v>
      </c>
      <c r="AJ706" s="36">
        <v>0</v>
      </c>
      <c r="AK706" s="36">
        <v>0</v>
      </c>
      <c r="AL706" s="36">
        <v>0</v>
      </c>
      <c r="AM706" s="50">
        <v>0</v>
      </c>
      <c r="AN706" s="36">
        <v>0</v>
      </c>
      <c r="AO706" s="36">
        <v>0</v>
      </c>
      <c r="AP706" s="36">
        <v>0</v>
      </c>
      <c r="AQ706" s="36">
        <v>0</v>
      </c>
      <c r="AR706" s="50">
        <v>0</v>
      </c>
      <c r="AS706" s="36">
        <v>0</v>
      </c>
      <c r="AT706" s="36">
        <v>0</v>
      </c>
      <c r="AU706" s="36">
        <v>0</v>
      </c>
      <c r="AV706" s="36">
        <v>1</v>
      </c>
      <c r="AW706">
        <v>0</v>
      </c>
      <c r="AX706">
        <v>0</v>
      </c>
    </row>
    <row r="707" spans="1:50" x14ac:dyDescent="0.25">
      <c r="A707" s="36"/>
      <c r="B707" t="s">
        <v>121</v>
      </c>
      <c r="C707" s="36" t="str">
        <f>'Status Thresholds'!B698</f>
        <v>Snowbaron Lagombi</v>
      </c>
      <c r="D707" t="s">
        <v>14</v>
      </c>
      <c r="E707" s="36" t="str">
        <f t="shared" si="23"/>
        <v>Snowbaron LagombiKO</v>
      </c>
      <c r="F707" s="36" t="str">
        <f>IFERROR(VLOOKUP($E707,'Status Thresholds'!$E:$AS,1,FALSE),"")</f>
        <v>Snowbaron LagombiKO</v>
      </c>
      <c r="H707" s="55" t="str">
        <f t="shared" si="24"/>
        <v>Snowbaron LagombiKO</v>
      </c>
      <c r="I707" s="50">
        <f>VLOOKUP($F707,'Status Thresholds'!$E:$AS,2,FALSE)</f>
        <v>0</v>
      </c>
      <c r="J707" s="36">
        <f>VLOOKUP($F707,'Status Thresholds'!$E:$AS,3,FALSE)</f>
        <v>0</v>
      </c>
      <c r="K707" s="36">
        <f>VLOOKUP($F707,'Status Thresholds'!$E:$AS,4,FALSE)</f>
        <v>0</v>
      </c>
      <c r="L707" s="36">
        <f>VLOOKUP($F707,'Status Thresholds'!$E:$AS,5,FALSE)</f>
        <v>0</v>
      </c>
      <c r="M707" s="36">
        <f>VLOOKUP($F707,'Status Thresholds'!$E:$AS,6,FALSE)</f>
        <v>0</v>
      </c>
      <c r="N707" s="50">
        <f>VLOOKUP($F707,'Status Thresholds'!$E:$AS,7,FALSE)</f>
        <v>0</v>
      </c>
      <c r="O707" s="36">
        <f>VLOOKUP($F707,'Status Thresholds'!$E:$AS,8,FALSE)</f>
        <v>0</v>
      </c>
      <c r="P707" s="36">
        <f>VLOOKUP($F707,'Status Thresholds'!$E:$AS,9,FALSE)</f>
        <v>0</v>
      </c>
      <c r="Q707" s="36">
        <f>VLOOKUP($F707,'Status Thresholds'!$E:$AS,10,FALSE)</f>
        <v>0</v>
      </c>
      <c r="R707" s="36">
        <f>VLOOKUP($F707,'Status Thresholds'!$E:$AS,11,FALSE)</f>
        <v>0</v>
      </c>
      <c r="S707" s="50">
        <f>VLOOKUP($F707,'Status Thresholds'!$E:$AS,12,FALSE)</f>
        <v>0</v>
      </c>
      <c r="T707" s="36">
        <f>VLOOKUP($F707,'Status Thresholds'!$E:$AS,13,FALSE)</f>
        <v>0</v>
      </c>
      <c r="U707" s="36">
        <f>VLOOKUP($F707,'Status Thresholds'!$E:$AS,14,FALSE)</f>
        <v>0</v>
      </c>
      <c r="V707" s="36">
        <f>VLOOKUP($F707,'Status Thresholds'!$E:$AS,15,FALSE)</f>
        <v>0</v>
      </c>
      <c r="W707" s="36">
        <f>VLOOKUP($F707,'Status Thresholds'!$E:$AS,16,FALSE)</f>
        <v>0</v>
      </c>
      <c r="X707" s="50">
        <f>VLOOKUP($F707,'Status Thresholds'!$E:$AS,17,FALSE)</f>
        <v>0</v>
      </c>
      <c r="Y707" s="36">
        <f>VLOOKUP($F707,'Status Thresholds'!$E:$AS,18,FALSE)</f>
        <v>0</v>
      </c>
      <c r="Z707" s="36">
        <f>VLOOKUP($F707,'Status Thresholds'!$E:$AS,19,FALSE)</f>
        <v>0</v>
      </c>
      <c r="AA707" s="36">
        <f>VLOOKUP($F707,'Status Thresholds'!$E:$AS,20,FALSE)</f>
        <v>0</v>
      </c>
      <c r="AB707" s="36">
        <f>VLOOKUP($F707,'Status Thresholds'!$E:$AS,21,FALSE)</f>
        <v>0</v>
      </c>
      <c r="AC707" s="50">
        <f>VLOOKUP($F707,'Status Thresholds'!$E:$AS,22,FALSE)</f>
        <v>0</v>
      </c>
      <c r="AD707" s="36">
        <f>VLOOKUP($F707,'Status Thresholds'!$E:$AS,23,FALSE)</f>
        <v>0</v>
      </c>
      <c r="AE707" s="36">
        <f>VLOOKUP($F707,'Status Thresholds'!$E:$AS,24,FALSE)</f>
        <v>0</v>
      </c>
      <c r="AF707" s="36">
        <f>VLOOKUP($F707,'Status Thresholds'!$E:$AS,25,FALSE)</f>
        <v>0</v>
      </c>
      <c r="AG707" s="36">
        <f>VLOOKUP($F707,'Status Thresholds'!$E:$AS,26,FALSE)</f>
        <v>0</v>
      </c>
      <c r="AH707" s="50">
        <f>VLOOKUP($F707,'Status Thresholds'!$E:$AS,27,FALSE)</f>
        <v>0</v>
      </c>
      <c r="AI707" s="36">
        <f>VLOOKUP($F707,'Status Thresholds'!$E:$AS,28,FALSE)</f>
        <v>0</v>
      </c>
      <c r="AJ707" s="36">
        <f>VLOOKUP($F707,'Status Thresholds'!$E:$AS,29,FALSE)</f>
        <v>0</v>
      </c>
      <c r="AK707" s="36">
        <f>VLOOKUP($F707,'Status Thresholds'!$E:$AS,30,FALSE)</f>
        <v>0</v>
      </c>
      <c r="AL707" s="36">
        <f>VLOOKUP($F707,'Status Thresholds'!$E:$AS,31,FALSE)</f>
        <v>0</v>
      </c>
      <c r="AM707" s="50">
        <f>VLOOKUP($F707,'Status Thresholds'!$E:$AS,32,FALSE)</f>
        <v>0</v>
      </c>
      <c r="AN707" s="36">
        <f>VLOOKUP($F707,'Status Thresholds'!$E:$AS,33,FALSE)</f>
        <v>0</v>
      </c>
      <c r="AO707" s="36">
        <f>VLOOKUP($F707,'Status Thresholds'!$E:$AS,34,FALSE)</f>
        <v>0</v>
      </c>
      <c r="AP707" s="36">
        <f>VLOOKUP($F707,'Status Thresholds'!$E:$AS,35,FALSE)</f>
        <v>0</v>
      </c>
      <c r="AQ707" s="36">
        <f>VLOOKUP($F707,'Status Thresholds'!$E:$AS,36,FALSE)</f>
        <v>0</v>
      </c>
      <c r="AR707" s="50">
        <f>VLOOKUP($F707,'Status Thresholds'!$E:$AS,37,FALSE)</f>
        <v>0</v>
      </c>
      <c r="AS707" s="36">
        <f>VLOOKUP($F707,'Status Thresholds'!$E:$AS,38,FALSE)</f>
        <v>0</v>
      </c>
      <c r="AT707" s="36">
        <f>VLOOKUP($F707,'Status Thresholds'!$E:$AS,39,FALSE)</f>
        <v>0</v>
      </c>
      <c r="AU707" s="36">
        <f>VLOOKUP($F707,'Status Thresholds'!$E:$AS,40,FALSE)</f>
        <v>0</v>
      </c>
      <c r="AV707" s="36">
        <f>VLOOKUP($F707,'Status Thresholds'!$E:$AS,41,FALSE)</f>
        <v>10</v>
      </c>
      <c r="AW707">
        <v>0</v>
      </c>
      <c r="AX707">
        <v>0</v>
      </c>
    </row>
    <row r="708" spans="1:50" x14ac:dyDescent="0.25">
      <c r="A708" s="36"/>
      <c r="B708" t="s">
        <v>120</v>
      </c>
      <c r="C708" s="36" t="str">
        <f>'Status Thresholds'!B699</f>
        <v>Snowbaron Lagombi</v>
      </c>
      <c r="E708" s="36" t="str">
        <f t="shared" si="23"/>
        <v>Snowbaron Lagombi</v>
      </c>
      <c r="F708" s="36" t="str">
        <f>IFERROR(VLOOKUP($E708,'Status Thresholds'!$E:$AS,1,FALSE),"")</f>
        <v/>
      </c>
      <c r="G708" t="s">
        <v>21</v>
      </c>
      <c r="H708" s="55" t="str">
        <f t="shared" si="24"/>
        <v>Snowbaron LagombiTriblast</v>
      </c>
      <c r="I708" s="50">
        <v>0</v>
      </c>
      <c r="J708" s="36">
        <v>0</v>
      </c>
      <c r="K708" s="36">
        <v>0</v>
      </c>
      <c r="L708" s="36">
        <v>0</v>
      </c>
      <c r="M708" s="36">
        <v>0</v>
      </c>
      <c r="N708" s="50">
        <v>0</v>
      </c>
      <c r="O708" s="36">
        <v>0</v>
      </c>
      <c r="P708" s="36">
        <v>0</v>
      </c>
      <c r="Q708" s="36">
        <v>0</v>
      </c>
      <c r="R708" s="36">
        <v>0</v>
      </c>
      <c r="S708" s="50">
        <v>0</v>
      </c>
      <c r="T708" s="36">
        <v>0</v>
      </c>
      <c r="U708" s="36">
        <v>0</v>
      </c>
      <c r="V708" s="36">
        <v>0</v>
      </c>
      <c r="W708" s="36">
        <v>0</v>
      </c>
      <c r="X708" s="50">
        <v>0</v>
      </c>
      <c r="Y708" s="36">
        <v>0</v>
      </c>
      <c r="Z708" s="36">
        <v>0</v>
      </c>
      <c r="AA708" s="36">
        <v>0</v>
      </c>
      <c r="AB708" s="36">
        <v>0</v>
      </c>
      <c r="AC708" s="50">
        <v>0</v>
      </c>
      <c r="AD708" s="36">
        <v>0</v>
      </c>
      <c r="AE708" s="36">
        <v>0</v>
      </c>
      <c r="AF708" s="36">
        <v>0</v>
      </c>
      <c r="AG708" s="36">
        <v>0</v>
      </c>
      <c r="AH708" s="50">
        <v>0</v>
      </c>
      <c r="AI708" s="36">
        <v>0</v>
      </c>
      <c r="AJ708" s="36">
        <v>0</v>
      </c>
      <c r="AK708" s="36">
        <v>0</v>
      </c>
      <c r="AL708" s="36">
        <v>0</v>
      </c>
      <c r="AM708" s="50">
        <v>0</v>
      </c>
      <c r="AN708" s="36">
        <v>0</v>
      </c>
      <c r="AO708" s="36">
        <v>0</v>
      </c>
      <c r="AP708" s="36">
        <v>0</v>
      </c>
      <c r="AQ708" s="36">
        <v>0</v>
      </c>
      <c r="AR708" s="50">
        <v>0</v>
      </c>
      <c r="AS708" s="36">
        <v>0</v>
      </c>
      <c r="AT708" s="36">
        <v>0</v>
      </c>
      <c r="AU708" s="36">
        <v>0</v>
      </c>
      <c r="AV708" s="36">
        <v>0</v>
      </c>
      <c r="AW708">
        <v>0</v>
      </c>
    </row>
    <row r="709" spans="1:50" x14ac:dyDescent="0.25">
      <c r="A709" s="36"/>
      <c r="B709" t="s">
        <v>120</v>
      </c>
      <c r="C709" s="36" t="str">
        <f>'Status Thresholds'!B700</f>
        <v>Snowbaron Lagombi</v>
      </c>
      <c r="E709" s="36" t="str">
        <f t="shared" si="23"/>
        <v>Snowbaron Lagombi</v>
      </c>
      <c r="F709" s="36" t="str">
        <f>IFERROR(VLOOKUP($E709,'Status Thresholds'!$E:$AS,1,FALSE),"")</f>
        <v/>
      </c>
      <c r="G709" t="s">
        <v>13</v>
      </c>
      <c r="H709" s="55" t="str">
        <f t="shared" si="24"/>
        <v>Snowbaron LagombiCrag 3</v>
      </c>
      <c r="I709" s="50">
        <v>0</v>
      </c>
      <c r="J709" s="36">
        <v>0</v>
      </c>
      <c r="K709" s="36">
        <v>0</v>
      </c>
      <c r="L709" s="36">
        <v>0</v>
      </c>
      <c r="M709" s="36">
        <v>0</v>
      </c>
      <c r="N709" s="50">
        <v>0</v>
      </c>
      <c r="O709" s="36">
        <v>0</v>
      </c>
      <c r="P709" s="36">
        <v>0</v>
      </c>
      <c r="Q709" s="36">
        <v>0</v>
      </c>
      <c r="R709" s="36">
        <v>0</v>
      </c>
      <c r="S709" s="50">
        <v>0</v>
      </c>
      <c r="T709" s="36">
        <v>0</v>
      </c>
      <c r="U709" s="36">
        <v>0</v>
      </c>
      <c r="V709" s="36">
        <v>0</v>
      </c>
      <c r="W709" s="36">
        <v>0</v>
      </c>
      <c r="X709" s="50">
        <v>0</v>
      </c>
      <c r="Y709" s="36">
        <v>0</v>
      </c>
      <c r="Z709" s="36">
        <v>0</v>
      </c>
      <c r="AA709" s="36">
        <v>0</v>
      </c>
      <c r="AB709" s="36">
        <v>0</v>
      </c>
      <c r="AC709" s="50">
        <v>0</v>
      </c>
      <c r="AD709" s="36">
        <v>0</v>
      </c>
      <c r="AE709" s="36">
        <v>0</v>
      </c>
      <c r="AF709" s="36">
        <v>0</v>
      </c>
      <c r="AG709" s="36">
        <v>0</v>
      </c>
      <c r="AH709" s="50">
        <v>0</v>
      </c>
      <c r="AI709" s="36">
        <v>0</v>
      </c>
      <c r="AJ709" s="36">
        <v>0</v>
      </c>
      <c r="AK709" s="36">
        <v>0</v>
      </c>
      <c r="AL709" s="36">
        <v>0</v>
      </c>
      <c r="AM709" s="50">
        <v>0</v>
      </c>
      <c r="AN709" s="36">
        <v>0</v>
      </c>
      <c r="AO709" s="36">
        <v>0</v>
      </c>
      <c r="AP709" s="36">
        <v>0</v>
      </c>
      <c r="AQ709" s="36">
        <v>0</v>
      </c>
      <c r="AR709" s="50">
        <v>0</v>
      </c>
      <c r="AS709" s="36">
        <v>0</v>
      </c>
      <c r="AT709" s="36">
        <v>0</v>
      </c>
      <c r="AU709" s="36">
        <v>0</v>
      </c>
      <c r="AV709" s="36">
        <v>0</v>
      </c>
      <c r="AW709">
        <v>0</v>
      </c>
      <c r="AX709">
        <v>0</v>
      </c>
    </row>
    <row r="710" spans="1:50" x14ac:dyDescent="0.25">
      <c r="A710" s="36"/>
      <c r="B710" t="s">
        <v>120</v>
      </c>
      <c r="C710" s="36" t="str">
        <f>'Status Thresholds'!B701</f>
        <v>Snowbaron Lagombi</v>
      </c>
      <c r="E710" s="36" t="str">
        <f t="shared" ref="E710:E773" si="25">C710&amp;D710</f>
        <v>Snowbaron Lagombi</v>
      </c>
      <c r="F710" s="36" t="str">
        <f>IFERROR(VLOOKUP($E710,'Status Thresholds'!$E:$AS,1,FALSE),"")</f>
        <v/>
      </c>
      <c r="G710" t="s">
        <v>12</v>
      </c>
      <c r="H710" s="55" t="str">
        <f t="shared" ref="H710:H773" si="26">E710&amp;G710</f>
        <v>Snowbaron LagombiCrag 2</v>
      </c>
      <c r="I710" s="50">
        <v>0</v>
      </c>
      <c r="J710" s="36">
        <v>0</v>
      </c>
      <c r="K710" s="36">
        <v>0</v>
      </c>
      <c r="L710" s="36">
        <v>0</v>
      </c>
      <c r="M710" s="36">
        <v>0</v>
      </c>
      <c r="N710" s="50">
        <v>0</v>
      </c>
      <c r="O710" s="36">
        <v>0</v>
      </c>
      <c r="P710" s="36">
        <v>0</v>
      </c>
      <c r="Q710" s="36">
        <v>0</v>
      </c>
      <c r="R710" s="36">
        <v>0</v>
      </c>
      <c r="S710" s="50">
        <v>0</v>
      </c>
      <c r="T710" s="36">
        <v>0</v>
      </c>
      <c r="U710" s="36">
        <v>0</v>
      </c>
      <c r="V710" s="36">
        <v>0</v>
      </c>
      <c r="W710" s="36">
        <v>0</v>
      </c>
      <c r="X710" s="50">
        <v>0</v>
      </c>
      <c r="Y710" s="36">
        <v>0</v>
      </c>
      <c r="Z710" s="36">
        <v>0</v>
      </c>
      <c r="AA710" s="36">
        <v>0</v>
      </c>
      <c r="AB710" s="36">
        <v>0</v>
      </c>
      <c r="AC710" s="50">
        <v>0</v>
      </c>
      <c r="AD710" s="36">
        <v>0</v>
      </c>
      <c r="AE710" s="36">
        <v>0</v>
      </c>
      <c r="AF710" s="36">
        <v>0</v>
      </c>
      <c r="AG710" s="36">
        <v>0</v>
      </c>
      <c r="AH710" s="50">
        <v>0</v>
      </c>
      <c r="AI710" s="36">
        <v>0</v>
      </c>
      <c r="AJ710" s="36">
        <v>0</v>
      </c>
      <c r="AK710" s="36">
        <v>0</v>
      </c>
      <c r="AL710" s="36">
        <v>0</v>
      </c>
      <c r="AM710" s="50">
        <v>0</v>
      </c>
      <c r="AN710" s="36">
        <v>0</v>
      </c>
      <c r="AO710" s="36">
        <v>0</v>
      </c>
      <c r="AP710" s="36">
        <v>0</v>
      </c>
      <c r="AQ710" s="36">
        <v>0</v>
      </c>
      <c r="AR710" s="50">
        <v>0</v>
      </c>
      <c r="AS710" s="36">
        <v>0</v>
      </c>
      <c r="AT710" s="36">
        <v>0</v>
      </c>
      <c r="AU710" s="36">
        <v>0</v>
      </c>
      <c r="AV710" s="36">
        <v>0</v>
      </c>
      <c r="AW710">
        <v>0</v>
      </c>
      <c r="AX710">
        <v>0</v>
      </c>
    </row>
    <row r="711" spans="1:50" x14ac:dyDescent="0.25">
      <c r="A711" s="36"/>
      <c r="B711" t="s">
        <v>120</v>
      </c>
      <c r="C711" s="36" t="str">
        <f>'Status Thresholds'!B702</f>
        <v>Snowbaron Lagombi</v>
      </c>
      <c r="E711" s="36" t="str">
        <f t="shared" si="25"/>
        <v>Snowbaron Lagombi</v>
      </c>
      <c r="F711" s="36" t="str">
        <f>IFERROR(VLOOKUP($E711,'Status Thresholds'!$E:$AS,1,FALSE),"")</f>
        <v/>
      </c>
      <c r="G711" t="s">
        <v>11</v>
      </c>
      <c r="H711" s="55" t="str">
        <f t="shared" si="26"/>
        <v>Snowbaron LagombiCrag 1</v>
      </c>
      <c r="I711" s="50">
        <v>0</v>
      </c>
      <c r="J711" s="36">
        <v>0</v>
      </c>
      <c r="K711" s="36">
        <v>0</v>
      </c>
      <c r="L711" s="36">
        <v>0</v>
      </c>
      <c r="M711" s="36">
        <v>0</v>
      </c>
      <c r="N711" s="50">
        <v>0</v>
      </c>
      <c r="O711" s="36">
        <v>0</v>
      </c>
      <c r="P711" s="36">
        <v>0</v>
      </c>
      <c r="Q711" s="36">
        <v>0</v>
      </c>
      <c r="R711" s="36">
        <v>0</v>
      </c>
      <c r="S711" s="50">
        <v>0</v>
      </c>
      <c r="T711" s="36">
        <v>0</v>
      </c>
      <c r="U711" s="36">
        <v>0</v>
      </c>
      <c r="V711" s="36">
        <v>0</v>
      </c>
      <c r="W711" s="36">
        <v>0</v>
      </c>
      <c r="X711" s="50">
        <v>0</v>
      </c>
      <c r="Y711" s="36">
        <v>0</v>
      </c>
      <c r="Z711" s="36">
        <v>0</v>
      </c>
      <c r="AA711" s="36">
        <v>0</v>
      </c>
      <c r="AB711" s="36">
        <v>0</v>
      </c>
      <c r="AC711" s="50">
        <v>0</v>
      </c>
      <c r="AD711" s="36">
        <v>0</v>
      </c>
      <c r="AE711" s="36">
        <v>0</v>
      </c>
      <c r="AF711" s="36">
        <v>0</v>
      </c>
      <c r="AG711" s="36">
        <v>0</v>
      </c>
      <c r="AH711" s="50">
        <v>0</v>
      </c>
      <c r="AI711" s="36">
        <v>0</v>
      </c>
      <c r="AJ711" s="36">
        <v>0</v>
      </c>
      <c r="AK711" s="36">
        <v>0</v>
      </c>
      <c r="AL711" s="36">
        <v>0</v>
      </c>
      <c r="AM711" s="50">
        <v>0</v>
      </c>
      <c r="AN711" s="36">
        <v>0</v>
      </c>
      <c r="AO711" s="36">
        <v>0</v>
      </c>
      <c r="AP711" s="36">
        <v>0</v>
      </c>
      <c r="AQ711" s="36">
        <v>0</v>
      </c>
      <c r="AR711" s="50">
        <v>0</v>
      </c>
      <c r="AS711" s="36">
        <v>0</v>
      </c>
      <c r="AT711" s="36">
        <v>0</v>
      </c>
      <c r="AU711" s="36">
        <v>0</v>
      </c>
      <c r="AV711" s="36">
        <v>1</v>
      </c>
      <c r="AW711">
        <v>0</v>
      </c>
      <c r="AX711">
        <v>0</v>
      </c>
    </row>
    <row r="712" spans="1:50" x14ac:dyDescent="0.25">
      <c r="A712" s="36"/>
      <c r="B712" t="s">
        <v>119</v>
      </c>
      <c r="C712" s="36" t="str">
        <f>'Status Thresholds'!B703</f>
        <v>Snowbaron Lagombi</v>
      </c>
      <c r="E712" s="36" t="str">
        <f t="shared" si="25"/>
        <v>Snowbaron Lagombi</v>
      </c>
      <c r="F712" s="36" t="str">
        <f>IFERROR(VLOOKUP($E712,'Status Thresholds'!$E:$AS,1,FALSE),"")</f>
        <v/>
      </c>
      <c r="G712" t="s">
        <v>21</v>
      </c>
      <c r="H712" s="55" t="str">
        <f t="shared" si="26"/>
        <v>Snowbaron LagombiTriblast</v>
      </c>
      <c r="I712" s="50">
        <v>0</v>
      </c>
      <c r="J712" s="36">
        <v>0</v>
      </c>
      <c r="K712" s="36">
        <v>0</v>
      </c>
      <c r="L712" s="36">
        <v>0</v>
      </c>
      <c r="M712" s="36">
        <v>0</v>
      </c>
      <c r="N712" s="50">
        <v>0</v>
      </c>
      <c r="O712" s="36">
        <v>0</v>
      </c>
      <c r="P712" s="36">
        <v>0</v>
      </c>
      <c r="Q712" s="36">
        <v>0</v>
      </c>
      <c r="R712" s="36">
        <v>0</v>
      </c>
      <c r="S712" s="50">
        <v>0</v>
      </c>
      <c r="T712" s="36">
        <v>0</v>
      </c>
      <c r="U712" s="36">
        <v>0</v>
      </c>
      <c r="V712" s="36">
        <v>0</v>
      </c>
      <c r="W712" s="36">
        <v>0</v>
      </c>
      <c r="X712" s="50">
        <v>0</v>
      </c>
      <c r="Y712" s="36">
        <v>0</v>
      </c>
      <c r="Z712" s="36">
        <v>0</v>
      </c>
      <c r="AA712" s="36">
        <v>0</v>
      </c>
      <c r="AB712" s="36">
        <v>0</v>
      </c>
      <c r="AC712" s="50">
        <v>0</v>
      </c>
      <c r="AD712" s="36">
        <v>0</v>
      </c>
      <c r="AE712" s="36">
        <v>0</v>
      </c>
      <c r="AF712" s="36">
        <v>0</v>
      </c>
      <c r="AG712" s="36">
        <v>0</v>
      </c>
      <c r="AH712" s="50">
        <v>0</v>
      </c>
      <c r="AI712" s="36">
        <v>0</v>
      </c>
      <c r="AJ712" s="36">
        <v>0</v>
      </c>
      <c r="AK712" s="36">
        <v>0</v>
      </c>
      <c r="AL712" s="36">
        <v>0</v>
      </c>
      <c r="AM712" s="50">
        <v>0</v>
      </c>
      <c r="AN712" s="36">
        <v>0</v>
      </c>
      <c r="AO712" s="36">
        <v>0</v>
      </c>
      <c r="AP712" s="36">
        <v>0</v>
      </c>
      <c r="AQ712" s="36">
        <v>0</v>
      </c>
      <c r="AR712" s="50">
        <v>0</v>
      </c>
      <c r="AS712" s="36">
        <v>0</v>
      </c>
      <c r="AT712" s="36">
        <v>0</v>
      </c>
      <c r="AU712" s="36">
        <v>0</v>
      </c>
      <c r="AV712" s="36">
        <v>0</v>
      </c>
      <c r="AW712">
        <v>0</v>
      </c>
      <c r="AX712">
        <v>0</v>
      </c>
    </row>
    <row r="713" spans="1:50" x14ac:dyDescent="0.25">
      <c r="A713" s="36"/>
      <c r="B713" t="s">
        <v>119</v>
      </c>
      <c r="C713" s="36" t="str">
        <f>'Status Thresholds'!B704</f>
        <v>Snowbaron Lagombi</v>
      </c>
      <c r="E713" s="36" t="str">
        <f t="shared" si="25"/>
        <v>Snowbaron Lagombi</v>
      </c>
      <c r="F713" s="36" t="str">
        <f>IFERROR(VLOOKUP($E713,'Status Thresholds'!$E:$AS,1,FALSE),"")</f>
        <v/>
      </c>
      <c r="G713" t="s">
        <v>13</v>
      </c>
      <c r="H713" s="55" t="str">
        <f t="shared" si="26"/>
        <v>Snowbaron LagombiCrag 3</v>
      </c>
      <c r="I713" s="50">
        <v>0</v>
      </c>
      <c r="J713" s="36">
        <v>0</v>
      </c>
      <c r="K713" s="36">
        <v>0</v>
      </c>
      <c r="L713" s="36">
        <v>0</v>
      </c>
      <c r="M713" s="36">
        <v>0</v>
      </c>
      <c r="N713" s="50">
        <v>0</v>
      </c>
      <c r="O713" s="36">
        <v>0</v>
      </c>
      <c r="P713" s="36">
        <v>0</v>
      </c>
      <c r="Q713" s="36">
        <v>0</v>
      </c>
      <c r="R713" s="36">
        <v>0</v>
      </c>
      <c r="S713" s="50">
        <v>0</v>
      </c>
      <c r="T713" s="36">
        <v>0</v>
      </c>
      <c r="U713" s="36">
        <v>0</v>
      </c>
      <c r="V713" s="36">
        <v>0</v>
      </c>
      <c r="W713" s="36">
        <v>0</v>
      </c>
      <c r="X713" s="50">
        <v>0</v>
      </c>
      <c r="Y713" s="36">
        <v>0</v>
      </c>
      <c r="Z713" s="36">
        <v>0</v>
      </c>
      <c r="AA713" s="36">
        <v>0</v>
      </c>
      <c r="AB713" s="36">
        <v>0</v>
      </c>
      <c r="AC713" s="50">
        <v>0</v>
      </c>
      <c r="AD713" s="36">
        <v>0</v>
      </c>
      <c r="AE713" s="36">
        <v>0</v>
      </c>
      <c r="AF713" s="36">
        <v>0</v>
      </c>
      <c r="AG713" s="36">
        <v>0</v>
      </c>
      <c r="AH713" s="50">
        <v>0</v>
      </c>
      <c r="AI713" s="36">
        <v>0</v>
      </c>
      <c r="AJ713" s="36">
        <v>0</v>
      </c>
      <c r="AK713" s="36">
        <v>0</v>
      </c>
      <c r="AL713" s="36">
        <v>0</v>
      </c>
      <c r="AM713" s="50">
        <v>0</v>
      </c>
      <c r="AN713" s="36">
        <v>0</v>
      </c>
      <c r="AO713" s="36">
        <v>0</v>
      </c>
      <c r="AP713" s="36">
        <v>0</v>
      </c>
      <c r="AQ713" s="36">
        <v>0</v>
      </c>
      <c r="AR713" s="50">
        <v>0</v>
      </c>
      <c r="AS713" s="36">
        <v>0</v>
      </c>
      <c r="AT713" s="36">
        <v>0</v>
      </c>
      <c r="AU713" s="36">
        <v>0</v>
      </c>
      <c r="AV713" s="36">
        <v>0</v>
      </c>
      <c r="AW713">
        <v>0</v>
      </c>
      <c r="AX713">
        <v>0</v>
      </c>
    </row>
    <row r="714" spans="1:50" x14ac:dyDescent="0.25">
      <c r="A714" s="36"/>
      <c r="B714" t="s">
        <v>119</v>
      </c>
      <c r="C714" s="36" t="str">
        <f>'Status Thresholds'!B705</f>
        <v>Snowbaron Lagombi</v>
      </c>
      <c r="E714" s="36" t="str">
        <f t="shared" si="25"/>
        <v>Snowbaron Lagombi</v>
      </c>
      <c r="F714" s="36" t="str">
        <f>IFERROR(VLOOKUP($E714,'Status Thresholds'!$E:$AS,1,FALSE),"")</f>
        <v/>
      </c>
      <c r="G714" t="s">
        <v>12</v>
      </c>
      <c r="H714" s="55" t="str">
        <f t="shared" si="26"/>
        <v>Snowbaron LagombiCrag 2</v>
      </c>
      <c r="I714" s="50">
        <v>0</v>
      </c>
      <c r="J714" s="36">
        <v>0</v>
      </c>
      <c r="K714" s="36">
        <v>0</v>
      </c>
      <c r="L714" s="36">
        <v>0</v>
      </c>
      <c r="M714" s="36">
        <v>0</v>
      </c>
      <c r="N714" s="50">
        <v>0</v>
      </c>
      <c r="O714" s="36">
        <v>0</v>
      </c>
      <c r="P714" s="36">
        <v>0</v>
      </c>
      <c r="Q714" s="36">
        <v>0</v>
      </c>
      <c r="R714" s="36">
        <v>0</v>
      </c>
      <c r="S714" s="50">
        <v>0</v>
      </c>
      <c r="T714" s="36">
        <v>0</v>
      </c>
      <c r="U714" s="36">
        <v>0</v>
      </c>
      <c r="V714" s="36">
        <v>0</v>
      </c>
      <c r="W714" s="36">
        <v>0</v>
      </c>
      <c r="X714" s="50">
        <v>0</v>
      </c>
      <c r="Y714" s="36">
        <v>0</v>
      </c>
      <c r="Z714" s="36">
        <v>0</v>
      </c>
      <c r="AA714" s="36">
        <v>0</v>
      </c>
      <c r="AB714" s="36">
        <v>0</v>
      </c>
      <c r="AC714" s="50">
        <v>0</v>
      </c>
      <c r="AD714" s="36">
        <v>0</v>
      </c>
      <c r="AE714" s="36">
        <v>0</v>
      </c>
      <c r="AF714" s="36">
        <v>0</v>
      </c>
      <c r="AG714" s="36">
        <v>0</v>
      </c>
      <c r="AH714" s="50">
        <v>0</v>
      </c>
      <c r="AI714" s="36">
        <v>0</v>
      </c>
      <c r="AJ714" s="36">
        <v>0</v>
      </c>
      <c r="AK714" s="36">
        <v>0</v>
      </c>
      <c r="AL714" s="36">
        <v>0</v>
      </c>
      <c r="AM714" s="50">
        <v>0</v>
      </c>
      <c r="AN714" s="36">
        <v>0</v>
      </c>
      <c r="AO714" s="36">
        <v>0</v>
      </c>
      <c r="AP714" s="36">
        <v>0</v>
      </c>
      <c r="AQ714" s="36">
        <v>0</v>
      </c>
      <c r="AR714" s="50">
        <v>0</v>
      </c>
      <c r="AS714" s="36">
        <v>0</v>
      </c>
      <c r="AT714" s="36">
        <v>0</v>
      </c>
      <c r="AU714" s="36">
        <v>0</v>
      </c>
      <c r="AV714" s="36">
        <v>0</v>
      </c>
      <c r="AW714">
        <v>0</v>
      </c>
      <c r="AX714">
        <v>0</v>
      </c>
    </row>
    <row r="715" spans="1:50" x14ac:dyDescent="0.25">
      <c r="A715" s="36"/>
      <c r="B715" t="s">
        <v>119</v>
      </c>
      <c r="C715" s="36" t="str">
        <f>'Status Thresholds'!B706</f>
        <v>Snowbaron Lagombi</v>
      </c>
      <c r="E715" s="36" t="str">
        <f t="shared" si="25"/>
        <v>Snowbaron Lagombi</v>
      </c>
      <c r="F715" s="36" t="str">
        <f>IFERROR(VLOOKUP($E715,'Status Thresholds'!$E:$AS,1,FALSE),"")</f>
        <v/>
      </c>
      <c r="G715" t="s">
        <v>11</v>
      </c>
      <c r="H715" s="55" t="str">
        <f t="shared" si="26"/>
        <v>Snowbaron LagombiCrag 1</v>
      </c>
      <c r="I715" s="50">
        <v>0</v>
      </c>
      <c r="J715" s="36">
        <v>0</v>
      </c>
      <c r="K715" s="36">
        <v>0</v>
      </c>
      <c r="L715" s="36">
        <v>0</v>
      </c>
      <c r="M715" s="36">
        <v>0</v>
      </c>
      <c r="N715" s="50">
        <v>0</v>
      </c>
      <c r="O715" s="36">
        <v>0</v>
      </c>
      <c r="P715" s="36">
        <v>0</v>
      </c>
      <c r="Q715" s="36">
        <v>0</v>
      </c>
      <c r="R715" s="36">
        <v>0</v>
      </c>
      <c r="S715" s="50">
        <v>0</v>
      </c>
      <c r="T715" s="36">
        <v>0</v>
      </c>
      <c r="U715" s="36">
        <v>0</v>
      </c>
      <c r="V715" s="36">
        <v>0</v>
      </c>
      <c r="W715" s="36">
        <v>0</v>
      </c>
      <c r="X715" s="50">
        <v>0</v>
      </c>
      <c r="Y715" s="36">
        <v>0</v>
      </c>
      <c r="Z715" s="36">
        <v>0</v>
      </c>
      <c r="AA715" s="36">
        <v>0</v>
      </c>
      <c r="AB715" s="36">
        <v>0</v>
      </c>
      <c r="AC715" s="50">
        <v>0</v>
      </c>
      <c r="AD715" s="36">
        <v>0</v>
      </c>
      <c r="AE715" s="36">
        <v>0</v>
      </c>
      <c r="AF715" s="36">
        <v>0</v>
      </c>
      <c r="AG715" s="36">
        <v>0</v>
      </c>
      <c r="AH715" s="50">
        <v>0</v>
      </c>
      <c r="AI715" s="36">
        <v>0</v>
      </c>
      <c r="AJ715" s="36">
        <v>0</v>
      </c>
      <c r="AK715" s="36">
        <v>0</v>
      </c>
      <c r="AL715" s="36">
        <v>0</v>
      </c>
      <c r="AM715" s="50">
        <v>0</v>
      </c>
      <c r="AN715" s="36">
        <v>0</v>
      </c>
      <c r="AO715" s="36">
        <v>0</v>
      </c>
      <c r="AP715" s="36">
        <v>0</v>
      </c>
      <c r="AQ715" s="36">
        <v>0</v>
      </c>
      <c r="AR715" s="50">
        <v>0</v>
      </c>
      <c r="AS715" s="36">
        <v>0</v>
      </c>
      <c r="AT715" s="36">
        <v>0</v>
      </c>
      <c r="AU715" s="36">
        <v>0</v>
      </c>
      <c r="AV715" s="36">
        <v>1</v>
      </c>
      <c r="AW715">
        <v>0</v>
      </c>
      <c r="AX715">
        <v>0</v>
      </c>
    </row>
    <row r="716" spans="1:50" x14ac:dyDescent="0.25">
      <c r="A716" s="36"/>
      <c r="B716" t="s">
        <v>121</v>
      </c>
      <c r="C716" s="36" t="str">
        <f>'Status Thresholds'!B707</f>
        <v>Soulseer Mizutsune</v>
      </c>
      <c r="D716" t="s">
        <v>14</v>
      </c>
      <c r="E716" s="36" t="str">
        <f t="shared" si="25"/>
        <v>Soulseer MizutsuneKO</v>
      </c>
      <c r="F716" s="36" t="str">
        <f>IFERROR(VLOOKUP($E716,'Status Thresholds'!$E:$AS,1,FALSE),"")</f>
        <v>Soulseer MizutsuneKO</v>
      </c>
      <c r="H716" s="55" t="str">
        <f t="shared" si="26"/>
        <v>Soulseer MizutsuneKO</v>
      </c>
      <c r="I716" s="50">
        <f>VLOOKUP($F716,'Status Thresholds'!$E:$AS,2,FALSE)</f>
        <v>0</v>
      </c>
      <c r="J716" s="36">
        <f>VLOOKUP($F716,'Status Thresholds'!$E:$AS,3,FALSE)</f>
        <v>0</v>
      </c>
      <c r="K716" s="36">
        <f>VLOOKUP($F716,'Status Thresholds'!$E:$AS,4,FALSE)</f>
        <v>0</v>
      </c>
      <c r="L716" s="36">
        <f>VLOOKUP($F716,'Status Thresholds'!$E:$AS,5,FALSE)</f>
        <v>0</v>
      </c>
      <c r="M716" s="36">
        <f>VLOOKUP($F716,'Status Thresholds'!$E:$AS,6,FALSE)</f>
        <v>0</v>
      </c>
      <c r="N716" s="50">
        <f>VLOOKUP($F716,'Status Thresholds'!$E:$AS,7,FALSE)</f>
        <v>0</v>
      </c>
      <c r="O716" s="36">
        <f>VLOOKUP($F716,'Status Thresholds'!$E:$AS,8,FALSE)</f>
        <v>0</v>
      </c>
      <c r="P716" s="36">
        <f>VLOOKUP($F716,'Status Thresholds'!$E:$AS,9,FALSE)</f>
        <v>0</v>
      </c>
      <c r="Q716" s="36">
        <f>VLOOKUP($F716,'Status Thresholds'!$E:$AS,10,FALSE)</f>
        <v>0</v>
      </c>
      <c r="R716" s="36">
        <f>VLOOKUP($F716,'Status Thresholds'!$E:$AS,11,FALSE)</f>
        <v>0</v>
      </c>
      <c r="S716" s="50">
        <f>VLOOKUP($F716,'Status Thresholds'!$E:$AS,12,FALSE)</f>
        <v>0</v>
      </c>
      <c r="T716" s="36">
        <f>VLOOKUP($F716,'Status Thresholds'!$E:$AS,13,FALSE)</f>
        <v>0</v>
      </c>
      <c r="U716" s="36">
        <f>VLOOKUP($F716,'Status Thresholds'!$E:$AS,14,FALSE)</f>
        <v>0</v>
      </c>
      <c r="V716" s="36">
        <f>VLOOKUP($F716,'Status Thresholds'!$E:$AS,15,FALSE)</f>
        <v>0</v>
      </c>
      <c r="W716" s="36">
        <f>VLOOKUP($F716,'Status Thresholds'!$E:$AS,16,FALSE)</f>
        <v>0</v>
      </c>
      <c r="X716" s="50">
        <f>VLOOKUP($F716,'Status Thresholds'!$E:$AS,17,FALSE)</f>
        <v>0</v>
      </c>
      <c r="Y716" s="36">
        <f>VLOOKUP($F716,'Status Thresholds'!$E:$AS,18,FALSE)</f>
        <v>0</v>
      </c>
      <c r="Z716" s="36">
        <f>VLOOKUP($F716,'Status Thresholds'!$E:$AS,19,FALSE)</f>
        <v>0</v>
      </c>
      <c r="AA716" s="36">
        <f>VLOOKUP($F716,'Status Thresholds'!$E:$AS,20,FALSE)</f>
        <v>0</v>
      </c>
      <c r="AB716" s="36">
        <f>VLOOKUP($F716,'Status Thresholds'!$E:$AS,21,FALSE)</f>
        <v>0</v>
      </c>
      <c r="AC716" s="50">
        <f>VLOOKUP($F716,'Status Thresholds'!$E:$AS,22,FALSE)</f>
        <v>0</v>
      </c>
      <c r="AD716" s="36">
        <f>VLOOKUP($F716,'Status Thresholds'!$E:$AS,23,FALSE)</f>
        <v>0</v>
      </c>
      <c r="AE716" s="36">
        <f>VLOOKUP($F716,'Status Thresholds'!$E:$AS,24,FALSE)</f>
        <v>0</v>
      </c>
      <c r="AF716" s="36">
        <f>VLOOKUP($F716,'Status Thresholds'!$E:$AS,25,FALSE)</f>
        <v>0</v>
      </c>
      <c r="AG716" s="36">
        <f>VLOOKUP($F716,'Status Thresholds'!$E:$AS,26,FALSE)</f>
        <v>0</v>
      </c>
      <c r="AH716" s="50">
        <f>VLOOKUP($F716,'Status Thresholds'!$E:$AS,27,FALSE)</f>
        <v>0</v>
      </c>
      <c r="AI716" s="36">
        <f>VLOOKUP($F716,'Status Thresholds'!$E:$AS,28,FALSE)</f>
        <v>0</v>
      </c>
      <c r="AJ716" s="36">
        <f>VLOOKUP($F716,'Status Thresholds'!$E:$AS,29,FALSE)</f>
        <v>0</v>
      </c>
      <c r="AK716" s="36">
        <f>VLOOKUP($F716,'Status Thresholds'!$E:$AS,30,FALSE)</f>
        <v>0</v>
      </c>
      <c r="AL716" s="36">
        <f>VLOOKUP($F716,'Status Thresholds'!$E:$AS,31,FALSE)</f>
        <v>0</v>
      </c>
      <c r="AM716" s="50">
        <f>VLOOKUP($F716,'Status Thresholds'!$E:$AS,32,FALSE)</f>
        <v>0</v>
      </c>
      <c r="AN716" s="36">
        <f>VLOOKUP($F716,'Status Thresholds'!$E:$AS,33,FALSE)</f>
        <v>0</v>
      </c>
      <c r="AO716" s="36">
        <f>VLOOKUP($F716,'Status Thresholds'!$E:$AS,34,FALSE)</f>
        <v>0</v>
      </c>
      <c r="AP716" s="36">
        <f>VLOOKUP($F716,'Status Thresholds'!$E:$AS,35,FALSE)</f>
        <v>0</v>
      </c>
      <c r="AQ716" s="36">
        <f>VLOOKUP($F716,'Status Thresholds'!$E:$AS,36,FALSE)</f>
        <v>0</v>
      </c>
      <c r="AR716" s="50">
        <f>VLOOKUP($F716,'Status Thresholds'!$E:$AS,37,FALSE)</f>
        <v>0</v>
      </c>
      <c r="AS716" s="36">
        <f>VLOOKUP($F716,'Status Thresholds'!$E:$AS,38,FALSE)</f>
        <v>0</v>
      </c>
      <c r="AT716" s="36">
        <f>VLOOKUP($F716,'Status Thresholds'!$E:$AS,39,FALSE)</f>
        <v>0</v>
      </c>
      <c r="AU716" s="36">
        <f>VLOOKUP($F716,'Status Thresholds'!$E:$AS,40,FALSE)</f>
        <v>0</v>
      </c>
      <c r="AV716" s="36">
        <f>VLOOKUP($F716,'Status Thresholds'!$E:$AS,41,FALSE)</f>
        <v>10</v>
      </c>
      <c r="AW716">
        <v>0</v>
      </c>
      <c r="AX716">
        <v>0</v>
      </c>
    </row>
    <row r="717" spans="1:50" x14ac:dyDescent="0.25">
      <c r="A717" s="36"/>
      <c r="B717" t="s">
        <v>120</v>
      </c>
      <c r="C717" s="36" t="str">
        <f>'Status Thresholds'!B708</f>
        <v>Soulseer Mizutsune</v>
      </c>
      <c r="E717" s="36" t="str">
        <f t="shared" si="25"/>
        <v>Soulseer Mizutsune</v>
      </c>
      <c r="F717" s="36" t="str">
        <f>IFERROR(VLOOKUP($E717,'Status Thresholds'!$E:$AS,1,FALSE),"")</f>
        <v/>
      </c>
      <c r="G717" t="s">
        <v>21</v>
      </c>
      <c r="H717" s="55" t="str">
        <f t="shared" si="26"/>
        <v>Soulseer MizutsuneTriblast</v>
      </c>
      <c r="I717" s="50">
        <v>0</v>
      </c>
      <c r="J717" s="36">
        <v>0</v>
      </c>
      <c r="K717" s="36">
        <v>0</v>
      </c>
      <c r="L717" s="36">
        <v>0</v>
      </c>
      <c r="M717" s="36">
        <v>0</v>
      </c>
      <c r="N717" s="50">
        <v>0</v>
      </c>
      <c r="O717" s="36">
        <v>0</v>
      </c>
      <c r="P717" s="36">
        <v>0</v>
      </c>
      <c r="Q717" s="36">
        <v>0</v>
      </c>
      <c r="R717" s="36">
        <v>0</v>
      </c>
      <c r="S717" s="50">
        <v>0</v>
      </c>
      <c r="T717" s="36">
        <v>0</v>
      </c>
      <c r="U717" s="36">
        <v>0</v>
      </c>
      <c r="V717" s="36">
        <v>0</v>
      </c>
      <c r="W717" s="36">
        <v>0</v>
      </c>
      <c r="X717" s="50">
        <v>0</v>
      </c>
      <c r="Y717" s="36">
        <v>0</v>
      </c>
      <c r="Z717" s="36">
        <v>0</v>
      </c>
      <c r="AA717" s="36">
        <v>0</v>
      </c>
      <c r="AB717" s="36">
        <v>0</v>
      </c>
      <c r="AC717" s="50">
        <v>0</v>
      </c>
      <c r="AD717" s="36">
        <v>0</v>
      </c>
      <c r="AE717" s="36">
        <v>0</v>
      </c>
      <c r="AF717" s="36">
        <v>0</v>
      </c>
      <c r="AG717" s="36">
        <v>0</v>
      </c>
      <c r="AH717" s="50">
        <v>0</v>
      </c>
      <c r="AI717" s="36">
        <v>0</v>
      </c>
      <c r="AJ717" s="36">
        <v>0</v>
      </c>
      <c r="AK717" s="36">
        <v>0</v>
      </c>
      <c r="AL717" s="36">
        <v>0</v>
      </c>
      <c r="AM717" s="50">
        <v>0</v>
      </c>
      <c r="AN717" s="36">
        <v>0</v>
      </c>
      <c r="AO717" s="36">
        <v>0</v>
      </c>
      <c r="AP717" s="36">
        <v>0</v>
      </c>
      <c r="AQ717" s="36">
        <v>0</v>
      </c>
      <c r="AR717" s="50">
        <v>0</v>
      </c>
      <c r="AS717" s="36">
        <v>0</v>
      </c>
      <c r="AT717" s="36">
        <v>0</v>
      </c>
      <c r="AU717" s="36">
        <v>0</v>
      </c>
      <c r="AV717" s="36">
        <v>0</v>
      </c>
      <c r="AW717">
        <v>0</v>
      </c>
    </row>
    <row r="718" spans="1:50" x14ac:dyDescent="0.25">
      <c r="A718" s="36"/>
      <c r="B718" t="s">
        <v>120</v>
      </c>
      <c r="C718" s="36" t="str">
        <f>'Status Thresholds'!B709</f>
        <v>Soulseer Mizutsune</v>
      </c>
      <c r="E718" s="36" t="str">
        <f t="shared" si="25"/>
        <v>Soulseer Mizutsune</v>
      </c>
      <c r="F718" s="36" t="str">
        <f>IFERROR(VLOOKUP($E718,'Status Thresholds'!$E:$AS,1,FALSE),"")</f>
        <v/>
      </c>
      <c r="G718" t="s">
        <v>13</v>
      </c>
      <c r="H718" s="55" t="str">
        <f t="shared" si="26"/>
        <v>Soulseer MizutsuneCrag 3</v>
      </c>
      <c r="I718" s="50">
        <v>0</v>
      </c>
      <c r="J718" s="36">
        <v>0</v>
      </c>
      <c r="K718" s="36">
        <v>0</v>
      </c>
      <c r="L718" s="36">
        <v>0</v>
      </c>
      <c r="M718" s="36">
        <v>0</v>
      </c>
      <c r="N718" s="50">
        <v>0</v>
      </c>
      <c r="O718" s="36">
        <v>0</v>
      </c>
      <c r="P718" s="36">
        <v>0</v>
      </c>
      <c r="Q718" s="36">
        <v>0</v>
      </c>
      <c r="R718" s="36">
        <v>0</v>
      </c>
      <c r="S718" s="50">
        <v>0</v>
      </c>
      <c r="T718" s="36">
        <v>0</v>
      </c>
      <c r="U718" s="36">
        <v>0</v>
      </c>
      <c r="V718" s="36">
        <v>0</v>
      </c>
      <c r="W718" s="36">
        <v>0</v>
      </c>
      <c r="X718" s="50">
        <v>0</v>
      </c>
      <c r="Y718" s="36">
        <v>0</v>
      </c>
      <c r="Z718" s="36">
        <v>0</v>
      </c>
      <c r="AA718" s="36">
        <v>0</v>
      </c>
      <c r="AB718" s="36">
        <v>0</v>
      </c>
      <c r="AC718" s="50">
        <v>0</v>
      </c>
      <c r="AD718" s="36">
        <v>0</v>
      </c>
      <c r="AE718" s="36">
        <v>0</v>
      </c>
      <c r="AF718" s="36">
        <v>0</v>
      </c>
      <c r="AG718" s="36">
        <v>0</v>
      </c>
      <c r="AH718" s="50">
        <v>0</v>
      </c>
      <c r="AI718" s="36">
        <v>0</v>
      </c>
      <c r="AJ718" s="36">
        <v>0</v>
      </c>
      <c r="AK718" s="36">
        <v>0</v>
      </c>
      <c r="AL718" s="36">
        <v>0</v>
      </c>
      <c r="AM718" s="50">
        <v>0</v>
      </c>
      <c r="AN718" s="36">
        <v>0</v>
      </c>
      <c r="AO718" s="36">
        <v>0</v>
      </c>
      <c r="AP718" s="36">
        <v>0</v>
      </c>
      <c r="AQ718" s="36">
        <v>0</v>
      </c>
      <c r="AR718" s="50">
        <v>0</v>
      </c>
      <c r="AS718" s="36">
        <v>0</v>
      </c>
      <c r="AT718" s="36">
        <v>0</v>
      </c>
      <c r="AU718" s="36">
        <v>0</v>
      </c>
      <c r="AV718" s="36">
        <v>0</v>
      </c>
      <c r="AW718">
        <v>0</v>
      </c>
      <c r="AX718">
        <v>0</v>
      </c>
    </row>
    <row r="719" spans="1:50" x14ac:dyDescent="0.25">
      <c r="A719" s="36"/>
      <c r="B719" t="s">
        <v>120</v>
      </c>
      <c r="C719" s="36" t="str">
        <f>'Status Thresholds'!B710</f>
        <v>Soulseer Mizutsune</v>
      </c>
      <c r="E719" s="36" t="str">
        <f t="shared" si="25"/>
        <v>Soulseer Mizutsune</v>
      </c>
      <c r="F719" s="36" t="str">
        <f>IFERROR(VLOOKUP($E719,'Status Thresholds'!$E:$AS,1,FALSE),"")</f>
        <v/>
      </c>
      <c r="G719" t="s">
        <v>12</v>
      </c>
      <c r="H719" s="55" t="str">
        <f t="shared" si="26"/>
        <v>Soulseer MizutsuneCrag 2</v>
      </c>
      <c r="I719" s="50">
        <v>0</v>
      </c>
      <c r="J719" s="36">
        <v>0</v>
      </c>
      <c r="K719" s="36">
        <v>0</v>
      </c>
      <c r="L719" s="36">
        <v>0</v>
      </c>
      <c r="M719" s="36">
        <v>0</v>
      </c>
      <c r="N719" s="50">
        <v>0</v>
      </c>
      <c r="O719" s="36">
        <v>0</v>
      </c>
      <c r="P719" s="36">
        <v>0</v>
      </c>
      <c r="Q719" s="36">
        <v>0</v>
      </c>
      <c r="R719" s="36">
        <v>0</v>
      </c>
      <c r="S719" s="50">
        <v>0</v>
      </c>
      <c r="T719" s="36">
        <v>0</v>
      </c>
      <c r="U719" s="36">
        <v>0</v>
      </c>
      <c r="V719" s="36">
        <v>0</v>
      </c>
      <c r="W719" s="36">
        <v>0</v>
      </c>
      <c r="X719" s="50">
        <v>0</v>
      </c>
      <c r="Y719" s="36">
        <v>0</v>
      </c>
      <c r="Z719" s="36">
        <v>0</v>
      </c>
      <c r="AA719" s="36">
        <v>0</v>
      </c>
      <c r="AB719" s="36">
        <v>0</v>
      </c>
      <c r="AC719" s="50">
        <v>0</v>
      </c>
      <c r="AD719" s="36">
        <v>0</v>
      </c>
      <c r="AE719" s="36">
        <v>0</v>
      </c>
      <c r="AF719" s="36">
        <v>0</v>
      </c>
      <c r="AG719" s="36">
        <v>0</v>
      </c>
      <c r="AH719" s="50">
        <v>0</v>
      </c>
      <c r="AI719" s="36">
        <v>0</v>
      </c>
      <c r="AJ719" s="36">
        <v>0</v>
      </c>
      <c r="AK719" s="36">
        <v>0</v>
      </c>
      <c r="AL719" s="36">
        <v>0</v>
      </c>
      <c r="AM719" s="50">
        <v>0</v>
      </c>
      <c r="AN719" s="36">
        <v>0</v>
      </c>
      <c r="AO719" s="36">
        <v>0</v>
      </c>
      <c r="AP719" s="36">
        <v>0</v>
      </c>
      <c r="AQ719" s="36">
        <v>0</v>
      </c>
      <c r="AR719" s="50">
        <v>0</v>
      </c>
      <c r="AS719" s="36">
        <v>0</v>
      </c>
      <c r="AT719" s="36">
        <v>0</v>
      </c>
      <c r="AU719" s="36">
        <v>0</v>
      </c>
      <c r="AV719" s="36">
        <v>0</v>
      </c>
      <c r="AW719">
        <v>0</v>
      </c>
      <c r="AX719">
        <v>0</v>
      </c>
    </row>
    <row r="720" spans="1:50" x14ac:dyDescent="0.25">
      <c r="A720" s="36"/>
      <c r="B720" t="s">
        <v>120</v>
      </c>
      <c r="C720" s="36" t="str">
        <f>'Status Thresholds'!B711</f>
        <v>Soulseer Mizutsune</v>
      </c>
      <c r="E720" s="36" t="str">
        <f t="shared" si="25"/>
        <v>Soulseer Mizutsune</v>
      </c>
      <c r="F720" s="36" t="str">
        <f>IFERROR(VLOOKUP($E720,'Status Thresholds'!$E:$AS,1,FALSE),"")</f>
        <v/>
      </c>
      <c r="G720" t="s">
        <v>11</v>
      </c>
      <c r="H720" s="55" t="str">
        <f t="shared" si="26"/>
        <v>Soulseer MizutsuneCrag 1</v>
      </c>
      <c r="I720" s="50">
        <v>0</v>
      </c>
      <c r="J720" s="36">
        <v>0</v>
      </c>
      <c r="K720" s="36">
        <v>0</v>
      </c>
      <c r="L720" s="36">
        <v>0</v>
      </c>
      <c r="M720" s="36">
        <v>0</v>
      </c>
      <c r="N720" s="50">
        <v>0</v>
      </c>
      <c r="O720" s="36">
        <v>0</v>
      </c>
      <c r="P720" s="36">
        <v>0</v>
      </c>
      <c r="Q720" s="36">
        <v>0</v>
      </c>
      <c r="R720" s="36">
        <v>0</v>
      </c>
      <c r="S720" s="50">
        <v>0</v>
      </c>
      <c r="T720" s="36">
        <v>0</v>
      </c>
      <c r="U720" s="36">
        <v>0</v>
      </c>
      <c r="V720" s="36">
        <v>0</v>
      </c>
      <c r="W720" s="36">
        <v>0</v>
      </c>
      <c r="X720" s="50">
        <v>0</v>
      </c>
      <c r="Y720" s="36">
        <v>0</v>
      </c>
      <c r="Z720" s="36">
        <v>0</v>
      </c>
      <c r="AA720" s="36">
        <v>0</v>
      </c>
      <c r="AB720" s="36">
        <v>0</v>
      </c>
      <c r="AC720" s="50">
        <v>0</v>
      </c>
      <c r="AD720" s="36">
        <v>0</v>
      </c>
      <c r="AE720" s="36">
        <v>0</v>
      </c>
      <c r="AF720" s="36">
        <v>0</v>
      </c>
      <c r="AG720" s="36">
        <v>0</v>
      </c>
      <c r="AH720" s="50">
        <v>0</v>
      </c>
      <c r="AI720" s="36">
        <v>0</v>
      </c>
      <c r="AJ720" s="36">
        <v>0</v>
      </c>
      <c r="AK720" s="36">
        <v>0</v>
      </c>
      <c r="AL720" s="36">
        <v>0</v>
      </c>
      <c r="AM720" s="50">
        <v>0</v>
      </c>
      <c r="AN720" s="36">
        <v>0</v>
      </c>
      <c r="AO720" s="36">
        <v>0</v>
      </c>
      <c r="AP720" s="36">
        <v>0</v>
      </c>
      <c r="AQ720" s="36">
        <v>0</v>
      </c>
      <c r="AR720" s="50">
        <v>0</v>
      </c>
      <c r="AS720" s="36">
        <v>0</v>
      </c>
      <c r="AT720" s="36">
        <v>0</v>
      </c>
      <c r="AU720" s="36">
        <v>0</v>
      </c>
      <c r="AV720" s="36">
        <v>1</v>
      </c>
      <c r="AW720">
        <v>0</v>
      </c>
      <c r="AX720">
        <v>0</v>
      </c>
    </row>
    <row r="721" spans="1:50" x14ac:dyDescent="0.25">
      <c r="A721" s="36"/>
      <c r="B721" t="s">
        <v>119</v>
      </c>
      <c r="C721" s="36" t="str">
        <f>'Status Thresholds'!B712</f>
        <v>Soulseer Mizutsune</v>
      </c>
      <c r="E721" s="36" t="str">
        <f t="shared" si="25"/>
        <v>Soulseer Mizutsune</v>
      </c>
      <c r="F721" s="36" t="str">
        <f>IFERROR(VLOOKUP($E721,'Status Thresholds'!$E:$AS,1,FALSE),"")</f>
        <v/>
      </c>
      <c r="G721" t="s">
        <v>21</v>
      </c>
      <c r="H721" s="55" t="str">
        <f t="shared" si="26"/>
        <v>Soulseer MizutsuneTriblast</v>
      </c>
      <c r="I721" s="50">
        <v>0</v>
      </c>
      <c r="J721" s="36">
        <v>0</v>
      </c>
      <c r="K721" s="36">
        <v>0</v>
      </c>
      <c r="L721" s="36">
        <v>0</v>
      </c>
      <c r="M721" s="36">
        <v>0</v>
      </c>
      <c r="N721" s="50">
        <v>0</v>
      </c>
      <c r="O721" s="36">
        <v>0</v>
      </c>
      <c r="P721" s="36">
        <v>0</v>
      </c>
      <c r="Q721" s="36">
        <v>0</v>
      </c>
      <c r="R721" s="36">
        <v>0</v>
      </c>
      <c r="S721" s="50">
        <v>0</v>
      </c>
      <c r="T721" s="36">
        <v>0</v>
      </c>
      <c r="U721" s="36">
        <v>0</v>
      </c>
      <c r="V721" s="36">
        <v>0</v>
      </c>
      <c r="W721" s="36">
        <v>0</v>
      </c>
      <c r="X721" s="50">
        <v>0</v>
      </c>
      <c r="Y721" s="36">
        <v>0</v>
      </c>
      <c r="Z721" s="36">
        <v>0</v>
      </c>
      <c r="AA721" s="36">
        <v>0</v>
      </c>
      <c r="AB721" s="36">
        <v>0</v>
      </c>
      <c r="AC721" s="50">
        <v>0</v>
      </c>
      <c r="AD721" s="36">
        <v>0</v>
      </c>
      <c r="AE721" s="36">
        <v>0</v>
      </c>
      <c r="AF721" s="36">
        <v>0</v>
      </c>
      <c r="AG721" s="36">
        <v>0</v>
      </c>
      <c r="AH721" s="50">
        <v>0</v>
      </c>
      <c r="AI721" s="36">
        <v>0</v>
      </c>
      <c r="AJ721" s="36">
        <v>0</v>
      </c>
      <c r="AK721" s="36">
        <v>0</v>
      </c>
      <c r="AL721" s="36">
        <v>0</v>
      </c>
      <c r="AM721" s="50">
        <v>0</v>
      </c>
      <c r="AN721" s="36">
        <v>0</v>
      </c>
      <c r="AO721" s="36">
        <v>0</v>
      </c>
      <c r="AP721" s="36">
        <v>0</v>
      </c>
      <c r="AQ721" s="36">
        <v>0</v>
      </c>
      <c r="AR721" s="50">
        <v>0</v>
      </c>
      <c r="AS721" s="36">
        <v>0</v>
      </c>
      <c r="AT721" s="36">
        <v>0</v>
      </c>
      <c r="AU721" s="36">
        <v>0</v>
      </c>
      <c r="AV721" s="36">
        <v>0</v>
      </c>
      <c r="AW721">
        <v>0</v>
      </c>
      <c r="AX721">
        <v>0</v>
      </c>
    </row>
    <row r="722" spans="1:50" x14ac:dyDescent="0.25">
      <c r="A722" s="36"/>
      <c r="B722" t="s">
        <v>119</v>
      </c>
      <c r="C722" s="36" t="str">
        <f>'Status Thresholds'!B713</f>
        <v>Soulseer Mizutsune</v>
      </c>
      <c r="E722" s="36" t="str">
        <f t="shared" si="25"/>
        <v>Soulseer Mizutsune</v>
      </c>
      <c r="F722" s="36" t="str">
        <f>IFERROR(VLOOKUP($E722,'Status Thresholds'!$E:$AS,1,FALSE),"")</f>
        <v/>
      </c>
      <c r="G722" t="s">
        <v>13</v>
      </c>
      <c r="H722" s="55" t="str">
        <f t="shared" si="26"/>
        <v>Soulseer MizutsuneCrag 3</v>
      </c>
      <c r="I722" s="50">
        <v>0</v>
      </c>
      <c r="J722" s="36">
        <v>0</v>
      </c>
      <c r="K722" s="36">
        <v>0</v>
      </c>
      <c r="L722" s="36">
        <v>0</v>
      </c>
      <c r="M722" s="36">
        <v>0</v>
      </c>
      <c r="N722" s="50">
        <v>0</v>
      </c>
      <c r="O722" s="36">
        <v>0</v>
      </c>
      <c r="P722" s="36">
        <v>0</v>
      </c>
      <c r="Q722" s="36">
        <v>0</v>
      </c>
      <c r="R722" s="36">
        <v>0</v>
      </c>
      <c r="S722" s="50">
        <v>0</v>
      </c>
      <c r="T722" s="36">
        <v>0</v>
      </c>
      <c r="U722" s="36">
        <v>0</v>
      </c>
      <c r="V722" s="36">
        <v>0</v>
      </c>
      <c r="W722" s="36">
        <v>0</v>
      </c>
      <c r="X722" s="50">
        <v>0</v>
      </c>
      <c r="Y722" s="36">
        <v>0</v>
      </c>
      <c r="Z722" s="36">
        <v>0</v>
      </c>
      <c r="AA722" s="36">
        <v>0</v>
      </c>
      <c r="AB722" s="36">
        <v>0</v>
      </c>
      <c r="AC722" s="50">
        <v>0</v>
      </c>
      <c r="AD722" s="36">
        <v>0</v>
      </c>
      <c r="AE722" s="36">
        <v>0</v>
      </c>
      <c r="AF722" s="36">
        <v>0</v>
      </c>
      <c r="AG722" s="36">
        <v>0</v>
      </c>
      <c r="AH722" s="50">
        <v>0</v>
      </c>
      <c r="AI722" s="36">
        <v>0</v>
      </c>
      <c r="AJ722" s="36">
        <v>0</v>
      </c>
      <c r="AK722" s="36">
        <v>0</v>
      </c>
      <c r="AL722" s="36">
        <v>0</v>
      </c>
      <c r="AM722" s="50">
        <v>0</v>
      </c>
      <c r="AN722" s="36">
        <v>0</v>
      </c>
      <c r="AO722" s="36">
        <v>0</v>
      </c>
      <c r="AP722" s="36">
        <v>0</v>
      </c>
      <c r="AQ722" s="36">
        <v>0</v>
      </c>
      <c r="AR722" s="50">
        <v>0</v>
      </c>
      <c r="AS722" s="36">
        <v>0</v>
      </c>
      <c r="AT722" s="36">
        <v>0</v>
      </c>
      <c r="AU722" s="36">
        <v>0</v>
      </c>
      <c r="AV722" s="36">
        <v>0</v>
      </c>
      <c r="AW722">
        <v>0</v>
      </c>
      <c r="AX722">
        <v>0</v>
      </c>
    </row>
    <row r="723" spans="1:50" x14ac:dyDescent="0.25">
      <c r="A723" s="36"/>
      <c r="B723" t="s">
        <v>119</v>
      </c>
      <c r="C723" s="36" t="str">
        <f>'Status Thresholds'!B714</f>
        <v>Soulseer Mizutsune</v>
      </c>
      <c r="E723" s="36" t="str">
        <f t="shared" si="25"/>
        <v>Soulseer Mizutsune</v>
      </c>
      <c r="F723" s="36" t="str">
        <f>IFERROR(VLOOKUP($E723,'Status Thresholds'!$E:$AS,1,FALSE),"")</f>
        <v/>
      </c>
      <c r="G723" t="s">
        <v>12</v>
      </c>
      <c r="H723" s="55" t="str">
        <f t="shared" si="26"/>
        <v>Soulseer MizutsuneCrag 2</v>
      </c>
      <c r="I723" s="50">
        <v>0</v>
      </c>
      <c r="J723" s="36">
        <v>0</v>
      </c>
      <c r="K723" s="36">
        <v>0</v>
      </c>
      <c r="L723" s="36">
        <v>0</v>
      </c>
      <c r="M723" s="36">
        <v>0</v>
      </c>
      <c r="N723" s="50">
        <v>0</v>
      </c>
      <c r="O723" s="36">
        <v>0</v>
      </c>
      <c r="P723" s="36">
        <v>0</v>
      </c>
      <c r="Q723" s="36">
        <v>0</v>
      </c>
      <c r="R723" s="36">
        <v>0</v>
      </c>
      <c r="S723" s="50">
        <v>0</v>
      </c>
      <c r="T723" s="36">
        <v>0</v>
      </c>
      <c r="U723" s="36">
        <v>0</v>
      </c>
      <c r="V723" s="36">
        <v>0</v>
      </c>
      <c r="W723" s="36">
        <v>0</v>
      </c>
      <c r="X723" s="50">
        <v>0</v>
      </c>
      <c r="Y723" s="36">
        <v>0</v>
      </c>
      <c r="Z723" s="36">
        <v>0</v>
      </c>
      <c r="AA723" s="36">
        <v>0</v>
      </c>
      <c r="AB723" s="36">
        <v>0</v>
      </c>
      <c r="AC723" s="50">
        <v>0</v>
      </c>
      <c r="AD723" s="36">
        <v>0</v>
      </c>
      <c r="AE723" s="36">
        <v>0</v>
      </c>
      <c r="AF723" s="36">
        <v>0</v>
      </c>
      <c r="AG723" s="36">
        <v>0</v>
      </c>
      <c r="AH723" s="50">
        <v>0</v>
      </c>
      <c r="AI723" s="36">
        <v>0</v>
      </c>
      <c r="AJ723" s="36">
        <v>0</v>
      </c>
      <c r="AK723" s="36">
        <v>0</v>
      </c>
      <c r="AL723" s="36">
        <v>0</v>
      </c>
      <c r="AM723" s="50">
        <v>0</v>
      </c>
      <c r="AN723" s="36">
        <v>0</v>
      </c>
      <c r="AO723" s="36">
        <v>0</v>
      </c>
      <c r="AP723" s="36">
        <v>0</v>
      </c>
      <c r="AQ723" s="36">
        <v>0</v>
      </c>
      <c r="AR723" s="50">
        <v>0</v>
      </c>
      <c r="AS723" s="36">
        <v>0</v>
      </c>
      <c r="AT723" s="36">
        <v>0</v>
      </c>
      <c r="AU723" s="36">
        <v>0</v>
      </c>
      <c r="AV723" s="36">
        <v>0</v>
      </c>
      <c r="AW723">
        <v>0</v>
      </c>
      <c r="AX723">
        <v>0</v>
      </c>
    </row>
    <row r="724" spans="1:50" x14ac:dyDescent="0.25">
      <c r="A724" s="36"/>
      <c r="B724" t="s">
        <v>119</v>
      </c>
      <c r="C724" s="36" t="str">
        <f>'Status Thresholds'!B715</f>
        <v>Soulseer Mizutsune</v>
      </c>
      <c r="E724" s="36" t="str">
        <f t="shared" si="25"/>
        <v>Soulseer Mizutsune</v>
      </c>
      <c r="F724" s="36" t="str">
        <f>IFERROR(VLOOKUP($E724,'Status Thresholds'!$E:$AS,1,FALSE),"")</f>
        <v/>
      </c>
      <c r="G724" t="s">
        <v>11</v>
      </c>
      <c r="H724" s="55" t="str">
        <f t="shared" si="26"/>
        <v>Soulseer MizutsuneCrag 1</v>
      </c>
      <c r="I724" s="50">
        <v>0</v>
      </c>
      <c r="J724" s="36">
        <v>0</v>
      </c>
      <c r="K724" s="36">
        <v>0</v>
      </c>
      <c r="L724" s="36">
        <v>0</v>
      </c>
      <c r="M724" s="36">
        <v>0</v>
      </c>
      <c r="N724" s="50">
        <v>0</v>
      </c>
      <c r="O724" s="36">
        <v>0</v>
      </c>
      <c r="P724" s="36">
        <v>0</v>
      </c>
      <c r="Q724" s="36">
        <v>0</v>
      </c>
      <c r="R724" s="36">
        <v>0</v>
      </c>
      <c r="S724" s="50">
        <v>0</v>
      </c>
      <c r="T724" s="36">
        <v>0</v>
      </c>
      <c r="U724" s="36">
        <v>0</v>
      </c>
      <c r="V724" s="36">
        <v>0</v>
      </c>
      <c r="W724" s="36">
        <v>0</v>
      </c>
      <c r="X724" s="50">
        <v>0</v>
      </c>
      <c r="Y724" s="36">
        <v>0</v>
      </c>
      <c r="Z724" s="36">
        <v>0</v>
      </c>
      <c r="AA724" s="36">
        <v>0</v>
      </c>
      <c r="AB724" s="36">
        <v>0</v>
      </c>
      <c r="AC724" s="50">
        <v>0</v>
      </c>
      <c r="AD724" s="36">
        <v>0</v>
      </c>
      <c r="AE724" s="36">
        <v>0</v>
      </c>
      <c r="AF724" s="36">
        <v>0</v>
      </c>
      <c r="AG724" s="36">
        <v>0</v>
      </c>
      <c r="AH724" s="50">
        <v>0</v>
      </c>
      <c r="AI724" s="36">
        <v>0</v>
      </c>
      <c r="AJ724" s="36">
        <v>0</v>
      </c>
      <c r="AK724" s="36">
        <v>0</v>
      </c>
      <c r="AL724" s="36">
        <v>0</v>
      </c>
      <c r="AM724" s="50">
        <v>0</v>
      </c>
      <c r="AN724" s="36">
        <v>0</v>
      </c>
      <c r="AO724" s="36">
        <v>0</v>
      </c>
      <c r="AP724" s="36">
        <v>0</v>
      </c>
      <c r="AQ724" s="36">
        <v>0</v>
      </c>
      <c r="AR724" s="50">
        <v>0</v>
      </c>
      <c r="AS724" s="36">
        <v>0</v>
      </c>
      <c r="AT724" s="36">
        <v>0</v>
      </c>
      <c r="AU724" s="36">
        <v>0</v>
      </c>
      <c r="AV724" s="36">
        <v>1</v>
      </c>
      <c r="AW724">
        <v>0</v>
      </c>
      <c r="AX724">
        <v>0</v>
      </c>
    </row>
    <row r="725" spans="1:50" x14ac:dyDescent="0.25">
      <c r="A725" s="36"/>
      <c r="B725" t="s">
        <v>121</v>
      </c>
      <c r="C725" s="36" t="str">
        <f>'Status Thresholds'!B716</f>
        <v>Stonefist Hermitaur</v>
      </c>
      <c r="D725" t="s">
        <v>14</v>
      </c>
      <c r="E725" s="36" t="str">
        <f t="shared" si="25"/>
        <v>Stonefist HermitaurKO</v>
      </c>
      <c r="F725" s="36" t="str">
        <f>IFERROR(VLOOKUP($E725,'Status Thresholds'!$E:$AS,1,FALSE),"")</f>
        <v>Stonefist HermitaurKO</v>
      </c>
      <c r="H725" s="55" t="str">
        <f t="shared" si="26"/>
        <v>Stonefist HermitaurKO</v>
      </c>
      <c r="I725" s="50">
        <f>VLOOKUP($F725,'Status Thresholds'!$E:$AS,2,FALSE)</f>
        <v>0</v>
      </c>
      <c r="J725" s="36">
        <f>VLOOKUP($F725,'Status Thresholds'!$E:$AS,3,FALSE)</f>
        <v>0</v>
      </c>
      <c r="K725" s="36">
        <f>VLOOKUP($F725,'Status Thresholds'!$E:$AS,4,FALSE)</f>
        <v>0</v>
      </c>
      <c r="L725" s="36">
        <f>VLOOKUP($F725,'Status Thresholds'!$E:$AS,5,FALSE)</f>
        <v>0</v>
      </c>
      <c r="M725" s="36">
        <f>VLOOKUP($F725,'Status Thresholds'!$E:$AS,6,FALSE)</f>
        <v>0</v>
      </c>
      <c r="N725" s="50">
        <f>VLOOKUP($F725,'Status Thresholds'!$E:$AS,7,FALSE)</f>
        <v>0</v>
      </c>
      <c r="O725" s="36">
        <f>VLOOKUP($F725,'Status Thresholds'!$E:$AS,8,FALSE)</f>
        <v>0</v>
      </c>
      <c r="P725" s="36">
        <f>VLOOKUP($F725,'Status Thresholds'!$E:$AS,9,FALSE)</f>
        <v>0</v>
      </c>
      <c r="Q725" s="36">
        <f>VLOOKUP($F725,'Status Thresholds'!$E:$AS,10,FALSE)</f>
        <v>0</v>
      </c>
      <c r="R725" s="36">
        <f>VLOOKUP($F725,'Status Thresholds'!$E:$AS,11,FALSE)</f>
        <v>0</v>
      </c>
      <c r="S725" s="50">
        <f>VLOOKUP($F725,'Status Thresholds'!$E:$AS,12,FALSE)</f>
        <v>0</v>
      </c>
      <c r="T725" s="36">
        <f>VLOOKUP($F725,'Status Thresholds'!$E:$AS,13,FALSE)</f>
        <v>0</v>
      </c>
      <c r="U725" s="36">
        <f>VLOOKUP($F725,'Status Thresholds'!$E:$AS,14,FALSE)</f>
        <v>0</v>
      </c>
      <c r="V725" s="36">
        <f>VLOOKUP($F725,'Status Thresholds'!$E:$AS,15,FALSE)</f>
        <v>0</v>
      </c>
      <c r="W725" s="36">
        <f>VLOOKUP($F725,'Status Thresholds'!$E:$AS,16,FALSE)</f>
        <v>0</v>
      </c>
      <c r="X725" s="50">
        <f>VLOOKUP($F725,'Status Thresholds'!$E:$AS,17,FALSE)</f>
        <v>0</v>
      </c>
      <c r="Y725" s="36">
        <f>VLOOKUP($F725,'Status Thresholds'!$E:$AS,18,FALSE)</f>
        <v>0</v>
      </c>
      <c r="Z725" s="36">
        <f>VLOOKUP($F725,'Status Thresholds'!$E:$AS,19,FALSE)</f>
        <v>0</v>
      </c>
      <c r="AA725" s="36">
        <f>VLOOKUP($F725,'Status Thresholds'!$E:$AS,20,FALSE)</f>
        <v>0</v>
      </c>
      <c r="AB725" s="36">
        <f>VLOOKUP($F725,'Status Thresholds'!$E:$AS,21,FALSE)</f>
        <v>0</v>
      </c>
      <c r="AC725" s="50">
        <f>VLOOKUP($F725,'Status Thresholds'!$E:$AS,22,FALSE)</f>
        <v>0</v>
      </c>
      <c r="AD725" s="36">
        <f>VLOOKUP($F725,'Status Thresholds'!$E:$AS,23,FALSE)</f>
        <v>0</v>
      </c>
      <c r="AE725" s="36">
        <f>VLOOKUP($F725,'Status Thresholds'!$E:$AS,24,FALSE)</f>
        <v>0</v>
      </c>
      <c r="AF725" s="36">
        <f>VLOOKUP($F725,'Status Thresholds'!$E:$AS,25,FALSE)</f>
        <v>0</v>
      </c>
      <c r="AG725" s="36">
        <f>VLOOKUP($F725,'Status Thresholds'!$E:$AS,26,FALSE)</f>
        <v>0</v>
      </c>
      <c r="AH725" s="50">
        <f>VLOOKUP($F725,'Status Thresholds'!$E:$AS,27,FALSE)</f>
        <v>0</v>
      </c>
      <c r="AI725" s="36">
        <f>VLOOKUP($F725,'Status Thresholds'!$E:$AS,28,FALSE)</f>
        <v>0</v>
      </c>
      <c r="AJ725" s="36">
        <f>VLOOKUP($F725,'Status Thresholds'!$E:$AS,29,FALSE)</f>
        <v>0</v>
      </c>
      <c r="AK725" s="36">
        <f>VLOOKUP($F725,'Status Thresholds'!$E:$AS,30,FALSE)</f>
        <v>0</v>
      </c>
      <c r="AL725" s="36">
        <f>VLOOKUP($F725,'Status Thresholds'!$E:$AS,31,FALSE)</f>
        <v>0</v>
      </c>
      <c r="AM725" s="50">
        <f>VLOOKUP($F725,'Status Thresholds'!$E:$AS,32,FALSE)</f>
        <v>0</v>
      </c>
      <c r="AN725" s="36">
        <f>VLOOKUP($F725,'Status Thresholds'!$E:$AS,33,FALSE)</f>
        <v>0</v>
      </c>
      <c r="AO725" s="36">
        <f>VLOOKUP($F725,'Status Thresholds'!$E:$AS,34,FALSE)</f>
        <v>0</v>
      </c>
      <c r="AP725" s="36">
        <f>VLOOKUP($F725,'Status Thresholds'!$E:$AS,35,FALSE)</f>
        <v>0</v>
      </c>
      <c r="AQ725" s="36">
        <f>VLOOKUP($F725,'Status Thresholds'!$E:$AS,36,FALSE)</f>
        <v>0</v>
      </c>
      <c r="AR725" s="50">
        <f>VLOOKUP($F725,'Status Thresholds'!$E:$AS,37,FALSE)</f>
        <v>0</v>
      </c>
      <c r="AS725" s="36">
        <f>VLOOKUP($F725,'Status Thresholds'!$E:$AS,38,FALSE)</f>
        <v>0</v>
      </c>
      <c r="AT725" s="36">
        <f>VLOOKUP($F725,'Status Thresholds'!$E:$AS,39,FALSE)</f>
        <v>0</v>
      </c>
      <c r="AU725" s="36">
        <f>VLOOKUP($F725,'Status Thresholds'!$E:$AS,40,FALSE)</f>
        <v>0</v>
      </c>
      <c r="AV725" s="36">
        <f>VLOOKUP($F725,'Status Thresholds'!$E:$AS,41,FALSE)</f>
        <v>10</v>
      </c>
      <c r="AW725">
        <v>0</v>
      </c>
      <c r="AX725">
        <v>0</v>
      </c>
    </row>
    <row r="726" spans="1:50" x14ac:dyDescent="0.25">
      <c r="A726" s="36"/>
      <c r="B726" t="s">
        <v>120</v>
      </c>
      <c r="C726" s="36" t="str">
        <f>'Status Thresholds'!B717</f>
        <v>Stonefist Hermitaur</v>
      </c>
      <c r="E726" s="36" t="str">
        <f t="shared" si="25"/>
        <v>Stonefist Hermitaur</v>
      </c>
      <c r="F726" s="36" t="str">
        <f>IFERROR(VLOOKUP($E726,'Status Thresholds'!$E:$AS,1,FALSE),"")</f>
        <v/>
      </c>
      <c r="G726" t="s">
        <v>21</v>
      </c>
      <c r="H726" s="55" t="str">
        <f t="shared" si="26"/>
        <v>Stonefist HermitaurTriblast</v>
      </c>
      <c r="I726" s="50">
        <v>0</v>
      </c>
      <c r="J726" s="36">
        <v>0</v>
      </c>
      <c r="K726" s="36">
        <v>0</v>
      </c>
      <c r="L726" s="36">
        <v>0</v>
      </c>
      <c r="M726" s="36">
        <v>0</v>
      </c>
      <c r="N726" s="50">
        <v>0</v>
      </c>
      <c r="O726" s="36">
        <v>0</v>
      </c>
      <c r="P726" s="36">
        <v>0</v>
      </c>
      <c r="Q726" s="36">
        <v>0</v>
      </c>
      <c r="R726" s="36">
        <v>0</v>
      </c>
      <c r="S726" s="50">
        <v>0</v>
      </c>
      <c r="T726" s="36">
        <v>0</v>
      </c>
      <c r="U726" s="36">
        <v>0</v>
      </c>
      <c r="V726" s="36">
        <v>0</v>
      </c>
      <c r="W726" s="36">
        <v>0</v>
      </c>
      <c r="X726" s="50">
        <v>0</v>
      </c>
      <c r="Y726" s="36">
        <v>0</v>
      </c>
      <c r="Z726" s="36">
        <v>0</v>
      </c>
      <c r="AA726" s="36">
        <v>0</v>
      </c>
      <c r="AB726" s="36">
        <v>0</v>
      </c>
      <c r="AC726" s="50">
        <v>0</v>
      </c>
      <c r="AD726" s="36">
        <v>0</v>
      </c>
      <c r="AE726" s="36">
        <v>0</v>
      </c>
      <c r="AF726" s="36">
        <v>0</v>
      </c>
      <c r="AG726" s="36">
        <v>0</v>
      </c>
      <c r="AH726" s="50">
        <v>0</v>
      </c>
      <c r="AI726" s="36">
        <v>0</v>
      </c>
      <c r="AJ726" s="36">
        <v>0</v>
      </c>
      <c r="AK726" s="36">
        <v>0</v>
      </c>
      <c r="AL726" s="36">
        <v>0</v>
      </c>
      <c r="AM726" s="50">
        <v>0</v>
      </c>
      <c r="AN726" s="36">
        <v>0</v>
      </c>
      <c r="AO726" s="36">
        <v>0</v>
      </c>
      <c r="AP726" s="36">
        <v>0</v>
      </c>
      <c r="AQ726" s="36">
        <v>0</v>
      </c>
      <c r="AR726" s="50">
        <v>0</v>
      </c>
      <c r="AS726" s="36">
        <v>0</v>
      </c>
      <c r="AT726" s="36">
        <v>0</v>
      </c>
      <c r="AU726" s="36">
        <v>0</v>
      </c>
      <c r="AV726" s="36">
        <v>0</v>
      </c>
      <c r="AW726">
        <v>0</v>
      </c>
    </row>
    <row r="727" spans="1:50" x14ac:dyDescent="0.25">
      <c r="A727" s="36"/>
      <c r="B727" t="s">
        <v>120</v>
      </c>
      <c r="C727" s="36" t="str">
        <f>'Status Thresholds'!B716</f>
        <v>Stonefist Hermitaur</v>
      </c>
      <c r="E727" s="36" t="str">
        <f t="shared" si="25"/>
        <v>Stonefist Hermitaur</v>
      </c>
      <c r="F727" s="36" t="str">
        <f>IFERROR(VLOOKUP($E727,'Status Thresholds'!$E:$AS,1,FALSE),"")</f>
        <v/>
      </c>
      <c r="G727" t="s">
        <v>13</v>
      </c>
      <c r="H727" s="55" t="str">
        <f t="shared" si="26"/>
        <v>Stonefist HermitaurCrag 3</v>
      </c>
      <c r="I727" s="50">
        <v>0</v>
      </c>
      <c r="J727" s="36">
        <v>0</v>
      </c>
      <c r="K727" s="36">
        <v>0</v>
      </c>
      <c r="L727" s="36">
        <v>0</v>
      </c>
      <c r="M727" s="36">
        <v>0</v>
      </c>
      <c r="N727" s="50">
        <v>0</v>
      </c>
      <c r="O727" s="36">
        <v>0</v>
      </c>
      <c r="P727" s="36">
        <v>0</v>
      </c>
      <c r="Q727" s="36">
        <v>0</v>
      </c>
      <c r="R727" s="36">
        <v>0</v>
      </c>
      <c r="S727" s="50">
        <v>0</v>
      </c>
      <c r="T727" s="36">
        <v>0</v>
      </c>
      <c r="U727" s="36">
        <v>0</v>
      </c>
      <c r="V727" s="36">
        <v>0</v>
      </c>
      <c r="W727" s="36">
        <v>0</v>
      </c>
      <c r="X727" s="50">
        <v>0</v>
      </c>
      <c r="Y727" s="36">
        <v>0</v>
      </c>
      <c r="Z727" s="36">
        <v>0</v>
      </c>
      <c r="AA727" s="36">
        <v>0</v>
      </c>
      <c r="AB727" s="36">
        <v>0</v>
      </c>
      <c r="AC727" s="50">
        <v>0</v>
      </c>
      <c r="AD727" s="36">
        <v>0</v>
      </c>
      <c r="AE727" s="36">
        <v>0</v>
      </c>
      <c r="AF727" s="36">
        <v>0</v>
      </c>
      <c r="AG727" s="36">
        <v>0</v>
      </c>
      <c r="AH727" s="50">
        <v>0</v>
      </c>
      <c r="AI727" s="36">
        <v>0</v>
      </c>
      <c r="AJ727" s="36">
        <v>0</v>
      </c>
      <c r="AK727" s="36">
        <v>0</v>
      </c>
      <c r="AL727" s="36">
        <v>0</v>
      </c>
      <c r="AM727" s="50">
        <v>0</v>
      </c>
      <c r="AN727" s="36">
        <v>0</v>
      </c>
      <c r="AO727" s="36">
        <v>0</v>
      </c>
      <c r="AP727" s="36">
        <v>0</v>
      </c>
      <c r="AQ727" s="36">
        <v>0</v>
      </c>
      <c r="AR727" s="50">
        <v>0</v>
      </c>
      <c r="AS727" s="36">
        <v>0</v>
      </c>
      <c r="AT727" s="36">
        <v>0</v>
      </c>
      <c r="AU727" s="36">
        <v>0</v>
      </c>
      <c r="AV727" s="36">
        <v>0</v>
      </c>
      <c r="AW727">
        <v>0</v>
      </c>
      <c r="AX727">
        <v>0</v>
      </c>
    </row>
    <row r="728" spans="1:50" x14ac:dyDescent="0.25">
      <c r="A728" s="36"/>
      <c r="B728" t="s">
        <v>120</v>
      </c>
      <c r="C728" s="36" t="str">
        <f>'Status Thresholds'!B719</f>
        <v>Stonefist Hermitaur</v>
      </c>
      <c r="E728" s="36" t="str">
        <f t="shared" si="25"/>
        <v>Stonefist Hermitaur</v>
      </c>
      <c r="F728" s="36" t="str">
        <f>IFERROR(VLOOKUP($E728,'Status Thresholds'!$E:$AS,1,FALSE),"")</f>
        <v/>
      </c>
      <c r="G728" t="s">
        <v>12</v>
      </c>
      <c r="H728" s="55" t="str">
        <f t="shared" si="26"/>
        <v>Stonefist HermitaurCrag 2</v>
      </c>
      <c r="I728" s="50">
        <v>0</v>
      </c>
      <c r="J728" s="36">
        <v>0</v>
      </c>
      <c r="K728" s="36">
        <v>0</v>
      </c>
      <c r="L728" s="36">
        <v>0</v>
      </c>
      <c r="M728" s="36">
        <v>0</v>
      </c>
      <c r="N728" s="50">
        <v>0</v>
      </c>
      <c r="O728" s="36">
        <v>0</v>
      </c>
      <c r="P728" s="36">
        <v>0</v>
      </c>
      <c r="Q728" s="36">
        <v>0</v>
      </c>
      <c r="R728" s="36">
        <v>0</v>
      </c>
      <c r="S728" s="50">
        <v>0</v>
      </c>
      <c r="T728" s="36">
        <v>0</v>
      </c>
      <c r="U728" s="36">
        <v>0</v>
      </c>
      <c r="V728" s="36">
        <v>0</v>
      </c>
      <c r="W728" s="36">
        <v>0</v>
      </c>
      <c r="X728" s="50">
        <v>0</v>
      </c>
      <c r="Y728" s="36">
        <v>0</v>
      </c>
      <c r="Z728" s="36">
        <v>0</v>
      </c>
      <c r="AA728" s="36">
        <v>0</v>
      </c>
      <c r="AB728" s="36">
        <v>0</v>
      </c>
      <c r="AC728" s="50">
        <v>0</v>
      </c>
      <c r="AD728" s="36">
        <v>0</v>
      </c>
      <c r="AE728" s="36">
        <v>0</v>
      </c>
      <c r="AF728" s="36">
        <v>0</v>
      </c>
      <c r="AG728" s="36">
        <v>0</v>
      </c>
      <c r="AH728" s="50">
        <v>0</v>
      </c>
      <c r="AI728" s="36">
        <v>0</v>
      </c>
      <c r="AJ728" s="36">
        <v>0</v>
      </c>
      <c r="AK728" s="36">
        <v>0</v>
      </c>
      <c r="AL728" s="36">
        <v>0</v>
      </c>
      <c r="AM728" s="50">
        <v>0</v>
      </c>
      <c r="AN728" s="36">
        <v>0</v>
      </c>
      <c r="AO728" s="36">
        <v>0</v>
      </c>
      <c r="AP728" s="36">
        <v>0</v>
      </c>
      <c r="AQ728" s="36">
        <v>0</v>
      </c>
      <c r="AR728" s="50">
        <v>0</v>
      </c>
      <c r="AS728" s="36">
        <v>0</v>
      </c>
      <c r="AT728" s="36">
        <v>0</v>
      </c>
      <c r="AU728" s="36">
        <v>0</v>
      </c>
      <c r="AV728" s="36">
        <v>0</v>
      </c>
      <c r="AW728">
        <v>0</v>
      </c>
      <c r="AX728">
        <v>0</v>
      </c>
    </row>
    <row r="729" spans="1:50" x14ac:dyDescent="0.25">
      <c r="A729" s="36"/>
      <c r="B729" t="s">
        <v>120</v>
      </c>
      <c r="C729" s="36" t="str">
        <f>'Status Thresholds'!B720</f>
        <v>Stonefist Hermitaur</v>
      </c>
      <c r="E729" s="36" t="str">
        <f t="shared" si="25"/>
        <v>Stonefist Hermitaur</v>
      </c>
      <c r="F729" s="36" t="str">
        <f>IFERROR(VLOOKUP($E729,'Status Thresholds'!$E:$AS,1,FALSE),"")</f>
        <v/>
      </c>
      <c r="G729" t="s">
        <v>11</v>
      </c>
      <c r="H729" s="55" t="str">
        <f t="shared" si="26"/>
        <v>Stonefist HermitaurCrag 1</v>
      </c>
      <c r="I729" s="50">
        <v>1</v>
      </c>
      <c r="J729" s="36">
        <v>1</v>
      </c>
      <c r="K729" s="36">
        <v>1</v>
      </c>
      <c r="L729" s="36">
        <v>1</v>
      </c>
      <c r="M729" s="36">
        <v>1</v>
      </c>
      <c r="N729" s="50">
        <v>1</v>
      </c>
      <c r="O729" s="36">
        <v>1</v>
      </c>
      <c r="P729" s="36">
        <v>1</v>
      </c>
      <c r="Q729" s="36">
        <v>1</v>
      </c>
      <c r="R729" s="36">
        <v>1</v>
      </c>
      <c r="S729" s="50">
        <v>1</v>
      </c>
      <c r="T729" s="36">
        <v>1</v>
      </c>
      <c r="U729" s="36">
        <v>1</v>
      </c>
      <c r="V729" s="36">
        <v>1</v>
      </c>
      <c r="W729" s="36">
        <v>1</v>
      </c>
      <c r="X729" s="50">
        <v>1</v>
      </c>
      <c r="Y729" s="36">
        <v>1</v>
      </c>
      <c r="Z729" s="36">
        <v>1</v>
      </c>
      <c r="AA729" s="36">
        <v>1</v>
      </c>
      <c r="AB729" s="36">
        <v>1</v>
      </c>
      <c r="AC729" s="50">
        <v>1</v>
      </c>
      <c r="AD729" s="36">
        <v>1</v>
      </c>
      <c r="AE729" s="36">
        <v>1</v>
      </c>
      <c r="AF729" s="36">
        <v>1</v>
      </c>
      <c r="AG729" s="36">
        <v>1</v>
      </c>
      <c r="AH729" s="50">
        <v>1</v>
      </c>
      <c r="AI729" s="36">
        <v>1</v>
      </c>
      <c r="AJ729" s="36">
        <v>1</v>
      </c>
      <c r="AK729" s="36">
        <v>1</v>
      </c>
      <c r="AL729" s="36">
        <v>1</v>
      </c>
      <c r="AM729" s="50">
        <v>1</v>
      </c>
      <c r="AN729" s="36">
        <v>1</v>
      </c>
      <c r="AO729" s="36">
        <v>1</v>
      </c>
      <c r="AP729" s="36">
        <v>1</v>
      </c>
      <c r="AQ729" s="36">
        <v>1</v>
      </c>
      <c r="AR729" s="50">
        <v>1</v>
      </c>
      <c r="AS729" s="36">
        <v>1</v>
      </c>
      <c r="AT729" s="36">
        <v>1</v>
      </c>
      <c r="AU729" s="36">
        <v>1</v>
      </c>
      <c r="AV729" s="36">
        <v>1</v>
      </c>
      <c r="AW729">
        <v>0</v>
      </c>
      <c r="AX729">
        <v>0</v>
      </c>
    </row>
    <row r="730" spans="1:50" x14ac:dyDescent="0.25">
      <c r="A730" s="36"/>
      <c r="B730" t="s">
        <v>119</v>
      </c>
      <c r="C730" s="36" t="str">
        <f>'Status Thresholds'!B721</f>
        <v>Stonefist Hermitaur</v>
      </c>
      <c r="E730" s="36" t="str">
        <f t="shared" si="25"/>
        <v>Stonefist Hermitaur</v>
      </c>
      <c r="F730" s="36" t="str">
        <f>IFERROR(VLOOKUP($E730,'Status Thresholds'!$E:$AS,1,FALSE),"")</f>
        <v/>
      </c>
      <c r="G730" t="s">
        <v>21</v>
      </c>
      <c r="H730" s="55" t="str">
        <f t="shared" si="26"/>
        <v>Stonefist HermitaurTriblast</v>
      </c>
      <c r="I730" s="50">
        <v>0</v>
      </c>
      <c r="J730" s="36">
        <v>0</v>
      </c>
      <c r="K730" s="36">
        <v>0</v>
      </c>
      <c r="L730" s="36">
        <v>0</v>
      </c>
      <c r="M730" s="36">
        <v>0</v>
      </c>
      <c r="N730" s="50">
        <v>0</v>
      </c>
      <c r="O730" s="36">
        <v>0</v>
      </c>
      <c r="P730" s="36">
        <v>0</v>
      </c>
      <c r="Q730" s="36">
        <v>0</v>
      </c>
      <c r="R730" s="36">
        <v>0</v>
      </c>
      <c r="S730" s="50">
        <v>0</v>
      </c>
      <c r="T730" s="36">
        <v>0</v>
      </c>
      <c r="U730" s="36">
        <v>0</v>
      </c>
      <c r="V730" s="36">
        <v>0</v>
      </c>
      <c r="W730" s="36">
        <v>0</v>
      </c>
      <c r="X730" s="50">
        <v>0</v>
      </c>
      <c r="Y730" s="36">
        <v>0</v>
      </c>
      <c r="Z730" s="36">
        <v>0</v>
      </c>
      <c r="AA730" s="36">
        <v>0</v>
      </c>
      <c r="AB730" s="36">
        <v>0</v>
      </c>
      <c r="AC730" s="50">
        <v>0</v>
      </c>
      <c r="AD730" s="36">
        <v>0</v>
      </c>
      <c r="AE730" s="36">
        <v>0</v>
      </c>
      <c r="AF730" s="36">
        <v>0</v>
      </c>
      <c r="AG730" s="36">
        <v>0</v>
      </c>
      <c r="AH730" s="50">
        <v>0</v>
      </c>
      <c r="AI730" s="36">
        <v>0</v>
      </c>
      <c r="AJ730" s="36">
        <v>0</v>
      </c>
      <c r="AK730" s="36">
        <v>0</v>
      </c>
      <c r="AL730" s="36">
        <v>0</v>
      </c>
      <c r="AM730" s="50">
        <v>0</v>
      </c>
      <c r="AN730" s="36">
        <v>0</v>
      </c>
      <c r="AO730" s="36">
        <v>0</v>
      </c>
      <c r="AP730" s="36">
        <v>0</v>
      </c>
      <c r="AQ730" s="36">
        <v>0</v>
      </c>
      <c r="AR730" s="50">
        <v>0</v>
      </c>
      <c r="AS730" s="36">
        <v>0</v>
      </c>
      <c r="AT730" s="36">
        <v>0</v>
      </c>
      <c r="AU730" s="36">
        <v>0</v>
      </c>
      <c r="AV730" s="36">
        <v>0</v>
      </c>
      <c r="AW730">
        <v>0</v>
      </c>
      <c r="AX730">
        <v>0</v>
      </c>
    </row>
    <row r="731" spans="1:50" x14ac:dyDescent="0.25">
      <c r="A731" s="36"/>
      <c r="B731" t="s">
        <v>119</v>
      </c>
      <c r="C731" s="36" t="str">
        <f>'Status Thresholds'!B722</f>
        <v>Stonefist Hermitaur</v>
      </c>
      <c r="E731" s="36" t="str">
        <f t="shared" si="25"/>
        <v>Stonefist Hermitaur</v>
      </c>
      <c r="F731" s="36" t="str">
        <f>IFERROR(VLOOKUP($E731,'Status Thresholds'!$E:$AS,1,FALSE),"")</f>
        <v/>
      </c>
      <c r="G731" t="s">
        <v>13</v>
      </c>
      <c r="H731" s="55" t="str">
        <f t="shared" si="26"/>
        <v>Stonefist HermitaurCrag 3</v>
      </c>
      <c r="I731" s="50">
        <v>0</v>
      </c>
      <c r="J731" s="36">
        <v>0</v>
      </c>
      <c r="K731" s="36">
        <v>0</v>
      </c>
      <c r="L731" s="36">
        <v>0</v>
      </c>
      <c r="M731" s="36">
        <v>0</v>
      </c>
      <c r="N731" s="50">
        <v>0</v>
      </c>
      <c r="O731" s="36">
        <v>0</v>
      </c>
      <c r="P731" s="36">
        <v>0</v>
      </c>
      <c r="Q731" s="36">
        <v>0</v>
      </c>
      <c r="R731" s="36">
        <v>0</v>
      </c>
      <c r="S731" s="50">
        <v>0</v>
      </c>
      <c r="T731" s="36">
        <v>0</v>
      </c>
      <c r="U731" s="36">
        <v>0</v>
      </c>
      <c r="V731" s="36">
        <v>0</v>
      </c>
      <c r="W731" s="36">
        <v>0</v>
      </c>
      <c r="X731" s="50">
        <v>0</v>
      </c>
      <c r="Y731" s="36">
        <v>0</v>
      </c>
      <c r="Z731" s="36">
        <v>0</v>
      </c>
      <c r="AA731" s="36">
        <v>0</v>
      </c>
      <c r="AB731" s="36">
        <v>0</v>
      </c>
      <c r="AC731" s="50">
        <v>0</v>
      </c>
      <c r="AD731" s="36">
        <v>0</v>
      </c>
      <c r="AE731" s="36">
        <v>0</v>
      </c>
      <c r="AF731" s="36">
        <v>0</v>
      </c>
      <c r="AG731" s="36">
        <v>0</v>
      </c>
      <c r="AH731" s="50">
        <v>0</v>
      </c>
      <c r="AI731" s="36">
        <v>0</v>
      </c>
      <c r="AJ731" s="36">
        <v>0</v>
      </c>
      <c r="AK731" s="36">
        <v>0</v>
      </c>
      <c r="AL731" s="36">
        <v>0</v>
      </c>
      <c r="AM731" s="50">
        <v>0</v>
      </c>
      <c r="AN731" s="36">
        <v>0</v>
      </c>
      <c r="AO731" s="36">
        <v>0</v>
      </c>
      <c r="AP731" s="36">
        <v>0</v>
      </c>
      <c r="AQ731" s="36">
        <v>0</v>
      </c>
      <c r="AR731" s="50">
        <v>0</v>
      </c>
      <c r="AS731" s="36">
        <v>0</v>
      </c>
      <c r="AT731" s="36">
        <v>0</v>
      </c>
      <c r="AU731" s="36">
        <v>0</v>
      </c>
      <c r="AV731" s="36">
        <v>0</v>
      </c>
      <c r="AW731">
        <v>0</v>
      </c>
      <c r="AX731">
        <v>0</v>
      </c>
    </row>
    <row r="732" spans="1:50" x14ac:dyDescent="0.25">
      <c r="A732" s="36"/>
      <c r="B732" t="s">
        <v>119</v>
      </c>
      <c r="C732" s="36" t="str">
        <f>'Status Thresholds'!B723</f>
        <v>Stonefist Hermitaur</v>
      </c>
      <c r="E732" s="36" t="str">
        <f t="shared" si="25"/>
        <v>Stonefist Hermitaur</v>
      </c>
      <c r="F732" s="36" t="str">
        <f>IFERROR(VLOOKUP($E732,'Status Thresholds'!$E:$AS,1,FALSE),"")</f>
        <v/>
      </c>
      <c r="G732" t="s">
        <v>12</v>
      </c>
      <c r="H732" s="55" t="str">
        <f t="shared" si="26"/>
        <v>Stonefist HermitaurCrag 2</v>
      </c>
      <c r="I732" s="50">
        <v>0</v>
      </c>
      <c r="J732" s="36">
        <v>0</v>
      </c>
      <c r="K732" s="36">
        <v>0</v>
      </c>
      <c r="L732" s="36">
        <v>0</v>
      </c>
      <c r="M732" s="36">
        <v>0</v>
      </c>
      <c r="N732" s="50">
        <v>0</v>
      </c>
      <c r="O732" s="36">
        <v>0</v>
      </c>
      <c r="P732" s="36">
        <v>0</v>
      </c>
      <c r="Q732" s="36">
        <v>0</v>
      </c>
      <c r="R732" s="36">
        <v>0</v>
      </c>
      <c r="S732" s="50">
        <v>0</v>
      </c>
      <c r="T732" s="36">
        <v>0</v>
      </c>
      <c r="U732" s="36">
        <v>0</v>
      </c>
      <c r="V732" s="36">
        <v>0</v>
      </c>
      <c r="W732" s="36">
        <v>0</v>
      </c>
      <c r="X732" s="50">
        <v>0</v>
      </c>
      <c r="Y732" s="36">
        <v>0</v>
      </c>
      <c r="Z732" s="36">
        <v>0</v>
      </c>
      <c r="AA732" s="36">
        <v>0</v>
      </c>
      <c r="AB732" s="36">
        <v>0</v>
      </c>
      <c r="AC732" s="50">
        <v>0</v>
      </c>
      <c r="AD732" s="36">
        <v>0</v>
      </c>
      <c r="AE732" s="36">
        <v>0</v>
      </c>
      <c r="AF732" s="36">
        <v>0</v>
      </c>
      <c r="AG732" s="36">
        <v>0</v>
      </c>
      <c r="AH732" s="50">
        <v>0</v>
      </c>
      <c r="AI732" s="36">
        <v>0</v>
      </c>
      <c r="AJ732" s="36">
        <v>0</v>
      </c>
      <c r="AK732" s="36">
        <v>0</v>
      </c>
      <c r="AL732" s="36">
        <v>0</v>
      </c>
      <c r="AM732" s="50">
        <v>0</v>
      </c>
      <c r="AN732" s="36">
        <v>0</v>
      </c>
      <c r="AO732" s="36">
        <v>0</v>
      </c>
      <c r="AP732" s="36">
        <v>0</v>
      </c>
      <c r="AQ732" s="36">
        <v>0</v>
      </c>
      <c r="AR732" s="50">
        <v>0</v>
      </c>
      <c r="AS732" s="36">
        <v>0</v>
      </c>
      <c r="AT732" s="36">
        <v>0</v>
      </c>
      <c r="AU732" s="36">
        <v>0</v>
      </c>
      <c r="AV732" s="36">
        <v>0</v>
      </c>
      <c r="AW732">
        <v>0</v>
      </c>
      <c r="AX732">
        <v>0</v>
      </c>
    </row>
    <row r="733" spans="1:50" x14ac:dyDescent="0.25">
      <c r="A733" s="36"/>
      <c r="B733" t="s">
        <v>119</v>
      </c>
      <c r="C733" s="36" t="str">
        <f>'Status Thresholds'!B724</f>
        <v>Stonefist Hermitaur</v>
      </c>
      <c r="E733" s="36" t="str">
        <f t="shared" si="25"/>
        <v>Stonefist Hermitaur</v>
      </c>
      <c r="F733" s="36" t="str">
        <f>IFERROR(VLOOKUP($E733,'Status Thresholds'!$E:$AS,1,FALSE),"")</f>
        <v/>
      </c>
      <c r="G733" t="s">
        <v>11</v>
      </c>
      <c r="H733" s="55" t="str">
        <f t="shared" si="26"/>
        <v>Stonefist HermitaurCrag 1</v>
      </c>
      <c r="I733" s="50">
        <v>1</v>
      </c>
      <c r="J733" s="36">
        <v>1</v>
      </c>
      <c r="K733" s="36">
        <v>1</v>
      </c>
      <c r="L733" s="36">
        <v>1</v>
      </c>
      <c r="M733" s="36">
        <v>1</v>
      </c>
      <c r="N733" s="50">
        <v>1</v>
      </c>
      <c r="O733" s="36">
        <v>1</v>
      </c>
      <c r="P733" s="36">
        <v>1</v>
      </c>
      <c r="Q733" s="36">
        <v>1</v>
      </c>
      <c r="R733" s="36">
        <v>1</v>
      </c>
      <c r="S733" s="50">
        <v>1</v>
      </c>
      <c r="T733" s="36">
        <v>1</v>
      </c>
      <c r="U733" s="36">
        <v>1</v>
      </c>
      <c r="V733" s="36">
        <v>1</v>
      </c>
      <c r="W733" s="36">
        <v>1</v>
      </c>
      <c r="X733" s="50">
        <v>1</v>
      </c>
      <c r="Y733" s="36">
        <v>1</v>
      </c>
      <c r="Z733" s="36">
        <v>1</v>
      </c>
      <c r="AA733" s="36">
        <v>1</v>
      </c>
      <c r="AB733" s="36">
        <v>1</v>
      </c>
      <c r="AC733" s="50">
        <v>1</v>
      </c>
      <c r="AD733" s="36">
        <v>1</v>
      </c>
      <c r="AE733" s="36">
        <v>1</v>
      </c>
      <c r="AF733" s="36">
        <v>1</v>
      </c>
      <c r="AG733" s="36">
        <v>1</v>
      </c>
      <c r="AH733" s="50">
        <v>1</v>
      </c>
      <c r="AI733" s="36">
        <v>1</v>
      </c>
      <c r="AJ733" s="36">
        <v>1</v>
      </c>
      <c r="AK733" s="36">
        <v>1</v>
      </c>
      <c r="AL733" s="36">
        <v>1</v>
      </c>
      <c r="AM733" s="50">
        <v>1</v>
      </c>
      <c r="AN733" s="36">
        <v>1</v>
      </c>
      <c r="AO733" s="36">
        <v>1</v>
      </c>
      <c r="AP733" s="36">
        <v>1</v>
      </c>
      <c r="AQ733" s="36">
        <v>1</v>
      </c>
      <c r="AR733" s="50">
        <v>1</v>
      </c>
      <c r="AS733" s="36">
        <v>1</v>
      </c>
      <c r="AT733" s="36">
        <v>1</v>
      </c>
      <c r="AU733" s="36">
        <v>1</v>
      </c>
      <c r="AV733" s="36">
        <v>1</v>
      </c>
      <c r="AW733">
        <v>0</v>
      </c>
      <c r="AX733">
        <v>0</v>
      </c>
    </row>
    <row r="734" spans="1:50" x14ac:dyDescent="0.25">
      <c r="A734" s="36"/>
      <c r="B734" s="36" t="s">
        <v>121</v>
      </c>
      <c r="C734" s="36" t="str">
        <f>'Status Thresholds'!B725</f>
        <v>Teostra</v>
      </c>
      <c r="D734" t="s">
        <v>14</v>
      </c>
      <c r="E734" s="36" t="str">
        <f t="shared" si="25"/>
        <v>TeostraKO</v>
      </c>
      <c r="F734" s="36" t="str">
        <f>IFERROR(VLOOKUP($E734,'Status Thresholds'!$E:$AS,1,FALSE),"")</f>
        <v>TeostraKO</v>
      </c>
      <c r="H734" s="55" t="str">
        <f t="shared" si="26"/>
        <v>TeostraKO</v>
      </c>
      <c r="I734" s="50">
        <f>VLOOKUP($F734,'Status Thresholds'!$E:$AS,2,FALSE)</f>
        <v>210</v>
      </c>
      <c r="J734" s="36">
        <f>VLOOKUP($F734,'Status Thresholds'!$E:$AS,3,FALSE)</f>
        <v>350</v>
      </c>
      <c r="K734" s="36">
        <f>VLOOKUP($F734,'Status Thresholds'!$E:$AS,4,FALSE)</f>
        <v>490</v>
      </c>
      <c r="L734" s="36">
        <f>VLOOKUP($F734,'Status Thresholds'!$E:$AS,5,FALSE)</f>
        <v>630</v>
      </c>
      <c r="M734" s="36">
        <f>VLOOKUP($F734,'Status Thresholds'!$E:$AS,6,FALSE)</f>
        <v>0</v>
      </c>
      <c r="N734" s="50">
        <f>VLOOKUP($F734,'Status Thresholds'!$E:$AS,7,FALSE)</f>
        <v>0</v>
      </c>
      <c r="O734" s="36">
        <f>VLOOKUP($F734,'Status Thresholds'!$E:$AS,8,FALSE)</f>
        <v>0</v>
      </c>
      <c r="P734" s="36">
        <f>VLOOKUP($F734,'Status Thresholds'!$E:$AS,9,FALSE)</f>
        <v>0</v>
      </c>
      <c r="Q734" s="36">
        <f>VLOOKUP($F734,'Status Thresholds'!$E:$AS,10,FALSE)</f>
        <v>0</v>
      </c>
      <c r="R734" s="36">
        <f>VLOOKUP($F734,'Status Thresholds'!$E:$AS,11,FALSE)</f>
        <v>0</v>
      </c>
      <c r="S734" s="50">
        <f>VLOOKUP($F734,'Status Thresholds'!$E:$AS,12,FALSE)</f>
        <v>0</v>
      </c>
      <c r="T734" s="36">
        <f>VLOOKUP($F734,'Status Thresholds'!$E:$AS,13,FALSE)</f>
        <v>0</v>
      </c>
      <c r="U734" s="36">
        <f>VLOOKUP($F734,'Status Thresholds'!$E:$AS,14,FALSE)</f>
        <v>0</v>
      </c>
      <c r="V734" s="36">
        <f>VLOOKUP($F734,'Status Thresholds'!$E:$AS,15,FALSE)</f>
        <v>0</v>
      </c>
      <c r="W734" s="36">
        <f>VLOOKUP($F734,'Status Thresholds'!$E:$AS,16,FALSE)</f>
        <v>0</v>
      </c>
      <c r="X734" s="50">
        <f>VLOOKUP($F734,'Status Thresholds'!$E:$AS,17,FALSE)</f>
        <v>0</v>
      </c>
      <c r="Y734" s="36">
        <f>VLOOKUP($F734,'Status Thresholds'!$E:$AS,18,FALSE)</f>
        <v>0</v>
      </c>
      <c r="Z734" s="36">
        <f>VLOOKUP($F734,'Status Thresholds'!$E:$AS,19,FALSE)</f>
        <v>0</v>
      </c>
      <c r="AA734" s="36">
        <f>VLOOKUP($F734,'Status Thresholds'!$E:$AS,20,FALSE)</f>
        <v>0</v>
      </c>
      <c r="AB734" s="36">
        <f>VLOOKUP($F734,'Status Thresholds'!$E:$AS,21,FALSE)</f>
        <v>0</v>
      </c>
      <c r="AC734" s="50">
        <f>VLOOKUP($F734,'Status Thresholds'!$E:$AS,22,FALSE)</f>
        <v>240</v>
      </c>
      <c r="AD734" s="36">
        <f>VLOOKUP($F734,'Status Thresholds'!$E:$AS,23,FALSE)</f>
        <v>400</v>
      </c>
      <c r="AE734" s="36">
        <f>VLOOKUP($F734,'Status Thresholds'!$E:$AS,24,FALSE)</f>
        <v>560</v>
      </c>
      <c r="AF734" s="36">
        <f>VLOOKUP($F734,'Status Thresholds'!$E:$AS,25,FALSE)</f>
        <v>720</v>
      </c>
      <c r="AG734" s="36">
        <f>VLOOKUP($F734,'Status Thresholds'!$E:$AS,26,FALSE)</f>
        <v>0</v>
      </c>
      <c r="AH734" s="50">
        <f>VLOOKUP($F734,'Status Thresholds'!$E:$AS,27,FALSE)</f>
        <v>0</v>
      </c>
      <c r="AI734" s="36">
        <f>VLOOKUP($F734,'Status Thresholds'!$E:$AS,28,FALSE)</f>
        <v>0</v>
      </c>
      <c r="AJ734" s="36">
        <f>VLOOKUP($F734,'Status Thresholds'!$E:$AS,29,FALSE)</f>
        <v>0</v>
      </c>
      <c r="AK734" s="36">
        <f>VLOOKUP($F734,'Status Thresholds'!$E:$AS,30,FALSE)</f>
        <v>0</v>
      </c>
      <c r="AL734" s="36">
        <f>VLOOKUP($F734,'Status Thresholds'!$E:$AS,31,FALSE)</f>
        <v>0</v>
      </c>
      <c r="AM734" s="50">
        <f>VLOOKUP($F734,'Status Thresholds'!$E:$AS,32,FALSE)</f>
        <v>0</v>
      </c>
      <c r="AN734" s="36">
        <f>VLOOKUP($F734,'Status Thresholds'!$E:$AS,33,FALSE)</f>
        <v>0</v>
      </c>
      <c r="AO734" s="36">
        <f>VLOOKUP($F734,'Status Thresholds'!$E:$AS,34,FALSE)</f>
        <v>0</v>
      </c>
      <c r="AP734" s="36">
        <f>VLOOKUP($F734,'Status Thresholds'!$E:$AS,35,FALSE)</f>
        <v>0</v>
      </c>
      <c r="AQ734" s="36">
        <f>VLOOKUP($F734,'Status Thresholds'!$E:$AS,36,FALSE)</f>
        <v>0</v>
      </c>
      <c r="AR734" s="50">
        <f>VLOOKUP($F734,'Status Thresholds'!$E:$AS,37,FALSE)</f>
        <v>0</v>
      </c>
      <c r="AS734" s="36">
        <f>VLOOKUP($F734,'Status Thresholds'!$E:$AS,38,FALSE)</f>
        <v>0</v>
      </c>
      <c r="AT734" s="36">
        <f>VLOOKUP($F734,'Status Thresholds'!$E:$AS,39,FALSE)</f>
        <v>0</v>
      </c>
      <c r="AU734" s="36">
        <f>VLOOKUP($F734,'Status Thresholds'!$E:$AS,40,FALSE)</f>
        <v>0</v>
      </c>
      <c r="AV734" s="36">
        <f>VLOOKUP($F734,'Status Thresholds'!$E:$AS,41,FALSE)</f>
        <v>10</v>
      </c>
      <c r="AW734">
        <v>0</v>
      </c>
      <c r="AX734">
        <v>0</v>
      </c>
    </row>
    <row r="735" spans="1:50" x14ac:dyDescent="0.25">
      <c r="A735" s="36"/>
      <c r="B735" s="46" t="s">
        <v>120</v>
      </c>
      <c r="C735" s="36" t="str">
        <f>'Status Thresholds'!B726</f>
        <v>Teostra</v>
      </c>
      <c r="E735" s="36" t="str">
        <f t="shared" si="25"/>
        <v>Teostra</v>
      </c>
      <c r="F735" s="36" t="str">
        <f>IFERROR(VLOOKUP($E735,'Status Thresholds'!$E:$AS,1,FALSE),"")</f>
        <v/>
      </c>
      <c r="G735" t="s">
        <v>21</v>
      </c>
      <c r="H735" s="55" t="str">
        <f t="shared" si="26"/>
        <v>TeostraTriblast</v>
      </c>
      <c r="I735" s="50">
        <v>2</v>
      </c>
      <c r="J735" s="36">
        <v>2</v>
      </c>
      <c r="K735" s="36">
        <v>1</v>
      </c>
      <c r="L735" s="36">
        <v>2</v>
      </c>
      <c r="M735" s="36">
        <v>0</v>
      </c>
      <c r="N735" s="50">
        <v>0</v>
      </c>
      <c r="O735" s="36">
        <v>0</v>
      </c>
      <c r="P735" s="36">
        <v>0</v>
      </c>
      <c r="Q735" s="36">
        <v>0</v>
      </c>
      <c r="R735" s="36">
        <v>0</v>
      </c>
      <c r="S735" s="50">
        <v>0</v>
      </c>
      <c r="T735" s="36">
        <v>0</v>
      </c>
      <c r="U735" s="36">
        <v>0</v>
      </c>
      <c r="V735" s="36">
        <v>0</v>
      </c>
      <c r="W735" s="36">
        <v>0</v>
      </c>
      <c r="X735" s="50">
        <v>0</v>
      </c>
      <c r="Y735" s="36">
        <v>0</v>
      </c>
      <c r="Z735" s="36">
        <v>0</v>
      </c>
      <c r="AA735" s="36">
        <v>0</v>
      </c>
      <c r="AB735" s="36">
        <v>0</v>
      </c>
      <c r="AC735" s="50">
        <v>2</v>
      </c>
      <c r="AD735" s="36">
        <v>2</v>
      </c>
      <c r="AE735" s="36">
        <v>2</v>
      </c>
      <c r="AF735" s="36">
        <v>2</v>
      </c>
      <c r="AG735" s="36">
        <v>0</v>
      </c>
      <c r="AH735" s="50">
        <v>0</v>
      </c>
      <c r="AI735" s="36">
        <v>0</v>
      </c>
      <c r="AJ735" s="36">
        <v>0</v>
      </c>
      <c r="AK735" s="36">
        <v>0</v>
      </c>
      <c r="AL735" s="36">
        <v>0</v>
      </c>
      <c r="AM735" s="50">
        <v>0</v>
      </c>
      <c r="AN735" s="36">
        <v>0</v>
      </c>
      <c r="AO735" s="36">
        <v>0</v>
      </c>
      <c r="AP735" s="36">
        <v>0</v>
      </c>
      <c r="AQ735" s="36">
        <v>0</v>
      </c>
      <c r="AR735" s="50">
        <v>0</v>
      </c>
      <c r="AS735" s="36">
        <v>0</v>
      </c>
      <c r="AT735" s="36">
        <v>0</v>
      </c>
      <c r="AU735" s="36">
        <v>0</v>
      </c>
      <c r="AV735" s="36">
        <v>0</v>
      </c>
      <c r="AW735">
        <v>0</v>
      </c>
    </row>
    <row r="736" spans="1:50" x14ac:dyDescent="0.25">
      <c r="A736" s="36"/>
      <c r="B736" t="s">
        <v>120</v>
      </c>
      <c r="C736" s="36" t="str">
        <f>'Status Thresholds'!B727</f>
        <v>Teostra</v>
      </c>
      <c r="E736" s="36" t="str">
        <f t="shared" si="25"/>
        <v>Teostra</v>
      </c>
      <c r="F736" s="36" t="str">
        <f>IFERROR(VLOOKUP($E736,'Status Thresholds'!$E:$AS,1,FALSE),"")</f>
        <v/>
      </c>
      <c r="G736" t="s">
        <v>13</v>
      </c>
      <c r="H736" s="55" t="str">
        <f t="shared" si="26"/>
        <v>TeostraCrag 3</v>
      </c>
      <c r="I736" s="50">
        <v>0</v>
      </c>
      <c r="J736" s="36">
        <v>0</v>
      </c>
      <c r="K736" s="36">
        <v>3</v>
      </c>
      <c r="L736" s="36">
        <v>4</v>
      </c>
      <c r="M736" s="36">
        <v>0</v>
      </c>
      <c r="N736" s="50">
        <v>0</v>
      </c>
      <c r="O736" s="36">
        <v>0</v>
      </c>
      <c r="P736" s="36">
        <v>0</v>
      </c>
      <c r="Q736" s="36">
        <v>0</v>
      </c>
      <c r="R736" s="36">
        <v>0</v>
      </c>
      <c r="S736" s="50">
        <v>0</v>
      </c>
      <c r="T736" s="36">
        <v>0</v>
      </c>
      <c r="U736" s="36">
        <v>0</v>
      </c>
      <c r="V736" s="36">
        <v>0</v>
      </c>
      <c r="W736" s="36">
        <v>0</v>
      </c>
      <c r="X736" s="50">
        <v>0</v>
      </c>
      <c r="Y736" s="36">
        <v>0</v>
      </c>
      <c r="Z736" s="36">
        <v>0</v>
      </c>
      <c r="AA736" s="36">
        <v>0</v>
      </c>
      <c r="AB736" s="36">
        <v>0</v>
      </c>
      <c r="AC736" s="50">
        <v>1</v>
      </c>
      <c r="AD736" s="36">
        <v>4</v>
      </c>
      <c r="AE736" s="36">
        <v>3</v>
      </c>
      <c r="AF736" s="36">
        <v>4</v>
      </c>
      <c r="AG736" s="36">
        <v>0</v>
      </c>
      <c r="AH736" s="50">
        <v>0</v>
      </c>
      <c r="AI736" s="36">
        <v>0</v>
      </c>
      <c r="AJ736" s="36">
        <v>0</v>
      </c>
      <c r="AK736" s="36">
        <v>0</v>
      </c>
      <c r="AL736" s="36">
        <v>0</v>
      </c>
      <c r="AM736" s="50">
        <v>0</v>
      </c>
      <c r="AN736" s="36">
        <v>0</v>
      </c>
      <c r="AO736" s="36">
        <v>0</v>
      </c>
      <c r="AP736" s="36">
        <v>0</v>
      </c>
      <c r="AQ736" s="36">
        <v>0</v>
      </c>
      <c r="AR736" s="50">
        <v>0</v>
      </c>
      <c r="AS736" s="36">
        <v>0</v>
      </c>
      <c r="AT736" s="36">
        <v>0</v>
      </c>
      <c r="AU736" s="36">
        <v>0</v>
      </c>
      <c r="AV736" s="36">
        <v>0</v>
      </c>
      <c r="AW736">
        <v>0</v>
      </c>
      <c r="AX736">
        <v>0</v>
      </c>
    </row>
    <row r="737" spans="1:50" x14ac:dyDescent="0.25">
      <c r="A737" s="36"/>
      <c r="B737" t="s">
        <v>120</v>
      </c>
      <c r="C737" s="36" t="str">
        <f>'Status Thresholds'!B728</f>
        <v>Teostra</v>
      </c>
      <c r="E737" s="36" t="str">
        <f t="shared" si="25"/>
        <v>Teostra</v>
      </c>
      <c r="F737" s="36" t="str">
        <f>IFERROR(VLOOKUP($E737,'Status Thresholds'!$E:$AS,1,FALSE),"")</f>
        <v/>
      </c>
      <c r="G737" t="s">
        <v>12</v>
      </c>
      <c r="H737" s="55" t="str">
        <f t="shared" si="26"/>
        <v>TeostraCrag 2</v>
      </c>
      <c r="I737" s="50">
        <v>2</v>
      </c>
      <c r="J737" s="36">
        <v>0</v>
      </c>
      <c r="K737" s="36">
        <v>4</v>
      </c>
      <c r="L737" s="36">
        <v>4</v>
      </c>
      <c r="M737" s="36">
        <v>0</v>
      </c>
      <c r="N737" s="50">
        <v>0</v>
      </c>
      <c r="O737" s="36">
        <v>0</v>
      </c>
      <c r="P737" s="36">
        <v>0</v>
      </c>
      <c r="Q737" s="36">
        <v>0</v>
      </c>
      <c r="R737" s="36">
        <v>0</v>
      </c>
      <c r="S737" s="50">
        <v>0</v>
      </c>
      <c r="T737" s="36">
        <v>0</v>
      </c>
      <c r="U737" s="36">
        <v>0</v>
      </c>
      <c r="V737" s="36">
        <v>0</v>
      </c>
      <c r="W737" s="36">
        <v>0</v>
      </c>
      <c r="X737" s="50">
        <v>0</v>
      </c>
      <c r="Y737" s="36">
        <v>0</v>
      </c>
      <c r="Z737" s="36">
        <v>0</v>
      </c>
      <c r="AA737" s="36">
        <v>0</v>
      </c>
      <c r="AB737" s="36">
        <v>0</v>
      </c>
      <c r="AC737" s="50">
        <v>0</v>
      </c>
      <c r="AD737" s="36">
        <v>3</v>
      </c>
      <c r="AE737" s="36">
        <v>3</v>
      </c>
      <c r="AF737" s="36">
        <v>4</v>
      </c>
      <c r="AG737" s="36">
        <v>0</v>
      </c>
      <c r="AH737" s="50">
        <v>0</v>
      </c>
      <c r="AI737" s="36">
        <v>0</v>
      </c>
      <c r="AJ737" s="36">
        <v>0</v>
      </c>
      <c r="AK737" s="36">
        <v>0</v>
      </c>
      <c r="AL737" s="36">
        <v>0</v>
      </c>
      <c r="AM737" s="50">
        <v>0</v>
      </c>
      <c r="AN737" s="36">
        <v>0</v>
      </c>
      <c r="AO737" s="36">
        <v>0</v>
      </c>
      <c r="AP737" s="36">
        <v>0</v>
      </c>
      <c r="AQ737" s="36">
        <v>0</v>
      </c>
      <c r="AR737" s="50">
        <v>0</v>
      </c>
      <c r="AS737" s="36">
        <v>0</v>
      </c>
      <c r="AT737" s="36">
        <v>0</v>
      </c>
      <c r="AU737" s="36">
        <v>0</v>
      </c>
      <c r="AV737" s="36">
        <v>0</v>
      </c>
      <c r="AW737">
        <v>0</v>
      </c>
      <c r="AX737">
        <v>0</v>
      </c>
    </row>
    <row r="738" spans="1:50" x14ac:dyDescent="0.25">
      <c r="A738" s="36"/>
      <c r="B738" t="s">
        <v>120</v>
      </c>
      <c r="C738" s="36" t="str">
        <f>'Status Thresholds'!B729</f>
        <v>Teostra</v>
      </c>
      <c r="E738" s="36" t="str">
        <f t="shared" si="25"/>
        <v>Teostra</v>
      </c>
      <c r="F738" s="36" t="str">
        <f>IFERROR(VLOOKUP($E738,'Status Thresholds'!$E:$AS,1,FALSE),"")</f>
        <v/>
      </c>
      <c r="G738" t="s">
        <v>11</v>
      </c>
      <c r="H738" s="55" t="str">
        <f t="shared" si="26"/>
        <v>TeostraCrag 1</v>
      </c>
      <c r="I738" s="50">
        <v>0</v>
      </c>
      <c r="J738" s="36">
        <v>8</v>
      </c>
      <c r="K738" s="36">
        <v>7</v>
      </c>
      <c r="L738" s="36">
        <v>8</v>
      </c>
      <c r="M738" s="36">
        <v>0</v>
      </c>
      <c r="N738" s="50">
        <v>0</v>
      </c>
      <c r="O738" s="36">
        <v>0</v>
      </c>
      <c r="P738" s="36">
        <v>0</v>
      </c>
      <c r="Q738" s="36">
        <v>0</v>
      </c>
      <c r="R738" s="36">
        <v>0</v>
      </c>
      <c r="S738" s="50">
        <v>0</v>
      </c>
      <c r="T738" s="36">
        <v>0</v>
      </c>
      <c r="U738" s="36">
        <v>0</v>
      </c>
      <c r="V738" s="36">
        <v>0</v>
      </c>
      <c r="W738" s="36">
        <v>0</v>
      </c>
      <c r="X738" s="50">
        <v>0</v>
      </c>
      <c r="Y738" s="36">
        <v>0</v>
      </c>
      <c r="Z738" s="36">
        <v>0</v>
      </c>
      <c r="AA738" s="36">
        <v>0</v>
      </c>
      <c r="AB738" s="36">
        <v>0</v>
      </c>
      <c r="AC738" s="50">
        <v>2</v>
      </c>
      <c r="AD738" s="36">
        <v>0</v>
      </c>
      <c r="AE738" s="36">
        <v>8</v>
      </c>
      <c r="AF738" s="36">
        <v>8</v>
      </c>
      <c r="AG738" s="36">
        <v>0</v>
      </c>
      <c r="AH738" s="50">
        <v>0</v>
      </c>
      <c r="AI738" s="36">
        <v>0</v>
      </c>
      <c r="AJ738" s="36">
        <v>0</v>
      </c>
      <c r="AK738" s="36">
        <v>0</v>
      </c>
      <c r="AL738" s="36">
        <v>0</v>
      </c>
      <c r="AM738" s="50">
        <v>0</v>
      </c>
      <c r="AN738" s="36">
        <v>0</v>
      </c>
      <c r="AO738" s="36">
        <v>0</v>
      </c>
      <c r="AP738" s="36">
        <v>0</v>
      </c>
      <c r="AQ738" s="36">
        <v>0</v>
      </c>
      <c r="AR738" s="50">
        <v>0</v>
      </c>
      <c r="AS738" s="36">
        <v>0</v>
      </c>
      <c r="AT738" s="36">
        <v>0</v>
      </c>
      <c r="AU738" s="36">
        <v>0</v>
      </c>
      <c r="AV738" s="36">
        <v>1</v>
      </c>
      <c r="AW738">
        <v>0</v>
      </c>
      <c r="AX738">
        <v>0</v>
      </c>
    </row>
    <row r="739" spans="1:50" x14ac:dyDescent="0.25">
      <c r="A739" s="36"/>
      <c r="B739" s="36" t="s">
        <v>119</v>
      </c>
      <c r="C739" s="36" t="str">
        <f>'Status Thresholds'!B730</f>
        <v>Teostra</v>
      </c>
      <c r="E739" s="36" t="str">
        <f t="shared" si="25"/>
        <v>Teostra</v>
      </c>
      <c r="F739" s="36" t="str">
        <f>IFERROR(VLOOKUP($E739,'Status Thresholds'!$E:$AS,1,FALSE),"")</f>
        <v/>
      </c>
      <c r="G739" t="s">
        <v>21</v>
      </c>
      <c r="H739" s="55" t="str">
        <f t="shared" si="26"/>
        <v>TeostraTriblast</v>
      </c>
      <c r="I739" s="50">
        <v>0</v>
      </c>
      <c r="J739" s="36">
        <v>1</v>
      </c>
      <c r="K739" s="36">
        <v>1</v>
      </c>
      <c r="L739" s="36">
        <v>2</v>
      </c>
      <c r="M739" s="36">
        <v>0</v>
      </c>
      <c r="N739" s="50">
        <v>0</v>
      </c>
      <c r="O739" s="36">
        <v>0</v>
      </c>
      <c r="P739" s="36">
        <v>0</v>
      </c>
      <c r="Q739" s="36">
        <v>0</v>
      </c>
      <c r="R739" s="36">
        <v>0</v>
      </c>
      <c r="S739" s="50">
        <v>0</v>
      </c>
      <c r="T739" s="36">
        <v>0</v>
      </c>
      <c r="U739" s="36">
        <v>0</v>
      </c>
      <c r="V739" s="36">
        <v>0</v>
      </c>
      <c r="W739" s="36">
        <v>0</v>
      </c>
      <c r="X739" s="50">
        <v>0</v>
      </c>
      <c r="Y739" s="36">
        <v>0</v>
      </c>
      <c r="Z739" s="36">
        <v>0</v>
      </c>
      <c r="AA739" s="36">
        <v>0</v>
      </c>
      <c r="AB739" s="36">
        <v>0</v>
      </c>
      <c r="AC739" s="50">
        <v>1</v>
      </c>
      <c r="AD739" s="36">
        <v>2</v>
      </c>
      <c r="AE739" s="36">
        <v>2</v>
      </c>
      <c r="AF739" s="36">
        <v>2</v>
      </c>
      <c r="AG739" s="36">
        <v>0</v>
      </c>
      <c r="AH739" s="50">
        <v>0</v>
      </c>
      <c r="AI739" s="36">
        <v>0</v>
      </c>
      <c r="AJ739" s="36">
        <v>0</v>
      </c>
      <c r="AK739" s="36">
        <v>0</v>
      </c>
      <c r="AL739" s="36">
        <v>0</v>
      </c>
      <c r="AM739" s="50">
        <v>0</v>
      </c>
      <c r="AN739" s="36">
        <v>0</v>
      </c>
      <c r="AO739" s="36">
        <v>0</v>
      </c>
      <c r="AP739" s="36">
        <v>0</v>
      </c>
      <c r="AQ739" s="36">
        <v>0</v>
      </c>
      <c r="AR739" s="50">
        <v>0</v>
      </c>
      <c r="AS739" s="36">
        <v>0</v>
      </c>
      <c r="AT739" s="36">
        <v>0</v>
      </c>
      <c r="AU739" s="36">
        <v>0</v>
      </c>
      <c r="AV739" s="36">
        <v>0</v>
      </c>
      <c r="AW739">
        <v>0</v>
      </c>
      <c r="AX739">
        <v>0</v>
      </c>
    </row>
    <row r="740" spans="1:50" x14ac:dyDescent="0.25">
      <c r="A740" s="36"/>
      <c r="B740" t="s">
        <v>119</v>
      </c>
      <c r="C740" s="36" t="str">
        <f>'Status Thresholds'!B731</f>
        <v>Teostra</v>
      </c>
      <c r="E740" s="36" t="str">
        <f t="shared" si="25"/>
        <v>Teostra</v>
      </c>
      <c r="F740" s="36" t="str">
        <f>IFERROR(VLOOKUP($E740,'Status Thresholds'!$E:$AS,1,FALSE),"")</f>
        <v/>
      </c>
      <c r="G740" t="s">
        <v>13</v>
      </c>
      <c r="H740" s="55" t="str">
        <f t="shared" si="26"/>
        <v>TeostraCrag 3</v>
      </c>
      <c r="I740" s="50">
        <v>1</v>
      </c>
      <c r="J740" s="36">
        <v>4</v>
      </c>
      <c r="K740" s="36">
        <v>2</v>
      </c>
      <c r="L740" s="36">
        <v>4</v>
      </c>
      <c r="M740" s="36">
        <v>0</v>
      </c>
      <c r="N740" s="50">
        <v>0</v>
      </c>
      <c r="O740" s="36">
        <v>0</v>
      </c>
      <c r="P740" s="36">
        <v>0</v>
      </c>
      <c r="Q740" s="36">
        <v>0</v>
      </c>
      <c r="R740" s="36">
        <v>0</v>
      </c>
      <c r="S740" s="50">
        <v>0</v>
      </c>
      <c r="T740" s="36">
        <v>0</v>
      </c>
      <c r="U740" s="36">
        <v>0</v>
      </c>
      <c r="V740" s="36">
        <v>0</v>
      </c>
      <c r="W740" s="36">
        <v>0</v>
      </c>
      <c r="X740" s="50">
        <v>0</v>
      </c>
      <c r="Y740" s="36">
        <v>0</v>
      </c>
      <c r="Z740" s="36">
        <v>0</v>
      </c>
      <c r="AA740" s="36">
        <v>0</v>
      </c>
      <c r="AB740" s="36">
        <v>0</v>
      </c>
      <c r="AC740" s="50">
        <v>0</v>
      </c>
      <c r="AD740" s="36">
        <v>1</v>
      </c>
      <c r="AE740" s="36">
        <v>4</v>
      </c>
      <c r="AF740" s="36">
        <v>4</v>
      </c>
      <c r="AG740" s="36">
        <v>0</v>
      </c>
      <c r="AH740" s="50">
        <v>0</v>
      </c>
      <c r="AI740" s="36">
        <v>0</v>
      </c>
      <c r="AJ740" s="36">
        <v>0</v>
      </c>
      <c r="AK740" s="36">
        <v>0</v>
      </c>
      <c r="AL740" s="36">
        <v>0</v>
      </c>
      <c r="AM740" s="50">
        <v>0</v>
      </c>
      <c r="AN740" s="36">
        <v>0</v>
      </c>
      <c r="AO740" s="36">
        <v>0</v>
      </c>
      <c r="AP740" s="36">
        <v>0</v>
      </c>
      <c r="AQ740" s="36">
        <v>0</v>
      </c>
      <c r="AR740" s="50">
        <v>0</v>
      </c>
      <c r="AS740" s="36">
        <v>0</v>
      </c>
      <c r="AT740" s="36">
        <v>0</v>
      </c>
      <c r="AU740" s="36">
        <v>0</v>
      </c>
      <c r="AV740" s="36">
        <v>0</v>
      </c>
      <c r="AW740">
        <v>0</v>
      </c>
      <c r="AX740">
        <v>0</v>
      </c>
    </row>
    <row r="741" spans="1:50" x14ac:dyDescent="0.25">
      <c r="A741" s="36"/>
      <c r="B741" t="s">
        <v>119</v>
      </c>
      <c r="C741" s="36" t="str">
        <f>'Status Thresholds'!B732</f>
        <v>Teostra</v>
      </c>
      <c r="E741" s="36" t="str">
        <f t="shared" si="25"/>
        <v>Teostra</v>
      </c>
      <c r="F741" s="36" t="str">
        <f>IFERROR(VLOOKUP($E741,'Status Thresholds'!$E:$AS,1,FALSE),"")</f>
        <v/>
      </c>
      <c r="G741" t="s">
        <v>12</v>
      </c>
      <c r="H741" s="55" t="str">
        <f t="shared" si="26"/>
        <v>TeostraCrag 2</v>
      </c>
      <c r="I741" s="50">
        <v>1</v>
      </c>
      <c r="J741" s="36">
        <v>2</v>
      </c>
      <c r="K741" s="36">
        <v>4</v>
      </c>
      <c r="L741" s="36">
        <v>4</v>
      </c>
      <c r="M741" s="36">
        <v>0</v>
      </c>
      <c r="N741" s="50">
        <v>0</v>
      </c>
      <c r="O741" s="36">
        <v>0</v>
      </c>
      <c r="P741" s="36">
        <v>0</v>
      </c>
      <c r="Q741" s="36">
        <v>0</v>
      </c>
      <c r="R741" s="36">
        <v>0</v>
      </c>
      <c r="S741" s="50">
        <v>0</v>
      </c>
      <c r="T741" s="36">
        <v>0</v>
      </c>
      <c r="U741" s="36">
        <v>0</v>
      </c>
      <c r="V741" s="36">
        <v>0</v>
      </c>
      <c r="W741" s="36">
        <v>0</v>
      </c>
      <c r="X741" s="50">
        <v>0</v>
      </c>
      <c r="Y741" s="36">
        <v>0</v>
      </c>
      <c r="Z741" s="36">
        <v>0</v>
      </c>
      <c r="AA741" s="36">
        <v>0</v>
      </c>
      <c r="AB741" s="36">
        <v>0</v>
      </c>
      <c r="AC741" s="50">
        <v>4</v>
      </c>
      <c r="AD741" s="36">
        <v>1</v>
      </c>
      <c r="AE741" s="36">
        <v>1</v>
      </c>
      <c r="AF741" s="36">
        <v>4</v>
      </c>
      <c r="AG741" s="36">
        <v>0</v>
      </c>
      <c r="AH741" s="50">
        <v>0</v>
      </c>
      <c r="AI741" s="36">
        <v>0</v>
      </c>
      <c r="AJ741" s="36">
        <v>0</v>
      </c>
      <c r="AK741" s="36">
        <v>0</v>
      </c>
      <c r="AL741" s="36">
        <v>0</v>
      </c>
      <c r="AM741" s="50">
        <v>0</v>
      </c>
      <c r="AN741" s="36">
        <v>0</v>
      </c>
      <c r="AO741" s="36">
        <v>0</v>
      </c>
      <c r="AP741" s="36">
        <v>0</v>
      </c>
      <c r="AQ741" s="36">
        <v>0</v>
      </c>
      <c r="AR741" s="50">
        <v>0</v>
      </c>
      <c r="AS741" s="36">
        <v>0</v>
      </c>
      <c r="AT741" s="36">
        <v>0</v>
      </c>
      <c r="AU741" s="36">
        <v>0</v>
      </c>
      <c r="AV741" s="36">
        <v>0</v>
      </c>
      <c r="AW741">
        <v>0</v>
      </c>
      <c r="AX741">
        <v>0</v>
      </c>
    </row>
    <row r="742" spans="1:50" x14ac:dyDescent="0.25">
      <c r="A742" s="36"/>
      <c r="B742" t="s">
        <v>119</v>
      </c>
      <c r="C742" s="36" t="str">
        <f>'Status Thresholds'!B733</f>
        <v>Teostra</v>
      </c>
      <c r="E742" s="36" t="str">
        <f t="shared" si="25"/>
        <v>Teostra</v>
      </c>
      <c r="F742" s="36" t="str">
        <f>IFERROR(VLOOKUP($E742,'Status Thresholds'!$E:$AS,1,FALSE),"")</f>
        <v/>
      </c>
      <c r="G742" t="s">
        <v>11</v>
      </c>
      <c r="H742" s="55" t="str">
        <f t="shared" si="26"/>
        <v>TeostraCrag 1</v>
      </c>
      <c r="I742" s="50">
        <v>5</v>
      </c>
      <c r="J742" s="36">
        <v>1</v>
      </c>
      <c r="K742" s="36">
        <v>7</v>
      </c>
      <c r="L742" s="36">
        <v>6</v>
      </c>
      <c r="M742" s="36">
        <v>0</v>
      </c>
      <c r="N742" s="50">
        <v>0</v>
      </c>
      <c r="O742" s="36">
        <v>0</v>
      </c>
      <c r="P742" s="36">
        <v>0</v>
      </c>
      <c r="Q742" s="36">
        <v>0</v>
      </c>
      <c r="R742" s="36">
        <v>0</v>
      </c>
      <c r="S742" s="50">
        <v>0</v>
      </c>
      <c r="T742" s="36">
        <v>0</v>
      </c>
      <c r="U742" s="36">
        <v>0</v>
      </c>
      <c r="V742" s="36">
        <v>0</v>
      </c>
      <c r="W742" s="36">
        <v>0</v>
      </c>
      <c r="X742" s="50">
        <v>0</v>
      </c>
      <c r="Y742" s="36">
        <v>0</v>
      </c>
      <c r="Z742" s="36">
        <v>0</v>
      </c>
      <c r="AA742" s="36">
        <v>0</v>
      </c>
      <c r="AB742" s="36">
        <v>0</v>
      </c>
      <c r="AC742" s="50">
        <v>1</v>
      </c>
      <c r="AD742" s="36">
        <v>6</v>
      </c>
      <c r="AE742" s="36">
        <v>7</v>
      </c>
      <c r="AF742" s="36">
        <v>8</v>
      </c>
      <c r="AG742" s="36">
        <v>0</v>
      </c>
      <c r="AH742" s="50">
        <v>0</v>
      </c>
      <c r="AI742" s="36">
        <v>0</v>
      </c>
      <c r="AJ742" s="36">
        <v>0</v>
      </c>
      <c r="AK742" s="36">
        <v>0</v>
      </c>
      <c r="AL742" s="36">
        <v>0</v>
      </c>
      <c r="AM742" s="50">
        <v>0</v>
      </c>
      <c r="AN742" s="36">
        <v>0</v>
      </c>
      <c r="AO742" s="36">
        <v>0</v>
      </c>
      <c r="AP742" s="36">
        <v>0</v>
      </c>
      <c r="AQ742" s="36">
        <v>0</v>
      </c>
      <c r="AR742" s="50">
        <v>0</v>
      </c>
      <c r="AS742" s="36">
        <v>0</v>
      </c>
      <c r="AT742" s="36">
        <v>0</v>
      </c>
      <c r="AU742" s="36">
        <v>0</v>
      </c>
      <c r="AV742" s="36">
        <v>1</v>
      </c>
      <c r="AW742">
        <v>0</v>
      </c>
      <c r="AX742">
        <v>0</v>
      </c>
    </row>
    <row r="743" spans="1:50" x14ac:dyDescent="0.25">
      <c r="A743" s="36"/>
      <c r="B743" t="s">
        <v>121</v>
      </c>
      <c r="C743" s="36" t="str">
        <f>'Status Thresholds'!B734</f>
        <v>Tetsucabra</v>
      </c>
      <c r="D743" t="s">
        <v>14</v>
      </c>
      <c r="E743" s="36" t="str">
        <f t="shared" si="25"/>
        <v>TetsucabraKO</v>
      </c>
      <c r="F743" s="36" t="str">
        <f>IFERROR(VLOOKUP($E743,'Status Thresholds'!$E:$AS,1,FALSE),"")</f>
        <v>TetsucabraKO</v>
      </c>
      <c r="G743" s="36"/>
      <c r="H743" s="55" t="str">
        <f t="shared" si="26"/>
        <v>TetsucabraKO</v>
      </c>
      <c r="I743" s="50">
        <f>VLOOKUP($F743,'Status Thresholds'!$E:$AS,2,FALSE)</f>
        <v>260</v>
      </c>
      <c r="J743" s="36">
        <f>VLOOKUP($F743,'Status Thresholds'!$E:$AS,3,FALSE)</f>
        <v>390</v>
      </c>
      <c r="K743" s="36">
        <f>VLOOKUP($F743,'Status Thresholds'!$E:$AS,4,FALSE)</f>
        <v>520</v>
      </c>
      <c r="L743" s="36">
        <f>VLOOKUP($F743,'Status Thresholds'!$E:$AS,5,FALSE)</f>
        <v>650</v>
      </c>
      <c r="M743" s="36">
        <f>VLOOKUP($F743,'Status Thresholds'!$E:$AS,6,FALSE)</f>
        <v>0</v>
      </c>
      <c r="N743" s="50">
        <f>VLOOKUP($F743,'Status Thresholds'!$E:$AS,7,FALSE)</f>
        <v>0</v>
      </c>
      <c r="O743" s="36">
        <f>VLOOKUP($F743,'Status Thresholds'!$E:$AS,8,FALSE)</f>
        <v>0</v>
      </c>
      <c r="P743" s="36">
        <f>VLOOKUP($F743,'Status Thresholds'!$E:$AS,9,FALSE)</f>
        <v>0</v>
      </c>
      <c r="Q743" s="36">
        <f>VLOOKUP($F743,'Status Thresholds'!$E:$AS,10,FALSE)</f>
        <v>0</v>
      </c>
      <c r="R743" s="36">
        <f>VLOOKUP($F743,'Status Thresholds'!$E:$AS,11,FALSE)</f>
        <v>0</v>
      </c>
      <c r="S743" s="50">
        <f>VLOOKUP($F743,'Status Thresholds'!$E:$AS,12,FALSE)</f>
        <v>260</v>
      </c>
      <c r="T743" s="36">
        <f>VLOOKUP($F743,'Status Thresholds'!$E:$AS,13,FALSE)</f>
        <v>390</v>
      </c>
      <c r="U743" s="36">
        <f>VLOOKUP($F743,'Status Thresholds'!$E:$AS,14,FALSE)</f>
        <v>520</v>
      </c>
      <c r="V743" s="36">
        <f>VLOOKUP($F743,'Status Thresholds'!$E:$AS,15,FALSE)</f>
        <v>650</v>
      </c>
      <c r="W743" s="36">
        <f>VLOOKUP($F743,'Status Thresholds'!$E:$AS,16,FALSE)</f>
        <v>0</v>
      </c>
      <c r="X743" s="50">
        <f>VLOOKUP($F743,'Status Thresholds'!$E:$AS,17,FALSE)</f>
        <v>0</v>
      </c>
      <c r="Y743" s="36">
        <f>VLOOKUP($F743,'Status Thresholds'!$E:$AS,18,FALSE)</f>
        <v>0</v>
      </c>
      <c r="Z743" s="36">
        <f>VLOOKUP($F743,'Status Thresholds'!$E:$AS,19,FALSE)</f>
        <v>0</v>
      </c>
      <c r="AA743" s="36">
        <f>VLOOKUP($F743,'Status Thresholds'!$E:$AS,20,FALSE)</f>
        <v>0</v>
      </c>
      <c r="AB743" s="36">
        <f>VLOOKUP($F743,'Status Thresholds'!$E:$AS,21,FALSE)</f>
        <v>0</v>
      </c>
      <c r="AC743" s="50">
        <f>VLOOKUP($F743,'Status Thresholds'!$E:$AS,22,FALSE)</f>
        <v>280</v>
      </c>
      <c r="AD743" s="36">
        <f>VLOOKUP($F743,'Status Thresholds'!$E:$AS,23,FALSE)</f>
        <v>420</v>
      </c>
      <c r="AE743" s="36">
        <f>VLOOKUP($F743,'Status Thresholds'!$E:$AS,24,FALSE)</f>
        <v>560</v>
      </c>
      <c r="AF743" s="36">
        <f>VLOOKUP($F743,'Status Thresholds'!$E:$AS,25,FALSE)</f>
        <v>700</v>
      </c>
      <c r="AG743" s="36">
        <f>VLOOKUP($F743,'Status Thresholds'!$E:$AS,26,FALSE)</f>
        <v>0</v>
      </c>
      <c r="AH743" s="50">
        <f>VLOOKUP($F743,'Status Thresholds'!$E:$AS,27,FALSE)</f>
        <v>0</v>
      </c>
      <c r="AI743" s="36">
        <f>VLOOKUP($F743,'Status Thresholds'!$E:$AS,28,FALSE)</f>
        <v>0</v>
      </c>
      <c r="AJ743" s="36">
        <f>VLOOKUP($F743,'Status Thresholds'!$E:$AS,29,FALSE)</f>
        <v>0</v>
      </c>
      <c r="AK743" s="36">
        <f>VLOOKUP($F743,'Status Thresholds'!$E:$AS,30,FALSE)</f>
        <v>0</v>
      </c>
      <c r="AL743" s="36">
        <f>VLOOKUP($F743,'Status Thresholds'!$E:$AS,31,FALSE)</f>
        <v>0</v>
      </c>
      <c r="AM743" s="50">
        <f>VLOOKUP($F743,'Status Thresholds'!$E:$AS,32,FALSE)</f>
        <v>320</v>
      </c>
      <c r="AN743" s="36">
        <f>VLOOKUP($F743,'Status Thresholds'!$E:$AS,33,FALSE)</f>
        <v>464</v>
      </c>
      <c r="AO743" s="36">
        <f>VLOOKUP($F743,'Status Thresholds'!$E:$AS,34,FALSE)</f>
        <v>608</v>
      </c>
      <c r="AP743" s="36">
        <f>VLOOKUP($F743,'Status Thresholds'!$E:$AS,35,FALSE)</f>
        <v>752</v>
      </c>
      <c r="AQ743" s="36">
        <f>VLOOKUP($F743,'Status Thresholds'!$E:$AS,36,FALSE)</f>
        <v>0</v>
      </c>
      <c r="AR743" s="50">
        <f>VLOOKUP($F743,'Status Thresholds'!$E:$AS,37,FALSE)</f>
        <v>0</v>
      </c>
      <c r="AS743" s="36">
        <f>VLOOKUP($F743,'Status Thresholds'!$E:$AS,38,FALSE)</f>
        <v>0</v>
      </c>
      <c r="AT743" s="36">
        <f>VLOOKUP($F743,'Status Thresholds'!$E:$AS,39,FALSE)</f>
        <v>0</v>
      </c>
      <c r="AU743" s="36">
        <f>VLOOKUP($F743,'Status Thresholds'!$E:$AS,40,FALSE)</f>
        <v>0</v>
      </c>
      <c r="AV743" s="36">
        <f>VLOOKUP($F743,'Status Thresholds'!$E:$AS,41,FALSE)</f>
        <v>10</v>
      </c>
      <c r="AW743">
        <v>0</v>
      </c>
      <c r="AX743">
        <v>0</v>
      </c>
    </row>
    <row r="744" spans="1:50" x14ac:dyDescent="0.25">
      <c r="A744" s="36"/>
      <c r="B744" t="s">
        <v>120</v>
      </c>
      <c r="C744" s="36" t="str">
        <f>'Status Thresholds'!B735</f>
        <v>Tetsucabra</v>
      </c>
      <c r="E744" s="36" t="str">
        <f t="shared" si="25"/>
        <v>Tetsucabra</v>
      </c>
      <c r="F744" s="36" t="str">
        <f>IFERROR(VLOOKUP($E744,'Status Thresholds'!$E:$AS,1,FALSE),"")</f>
        <v/>
      </c>
      <c r="G744" s="46" t="s">
        <v>21</v>
      </c>
      <c r="H744" s="55" t="str">
        <f t="shared" si="26"/>
        <v>TetsucabraTriblast</v>
      </c>
      <c r="I744" s="50">
        <v>2</v>
      </c>
      <c r="J744" s="36">
        <v>2</v>
      </c>
      <c r="K744" s="36">
        <v>2</v>
      </c>
      <c r="L744" s="36">
        <v>2</v>
      </c>
      <c r="M744" s="36">
        <v>0</v>
      </c>
      <c r="N744" s="50">
        <v>0</v>
      </c>
      <c r="O744" s="36">
        <v>0</v>
      </c>
      <c r="P744" s="36">
        <v>0</v>
      </c>
      <c r="Q744" s="36">
        <v>0</v>
      </c>
      <c r="R744" s="36">
        <v>0</v>
      </c>
      <c r="S744" s="50">
        <v>2</v>
      </c>
      <c r="T744" s="36">
        <v>2</v>
      </c>
      <c r="U744" s="36">
        <v>2</v>
      </c>
      <c r="V744" s="36">
        <v>2</v>
      </c>
      <c r="W744" s="36">
        <v>0</v>
      </c>
      <c r="X744" s="50">
        <v>0</v>
      </c>
      <c r="Y744" s="36">
        <v>0</v>
      </c>
      <c r="Z744" s="36">
        <v>0</v>
      </c>
      <c r="AA744" s="36">
        <v>0</v>
      </c>
      <c r="AB744" s="36">
        <v>0</v>
      </c>
      <c r="AC744" s="50">
        <v>2</v>
      </c>
      <c r="AD744" s="36">
        <v>2</v>
      </c>
      <c r="AE744" s="36">
        <v>2</v>
      </c>
      <c r="AF744" s="36">
        <v>2</v>
      </c>
      <c r="AG744" s="36">
        <v>0</v>
      </c>
      <c r="AH744" s="50">
        <v>0</v>
      </c>
      <c r="AI744" s="36">
        <v>0</v>
      </c>
      <c r="AJ744" s="36">
        <v>0</v>
      </c>
      <c r="AK744" s="36">
        <v>0</v>
      </c>
      <c r="AL744" s="36">
        <v>0</v>
      </c>
      <c r="AM744" s="50">
        <v>0</v>
      </c>
      <c r="AN744" s="36">
        <v>2</v>
      </c>
      <c r="AO744" s="36">
        <v>2</v>
      </c>
      <c r="AP744" s="36">
        <v>2</v>
      </c>
      <c r="AQ744" s="36">
        <v>0</v>
      </c>
      <c r="AR744" s="50">
        <v>0</v>
      </c>
      <c r="AS744" s="36">
        <v>0</v>
      </c>
      <c r="AT744" s="36">
        <v>0</v>
      </c>
      <c r="AU744" s="36">
        <v>0</v>
      </c>
      <c r="AV744" s="36">
        <v>0</v>
      </c>
      <c r="AW744">
        <v>0</v>
      </c>
    </row>
    <row r="745" spans="1:50" x14ac:dyDescent="0.25">
      <c r="A745" s="36"/>
      <c r="B745" t="s">
        <v>120</v>
      </c>
      <c r="C745" s="36" t="str">
        <f>'Status Thresholds'!B736</f>
        <v>Tetsucabra</v>
      </c>
      <c r="E745" s="36" t="str">
        <f t="shared" si="25"/>
        <v>Tetsucabra</v>
      </c>
      <c r="F745" s="36" t="str">
        <f>IFERROR(VLOOKUP($E745,'Status Thresholds'!$E:$AS,1,FALSE),"")</f>
        <v/>
      </c>
      <c r="G745" t="s">
        <v>13</v>
      </c>
      <c r="H745" s="55" t="str">
        <f t="shared" si="26"/>
        <v>TetsucabraCrag 3</v>
      </c>
      <c r="I745" s="50">
        <v>2</v>
      </c>
      <c r="J745" s="36">
        <v>4</v>
      </c>
      <c r="K745" s="36">
        <v>2</v>
      </c>
      <c r="L745" s="36">
        <v>4</v>
      </c>
      <c r="M745" s="36">
        <v>0</v>
      </c>
      <c r="N745" s="50">
        <v>0</v>
      </c>
      <c r="O745" s="36">
        <v>0</v>
      </c>
      <c r="P745" s="36">
        <v>0</v>
      </c>
      <c r="Q745" s="36">
        <v>0</v>
      </c>
      <c r="R745" s="36">
        <v>0</v>
      </c>
      <c r="S745" s="50">
        <v>2</v>
      </c>
      <c r="T745" s="36">
        <v>4</v>
      </c>
      <c r="U745" s="36">
        <v>2</v>
      </c>
      <c r="V745" s="36">
        <v>4</v>
      </c>
      <c r="W745" s="36">
        <v>0</v>
      </c>
      <c r="X745" s="50">
        <v>0</v>
      </c>
      <c r="Y745" s="36">
        <v>0</v>
      </c>
      <c r="Z745" s="36">
        <v>0</v>
      </c>
      <c r="AA745" s="36">
        <v>0</v>
      </c>
      <c r="AB745" s="36">
        <v>0</v>
      </c>
      <c r="AC745" s="50">
        <v>2</v>
      </c>
      <c r="AD745" s="36">
        <v>4</v>
      </c>
      <c r="AE745" s="36">
        <v>3</v>
      </c>
      <c r="AF745" s="36">
        <v>4</v>
      </c>
      <c r="AG745" s="36">
        <v>0</v>
      </c>
      <c r="AH745" s="50">
        <v>0</v>
      </c>
      <c r="AI745" s="36">
        <v>0</v>
      </c>
      <c r="AJ745" s="36">
        <v>0</v>
      </c>
      <c r="AK745" s="36">
        <v>0</v>
      </c>
      <c r="AL745" s="36">
        <v>0</v>
      </c>
      <c r="AM745" s="50">
        <v>3</v>
      </c>
      <c r="AN745" s="36">
        <v>2</v>
      </c>
      <c r="AO745" s="36">
        <v>4</v>
      </c>
      <c r="AP745" s="36">
        <v>4</v>
      </c>
      <c r="AQ745" s="36">
        <v>0</v>
      </c>
      <c r="AR745" s="50">
        <v>0</v>
      </c>
      <c r="AS745" s="36">
        <v>0</v>
      </c>
      <c r="AT745" s="36">
        <v>0</v>
      </c>
      <c r="AU745" s="36">
        <v>0</v>
      </c>
      <c r="AV745" s="36">
        <v>0</v>
      </c>
      <c r="AW745">
        <v>0</v>
      </c>
      <c r="AX745">
        <v>0</v>
      </c>
    </row>
    <row r="746" spans="1:50" x14ac:dyDescent="0.25">
      <c r="A746" s="36"/>
      <c r="B746" t="s">
        <v>120</v>
      </c>
      <c r="C746" s="36" t="str">
        <f>'Status Thresholds'!B737</f>
        <v>Tetsucabra</v>
      </c>
      <c r="E746" s="36" t="str">
        <f t="shared" si="25"/>
        <v>Tetsucabra</v>
      </c>
      <c r="F746" s="36" t="str">
        <f>IFERROR(VLOOKUP($E746,'Status Thresholds'!$E:$AS,1,FALSE),"")</f>
        <v/>
      </c>
      <c r="G746" t="s">
        <v>12</v>
      </c>
      <c r="H746" s="55" t="str">
        <f t="shared" si="26"/>
        <v>TetsucabraCrag 2</v>
      </c>
      <c r="I746" s="50">
        <v>1</v>
      </c>
      <c r="J746" s="36">
        <v>1</v>
      </c>
      <c r="K746" s="36">
        <v>3</v>
      </c>
      <c r="L746" s="36">
        <v>4</v>
      </c>
      <c r="M746" s="36">
        <v>0</v>
      </c>
      <c r="N746" s="50">
        <v>0</v>
      </c>
      <c r="O746" s="36">
        <v>0</v>
      </c>
      <c r="P746" s="36">
        <v>0</v>
      </c>
      <c r="Q746" s="36">
        <v>0</v>
      </c>
      <c r="R746" s="36">
        <v>0</v>
      </c>
      <c r="S746" s="50">
        <v>1</v>
      </c>
      <c r="T746" s="36">
        <v>1</v>
      </c>
      <c r="U746" s="36">
        <v>3</v>
      </c>
      <c r="V746" s="36">
        <v>4</v>
      </c>
      <c r="W746" s="36">
        <v>0</v>
      </c>
      <c r="X746" s="50">
        <v>0</v>
      </c>
      <c r="Y746" s="36">
        <v>0</v>
      </c>
      <c r="Z746" s="36">
        <v>0</v>
      </c>
      <c r="AA746" s="36">
        <v>0</v>
      </c>
      <c r="AB746" s="36">
        <v>0</v>
      </c>
      <c r="AC746" s="50">
        <v>0</v>
      </c>
      <c r="AD746" s="36">
        <v>2</v>
      </c>
      <c r="AE746" s="36">
        <v>3</v>
      </c>
      <c r="AF746" s="36">
        <v>4</v>
      </c>
      <c r="AG746" s="36">
        <v>0</v>
      </c>
      <c r="AH746" s="50">
        <v>0</v>
      </c>
      <c r="AI746" s="36">
        <v>0</v>
      </c>
      <c r="AJ746" s="36">
        <v>0</v>
      </c>
      <c r="AK746" s="36">
        <v>0</v>
      </c>
      <c r="AL746" s="36">
        <v>0</v>
      </c>
      <c r="AM746" s="50">
        <v>0</v>
      </c>
      <c r="AN746" s="36">
        <v>2</v>
      </c>
      <c r="AO746" s="36">
        <v>4</v>
      </c>
      <c r="AP746" s="36">
        <v>4</v>
      </c>
      <c r="AQ746" s="36">
        <v>0</v>
      </c>
      <c r="AR746" s="50">
        <v>0</v>
      </c>
      <c r="AS746" s="36">
        <v>0</v>
      </c>
      <c r="AT746" s="36">
        <v>0</v>
      </c>
      <c r="AU746" s="36">
        <v>0</v>
      </c>
      <c r="AV746" s="36">
        <v>0</v>
      </c>
      <c r="AW746">
        <v>0</v>
      </c>
      <c r="AX746">
        <v>0</v>
      </c>
    </row>
    <row r="747" spans="1:50" x14ac:dyDescent="0.25">
      <c r="A747" s="36"/>
      <c r="B747" t="s">
        <v>120</v>
      </c>
      <c r="C747" s="36" t="str">
        <f>'Status Thresholds'!B738</f>
        <v>Tetsucabra</v>
      </c>
      <c r="E747" s="36" t="str">
        <f t="shared" si="25"/>
        <v>Tetsucabra</v>
      </c>
      <c r="F747" s="36" t="str">
        <f>IFERROR(VLOOKUP($E747,'Status Thresholds'!$E:$AS,1,FALSE),"")</f>
        <v/>
      </c>
      <c r="G747" t="s">
        <v>11</v>
      </c>
      <c r="H747" s="55" t="str">
        <f t="shared" si="26"/>
        <v>TetsucabraCrag 1</v>
      </c>
      <c r="I747" s="50">
        <v>0</v>
      </c>
      <c r="J747" s="36">
        <v>2</v>
      </c>
      <c r="K747" s="36">
        <v>8</v>
      </c>
      <c r="L747" s="36">
        <v>8</v>
      </c>
      <c r="M747" s="36">
        <v>0</v>
      </c>
      <c r="N747" s="50">
        <v>0</v>
      </c>
      <c r="O747" s="36">
        <v>0</v>
      </c>
      <c r="P747" s="36">
        <v>0</v>
      </c>
      <c r="Q747" s="36">
        <v>0</v>
      </c>
      <c r="R747" s="36">
        <v>0</v>
      </c>
      <c r="S747" s="50">
        <v>0</v>
      </c>
      <c r="T747" s="36">
        <v>2</v>
      </c>
      <c r="U747" s="36">
        <v>8</v>
      </c>
      <c r="V747" s="36">
        <v>8</v>
      </c>
      <c r="W747" s="36">
        <v>0</v>
      </c>
      <c r="X747" s="50">
        <v>0</v>
      </c>
      <c r="Y747" s="36">
        <v>0</v>
      </c>
      <c r="Z747" s="36">
        <v>0</v>
      </c>
      <c r="AA747" s="36">
        <v>0</v>
      </c>
      <c r="AB747" s="36">
        <v>0</v>
      </c>
      <c r="AC747" s="50">
        <v>2</v>
      </c>
      <c r="AD747" s="36">
        <v>2</v>
      </c>
      <c r="AE747" s="36">
        <v>8</v>
      </c>
      <c r="AF747" s="36">
        <v>8</v>
      </c>
      <c r="AG747" s="36">
        <v>0</v>
      </c>
      <c r="AH747" s="50">
        <v>0</v>
      </c>
      <c r="AI747" s="36">
        <v>0</v>
      </c>
      <c r="AJ747" s="36">
        <v>0</v>
      </c>
      <c r="AK747" s="36">
        <v>0</v>
      </c>
      <c r="AL747" s="36">
        <v>0</v>
      </c>
      <c r="AM747" s="50">
        <v>8</v>
      </c>
      <c r="AN747" s="36">
        <v>7</v>
      </c>
      <c r="AO747" s="36">
        <v>8</v>
      </c>
      <c r="AP747" s="36">
        <v>8</v>
      </c>
      <c r="AQ747" s="36">
        <v>0</v>
      </c>
      <c r="AR747" s="50">
        <v>0</v>
      </c>
      <c r="AS747" s="36">
        <v>0</v>
      </c>
      <c r="AT747" s="36">
        <v>0</v>
      </c>
      <c r="AU747" s="36">
        <v>0</v>
      </c>
      <c r="AV747" s="36">
        <v>1</v>
      </c>
      <c r="AW747">
        <v>0</v>
      </c>
      <c r="AX747">
        <v>0</v>
      </c>
    </row>
    <row r="748" spans="1:50" x14ac:dyDescent="0.25">
      <c r="A748" s="36"/>
      <c r="B748" t="s">
        <v>119</v>
      </c>
      <c r="C748" s="36" t="str">
        <f>'Status Thresholds'!B739</f>
        <v>Tetsucabra</v>
      </c>
      <c r="E748" s="36" t="str">
        <f t="shared" si="25"/>
        <v>Tetsucabra</v>
      </c>
      <c r="F748" s="36" t="str">
        <f>IFERROR(VLOOKUP($E748,'Status Thresholds'!$E:$AS,1,FALSE),"")</f>
        <v/>
      </c>
      <c r="G748" s="36" t="s">
        <v>21</v>
      </c>
      <c r="H748" s="55" t="str">
        <f t="shared" si="26"/>
        <v>TetsucabraTriblast</v>
      </c>
      <c r="I748" s="50">
        <v>2</v>
      </c>
      <c r="J748" s="36">
        <v>2</v>
      </c>
      <c r="K748" s="36">
        <v>2</v>
      </c>
      <c r="L748" s="36">
        <v>2</v>
      </c>
      <c r="M748" s="36">
        <v>0</v>
      </c>
      <c r="N748" s="50">
        <v>0</v>
      </c>
      <c r="O748" s="36">
        <v>0</v>
      </c>
      <c r="P748" s="36">
        <v>0</v>
      </c>
      <c r="Q748" s="36">
        <v>0</v>
      </c>
      <c r="R748" s="36">
        <v>0</v>
      </c>
      <c r="S748" s="50">
        <v>2</v>
      </c>
      <c r="T748" s="36">
        <v>2</v>
      </c>
      <c r="U748" s="36">
        <v>2</v>
      </c>
      <c r="V748" s="36">
        <v>2</v>
      </c>
      <c r="W748" s="36">
        <v>0</v>
      </c>
      <c r="X748" s="50">
        <v>0</v>
      </c>
      <c r="Y748" s="36">
        <v>0</v>
      </c>
      <c r="Z748" s="36">
        <v>0</v>
      </c>
      <c r="AA748" s="36">
        <v>0</v>
      </c>
      <c r="AB748" s="36">
        <v>0</v>
      </c>
      <c r="AC748" s="50">
        <v>0</v>
      </c>
      <c r="AD748" s="36">
        <v>0</v>
      </c>
      <c r="AE748" s="36">
        <v>2</v>
      </c>
      <c r="AF748" s="36">
        <v>2</v>
      </c>
      <c r="AG748" s="36">
        <v>0</v>
      </c>
      <c r="AH748" s="50">
        <v>0</v>
      </c>
      <c r="AI748" s="36">
        <v>0</v>
      </c>
      <c r="AJ748" s="36">
        <v>0</v>
      </c>
      <c r="AK748" s="36">
        <v>0</v>
      </c>
      <c r="AL748" s="36">
        <v>0</v>
      </c>
      <c r="AM748" s="50">
        <v>2</v>
      </c>
      <c r="AN748" s="36">
        <v>2</v>
      </c>
      <c r="AO748" s="36">
        <v>2</v>
      </c>
      <c r="AP748" s="36">
        <v>2</v>
      </c>
      <c r="AQ748" s="36">
        <v>0</v>
      </c>
      <c r="AR748" s="50">
        <v>0</v>
      </c>
      <c r="AS748" s="36">
        <v>0</v>
      </c>
      <c r="AT748" s="36">
        <v>0</v>
      </c>
      <c r="AU748" s="36">
        <v>0</v>
      </c>
      <c r="AV748" s="36">
        <v>0</v>
      </c>
      <c r="AW748">
        <v>0</v>
      </c>
      <c r="AX748">
        <v>0</v>
      </c>
    </row>
    <row r="749" spans="1:50" x14ac:dyDescent="0.25">
      <c r="A749" s="36"/>
      <c r="B749" t="s">
        <v>119</v>
      </c>
      <c r="C749" s="36" t="str">
        <f>'Status Thresholds'!B740</f>
        <v>Tetsucabra</v>
      </c>
      <c r="E749" s="36" t="str">
        <f t="shared" si="25"/>
        <v>Tetsucabra</v>
      </c>
      <c r="F749" s="36" t="str">
        <f>IFERROR(VLOOKUP($E749,'Status Thresholds'!$E:$AS,1,FALSE),"")</f>
        <v/>
      </c>
      <c r="G749" t="s">
        <v>13</v>
      </c>
      <c r="H749" s="55" t="str">
        <f t="shared" si="26"/>
        <v>TetsucabraCrag 3</v>
      </c>
      <c r="I749" s="50">
        <v>1</v>
      </c>
      <c r="J749" s="36">
        <v>0</v>
      </c>
      <c r="K749" s="36">
        <v>1</v>
      </c>
      <c r="L749" s="36">
        <v>4</v>
      </c>
      <c r="M749" s="36">
        <v>0</v>
      </c>
      <c r="N749" s="50">
        <v>0</v>
      </c>
      <c r="O749" s="36">
        <v>0</v>
      </c>
      <c r="P749" s="36">
        <v>0</v>
      </c>
      <c r="Q749" s="36">
        <v>0</v>
      </c>
      <c r="R749" s="36">
        <v>0</v>
      </c>
      <c r="S749" s="50">
        <v>1</v>
      </c>
      <c r="T749" s="36">
        <v>0</v>
      </c>
      <c r="U749" s="36">
        <v>1</v>
      </c>
      <c r="V749" s="36">
        <v>4</v>
      </c>
      <c r="W749" s="36">
        <v>0</v>
      </c>
      <c r="X749" s="50">
        <v>0</v>
      </c>
      <c r="Y749" s="36">
        <v>0</v>
      </c>
      <c r="Z749" s="36">
        <v>0</v>
      </c>
      <c r="AA749" s="36">
        <v>0</v>
      </c>
      <c r="AB749" s="36">
        <v>0</v>
      </c>
      <c r="AC749" s="50">
        <v>0</v>
      </c>
      <c r="AD749" s="36">
        <v>3</v>
      </c>
      <c r="AE749" s="36">
        <v>4</v>
      </c>
      <c r="AF749" s="36">
        <v>4</v>
      </c>
      <c r="AG749" s="36">
        <v>0</v>
      </c>
      <c r="AH749" s="50">
        <v>0</v>
      </c>
      <c r="AI749" s="36">
        <v>0</v>
      </c>
      <c r="AJ749" s="36">
        <v>0</v>
      </c>
      <c r="AK749" s="36">
        <v>0</v>
      </c>
      <c r="AL749" s="36">
        <v>0</v>
      </c>
      <c r="AM749" s="50">
        <v>1</v>
      </c>
      <c r="AN749" s="36">
        <v>4</v>
      </c>
      <c r="AO749" s="36">
        <v>3</v>
      </c>
      <c r="AP749" s="36">
        <v>4</v>
      </c>
      <c r="AQ749" s="36">
        <v>0</v>
      </c>
      <c r="AR749" s="50">
        <v>0</v>
      </c>
      <c r="AS749" s="36">
        <v>0</v>
      </c>
      <c r="AT749" s="36">
        <v>0</v>
      </c>
      <c r="AU749" s="36">
        <v>0</v>
      </c>
      <c r="AV749" s="36">
        <v>0</v>
      </c>
      <c r="AW749">
        <v>0</v>
      </c>
      <c r="AX749">
        <v>0</v>
      </c>
    </row>
    <row r="750" spans="1:50" x14ac:dyDescent="0.25">
      <c r="A750" s="36"/>
      <c r="B750" t="s">
        <v>119</v>
      </c>
      <c r="C750" s="36" t="str">
        <f>'Status Thresholds'!B741</f>
        <v>Tetsucabra</v>
      </c>
      <c r="E750" s="36" t="str">
        <f t="shared" si="25"/>
        <v>Tetsucabra</v>
      </c>
      <c r="F750" s="36" t="str">
        <f>IFERROR(VLOOKUP($E750,'Status Thresholds'!$E:$AS,1,FALSE),"")</f>
        <v/>
      </c>
      <c r="G750" t="s">
        <v>12</v>
      </c>
      <c r="H750" s="55" t="str">
        <f t="shared" si="26"/>
        <v>TetsucabraCrag 2</v>
      </c>
      <c r="I750" s="50">
        <v>0</v>
      </c>
      <c r="J750" s="36">
        <v>2</v>
      </c>
      <c r="K750" s="36">
        <v>3</v>
      </c>
      <c r="L750" s="36">
        <v>3</v>
      </c>
      <c r="M750" s="36">
        <v>0</v>
      </c>
      <c r="N750" s="50">
        <v>0</v>
      </c>
      <c r="O750" s="36">
        <v>0</v>
      </c>
      <c r="P750" s="36">
        <v>0</v>
      </c>
      <c r="Q750" s="36">
        <v>0</v>
      </c>
      <c r="R750" s="36">
        <v>0</v>
      </c>
      <c r="S750" s="50">
        <v>0</v>
      </c>
      <c r="T750" s="36">
        <v>2</v>
      </c>
      <c r="U750" s="36">
        <v>3</v>
      </c>
      <c r="V750" s="36">
        <v>3</v>
      </c>
      <c r="W750" s="36">
        <v>0</v>
      </c>
      <c r="X750" s="50">
        <v>0</v>
      </c>
      <c r="Y750" s="36">
        <v>0</v>
      </c>
      <c r="Z750" s="36">
        <v>0</v>
      </c>
      <c r="AA750" s="36">
        <v>0</v>
      </c>
      <c r="AB750" s="36">
        <v>0</v>
      </c>
      <c r="AC750" s="50">
        <v>2</v>
      </c>
      <c r="AD750" s="36">
        <v>3</v>
      </c>
      <c r="AE750" s="36">
        <v>1</v>
      </c>
      <c r="AF750" s="36">
        <v>4</v>
      </c>
      <c r="AG750" s="36">
        <v>0</v>
      </c>
      <c r="AH750" s="50">
        <v>0</v>
      </c>
      <c r="AI750" s="36">
        <v>0</v>
      </c>
      <c r="AJ750" s="36">
        <v>0</v>
      </c>
      <c r="AK750" s="36">
        <v>0</v>
      </c>
      <c r="AL750" s="36">
        <v>0</v>
      </c>
      <c r="AM750" s="50">
        <v>1</v>
      </c>
      <c r="AN750" s="36">
        <v>3</v>
      </c>
      <c r="AO750" s="36">
        <v>3</v>
      </c>
      <c r="AP750" s="36">
        <v>4</v>
      </c>
      <c r="AQ750" s="36">
        <v>0</v>
      </c>
      <c r="AR750" s="50">
        <v>0</v>
      </c>
      <c r="AS750" s="36">
        <v>0</v>
      </c>
      <c r="AT750" s="36">
        <v>0</v>
      </c>
      <c r="AU750" s="36">
        <v>0</v>
      </c>
      <c r="AV750" s="36">
        <v>0</v>
      </c>
      <c r="AW750">
        <v>0</v>
      </c>
      <c r="AX750">
        <v>0</v>
      </c>
    </row>
    <row r="751" spans="1:50" x14ac:dyDescent="0.25">
      <c r="A751" s="36"/>
      <c r="B751" t="s">
        <v>119</v>
      </c>
      <c r="C751" s="36" t="str">
        <f>'Status Thresholds'!B742</f>
        <v>Tetsucabra</v>
      </c>
      <c r="E751" s="36" t="str">
        <f t="shared" si="25"/>
        <v>Tetsucabra</v>
      </c>
      <c r="F751" s="36" t="str">
        <f>IFERROR(VLOOKUP($E751,'Status Thresholds'!$E:$AS,1,FALSE),"")</f>
        <v/>
      </c>
      <c r="G751" t="s">
        <v>11</v>
      </c>
      <c r="H751" s="55" t="str">
        <f t="shared" si="26"/>
        <v>TetsucabraCrag 1</v>
      </c>
      <c r="I751" s="50">
        <v>2</v>
      </c>
      <c r="J751" s="36">
        <v>6</v>
      </c>
      <c r="K751" s="36">
        <v>8</v>
      </c>
      <c r="L751" s="36">
        <v>8</v>
      </c>
      <c r="M751" s="36">
        <v>0</v>
      </c>
      <c r="N751" s="50">
        <v>0</v>
      </c>
      <c r="O751" s="36">
        <v>0</v>
      </c>
      <c r="P751" s="36">
        <v>0</v>
      </c>
      <c r="Q751" s="36">
        <v>0</v>
      </c>
      <c r="R751" s="36">
        <v>0</v>
      </c>
      <c r="S751" s="50">
        <v>2</v>
      </c>
      <c r="T751" s="36">
        <v>6</v>
      </c>
      <c r="U751" s="36">
        <v>8</v>
      </c>
      <c r="V751" s="36">
        <v>8</v>
      </c>
      <c r="W751" s="36">
        <v>0</v>
      </c>
      <c r="X751" s="50">
        <v>0</v>
      </c>
      <c r="Y751" s="36">
        <v>0</v>
      </c>
      <c r="Z751" s="36">
        <v>0</v>
      </c>
      <c r="AA751" s="36">
        <v>0</v>
      </c>
      <c r="AB751" s="36">
        <v>0</v>
      </c>
      <c r="AC751" s="50">
        <v>8</v>
      </c>
      <c r="AD751" s="36">
        <v>7</v>
      </c>
      <c r="AE751" s="36">
        <v>7</v>
      </c>
      <c r="AF751" s="36">
        <v>8</v>
      </c>
      <c r="AG751" s="36">
        <v>0</v>
      </c>
      <c r="AH751" s="50">
        <v>0</v>
      </c>
      <c r="AI751" s="36">
        <v>0</v>
      </c>
      <c r="AJ751" s="36">
        <v>0</v>
      </c>
      <c r="AK751" s="36">
        <v>0</v>
      </c>
      <c r="AL751" s="36">
        <v>0</v>
      </c>
      <c r="AM751" s="50">
        <v>3</v>
      </c>
      <c r="AN751" s="36">
        <v>1</v>
      </c>
      <c r="AO751" s="36">
        <v>8</v>
      </c>
      <c r="AP751" s="36">
        <v>8</v>
      </c>
      <c r="AQ751" s="36">
        <v>0</v>
      </c>
      <c r="AR751" s="50">
        <v>0</v>
      </c>
      <c r="AS751" s="36">
        <v>0</v>
      </c>
      <c r="AT751" s="36">
        <v>0</v>
      </c>
      <c r="AU751" s="36">
        <v>0</v>
      </c>
      <c r="AV751" s="36">
        <v>1</v>
      </c>
      <c r="AW751">
        <v>0</v>
      </c>
      <c r="AX751">
        <v>0</v>
      </c>
    </row>
    <row r="752" spans="1:50" x14ac:dyDescent="0.25">
      <c r="A752" s="36"/>
      <c r="B752" t="s">
        <v>121</v>
      </c>
      <c r="C752" s="36" t="str">
        <f>'Status Thresholds'!B743</f>
        <v>Thunderlord</v>
      </c>
      <c r="D752" t="s">
        <v>14</v>
      </c>
      <c r="E752" s="36" t="str">
        <f t="shared" si="25"/>
        <v>ThunderlordKO</v>
      </c>
      <c r="F752" s="36" t="str">
        <f>IFERROR(VLOOKUP($E752,'Status Thresholds'!$E:$AS,1,FALSE),"")</f>
        <v>ThunderlordKO</v>
      </c>
      <c r="H752" s="55" t="str">
        <f t="shared" si="26"/>
        <v>ThunderlordKO</v>
      </c>
      <c r="I752" s="50">
        <f>VLOOKUP($F752,'Status Thresholds'!$E:$AS,2,FALSE)</f>
        <v>0</v>
      </c>
      <c r="J752" s="36">
        <f>VLOOKUP($F752,'Status Thresholds'!$E:$AS,3,FALSE)</f>
        <v>0</v>
      </c>
      <c r="K752" s="36">
        <f>VLOOKUP($F752,'Status Thresholds'!$E:$AS,4,FALSE)</f>
        <v>0</v>
      </c>
      <c r="L752" s="36">
        <f>VLOOKUP($F752,'Status Thresholds'!$E:$AS,5,FALSE)</f>
        <v>0</v>
      </c>
      <c r="M752" s="36">
        <f>VLOOKUP($F752,'Status Thresholds'!$E:$AS,6,FALSE)</f>
        <v>0</v>
      </c>
      <c r="N752" s="50">
        <f>VLOOKUP($F752,'Status Thresholds'!$E:$AS,7,FALSE)</f>
        <v>0</v>
      </c>
      <c r="O752" s="36">
        <f>VLOOKUP($F752,'Status Thresholds'!$E:$AS,8,FALSE)</f>
        <v>0</v>
      </c>
      <c r="P752" s="36">
        <f>VLOOKUP($F752,'Status Thresholds'!$E:$AS,9,FALSE)</f>
        <v>0</v>
      </c>
      <c r="Q752" s="36">
        <f>VLOOKUP($F752,'Status Thresholds'!$E:$AS,10,FALSE)</f>
        <v>0</v>
      </c>
      <c r="R752" s="36">
        <f>VLOOKUP($F752,'Status Thresholds'!$E:$AS,11,FALSE)</f>
        <v>0</v>
      </c>
      <c r="S752" s="50">
        <f>VLOOKUP($F752,'Status Thresholds'!$E:$AS,12,FALSE)</f>
        <v>0</v>
      </c>
      <c r="T752" s="36">
        <f>VLOOKUP($F752,'Status Thresholds'!$E:$AS,13,FALSE)</f>
        <v>0</v>
      </c>
      <c r="U752" s="36">
        <f>VLOOKUP($F752,'Status Thresholds'!$E:$AS,14,FALSE)</f>
        <v>0</v>
      </c>
      <c r="V752" s="36">
        <f>VLOOKUP($F752,'Status Thresholds'!$E:$AS,15,FALSE)</f>
        <v>0</v>
      </c>
      <c r="W752" s="36">
        <f>VLOOKUP($F752,'Status Thresholds'!$E:$AS,16,FALSE)</f>
        <v>0</v>
      </c>
      <c r="X752" s="50">
        <f>VLOOKUP($F752,'Status Thresholds'!$E:$AS,17,FALSE)</f>
        <v>0</v>
      </c>
      <c r="Y752" s="36">
        <f>VLOOKUP($F752,'Status Thresholds'!$E:$AS,18,FALSE)</f>
        <v>0</v>
      </c>
      <c r="Z752" s="36">
        <f>VLOOKUP($F752,'Status Thresholds'!$E:$AS,19,FALSE)</f>
        <v>0</v>
      </c>
      <c r="AA752" s="36">
        <f>VLOOKUP($F752,'Status Thresholds'!$E:$AS,20,FALSE)</f>
        <v>0</v>
      </c>
      <c r="AB752" s="36">
        <f>VLOOKUP($F752,'Status Thresholds'!$E:$AS,21,FALSE)</f>
        <v>0</v>
      </c>
      <c r="AC752" s="50">
        <f>VLOOKUP($F752,'Status Thresholds'!$E:$AS,22,FALSE)</f>
        <v>0</v>
      </c>
      <c r="AD752" s="36">
        <f>VLOOKUP($F752,'Status Thresholds'!$E:$AS,23,FALSE)</f>
        <v>0</v>
      </c>
      <c r="AE752" s="36">
        <f>VLOOKUP($F752,'Status Thresholds'!$E:$AS,24,FALSE)</f>
        <v>0</v>
      </c>
      <c r="AF752" s="36">
        <f>VLOOKUP($F752,'Status Thresholds'!$E:$AS,25,FALSE)</f>
        <v>0</v>
      </c>
      <c r="AG752" s="36">
        <f>VLOOKUP($F752,'Status Thresholds'!$E:$AS,26,FALSE)</f>
        <v>0</v>
      </c>
      <c r="AH752" s="50">
        <f>VLOOKUP($F752,'Status Thresholds'!$E:$AS,27,FALSE)</f>
        <v>0</v>
      </c>
      <c r="AI752" s="36">
        <f>VLOOKUP($F752,'Status Thresholds'!$E:$AS,28,FALSE)</f>
        <v>0</v>
      </c>
      <c r="AJ752" s="36">
        <f>VLOOKUP($F752,'Status Thresholds'!$E:$AS,29,FALSE)</f>
        <v>0</v>
      </c>
      <c r="AK752" s="36">
        <f>VLOOKUP($F752,'Status Thresholds'!$E:$AS,30,FALSE)</f>
        <v>0</v>
      </c>
      <c r="AL752" s="36">
        <f>VLOOKUP($F752,'Status Thresholds'!$E:$AS,31,FALSE)</f>
        <v>0</v>
      </c>
      <c r="AM752" s="50">
        <f>VLOOKUP($F752,'Status Thresholds'!$E:$AS,32,FALSE)</f>
        <v>0</v>
      </c>
      <c r="AN752" s="36">
        <f>VLOOKUP($F752,'Status Thresholds'!$E:$AS,33,FALSE)</f>
        <v>0</v>
      </c>
      <c r="AO752" s="36">
        <f>VLOOKUP($F752,'Status Thresholds'!$E:$AS,34,FALSE)</f>
        <v>0</v>
      </c>
      <c r="AP752" s="36">
        <f>VLOOKUP($F752,'Status Thresholds'!$E:$AS,35,FALSE)</f>
        <v>0</v>
      </c>
      <c r="AQ752" s="36">
        <f>VLOOKUP($F752,'Status Thresholds'!$E:$AS,36,FALSE)</f>
        <v>0</v>
      </c>
      <c r="AR752" s="50">
        <f>VLOOKUP($F752,'Status Thresholds'!$E:$AS,37,FALSE)</f>
        <v>0</v>
      </c>
      <c r="AS752" s="36">
        <f>VLOOKUP($F752,'Status Thresholds'!$E:$AS,38,FALSE)</f>
        <v>0</v>
      </c>
      <c r="AT752" s="36">
        <f>VLOOKUP($F752,'Status Thresholds'!$E:$AS,39,FALSE)</f>
        <v>0</v>
      </c>
      <c r="AU752" s="36">
        <f>VLOOKUP($F752,'Status Thresholds'!$E:$AS,40,FALSE)</f>
        <v>0</v>
      </c>
      <c r="AV752" s="36">
        <f>VLOOKUP($F752,'Status Thresholds'!$E:$AS,41,FALSE)</f>
        <v>10</v>
      </c>
      <c r="AW752">
        <v>0</v>
      </c>
      <c r="AX752">
        <v>0</v>
      </c>
    </row>
    <row r="753" spans="1:50" x14ac:dyDescent="0.25">
      <c r="A753" s="36"/>
      <c r="B753" t="s">
        <v>120</v>
      </c>
      <c r="C753" s="36" t="str">
        <f>'Status Thresholds'!B744</f>
        <v>Thunderlord</v>
      </c>
      <c r="E753" s="36" t="str">
        <f t="shared" si="25"/>
        <v>Thunderlord</v>
      </c>
      <c r="F753" s="36" t="str">
        <f>IFERROR(VLOOKUP($E753,'Status Thresholds'!$E:$AS,1,FALSE),"")</f>
        <v/>
      </c>
      <c r="G753" t="s">
        <v>21</v>
      </c>
      <c r="H753" s="55" t="str">
        <f t="shared" si="26"/>
        <v>ThunderlordTriblast</v>
      </c>
      <c r="I753" s="50">
        <v>0</v>
      </c>
      <c r="J753" s="36">
        <v>0</v>
      </c>
      <c r="K753" s="36">
        <v>0</v>
      </c>
      <c r="L753" s="36">
        <v>0</v>
      </c>
      <c r="M753" s="36">
        <v>0</v>
      </c>
      <c r="N753" s="50">
        <v>0</v>
      </c>
      <c r="O753" s="36">
        <v>0</v>
      </c>
      <c r="P753" s="36">
        <v>0</v>
      </c>
      <c r="Q753" s="36">
        <v>0</v>
      </c>
      <c r="R753" s="36">
        <v>0</v>
      </c>
      <c r="S753" s="50">
        <v>0</v>
      </c>
      <c r="T753" s="36">
        <v>0</v>
      </c>
      <c r="U753" s="36">
        <v>0</v>
      </c>
      <c r="V753" s="36">
        <v>0</v>
      </c>
      <c r="W753" s="36">
        <v>0</v>
      </c>
      <c r="X753" s="50">
        <v>0</v>
      </c>
      <c r="Y753" s="36">
        <v>0</v>
      </c>
      <c r="Z753" s="36">
        <v>0</v>
      </c>
      <c r="AA753" s="36">
        <v>0</v>
      </c>
      <c r="AB753" s="36">
        <v>0</v>
      </c>
      <c r="AC753" s="50">
        <v>0</v>
      </c>
      <c r="AD753" s="36">
        <v>0</v>
      </c>
      <c r="AE753" s="36">
        <v>0</v>
      </c>
      <c r="AF753" s="36">
        <v>0</v>
      </c>
      <c r="AG753" s="36">
        <v>0</v>
      </c>
      <c r="AH753" s="50">
        <v>0</v>
      </c>
      <c r="AI753" s="36">
        <v>0</v>
      </c>
      <c r="AJ753" s="36">
        <v>0</v>
      </c>
      <c r="AK753" s="36">
        <v>0</v>
      </c>
      <c r="AL753" s="36">
        <v>0</v>
      </c>
      <c r="AM753" s="50">
        <v>0</v>
      </c>
      <c r="AN753" s="36">
        <v>0</v>
      </c>
      <c r="AO753" s="36">
        <v>0</v>
      </c>
      <c r="AP753" s="36">
        <v>0</v>
      </c>
      <c r="AQ753" s="36">
        <v>0</v>
      </c>
      <c r="AR753" s="50">
        <v>0</v>
      </c>
      <c r="AS753" s="36">
        <v>0</v>
      </c>
      <c r="AT753" s="36">
        <v>0</v>
      </c>
      <c r="AU753" s="36">
        <v>0</v>
      </c>
      <c r="AV753" s="36">
        <v>0</v>
      </c>
      <c r="AW753">
        <v>0</v>
      </c>
    </row>
    <row r="754" spans="1:50" x14ac:dyDescent="0.25">
      <c r="A754" s="36"/>
      <c r="B754" t="s">
        <v>120</v>
      </c>
      <c r="C754" s="36" t="str">
        <f>'Status Thresholds'!B745</f>
        <v>Thunderlord</v>
      </c>
      <c r="E754" s="36" t="str">
        <f t="shared" si="25"/>
        <v>Thunderlord</v>
      </c>
      <c r="F754" s="36" t="str">
        <f>IFERROR(VLOOKUP($E754,'Status Thresholds'!$E:$AS,1,FALSE),"")</f>
        <v/>
      </c>
      <c r="G754" t="s">
        <v>13</v>
      </c>
      <c r="H754" s="55" t="str">
        <f t="shared" si="26"/>
        <v>ThunderlordCrag 3</v>
      </c>
      <c r="I754" s="50">
        <v>0</v>
      </c>
      <c r="J754" s="36">
        <v>0</v>
      </c>
      <c r="K754" s="36">
        <v>0</v>
      </c>
      <c r="L754" s="36">
        <v>0</v>
      </c>
      <c r="M754" s="36">
        <v>0</v>
      </c>
      <c r="N754" s="50">
        <v>0</v>
      </c>
      <c r="O754" s="36">
        <v>0</v>
      </c>
      <c r="P754" s="36">
        <v>0</v>
      </c>
      <c r="Q754" s="36">
        <v>0</v>
      </c>
      <c r="R754" s="36">
        <v>0</v>
      </c>
      <c r="S754" s="50">
        <v>0</v>
      </c>
      <c r="T754" s="36">
        <v>0</v>
      </c>
      <c r="U754" s="36">
        <v>0</v>
      </c>
      <c r="V754" s="36">
        <v>0</v>
      </c>
      <c r="W754" s="36">
        <v>0</v>
      </c>
      <c r="X754" s="50">
        <v>0</v>
      </c>
      <c r="Y754" s="36">
        <v>0</v>
      </c>
      <c r="Z754" s="36">
        <v>0</v>
      </c>
      <c r="AA754" s="36">
        <v>0</v>
      </c>
      <c r="AB754" s="36">
        <v>0</v>
      </c>
      <c r="AC754" s="50">
        <v>0</v>
      </c>
      <c r="AD754" s="36">
        <v>0</v>
      </c>
      <c r="AE754" s="36">
        <v>0</v>
      </c>
      <c r="AF754" s="36">
        <v>0</v>
      </c>
      <c r="AG754" s="36">
        <v>0</v>
      </c>
      <c r="AH754" s="50">
        <v>0</v>
      </c>
      <c r="AI754" s="36">
        <v>0</v>
      </c>
      <c r="AJ754" s="36">
        <v>0</v>
      </c>
      <c r="AK754" s="36">
        <v>0</v>
      </c>
      <c r="AL754" s="36">
        <v>0</v>
      </c>
      <c r="AM754" s="50">
        <v>0</v>
      </c>
      <c r="AN754" s="36">
        <v>0</v>
      </c>
      <c r="AO754" s="36">
        <v>0</v>
      </c>
      <c r="AP754" s="36">
        <v>0</v>
      </c>
      <c r="AQ754" s="36">
        <v>0</v>
      </c>
      <c r="AR754" s="50">
        <v>0</v>
      </c>
      <c r="AS754" s="36">
        <v>0</v>
      </c>
      <c r="AT754" s="36">
        <v>0</v>
      </c>
      <c r="AU754" s="36">
        <v>0</v>
      </c>
      <c r="AV754" s="36">
        <v>0</v>
      </c>
      <c r="AW754">
        <v>0</v>
      </c>
      <c r="AX754">
        <v>0</v>
      </c>
    </row>
    <row r="755" spans="1:50" x14ac:dyDescent="0.25">
      <c r="A755" s="36"/>
      <c r="B755" t="s">
        <v>120</v>
      </c>
      <c r="C755" s="36" t="str">
        <f>'Status Thresholds'!B746</f>
        <v>Thunderlord</v>
      </c>
      <c r="E755" s="36" t="str">
        <f t="shared" si="25"/>
        <v>Thunderlord</v>
      </c>
      <c r="F755" s="36" t="str">
        <f>IFERROR(VLOOKUP($E755,'Status Thresholds'!$E:$AS,1,FALSE),"")</f>
        <v/>
      </c>
      <c r="G755" t="s">
        <v>12</v>
      </c>
      <c r="H755" s="55" t="str">
        <f t="shared" si="26"/>
        <v>ThunderlordCrag 2</v>
      </c>
      <c r="I755" s="50">
        <v>0</v>
      </c>
      <c r="J755" s="36">
        <v>0</v>
      </c>
      <c r="K755" s="36">
        <v>0</v>
      </c>
      <c r="L755" s="36">
        <v>0</v>
      </c>
      <c r="M755" s="36">
        <v>0</v>
      </c>
      <c r="N755" s="50">
        <v>0</v>
      </c>
      <c r="O755" s="36">
        <v>0</v>
      </c>
      <c r="P755" s="36">
        <v>0</v>
      </c>
      <c r="Q755" s="36">
        <v>0</v>
      </c>
      <c r="R755" s="36">
        <v>0</v>
      </c>
      <c r="S755" s="50">
        <v>0</v>
      </c>
      <c r="T755" s="36">
        <v>0</v>
      </c>
      <c r="U755" s="36">
        <v>0</v>
      </c>
      <c r="V755" s="36">
        <v>0</v>
      </c>
      <c r="W755" s="36">
        <v>0</v>
      </c>
      <c r="X755" s="50">
        <v>0</v>
      </c>
      <c r="Y755" s="36">
        <v>0</v>
      </c>
      <c r="Z755" s="36">
        <v>0</v>
      </c>
      <c r="AA755" s="36">
        <v>0</v>
      </c>
      <c r="AB755" s="36">
        <v>0</v>
      </c>
      <c r="AC755" s="50">
        <v>0</v>
      </c>
      <c r="AD755" s="36">
        <v>0</v>
      </c>
      <c r="AE755" s="36">
        <v>0</v>
      </c>
      <c r="AF755" s="36">
        <v>0</v>
      </c>
      <c r="AG755" s="36">
        <v>0</v>
      </c>
      <c r="AH755" s="50">
        <v>0</v>
      </c>
      <c r="AI755" s="36">
        <v>0</v>
      </c>
      <c r="AJ755" s="36">
        <v>0</v>
      </c>
      <c r="AK755" s="36">
        <v>0</v>
      </c>
      <c r="AL755" s="36">
        <v>0</v>
      </c>
      <c r="AM755" s="50">
        <v>0</v>
      </c>
      <c r="AN755" s="36">
        <v>0</v>
      </c>
      <c r="AO755" s="36">
        <v>0</v>
      </c>
      <c r="AP755" s="36">
        <v>0</v>
      </c>
      <c r="AQ755" s="36">
        <v>0</v>
      </c>
      <c r="AR755" s="50">
        <v>0</v>
      </c>
      <c r="AS755" s="36">
        <v>0</v>
      </c>
      <c r="AT755" s="36">
        <v>0</v>
      </c>
      <c r="AU755" s="36">
        <v>0</v>
      </c>
      <c r="AV755" s="36">
        <v>0</v>
      </c>
      <c r="AW755">
        <v>0</v>
      </c>
      <c r="AX755">
        <v>0</v>
      </c>
    </row>
    <row r="756" spans="1:50" x14ac:dyDescent="0.25">
      <c r="A756" s="36"/>
      <c r="B756" t="s">
        <v>120</v>
      </c>
      <c r="C756" s="36" t="str">
        <f>'Status Thresholds'!B747</f>
        <v>Thunderlord</v>
      </c>
      <c r="E756" s="36" t="str">
        <f t="shared" si="25"/>
        <v>Thunderlord</v>
      </c>
      <c r="F756" s="36" t="str">
        <f>IFERROR(VLOOKUP($E756,'Status Thresholds'!$E:$AS,1,FALSE),"")</f>
        <v/>
      </c>
      <c r="G756" t="s">
        <v>11</v>
      </c>
      <c r="H756" s="55" t="str">
        <f t="shared" si="26"/>
        <v>ThunderlordCrag 1</v>
      </c>
      <c r="I756" s="50">
        <v>0</v>
      </c>
      <c r="J756" s="36">
        <v>0</v>
      </c>
      <c r="K756" s="36">
        <v>0</v>
      </c>
      <c r="L756" s="36">
        <v>0</v>
      </c>
      <c r="M756" s="36">
        <v>0</v>
      </c>
      <c r="N756" s="50">
        <v>0</v>
      </c>
      <c r="O756" s="36">
        <v>0</v>
      </c>
      <c r="P756" s="36">
        <v>0</v>
      </c>
      <c r="Q756" s="36">
        <v>0</v>
      </c>
      <c r="R756" s="36">
        <v>0</v>
      </c>
      <c r="S756" s="50">
        <v>0</v>
      </c>
      <c r="T756" s="36">
        <v>0</v>
      </c>
      <c r="U756" s="36">
        <v>0</v>
      </c>
      <c r="V756" s="36">
        <v>0</v>
      </c>
      <c r="W756" s="36">
        <v>0</v>
      </c>
      <c r="X756" s="50">
        <v>0</v>
      </c>
      <c r="Y756" s="36">
        <v>0</v>
      </c>
      <c r="Z756" s="36">
        <v>0</v>
      </c>
      <c r="AA756" s="36">
        <v>0</v>
      </c>
      <c r="AB756" s="36">
        <v>0</v>
      </c>
      <c r="AC756" s="50">
        <v>0</v>
      </c>
      <c r="AD756" s="36">
        <v>0</v>
      </c>
      <c r="AE756" s="36">
        <v>0</v>
      </c>
      <c r="AF756" s="36">
        <v>0</v>
      </c>
      <c r="AG756" s="36">
        <v>0</v>
      </c>
      <c r="AH756" s="50">
        <v>0</v>
      </c>
      <c r="AI756" s="36">
        <v>0</v>
      </c>
      <c r="AJ756" s="36">
        <v>0</v>
      </c>
      <c r="AK756" s="36">
        <v>0</v>
      </c>
      <c r="AL756" s="36">
        <v>0</v>
      </c>
      <c r="AM756" s="50">
        <v>0</v>
      </c>
      <c r="AN756" s="36">
        <v>0</v>
      </c>
      <c r="AO756" s="36">
        <v>0</v>
      </c>
      <c r="AP756" s="36">
        <v>0</v>
      </c>
      <c r="AQ756" s="36">
        <v>0</v>
      </c>
      <c r="AR756" s="50">
        <v>0</v>
      </c>
      <c r="AS756" s="36">
        <v>0</v>
      </c>
      <c r="AT756" s="36">
        <v>0</v>
      </c>
      <c r="AU756" s="36">
        <v>0</v>
      </c>
      <c r="AV756" s="36">
        <v>1</v>
      </c>
      <c r="AW756">
        <v>0</v>
      </c>
      <c r="AX756">
        <v>0</v>
      </c>
    </row>
    <row r="757" spans="1:50" x14ac:dyDescent="0.25">
      <c r="A757" s="36"/>
      <c r="B757" t="s">
        <v>119</v>
      </c>
      <c r="C757" s="36" t="str">
        <f>'Status Thresholds'!B748</f>
        <v>Thunderlord</v>
      </c>
      <c r="E757" s="36" t="str">
        <f t="shared" si="25"/>
        <v>Thunderlord</v>
      </c>
      <c r="F757" s="36" t="str">
        <f>IFERROR(VLOOKUP($E757,'Status Thresholds'!$E:$AS,1,FALSE),"")</f>
        <v/>
      </c>
      <c r="G757" t="s">
        <v>21</v>
      </c>
      <c r="H757" s="55" t="str">
        <f t="shared" si="26"/>
        <v>ThunderlordTriblast</v>
      </c>
      <c r="I757" s="50">
        <v>0</v>
      </c>
      <c r="J757" s="36">
        <v>0</v>
      </c>
      <c r="K757" s="36">
        <v>0</v>
      </c>
      <c r="L757" s="36">
        <v>0</v>
      </c>
      <c r="M757" s="36">
        <v>0</v>
      </c>
      <c r="N757" s="50">
        <v>0</v>
      </c>
      <c r="O757" s="36">
        <v>0</v>
      </c>
      <c r="P757" s="36">
        <v>0</v>
      </c>
      <c r="Q757" s="36">
        <v>0</v>
      </c>
      <c r="R757" s="36">
        <v>0</v>
      </c>
      <c r="S757" s="50">
        <v>0</v>
      </c>
      <c r="T757" s="36">
        <v>0</v>
      </c>
      <c r="U757" s="36">
        <v>0</v>
      </c>
      <c r="V757" s="36">
        <v>0</v>
      </c>
      <c r="W757" s="36">
        <v>0</v>
      </c>
      <c r="X757" s="50">
        <v>0</v>
      </c>
      <c r="Y757" s="36">
        <v>0</v>
      </c>
      <c r="Z757" s="36">
        <v>0</v>
      </c>
      <c r="AA757" s="36">
        <v>0</v>
      </c>
      <c r="AB757" s="36">
        <v>0</v>
      </c>
      <c r="AC757" s="50">
        <v>0</v>
      </c>
      <c r="AD757" s="36">
        <v>0</v>
      </c>
      <c r="AE757" s="36">
        <v>0</v>
      </c>
      <c r="AF757" s="36">
        <v>0</v>
      </c>
      <c r="AG757" s="36">
        <v>0</v>
      </c>
      <c r="AH757" s="50">
        <v>0</v>
      </c>
      <c r="AI757" s="36">
        <v>0</v>
      </c>
      <c r="AJ757" s="36">
        <v>0</v>
      </c>
      <c r="AK757" s="36">
        <v>0</v>
      </c>
      <c r="AL757" s="36">
        <v>0</v>
      </c>
      <c r="AM757" s="50">
        <v>0</v>
      </c>
      <c r="AN757" s="36">
        <v>0</v>
      </c>
      <c r="AO757" s="36">
        <v>0</v>
      </c>
      <c r="AP757" s="36">
        <v>0</v>
      </c>
      <c r="AQ757" s="36">
        <v>0</v>
      </c>
      <c r="AR757" s="50">
        <v>0</v>
      </c>
      <c r="AS757" s="36">
        <v>0</v>
      </c>
      <c r="AT757" s="36">
        <v>0</v>
      </c>
      <c r="AU757" s="36">
        <v>0</v>
      </c>
      <c r="AV757" s="36">
        <v>0</v>
      </c>
      <c r="AW757">
        <v>0</v>
      </c>
      <c r="AX757">
        <v>0</v>
      </c>
    </row>
    <row r="758" spans="1:50" x14ac:dyDescent="0.25">
      <c r="A758" s="36"/>
      <c r="B758" t="s">
        <v>119</v>
      </c>
      <c r="C758" s="36" t="str">
        <f>'Status Thresholds'!B749</f>
        <v>Thunderlord</v>
      </c>
      <c r="E758" s="36" t="str">
        <f t="shared" si="25"/>
        <v>Thunderlord</v>
      </c>
      <c r="F758" s="36" t="str">
        <f>IFERROR(VLOOKUP($E758,'Status Thresholds'!$E:$AS,1,FALSE),"")</f>
        <v/>
      </c>
      <c r="G758" t="s">
        <v>13</v>
      </c>
      <c r="H758" s="55" t="str">
        <f t="shared" si="26"/>
        <v>ThunderlordCrag 3</v>
      </c>
      <c r="I758" s="50">
        <v>0</v>
      </c>
      <c r="J758" s="36">
        <v>0</v>
      </c>
      <c r="K758" s="36">
        <v>0</v>
      </c>
      <c r="L758" s="36">
        <v>0</v>
      </c>
      <c r="M758" s="36">
        <v>0</v>
      </c>
      <c r="N758" s="50">
        <v>0</v>
      </c>
      <c r="O758" s="36">
        <v>0</v>
      </c>
      <c r="P758" s="36">
        <v>0</v>
      </c>
      <c r="Q758" s="36">
        <v>0</v>
      </c>
      <c r="R758" s="36">
        <v>0</v>
      </c>
      <c r="S758" s="50">
        <v>0</v>
      </c>
      <c r="T758" s="36">
        <v>0</v>
      </c>
      <c r="U758" s="36">
        <v>0</v>
      </c>
      <c r="V758" s="36">
        <v>0</v>
      </c>
      <c r="W758" s="36">
        <v>0</v>
      </c>
      <c r="X758" s="50">
        <v>0</v>
      </c>
      <c r="Y758" s="36">
        <v>0</v>
      </c>
      <c r="Z758" s="36">
        <v>0</v>
      </c>
      <c r="AA758" s="36">
        <v>0</v>
      </c>
      <c r="AB758" s="36">
        <v>0</v>
      </c>
      <c r="AC758" s="50">
        <v>0</v>
      </c>
      <c r="AD758" s="36">
        <v>0</v>
      </c>
      <c r="AE758" s="36">
        <v>0</v>
      </c>
      <c r="AF758" s="36">
        <v>0</v>
      </c>
      <c r="AG758" s="36">
        <v>0</v>
      </c>
      <c r="AH758" s="50">
        <v>0</v>
      </c>
      <c r="AI758" s="36">
        <v>0</v>
      </c>
      <c r="AJ758" s="36">
        <v>0</v>
      </c>
      <c r="AK758" s="36">
        <v>0</v>
      </c>
      <c r="AL758" s="36">
        <v>0</v>
      </c>
      <c r="AM758" s="50">
        <v>0</v>
      </c>
      <c r="AN758" s="36">
        <v>0</v>
      </c>
      <c r="AO758" s="36">
        <v>0</v>
      </c>
      <c r="AP758" s="36">
        <v>0</v>
      </c>
      <c r="AQ758" s="36">
        <v>0</v>
      </c>
      <c r="AR758" s="50">
        <v>0</v>
      </c>
      <c r="AS758" s="36">
        <v>0</v>
      </c>
      <c r="AT758" s="36">
        <v>0</v>
      </c>
      <c r="AU758" s="36">
        <v>0</v>
      </c>
      <c r="AV758" s="36">
        <v>0</v>
      </c>
      <c r="AW758">
        <v>0</v>
      </c>
      <c r="AX758">
        <v>0</v>
      </c>
    </row>
    <row r="759" spans="1:50" x14ac:dyDescent="0.25">
      <c r="A759" s="36"/>
      <c r="B759" t="s">
        <v>119</v>
      </c>
      <c r="C759" s="36" t="str">
        <f>'Status Thresholds'!B750</f>
        <v>Thunderlord</v>
      </c>
      <c r="E759" s="36" t="str">
        <f t="shared" si="25"/>
        <v>Thunderlord</v>
      </c>
      <c r="F759" s="36" t="str">
        <f>IFERROR(VLOOKUP($E759,'Status Thresholds'!$E:$AS,1,FALSE),"")</f>
        <v/>
      </c>
      <c r="G759" t="s">
        <v>12</v>
      </c>
      <c r="H759" s="55" t="str">
        <f t="shared" si="26"/>
        <v>ThunderlordCrag 2</v>
      </c>
      <c r="I759" s="50">
        <v>0</v>
      </c>
      <c r="J759" s="36">
        <v>0</v>
      </c>
      <c r="K759" s="36">
        <v>0</v>
      </c>
      <c r="L759" s="36">
        <v>0</v>
      </c>
      <c r="M759" s="36">
        <v>0</v>
      </c>
      <c r="N759" s="50">
        <v>0</v>
      </c>
      <c r="O759" s="36">
        <v>0</v>
      </c>
      <c r="P759" s="36">
        <v>0</v>
      </c>
      <c r="Q759" s="36">
        <v>0</v>
      </c>
      <c r="R759" s="36">
        <v>0</v>
      </c>
      <c r="S759" s="50">
        <v>0</v>
      </c>
      <c r="T759" s="36">
        <v>0</v>
      </c>
      <c r="U759" s="36">
        <v>0</v>
      </c>
      <c r="V759" s="36">
        <v>0</v>
      </c>
      <c r="W759" s="36">
        <v>0</v>
      </c>
      <c r="X759" s="50">
        <v>0</v>
      </c>
      <c r="Y759" s="36">
        <v>0</v>
      </c>
      <c r="Z759" s="36">
        <v>0</v>
      </c>
      <c r="AA759" s="36">
        <v>0</v>
      </c>
      <c r="AB759" s="36">
        <v>0</v>
      </c>
      <c r="AC759" s="50">
        <v>0</v>
      </c>
      <c r="AD759" s="36">
        <v>0</v>
      </c>
      <c r="AE759" s="36">
        <v>0</v>
      </c>
      <c r="AF759" s="36">
        <v>0</v>
      </c>
      <c r="AG759" s="36">
        <v>0</v>
      </c>
      <c r="AH759" s="50">
        <v>0</v>
      </c>
      <c r="AI759" s="36">
        <v>0</v>
      </c>
      <c r="AJ759" s="36">
        <v>0</v>
      </c>
      <c r="AK759" s="36">
        <v>0</v>
      </c>
      <c r="AL759" s="36">
        <v>0</v>
      </c>
      <c r="AM759" s="50">
        <v>0</v>
      </c>
      <c r="AN759" s="36">
        <v>0</v>
      </c>
      <c r="AO759" s="36">
        <v>0</v>
      </c>
      <c r="AP759" s="36">
        <v>0</v>
      </c>
      <c r="AQ759" s="36">
        <v>0</v>
      </c>
      <c r="AR759" s="50">
        <v>0</v>
      </c>
      <c r="AS759" s="36">
        <v>0</v>
      </c>
      <c r="AT759" s="36">
        <v>0</v>
      </c>
      <c r="AU759" s="36">
        <v>0</v>
      </c>
      <c r="AV759" s="36">
        <v>0</v>
      </c>
      <c r="AW759">
        <v>0</v>
      </c>
      <c r="AX759">
        <v>0</v>
      </c>
    </row>
    <row r="760" spans="1:50" x14ac:dyDescent="0.25">
      <c r="A760" s="36"/>
      <c r="B760" t="s">
        <v>119</v>
      </c>
      <c r="C760" s="36" t="str">
        <f>'Status Thresholds'!B751</f>
        <v>Thunderlord</v>
      </c>
      <c r="E760" s="36" t="str">
        <f t="shared" si="25"/>
        <v>Thunderlord</v>
      </c>
      <c r="F760" s="36" t="str">
        <f>IFERROR(VLOOKUP($E760,'Status Thresholds'!$E:$AS,1,FALSE),"")</f>
        <v/>
      </c>
      <c r="G760" t="s">
        <v>11</v>
      </c>
      <c r="H760" s="55" t="str">
        <f t="shared" si="26"/>
        <v>ThunderlordCrag 1</v>
      </c>
      <c r="I760" s="50">
        <v>0</v>
      </c>
      <c r="J760" s="36">
        <v>0</v>
      </c>
      <c r="K760" s="36">
        <v>0</v>
      </c>
      <c r="L760" s="36">
        <v>0</v>
      </c>
      <c r="M760" s="36">
        <v>0</v>
      </c>
      <c r="N760" s="50">
        <v>0</v>
      </c>
      <c r="O760" s="36">
        <v>0</v>
      </c>
      <c r="P760" s="36">
        <v>0</v>
      </c>
      <c r="Q760" s="36">
        <v>0</v>
      </c>
      <c r="R760" s="36">
        <v>0</v>
      </c>
      <c r="S760" s="50">
        <v>0</v>
      </c>
      <c r="T760" s="36">
        <v>0</v>
      </c>
      <c r="U760" s="36">
        <v>0</v>
      </c>
      <c r="V760" s="36">
        <v>0</v>
      </c>
      <c r="W760" s="36">
        <v>0</v>
      </c>
      <c r="X760" s="50">
        <v>0</v>
      </c>
      <c r="Y760" s="36">
        <v>0</v>
      </c>
      <c r="Z760" s="36">
        <v>0</v>
      </c>
      <c r="AA760" s="36">
        <v>0</v>
      </c>
      <c r="AB760" s="36">
        <v>0</v>
      </c>
      <c r="AC760" s="50">
        <v>0</v>
      </c>
      <c r="AD760" s="36">
        <v>0</v>
      </c>
      <c r="AE760" s="36">
        <v>0</v>
      </c>
      <c r="AF760" s="36">
        <v>0</v>
      </c>
      <c r="AG760" s="36">
        <v>0</v>
      </c>
      <c r="AH760" s="50">
        <v>0</v>
      </c>
      <c r="AI760" s="36">
        <v>0</v>
      </c>
      <c r="AJ760" s="36">
        <v>0</v>
      </c>
      <c r="AK760" s="36">
        <v>0</v>
      </c>
      <c r="AL760" s="36">
        <v>0</v>
      </c>
      <c r="AM760" s="50">
        <v>0</v>
      </c>
      <c r="AN760" s="36">
        <v>0</v>
      </c>
      <c r="AO760" s="36">
        <v>0</v>
      </c>
      <c r="AP760" s="36">
        <v>0</v>
      </c>
      <c r="AQ760" s="36">
        <v>0</v>
      </c>
      <c r="AR760" s="50">
        <v>0</v>
      </c>
      <c r="AS760" s="36">
        <v>0</v>
      </c>
      <c r="AT760" s="36">
        <v>0</v>
      </c>
      <c r="AU760" s="36">
        <v>0</v>
      </c>
      <c r="AV760" s="36">
        <v>1</v>
      </c>
      <c r="AW760">
        <v>0</v>
      </c>
      <c r="AX760">
        <v>0</v>
      </c>
    </row>
    <row r="761" spans="1:50" x14ac:dyDescent="0.25">
      <c r="A761" s="36"/>
      <c r="B761" t="s">
        <v>121</v>
      </c>
      <c r="C761" s="36" t="str">
        <f>'Status Thresholds'!B752</f>
        <v>Tigrex</v>
      </c>
      <c r="D761" t="s">
        <v>14</v>
      </c>
      <c r="E761" s="36" t="str">
        <f t="shared" si="25"/>
        <v>TigrexKO</v>
      </c>
      <c r="F761" s="36" t="str">
        <f>IFERROR(VLOOKUP($E761,'Status Thresholds'!$E:$AS,1,FALSE),"")</f>
        <v>TigrexKO</v>
      </c>
      <c r="H761" s="55" t="str">
        <f t="shared" si="26"/>
        <v>TigrexKO</v>
      </c>
      <c r="I761" s="50">
        <f>VLOOKUP($F761,'Status Thresholds'!$E:$AS,2,FALSE)</f>
        <v>260</v>
      </c>
      <c r="J761" s="36">
        <f>VLOOKUP($F761,'Status Thresholds'!$E:$AS,3,FALSE)</f>
        <v>441</v>
      </c>
      <c r="K761" s="36">
        <f>VLOOKUP($F761,'Status Thresholds'!$E:$AS,4,FALSE)</f>
        <v>622</v>
      </c>
      <c r="L761" s="36">
        <f>VLOOKUP($F761,'Status Thresholds'!$E:$AS,5,FALSE)</f>
        <v>803</v>
      </c>
      <c r="M761" s="36">
        <f>VLOOKUP($F761,'Status Thresholds'!$E:$AS,6,FALSE)</f>
        <v>0</v>
      </c>
      <c r="N761" s="50">
        <f>VLOOKUP($F761,'Status Thresholds'!$E:$AS,7,FALSE)</f>
        <v>260</v>
      </c>
      <c r="O761" s="36">
        <f>VLOOKUP($F761,'Status Thresholds'!$E:$AS,8,FALSE)</f>
        <v>441</v>
      </c>
      <c r="P761" s="36">
        <f>VLOOKUP($F761,'Status Thresholds'!$E:$AS,9,FALSE)</f>
        <v>622</v>
      </c>
      <c r="Q761" s="36">
        <f>VLOOKUP($F761,'Status Thresholds'!$E:$AS,10,FALSE)</f>
        <v>803</v>
      </c>
      <c r="R761" s="36">
        <f>VLOOKUP($F761,'Status Thresholds'!$E:$AS,11,FALSE)</f>
        <v>0</v>
      </c>
      <c r="S761" s="50">
        <f>VLOOKUP($F761,'Status Thresholds'!$E:$AS,12,FALSE)</f>
        <v>260</v>
      </c>
      <c r="T761" s="36">
        <f>VLOOKUP($F761,'Status Thresholds'!$E:$AS,13,FALSE)</f>
        <v>441</v>
      </c>
      <c r="U761" s="36">
        <f>VLOOKUP($F761,'Status Thresholds'!$E:$AS,14,FALSE)</f>
        <v>622</v>
      </c>
      <c r="V761" s="36">
        <f>VLOOKUP($F761,'Status Thresholds'!$E:$AS,15,FALSE)</f>
        <v>803</v>
      </c>
      <c r="W761" s="36">
        <f>VLOOKUP($F761,'Status Thresholds'!$E:$AS,16,FALSE)</f>
        <v>0</v>
      </c>
      <c r="X761" s="50">
        <f>VLOOKUP($F761,'Status Thresholds'!$E:$AS,17,FALSE)</f>
        <v>260</v>
      </c>
      <c r="Y761" s="36">
        <f>VLOOKUP($F761,'Status Thresholds'!$E:$AS,18,FALSE)</f>
        <v>430</v>
      </c>
      <c r="Z761" s="36">
        <f>VLOOKUP($F761,'Status Thresholds'!$E:$AS,19,FALSE)</f>
        <v>600</v>
      </c>
      <c r="AA761" s="36">
        <f>VLOOKUP($F761,'Status Thresholds'!$E:$AS,20,FALSE)</f>
        <v>770</v>
      </c>
      <c r="AB761" s="36">
        <f>VLOOKUP($F761,'Status Thresholds'!$E:$AS,21,FALSE)</f>
        <v>0</v>
      </c>
      <c r="AC761" s="50">
        <f>VLOOKUP($F761,'Status Thresholds'!$E:$AS,22,FALSE)</f>
        <v>300</v>
      </c>
      <c r="AD761" s="36">
        <f>VLOOKUP($F761,'Status Thresholds'!$E:$AS,23,FALSE)</f>
        <v>510</v>
      </c>
      <c r="AE761" s="36">
        <f>VLOOKUP($F761,'Status Thresholds'!$E:$AS,24,FALSE)</f>
        <v>720</v>
      </c>
      <c r="AF761" s="36">
        <f>VLOOKUP($F761,'Status Thresholds'!$E:$AS,25,FALSE)</f>
        <v>930</v>
      </c>
      <c r="AG761" s="36">
        <f>VLOOKUP($F761,'Status Thresholds'!$E:$AS,26,FALSE)</f>
        <v>0</v>
      </c>
      <c r="AH761" s="50">
        <f>VLOOKUP($F761,'Status Thresholds'!$E:$AS,27,FALSE)</f>
        <v>0</v>
      </c>
      <c r="AI761" s="36">
        <f>VLOOKUP($F761,'Status Thresholds'!$E:$AS,28,FALSE)</f>
        <v>0</v>
      </c>
      <c r="AJ761" s="36">
        <f>VLOOKUP($F761,'Status Thresholds'!$E:$AS,29,FALSE)</f>
        <v>0</v>
      </c>
      <c r="AK761" s="36">
        <f>VLOOKUP($F761,'Status Thresholds'!$E:$AS,30,FALSE)</f>
        <v>0</v>
      </c>
      <c r="AL761" s="36">
        <f>VLOOKUP($F761,'Status Thresholds'!$E:$AS,31,FALSE)</f>
        <v>0</v>
      </c>
      <c r="AM761" s="50">
        <f>VLOOKUP($F761,'Status Thresholds'!$E:$AS,32,FALSE)</f>
        <v>400</v>
      </c>
      <c r="AN761" s="36">
        <f>VLOOKUP($F761,'Status Thresholds'!$E:$AS,33,FALSE)</f>
        <v>680</v>
      </c>
      <c r="AO761" s="36">
        <f>VLOOKUP($F761,'Status Thresholds'!$E:$AS,34,FALSE)</f>
        <v>960</v>
      </c>
      <c r="AP761" s="36">
        <f>VLOOKUP($F761,'Status Thresholds'!$E:$AS,35,FALSE)</f>
        <v>1240</v>
      </c>
      <c r="AQ761" s="36">
        <f>VLOOKUP($F761,'Status Thresholds'!$E:$AS,36,FALSE)</f>
        <v>0</v>
      </c>
      <c r="AR761" s="50">
        <f>VLOOKUP($F761,'Status Thresholds'!$E:$AS,37,FALSE)</f>
        <v>0</v>
      </c>
      <c r="AS761" s="36">
        <f>VLOOKUP($F761,'Status Thresholds'!$E:$AS,38,FALSE)</f>
        <v>0</v>
      </c>
      <c r="AT761" s="36">
        <f>VLOOKUP($F761,'Status Thresholds'!$E:$AS,39,FALSE)</f>
        <v>0</v>
      </c>
      <c r="AU761" s="36">
        <f>VLOOKUP($F761,'Status Thresholds'!$E:$AS,40,FALSE)</f>
        <v>0</v>
      </c>
      <c r="AV761" s="36">
        <f>VLOOKUP($F761,'Status Thresholds'!$E:$AS,41,FALSE)</f>
        <v>10</v>
      </c>
      <c r="AW761">
        <v>0</v>
      </c>
      <c r="AX761">
        <v>0</v>
      </c>
    </row>
    <row r="762" spans="1:50" x14ac:dyDescent="0.25">
      <c r="A762" s="36"/>
      <c r="B762" t="s">
        <v>120</v>
      </c>
      <c r="C762" s="36" t="str">
        <f>'Status Thresholds'!B753</f>
        <v>Tigrex</v>
      </c>
      <c r="E762" s="36" t="str">
        <f t="shared" si="25"/>
        <v>Tigrex</v>
      </c>
      <c r="F762" s="36" t="str">
        <f>IFERROR(VLOOKUP($E762,'Status Thresholds'!$E:$AS,1,FALSE),"")</f>
        <v/>
      </c>
      <c r="G762" t="s">
        <v>21</v>
      </c>
      <c r="H762" s="55" t="str">
        <f t="shared" si="26"/>
        <v>TigrexTriblast</v>
      </c>
      <c r="I762" s="50">
        <v>2</v>
      </c>
      <c r="J762" s="36">
        <v>2</v>
      </c>
      <c r="K762" s="36">
        <v>2</v>
      </c>
      <c r="L762" s="36">
        <v>2</v>
      </c>
      <c r="M762" s="36">
        <v>0</v>
      </c>
      <c r="N762" s="50">
        <v>2</v>
      </c>
      <c r="O762" s="36">
        <v>2</v>
      </c>
      <c r="P762" s="36">
        <v>2</v>
      </c>
      <c r="Q762" s="36">
        <v>2</v>
      </c>
      <c r="R762" s="36">
        <v>0</v>
      </c>
      <c r="S762" s="50">
        <v>2</v>
      </c>
      <c r="T762" s="36">
        <v>2</v>
      </c>
      <c r="U762" s="36">
        <v>2</v>
      </c>
      <c r="V762" s="36">
        <v>2</v>
      </c>
      <c r="W762" s="36">
        <v>0</v>
      </c>
      <c r="X762" s="50">
        <v>2</v>
      </c>
      <c r="Y762" s="36">
        <v>2</v>
      </c>
      <c r="Z762" s="36">
        <v>2</v>
      </c>
      <c r="AA762" s="36">
        <v>2</v>
      </c>
      <c r="AB762" s="36">
        <v>0</v>
      </c>
      <c r="AC762" s="50">
        <v>2</v>
      </c>
      <c r="AD762" s="36">
        <v>2</v>
      </c>
      <c r="AE762" s="36">
        <v>2</v>
      </c>
      <c r="AF762" s="36">
        <v>2</v>
      </c>
      <c r="AG762" s="36">
        <v>0</v>
      </c>
      <c r="AH762" s="50">
        <v>0</v>
      </c>
      <c r="AI762" s="36">
        <v>0</v>
      </c>
      <c r="AJ762" s="36">
        <v>0</v>
      </c>
      <c r="AK762" s="36">
        <v>0</v>
      </c>
      <c r="AL762" s="36">
        <v>0</v>
      </c>
      <c r="AM762" s="50">
        <v>2</v>
      </c>
      <c r="AN762" s="36">
        <v>2</v>
      </c>
      <c r="AO762" s="36">
        <v>2</v>
      </c>
      <c r="AP762" s="36">
        <v>2</v>
      </c>
      <c r="AQ762" s="36">
        <v>0</v>
      </c>
      <c r="AR762" s="50">
        <v>0</v>
      </c>
      <c r="AS762" s="36">
        <v>0</v>
      </c>
      <c r="AT762" s="36">
        <v>0</v>
      </c>
      <c r="AU762" s="36">
        <v>0</v>
      </c>
      <c r="AV762" s="36">
        <v>0</v>
      </c>
      <c r="AW762">
        <v>0</v>
      </c>
    </row>
    <row r="763" spans="1:50" x14ac:dyDescent="0.25">
      <c r="A763" s="36"/>
      <c r="B763" t="s">
        <v>120</v>
      </c>
      <c r="C763" s="36" t="str">
        <f>'Status Thresholds'!B754</f>
        <v>Tigrex</v>
      </c>
      <c r="E763" s="36" t="str">
        <f t="shared" si="25"/>
        <v>Tigrex</v>
      </c>
      <c r="F763" s="36" t="str">
        <f>IFERROR(VLOOKUP($E763,'Status Thresholds'!$E:$AS,1,FALSE),"")</f>
        <v/>
      </c>
      <c r="G763" t="s">
        <v>13</v>
      </c>
      <c r="H763" s="55" t="str">
        <f t="shared" si="26"/>
        <v>TigrexCrag 3</v>
      </c>
      <c r="I763" s="50">
        <v>2</v>
      </c>
      <c r="J763" s="36">
        <v>0</v>
      </c>
      <c r="K763" s="36">
        <v>4</v>
      </c>
      <c r="L763" s="36">
        <v>4</v>
      </c>
      <c r="M763" s="36">
        <v>0</v>
      </c>
      <c r="N763" s="50">
        <v>2</v>
      </c>
      <c r="O763" s="36">
        <v>0</v>
      </c>
      <c r="P763" s="36">
        <v>4</v>
      </c>
      <c r="Q763" s="36">
        <v>4</v>
      </c>
      <c r="R763" s="36">
        <v>0</v>
      </c>
      <c r="S763" s="50">
        <v>2</v>
      </c>
      <c r="T763" s="36">
        <v>0</v>
      </c>
      <c r="U763" s="36">
        <v>4</v>
      </c>
      <c r="V763" s="36">
        <v>4</v>
      </c>
      <c r="W763" s="36">
        <v>0</v>
      </c>
      <c r="X763" s="50">
        <v>2</v>
      </c>
      <c r="Y763" s="36">
        <v>4</v>
      </c>
      <c r="Z763" s="36">
        <v>4</v>
      </c>
      <c r="AA763" s="36">
        <v>4</v>
      </c>
      <c r="AB763" s="36">
        <v>0</v>
      </c>
      <c r="AC763" s="50">
        <v>3</v>
      </c>
      <c r="AD763" s="36">
        <v>1</v>
      </c>
      <c r="AE763" s="36">
        <v>4</v>
      </c>
      <c r="AF763" s="36">
        <v>4</v>
      </c>
      <c r="AG763" s="36">
        <v>0</v>
      </c>
      <c r="AH763" s="50">
        <v>0</v>
      </c>
      <c r="AI763" s="36">
        <v>0</v>
      </c>
      <c r="AJ763" s="36">
        <v>0</v>
      </c>
      <c r="AK763" s="36">
        <v>0</v>
      </c>
      <c r="AL763" s="36">
        <v>0</v>
      </c>
      <c r="AM763" s="50">
        <v>4</v>
      </c>
      <c r="AN763" s="36">
        <v>4</v>
      </c>
      <c r="AO763" s="36">
        <v>4</v>
      </c>
      <c r="AP763" s="36">
        <v>4</v>
      </c>
      <c r="AQ763" s="36">
        <v>0</v>
      </c>
      <c r="AR763" s="50">
        <v>0</v>
      </c>
      <c r="AS763" s="36">
        <v>0</v>
      </c>
      <c r="AT763" s="36">
        <v>0</v>
      </c>
      <c r="AU763" s="36">
        <v>0</v>
      </c>
      <c r="AV763" s="36">
        <v>0</v>
      </c>
      <c r="AW763">
        <v>0</v>
      </c>
      <c r="AX763">
        <v>0</v>
      </c>
    </row>
    <row r="764" spans="1:50" x14ac:dyDescent="0.25">
      <c r="A764" s="36"/>
      <c r="B764" t="s">
        <v>120</v>
      </c>
      <c r="C764" s="36" t="str">
        <f>'Status Thresholds'!B755</f>
        <v>Tigrex</v>
      </c>
      <c r="E764" s="36" t="str">
        <f t="shared" si="25"/>
        <v>Tigrex</v>
      </c>
      <c r="F764" s="36" t="str">
        <f>IFERROR(VLOOKUP($E764,'Status Thresholds'!$E:$AS,1,FALSE),"")</f>
        <v/>
      </c>
      <c r="G764" t="s">
        <v>12</v>
      </c>
      <c r="H764" s="55" t="str">
        <f t="shared" si="26"/>
        <v>TigrexCrag 2</v>
      </c>
      <c r="I764" s="50">
        <v>1</v>
      </c>
      <c r="J764" s="36">
        <v>4</v>
      </c>
      <c r="K764" s="36">
        <v>4</v>
      </c>
      <c r="L764" s="36">
        <v>4</v>
      </c>
      <c r="M764" s="36">
        <v>0</v>
      </c>
      <c r="N764" s="50">
        <v>1</v>
      </c>
      <c r="O764" s="36">
        <v>4</v>
      </c>
      <c r="P764" s="36">
        <v>4</v>
      </c>
      <c r="Q764" s="36">
        <v>4</v>
      </c>
      <c r="R764" s="36">
        <v>0</v>
      </c>
      <c r="S764" s="50">
        <v>1</v>
      </c>
      <c r="T764" s="36">
        <v>4</v>
      </c>
      <c r="U764" s="36">
        <v>4</v>
      </c>
      <c r="V764" s="36">
        <v>4</v>
      </c>
      <c r="W764" s="36">
        <v>0</v>
      </c>
      <c r="X764" s="50">
        <v>1</v>
      </c>
      <c r="Y764" s="36">
        <v>4</v>
      </c>
      <c r="Z764" s="36">
        <v>3</v>
      </c>
      <c r="AA764" s="36">
        <v>4</v>
      </c>
      <c r="AB764" s="36">
        <v>0</v>
      </c>
      <c r="AC764" s="50">
        <v>1</v>
      </c>
      <c r="AD764" s="36">
        <v>4</v>
      </c>
      <c r="AE764" s="36">
        <v>4</v>
      </c>
      <c r="AF764" s="36">
        <v>4</v>
      </c>
      <c r="AG764" s="36">
        <v>0</v>
      </c>
      <c r="AH764" s="50">
        <v>0</v>
      </c>
      <c r="AI764" s="36">
        <v>0</v>
      </c>
      <c r="AJ764" s="36">
        <v>0</v>
      </c>
      <c r="AK764" s="36">
        <v>0</v>
      </c>
      <c r="AL764" s="36">
        <v>0</v>
      </c>
      <c r="AM764" s="50">
        <v>3</v>
      </c>
      <c r="AN764" s="36">
        <v>4</v>
      </c>
      <c r="AO764" s="36">
        <v>4</v>
      </c>
      <c r="AP764" s="36">
        <v>4</v>
      </c>
      <c r="AQ764" s="36">
        <v>0</v>
      </c>
      <c r="AR764" s="50">
        <v>0</v>
      </c>
      <c r="AS764" s="36">
        <v>0</v>
      </c>
      <c r="AT764" s="36">
        <v>0</v>
      </c>
      <c r="AU764" s="36">
        <v>0</v>
      </c>
      <c r="AV764" s="36">
        <v>0</v>
      </c>
      <c r="AW764">
        <v>0</v>
      </c>
      <c r="AX764">
        <v>0</v>
      </c>
    </row>
    <row r="765" spans="1:50" x14ac:dyDescent="0.25">
      <c r="A765" s="36"/>
      <c r="B765" t="s">
        <v>120</v>
      </c>
      <c r="C765" s="36" t="str">
        <f>'Status Thresholds'!B756</f>
        <v>Tigrex</v>
      </c>
      <c r="E765" s="36" t="str">
        <f t="shared" si="25"/>
        <v>Tigrex</v>
      </c>
      <c r="F765" s="36" t="str">
        <f>IFERROR(VLOOKUP($E765,'Status Thresholds'!$E:$AS,1,FALSE),"")</f>
        <v/>
      </c>
      <c r="G765" t="s">
        <v>11</v>
      </c>
      <c r="H765" s="55" t="str">
        <f t="shared" si="26"/>
        <v>TigrexCrag 1</v>
      </c>
      <c r="I765" s="50">
        <v>0</v>
      </c>
      <c r="J765" s="36">
        <v>7</v>
      </c>
      <c r="K765" s="36">
        <v>8</v>
      </c>
      <c r="L765" s="36">
        <v>8</v>
      </c>
      <c r="M765" s="36">
        <v>0</v>
      </c>
      <c r="N765" s="50">
        <v>0</v>
      </c>
      <c r="O765" s="36">
        <v>7</v>
      </c>
      <c r="P765" s="36">
        <v>8</v>
      </c>
      <c r="Q765" s="36">
        <v>8</v>
      </c>
      <c r="R765" s="36">
        <v>0</v>
      </c>
      <c r="S765" s="50">
        <v>0</v>
      </c>
      <c r="T765" s="36">
        <v>7</v>
      </c>
      <c r="U765" s="36">
        <v>8</v>
      </c>
      <c r="V765" s="36">
        <v>8</v>
      </c>
      <c r="W765" s="36">
        <v>0</v>
      </c>
      <c r="X765" s="50">
        <v>0</v>
      </c>
      <c r="Y765" s="36">
        <v>0</v>
      </c>
      <c r="Z765" s="36">
        <v>8</v>
      </c>
      <c r="AA765" s="36">
        <v>8</v>
      </c>
      <c r="AB765" s="36">
        <v>0</v>
      </c>
      <c r="AC765" s="50">
        <v>0</v>
      </c>
      <c r="AD765" s="36">
        <v>8</v>
      </c>
      <c r="AE765" s="36">
        <v>8</v>
      </c>
      <c r="AF765" s="36">
        <v>8</v>
      </c>
      <c r="AG765" s="36">
        <v>0</v>
      </c>
      <c r="AH765" s="50">
        <v>0</v>
      </c>
      <c r="AI765" s="36">
        <v>0</v>
      </c>
      <c r="AJ765" s="36">
        <v>0</v>
      </c>
      <c r="AK765" s="36">
        <v>0</v>
      </c>
      <c r="AL765" s="36">
        <v>0</v>
      </c>
      <c r="AM765" s="50">
        <v>0</v>
      </c>
      <c r="AN765" s="36">
        <v>8</v>
      </c>
      <c r="AO765" s="36">
        <v>8</v>
      </c>
      <c r="AP765" s="36">
        <v>8</v>
      </c>
      <c r="AQ765" s="36">
        <v>0</v>
      </c>
      <c r="AR765" s="50">
        <v>0</v>
      </c>
      <c r="AS765" s="36">
        <v>0</v>
      </c>
      <c r="AT765" s="36">
        <v>0</v>
      </c>
      <c r="AU765" s="36">
        <v>0</v>
      </c>
      <c r="AV765" s="36">
        <v>1</v>
      </c>
      <c r="AW765">
        <v>0</v>
      </c>
      <c r="AX765">
        <v>0</v>
      </c>
    </row>
    <row r="766" spans="1:50" x14ac:dyDescent="0.25">
      <c r="A766" s="36"/>
      <c r="B766" t="s">
        <v>119</v>
      </c>
      <c r="C766" s="36" t="str">
        <f>'Status Thresholds'!B757</f>
        <v>Tigrex</v>
      </c>
      <c r="E766" s="36" t="str">
        <f t="shared" si="25"/>
        <v>Tigrex</v>
      </c>
      <c r="F766" s="36" t="str">
        <f>IFERROR(VLOOKUP($E766,'Status Thresholds'!$E:$AS,1,FALSE),"")</f>
        <v/>
      </c>
      <c r="G766" t="s">
        <v>21</v>
      </c>
      <c r="H766" s="55" t="str">
        <f t="shared" si="26"/>
        <v>TigrexTriblast</v>
      </c>
      <c r="I766" s="50">
        <v>2</v>
      </c>
      <c r="J766" s="36">
        <v>1</v>
      </c>
      <c r="K766" s="36">
        <v>2</v>
      </c>
      <c r="L766" s="36">
        <v>2</v>
      </c>
      <c r="M766" s="36">
        <v>0</v>
      </c>
      <c r="N766" s="50">
        <v>2</v>
      </c>
      <c r="O766" s="36">
        <v>1</v>
      </c>
      <c r="P766" s="36">
        <v>2</v>
      </c>
      <c r="Q766" s="36">
        <v>2</v>
      </c>
      <c r="R766" s="36">
        <v>0</v>
      </c>
      <c r="S766" s="50">
        <v>2</v>
      </c>
      <c r="T766" s="36">
        <v>1</v>
      </c>
      <c r="U766" s="36">
        <v>2</v>
      </c>
      <c r="V766" s="36">
        <v>2</v>
      </c>
      <c r="W766" s="36">
        <v>0</v>
      </c>
      <c r="X766" s="50">
        <v>2</v>
      </c>
      <c r="Y766" s="36">
        <v>1</v>
      </c>
      <c r="Z766" s="36">
        <v>2</v>
      </c>
      <c r="AA766" s="36">
        <v>2</v>
      </c>
      <c r="AB766" s="36">
        <v>0</v>
      </c>
      <c r="AC766" s="50">
        <v>1</v>
      </c>
      <c r="AD766" s="36">
        <v>2</v>
      </c>
      <c r="AE766" s="36">
        <v>2</v>
      </c>
      <c r="AF766" s="36">
        <v>2</v>
      </c>
      <c r="AG766" s="36">
        <v>0</v>
      </c>
      <c r="AH766" s="50">
        <v>0</v>
      </c>
      <c r="AI766" s="36">
        <v>0</v>
      </c>
      <c r="AJ766" s="36">
        <v>0</v>
      </c>
      <c r="AK766" s="36">
        <v>0</v>
      </c>
      <c r="AL766" s="36">
        <v>0</v>
      </c>
      <c r="AM766" s="50">
        <v>2</v>
      </c>
      <c r="AN766" s="36">
        <v>2</v>
      </c>
      <c r="AO766" s="36">
        <v>2</v>
      </c>
      <c r="AP766" s="36">
        <v>2</v>
      </c>
      <c r="AQ766" s="36">
        <v>0</v>
      </c>
      <c r="AR766" s="50">
        <v>0</v>
      </c>
      <c r="AS766" s="36">
        <v>0</v>
      </c>
      <c r="AT766" s="36">
        <v>0</v>
      </c>
      <c r="AU766" s="36">
        <v>0</v>
      </c>
      <c r="AV766" s="36">
        <v>0</v>
      </c>
      <c r="AW766">
        <v>0</v>
      </c>
      <c r="AX766">
        <v>0</v>
      </c>
    </row>
    <row r="767" spans="1:50" x14ac:dyDescent="0.25">
      <c r="A767" s="36"/>
      <c r="B767" t="s">
        <v>119</v>
      </c>
      <c r="C767" s="36" t="str">
        <f>'Status Thresholds'!B758</f>
        <v>Tigrex</v>
      </c>
      <c r="E767" s="36" t="str">
        <f t="shared" si="25"/>
        <v>Tigrex</v>
      </c>
      <c r="F767" s="36" t="str">
        <f>IFERROR(VLOOKUP($E767,'Status Thresholds'!$E:$AS,1,FALSE),"")</f>
        <v/>
      </c>
      <c r="G767" t="s">
        <v>13</v>
      </c>
      <c r="H767" s="55" t="str">
        <f t="shared" si="26"/>
        <v>TigrexCrag 3</v>
      </c>
      <c r="I767" s="50">
        <v>1</v>
      </c>
      <c r="J767" s="36">
        <v>3</v>
      </c>
      <c r="K767" s="36">
        <v>4</v>
      </c>
      <c r="L767" s="36">
        <v>4</v>
      </c>
      <c r="M767" s="36">
        <v>0</v>
      </c>
      <c r="N767" s="50">
        <v>1</v>
      </c>
      <c r="O767" s="36">
        <v>3</v>
      </c>
      <c r="P767" s="36">
        <v>4</v>
      </c>
      <c r="Q767" s="36">
        <v>4</v>
      </c>
      <c r="R767" s="36">
        <v>0</v>
      </c>
      <c r="S767" s="50">
        <v>1</v>
      </c>
      <c r="T767" s="36">
        <v>3</v>
      </c>
      <c r="U767" s="36">
        <v>4</v>
      </c>
      <c r="V767" s="36">
        <v>4</v>
      </c>
      <c r="W767" s="36">
        <v>0</v>
      </c>
      <c r="X767" s="50">
        <v>1</v>
      </c>
      <c r="Y767" s="36">
        <v>2</v>
      </c>
      <c r="Z767" s="36">
        <v>4</v>
      </c>
      <c r="AA767" s="36">
        <v>4</v>
      </c>
      <c r="AB767" s="36">
        <v>0</v>
      </c>
      <c r="AC767" s="50">
        <v>3</v>
      </c>
      <c r="AD767" s="36">
        <v>0</v>
      </c>
      <c r="AE767" s="36">
        <v>4</v>
      </c>
      <c r="AF767" s="36">
        <v>4</v>
      </c>
      <c r="AG767" s="36">
        <v>0</v>
      </c>
      <c r="AH767" s="50">
        <v>0</v>
      </c>
      <c r="AI767" s="36">
        <v>0</v>
      </c>
      <c r="AJ767" s="36">
        <v>0</v>
      </c>
      <c r="AK767" s="36">
        <v>0</v>
      </c>
      <c r="AL767" s="36">
        <v>0</v>
      </c>
      <c r="AM767" s="50">
        <v>1</v>
      </c>
      <c r="AN767" s="36">
        <v>4</v>
      </c>
      <c r="AO767" s="36">
        <v>4</v>
      </c>
      <c r="AP767" s="36">
        <v>4</v>
      </c>
      <c r="AQ767" s="36">
        <v>0</v>
      </c>
      <c r="AR767" s="50">
        <v>0</v>
      </c>
      <c r="AS767" s="36">
        <v>0</v>
      </c>
      <c r="AT767" s="36">
        <v>0</v>
      </c>
      <c r="AU767" s="36">
        <v>0</v>
      </c>
      <c r="AV767" s="36">
        <v>0</v>
      </c>
      <c r="AW767">
        <v>0</v>
      </c>
      <c r="AX767">
        <v>0</v>
      </c>
    </row>
    <row r="768" spans="1:50" x14ac:dyDescent="0.25">
      <c r="A768" s="36"/>
      <c r="B768" t="s">
        <v>119</v>
      </c>
      <c r="C768" s="36" t="str">
        <f>'Status Thresholds'!B759</f>
        <v>Tigrex</v>
      </c>
      <c r="E768" s="36" t="str">
        <f t="shared" si="25"/>
        <v>Tigrex</v>
      </c>
      <c r="F768" s="36" t="str">
        <f>IFERROR(VLOOKUP($E768,'Status Thresholds'!$E:$AS,1,FALSE),"")</f>
        <v/>
      </c>
      <c r="G768" t="s">
        <v>12</v>
      </c>
      <c r="H768" s="55" t="str">
        <f t="shared" si="26"/>
        <v>TigrexCrag 2</v>
      </c>
      <c r="I768" s="50">
        <v>0</v>
      </c>
      <c r="J768" s="36">
        <v>2</v>
      </c>
      <c r="K768" s="36">
        <v>3</v>
      </c>
      <c r="L768" s="36">
        <v>4</v>
      </c>
      <c r="M768" s="36">
        <v>0</v>
      </c>
      <c r="N768" s="50">
        <v>0</v>
      </c>
      <c r="O768" s="36">
        <v>2</v>
      </c>
      <c r="P768" s="36">
        <v>3</v>
      </c>
      <c r="Q768" s="36">
        <v>4</v>
      </c>
      <c r="R768" s="36">
        <v>0</v>
      </c>
      <c r="S768" s="50">
        <v>0</v>
      </c>
      <c r="T768" s="36">
        <v>2</v>
      </c>
      <c r="U768" s="36">
        <v>3</v>
      </c>
      <c r="V768" s="36">
        <v>4</v>
      </c>
      <c r="W768" s="36">
        <v>0</v>
      </c>
      <c r="X768" s="50">
        <v>0</v>
      </c>
      <c r="Y768" s="36">
        <v>3</v>
      </c>
      <c r="Z768" s="36">
        <v>4</v>
      </c>
      <c r="AA768" s="36">
        <v>4</v>
      </c>
      <c r="AB768" s="36">
        <v>0</v>
      </c>
      <c r="AC768" s="50">
        <v>1</v>
      </c>
      <c r="AD768" s="36">
        <v>4</v>
      </c>
      <c r="AE768" s="36">
        <v>4</v>
      </c>
      <c r="AF768" s="36">
        <v>4</v>
      </c>
      <c r="AG768" s="36">
        <v>0</v>
      </c>
      <c r="AH768" s="50">
        <v>0</v>
      </c>
      <c r="AI768" s="36">
        <v>0</v>
      </c>
      <c r="AJ768" s="36">
        <v>0</v>
      </c>
      <c r="AK768" s="36">
        <v>0</v>
      </c>
      <c r="AL768" s="36">
        <v>0</v>
      </c>
      <c r="AM768" s="50">
        <v>1</v>
      </c>
      <c r="AN768" s="36">
        <v>4</v>
      </c>
      <c r="AO768" s="36">
        <v>4</v>
      </c>
      <c r="AP768" s="36">
        <v>4</v>
      </c>
      <c r="AQ768" s="36">
        <v>0</v>
      </c>
      <c r="AR768" s="50">
        <v>0</v>
      </c>
      <c r="AS768" s="36">
        <v>0</v>
      </c>
      <c r="AT768" s="36">
        <v>0</v>
      </c>
      <c r="AU768" s="36">
        <v>0</v>
      </c>
      <c r="AV768" s="36">
        <v>0</v>
      </c>
      <c r="AW768">
        <v>0</v>
      </c>
      <c r="AX768">
        <v>0</v>
      </c>
    </row>
    <row r="769" spans="1:50" x14ac:dyDescent="0.25">
      <c r="A769" s="36"/>
      <c r="B769" t="s">
        <v>119</v>
      </c>
      <c r="C769" s="36" t="str">
        <f>'Status Thresholds'!B760</f>
        <v>Tigrex</v>
      </c>
      <c r="E769" s="36" t="str">
        <f t="shared" si="25"/>
        <v>Tigrex</v>
      </c>
      <c r="F769" s="36" t="str">
        <f>IFERROR(VLOOKUP($E769,'Status Thresholds'!$E:$AS,1,FALSE),"")</f>
        <v/>
      </c>
      <c r="G769" t="s">
        <v>11</v>
      </c>
      <c r="H769" s="55" t="str">
        <f t="shared" si="26"/>
        <v>TigrexCrag 1</v>
      </c>
      <c r="I769" s="50">
        <v>2</v>
      </c>
      <c r="J769" s="36">
        <v>6</v>
      </c>
      <c r="K769" s="36">
        <v>7</v>
      </c>
      <c r="L769" s="36">
        <v>8</v>
      </c>
      <c r="M769" s="36">
        <v>0</v>
      </c>
      <c r="N769" s="50">
        <v>2</v>
      </c>
      <c r="O769" s="36">
        <v>6</v>
      </c>
      <c r="P769" s="36">
        <v>7</v>
      </c>
      <c r="Q769" s="36">
        <v>8</v>
      </c>
      <c r="R769" s="36">
        <v>0</v>
      </c>
      <c r="S769" s="50">
        <v>2</v>
      </c>
      <c r="T769" s="36">
        <v>6</v>
      </c>
      <c r="U769" s="36">
        <v>7</v>
      </c>
      <c r="V769" s="36">
        <v>8</v>
      </c>
      <c r="W769" s="36">
        <v>0</v>
      </c>
      <c r="X769" s="50">
        <v>2</v>
      </c>
      <c r="Y769" s="36">
        <v>6</v>
      </c>
      <c r="Z769" s="36">
        <v>5</v>
      </c>
      <c r="AA769" s="36">
        <v>8</v>
      </c>
      <c r="AB769" s="36">
        <v>0</v>
      </c>
      <c r="AC769" s="50">
        <v>2</v>
      </c>
      <c r="AD769" s="36">
        <v>8</v>
      </c>
      <c r="AE769" s="36">
        <v>8</v>
      </c>
      <c r="AF769" s="36">
        <v>8</v>
      </c>
      <c r="AG769" s="36">
        <v>0</v>
      </c>
      <c r="AH769" s="50">
        <v>0</v>
      </c>
      <c r="AI769" s="36">
        <v>0</v>
      </c>
      <c r="AJ769" s="36">
        <v>0</v>
      </c>
      <c r="AK769" s="36">
        <v>0</v>
      </c>
      <c r="AL769" s="36">
        <v>0</v>
      </c>
      <c r="AM769" s="50">
        <v>6</v>
      </c>
      <c r="AN769" s="36">
        <v>8</v>
      </c>
      <c r="AO769" s="36">
        <v>8</v>
      </c>
      <c r="AP769" s="36">
        <v>8</v>
      </c>
      <c r="AQ769" s="36">
        <v>0</v>
      </c>
      <c r="AR769" s="50">
        <v>0</v>
      </c>
      <c r="AS769" s="36">
        <v>0</v>
      </c>
      <c r="AT769" s="36">
        <v>0</v>
      </c>
      <c r="AU769" s="36">
        <v>0</v>
      </c>
      <c r="AV769" s="36">
        <v>1</v>
      </c>
      <c r="AW769">
        <v>0</v>
      </c>
      <c r="AX769">
        <v>0</v>
      </c>
    </row>
    <row r="770" spans="1:50" x14ac:dyDescent="0.25">
      <c r="A770" s="36"/>
      <c r="B770" t="s">
        <v>121</v>
      </c>
      <c r="C770" s="36" t="str">
        <f>'Status Thresholds'!B761</f>
        <v>Ukanlos</v>
      </c>
      <c r="D770" t="s">
        <v>14</v>
      </c>
      <c r="E770" s="36" t="str">
        <f t="shared" si="25"/>
        <v>UkanlosKO</v>
      </c>
      <c r="F770" s="36" t="str">
        <f>IFERROR(VLOOKUP($E770,'Status Thresholds'!$E:$AS,1,FALSE),"")</f>
        <v>UkanlosKO</v>
      </c>
      <c r="H770" s="55" t="str">
        <f t="shared" si="26"/>
        <v>UkanlosKO</v>
      </c>
      <c r="I770" s="50">
        <f>VLOOKUP($F770,'Status Thresholds'!$E:$AS,2,FALSE)</f>
        <v>350</v>
      </c>
      <c r="J770" s="36">
        <f>VLOOKUP($F770,'Status Thresholds'!$E:$AS,3,FALSE)</f>
        <v>560</v>
      </c>
      <c r="K770" s="36">
        <f>VLOOKUP($F770,'Status Thresholds'!$E:$AS,4,FALSE)</f>
        <v>770</v>
      </c>
      <c r="L770" s="36">
        <f>VLOOKUP($F770,'Status Thresholds'!$E:$AS,5,FALSE)</f>
        <v>980</v>
      </c>
      <c r="M770" s="36">
        <f>VLOOKUP($F770,'Status Thresholds'!$E:$AS,6,FALSE)</f>
        <v>0</v>
      </c>
      <c r="N770" s="50">
        <f>VLOOKUP($F770,'Status Thresholds'!$E:$AS,7,FALSE)</f>
        <v>0</v>
      </c>
      <c r="O770" s="36">
        <f>VLOOKUP($F770,'Status Thresholds'!$E:$AS,8,FALSE)</f>
        <v>0</v>
      </c>
      <c r="P770" s="36">
        <f>VLOOKUP($F770,'Status Thresholds'!$E:$AS,9,FALSE)</f>
        <v>0</v>
      </c>
      <c r="Q770" s="36">
        <f>VLOOKUP($F770,'Status Thresholds'!$E:$AS,10,FALSE)</f>
        <v>0</v>
      </c>
      <c r="R770" s="36">
        <f>VLOOKUP($F770,'Status Thresholds'!$E:$AS,11,FALSE)</f>
        <v>0</v>
      </c>
      <c r="S770" s="50">
        <f>VLOOKUP($F770,'Status Thresholds'!$E:$AS,12,FALSE)</f>
        <v>0</v>
      </c>
      <c r="T770" s="36">
        <f>VLOOKUP($F770,'Status Thresholds'!$E:$AS,13,FALSE)</f>
        <v>0</v>
      </c>
      <c r="U770" s="36">
        <f>VLOOKUP($F770,'Status Thresholds'!$E:$AS,14,FALSE)</f>
        <v>0</v>
      </c>
      <c r="V770" s="36">
        <f>VLOOKUP($F770,'Status Thresholds'!$E:$AS,15,FALSE)</f>
        <v>0</v>
      </c>
      <c r="W770" s="36">
        <f>VLOOKUP($F770,'Status Thresholds'!$E:$AS,16,FALSE)</f>
        <v>0</v>
      </c>
      <c r="X770" s="50">
        <f>VLOOKUP($F770,'Status Thresholds'!$E:$AS,17,FALSE)</f>
        <v>0</v>
      </c>
      <c r="Y770" s="36">
        <f>VLOOKUP($F770,'Status Thresholds'!$E:$AS,18,FALSE)</f>
        <v>0</v>
      </c>
      <c r="Z770" s="36">
        <f>VLOOKUP($F770,'Status Thresholds'!$E:$AS,19,FALSE)</f>
        <v>0</v>
      </c>
      <c r="AA770" s="36">
        <f>VLOOKUP($F770,'Status Thresholds'!$E:$AS,20,FALSE)</f>
        <v>0</v>
      </c>
      <c r="AB770" s="36">
        <f>VLOOKUP($F770,'Status Thresholds'!$E:$AS,21,FALSE)</f>
        <v>0</v>
      </c>
      <c r="AC770" s="50">
        <f>VLOOKUP($F770,'Status Thresholds'!$E:$AS,22,FALSE)</f>
        <v>400</v>
      </c>
      <c r="AD770" s="36">
        <f>VLOOKUP($F770,'Status Thresholds'!$E:$AS,23,FALSE)</f>
        <v>640</v>
      </c>
      <c r="AE770" s="36">
        <f>VLOOKUP($F770,'Status Thresholds'!$E:$AS,24,FALSE)</f>
        <v>880</v>
      </c>
      <c r="AF770" s="36">
        <f>VLOOKUP($F770,'Status Thresholds'!$E:$AS,25,FALSE)</f>
        <v>1120</v>
      </c>
      <c r="AG770" s="36">
        <f>VLOOKUP($F770,'Status Thresholds'!$E:$AS,26,FALSE)</f>
        <v>0</v>
      </c>
      <c r="AH770" s="50">
        <f>VLOOKUP($F770,'Status Thresholds'!$E:$AS,27,FALSE)</f>
        <v>0</v>
      </c>
      <c r="AI770" s="36">
        <f>VLOOKUP($F770,'Status Thresholds'!$E:$AS,28,FALSE)</f>
        <v>0</v>
      </c>
      <c r="AJ770" s="36">
        <f>VLOOKUP($F770,'Status Thresholds'!$E:$AS,29,FALSE)</f>
        <v>0</v>
      </c>
      <c r="AK770" s="36">
        <f>VLOOKUP($F770,'Status Thresholds'!$E:$AS,30,FALSE)</f>
        <v>0</v>
      </c>
      <c r="AL770" s="36">
        <f>VLOOKUP($F770,'Status Thresholds'!$E:$AS,31,FALSE)</f>
        <v>0</v>
      </c>
      <c r="AM770" s="50">
        <f>VLOOKUP($F770,'Status Thresholds'!$E:$AS,32,FALSE)</f>
        <v>0</v>
      </c>
      <c r="AN770" s="36">
        <f>VLOOKUP($F770,'Status Thresholds'!$E:$AS,33,FALSE)</f>
        <v>0</v>
      </c>
      <c r="AO770" s="36">
        <f>VLOOKUP($F770,'Status Thresholds'!$E:$AS,34,FALSE)</f>
        <v>0</v>
      </c>
      <c r="AP770" s="36">
        <f>VLOOKUP($F770,'Status Thresholds'!$E:$AS,35,FALSE)</f>
        <v>0</v>
      </c>
      <c r="AQ770" s="36">
        <f>VLOOKUP($F770,'Status Thresholds'!$E:$AS,36,FALSE)</f>
        <v>0</v>
      </c>
      <c r="AR770" s="50">
        <f>VLOOKUP($F770,'Status Thresholds'!$E:$AS,37,FALSE)</f>
        <v>0</v>
      </c>
      <c r="AS770" s="36">
        <f>VLOOKUP($F770,'Status Thresholds'!$E:$AS,38,FALSE)</f>
        <v>0</v>
      </c>
      <c r="AT770" s="36">
        <f>VLOOKUP($F770,'Status Thresholds'!$E:$AS,39,FALSE)</f>
        <v>0</v>
      </c>
      <c r="AU770" s="36">
        <f>VLOOKUP($F770,'Status Thresholds'!$E:$AS,40,FALSE)</f>
        <v>0</v>
      </c>
      <c r="AV770" s="36">
        <f>VLOOKUP($F770,'Status Thresholds'!$E:$AS,41,FALSE)</f>
        <v>10</v>
      </c>
      <c r="AW770">
        <v>0</v>
      </c>
      <c r="AX770">
        <v>0</v>
      </c>
    </row>
    <row r="771" spans="1:50" x14ac:dyDescent="0.25">
      <c r="A771" s="36"/>
      <c r="B771" t="s">
        <v>120</v>
      </c>
      <c r="C771" s="36" t="str">
        <f>'Status Thresholds'!B762</f>
        <v>Ukanlos</v>
      </c>
      <c r="E771" s="36" t="str">
        <f t="shared" si="25"/>
        <v>Ukanlos</v>
      </c>
      <c r="F771" s="36" t="str">
        <f>IFERROR(VLOOKUP($E771,'Status Thresholds'!$E:$AS,1,FALSE),"")</f>
        <v/>
      </c>
      <c r="G771" t="s">
        <v>21</v>
      </c>
      <c r="H771" s="55" t="str">
        <f t="shared" si="26"/>
        <v>UkanlosTriblast</v>
      </c>
      <c r="I771" s="50">
        <v>2</v>
      </c>
      <c r="J771" s="36">
        <v>2</v>
      </c>
      <c r="K771" s="36">
        <v>2</v>
      </c>
      <c r="L771" s="36">
        <v>2</v>
      </c>
      <c r="M771" s="36">
        <v>0</v>
      </c>
      <c r="N771" s="50">
        <v>0</v>
      </c>
      <c r="O771" s="36">
        <v>0</v>
      </c>
      <c r="P771" s="36">
        <v>0</v>
      </c>
      <c r="Q771" s="36">
        <v>0</v>
      </c>
      <c r="R771" s="36">
        <v>0</v>
      </c>
      <c r="S771" s="50">
        <v>0</v>
      </c>
      <c r="T771" s="36">
        <v>0</v>
      </c>
      <c r="U771" s="36">
        <v>0</v>
      </c>
      <c r="V771" s="36">
        <v>0</v>
      </c>
      <c r="W771" s="36">
        <v>0</v>
      </c>
      <c r="X771" s="50">
        <v>0</v>
      </c>
      <c r="Y771" s="36">
        <v>0</v>
      </c>
      <c r="Z771" s="36">
        <v>0</v>
      </c>
      <c r="AA771" s="36">
        <v>0</v>
      </c>
      <c r="AB771" s="36">
        <v>0</v>
      </c>
      <c r="AC771" s="50">
        <v>2</v>
      </c>
      <c r="AD771" s="36">
        <v>2</v>
      </c>
      <c r="AE771" s="36">
        <v>2</v>
      </c>
      <c r="AF771" s="36">
        <v>2</v>
      </c>
      <c r="AG771" s="36">
        <v>0</v>
      </c>
      <c r="AH771" s="50">
        <v>0</v>
      </c>
      <c r="AI771" s="36">
        <v>0</v>
      </c>
      <c r="AJ771" s="36">
        <v>0</v>
      </c>
      <c r="AK771" s="36">
        <v>0</v>
      </c>
      <c r="AL771" s="36">
        <v>0</v>
      </c>
      <c r="AM771" s="50">
        <v>0</v>
      </c>
      <c r="AN771" s="36">
        <v>0</v>
      </c>
      <c r="AO771" s="36">
        <v>0</v>
      </c>
      <c r="AP771" s="36">
        <v>0</v>
      </c>
      <c r="AQ771" s="36">
        <v>0</v>
      </c>
      <c r="AR771" s="50">
        <v>0</v>
      </c>
      <c r="AS771" s="36">
        <v>0</v>
      </c>
      <c r="AT771" s="36">
        <v>0</v>
      </c>
      <c r="AU771" s="36">
        <v>0</v>
      </c>
      <c r="AV771" s="36">
        <v>0</v>
      </c>
      <c r="AW771">
        <v>0</v>
      </c>
    </row>
    <row r="772" spans="1:50" x14ac:dyDescent="0.25">
      <c r="A772" s="36"/>
      <c r="B772" t="s">
        <v>120</v>
      </c>
      <c r="C772" s="36" t="str">
        <f>'Status Thresholds'!B763</f>
        <v>Ukanlos</v>
      </c>
      <c r="E772" s="36" t="str">
        <f t="shared" si="25"/>
        <v>Ukanlos</v>
      </c>
      <c r="F772" s="36" t="str">
        <f>IFERROR(VLOOKUP($E772,'Status Thresholds'!$E:$AS,1,FALSE),"")</f>
        <v/>
      </c>
      <c r="G772" t="s">
        <v>13</v>
      </c>
      <c r="H772" s="55" t="str">
        <f t="shared" si="26"/>
        <v>UkanlosCrag 3</v>
      </c>
      <c r="I772" s="50">
        <v>0</v>
      </c>
      <c r="J772" s="36">
        <v>3</v>
      </c>
      <c r="K772" s="36">
        <v>4</v>
      </c>
      <c r="L772" s="36">
        <v>4</v>
      </c>
      <c r="M772" s="36">
        <v>0</v>
      </c>
      <c r="N772" s="50">
        <v>0</v>
      </c>
      <c r="O772" s="36">
        <v>0</v>
      </c>
      <c r="P772" s="36">
        <v>0</v>
      </c>
      <c r="Q772" s="36">
        <v>0</v>
      </c>
      <c r="R772" s="36">
        <v>0</v>
      </c>
      <c r="S772" s="50">
        <v>0</v>
      </c>
      <c r="T772" s="36">
        <v>0</v>
      </c>
      <c r="U772" s="36">
        <v>0</v>
      </c>
      <c r="V772" s="36">
        <v>0</v>
      </c>
      <c r="W772" s="36">
        <v>0</v>
      </c>
      <c r="X772" s="50">
        <v>0</v>
      </c>
      <c r="Y772" s="36">
        <v>0</v>
      </c>
      <c r="Z772" s="36">
        <v>0</v>
      </c>
      <c r="AA772" s="36">
        <v>0</v>
      </c>
      <c r="AB772" s="36">
        <v>0</v>
      </c>
      <c r="AC772" s="50">
        <v>4</v>
      </c>
      <c r="AD772" s="36">
        <v>4</v>
      </c>
      <c r="AE772" s="36">
        <v>4</v>
      </c>
      <c r="AF772" s="36">
        <v>4</v>
      </c>
      <c r="AG772" s="36">
        <v>0</v>
      </c>
      <c r="AH772" s="50">
        <v>0</v>
      </c>
      <c r="AI772" s="36">
        <v>0</v>
      </c>
      <c r="AJ772" s="36">
        <v>0</v>
      </c>
      <c r="AK772" s="36">
        <v>0</v>
      </c>
      <c r="AL772" s="36">
        <v>0</v>
      </c>
      <c r="AM772" s="50">
        <v>0</v>
      </c>
      <c r="AN772" s="36">
        <v>0</v>
      </c>
      <c r="AO772" s="36">
        <v>0</v>
      </c>
      <c r="AP772" s="36">
        <v>0</v>
      </c>
      <c r="AQ772" s="36">
        <v>0</v>
      </c>
      <c r="AR772" s="50">
        <v>0</v>
      </c>
      <c r="AS772" s="36">
        <v>0</v>
      </c>
      <c r="AT772" s="36">
        <v>0</v>
      </c>
      <c r="AU772" s="36">
        <v>0</v>
      </c>
      <c r="AV772" s="36">
        <v>0</v>
      </c>
      <c r="AW772">
        <v>0</v>
      </c>
      <c r="AX772">
        <v>0</v>
      </c>
    </row>
    <row r="773" spans="1:50" x14ac:dyDescent="0.25">
      <c r="A773" s="36"/>
      <c r="B773" t="s">
        <v>120</v>
      </c>
      <c r="C773" s="36" t="str">
        <f>'Status Thresholds'!B764</f>
        <v>Ukanlos</v>
      </c>
      <c r="E773" s="36" t="str">
        <f t="shared" si="25"/>
        <v>Ukanlos</v>
      </c>
      <c r="F773" s="36" t="str">
        <f>IFERROR(VLOOKUP($E773,'Status Thresholds'!$E:$AS,1,FALSE),"")</f>
        <v/>
      </c>
      <c r="G773" t="s">
        <v>12</v>
      </c>
      <c r="H773" s="55" t="str">
        <f t="shared" si="26"/>
        <v>UkanlosCrag 2</v>
      </c>
      <c r="I773" s="50">
        <v>0</v>
      </c>
      <c r="J773" s="36">
        <v>3</v>
      </c>
      <c r="K773" s="36">
        <v>4</v>
      </c>
      <c r="L773" s="36">
        <v>4</v>
      </c>
      <c r="M773" s="36">
        <v>0</v>
      </c>
      <c r="N773" s="50">
        <v>0</v>
      </c>
      <c r="O773" s="36">
        <v>0</v>
      </c>
      <c r="P773" s="36">
        <v>0</v>
      </c>
      <c r="Q773" s="36">
        <v>0</v>
      </c>
      <c r="R773" s="36">
        <v>0</v>
      </c>
      <c r="S773" s="50">
        <v>0</v>
      </c>
      <c r="T773" s="36">
        <v>0</v>
      </c>
      <c r="U773" s="36">
        <v>0</v>
      </c>
      <c r="V773" s="36">
        <v>0</v>
      </c>
      <c r="W773" s="36">
        <v>0</v>
      </c>
      <c r="X773" s="50">
        <v>0</v>
      </c>
      <c r="Y773" s="36">
        <v>0</v>
      </c>
      <c r="Z773" s="36">
        <v>0</v>
      </c>
      <c r="AA773" s="36">
        <v>0</v>
      </c>
      <c r="AB773" s="36">
        <v>0</v>
      </c>
      <c r="AC773" s="50">
        <v>3</v>
      </c>
      <c r="AD773" s="36">
        <v>4</v>
      </c>
      <c r="AE773" s="36">
        <v>4</v>
      </c>
      <c r="AF773" s="36">
        <v>4</v>
      </c>
      <c r="AG773" s="36">
        <v>0</v>
      </c>
      <c r="AH773" s="50">
        <v>0</v>
      </c>
      <c r="AI773" s="36">
        <v>0</v>
      </c>
      <c r="AJ773" s="36">
        <v>0</v>
      </c>
      <c r="AK773" s="36">
        <v>0</v>
      </c>
      <c r="AL773" s="36">
        <v>0</v>
      </c>
      <c r="AM773" s="50">
        <v>0</v>
      </c>
      <c r="AN773" s="36">
        <v>0</v>
      </c>
      <c r="AO773" s="36">
        <v>0</v>
      </c>
      <c r="AP773" s="36">
        <v>0</v>
      </c>
      <c r="AQ773" s="36">
        <v>0</v>
      </c>
      <c r="AR773" s="50">
        <v>0</v>
      </c>
      <c r="AS773" s="36">
        <v>0</v>
      </c>
      <c r="AT773" s="36">
        <v>0</v>
      </c>
      <c r="AU773" s="36">
        <v>0</v>
      </c>
      <c r="AV773" s="36">
        <v>0</v>
      </c>
      <c r="AW773">
        <v>0</v>
      </c>
      <c r="AX773">
        <v>0</v>
      </c>
    </row>
    <row r="774" spans="1:50" x14ac:dyDescent="0.25">
      <c r="A774" s="36"/>
      <c r="B774" t="s">
        <v>120</v>
      </c>
      <c r="C774" s="36" t="str">
        <f>'Status Thresholds'!B765</f>
        <v>Ukanlos</v>
      </c>
      <c r="E774" s="36" t="str">
        <f t="shared" ref="E774:E837" si="27">C774&amp;D774</f>
        <v>Ukanlos</v>
      </c>
      <c r="F774" s="36" t="str">
        <f>IFERROR(VLOOKUP($E774,'Status Thresholds'!$E:$AS,1,FALSE),"")</f>
        <v/>
      </c>
      <c r="G774" t="s">
        <v>11</v>
      </c>
      <c r="H774" s="55" t="str">
        <f t="shared" ref="H774:H837" si="28">E774&amp;G774</f>
        <v>UkanlosCrag 1</v>
      </c>
      <c r="I774" s="50">
        <v>8</v>
      </c>
      <c r="J774" s="36">
        <v>8</v>
      </c>
      <c r="K774" s="36">
        <v>8</v>
      </c>
      <c r="L774" s="36">
        <v>8</v>
      </c>
      <c r="M774" s="36">
        <v>0</v>
      </c>
      <c r="N774" s="50">
        <v>0</v>
      </c>
      <c r="O774" s="36">
        <v>0</v>
      </c>
      <c r="P774" s="36">
        <v>0</v>
      </c>
      <c r="Q774" s="36">
        <v>0</v>
      </c>
      <c r="R774" s="36">
        <v>0</v>
      </c>
      <c r="S774" s="50">
        <v>0</v>
      </c>
      <c r="T774" s="36">
        <v>0</v>
      </c>
      <c r="U774" s="36">
        <v>0</v>
      </c>
      <c r="V774" s="36">
        <v>0</v>
      </c>
      <c r="W774" s="36">
        <v>0</v>
      </c>
      <c r="X774" s="50">
        <v>0</v>
      </c>
      <c r="Y774" s="36">
        <v>0</v>
      </c>
      <c r="Z774" s="36">
        <v>0</v>
      </c>
      <c r="AA774" s="36">
        <v>0</v>
      </c>
      <c r="AB774" s="36">
        <v>0</v>
      </c>
      <c r="AC774" s="50">
        <v>0</v>
      </c>
      <c r="AD774" s="36">
        <v>8</v>
      </c>
      <c r="AE774" s="36">
        <v>8</v>
      </c>
      <c r="AF774" s="36">
        <v>8</v>
      </c>
      <c r="AG774" s="36">
        <v>0</v>
      </c>
      <c r="AH774" s="50">
        <v>0</v>
      </c>
      <c r="AI774" s="36">
        <v>0</v>
      </c>
      <c r="AJ774" s="36">
        <v>0</v>
      </c>
      <c r="AK774" s="36">
        <v>0</v>
      </c>
      <c r="AL774" s="36">
        <v>0</v>
      </c>
      <c r="AM774" s="50">
        <v>0</v>
      </c>
      <c r="AN774" s="36">
        <v>0</v>
      </c>
      <c r="AO774" s="36">
        <v>0</v>
      </c>
      <c r="AP774" s="36">
        <v>0</v>
      </c>
      <c r="AQ774" s="36">
        <v>0</v>
      </c>
      <c r="AR774" s="50">
        <v>0</v>
      </c>
      <c r="AS774" s="36">
        <v>0</v>
      </c>
      <c r="AT774" s="36">
        <v>0</v>
      </c>
      <c r="AU774" s="36">
        <v>0</v>
      </c>
      <c r="AV774" s="36">
        <v>1</v>
      </c>
      <c r="AW774">
        <v>0</v>
      </c>
      <c r="AX774">
        <v>0</v>
      </c>
    </row>
    <row r="775" spans="1:50" x14ac:dyDescent="0.25">
      <c r="A775" s="36"/>
      <c r="B775" t="s">
        <v>119</v>
      </c>
      <c r="C775" s="36" t="str">
        <f>'Status Thresholds'!B766</f>
        <v>Ukanlos</v>
      </c>
      <c r="E775" s="36" t="str">
        <f t="shared" si="27"/>
        <v>Ukanlos</v>
      </c>
      <c r="F775" s="36" t="str">
        <f>IFERROR(VLOOKUP($E775,'Status Thresholds'!$E:$AS,1,FALSE),"")</f>
        <v/>
      </c>
      <c r="G775" t="s">
        <v>21</v>
      </c>
      <c r="H775" s="55" t="str">
        <f t="shared" si="28"/>
        <v>UkanlosTriblast</v>
      </c>
      <c r="I775" s="50">
        <v>1</v>
      </c>
      <c r="J775" s="36">
        <v>2</v>
      </c>
      <c r="K775" s="36">
        <v>2</v>
      </c>
      <c r="L775" s="36">
        <v>2</v>
      </c>
      <c r="M775" s="36">
        <v>0</v>
      </c>
      <c r="N775" s="50">
        <v>0</v>
      </c>
      <c r="O775" s="36">
        <v>0</v>
      </c>
      <c r="P775" s="36">
        <v>0</v>
      </c>
      <c r="Q775" s="36">
        <v>0</v>
      </c>
      <c r="R775" s="36">
        <v>0</v>
      </c>
      <c r="S775" s="50">
        <v>0</v>
      </c>
      <c r="T775" s="36">
        <v>0</v>
      </c>
      <c r="U775" s="36">
        <v>0</v>
      </c>
      <c r="V775" s="36">
        <v>0</v>
      </c>
      <c r="W775" s="36">
        <v>0</v>
      </c>
      <c r="X775" s="50">
        <v>0</v>
      </c>
      <c r="Y775" s="36">
        <v>0</v>
      </c>
      <c r="Z775" s="36">
        <v>0</v>
      </c>
      <c r="AA775" s="36">
        <v>0</v>
      </c>
      <c r="AB775" s="36">
        <v>0</v>
      </c>
      <c r="AC775" s="50">
        <v>2</v>
      </c>
      <c r="AD775" s="36">
        <v>2</v>
      </c>
      <c r="AE775" s="36">
        <v>2</v>
      </c>
      <c r="AF775" s="36">
        <v>2</v>
      </c>
      <c r="AG775" s="36">
        <v>0</v>
      </c>
      <c r="AH775" s="50">
        <v>0</v>
      </c>
      <c r="AI775" s="36">
        <v>0</v>
      </c>
      <c r="AJ775" s="36">
        <v>0</v>
      </c>
      <c r="AK775" s="36">
        <v>0</v>
      </c>
      <c r="AL775" s="36">
        <v>0</v>
      </c>
      <c r="AM775" s="50">
        <v>0</v>
      </c>
      <c r="AN775" s="36">
        <v>0</v>
      </c>
      <c r="AO775" s="36">
        <v>0</v>
      </c>
      <c r="AP775" s="36">
        <v>0</v>
      </c>
      <c r="AQ775" s="36">
        <v>0</v>
      </c>
      <c r="AR775" s="50">
        <v>0</v>
      </c>
      <c r="AS775" s="36">
        <v>0</v>
      </c>
      <c r="AT775" s="36">
        <v>0</v>
      </c>
      <c r="AU775" s="36">
        <v>0</v>
      </c>
      <c r="AV775" s="36">
        <v>0</v>
      </c>
      <c r="AW775">
        <v>0</v>
      </c>
      <c r="AX775">
        <v>0</v>
      </c>
    </row>
    <row r="776" spans="1:50" x14ac:dyDescent="0.25">
      <c r="A776" s="36"/>
      <c r="B776" t="s">
        <v>119</v>
      </c>
      <c r="C776" s="36" t="str">
        <f>'Status Thresholds'!B767</f>
        <v>Ukanlos</v>
      </c>
      <c r="E776" s="36" t="str">
        <f t="shared" si="27"/>
        <v>Ukanlos</v>
      </c>
      <c r="F776" s="36" t="str">
        <f>IFERROR(VLOOKUP($E776,'Status Thresholds'!$E:$AS,1,FALSE),"")</f>
        <v/>
      </c>
      <c r="G776" t="s">
        <v>13</v>
      </c>
      <c r="H776" s="55" t="str">
        <f t="shared" si="28"/>
        <v>UkanlosCrag 3</v>
      </c>
      <c r="I776" s="50">
        <v>4</v>
      </c>
      <c r="J776" s="36">
        <v>4</v>
      </c>
      <c r="K776" s="36">
        <v>4</v>
      </c>
      <c r="L776" s="36">
        <v>4</v>
      </c>
      <c r="M776" s="36">
        <v>0</v>
      </c>
      <c r="N776" s="50">
        <v>0</v>
      </c>
      <c r="O776" s="36">
        <v>0</v>
      </c>
      <c r="P776" s="36">
        <v>0</v>
      </c>
      <c r="Q776" s="36">
        <v>0</v>
      </c>
      <c r="R776" s="36">
        <v>0</v>
      </c>
      <c r="S776" s="50">
        <v>0</v>
      </c>
      <c r="T776" s="36">
        <v>0</v>
      </c>
      <c r="U776" s="36">
        <v>0</v>
      </c>
      <c r="V776" s="36">
        <v>0</v>
      </c>
      <c r="W776" s="36">
        <v>0</v>
      </c>
      <c r="X776" s="50">
        <v>0</v>
      </c>
      <c r="Y776" s="36">
        <v>0</v>
      </c>
      <c r="Z776" s="36">
        <v>0</v>
      </c>
      <c r="AA776" s="36">
        <v>0</v>
      </c>
      <c r="AB776" s="36">
        <v>0</v>
      </c>
      <c r="AC776" s="50">
        <v>1</v>
      </c>
      <c r="AD776" s="36">
        <v>3</v>
      </c>
      <c r="AE776" s="36">
        <v>4</v>
      </c>
      <c r="AF776" s="36">
        <v>4</v>
      </c>
      <c r="AG776" s="36">
        <v>0</v>
      </c>
      <c r="AH776" s="50">
        <v>0</v>
      </c>
      <c r="AI776" s="36">
        <v>0</v>
      </c>
      <c r="AJ776" s="36">
        <v>0</v>
      </c>
      <c r="AK776" s="36">
        <v>0</v>
      </c>
      <c r="AL776" s="36">
        <v>0</v>
      </c>
      <c r="AM776" s="50">
        <v>0</v>
      </c>
      <c r="AN776" s="36">
        <v>0</v>
      </c>
      <c r="AO776" s="36">
        <v>0</v>
      </c>
      <c r="AP776" s="36">
        <v>0</v>
      </c>
      <c r="AQ776" s="36">
        <v>0</v>
      </c>
      <c r="AR776" s="50">
        <v>0</v>
      </c>
      <c r="AS776" s="36">
        <v>0</v>
      </c>
      <c r="AT776" s="36">
        <v>0</v>
      </c>
      <c r="AU776" s="36">
        <v>0</v>
      </c>
      <c r="AV776" s="36">
        <v>0</v>
      </c>
      <c r="AW776">
        <v>0</v>
      </c>
      <c r="AX776">
        <v>0</v>
      </c>
    </row>
    <row r="777" spans="1:50" x14ac:dyDescent="0.25">
      <c r="A777" s="36"/>
      <c r="B777" t="s">
        <v>119</v>
      </c>
      <c r="C777" s="36" t="str">
        <f>'Status Thresholds'!B768</f>
        <v>Ukanlos</v>
      </c>
      <c r="E777" s="36" t="str">
        <f t="shared" si="27"/>
        <v>Ukanlos</v>
      </c>
      <c r="F777" s="36" t="str">
        <f>IFERROR(VLOOKUP($E777,'Status Thresholds'!$E:$AS,1,FALSE),"")</f>
        <v/>
      </c>
      <c r="G777" t="s">
        <v>12</v>
      </c>
      <c r="H777" s="55" t="str">
        <f t="shared" si="28"/>
        <v>UkanlosCrag 2</v>
      </c>
      <c r="I777" s="50">
        <v>2</v>
      </c>
      <c r="J777" s="36">
        <v>1</v>
      </c>
      <c r="K777" s="36">
        <v>4</v>
      </c>
      <c r="L777" s="36">
        <v>4</v>
      </c>
      <c r="M777" s="36">
        <v>0</v>
      </c>
      <c r="N777" s="50">
        <v>0</v>
      </c>
      <c r="O777" s="36">
        <v>0</v>
      </c>
      <c r="P777" s="36">
        <v>0</v>
      </c>
      <c r="Q777" s="36">
        <v>0</v>
      </c>
      <c r="R777" s="36">
        <v>0</v>
      </c>
      <c r="S777" s="50">
        <v>0</v>
      </c>
      <c r="T777" s="36">
        <v>0</v>
      </c>
      <c r="U777" s="36">
        <v>0</v>
      </c>
      <c r="V777" s="36">
        <v>0</v>
      </c>
      <c r="W777" s="36">
        <v>0</v>
      </c>
      <c r="X777" s="50">
        <v>0</v>
      </c>
      <c r="Y777" s="36">
        <v>0</v>
      </c>
      <c r="Z777" s="36">
        <v>0</v>
      </c>
      <c r="AA777" s="36">
        <v>0</v>
      </c>
      <c r="AB777" s="36">
        <v>0</v>
      </c>
      <c r="AC777" s="50">
        <v>1</v>
      </c>
      <c r="AD777" s="36">
        <v>4</v>
      </c>
      <c r="AE777" s="36">
        <v>4</v>
      </c>
      <c r="AF777" s="36">
        <v>4</v>
      </c>
      <c r="AG777" s="36">
        <v>0</v>
      </c>
      <c r="AH777" s="50">
        <v>0</v>
      </c>
      <c r="AI777" s="36">
        <v>0</v>
      </c>
      <c r="AJ777" s="36">
        <v>0</v>
      </c>
      <c r="AK777" s="36">
        <v>0</v>
      </c>
      <c r="AL777" s="36">
        <v>0</v>
      </c>
      <c r="AM777" s="50">
        <v>0</v>
      </c>
      <c r="AN777" s="36">
        <v>0</v>
      </c>
      <c r="AO777" s="36">
        <v>0</v>
      </c>
      <c r="AP777" s="36">
        <v>0</v>
      </c>
      <c r="AQ777" s="36">
        <v>0</v>
      </c>
      <c r="AR777" s="50">
        <v>0</v>
      </c>
      <c r="AS777" s="36">
        <v>0</v>
      </c>
      <c r="AT777" s="36">
        <v>0</v>
      </c>
      <c r="AU777" s="36">
        <v>0</v>
      </c>
      <c r="AV777" s="36">
        <v>0</v>
      </c>
      <c r="AW777">
        <v>0</v>
      </c>
      <c r="AX777">
        <v>0</v>
      </c>
    </row>
    <row r="778" spans="1:50" x14ac:dyDescent="0.25">
      <c r="A778" s="36"/>
      <c r="B778" t="s">
        <v>119</v>
      </c>
      <c r="C778" s="36" t="str">
        <f>'Status Thresholds'!B769</f>
        <v>Ukanlos</v>
      </c>
      <c r="E778" s="36" t="str">
        <f t="shared" si="27"/>
        <v>Ukanlos</v>
      </c>
      <c r="F778" s="36" t="str">
        <f>IFERROR(VLOOKUP($E778,'Status Thresholds'!$E:$AS,1,FALSE),"")</f>
        <v/>
      </c>
      <c r="G778" t="s">
        <v>11</v>
      </c>
      <c r="H778" s="55" t="str">
        <f t="shared" si="28"/>
        <v>UkanlosCrag 1</v>
      </c>
      <c r="I778" s="50">
        <v>1</v>
      </c>
      <c r="J778" s="36">
        <v>7</v>
      </c>
      <c r="K778" s="36">
        <v>8</v>
      </c>
      <c r="L778" s="36">
        <v>8</v>
      </c>
      <c r="M778" s="36">
        <v>0</v>
      </c>
      <c r="N778" s="50">
        <v>0</v>
      </c>
      <c r="O778" s="36">
        <v>0</v>
      </c>
      <c r="P778" s="36">
        <v>0</v>
      </c>
      <c r="Q778" s="36">
        <v>0</v>
      </c>
      <c r="R778" s="36">
        <v>0</v>
      </c>
      <c r="S778" s="50">
        <v>0</v>
      </c>
      <c r="T778" s="36">
        <v>0</v>
      </c>
      <c r="U778" s="36">
        <v>0</v>
      </c>
      <c r="V778" s="36">
        <v>0</v>
      </c>
      <c r="W778" s="36">
        <v>0</v>
      </c>
      <c r="X778" s="50">
        <v>0</v>
      </c>
      <c r="Y778" s="36">
        <v>0</v>
      </c>
      <c r="Z778" s="36">
        <v>0</v>
      </c>
      <c r="AA778" s="36">
        <v>0</v>
      </c>
      <c r="AB778" s="36">
        <v>0</v>
      </c>
      <c r="AC778" s="50">
        <v>6</v>
      </c>
      <c r="AD778" s="36">
        <v>8</v>
      </c>
      <c r="AE778" s="36">
        <v>8</v>
      </c>
      <c r="AF778" s="36">
        <v>8</v>
      </c>
      <c r="AG778" s="36">
        <v>0</v>
      </c>
      <c r="AH778" s="50">
        <v>0</v>
      </c>
      <c r="AI778" s="36">
        <v>0</v>
      </c>
      <c r="AJ778" s="36">
        <v>0</v>
      </c>
      <c r="AK778" s="36">
        <v>0</v>
      </c>
      <c r="AL778" s="36">
        <v>0</v>
      </c>
      <c r="AM778" s="50">
        <v>0</v>
      </c>
      <c r="AN778" s="36">
        <v>0</v>
      </c>
      <c r="AO778" s="36">
        <v>0</v>
      </c>
      <c r="AP778" s="36">
        <v>0</v>
      </c>
      <c r="AQ778" s="36">
        <v>0</v>
      </c>
      <c r="AR778" s="50">
        <v>0</v>
      </c>
      <c r="AS778" s="36">
        <v>0</v>
      </c>
      <c r="AT778" s="36">
        <v>0</v>
      </c>
      <c r="AU778" s="36">
        <v>0</v>
      </c>
      <c r="AV778" s="36">
        <v>1</v>
      </c>
      <c r="AW778">
        <v>0</v>
      </c>
      <c r="AX778">
        <v>0</v>
      </c>
    </row>
    <row r="779" spans="1:50" x14ac:dyDescent="0.25">
      <c r="A779" s="36"/>
      <c r="B779" t="s">
        <v>121</v>
      </c>
      <c r="C779" s="36" t="str">
        <f>'Status Thresholds'!B770</f>
        <v>Uragaan</v>
      </c>
      <c r="D779" t="s">
        <v>14</v>
      </c>
      <c r="E779" s="36" t="str">
        <f t="shared" si="27"/>
        <v>UragaanKO</v>
      </c>
      <c r="F779" s="36" t="str">
        <f>IFERROR(VLOOKUP($E779,'Status Thresholds'!$E:$AS,1,FALSE),"")</f>
        <v>UragaanKO</v>
      </c>
      <c r="H779" s="55" t="str">
        <f t="shared" si="28"/>
        <v>UragaanKO</v>
      </c>
      <c r="I779" s="50">
        <f>VLOOKUP($F779,'Status Thresholds'!$E:$AS,2,FALSE)</f>
        <v>233</v>
      </c>
      <c r="J779" s="36">
        <f>VLOOKUP($F779,'Status Thresholds'!$E:$AS,3,FALSE)</f>
        <v>467</v>
      </c>
      <c r="K779" s="36">
        <f>VLOOKUP($F779,'Status Thresholds'!$E:$AS,4,FALSE)</f>
        <v>701</v>
      </c>
      <c r="L779" s="36">
        <f>VLOOKUP($F779,'Status Thresholds'!$E:$AS,5,FALSE)</f>
        <v>935</v>
      </c>
      <c r="M779" s="36">
        <f>VLOOKUP($F779,'Status Thresholds'!$E:$AS,6,FALSE)</f>
        <v>0</v>
      </c>
      <c r="N779" s="50">
        <f>VLOOKUP($F779,'Status Thresholds'!$E:$AS,7,FALSE)</f>
        <v>233</v>
      </c>
      <c r="O779" s="36">
        <f>VLOOKUP($F779,'Status Thresholds'!$E:$AS,8,FALSE)</f>
        <v>467</v>
      </c>
      <c r="P779" s="36">
        <f>VLOOKUP($F779,'Status Thresholds'!$E:$AS,9,FALSE)</f>
        <v>701</v>
      </c>
      <c r="Q779" s="36">
        <f>VLOOKUP($F779,'Status Thresholds'!$E:$AS,10,FALSE)</f>
        <v>935</v>
      </c>
      <c r="R779" s="36">
        <f>VLOOKUP($F779,'Status Thresholds'!$E:$AS,11,FALSE)</f>
        <v>0</v>
      </c>
      <c r="S779" s="50">
        <f>VLOOKUP($F779,'Status Thresholds'!$E:$AS,12,FALSE)</f>
        <v>233</v>
      </c>
      <c r="T779" s="36">
        <f>VLOOKUP($F779,'Status Thresholds'!$E:$AS,13,FALSE)</f>
        <v>467</v>
      </c>
      <c r="U779" s="36">
        <f>VLOOKUP($F779,'Status Thresholds'!$E:$AS,14,FALSE)</f>
        <v>701</v>
      </c>
      <c r="V779" s="36">
        <f>VLOOKUP($F779,'Status Thresholds'!$E:$AS,15,FALSE)</f>
        <v>935</v>
      </c>
      <c r="W779" s="36">
        <f>VLOOKUP($F779,'Status Thresholds'!$E:$AS,16,FALSE)</f>
        <v>0</v>
      </c>
      <c r="X779" s="50">
        <f>VLOOKUP($F779,'Status Thresholds'!$E:$AS,17,FALSE)</f>
        <v>0</v>
      </c>
      <c r="Y779" s="36">
        <f>VLOOKUP($F779,'Status Thresholds'!$E:$AS,18,FALSE)</f>
        <v>0</v>
      </c>
      <c r="Z779" s="36">
        <f>VLOOKUP($F779,'Status Thresholds'!$E:$AS,19,FALSE)</f>
        <v>0</v>
      </c>
      <c r="AA779" s="36">
        <f>VLOOKUP($F779,'Status Thresholds'!$E:$AS,20,FALSE)</f>
        <v>0</v>
      </c>
      <c r="AB779" s="36">
        <f>VLOOKUP($F779,'Status Thresholds'!$E:$AS,21,FALSE)</f>
        <v>0</v>
      </c>
      <c r="AC779" s="50">
        <f>VLOOKUP($F779,'Status Thresholds'!$E:$AS,22,FALSE)</f>
        <v>270</v>
      </c>
      <c r="AD779" s="36">
        <f>VLOOKUP($F779,'Status Thresholds'!$E:$AS,23,FALSE)</f>
        <v>540</v>
      </c>
      <c r="AE779" s="36">
        <f>VLOOKUP($F779,'Status Thresholds'!$E:$AS,24,FALSE)</f>
        <v>810</v>
      </c>
      <c r="AF779" s="36">
        <f>VLOOKUP($F779,'Status Thresholds'!$E:$AS,25,FALSE)</f>
        <v>1080</v>
      </c>
      <c r="AG779" s="36">
        <f>VLOOKUP($F779,'Status Thresholds'!$E:$AS,26,FALSE)</f>
        <v>0</v>
      </c>
      <c r="AH779" s="50">
        <f>VLOOKUP($F779,'Status Thresholds'!$E:$AS,27,FALSE)</f>
        <v>0</v>
      </c>
      <c r="AI779" s="36">
        <f>VLOOKUP($F779,'Status Thresholds'!$E:$AS,28,FALSE)</f>
        <v>0</v>
      </c>
      <c r="AJ779" s="36">
        <f>VLOOKUP($F779,'Status Thresholds'!$E:$AS,29,FALSE)</f>
        <v>0</v>
      </c>
      <c r="AK779" s="36">
        <f>VLOOKUP($F779,'Status Thresholds'!$E:$AS,30,FALSE)</f>
        <v>0</v>
      </c>
      <c r="AL779" s="36">
        <f>VLOOKUP($F779,'Status Thresholds'!$E:$AS,31,FALSE)</f>
        <v>0</v>
      </c>
      <c r="AM779" s="50">
        <f>VLOOKUP($F779,'Status Thresholds'!$E:$AS,32,FALSE)</f>
        <v>360</v>
      </c>
      <c r="AN779" s="36">
        <f>VLOOKUP($F779,'Status Thresholds'!$E:$AS,33,FALSE)</f>
        <v>730</v>
      </c>
      <c r="AO779" s="36">
        <f>VLOOKUP($F779,'Status Thresholds'!$E:$AS,34,FALSE)</f>
        <v>1100</v>
      </c>
      <c r="AP779" s="36">
        <f>VLOOKUP($F779,'Status Thresholds'!$E:$AS,35,FALSE)</f>
        <v>1470</v>
      </c>
      <c r="AQ779" s="36">
        <f>VLOOKUP($F779,'Status Thresholds'!$E:$AS,36,FALSE)</f>
        <v>0</v>
      </c>
      <c r="AR779" s="50">
        <f>VLOOKUP($F779,'Status Thresholds'!$E:$AS,37,FALSE)</f>
        <v>0</v>
      </c>
      <c r="AS779" s="36">
        <f>VLOOKUP($F779,'Status Thresholds'!$E:$AS,38,FALSE)</f>
        <v>0</v>
      </c>
      <c r="AT779" s="36">
        <f>VLOOKUP($F779,'Status Thresholds'!$E:$AS,39,FALSE)</f>
        <v>0</v>
      </c>
      <c r="AU779" s="36">
        <f>VLOOKUP($F779,'Status Thresholds'!$E:$AS,40,FALSE)</f>
        <v>0</v>
      </c>
      <c r="AV779" s="36">
        <f>VLOOKUP($F779,'Status Thresholds'!$E:$AS,41,FALSE)</f>
        <v>15</v>
      </c>
      <c r="AW779">
        <v>0</v>
      </c>
      <c r="AX779">
        <v>0</v>
      </c>
    </row>
    <row r="780" spans="1:50" x14ac:dyDescent="0.25">
      <c r="A780" s="36"/>
      <c r="B780" t="s">
        <v>120</v>
      </c>
      <c r="C780" s="36" t="str">
        <f>'Status Thresholds'!B771</f>
        <v>Uragaan</v>
      </c>
      <c r="E780" s="36" t="str">
        <f t="shared" si="27"/>
        <v>Uragaan</v>
      </c>
      <c r="F780" s="36" t="str">
        <f>IFERROR(VLOOKUP($E780,'Status Thresholds'!$E:$AS,1,FALSE),"")</f>
        <v/>
      </c>
      <c r="G780" t="s">
        <v>21</v>
      </c>
      <c r="H780" s="55" t="str">
        <f t="shared" si="28"/>
        <v>UragaanTriblast</v>
      </c>
      <c r="I780" s="50">
        <v>0</v>
      </c>
      <c r="J780" s="36">
        <v>2</v>
      </c>
      <c r="K780" s="36">
        <v>2</v>
      </c>
      <c r="L780" s="36">
        <v>2</v>
      </c>
      <c r="M780" s="36">
        <v>0</v>
      </c>
      <c r="N780" s="50">
        <v>0</v>
      </c>
      <c r="O780" s="36">
        <v>2</v>
      </c>
      <c r="P780" s="36">
        <v>2</v>
      </c>
      <c r="Q780" s="36">
        <v>2</v>
      </c>
      <c r="R780" s="36">
        <v>0</v>
      </c>
      <c r="S780" s="50">
        <v>0</v>
      </c>
      <c r="T780" s="36">
        <v>2</v>
      </c>
      <c r="U780" s="36">
        <v>2</v>
      </c>
      <c r="V780" s="36">
        <v>2</v>
      </c>
      <c r="W780" s="36">
        <v>0</v>
      </c>
      <c r="X780" s="50">
        <v>0</v>
      </c>
      <c r="Y780" s="36">
        <v>0</v>
      </c>
      <c r="Z780" s="36">
        <v>0</v>
      </c>
      <c r="AA780" s="36">
        <v>0</v>
      </c>
      <c r="AB780" s="36">
        <v>0</v>
      </c>
      <c r="AC780" s="50">
        <v>2</v>
      </c>
      <c r="AD780" s="36">
        <v>2</v>
      </c>
      <c r="AE780" s="36">
        <v>2</v>
      </c>
      <c r="AF780" s="36">
        <v>2</v>
      </c>
      <c r="AG780" s="36">
        <v>0</v>
      </c>
      <c r="AH780" s="50">
        <v>0</v>
      </c>
      <c r="AI780" s="36">
        <v>0</v>
      </c>
      <c r="AJ780" s="36">
        <v>0</v>
      </c>
      <c r="AK780" s="36">
        <v>0</v>
      </c>
      <c r="AL780" s="36">
        <v>0</v>
      </c>
      <c r="AM780" s="50">
        <v>2</v>
      </c>
      <c r="AN780" s="36">
        <v>2</v>
      </c>
      <c r="AO780" s="36">
        <v>2</v>
      </c>
      <c r="AP780" s="36">
        <v>2</v>
      </c>
      <c r="AQ780" s="36">
        <v>0</v>
      </c>
      <c r="AR780" s="50">
        <v>0</v>
      </c>
      <c r="AS780" s="36">
        <v>0</v>
      </c>
      <c r="AT780" s="36">
        <v>0</v>
      </c>
      <c r="AU780" s="36">
        <v>0</v>
      </c>
      <c r="AV780" s="36">
        <v>0</v>
      </c>
      <c r="AW780">
        <v>0</v>
      </c>
    </row>
    <row r="781" spans="1:50" x14ac:dyDescent="0.25">
      <c r="A781" s="36"/>
      <c r="B781" t="s">
        <v>120</v>
      </c>
      <c r="C781" s="36" t="str">
        <f>'Status Thresholds'!B772</f>
        <v>Uragaan</v>
      </c>
      <c r="E781" s="36" t="str">
        <f t="shared" si="27"/>
        <v>Uragaan</v>
      </c>
      <c r="F781" s="36" t="str">
        <f>IFERROR(VLOOKUP($E781,'Status Thresholds'!$E:$AS,1,FALSE),"")</f>
        <v/>
      </c>
      <c r="G781" t="s">
        <v>13</v>
      </c>
      <c r="H781" s="55" t="str">
        <f t="shared" si="28"/>
        <v>UragaanCrag 3</v>
      </c>
      <c r="I781" s="50">
        <v>4</v>
      </c>
      <c r="J781" s="36">
        <v>0</v>
      </c>
      <c r="K781" s="36">
        <v>4</v>
      </c>
      <c r="L781" s="36">
        <v>4</v>
      </c>
      <c r="M781" s="36">
        <v>0</v>
      </c>
      <c r="N781" s="50">
        <v>4</v>
      </c>
      <c r="O781" s="36">
        <v>0</v>
      </c>
      <c r="P781" s="36">
        <v>4</v>
      </c>
      <c r="Q781" s="36">
        <v>4</v>
      </c>
      <c r="R781" s="36">
        <v>0</v>
      </c>
      <c r="S781" s="50">
        <v>4</v>
      </c>
      <c r="T781" s="36">
        <v>0</v>
      </c>
      <c r="U781" s="36">
        <v>4</v>
      </c>
      <c r="V781" s="36">
        <v>4</v>
      </c>
      <c r="W781" s="36">
        <v>0</v>
      </c>
      <c r="X781" s="50">
        <v>0</v>
      </c>
      <c r="Y781" s="36">
        <v>0</v>
      </c>
      <c r="Z781" s="36">
        <v>0</v>
      </c>
      <c r="AA781" s="36">
        <v>0</v>
      </c>
      <c r="AB781" s="36">
        <v>0</v>
      </c>
      <c r="AC781" s="50">
        <v>3</v>
      </c>
      <c r="AD781" s="36">
        <v>3</v>
      </c>
      <c r="AE781" s="36">
        <v>4</v>
      </c>
      <c r="AF781" s="36">
        <v>4</v>
      </c>
      <c r="AG781" s="36">
        <v>0</v>
      </c>
      <c r="AH781" s="50">
        <v>0</v>
      </c>
      <c r="AI781" s="36">
        <v>0</v>
      </c>
      <c r="AJ781" s="36">
        <v>0</v>
      </c>
      <c r="AK781" s="36">
        <v>0</v>
      </c>
      <c r="AL781" s="36">
        <v>0</v>
      </c>
      <c r="AM781" s="50">
        <v>4</v>
      </c>
      <c r="AN781" s="36">
        <v>4</v>
      </c>
      <c r="AO781" s="36">
        <v>4</v>
      </c>
      <c r="AP781" s="36">
        <v>4</v>
      </c>
      <c r="AQ781" s="36">
        <v>0</v>
      </c>
      <c r="AR781" s="50">
        <v>0</v>
      </c>
      <c r="AS781" s="36">
        <v>0</v>
      </c>
      <c r="AT781" s="36">
        <v>0</v>
      </c>
      <c r="AU781" s="36">
        <v>0</v>
      </c>
      <c r="AV781" s="36">
        <v>0</v>
      </c>
      <c r="AW781">
        <v>0</v>
      </c>
      <c r="AX781">
        <v>0</v>
      </c>
    </row>
    <row r="782" spans="1:50" x14ac:dyDescent="0.25">
      <c r="A782" s="36"/>
      <c r="B782" t="s">
        <v>120</v>
      </c>
      <c r="C782" s="36" t="str">
        <f>'Status Thresholds'!B773</f>
        <v>Uragaan</v>
      </c>
      <c r="E782" s="36" t="str">
        <f t="shared" si="27"/>
        <v>Uragaan</v>
      </c>
      <c r="F782" s="36" t="str">
        <f>IFERROR(VLOOKUP($E782,'Status Thresholds'!$E:$AS,1,FALSE),"")</f>
        <v/>
      </c>
      <c r="G782" t="s">
        <v>12</v>
      </c>
      <c r="H782" s="55" t="str">
        <f t="shared" si="28"/>
        <v>UragaanCrag 2</v>
      </c>
      <c r="I782" s="50">
        <v>0</v>
      </c>
      <c r="J782" s="36">
        <v>4</v>
      </c>
      <c r="K782" s="36">
        <v>4</v>
      </c>
      <c r="L782" s="36">
        <v>4</v>
      </c>
      <c r="M782" s="36">
        <v>0</v>
      </c>
      <c r="N782" s="50">
        <v>0</v>
      </c>
      <c r="O782" s="36">
        <v>4</v>
      </c>
      <c r="P782" s="36">
        <v>4</v>
      </c>
      <c r="Q782" s="36">
        <v>4</v>
      </c>
      <c r="R782" s="36">
        <v>0</v>
      </c>
      <c r="S782" s="50">
        <v>0</v>
      </c>
      <c r="T782" s="36">
        <v>4</v>
      </c>
      <c r="U782" s="36">
        <v>4</v>
      </c>
      <c r="V782" s="36">
        <v>4</v>
      </c>
      <c r="W782" s="36">
        <v>0</v>
      </c>
      <c r="X782" s="50">
        <v>0</v>
      </c>
      <c r="Y782" s="36">
        <v>0</v>
      </c>
      <c r="Z782" s="36">
        <v>0</v>
      </c>
      <c r="AA782" s="36">
        <v>0</v>
      </c>
      <c r="AB782" s="36">
        <v>0</v>
      </c>
      <c r="AC782" s="50">
        <v>0</v>
      </c>
      <c r="AD782" s="36">
        <v>4</v>
      </c>
      <c r="AE782" s="36">
        <v>4</v>
      </c>
      <c r="AF782" s="36">
        <v>4</v>
      </c>
      <c r="AG782" s="36">
        <v>0</v>
      </c>
      <c r="AH782" s="50">
        <v>0</v>
      </c>
      <c r="AI782" s="36">
        <v>0</v>
      </c>
      <c r="AJ782" s="36">
        <v>0</v>
      </c>
      <c r="AK782" s="36">
        <v>0</v>
      </c>
      <c r="AL782" s="36">
        <v>0</v>
      </c>
      <c r="AM782" s="50">
        <v>0</v>
      </c>
      <c r="AN782" s="36">
        <v>4</v>
      </c>
      <c r="AO782" s="36">
        <v>4</v>
      </c>
      <c r="AP782" s="36">
        <v>4</v>
      </c>
      <c r="AQ782" s="36">
        <v>0</v>
      </c>
      <c r="AR782" s="50">
        <v>0</v>
      </c>
      <c r="AS782" s="36">
        <v>0</v>
      </c>
      <c r="AT782" s="36">
        <v>0</v>
      </c>
      <c r="AU782" s="36">
        <v>0</v>
      </c>
      <c r="AV782" s="36">
        <v>0</v>
      </c>
      <c r="AW782">
        <v>0</v>
      </c>
      <c r="AX782">
        <v>0</v>
      </c>
    </row>
    <row r="783" spans="1:50" x14ac:dyDescent="0.25">
      <c r="A783" s="36"/>
      <c r="B783" t="s">
        <v>120</v>
      </c>
      <c r="C783" s="36" t="str">
        <f>'Status Thresholds'!B774</f>
        <v>Uragaan</v>
      </c>
      <c r="E783" s="36" t="str">
        <f t="shared" si="27"/>
        <v>Uragaan</v>
      </c>
      <c r="F783" s="36" t="str">
        <f>IFERROR(VLOOKUP($E783,'Status Thresholds'!$E:$AS,1,FALSE),"")</f>
        <v/>
      </c>
      <c r="G783" t="s">
        <v>11</v>
      </c>
      <c r="H783" s="55" t="str">
        <f t="shared" si="28"/>
        <v>UragaanCrag 1</v>
      </c>
      <c r="I783" s="50">
        <v>3</v>
      </c>
      <c r="J783" s="36">
        <v>8</v>
      </c>
      <c r="K783" s="36">
        <v>8</v>
      </c>
      <c r="L783" s="36">
        <v>8</v>
      </c>
      <c r="M783" s="36">
        <v>0</v>
      </c>
      <c r="N783" s="50">
        <v>3</v>
      </c>
      <c r="O783" s="36">
        <v>8</v>
      </c>
      <c r="P783" s="36">
        <v>8</v>
      </c>
      <c r="Q783" s="36">
        <v>8</v>
      </c>
      <c r="R783" s="36">
        <v>0</v>
      </c>
      <c r="S783" s="50">
        <v>3</v>
      </c>
      <c r="T783" s="36">
        <v>8</v>
      </c>
      <c r="U783" s="36">
        <v>8</v>
      </c>
      <c r="V783" s="36">
        <v>8</v>
      </c>
      <c r="W783" s="36">
        <v>0</v>
      </c>
      <c r="X783" s="50">
        <v>0</v>
      </c>
      <c r="Y783" s="36">
        <v>0</v>
      </c>
      <c r="Z783" s="36">
        <v>0</v>
      </c>
      <c r="AA783" s="36">
        <v>0</v>
      </c>
      <c r="AB783" s="36">
        <v>0</v>
      </c>
      <c r="AC783" s="50">
        <v>0</v>
      </c>
      <c r="AD783" s="36">
        <v>6</v>
      </c>
      <c r="AE783" s="36">
        <v>8</v>
      </c>
      <c r="AF783" s="36">
        <v>8</v>
      </c>
      <c r="AG783" s="36">
        <v>0</v>
      </c>
      <c r="AH783" s="50">
        <v>0</v>
      </c>
      <c r="AI783" s="36">
        <v>0</v>
      </c>
      <c r="AJ783" s="36">
        <v>0</v>
      </c>
      <c r="AK783" s="36">
        <v>0</v>
      </c>
      <c r="AL783" s="36">
        <v>0</v>
      </c>
      <c r="AM783" s="50">
        <v>2</v>
      </c>
      <c r="AN783" s="36">
        <v>8</v>
      </c>
      <c r="AO783" s="36">
        <v>8</v>
      </c>
      <c r="AP783" s="36">
        <v>8</v>
      </c>
      <c r="AQ783" s="36">
        <v>0</v>
      </c>
      <c r="AR783" s="50">
        <v>0</v>
      </c>
      <c r="AS783" s="36">
        <v>0</v>
      </c>
      <c r="AT783" s="36">
        <v>0</v>
      </c>
      <c r="AU783" s="36">
        <v>0</v>
      </c>
      <c r="AV783" s="36">
        <v>1</v>
      </c>
      <c r="AW783">
        <v>0</v>
      </c>
      <c r="AX783">
        <v>0</v>
      </c>
    </row>
    <row r="784" spans="1:50" x14ac:dyDescent="0.25">
      <c r="A784" s="36"/>
      <c r="B784" t="s">
        <v>119</v>
      </c>
      <c r="C784" s="36" t="str">
        <f>'Status Thresholds'!B775</f>
        <v>Uragaan</v>
      </c>
      <c r="E784" s="36" t="str">
        <f t="shared" si="27"/>
        <v>Uragaan</v>
      </c>
      <c r="F784" s="36" t="str">
        <f>IFERROR(VLOOKUP($E784,'Status Thresholds'!$E:$AS,1,FALSE),"")</f>
        <v/>
      </c>
      <c r="G784" t="s">
        <v>21</v>
      </c>
      <c r="H784" s="55" t="str">
        <f t="shared" si="28"/>
        <v>UragaanTriblast</v>
      </c>
      <c r="I784" s="50">
        <v>2</v>
      </c>
      <c r="J784" s="36">
        <v>2</v>
      </c>
      <c r="K784" s="36">
        <v>2</v>
      </c>
      <c r="L784" s="36">
        <v>2</v>
      </c>
      <c r="M784" s="36">
        <v>0</v>
      </c>
      <c r="N784" s="50">
        <v>2</v>
      </c>
      <c r="O784" s="36">
        <v>2</v>
      </c>
      <c r="P784" s="36">
        <v>2</v>
      </c>
      <c r="Q784" s="36">
        <v>2</v>
      </c>
      <c r="R784" s="36">
        <v>0</v>
      </c>
      <c r="S784" s="50">
        <v>2</v>
      </c>
      <c r="T784" s="36">
        <v>2</v>
      </c>
      <c r="U784" s="36">
        <v>2</v>
      </c>
      <c r="V784" s="36">
        <v>2</v>
      </c>
      <c r="W784" s="36">
        <v>0</v>
      </c>
      <c r="X784" s="50">
        <v>0</v>
      </c>
      <c r="Y784" s="36">
        <v>0</v>
      </c>
      <c r="Z784" s="36">
        <v>0</v>
      </c>
      <c r="AA784" s="36">
        <v>0</v>
      </c>
      <c r="AB784" s="36">
        <v>0</v>
      </c>
      <c r="AC784" s="50">
        <v>2</v>
      </c>
      <c r="AD784" s="36">
        <v>2</v>
      </c>
      <c r="AE784" s="36">
        <v>2</v>
      </c>
      <c r="AF784" s="36">
        <v>2</v>
      </c>
      <c r="AG784" s="36">
        <v>0</v>
      </c>
      <c r="AH784" s="50">
        <v>0</v>
      </c>
      <c r="AI784" s="36">
        <v>0</v>
      </c>
      <c r="AJ784" s="36">
        <v>0</v>
      </c>
      <c r="AK784" s="36">
        <v>0</v>
      </c>
      <c r="AL784" s="36">
        <v>0</v>
      </c>
      <c r="AM784" s="50">
        <v>0</v>
      </c>
      <c r="AN784" s="36">
        <v>2</v>
      </c>
      <c r="AO784" s="36">
        <v>2</v>
      </c>
      <c r="AP784" s="36">
        <v>2</v>
      </c>
      <c r="AQ784" s="36">
        <v>0</v>
      </c>
      <c r="AR784" s="50">
        <v>0</v>
      </c>
      <c r="AS784" s="36">
        <v>0</v>
      </c>
      <c r="AT784" s="36">
        <v>0</v>
      </c>
      <c r="AU784" s="36">
        <v>0</v>
      </c>
      <c r="AV784" s="36">
        <v>0</v>
      </c>
      <c r="AW784">
        <v>0</v>
      </c>
      <c r="AX784">
        <v>0</v>
      </c>
    </row>
    <row r="785" spans="1:50" x14ac:dyDescent="0.25">
      <c r="A785" s="36"/>
      <c r="B785" t="s">
        <v>119</v>
      </c>
      <c r="C785" s="36" t="str">
        <f>'Status Thresholds'!B776</f>
        <v>Uragaan</v>
      </c>
      <c r="E785" s="36" t="str">
        <f t="shared" si="27"/>
        <v>Uragaan</v>
      </c>
      <c r="F785" s="36" t="str">
        <f>IFERROR(VLOOKUP($E785,'Status Thresholds'!$E:$AS,1,FALSE),"")</f>
        <v/>
      </c>
      <c r="G785" t="s">
        <v>13</v>
      </c>
      <c r="H785" s="55" t="str">
        <f t="shared" si="28"/>
        <v>UragaanCrag 3</v>
      </c>
      <c r="I785" s="50">
        <v>1</v>
      </c>
      <c r="J785" s="36">
        <v>1</v>
      </c>
      <c r="K785" s="36">
        <v>4</v>
      </c>
      <c r="L785" s="36">
        <v>4</v>
      </c>
      <c r="M785" s="36">
        <v>0</v>
      </c>
      <c r="N785" s="50">
        <v>1</v>
      </c>
      <c r="O785" s="36">
        <v>1</v>
      </c>
      <c r="P785" s="36">
        <v>4</v>
      </c>
      <c r="Q785" s="36">
        <v>4</v>
      </c>
      <c r="R785" s="36">
        <v>0</v>
      </c>
      <c r="S785" s="50">
        <v>1</v>
      </c>
      <c r="T785" s="36">
        <v>1</v>
      </c>
      <c r="U785" s="36">
        <v>4</v>
      </c>
      <c r="V785" s="36">
        <v>4</v>
      </c>
      <c r="W785" s="36">
        <v>0</v>
      </c>
      <c r="X785" s="50">
        <v>0</v>
      </c>
      <c r="Y785" s="36">
        <v>0</v>
      </c>
      <c r="Z785" s="36">
        <v>0</v>
      </c>
      <c r="AA785" s="36">
        <v>0</v>
      </c>
      <c r="AB785" s="36">
        <v>0</v>
      </c>
      <c r="AC785" s="50">
        <v>0</v>
      </c>
      <c r="AD785" s="36">
        <v>3</v>
      </c>
      <c r="AE785" s="36">
        <v>4</v>
      </c>
      <c r="AF785" s="36">
        <v>4</v>
      </c>
      <c r="AG785" s="36">
        <v>0</v>
      </c>
      <c r="AH785" s="50">
        <v>0</v>
      </c>
      <c r="AI785" s="36">
        <v>0</v>
      </c>
      <c r="AJ785" s="36">
        <v>0</v>
      </c>
      <c r="AK785" s="36">
        <v>0</v>
      </c>
      <c r="AL785" s="36">
        <v>0</v>
      </c>
      <c r="AM785" s="50">
        <v>3</v>
      </c>
      <c r="AN785" s="36">
        <v>4</v>
      </c>
      <c r="AO785" s="36">
        <v>4</v>
      </c>
      <c r="AP785" s="36">
        <v>4</v>
      </c>
      <c r="AQ785" s="36">
        <v>0</v>
      </c>
      <c r="AR785" s="50">
        <v>0</v>
      </c>
      <c r="AS785" s="36">
        <v>0</v>
      </c>
      <c r="AT785" s="36">
        <v>0</v>
      </c>
      <c r="AU785" s="36">
        <v>0</v>
      </c>
      <c r="AV785" s="36">
        <v>0</v>
      </c>
      <c r="AW785">
        <v>0</v>
      </c>
      <c r="AX785">
        <v>0</v>
      </c>
    </row>
    <row r="786" spans="1:50" x14ac:dyDescent="0.25">
      <c r="A786" s="36"/>
      <c r="B786" t="s">
        <v>119</v>
      </c>
      <c r="C786" s="36" t="str">
        <f>'Status Thresholds'!B777</f>
        <v>Uragaan</v>
      </c>
      <c r="E786" s="36" t="str">
        <f t="shared" si="27"/>
        <v>Uragaan</v>
      </c>
      <c r="F786" s="36" t="str">
        <f>IFERROR(VLOOKUP($E786,'Status Thresholds'!$E:$AS,1,FALSE),"")</f>
        <v/>
      </c>
      <c r="G786" t="s">
        <v>12</v>
      </c>
      <c r="H786" s="55" t="str">
        <f t="shared" si="28"/>
        <v>UragaanCrag 2</v>
      </c>
      <c r="I786" s="50">
        <v>0</v>
      </c>
      <c r="J786" s="36">
        <v>3</v>
      </c>
      <c r="K786" s="36">
        <v>4</v>
      </c>
      <c r="L786" s="36">
        <v>4</v>
      </c>
      <c r="M786" s="36">
        <v>0</v>
      </c>
      <c r="N786" s="50">
        <v>0</v>
      </c>
      <c r="O786" s="36">
        <v>3</v>
      </c>
      <c r="P786" s="36">
        <v>4</v>
      </c>
      <c r="Q786" s="36">
        <v>4</v>
      </c>
      <c r="R786" s="36">
        <v>0</v>
      </c>
      <c r="S786" s="50">
        <v>0</v>
      </c>
      <c r="T786" s="36">
        <v>3</v>
      </c>
      <c r="U786" s="36">
        <v>4</v>
      </c>
      <c r="V786" s="36">
        <v>4</v>
      </c>
      <c r="W786" s="36">
        <v>0</v>
      </c>
      <c r="X786" s="50">
        <v>0</v>
      </c>
      <c r="Y786" s="36">
        <v>0</v>
      </c>
      <c r="Z786" s="36">
        <v>0</v>
      </c>
      <c r="AA786" s="36">
        <v>0</v>
      </c>
      <c r="AB786" s="36">
        <v>0</v>
      </c>
      <c r="AC786" s="50">
        <v>0</v>
      </c>
      <c r="AD786" s="36">
        <v>1</v>
      </c>
      <c r="AE786" s="36">
        <v>4</v>
      </c>
      <c r="AF786" s="36">
        <v>4</v>
      </c>
      <c r="AG786" s="36">
        <v>0</v>
      </c>
      <c r="AH786" s="50">
        <v>0</v>
      </c>
      <c r="AI786" s="36">
        <v>0</v>
      </c>
      <c r="AJ786" s="36">
        <v>0</v>
      </c>
      <c r="AK786" s="36">
        <v>0</v>
      </c>
      <c r="AL786" s="36">
        <v>0</v>
      </c>
      <c r="AM786" s="50">
        <v>2</v>
      </c>
      <c r="AN786" s="36">
        <v>4</v>
      </c>
      <c r="AO786" s="36">
        <v>4</v>
      </c>
      <c r="AP786" s="36">
        <v>4</v>
      </c>
      <c r="AQ786" s="36">
        <v>0</v>
      </c>
      <c r="AR786" s="50">
        <v>0</v>
      </c>
      <c r="AS786" s="36">
        <v>0</v>
      </c>
      <c r="AT786" s="36">
        <v>0</v>
      </c>
      <c r="AU786" s="36">
        <v>0</v>
      </c>
      <c r="AV786" s="36">
        <v>0</v>
      </c>
      <c r="AW786">
        <v>0</v>
      </c>
      <c r="AX786">
        <v>0</v>
      </c>
    </row>
    <row r="787" spans="1:50" x14ac:dyDescent="0.25">
      <c r="A787" s="36"/>
      <c r="B787" t="s">
        <v>119</v>
      </c>
      <c r="C787" s="36" t="str">
        <f>'Status Thresholds'!B778</f>
        <v>Uragaan</v>
      </c>
      <c r="E787" s="36" t="str">
        <f t="shared" si="27"/>
        <v>Uragaan</v>
      </c>
      <c r="F787" s="36" t="str">
        <f>IFERROR(VLOOKUP($E787,'Status Thresholds'!$E:$AS,1,FALSE),"")</f>
        <v/>
      </c>
      <c r="G787" t="s">
        <v>11</v>
      </c>
      <c r="H787" s="55" t="str">
        <f t="shared" si="28"/>
        <v>UragaanCrag 1</v>
      </c>
      <c r="I787" s="50">
        <v>1</v>
      </c>
      <c r="J787" s="36">
        <v>6</v>
      </c>
      <c r="K787" s="36">
        <v>8</v>
      </c>
      <c r="L787" s="36">
        <v>8</v>
      </c>
      <c r="M787" s="36">
        <v>0</v>
      </c>
      <c r="N787" s="50">
        <v>1</v>
      </c>
      <c r="O787" s="36">
        <v>6</v>
      </c>
      <c r="P787" s="36">
        <v>8</v>
      </c>
      <c r="Q787" s="36">
        <v>8</v>
      </c>
      <c r="R787" s="36">
        <v>0</v>
      </c>
      <c r="S787" s="50">
        <v>1</v>
      </c>
      <c r="T787" s="36">
        <v>6</v>
      </c>
      <c r="U787" s="36">
        <v>8</v>
      </c>
      <c r="V787" s="36">
        <v>8</v>
      </c>
      <c r="W787" s="36">
        <v>0</v>
      </c>
      <c r="X787" s="50">
        <v>0</v>
      </c>
      <c r="Y787" s="36">
        <v>0</v>
      </c>
      <c r="Z787" s="36">
        <v>0</v>
      </c>
      <c r="AA787" s="36">
        <v>0</v>
      </c>
      <c r="AB787" s="36">
        <v>0</v>
      </c>
      <c r="AC787" s="50">
        <v>4</v>
      </c>
      <c r="AD787" s="36">
        <v>8</v>
      </c>
      <c r="AE787" s="36">
        <v>8</v>
      </c>
      <c r="AF787" s="36">
        <v>8</v>
      </c>
      <c r="AG787" s="36">
        <v>0</v>
      </c>
      <c r="AH787" s="50">
        <v>0</v>
      </c>
      <c r="AI787" s="36">
        <v>0</v>
      </c>
      <c r="AJ787" s="36">
        <v>0</v>
      </c>
      <c r="AK787" s="36">
        <v>0</v>
      </c>
      <c r="AL787" s="36">
        <v>0</v>
      </c>
      <c r="AM787" s="50">
        <v>6</v>
      </c>
      <c r="AN787" s="36">
        <v>8</v>
      </c>
      <c r="AO787" s="36">
        <v>8</v>
      </c>
      <c r="AP787" s="36">
        <v>8</v>
      </c>
      <c r="AQ787" s="36">
        <v>0</v>
      </c>
      <c r="AR787" s="50">
        <v>0</v>
      </c>
      <c r="AS787" s="36">
        <v>0</v>
      </c>
      <c r="AT787" s="36">
        <v>0</v>
      </c>
      <c r="AU787" s="36">
        <v>0</v>
      </c>
      <c r="AV787" s="36">
        <v>1</v>
      </c>
      <c r="AW787">
        <v>0</v>
      </c>
      <c r="AX787">
        <v>0</v>
      </c>
    </row>
    <row r="788" spans="1:50" x14ac:dyDescent="0.25">
      <c r="A788" s="36"/>
      <c r="B788" t="s">
        <v>121</v>
      </c>
      <c r="C788" s="36" t="str">
        <f>'Status Thresholds'!B779</f>
        <v>Valtrax</v>
      </c>
      <c r="D788" t="s">
        <v>14</v>
      </c>
      <c r="E788" s="36" t="str">
        <f t="shared" si="27"/>
        <v>ValtraxKO</v>
      </c>
      <c r="F788" s="36" t="str">
        <f>IFERROR(VLOOKUP($E788,'Status Thresholds'!$E:$AS,1,FALSE),"")</f>
        <v>ValtraxKO</v>
      </c>
      <c r="H788" s="55" t="str">
        <f t="shared" si="28"/>
        <v>ValtraxKO</v>
      </c>
      <c r="I788" s="50">
        <f>VLOOKUP($F788,'Status Thresholds'!$E:$AS,2,FALSE)</f>
        <v>0</v>
      </c>
      <c r="J788" s="36">
        <f>VLOOKUP($F788,'Status Thresholds'!$E:$AS,3,FALSE)</f>
        <v>0</v>
      </c>
      <c r="K788" s="36">
        <f>VLOOKUP($F788,'Status Thresholds'!$E:$AS,4,FALSE)</f>
        <v>0</v>
      </c>
      <c r="L788" s="36">
        <f>VLOOKUP($F788,'Status Thresholds'!$E:$AS,5,FALSE)</f>
        <v>0</v>
      </c>
      <c r="M788" s="36">
        <f>VLOOKUP($F788,'Status Thresholds'!$E:$AS,6,FALSE)</f>
        <v>0</v>
      </c>
      <c r="N788" s="50">
        <f>VLOOKUP($F788,'Status Thresholds'!$E:$AS,7,FALSE)</f>
        <v>0</v>
      </c>
      <c r="O788" s="36">
        <f>VLOOKUP($F788,'Status Thresholds'!$E:$AS,8,FALSE)</f>
        <v>0</v>
      </c>
      <c r="P788" s="36">
        <f>VLOOKUP($F788,'Status Thresholds'!$E:$AS,9,FALSE)</f>
        <v>0</v>
      </c>
      <c r="Q788" s="36">
        <f>VLOOKUP($F788,'Status Thresholds'!$E:$AS,10,FALSE)</f>
        <v>0</v>
      </c>
      <c r="R788" s="36">
        <f>VLOOKUP($F788,'Status Thresholds'!$E:$AS,11,FALSE)</f>
        <v>0</v>
      </c>
      <c r="S788" s="50">
        <f>VLOOKUP($F788,'Status Thresholds'!$E:$AS,12,FALSE)</f>
        <v>0</v>
      </c>
      <c r="T788" s="36">
        <f>VLOOKUP($F788,'Status Thresholds'!$E:$AS,13,FALSE)</f>
        <v>0</v>
      </c>
      <c r="U788" s="36">
        <f>VLOOKUP($F788,'Status Thresholds'!$E:$AS,14,FALSE)</f>
        <v>0</v>
      </c>
      <c r="V788" s="36">
        <f>VLOOKUP($F788,'Status Thresholds'!$E:$AS,15,FALSE)</f>
        <v>0</v>
      </c>
      <c r="W788" s="36">
        <f>VLOOKUP($F788,'Status Thresholds'!$E:$AS,16,FALSE)</f>
        <v>0</v>
      </c>
      <c r="X788" s="50">
        <f>VLOOKUP($F788,'Status Thresholds'!$E:$AS,17,FALSE)</f>
        <v>0</v>
      </c>
      <c r="Y788" s="36">
        <f>VLOOKUP($F788,'Status Thresholds'!$E:$AS,18,FALSE)</f>
        <v>0</v>
      </c>
      <c r="Z788" s="36">
        <f>VLOOKUP($F788,'Status Thresholds'!$E:$AS,19,FALSE)</f>
        <v>0</v>
      </c>
      <c r="AA788" s="36">
        <f>VLOOKUP($F788,'Status Thresholds'!$E:$AS,20,FALSE)</f>
        <v>0</v>
      </c>
      <c r="AB788" s="36">
        <f>VLOOKUP($F788,'Status Thresholds'!$E:$AS,21,FALSE)</f>
        <v>0</v>
      </c>
      <c r="AC788" s="50">
        <f>VLOOKUP($F788,'Status Thresholds'!$E:$AS,22,FALSE)</f>
        <v>270</v>
      </c>
      <c r="AD788" s="36">
        <f>VLOOKUP($F788,'Status Thresholds'!$E:$AS,23,FALSE)</f>
        <v>525</v>
      </c>
      <c r="AE788" s="36">
        <f>VLOOKUP($F788,'Status Thresholds'!$E:$AS,24,FALSE)</f>
        <v>780</v>
      </c>
      <c r="AF788" s="36">
        <f>VLOOKUP($F788,'Status Thresholds'!$E:$AS,25,FALSE)</f>
        <v>1035</v>
      </c>
      <c r="AG788" s="36">
        <f>VLOOKUP($F788,'Status Thresholds'!$E:$AS,26,FALSE)</f>
        <v>0</v>
      </c>
      <c r="AH788" s="50">
        <f>VLOOKUP($F788,'Status Thresholds'!$E:$AS,27,FALSE)</f>
        <v>0</v>
      </c>
      <c r="AI788" s="36">
        <f>VLOOKUP($F788,'Status Thresholds'!$E:$AS,28,FALSE)</f>
        <v>0</v>
      </c>
      <c r="AJ788" s="36">
        <f>VLOOKUP($F788,'Status Thresholds'!$E:$AS,29,FALSE)</f>
        <v>0</v>
      </c>
      <c r="AK788" s="36">
        <f>VLOOKUP($F788,'Status Thresholds'!$E:$AS,30,FALSE)</f>
        <v>0</v>
      </c>
      <c r="AL788" s="36">
        <f>VLOOKUP($F788,'Status Thresholds'!$E:$AS,31,FALSE)</f>
        <v>0</v>
      </c>
      <c r="AM788" s="50">
        <f>VLOOKUP($F788,'Status Thresholds'!$E:$AS,32,FALSE)</f>
        <v>0</v>
      </c>
      <c r="AN788" s="36">
        <f>VLOOKUP($F788,'Status Thresholds'!$E:$AS,33,FALSE)</f>
        <v>0</v>
      </c>
      <c r="AO788" s="36">
        <f>VLOOKUP($F788,'Status Thresholds'!$E:$AS,34,FALSE)</f>
        <v>0</v>
      </c>
      <c r="AP788" s="36">
        <f>VLOOKUP($F788,'Status Thresholds'!$E:$AS,35,FALSE)</f>
        <v>0</v>
      </c>
      <c r="AQ788" s="36">
        <f>VLOOKUP($F788,'Status Thresholds'!$E:$AS,36,FALSE)</f>
        <v>0</v>
      </c>
      <c r="AR788" s="50">
        <f>VLOOKUP($F788,'Status Thresholds'!$E:$AS,37,FALSE)</f>
        <v>0</v>
      </c>
      <c r="AS788" s="36">
        <f>VLOOKUP($F788,'Status Thresholds'!$E:$AS,38,FALSE)</f>
        <v>0</v>
      </c>
      <c r="AT788" s="36">
        <f>VLOOKUP($F788,'Status Thresholds'!$E:$AS,39,FALSE)</f>
        <v>0</v>
      </c>
      <c r="AU788" s="36">
        <f>VLOOKUP($F788,'Status Thresholds'!$E:$AS,40,FALSE)</f>
        <v>0</v>
      </c>
      <c r="AV788" s="36">
        <f>VLOOKUP($F788,'Status Thresholds'!$E:$AS,41,FALSE)</f>
        <v>10</v>
      </c>
      <c r="AW788">
        <v>0</v>
      </c>
      <c r="AX788">
        <v>0</v>
      </c>
    </row>
    <row r="789" spans="1:50" x14ac:dyDescent="0.25">
      <c r="A789" s="36"/>
      <c r="B789" t="s">
        <v>120</v>
      </c>
      <c r="C789" s="36" t="str">
        <f>'Status Thresholds'!B780</f>
        <v>Valtrax</v>
      </c>
      <c r="E789" s="36" t="str">
        <f t="shared" si="27"/>
        <v>Valtrax</v>
      </c>
      <c r="F789" s="36" t="str">
        <f>IFERROR(VLOOKUP($E789,'Status Thresholds'!$E:$AS,1,FALSE),"")</f>
        <v/>
      </c>
      <c r="G789" t="s">
        <v>21</v>
      </c>
      <c r="H789" s="55" t="str">
        <f t="shared" si="28"/>
        <v>ValtraxTriblast</v>
      </c>
      <c r="I789" s="50">
        <v>0</v>
      </c>
      <c r="J789" s="36">
        <v>0</v>
      </c>
      <c r="K789" s="36">
        <v>0</v>
      </c>
      <c r="L789" s="36">
        <v>0</v>
      </c>
      <c r="M789" s="36">
        <v>0</v>
      </c>
      <c r="N789" s="50">
        <v>0</v>
      </c>
      <c r="O789" s="36">
        <v>0</v>
      </c>
      <c r="P789" s="36">
        <v>0</v>
      </c>
      <c r="Q789" s="36">
        <v>0</v>
      </c>
      <c r="R789" s="36">
        <v>0</v>
      </c>
      <c r="S789" s="50">
        <v>0</v>
      </c>
      <c r="T789" s="36">
        <v>0</v>
      </c>
      <c r="U789" s="36">
        <v>0</v>
      </c>
      <c r="V789" s="36">
        <v>0</v>
      </c>
      <c r="W789" s="36">
        <v>0</v>
      </c>
      <c r="X789" s="50">
        <v>0</v>
      </c>
      <c r="Y789" s="36">
        <v>0</v>
      </c>
      <c r="Z789" s="36">
        <v>0</v>
      </c>
      <c r="AA789" s="36">
        <v>0</v>
      </c>
      <c r="AB789" s="36">
        <v>0</v>
      </c>
      <c r="AC789" s="50">
        <v>2</v>
      </c>
      <c r="AD789" s="36">
        <v>1</v>
      </c>
      <c r="AE789" s="36">
        <v>2</v>
      </c>
      <c r="AF789" s="36">
        <v>2</v>
      </c>
      <c r="AG789" s="36">
        <v>0</v>
      </c>
      <c r="AH789" s="50">
        <v>0</v>
      </c>
      <c r="AI789" s="36">
        <v>0</v>
      </c>
      <c r="AJ789" s="36">
        <v>0</v>
      </c>
      <c r="AK789" s="36">
        <v>0</v>
      </c>
      <c r="AL789" s="36">
        <v>0</v>
      </c>
      <c r="AM789" s="50">
        <v>0</v>
      </c>
      <c r="AN789" s="36">
        <v>0</v>
      </c>
      <c r="AO789" s="36">
        <v>0</v>
      </c>
      <c r="AP789" s="36">
        <v>0</v>
      </c>
      <c r="AQ789" s="36">
        <v>0</v>
      </c>
      <c r="AR789" s="50">
        <v>0</v>
      </c>
      <c r="AS789" s="36">
        <v>0</v>
      </c>
      <c r="AT789" s="36">
        <v>0</v>
      </c>
      <c r="AU789" s="36">
        <v>0</v>
      </c>
      <c r="AV789" s="36">
        <v>0</v>
      </c>
      <c r="AW789">
        <v>0</v>
      </c>
    </row>
    <row r="790" spans="1:50" x14ac:dyDescent="0.25">
      <c r="A790" s="36"/>
      <c r="B790" t="s">
        <v>120</v>
      </c>
      <c r="C790" s="36" t="str">
        <f>'Status Thresholds'!B781</f>
        <v>Valtrax</v>
      </c>
      <c r="E790" s="36" t="str">
        <f t="shared" si="27"/>
        <v>Valtrax</v>
      </c>
      <c r="F790" s="36" t="str">
        <f>IFERROR(VLOOKUP($E790,'Status Thresholds'!$E:$AS,1,FALSE),"")</f>
        <v/>
      </c>
      <c r="G790" t="s">
        <v>13</v>
      </c>
      <c r="H790" s="55" t="str">
        <f t="shared" si="28"/>
        <v>ValtraxCrag 3</v>
      </c>
      <c r="I790" s="50">
        <v>0</v>
      </c>
      <c r="J790" s="36">
        <v>0</v>
      </c>
      <c r="K790" s="36">
        <v>0</v>
      </c>
      <c r="L790" s="36">
        <v>0</v>
      </c>
      <c r="M790" s="36">
        <v>0</v>
      </c>
      <c r="N790" s="50">
        <v>0</v>
      </c>
      <c r="O790" s="36">
        <v>0</v>
      </c>
      <c r="P790" s="36">
        <v>0</v>
      </c>
      <c r="Q790" s="36">
        <v>0</v>
      </c>
      <c r="R790" s="36">
        <v>0</v>
      </c>
      <c r="S790" s="50">
        <v>0</v>
      </c>
      <c r="T790" s="36">
        <v>0</v>
      </c>
      <c r="U790" s="36">
        <v>0</v>
      </c>
      <c r="V790" s="36">
        <v>0</v>
      </c>
      <c r="W790" s="36">
        <v>0</v>
      </c>
      <c r="X790" s="50">
        <v>0</v>
      </c>
      <c r="Y790" s="36">
        <v>0</v>
      </c>
      <c r="Z790" s="36">
        <v>0</v>
      </c>
      <c r="AA790" s="36">
        <v>0</v>
      </c>
      <c r="AB790" s="36">
        <v>0</v>
      </c>
      <c r="AC790" s="50">
        <v>3</v>
      </c>
      <c r="AD790" s="36">
        <v>4</v>
      </c>
      <c r="AE790" s="36">
        <v>4</v>
      </c>
      <c r="AF790" s="36">
        <v>4</v>
      </c>
      <c r="AG790" s="36">
        <v>0</v>
      </c>
      <c r="AH790" s="50">
        <v>0</v>
      </c>
      <c r="AI790" s="36">
        <v>0</v>
      </c>
      <c r="AJ790" s="36">
        <v>0</v>
      </c>
      <c r="AK790" s="36">
        <v>0</v>
      </c>
      <c r="AL790" s="36">
        <v>0</v>
      </c>
      <c r="AM790" s="50">
        <v>0</v>
      </c>
      <c r="AN790" s="36">
        <v>0</v>
      </c>
      <c r="AO790" s="36">
        <v>0</v>
      </c>
      <c r="AP790" s="36">
        <v>0</v>
      </c>
      <c r="AQ790" s="36">
        <v>0</v>
      </c>
      <c r="AR790" s="50">
        <v>0</v>
      </c>
      <c r="AS790" s="36">
        <v>0</v>
      </c>
      <c r="AT790" s="36">
        <v>0</v>
      </c>
      <c r="AU790" s="36">
        <v>0</v>
      </c>
      <c r="AV790" s="36">
        <v>0</v>
      </c>
      <c r="AW790">
        <v>0</v>
      </c>
      <c r="AX790">
        <v>0</v>
      </c>
    </row>
    <row r="791" spans="1:50" x14ac:dyDescent="0.25">
      <c r="A791" s="36"/>
      <c r="B791" t="s">
        <v>120</v>
      </c>
      <c r="C791" s="36" t="str">
        <f>'Status Thresholds'!B782</f>
        <v>Valtrax</v>
      </c>
      <c r="E791" s="36" t="str">
        <f t="shared" si="27"/>
        <v>Valtrax</v>
      </c>
      <c r="F791" s="36" t="str">
        <f>IFERROR(VLOOKUP($E791,'Status Thresholds'!$E:$AS,1,FALSE),"")</f>
        <v/>
      </c>
      <c r="G791" t="s">
        <v>12</v>
      </c>
      <c r="H791" s="55" t="str">
        <f t="shared" si="28"/>
        <v>ValtraxCrag 2</v>
      </c>
      <c r="I791" s="50">
        <v>0</v>
      </c>
      <c r="J791" s="36">
        <v>0</v>
      </c>
      <c r="K791" s="36">
        <v>0</v>
      </c>
      <c r="L791" s="36">
        <v>0</v>
      </c>
      <c r="M791" s="36">
        <v>0</v>
      </c>
      <c r="N791" s="50">
        <v>0</v>
      </c>
      <c r="O791" s="36">
        <v>0</v>
      </c>
      <c r="P791" s="36">
        <v>0</v>
      </c>
      <c r="Q791" s="36">
        <v>0</v>
      </c>
      <c r="R791" s="36">
        <v>0</v>
      </c>
      <c r="S791" s="50">
        <v>0</v>
      </c>
      <c r="T791" s="36">
        <v>0</v>
      </c>
      <c r="U791" s="36">
        <v>0</v>
      </c>
      <c r="V791" s="36">
        <v>0</v>
      </c>
      <c r="W791" s="36">
        <v>0</v>
      </c>
      <c r="X791" s="50">
        <v>0</v>
      </c>
      <c r="Y791" s="36">
        <v>0</v>
      </c>
      <c r="Z791" s="36">
        <v>0</v>
      </c>
      <c r="AA791" s="36">
        <v>0</v>
      </c>
      <c r="AB791" s="36">
        <v>0</v>
      </c>
      <c r="AC791" s="50">
        <v>0</v>
      </c>
      <c r="AD791" s="36">
        <v>3</v>
      </c>
      <c r="AE791" s="36">
        <v>4</v>
      </c>
      <c r="AF791" s="36">
        <v>4</v>
      </c>
      <c r="AG791" s="36">
        <v>0</v>
      </c>
      <c r="AH791" s="50">
        <v>0</v>
      </c>
      <c r="AI791" s="36">
        <v>0</v>
      </c>
      <c r="AJ791" s="36">
        <v>0</v>
      </c>
      <c r="AK791" s="36">
        <v>0</v>
      </c>
      <c r="AL791" s="36">
        <v>0</v>
      </c>
      <c r="AM791" s="50">
        <v>0</v>
      </c>
      <c r="AN791" s="36">
        <v>0</v>
      </c>
      <c r="AO791" s="36">
        <v>0</v>
      </c>
      <c r="AP791" s="36">
        <v>0</v>
      </c>
      <c r="AQ791" s="36">
        <v>0</v>
      </c>
      <c r="AR791" s="50">
        <v>0</v>
      </c>
      <c r="AS791" s="36">
        <v>0</v>
      </c>
      <c r="AT791" s="36">
        <v>0</v>
      </c>
      <c r="AU791" s="36">
        <v>0</v>
      </c>
      <c r="AV791" s="36">
        <v>0</v>
      </c>
      <c r="AW791">
        <v>0</v>
      </c>
      <c r="AX791">
        <v>0</v>
      </c>
    </row>
    <row r="792" spans="1:50" x14ac:dyDescent="0.25">
      <c r="A792" s="36"/>
      <c r="B792" t="s">
        <v>120</v>
      </c>
      <c r="C792" s="36" t="str">
        <f>'Status Thresholds'!B783</f>
        <v>Valtrax</v>
      </c>
      <c r="E792" s="36" t="str">
        <f t="shared" si="27"/>
        <v>Valtrax</v>
      </c>
      <c r="F792" s="36" t="str">
        <f>IFERROR(VLOOKUP($E792,'Status Thresholds'!$E:$AS,1,FALSE),"")</f>
        <v/>
      </c>
      <c r="G792" t="s">
        <v>11</v>
      </c>
      <c r="H792" s="55" t="str">
        <f t="shared" si="28"/>
        <v>ValtraxCrag 1</v>
      </c>
      <c r="I792" s="50">
        <v>0</v>
      </c>
      <c r="J792" s="36">
        <v>0</v>
      </c>
      <c r="K792" s="36">
        <v>0</v>
      </c>
      <c r="L792" s="36">
        <v>0</v>
      </c>
      <c r="M792" s="36">
        <v>0</v>
      </c>
      <c r="N792" s="50">
        <v>0</v>
      </c>
      <c r="O792" s="36">
        <v>0</v>
      </c>
      <c r="P792" s="36">
        <v>0</v>
      </c>
      <c r="Q792" s="36">
        <v>0</v>
      </c>
      <c r="R792" s="36">
        <v>0</v>
      </c>
      <c r="S792" s="50">
        <v>0</v>
      </c>
      <c r="T792" s="36">
        <v>0</v>
      </c>
      <c r="U792" s="36">
        <v>0</v>
      </c>
      <c r="V792" s="36">
        <v>0</v>
      </c>
      <c r="W792" s="36">
        <v>0</v>
      </c>
      <c r="X792" s="50">
        <v>0</v>
      </c>
      <c r="Y792" s="36">
        <v>0</v>
      </c>
      <c r="Z792" s="36">
        <v>0</v>
      </c>
      <c r="AA792" s="36">
        <v>0</v>
      </c>
      <c r="AB792" s="36">
        <v>0</v>
      </c>
      <c r="AC792" s="50">
        <v>0</v>
      </c>
      <c r="AD792" s="36">
        <v>8</v>
      </c>
      <c r="AE792" s="36">
        <v>8</v>
      </c>
      <c r="AF792" s="36">
        <v>8</v>
      </c>
      <c r="AG792" s="36">
        <v>0</v>
      </c>
      <c r="AH792" s="50">
        <v>0</v>
      </c>
      <c r="AI792" s="36">
        <v>0</v>
      </c>
      <c r="AJ792" s="36">
        <v>0</v>
      </c>
      <c r="AK792" s="36">
        <v>0</v>
      </c>
      <c r="AL792" s="36">
        <v>0</v>
      </c>
      <c r="AM792" s="50">
        <v>0</v>
      </c>
      <c r="AN792" s="36">
        <v>0</v>
      </c>
      <c r="AO792" s="36">
        <v>0</v>
      </c>
      <c r="AP792" s="36">
        <v>0</v>
      </c>
      <c r="AQ792" s="36">
        <v>0</v>
      </c>
      <c r="AR792" s="50">
        <v>0</v>
      </c>
      <c r="AS792" s="36">
        <v>0</v>
      </c>
      <c r="AT792" s="36">
        <v>0</v>
      </c>
      <c r="AU792" s="36">
        <v>0</v>
      </c>
      <c r="AV792" s="36">
        <v>1</v>
      </c>
      <c r="AW792">
        <v>0</v>
      </c>
      <c r="AX792">
        <v>0</v>
      </c>
    </row>
    <row r="793" spans="1:50" x14ac:dyDescent="0.25">
      <c r="A793" s="36"/>
      <c r="B793" t="s">
        <v>119</v>
      </c>
      <c r="C793" s="36" t="str">
        <f>'Status Thresholds'!B784</f>
        <v>Valtrax</v>
      </c>
      <c r="E793" s="36" t="str">
        <f t="shared" si="27"/>
        <v>Valtrax</v>
      </c>
      <c r="F793" s="36" t="str">
        <f>IFERROR(VLOOKUP($E793,'Status Thresholds'!$E:$AS,1,FALSE),"")</f>
        <v/>
      </c>
      <c r="G793" t="s">
        <v>21</v>
      </c>
      <c r="H793" s="55" t="str">
        <f t="shared" si="28"/>
        <v>ValtraxTriblast</v>
      </c>
      <c r="I793" s="50">
        <v>0</v>
      </c>
      <c r="J793" s="36">
        <v>0</v>
      </c>
      <c r="K793" s="36">
        <v>0</v>
      </c>
      <c r="L793" s="36">
        <v>0</v>
      </c>
      <c r="M793" s="36">
        <v>0</v>
      </c>
      <c r="N793" s="50">
        <v>0</v>
      </c>
      <c r="O793" s="36">
        <v>0</v>
      </c>
      <c r="P793" s="36">
        <v>0</v>
      </c>
      <c r="Q793" s="36">
        <v>0</v>
      </c>
      <c r="R793" s="36">
        <v>0</v>
      </c>
      <c r="S793" s="50">
        <v>0</v>
      </c>
      <c r="T793" s="36">
        <v>0</v>
      </c>
      <c r="U793" s="36">
        <v>0</v>
      </c>
      <c r="V793" s="36">
        <v>0</v>
      </c>
      <c r="W793" s="36">
        <v>0</v>
      </c>
      <c r="X793" s="50">
        <v>0</v>
      </c>
      <c r="Y793" s="36">
        <v>0</v>
      </c>
      <c r="Z793" s="36">
        <v>0</v>
      </c>
      <c r="AA793" s="36">
        <v>0</v>
      </c>
      <c r="AB793" s="36">
        <v>0</v>
      </c>
      <c r="AC793" s="50">
        <v>2</v>
      </c>
      <c r="AD793" s="36">
        <v>2</v>
      </c>
      <c r="AE793" s="36">
        <v>2</v>
      </c>
      <c r="AF793" s="36">
        <v>2</v>
      </c>
      <c r="AG793" s="36">
        <v>0</v>
      </c>
      <c r="AH793" s="50">
        <v>0</v>
      </c>
      <c r="AI793" s="36">
        <v>0</v>
      </c>
      <c r="AJ793" s="36">
        <v>0</v>
      </c>
      <c r="AK793" s="36">
        <v>0</v>
      </c>
      <c r="AL793" s="36">
        <v>0</v>
      </c>
      <c r="AM793" s="50">
        <v>0</v>
      </c>
      <c r="AN793" s="36">
        <v>0</v>
      </c>
      <c r="AO793" s="36">
        <v>0</v>
      </c>
      <c r="AP793" s="36">
        <v>0</v>
      </c>
      <c r="AQ793" s="36">
        <v>0</v>
      </c>
      <c r="AR793" s="50">
        <v>0</v>
      </c>
      <c r="AS793" s="36">
        <v>0</v>
      </c>
      <c r="AT793" s="36">
        <v>0</v>
      </c>
      <c r="AU793" s="36">
        <v>0</v>
      </c>
      <c r="AV793" s="36">
        <v>0</v>
      </c>
      <c r="AW793">
        <v>0</v>
      </c>
      <c r="AX793">
        <v>0</v>
      </c>
    </row>
    <row r="794" spans="1:50" x14ac:dyDescent="0.25">
      <c r="A794" s="36"/>
      <c r="B794" t="s">
        <v>119</v>
      </c>
      <c r="C794" s="36" t="str">
        <f>'Status Thresholds'!B785</f>
        <v>Valtrax</v>
      </c>
      <c r="E794" s="36" t="str">
        <f t="shared" si="27"/>
        <v>Valtrax</v>
      </c>
      <c r="F794" s="36" t="str">
        <f>IFERROR(VLOOKUP($E794,'Status Thresholds'!$E:$AS,1,FALSE),"")</f>
        <v/>
      </c>
      <c r="G794" t="s">
        <v>13</v>
      </c>
      <c r="H794" s="55" t="str">
        <f t="shared" si="28"/>
        <v>ValtraxCrag 3</v>
      </c>
      <c r="I794" s="50">
        <v>0</v>
      </c>
      <c r="J794" s="36">
        <v>0</v>
      </c>
      <c r="K794" s="36">
        <v>0</v>
      </c>
      <c r="L794" s="36">
        <v>0</v>
      </c>
      <c r="M794" s="36">
        <v>0</v>
      </c>
      <c r="N794" s="50">
        <v>0</v>
      </c>
      <c r="O794" s="36">
        <v>0</v>
      </c>
      <c r="P794" s="36">
        <v>0</v>
      </c>
      <c r="Q794" s="36">
        <v>0</v>
      </c>
      <c r="R794" s="36">
        <v>0</v>
      </c>
      <c r="S794" s="50">
        <v>0</v>
      </c>
      <c r="T794" s="36">
        <v>0</v>
      </c>
      <c r="U794" s="36">
        <v>0</v>
      </c>
      <c r="V794" s="36">
        <v>0</v>
      </c>
      <c r="W794" s="36">
        <v>0</v>
      </c>
      <c r="X794" s="50">
        <v>0</v>
      </c>
      <c r="Y794" s="36">
        <v>0</v>
      </c>
      <c r="Z794" s="36">
        <v>0</v>
      </c>
      <c r="AA794" s="36">
        <v>0</v>
      </c>
      <c r="AB794" s="36">
        <v>0</v>
      </c>
      <c r="AC794" s="50">
        <v>0</v>
      </c>
      <c r="AD794" s="36">
        <v>4</v>
      </c>
      <c r="AE794" s="36">
        <v>4</v>
      </c>
      <c r="AF794" s="36">
        <v>4</v>
      </c>
      <c r="AG794" s="36">
        <v>0</v>
      </c>
      <c r="AH794" s="50">
        <v>0</v>
      </c>
      <c r="AI794" s="36">
        <v>0</v>
      </c>
      <c r="AJ794" s="36">
        <v>0</v>
      </c>
      <c r="AK794" s="36">
        <v>0</v>
      </c>
      <c r="AL794" s="36">
        <v>0</v>
      </c>
      <c r="AM794" s="50">
        <v>0</v>
      </c>
      <c r="AN794" s="36">
        <v>0</v>
      </c>
      <c r="AO794" s="36">
        <v>0</v>
      </c>
      <c r="AP794" s="36">
        <v>0</v>
      </c>
      <c r="AQ794" s="36">
        <v>0</v>
      </c>
      <c r="AR794" s="50">
        <v>0</v>
      </c>
      <c r="AS794" s="36">
        <v>0</v>
      </c>
      <c r="AT794" s="36">
        <v>0</v>
      </c>
      <c r="AU794" s="36">
        <v>0</v>
      </c>
      <c r="AV794" s="36">
        <v>0</v>
      </c>
      <c r="AW794">
        <v>0</v>
      </c>
      <c r="AX794">
        <v>0</v>
      </c>
    </row>
    <row r="795" spans="1:50" x14ac:dyDescent="0.25">
      <c r="A795" s="36"/>
      <c r="B795" t="s">
        <v>119</v>
      </c>
      <c r="C795" s="36" t="str">
        <f>'Status Thresholds'!B786</f>
        <v>Valtrax</v>
      </c>
      <c r="E795" s="36" t="str">
        <f t="shared" si="27"/>
        <v>Valtrax</v>
      </c>
      <c r="F795" s="36" t="str">
        <f>IFERROR(VLOOKUP($E795,'Status Thresholds'!$E:$AS,1,FALSE),"")</f>
        <v/>
      </c>
      <c r="G795" t="s">
        <v>12</v>
      </c>
      <c r="H795" s="55" t="str">
        <f t="shared" si="28"/>
        <v>ValtraxCrag 2</v>
      </c>
      <c r="I795" s="50">
        <v>0</v>
      </c>
      <c r="J795" s="36">
        <v>0</v>
      </c>
      <c r="K795" s="36">
        <v>0</v>
      </c>
      <c r="L795" s="36">
        <v>0</v>
      </c>
      <c r="M795" s="36">
        <v>0</v>
      </c>
      <c r="N795" s="50">
        <v>0</v>
      </c>
      <c r="O795" s="36">
        <v>0</v>
      </c>
      <c r="P795" s="36">
        <v>0</v>
      </c>
      <c r="Q795" s="36">
        <v>0</v>
      </c>
      <c r="R795" s="36">
        <v>0</v>
      </c>
      <c r="S795" s="50">
        <v>0</v>
      </c>
      <c r="T795" s="36">
        <v>0</v>
      </c>
      <c r="U795" s="36">
        <v>0</v>
      </c>
      <c r="V795" s="36">
        <v>0</v>
      </c>
      <c r="W795" s="36">
        <v>0</v>
      </c>
      <c r="X795" s="50">
        <v>0</v>
      </c>
      <c r="Y795" s="36">
        <v>0</v>
      </c>
      <c r="Z795" s="36">
        <v>0</v>
      </c>
      <c r="AA795" s="36">
        <v>0</v>
      </c>
      <c r="AB795" s="36">
        <v>0</v>
      </c>
      <c r="AC795" s="50">
        <v>0</v>
      </c>
      <c r="AD795" s="36">
        <v>0</v>
      </c>
      <c r="AE795" s="36">
        <v>4</v>
      </c>
      <c r="AF795" s="36">
        <v>4</v>
      </c>
      <c r="AG795" s="36">
        <v>0</v>
      </c>
      <c r="AH795" s="50">
        <v>0</v>
      </c>
      <c r="AI795" s="36">
        <v>0</v>
      </c>
      <c r="AJ795" s="36">
        <v>0</v>
      </c>
      <c r="AK795" s="36">
        <v>0</v>
      </c>
      <c r="AL795" s="36">
        <v>0</v>
      </c>
      <c r="AM795" s="50">
        <v>0</v>
      </c>
      <c r="AN795" s="36">
        <v>0</v>
      </c>
      <c r="AO795" s="36">
        <v>0</v>
      </c>
      <c r="AP795" s="36">
        <v>0</v>
      </c>
      <c r="AQ795" s="36">
        <v>0</v>
      </c>
      <c r="AR795" s="50">
        <v>0</v>
      </c>
      <c r="AS795" s="36">
        <v>0</v>
      </c>
      <c r="AT795" s="36">
        <v>0</v>
      </c>
      <c r="AU795" s="36">
        <v>0</v>
      </c>
      <c r="AV795" s="36">
        <v>0</v>
      </c>
      <c r="AW795">
        <v>0</v>
      </c>
      <c r="AX795">
        <v>0</v>
      </c>
    </row>
    <row r="796" spans="1:50" x14ac:dyDescent="0.25">
      <c r="A796" s="36"/>
      <c r="B796" t="s">
        <v>119</v>
      </c>
      <c r="C796" s="36" t="str">
        <f>'Status Thresholds'!B787</f>
        <v>Valtrax</v>
      </c>
      <c r="E796" s="36" t="str">
        <f t="shared" si="27"/>
        <v>Valtrax</v>
      </c>
      <c r="F796" s="36" t="str">
        <f>IFERROR(VLOOKUP($E796,'Status Thresholds'!$E:$AS,1,FALSE),"")</f>
        <v/>
      </c>
      <c r="G796" t="s">
        <v>11</v>
      </c>
      <c r="H796" s="55" t="str">
        <f t="shared" si="28"/>
        <v>ValtraxCrag 1</v>
      </c>
      <c r="I796" s="50">
        <v>0</v>
      </c>
      <c r="J796" s="36">
        <v>0</v>
      </c>
      <c r="K796" s="36">
        <v>0</v>
      </c>
      <c r="L796" s="36">
        <v>0</v>
      </c>
      <c r="M796" s="36">
        <v>0</v>
      </c>
      <c r="N796" s="50">
        <v>0</v>
      </c>
      <c r="O796" s="36">
        <v>0</v>
      </c>
      <c r="P796" s="36">
        <v>0</v>
      </c>
      <c r="Q796" s="36">
        <v>0</v>
      </c>
      <c r="R796" s="36">
        <v>0</v>
      </c>
      <c r="S796" s="50">
        <v>0</v>
      </c>
      <c r="T796" s="36">
        <v>0</v>
      </c>
      <c r="U796" s="36">
        <v>0</v>
      </c>
      <c r="V796" s="36">
        <v>0</v>
      </c>
      <c r="W796" s="36">
        <v>0</v>
      </c>
      <c r="X796" s="50">
        <v>0</v>
      </c>
      <c r="Y796" s="36">
        <v>0</v>
      </c>
      <c r="Z796" s="36">
        <v>0</v>
      </c>
      <c r="AA796" s="36">
        <v>0</v>
      </c>
      <c r="AB796" s="36">
        <v>0</v>
      </c>
      <c r="AC796" s="50">
        <v>4</v>
      </c>
      <c r="AD796" s="36">
        <v>7</v>
      </c>
      <c r="AE796" s="36">
        <v>8</v>
      </c>
      <c r="AF796" s="36">
        <v>8</v>
      </c>
      <c r="AG796" s="36">
        <v>0</v>
      </c>
      <c r="AH796" s="50">
        <v>0</v>
      </c>
      <c r="AI796" s="36">
        <v>0</v>
      </c>
      <c r="AJ796" s="36">
        <v>0</v>
      </c>
      <c r="AK796" s="36">
        <v>0</v>
      </c>
      <c r="AL796" s="36">
        <v>0</v>
      </c>
      <c r="AM796" s="50">
        <v>0</v>
      </c>
      <c r="AN796" s="36">
        <v>0</v>
      </c>
      <c r="AO796" s="36">
        <v>0</v>
      </c>
      <c r="AP796" s="36">
        <v>0</v>
      </c>
      <c r="AQ796" s="36">
        <v>0</v>
      </c>
      <c r="AR796" s="50">
        <v>0</v>
      </c>
      <c r="AS796" s="36">
        <v>0</v>
      </c>
      <c r="AT796" s="36">
        <v>0</v>
      </c>
      <c r="AU796" s="36">
        <v>0</v>
      </c>
      <c r="AV796" s="36">
        <v>1</v>
      </c>
      <c r="AW796">
        <v>0</v>
      </c>
      <c r="AX796">
        <v>0</v>
      </c>
    </row>
    <row r="797" spans="1:50" x14ac:dyDescent="0.25">
      <c r="A797" s="36"/>
      <c r="B797" s="36" t="s">
        <v>121</v>
      </c>
      <c r="C797" s="36" t="str">
        <f>'Status Thresholds'!B788</f>
        <v>Velocidrome</v>
      </c>
      <c r="D797" t="s">
        <v>14</v>
      </c>
      <c r="E797" s="36" t="str">
        <f t="shared" si="27"/>
        <v>VelocidromeKO</v>
      </c>
      <c r="F797" s="36" t="str">
        <f>IFERROR(VLOOKUP($E797,'Status Thresholds'!$E:$AS,1,FALSE),"")</f>
        <v>VelocidromeKO</v>
      </c>
      <c r="H797" s="55" t="str">
        <f t="shared" si="28"/>
        <v>VelocidromeKO</v>
      </c>
      <c r="I797" s="50">
        <f>VLOOKUP($F797,'Status Thresholds'!$E:$AS,2,FALSE)</f>
        <v>104</v>
      </c>
      <c r="J797" s="36">
        <f>VLOOKUP($F797,'Status Thresholds'!$E:$AS,3,FALSE)</f>
        <v>156</v>
      </c>
      <c r="K797" s="36">
        <f>VLOOKUP($F797,'Status Thresholds'!$E:$AS,4,FALSE)</f>
        <v>208</v>
      </c>
      <c r="L797" s="36">
        <f>VLOOKUP($F797,'Status Thresholds'!$E:$AS,5,FALSE)</f>
        <v>260</v>
      </c>
      <c r="M797" s="36">
        <f>VLOOKUP($F797,'Status Thresholds'!$E:$AS,6,FALSE)</f>
        <v>0</v>
      </c>
      <c r="N797" s="50">
        <f>VLOOKUP($F797,'Status Thresholds'!$E:$AS,7,FALSE)</f>
        <v>104</v>
      </c>
      <c r="O797" s="36">
        <f>VLOOKUP($F797,'Status Thresholds'!$E:$AS,8,FALSE)</f>
        <v>140</v>
      </c>
      <c r="P797" s="36">
        <f>VLOOKUP($F797,'Status Thresholds'!$E:$AS,9,FALSE)</f>
        <v>176</v>
      </c>
      <c r="Q797" s="36">
        <f>VLOOKUP($F797,'Status Thresholds'!$E:$AS,10,FALSE)</f>
        <v>212</v>
      </c>
      <c r="R797" s="36">
        <f>VLOOKUP($F797,'Status Thresholds'!$E:$AS,11,FALSE)</f>
        <v>0</v>
      </c>
      <c r="S797" s="50">
        <f>VLOOKUP($F797,'Status Thresholds'!$E:$AS,12,FALSE)</f>
        <v>0</v>
      </c>
      <c r="T797" s="36">
        <f>VLOOKUP($F797,'Status Thresholds'!$E:$AS,13,FALSE)</f>
        <v>0</v>
      </c>
      <c r="U797" s="36">
        <f>VLOOKUP($F797,'Status Thresholds'!$E:$AS,14,FALSE)</f>
        <v>0</v>
      </c>
      <c r="V797" s="36">
        <f>VLOOKUP($F797,'Status Thresholds'!$E:$AS,15,FALSE)</f>
        <v>0</v>
      </c>
      <c r="W797" s="36">
        <f>VLOOKUP($F797,'Status Thresholds'!$E:$AS,16,FALSE)</f>
        <v>0</v>
      </c>
      <c r="X797" s="50">
        <f>VLOOKUP($F797,'Status Thresholds'!$E:$AS,17,FALSE)</f>
        <v>0</v>
      </c>
      <c r="Y797" s="36">
        <f>VLOOKUP($F797,'Status Thresholds'!$E:$AS,18,FALSE)</f>
        <v>0</v>
      </c>
      <c r="Z797" s="36">
        <f>VLOOKUP($F797,'Status Thresholds'!$E:$AS,19,FALSE)</f>
        <v>0</v>
      </c>
      <c r="AA797" s="36">
        <f>VLOOKUP($F797,'Status Thresholds'!$E:$AS,20,FALSE)</f>
        <v>0</v>
      </c>
      <c r="AB797" s="36">
        <f>VLOOKUP($F797,'Status Thresholds'!$E:$AS,21,FALSE)</f>
        <v>0</v>
      </c>
      <c r="AC797" s="50">
        <f>VLOOKUP($F797,'Status Thresholds'!$E:$AS,22,FALSE)</f>
        <v>0</v>
      </c>
      <c r="AD797" s="36">
        <f>VLOOKUP($F797,'Status Thresholds'!$E:$AS,23,FALSE)</f>
        <v>0</v>
      </c>
      <c r="AE797" s="36">
        <f>VLOOKUP($F797,'Status Thresholds'!$E:$AS,24,FALSE)</f>
        <v>0</v>
      </c>
      <c r="AF797" s="36">
        <f>VLOOKUP($F797,'Status Thresholds'!$E:$AS,25,FALSE)</f>
        <v>0</v>
      </c>
      <c r="AG797" s="36">
        <f>VLOOKUP($F797,'Status Thresholds'!$E:$AS,26,FALSE)</f>
        <v>0</v>
      </c>
      <c r="AH797" s="50">
        <f>VLOOKUP($F797,'Status Thresholds'!$E:$AS,27,FALSE)</f>
        <v>0</v>
      </c>
      <c r="AI797" s="36">
        <f>VLOOKUP($F797,'Status Thresholds'!$E:$AS,28,FALSE)</f>
        <v>0</v>
      </c>
      <c r="AJ797" s="36">
        <f>VLOOKUP($F797,'Status Thresholds'!$E:$AS,29,FALSE)</f>
        <v>0</v>
      </c>
      <c r="AK797" s="36">
        <f>VLOOKUP($F797,'Status Thresholds'!$E:$AS,30,FALSE)</f>
        <v>0</v>
      </c>
      <c r="AL797" s="36">
        <f>VLOOKUP($F797,'Status Thresholds'!$E:$AS,31,FALSE)</f>
        <v>0</v>
      </c>
      <c r="AM797" s="50">
        <f>VLOOKUP($F797,'Status Thresholds'!$E:$AS,32,FALSE)</f>
        <v>0</v>
      </c>
      <c r="AN797" s="36">
        <f>VLOOKUP($F797,'Status Thresholds'!$E:$AS,33,FALSE)</f>
        <v>0</v>
      </c>
      <c r="AO797" s="36">
        <f>VLOOKUP($F797,'Status Thresholds'!$E:$AS,34,FALSE)</f>
        <v>0</v>
      </c>
      <c r="AP797" s="36">
        <f>VLOOKUP($F797,'Status Thresholds'!$E:$AS,35,FALSE)</f>
        <v>0</v>
      </c>
      <c r="AQ797" s="36">
        <f>VLOOKUP($F797,'Status Thresholds'!$E:$AS,36,FALSE)</f>
        <v>0</v>
      </c>
      <c r="AR797" s="50">
        <f>VLOOKUP($F797,'Status Thresholds'!$E:$AS,37,FALSE)</f>
        <v>0</v>
      </c>
      <c r="AS797" s="36">
        <f>VLOOKUP($F797,'Status Thresholds'!$E:$AS,38,FALSE)</f>
        <v>0</v>
      </c>
      <c r="AT797" s="36">
        <f>VLOOKUP($F797,'Status Thresholds'!$E:$AS,39,FALSE)</f>
        <v>0</v>
      </c>
      <c r="AU797" s="36">
        <f>VLOOKUP($F797,'Status Thresholds'!$E:$AS,40,FALSE)</f>
        <v>0</v>
      </c>
      <c r="AV797" s="36">
        <f>VLOOKUP($F797,'Status Thresholds'!$E:$AS,41,FALSE)</f>
        <v>10</v>
      </c>
      <c r="AW797">
        <v>0</v>
      </c>
      <c r="AX797">
        <v>0</v>
      </c>
    </row>
    <row r="798" spans="1:50" x14ac:dyDescent="0.25">
      <c r="A798" s="36"/>
      <c r="B798" s="46" t="s">
        <v>120</v>
      </c>
      <c r="C798" s="36" t="str">
        <f>'Status Thresholds'!B789</f>
        <v>Velocidrome</v>
      </c>
      <c r="E798" s="36" t="str">
        <f t="shared" si="27"/>
        <v>Velocidrome</v>
      </c>
      <c r="F798" s="36" t="str">
        <f>IFERROR(VLOOKUP($E798,'Status Thresholds'!$E:$AS,1,FALSE),"")</f>
        <v/>
      </c>
      <c r="G798" t="s">
        <v>21</v>
      </c>
      <c r="H798" s="55" t="str">
        <f t="shared" si="28"/>
        <v>VelocidromeTriblast</v>
      </c>
      <c r="I798" s="50">
        <v>0</v>
      </c>
      <c r="J798" s="36">
        <v>0</v>
      </c>
      <c r="K798" s="36">
        <v>0</v>
      </c>
      <c r="L798" s="36">
        <v>2</v>
      </c>
      <c r="M798" s="36">
        <v>0</v>
      </c>
      <c r="N798" s="50">
        <v>0</v>
      </c>
      <c r="O798" s="36">
        <v>1</v>
      </c>
      <c r="P798" s="36">
        <v>0</v>
      </c>
      <c r="Q798" s="36">
        <v>2</v>
      </c>
      <c r="R798" s="36">
        <v>0</v>
      </c>
      <c r="S798" s="50">
        <v>0</v>
      </c>
      <c r="T798" s="36">
        <v>0</v>
      </c>
      <c r="U798" s="36">
        <v>0</v>
      </c>
      <c r="V798" s="36">
        <v>0</v>
      </c>
      <c r="W798" s="36">
        <v>0</v>
      </c>
      <c r="X798" s="50">
        <v>0</v>
      </c>
      <c r="Y798" s="36">
        <v>0</v>
      </c>
      <c r="Z798" s="36">
        <v>0</v>
      </c>
      <c r="AA798" s="36">
        <v>0</v>
      </c>
      <c r="AB798" s="36">
        <v>0</v>
      </c>
      <c r="AC798" s="50">
        <v>0</v>
      </c>
      <c r="AD798" s="36">
        <v>0</v>
      </c>
      <c r="AE798" s="36">
        <v>0</v>
      </c>
      <c r="AF798" s="36">
        <v>0</v>
      </c>
      <c r="AG798" s="36">
        <v>0</v>
      </c>
      <c r="AH798" s="50">
        <v>0</v>
      </c>
      <c r="AI798" s="36">
        <v>0</v>
      </c>
      <c r="AJ798" s="36">
        <v>0</v>
      </c>
      <c r="AK798" s="36">
        <v>0</v>
      </c>
      <c r="AL798" s="36">
        <v>0</v>
      </c>
      <c r="AM798" s="50">
        <v>0</v>
      </c>
      <c r="AN798" s="36">
        <v>0</v>
      </c>
      <c r="AO798" s="36">
        <v>0</v>
      </c>
      <c r="AP798" s="36">
        <v>0</v>
      </c>
      <c r="AQ798" s="36">
        <v>0</v>
      </c>
      <c r="AR798" s="50">
        <v>0</v>
      </c>
      <c r="AS798" s="36">
        <v>0</v>
      </c>
      <c r="AT798" s="36">
        <v>0</v>
      </c>
      <c r="AU798" s="36">
        <v>0</v>
      </c>
      <c r="AV798" s="36">
        <v>0</v>
      </c>
      <c r="AW798">
        <v>0</v>
      </c>
    </row>
    <row r="799" spans="1:50" x14ac:dyDescent="0.25">
      <c r="A799" s="36"/>
      <c r="B799" t="s">
        <v>120</v>
      </c>
      <c r="C799" s="36" t="str">
        <f>'Status Thresholds'!B790</f>
        <v>Velocidrome</v>
      </c>
      <c r="E799" s="36" t="str">
        <f t="shared" si="27"/>
        <v>Velocidrome</v>
      </c>
      <c r="F799" s="36" t="str">
        <f>IFERROR(VLOOKUP($E799,'Status Thresholds'!$E:$AS,1,FALSE),"")</f>
        <v/>
      </c>
      <c r="G799" t="s">
        <v>13</v>
      </c>
      <c r="H799" s="55" t="str">
        <f t="shared" si="28"/>
        <v>VelocidromeCrag 3</v>
      </c>
      <c r="I799" s="50">
        <v>2</v>
      </c>
      <c r="J799" s="36">
        <v>4</v>
      </c>
      <c r="K799" s="36">
        <v>4</v>
      </c>
      <c r="L799" s="36">
        <v>2</v>
      </c>
      <c r="M799" s="36">
        <v>0</v>
      </c>
      <c r="N799" s="50">
        <v>2</v>
      </c>
      <c r="O799" s="36">
        <v>1</v>
      </c>
      <c r="P799" s="36">
        <v>3</v>
      </c>
      <c r="Q799" s="36">
        <v>1</v>
      </c>
      <c r="R799" s="36">
        <v>0</v>
      </c>
      <c r="S799" s="50">
        <v>0</v>
      </c>
      <c r="T799" s="36">
        <v>0</v>
      </c>
      <c r="U799" s="36">
        <v>0</v>
      </c>
      <c r="V799" s="36">
        <v>0</v>
      </c>
      <c r="W799" s="36">
        <v>0</v>
      </c>
      <c r="X799" s="50">
        <v>0</v>
      </c>
      <c r="Y799" s="36">
        <v>0</v>
      </c>
      <c r="Z799" s="36">
        <v>0</v>
      </c>
      <c r="AA799" s="36">
        <v>0</v>
      </c>
      <c r="AB799" s="36">
        <v>0</v>
      </c>
      <c r="AC799" s="50">
        <v>0</v>
      </c>
      <c r="AD799" s="36">
        <v>0</v>
      </c>
      <c r="AE799" s="36">
        <v>0</v>
      </c>
      <c r="AF799" s="36">
        <v>0</v>
      </c>
      <c r="AG799" s="36">
        <v>0</v>
      </c>
      <c r="AH799" s="50">
        <v>0</v>
      </c>
      <c r="AI799" s="36">
        <v>0</v>
      </c>
      <c r="AJ799" s="36">
        <v>0</v>
      </c>
      <c r="AK799" s="36">
        <v>0</v>
      </c>
      <c r="AL799" s="36">
        <v>0</v>
      </c>
      <c r="AM799" s="50">
        <v>0</v>
      </c>
      <c r="AN799" s="36">
        <v>0</v>
      </c>
      <c r="AO799" s="36">
        <v>0</v>
      </c>
      <c r="AP799" s="36">
        <v>0</v>
      </c>
      <c r="AQ799" s="36">
        <v>0</v>
      </c>
      <c r="AR799" s="50">
        <v>0</v>
      </c>
      <c r="AS799" s="36">
        <v>0</v>
      </c>
      <c r="AT799" s="36">
        <v>0</v>
      </c>
      <c r="AU799" s="36">
        <v>0</v>
      </c>
      <c r="AV799" s="36">
        <v>0</v>
      </c>
      <c r="AW799">
        <v>0</v>
      </c>
      <c r="AX799">
        <v>0</v>
      </c>
    </row>
    <row r="800" spans="1:50" x14ac:dyDescent="0.25">
      <c r="A800" s="36"/>
      <c r="B800" t="s">
        <v>120</v>
      </c>
      <c r="C800" s="36" t="str">
        <f>'Status Thresholds'!B791</f>
        <v>Velocidrome</v>
      </c>
      <c r="E800" s="36" t="str">
        <f t="shared" si="27"/>
        <v>Velocidrome</v>
      </c>
      <c r="F800" s="36" t="str">
        <f>IFERROR(VLOOKUP($E800,'Status Thresholds'!$E:$AS,1,FALSE),"")</f>
        <v/>
      </c>
      <c r="G800" t="s">
        <v>12</v>
      </c>
      <c r="H800" s="55" t="str">
        <f t="shared" si="28"/>
        <v>VelocidromeCrag 2</v>
      </c>
      <c r="I800" s="50">
        <v>0</v>
      </c>
      <c r="J800" s="36">
        <v>0</v>
      </c>
      <c r="K800" s="36">
        <v>0</v>
      </c>
      <c r="L800" s="36">
        <v>1</v>
      </c>
      <c r="M800" s="36">
        <v>0</v>
      </c>
      <c r="N800" s="50">
        <v>0</v>
      </c>
      <c r="O800" s="36">
        <v>0</v>
      </c>
      <c r="P800" s="36">
        <v>2</v>
      </c>
      <c r="Q800" s="36">
        <v>0</v>
      </c>
      <c r="R800" s="36">
        <v>0</v>
      </c>
      <c r="S800" s="50">
        <v>0</v>
      </c>
      <c r="T800" s="36">
        <v>0</v>
      </c>
      <c r="U800" s="36">
        <v>0</v>
      </c>
      <c r="V800" s="36">
        <v>0</v>
      </c>
      <c r="W800" s="36">
        <v>0</v>
      </c>
      <c r="X800" s="50">
        <v>0</v>
      </c>
      <c r="Y800" s="36">
        <v>0</v>
      </c>
      <c r="Z800" s="36">
        <v>0</v>
      </c>
      <c r="AA800" s="36">
        <v>0</v>
      </c>
      <c r="AB800" s="36">
        <v>0</v>
      </c>
      <c r="AC800" s="50">
        <v>0</v>
      </c>
      <c r="AD800" s="36">
        <v>0</v>
      </c>
      <c r="AE800" s="36">
        <v>0</v>
      </c>
      <c r="AF800" s="36">
        <v>0</v>
      </c>
      <c r="AG800" s="36">
        <v>0</v>
      </c>
      <c r="AH800" s="50">
        <v>0</v>
      </c>
      <c r="AI800" s="36">
        <v>0</v>
      </c>
      <c r="AJ800" s="36">
        <v>0</v>
      </c>
      <c r="AK800" s="36">
        <v>0</v>
      </c>
      <c r="AL800" s="36">
        <v>0</v>
      </c>
      <c r="AM800" s="50">
        <v>0</v>
      </c>
      <c r="AN800" s="36">
        <v>0</v>
      </c>
      <c r="AO800" s="36">
        <v>0</v>
      </c>
      <c r="AP800" s="36">
        <v>0</v>
      </c>
      <c r="AQ800" s="36">
        <v>0</v>
      </c>
      <c r="AR800" s="50">
        <v>0</v>
      </c>
      <c r="AS800" s="36">
        <v>0</v>
      </c>
      <c r="AT800" s="36">
        <v>0</v>
      </c>
      <c r="AU800" s="36">
        <v>0</v>
      </c>
      <c r="AV800" s="36">
        <v>0</v>
      </c>
      <c r="AW800">
        <v>0</v>
      </c>
      <c r="AX800">
        <v>0</v>
      </c>
    </row>
    <row r="801" spans="1:50" x14ac:dyDescent="0.25">
      <c r="A801" s="36"/>
      <c r="B801" t="s">
        <v>120</v>
      </c>
      <c r="C801" s="36" t="str">
        <f>'Status Thresholds'!B792</f>
        <v>Velocidrome</v>
      </c>
      <c r="E801" s="36" t="str">
        <f t="shared" si="27"/>
        <v>Velocidrome</v>
      </c>
      <c r="F801" s="36" t="str">
        <f>IFERROR(VLOOKUP($E801,'Status Thresholds'!$E:$AS,1,FALSE),"")</f>
        <v/>
      </c>
      <c r="G801" t="s">
        <v>11</v>
      </c>
      <c r="H801" s="55" t="str">
        <f t="shared" si="28"/>
        <v>VelocidromeCrag 1</v>
      </c>
      <c r="I801" s="50">
        <v>1</v>
      </c>
      <c r="J801" s="36">
        <v>0</v>
      </c>
      <c r="K801" s="36">
        <v>2</v>
      </c>
      <c r="L801" s="36">
        <v>0</v>
      </c>
      <c r="M801" s="36">
        <v>0</v>
      </c>
      <c r="N801" s="50">
        <v>1</v>
      </c>
      <c r="O801" s="36">
        <v>1</v>
      </c>
      <c r="P801" s="36">
        <v>0</v>
      </c>
      <c r="Q801" s="36">
        <v>1</v>
      </c>
      <c r="R801" s="36">
        <v>0</v>
      </c>
      <c r="S801" s="50">
        <v>0</v>
      </c>
      <c r="T801" s="36">
        <v>0</v>
      </c>
      <c r="U801" s="36">
        <v>0</v>
      </c>
      <c r="V801" s="36">
        <v>0</v>
      </c>
      <c r="W801" s="36">
        <v>0</v>
      </c>
      <c r="X801" s="50">
        <v>0</v>
      </c>
      <c r="Y801" s="36">
        <v>0</v>
      </c>
      <c r="Z801" s="36">
        <v>0</v>
      </c>
      <c r="AA801" s="36">
        <v>0</v>
      </c>
      <c r="AB801" s="36">
        <v>0</v>
      </c>
      <c r="AC801" s="50">
        <v>0</v>
      </c>
      <c r="AD801" s="36">
        <v>0</v>
      </c>
      <c r="AE801" s="36">
        <v>0</v>
      </c>
      <c r="AF801" s="36">
        <v>0</v>
      </c>
      <c r="AG801" s="36">
        <v>0</v>
      </c>
      <c r="AH801" s="50">
        <v>0</v>
      </c>
      <c r="AI801" s="36">
        <v>0</v>
      </c>
      <c r="AJ801" s="36">
        <v>0</v>
      </c>
      <c r="AK801" s="36">
        <v>0</v>
      </c>
      <c r="AL801" s="36">
        <v>0</v>
      </c>
      <c r="AM801" s="50">
        <v>0</v>
      </c>
      <c r="AN801" s="36">
        <v>0</v>
      </c>
      <c r="AO801" s="36">
        <v>0</v>
      </c>
      <c r="AP801" s="36">
        <v>0</v>
      </c>
      <c r="AQ801" s="36">
        <v>0</v>
      </c>
      <c r="AR801" s="50">
        <v>0</v>
      </c>
      <c r="AS801" s="36">
        <v>0</v>
      </c>
      <c r="AT801" s="36">
        <v>0</v>
      </c>
      <c r="AU801" s="36">
        <v>0</v>
      </c>
      <c r="AV801" s="36">
        <v>1</v>
      </c>
      <c r="AW801">
        <v>0</v>
      </c>
      <c r="AX801">
        <v>0</v>
      </c>
    </row>
    <row r="802" spans="1:50" x14ac:dyDescent="0.25">
      <c r="A802" s="36"/>
      <c r="B802" s="36" t="s">
        <v>119</v>
      </c>
      <c r="C802" s="36" t="str">
        <f>'Status Thresholds'!B793</f>
        <v>Velocidrome</v>
      </c>
      <c r="E802" s="36" t="str">
        <f t="shared" si="27"/>
        <v>Velocidrome</v>
      </c>
      <c r="F802" s="36" t="str">
        <f>IFERROR(VLOOKUP($E802,'Status Thresholds'!$E:$AS,1,FALSE),"")</f>
        <v/>
      </c>
      <c r="G802" t="s">
        <v>21</v>
      </c>
      <c r="H802" s="55" t="str">
        <f t="shared" si="28"/>
        <v>VelocidromeTriblast</v>
      </c>
      <c r="I802" s="50">
        <v>0</v>
      </c>
      <c r="J802" s="36">
        <v>0</v>
      </c>
      <c r="K802" s="36">
        <v>0</v>
      </c>
      <c r="L802" s="36">
        <v>2</v>
      </c>
      <c r="M802" s="36">
        <v>0</v>
      </c>
      <c r="N802" s="50">
        <v>0</v>
      </c>
      <c r="O802" s="36">
        <v>0</v>
      </c>
      <c r="P802" s="36">
        <v>0</v>
      </c>
      <c r="Q802" s="36">
        <v>1</v>
      </c>
      <c r="R802" s="36">
        <v>0</v>
      </c>
      <c r="S802" s="50">
        <v>0</v>
      </c>
      <c r="T802" s="36">
        <v>0</v>
      </c>
      <c r="U802" s="36">
        <v>0</v>
      </c>
      <c r="V802" s="36">
        <v>0</v>
      </c>
      <c r="W802" s="36">
        <v>0</v>
      </c>
      <c r="X802" s="50">
        <v>0</v>
      </c>
      <c r="Y802" s="36">
        <v>0</v>
      </c>
      <c r="Z802" s="36">
        <v>0</v>
      </c>
      <c r="AA802" s="36">
        <v>0</v>
      </c>
      <c r="AB802" s="36">
        <v>0</v>
      </c>
      <c r="AC802" s="50">
        <v>0</v>
      </c>
      <c r="AD802" s="36">
        <v>0</v>
      </c>
      <c r="AE802" s="36">
        <v>0</v>
      </c>
      <c r="AF802" s="36">
        <v>0</v>
      </c>
      <c r="AG802" s="36">
        <v>0</v>
      </c>
      <c r="AH802" s="50">
        <v>0</v>
      </c>
      <c r="AI802" s="36">
        <v>0</v>
      </c>
      <c r="AJ802" s="36">
        <v>0</v>
      </c>
      <c r="AK802" s="36">
        <v>0</v>
      </c>
      <c r="AL802" s="36">
        <v>0</v>
      </c>
      <c r="AM802" s="50">
        <v>0</v>
      </c>
      <c r="AN802" s="36">
        <v>0</v>
      </c>
      <c r="AO802" s="36">
        <v>0</v>
      </c>
      <c r="AP802" s="36">
        <v>0</v>
      </c>
      <c r="AQ802" s="36">
        <v>0</v>
      </c>
      <c r="AR802" s="50">
        <v>0</v>
      </c>
      <c r="AS802" s="36">
        <v>0</v>
      </c>
      <c r="AT802" s="36">
        <v>0</v>
      </c>
      <c r="AU802" s="36">
        <v>0</v>
      </c>
      <c r="AV802" s="36">
        <v>0</v>
      </c>
      <c r="AW802">
        <v>0</v>
      </c>
      <c r="AX802">
        <v>0</v>
      </c>
    </row>
    <row r="803" spans="1:50" x14ac:dyDescent="0.25">
      <c r="A803" s="36"/>
      <c r="B803" t="s">
        <v>119</v>
      </c>
      <c r="C803" s="36" t="str">
        <f>'Status Thresholds'!B794</f>
        <v>Velocidrome</v>
      </c>
      <c r="E803" s="36" t="str">
        <f t="shared" si="27"/>
        <v>Velocidrome</v>
      </c>
      <c r="F803" s="36" t="str">
        <f>IFERROR(VLOOKUP($E803,'Status Thresholds'!$E:$AS,1,FALSE),"")</f>
        <v/>
      </c>
      <c r="G803" t="s">
        <v>13</v>
      </c>
      <c r="H803" s="55" t="str">
        <f t="shared" si="28"/>
        <v>VelocidromeCrag 3</v>
      </c>
      <c r="I803" s="50">
        <v>1</v>
      </c>
      <c r="J803" s="36">
        <v>1</v>
      </c>
      <c r="K803" s="36">
        <v>2</v>
      </c>
      <c r="L803" s="36">
        <v>1</v>
      </c>
      <c r="M803" s="36">
        <v>0</v>
      </c>
      <c r="N803" s="50">
        <v>1</v>
      </c>
      <c r="O803" s="36">
        <v>0</v>
      </c>
      <c r="P803" s="36">
        <v>1</v>
      </c>
      <c r="Q803" s="36">
        <v>1</v>
      </c>
      <c r="R803" s="36">
        <v>0</v>
      </c>
      <c r="S803" s="50">
        <v>0</v>
      </c>
      <c r="T803" s="36">
        <v>0</v>
      </c>
      <c r="U803" s="36">
        <v>0</v>
      </c>
      <c r="V803" s="36">
        <v>0</v>
      </c>
      <c r="W803" s="36">
        <v>0</v>
      </c>
      <c r="X803" s="50">
        <v>0</v>
      </c>
      <c r="Y803" s="36">
        <v>0</v>
      </c>
      <c r="Z803" s="36">
        <v>0</v>
      </c>
      <c r="AA803" s="36">
        <v>0</v>
      </c>
      <c r="AB803" s="36">
        <v>0</v>
      </c>
      <c r="AC803" s="50">
        <v>0</v>
      </c>
      <c r="AD803" s="36">
        <v>0</v>
      </c>
      <c r="AE803" s="36">
        <v>0</v>
      </c>
      <c r="AF803" s="36">
        <v>0</v>
      </c>
      <c r="AG803" s="36">
        <v>0</v>
      </c>
      <c r="AH803" s="50">
        <v>0</v>
      </c>
      <c r="AI803" s="36">
        <v>0</v>
      </c>
      <c r="AJ803" s="36">
        <v>0</v>
      </c>
      <c r="AK803" s="36">
        <v>0</v>
      </c>
      <c r="AL803" s="36">
        <v>0</v>
      </c>
      <c r="AM803" s="50">
        <v>0</v>
      </c>
      <c r="AN803" s="36">
        <v>0</v>
      </c>
      <c r="AO803" s="36">
        <v>0</v>
      </c>
      <c r="AP803" s="36">
        <v>0</v>
      </c>
      <c r="AQ803" s="36">
        <v>0</v>
      </c>
      <c r="AR803" s="50">
        <v>0</v>
      </c>
      <c r="AS803" s="36">
        <v>0</v>
      </c>
      <c r="AT803" s="36">
        <v>0</v>
      </c>
      <c r="AU803" s="36">
        <v>0</v>
      </c>
      <c r="AV803" s="36">
        <v>0</v>
      </c>
      <c r="AW803">
        <v>0</v>
      </c>
      <c r="AX803">
        <v>0</v>
      </c>
    </row>
    <row r="804" spans="1:50" x14ac:dyDescent="0.25">
      <c r="A804" s="36"/>
      <c r="B804" t="s">
        <v>119</v>
      </c>
      <c r="C804" s="36" t="str">
        <f>'Status Thresholds'!B795</f>
        <v>Velocidrome</v>
      </c>
      <c r="E804" s="36" t="str">
        <f t="shared" si="27"/>
        <v>Velocidrome</v>
      </c>
      <c r="F804" s="36" t="str">
        <f>IFERROR(VLOOKUP($E804,'Status Thresholds'!$E:$AS,1,FALSE),"")</f>
        <v/>
      </c>
      <c r="G804" t="s">
        <v>12</v>
      </c>
      <c r="H804" s="55" t="str">
        <f t="shared" si="28"/>
        <v>VelocidromeCrag 2</v>
      </c>
      <c r="I804" s="50">
        <v>1</v>
      </c>
      <c r="J804" s="36">
        <v>1</v>
      </c>
      <c r="K804" s="36">
        <v>2</v>
      </c>
      <c r="L804" s="36">
        <v>0</v>
      </c>
      <c r="M804" s="36">
        <v>0</v>
      </c>
      <c r="N804" s="50">
        <v>1</v>
      </c>
      <c r="O804" s="36">
        <v>1</v>
      </c>
      <c r="P804" s="36">
        <v>4</v>
      </c>
      <c r="Q804" s="36">
        <v>1</v>
      </c>
      <c r="R804" s="36">
        <v>0</v>
      </c>
      <c r="S804" s="50">
        <v>0</v>
      </c>
      <c r="T804" s="36">
        <v>0</v>
      </c>
      <c r="U804" s="36">
        <v>0</v>
      </c>
      <c r="V804" s="36">
        <v>0</v>
      </c>
      <c r="W804" s="36">
        <v>0</v>
      </c>
      <c r="X804" s="50">
        <v>0</v>
      </c>
      <c r="Y804" s="36">
        <v>0</v>
      </c>
      <c r="Z804" s="36">
        <v>0</v>
      </c>
      <c r="AA804" s="36">
        <v>0</v>
      </c>
      <c r="AB804" s="36">
        <v>0</v>
      </c>
      <c r="AC804" s="50">
        <v>0</v>
      </c>
      <c r="AD804" s="36">
        <v>0</v>
      </c>
      <c r="AE804" s="36">
        <v>0</v>
      </c>
      <c r="AF804" s="36">
        <v>0</v>
      </c>
      <c r="AG804" s="36">
        <v>0</v>
      </c>
      <c r="AH804" s="50">
        <v>0</v>
      </c>
      <c r="AI804" s="36">
        <v>0</v>
      </c>
      <c r="AJ804" s="36">
        <v>0</v>
      </c>
      <c r="AK804" s="36">
        <v>0</v>
      </c>
      <c r="AL804" s="36">
        <v>0</v>
      </c>
      <c r="AM804" s="50">
        <v>0</v>
      </c>
      <c r="AN804" s="36">
        <v>0</v>
      </c>
      <c r="AO804" s="36">
        <v>0</v>
      </c>
      <c r="AP804" s="36">
        <v>0</v>
      </c>
      <c r="AQ804" s="36">
        <v>0</v>
      </c>
      <c r="AR804" s="50">
        <v>0</v>
      </c>
      <c r="AS804" s="36">
        <v>0</v>
      </c>
      <c r="AT804" s="36">
        <v>0</v>
      </c>
      <c r="AU804" s="36">
        <v>0</v>
      </c>
      <c r="AV804" s="36">
        <v>0</v>
      </c>
      <c r="AW804">
        <v>0</v>
      </c>
      <c r="AX804">
        <v>0</v>
      </c>
    </row>
    <row r="805" spans="1:50" x14ac:dyDescent="0.25">
      <c r="A805" s="36"/>
      <c r="B805" t="s">
        <v>119</v>
      </c>
      <c r="C805" s="36" t="str">
        <f>'Status Thresholds'!B796</f>
        <v>Velocidrome</v>
      </c>
      <c r="E805" s="36" t="str">
        <f t="shared" si="27"/>
        <v>Velocidrome</v>
      </c>
      <c r="F805" s="36" t="str">
        <f>IFERROR(VLOOKUP($E805,'Status Thresholds'!$E:$AS,1,FALSE),"")</f>
        <v/>
      </c>
      <c r="G805" t="s">
        <v>11</v>
      </c>
      <c r="H805" s="55" t="str">
        <f t="shared" si="28"/>
        <v>VelocidromeCrag 1</v>
      </c>
      <c r="I805" s="50">
        <v>1</v>
      </c>
      <c r="J805" s="36">
        <v>3</v>
      </c>
      <c r="K805" s="36">
        <v>2</v>
      </c>
      <c r="L805" s="36">
        <v>2</v>
      </c>
      <c r="M805" s="36">
        <v>0</v>
      </c>
      <c r="N805" s="50">
        <v>1</v>
      </c>
      <c r="O805" s="36">
        <v>4</v>
      </c>
      <c r="P805" s="36">
        <v>0</v>
      </c>
      <c r="Q805" s="36">
        <v>2</v>
      </c>
      <c r="R805" s="36">
        <v>0</v>
      </c>
      <c r="S805" s="50">
        <v>0</v>
      </c>
      <c r="T805" s="36">
        <v>0</v>
      </c>
      <c r="U805" s="36">
        <v>0</v>
      </c>
      <c r="V805" s="36">
        <v>0</v>
      </c>
      <c r="W805" s="36">
        <v>0</v>
      </c>
      <c r="X805" s="50">
        <v>0</v>
      </c>
      <c r="Y805" s="36">
        <v>0</v>
      </c>
      <c r="Z805" s="36">
        <v>0</v>
      </c>
      <c r="AA805" s="36">
        <v>0</v>
      </c>
      <c r="AB805" s="36">
        <v>0</v>
      </c>
      <c r="AC805" s="50">
        <v>0</v>
      </c>
      <c r="AD805" s="36">
        <v>0</v>
      </c>
      <c r="AE805" s="36">
        <v>0</v>
      </c>
      <c r="AF805" s="36">
        <v>0</v>
      </c>
      <c r="AG805" s="36">
        <v>0</v>
      </c>
      <c r="AH805" s="50">
        <v>0</v>
      </c>
      <c r="AI805" s="36">
        <v>0</v>
      </c>
      <c r="AJ805" s="36">
        <v>0</v>
      </c>
      <c r="AK805" s="36">
        <v>0</v>
      </c>
      <c r="AL805" s="36">
        <v>0</v>
      </c>
      <c r="AM805" s="50">
        <v>0</v>
      </c>
      <c r="AN805" s="36">
        <v>0</v>
      </c>
      <c r="AO805" s="36">
        <v>0</v>
      </c>
      <c r="AP805" s="36">
        <v>0</v>
      </c>
      <c r="AQ805" s="36">
        <v>0</v>
      </c>
      <c r="AR805" s="50">
        <v>0</v>
      </c>
      <c r="AS805" s="36">
        <v>0</v>
      </c>
      <c r="AT805" s="36">
        <v>0</v>
      </c>
      <c r="AU805" s="36">
        <v>0</v>
      </c>
      <c r="AV805" s="36">
        <v>1</v>
      </c>
      <c r="AW805">
        <v>0</v>
      </c>
      <c r="AX805">
        <v>0</v>
      </c>
    </row>
    <row r="806" spans="1:50" x14ac:dyDescent="0.25">
      <c r="A806" s="36"/>
      <c r="B806" t="s">
        <v>121</v>
      </c>
      <c r="C806" s="36" t="str">
        <f>'Status Thresholds'!B797</f>
        <v>Volvidon</v>
      </c>
      <c r="D806" t="s">
        <v>14</v>
      </c>
      <c r="E806" s="36" t="str">
        <f t="shared" si="27"/>
        <v>VolvidonKO</v>
      </c>
      <c r="F806" s="36" t="str">
        <f>IFERROR(VLOOKUP($E806,'Status Thresholds'!$E:$AS,1,FALSE),"")</f>
        <v>VolvidonKO</v>
      </c>
      <c r="H806" s="55" t="str">
        <f t="shared" si="28"/>
        <v>VolvidonKO</v>
      </c>
      <c r="I806" s="50">
        <f>VLOOKUP($F806,'Status Thresholds'!$E:$AS,2,FALSE)</f>
        <v>130</v>
      </c>
      <c r="J806" s="36">
        <f>VLOOKUP($F806,'Status Thresholds'!$E:$AS,3,FALSE)</f>
        <v>260</v>
      </c>
      <c r="K806" s="36">
        <f>VLOOKUP($F806,'Status Thresholds'!$E:$AS,4,FALSE)</f>
        <v>390</v>
      </c>
      <c r="L806" s="36">
        <f>VLOOKUP($F806,'Status Thresholds'!$E:$AS,5,FALSE)</f>
        <v>520</v>
      </c>
      <c r="M806" s="36">
        <f>VLOOKUP($F806,'Status Thresholds'!$E:$AS,6,FALSE)</f>
        <v>0</v>
      </c>
      <c r="N806" s="50">
        <f>VLOOKUP($F806,'Status Thresholds'!$E:$AS,7,FALSE)</f>
        <v>0</v>
      </c>
      <c r="O806" s="36">
        <f>VLOOKUP($F806,'Status Thresholds'!$E:$AS,8,FALSE)</f>
        <v>0</v>
      </c>
      <c r="P806" s="36">
        <f>VLOOKUP($F806,'Status Thresholds'!$E:$AS,9,FALSE)</f>
        <v>0</v>
      </c>
      <c r="Q806" s="36">
        <f>VLOOKUP($F806,'Status Thresholds'!$E:$AS,10,FALSE)</f>
        <v>0</v>
      </c>
      <c r="R806" s="36">
        <f>VLOOKUP($F806,'Status Thresholds'!$E:$AS,11,FALSE)</f>
        <v>0</v>
      </c>
      <c r="S806" s="50">
        <f>VLOOKUP($F806,'Status Thresholds'!$E:$AS,12,FALSE)</f>
        <v>0</v>
      </c>
      <c r="T806" s="36">
        <f>VLOOKUP($F806,'Status Thresholds'!$E:$AS,13,FALSE)</f>
        <v>0</v>
      </c>
      <c r="U806" s="36">
        <f>VLOOKUP($F806,'Status Thresholds'!$E:$AS,14,FALSE)</f>
        <v>0</v>
      </c>
      <c r="V806" s="36">
        <f>VLOOKUP($F806,'Status Thresholds'!$E:$AS,15,FALSE)</f>
        <v>0</v>
      </c>
      <c r="W806" s="36">
        <f>VLOOKUP($F806,'Status Thresholds'!$E:$AS,16,FALSE)</f>
        <v>0</v>
      </c>
      <c r="X806" s="50">
        <f>VLOOKUP($F806,'Status Thresholds'!$E:$AS,17,FALSE)</f>
        <v>0</v>
      </c>
      <c r="Y806" s="36">
        <f>VLOOKUP($F806,'Status Thresholds'!$E:$AS,18,FALSE)</f>
        <v>0</v>
      </c>
      <c r="Z806" s="36">
        <f>VLOOKUP($F806,'Status Thresholds'!$E:$AS,19,FALSE)</f>
        <v>0</v>
      </c>
      <c r="AA806" s="36">
        <f>VLOOKUP($F806,'Status Thresholds'!$E:$AS,20,FALSE)</f>
        <v>0</v>
      </c>
      <c r="AB806" s="36">
        <f>VLOOKUP($F806,'Status Thresholds'!$E:$AS,21,FALSE)</f>
        <v>0</v>
      </c>
      <c r="AC806" s="50">
        <f>VLOOKUP($F806,'Status Thresholds'!$E:$AS,22,FALSE)</f>
        <v>140</v>
      </c>
      <c r="AD806" s="36">
        <f>VLOOKUP($F806,'Status Thresholds'!$E:$AS,23,FALSE)</f>
        <v>280</v>
      </c>
      <c r="AE806" s="36">
        <f>VLOOKUP($F806,'Status Thresholds'!$E:$AS,24,FALSE)</f>
        <v>420</v>
      </c>
      <c r="AF806" s="36">
        <f>VLOOKUP($F806,'Status Thresholds'!$E:$AS,25,FALSE)</f>
        <v>560</v>
      </c>
      <c r="AG806" s="36">
        <f>VLOOKUP($F806,'Status Thresholds'!$E:$AS,26,FALSE)</f>
        <v>0</v>
      </c>
      <c r="AH806" s="50">
        <f>VLOOKUP($F806,'Status Thresholds'!$E:$AS,27,FALSE)</f>
        <v>140</v>
      </c>
      <c r="AI806" s="36">
        <f>VLOOKUP($F806,'Status Thresholds'!$E:$AS,28,FALSE)</f>
        <v>280</v>
      </c>
      <c r="AJ806" s="36">
        <f>VLOOKUP($F806,'Status Thresholds'!$E:$AS,29,FALSE)</f>
        <v>420</v>
      </c>
      <c r="AK806" s="36">
        <f>VLOOKUP($F806,'Status Thresholds'!$E:$AS,30,FALSE)</f>
        <v>560</v>
      </c>
      <c r="AL806" s="36">
        <f>VLOOKUP($F806,'Status Thresholds'!$E:$AS,31,FALSE)</f>
        <v>0</v>
      </c>
      <c r="AM806" s="50">
        <f>VLOOKUP($F806,'Status Thresholds'!$E:$AS,32,FALSE)</f>
        <v>0</v>
      </c>
      <c r="AN806" s="36">
        <f>VLOOKUP($F806,'Status Thresholds'!$E:$AS,33,FALSE)</f>
        <v>0</v>
      </c>
      <c r="AO806" s="36">
        <f>VLOOKUP($F806,'Status Thresholds'!$E:$AS,34,FALSE)</f>
        <v>0</v>
      </c>
      <c r="AP806" s="36">
        <f>VLOOKUP($F806,'Status Thresholds'!$E:$AS,35,FALSE)</f>
        <v>0</v>
      </c>
      <c r="AQ806" s="36">
        <f>VLOOKUP($F806,'Status Thresholds'!$E:$AS,36,FALSE)</f>
        <v>0</v>
      </c>
      <c r="AR806" s="50">
        <f>VLOOKUP($F806,'Status Thresholds'!$E:$AS,37,FALSE)</f>
        <v>0</v>
      </c>
      <c r="AS806" s="36">
        <f>VLOOKUP($F806,'Status Thresholds'!$E:$AS,38,FALSE)</f>
        <v>0</v>
      </c>
      <c r="AT806" s="36">
        <f>VLOOKUP($F806,'Status Thresholds'!$E:$AS,39,FALSE)</f>
        <v>0</v>
      </c>
      <c r="AU806" s="36">
        <f>VLOOKUP($F806,'Status Thresholds'!$E:$AS,40,FALSE)</f>
        <v>0</v>
      </c>
      <c r="AV806" s="36">
        <f>VLOOKUP($F806,'Status Thresholds'!$E:$AS,41,FALSE)</f>
        <v>10</v>
      </c>
      <c r="AW806">
        <v>0</v>
      </c>
      <c r="AX806">
        <v>0</v>
      </c>
    </row>
    <row r="807" spans="1:50" x14ac:dyDescent="0.25">
      <c r="A807" s="36"/>
      <c r="B807" t="s">
        <v>120</v>
      </c>
      <c r="C807" s="36" t="str">
        <f>'Status Thresholds'!B798</f>
        <v>Volvidon</v>
      </c>
      <c r="E807" s="36" t="str">
        <f t="shared" si="27"/>
        <v>Volvidon</v>
      </c>
      <c r="F807" s="36" t="str">
        <f>IFERROR(VLOOKUP($E807,'Status Thresholds'!$E:$AS,1,FALSE),"")</f>
        <v/>
      </c>
      <c r="G807" t="s">
        <v>21</v>
      </c>
      <c r="H807" s="55" t="str">
        <f t="shared" si="28"/>
        <v>VolvidonTriblast</v>
      </c>
      <c r="I807" s="50">
        <v>1</v>
      </c>
      <c r="J807" s="36">
        <v>2</v>
      </c>
      <c r="K807" s="36">
        <v>2</v>
      </c>
      <c r="L807" s="36">
        <v>2</v>
      </c>
      <c r="M807" s="36">
        <v>0</v>
      </c>
      <c r="N807" s="50">
        <v>0</v>
      </c>
      <c r="O807" s="36">
        <v>0</v>
      </c>
      <c r="P807" s="36">
        <v>0</v>
      </c>
      <c r="Q807" s="36">
        <v>0</v>
      </c>
      <c r="R807" s="36">
        <v>0</v>
      </c>
      <c r="S807" s="50">
        <v>0</v>
      </c>
      <c r="T807" s="36">
        <v>0</v>
      </c>
      <c r="U807" s="36">
        <v>0</v>
      </c>
      <c r="V807" s="36">
        <v>0</v>
      </c>
      <c r="W807" s="36">
        <v>0</v>
      </c>
      <c r="X807" s="50">
        <v>0</v>
      </c>
      <c r="Y807" s="36">
        <v>0</v>
      </c>
      <c r="Z807" s="36">
        <v>0</v>
      </c>
      <c r="AA807" s="36">
        <v>0</v>
      </c>
      <c r="AB807" s="36">
        <v>0</v>
      </c>
      <c r="AC807" s="50">
        <v>1</v>
      </c>
      <c r="AD807" s="36">
        <v>2</v>
      </c>
      <c r="AE807" s="36">
        <v>2</v>
      </c>
      <c r="AF807" s="36">
        <v>2</v>
      </c>
      <c r="AG807" s="36">
        <v>0</v>
      </c>
      <c r="AH807" s="50">
        <v>1</v>
      </c>
      <c r="AI807" s="36">
        <v>2</v>
      </c>
      <c r="AJ807" s="36">
        <v>2</v>
      </c>
      <c r="AK807" s="36">
        <v>2</v>
      </c>
      <c r="AL807" s="36">
        <v>0</v>
      </c>
      <c r="AM807" s="50">
        <v>0</v>
      </c>
      <c r="AN807" s="36">
        <v>0</v>
      </c>
      <c r="AO807" s="36">
        <v>0</v>
      </c>
      <c r="AP807" s="36">
        <v>0</v>
      </c>
      <c r="AQ807" s="36">
        <v>0</v>
      </c>
      <c r="AR807" s="50">
        <v>0</v>
      </c>
      <c r="AS807" s="36">
        <v>0</v>
      </c>
      <c r="AT807" s="36">
        <v>0</v>
      </c>
      <c r="AU807" s="36">
        <v>0</v>
      </c>
      <c r="AV807" s="36">
        <v>0</v>
      </c>
      <c r="AW807">
        <v>0</v>
      </c>
    </row>
    <row r="808" spans="1:50" x14ac:dyDescent="0.25">
      <c r="A808" s="36"/>
      <c r="B808" t="s">
        <v>120</v>
      </c>
      <c r="C808" s="36" t="str">
        <f>'Status Thresholds'!B799</f>
        <v>Volvidon</v>
      </c>
      <c r="E808" s="36" t="str">
        <f t="shared" si="27"/>
        <v>Volvidon</v>
      </c>
      <c r="F808" s="36" t="str">
        <f>IFERROR(VLOOKUP($E808,'Status Thresholds'!$E:$AS,1,FALSE),"")</f>
        <v/>
      </c>
      <c r="G808" t="s">
        <v>13</v>
      </c>
      <c r="H808" s="55" t="str">
        <f t="shared" si="28"/>
        <v>VolvidonCrag 3</v>
      </c>
      <c r="I808" s="50">
        <v>0</v>
      </c>
      <c r="J808" s="36">
        <v>2</v>
      </c>
      <c r="K808" s="36">
        <v>4</v>
      </c>
      <c r="L808" s="36">
        <v>2</v>
      </c>
      <c r="M808" s="36">
        <v>0</v>
      </c>
      <c r="N808" s="50">
        <v>0</v>
      </c>
      <c r="O808" s="36">
        <v>0</v>
      </c>
      <c r="P808" s="36">
        <v>0</v>
      </c>
      <c r="Q808" s="36">
        <v>0</v>
      </c>
      <c r="R808" s="36">
        <v>0</v>
      </c>
      <c r="S808" s="50">
        <v>0</v>
      </c>
      <c r="T808" s="36">
        <v>0</v>
      </c>
      <c r="U808" s="36">
        <v>0</v>
      </c>
      <c r="V808" s="36">
        <v>0</v>
      </c>
      <c r="W808" s="36">
        <v>0</v>
      </c>
      <c r="X808" s="50">
        <v>0</v>
      </c>
      <c r="Y808" s="36">
        <v>0</v>
      </c>
      <c r="Z808" s="36">
        <v>0</v>
      </c>
      <c r="AA808" s="36">
        <v>0</v>
      </c>
      <c r="AB808" s="36">
        <v>0</v>
      </c>
      <c r="AC808" s="50">
        <v>1</v>
      </c>
      <c r="AD808" s="36">
        <v>2</v>
      </c>
      <c r="AE808" s="36">
        <v>4</v>
      </c>
      <c r="AF808" s="36">
        <v>3</v>
      </c>
      <c r="AG808" s="36">
        <v>0</v>
      </c>
      <c r="AH808" s="50">
        <v>1</v>
      </c>
      <c r="AI808" s="36">
        <v>2</v>
      </c>
      <c r="AJ808" s="36">
        <v>4</v>
      </c>
      <c r="AK808" s="36">
        <v>3</v>
      </c>
      <c r="AL808" s="36">
        <v>0</v>
      </c>
      <c r="AM808" s="50">
        <v>0</v>
      </c>
      <c r="AN808" s="36">
        <v>0</v>
      </c>
      <c r="AO808" s="36">
        <v>0</v>
      </c>
      <c r="AP808" s="36">
        <v>0</v>
      </c>
      <c r="AQ808" s="36">
        <v>0</v>
      </c>
      <c r="AR808" s="50">
        <v>0</v>
      </c>
      <c r="AS808" s="36">
        <v>0</v>
      </c>
      <c r="AT808" s="36">
        <v>0</v>
      </c>
      <c r="AU808" s="36">
        <v>0</v>
      </c>
      <c r="AV808" s="36">
        <v>0</v>
      </c>
      <c r="AW808">
        <v>0</v>
      </c>
      <c r="AX808">
        <v>0</v>
      </c>
    </row>
    <row r="809" spans="1:50" x14ac:dyDescent="0.25">
      <c r="A809" s="36"/>
      <c r="B809" t="s">
        <v>120</v>
      </c>
      <c r="C809" s="36" t="str">
        <f>'Status Thresholds'!B800</f>
        <v>Volvidon</v>
      </c>
      <c r="E809" s="36" t="str">
        <f t="shared" si="27"/>
        <v>Volvidon</v>
      </c>
      <c r="F809" s="36" t="str">
        <f>IFERROR(VLOOKUP($E809,'Status Thresholds'!$E:$AS,1,FALSE),"")</f>
        <v/>
      </c>
      <c r="G809" t="s">
        <v>12</v>
      </c>
      <c r="H809" s="55" t="str">
        <f t="shared" si="28"/>
        <v>VolvidonCrag 2</v>
      </c>
      <c r="I809" s="50">
        <v>1</v>
      </c>
      <c r="J809" s="36">
        <v>1</v>
      </c>
      <c r="K809" s="36">
        <v>1</v>
      </c>
      <c r="L809" s="36">
        <v>3</v>
      </c>
      <c r="M809" s="36">
        <v>0</v>
      </c>
      <c r="N809" s="50">
        <v>0</v>
      </c>
      <c r="O809" s="36">
        <v>0</v>
      </c>
      <c r="P809" s="36">
        <v>0</v>
      </c>
      <c r="Q809" s="36">
        <v>0</v>
      </c>
      <c r="R809" s="36">
        <v>0</v>
      </c>
      <c r="S809" s="50">
        <v>0</v>
      </c>
      <c r="T809" s="36">
        <v>0</v>
      </c>
      <c r="U809" s="36">
        <v>0</v>
      </c>
      <c r="V809" s="36">
        <v>0</v>
      </c>
      <c r="W809" s="36">
        <v>0</v>
      </c>
      <c r="X809" s="50">
        <v>0</v>
      </c>
      <c r="Y809" s="36">
        <v>0</v>
      </c>
      <c r="Z809" s="36">
        <v>0</v>
      </c>
      <c r="AA809" s="36">
        <v>0</v>
      </c>
      <c r="AB809" s="36">
        <v>0</v>
      </c>
      <c r="AC809" s="50">
        <v>0</v>
      </c>
      <c r="AD809" s="36">
        <v>0</v>
      </c>
      <c r="AE809" s="36">
        <v>2</v>
      </c>
      <c r="AF809" s="36">
        <v>3</v>
      </c>
      <c r="AG809" s="36">
        <v>0</v>
      </c>
      <c r="AH809" s="50">
        <v>0</v>
      </c>
      <c r="AI809" s="36">
        <v>0</v>
      </c>
      <c r="AJ809" s="36">
        <v>2</v>
      </c>
      <c r="AK809" s="36">
        <v>3</v>
      </c>
      <c r="AL809" s="36">
        <v>0</v>
      </c>
      <c r="AM809" s="50">
        <v>0</v>
      </c>
      <c r="AN809" s="36">
        <v>0</v>
      </c>
      <c r="AO809" s="36">
        <v>0</v>
      </c>
      <c r="AP809" s="36">
        <v>0</v>
      </c>
      <c r="AQ809" s="36">
        <v>0</v>
      </c>
      <c r="AR809" s="50">
        <v>0</v>
      </c>
      <c r="AS809" s="36">
        <v>0</v>
      </c>
      <c r="AT809" s="36">
        <v>0</v>
      </c>
      <c r="AU809" s="36">
        <v>0</v>
      </c>
      <c r="AV809" s="36">
        <v>0</v>
      </c>
      <c r="AW809">
        <v>0</v>
      </c>
      <c r="AX809">
        <v>0</v>
      </c>
    </row>
    <row r="810" spans="1:50" x14ac:dyDescent="0.25">
      <c r="A810" s="36"/>
      <c r="B810" t="s">
        <v>120</v>
      </c>
      <c r="C810" s="36" t="str">
        <f>'Status Thresholds'!B801</f>
        <v>Volvidon</v>
      </c>
      <c r="E810" s="36" t="str">
        <f t="shared" si="27"/>
        <v>Volvidon</v>
      </c>
      <c r="F810" s="36" t="str">
        <f>IFERROR(VLOOKUP($E810,'Status Thresholds'!$E:$AS,1,FALSE),"")</f>
        <v/>
      </c>
      <c r="G810" t="s">
        <v>11</v>
      </c>
      <c r="H810" s="55" t="str">
        <f t="shared" si="28"/>
        <v>VolvidonCrag 1</v>
      </c>
      <c r="I810" s="50">
        <v>1</v>
      </c>
      <c r="J810" s="36">
        <v>0</v>
      </c>
      <c r="K810" s="36">
        <v>2</v>
      </c>
      <c r="L810" s="36">
        <v>8</v>
      </c>
      <c r="M810" s="36">
        <v>0</v>
      </c>
      <c r="N810" s="50">
        <v>0</v>
      </c>
      <c r="O810" s="36">
        <v>0</v>
      </c>
      <c r="P810" s="36">
        <v>0</v>
      </c>
      <c r="Q810" s="36">
        <v>0</v>
      </c>
      <c r="R810" s="36">
        <v>0</v>
      </c>
      <c r="S810" s="50">
        <v>0</v>
      </c>
      <c r="T810" s="36">
        <v>0</v>
      </c>
      <c r="U810" s="36">
        <v>0</v>
      </c>
      <c r="V810" s="36">
        <v>0</v>
      </c>
      <c r="W810" s="36">
        <v>0</v>
      </c>
      <c r="X810" s="50">
        <v>0</v>
      </c>
      <c r="Y810" s="36">
        <v>0</v>
      </c>
      <c r="Z810" s="36">
        <v>0</v>
      </c>
      <c r="AA810" s="36">
        <v>0</v>
      </c>
      <c r="AB810" s="36">
        <v>0</v>
      </c>
      <c r="AC810" s="50">
        <v>1</v>
      </c>
      <c r="AD810" s="36">
        <v>2</v>
      </c>
      <c r="AE810" s="36">
        <v>2</v>
      </c>
      <c r="AF810" s="36">
        <v>8</v>
      </c>
      <c r="AG810" s="36">
        <v>0</v>
      </c>
      <c r="AH810" s="50">
        <v>1</v>
      </c>
      <c r="AI810" s="36">
        <v>2</v>
      </c>
      <c r="AJ810" s="36">
        <v>2</v>
      </c>
      <c r="AK810" s="36">
        <v>8</v>
      </c>
      <c r="AL810" s="36">
        <v>0</v>
      </c>
      <c r="AM810" s="50">
        <v>0</v>
      </c>
      <c r="AN810" s="36">
        <v>0</v>
      </c>
      <c r="AO810" s="36">
        <v>0</v>
      </c>
      <c r="AP810" s="36">
        <v>0</v>
      </c>
      <c r="AQ810" s="36">
        <v>0</v>
      </c>
      <c r="AR810" s="50">
        <v>0</v>
      </c>
      <c r="AS810" s="36">
        <v>0</v>
      </c>
      <c r="AT810" s="36">
        <v>0</v>
      </c>
      <c r="AU810" s="36">
        <v>0</v>
      </c>
      <c r="AV810" s="36">
        <v>1</v>
      </c>
      <c r="AW810">
        <v>0</v>
      </c>
      <c r="AX810">
        <v>0</v>
      </c>
    </row>
    <row r="811" spans="1:50" x14ac:dyDescent="0.25">
      <c r="A811" s="36"/>
      <c r="B811" t="s">
        <v>119</v>
      </c>
      <c r="C811" s="36" t="str">
        <f>'Status Thresholds'!B802</f>
        <v>Volvidon</v>
      </c>
      <c r="E811" s="36" t="str">
        <f t="shared" si="27"/>
        <v>Volvidon</v>
      </c>
      <c r="F811" s="36" t="str">
        <f>IFERROR(VLOOKUP($E811,'Status Thresholds'!$E:$AS,1,FALSE),"")</f>
        <v/>
      </c>
      <c r="G811" t="s">
        <v>21</v>
      </c>
      <c r="H811" s="55" t="str">
        <f t="shared" si="28"/>
        <v>VolvidonTriblast</v>
      </c>
      <c r="I811" s="50">
        <v>0</v>
      </c>
      <c r="J811" s="36">
        <v>2</v>
      </c>
      <c r="K811" s="36">
        <v>2</v>
      </c>
      <c r="L811" s="36">
        <v>2</v>
      </c>
      <c r="M811" s="36">
        <v>0</v>
      </c>
      <c r="N811" s="50">
        <v>0</v>
      </c>
      <c r="O811" s="36">
        <v>0</v>
      </c>
      <c r="P811" s="36">
        <v>0</v>
      </c>
      <c r="Q811" s="36">
        <v>0</v>
      </c>
      <c r="R811" s="36">
        <v>0</v>
      </c>
      <c r="S811" s="50">
        <v>0</v>
      </c>
      <c r="T811" s="36">
        <v>0</v>
      </c>
      <c r="U811" s="36">
        <v>0</v>
      </c>
      <c r="V811" s="36">
        <v>0</v>
      </c>
      <c r="W811" s="36">
        <v>0</v>
      </c>
      <c r="X811" s="50">
        <v>0</v>
      </c>
      <c r="Y811" s="36">
        <v>0</v>
      </c>
      <c r="Z811" s="36">
        <v>0</v>
      </c>
      <c r="AA811" s="36">
        <v>0</v>
      </c>
      <c r="AB811" s="36">
        <v>0</v>
      </c>
      <c r="AC811" s="50">
        <v>0</v>
      </c>
      <c r="AD811" s="36">
        <v>0</v>
      </c>
      <c r="AE811" s="36">
        <v>0</v>
      </c>
      <c r="AF811" s="36">
        <v>2</v>
      </c>
      <c r="AG811" s="36">
        <v>0</v>
      </c>
      <c r="AH811" s="50">
        <v>0</v>
      </c>
      <c r="AI811" s="36">
        <v>0</v>
      </c>
      <c r="AJ811" s="36">
        <v>0</v>
      </c>
      <c r="AK811" s="36">
        <v>2</v>
      </c>
      <c r="AL811" s="36">
        <v>0</v>
      </c>
      <c r="AM811" s="50">
        <v>0</v>
      </c>
      <c r="AN811" s="36">
        <v>0</v>
      </c>
      <c r="AO811" s="36">
        <v>0</v>
      </c>
      <c r="AP811" s="36">
        <v>0</v>
      </c>
      <c r="AQ811" s="36">
        <v>0</v>
      </c>
      <c r="AR811" s="50">
        <v>0</v>
      </c>
      <c r="AS811" s="36">
        <v>0</v>
      </c>
      <c r="AT811" s="36">
        <v>0</v>
      </c>
      <c r="AU811" s="36">
        <v>0</v>
      </c>
      <c r="AV811" s="36">
        <v>0</v>
      </c>
      <c r="AW811">
        <v>0</v>
      </c>
      <c r="AX811">
        <v>0</v>
      </c>
    </row>
    <row r="812" spans="1:50" x14ac:dyDescent="0.25">
      <c r="A812" s="36"/>
      <c r="B812" t="s">
        <v>119</v>
      </c>
      <c r="C812" s="36" t="str">
        <f>'Status Thresholds'!B803</f>
        <v>Volvidon</v>
      </c>
      <c r="E812" s="36" t="str">
        <f t="shared" si="27"/>
        <v>Volvidon</v>
      </c>
      <c r="F812" s="36" t="str">
        <f>IFERROR(VLOOKUP($E812,'Status Thresholds'!$E:$AS,1,FALSE),"")</f>
        <v/>
      </c>
      <c r="G812" t="s">
        <v>13</v>
      </c>
      <c r="H812" s="55" t="str">
        <f t="shared" si="28"/>
        <v>VolvidonCrag 3</v>
      </c>
      <c r="I812" s="50">
        <v>1</v>
      </c>
      <c r="J812" s="36">
        <v>1</v>
      </c>
      <c r="K812" s="36">
        <v>0</v>
      </c>
      <c r="L812" s="36">
        <v>1</v>
      </c>
      <c r="M812" s="36">
        <v>0</v>
      </c>
      <c r="N812" s="50">
        <v>0</v>
      </c>
      <c r="O812" s="36">
        <v>0</v>
      </c>
      <c r="P812" s="36">
        <v>0</v>
      </c>
      <c r="Q812" s="36">
        <v>0</v>
      </c>
      <c r="R812" s="36">
        <v>0</v>
      </c>
      <c r="S812" s="50">
        <v>0</v>
      </c>
      <c r="T812" s="36">
        <v>0</v>
      </c>
      <c r="U812" s="36">
        <v>0</v>
      </c>
      <c r="V812" s="36">
        <v>0</v>
      </c>
      <c r="W812" s="36">
        <v>0</v>
      </c>
      <c r="X812" s="50">
        <v>0</v>
      </c>
      <c r="Y812" s="36">
        <v>0</v>
      </c>
      <c r="Z812" s="36">
        <v>0</v>
      </c>
      <c r="AA812" s="36">
        <v>0</v>
      </c>
      <c r="AB812" s="36">
        <v>0</v>
      </c>
      <c r="AC812" s="50">
        <v>0</v>
      </c>
      <c r="AD812" s="36">
        <v>0</v>
      </c>
      <c r="AE812" s="36">
        <v>3</v>
      </c>
      <c r="AF812" s="36">
        <v>4</v>
      </c>
      <c r="AG812" s="36">
        <v>0</v>
      </c>
      <c r="AH812" s="50">
        <v>0</v>
      </c>
      <c r="AI812" s="36">
        <v>0</v>
      </c>
      <c r="AJ812" s="36">
        <v>3</v>
      </c>
      <c r="AK812" s="36">
        <v>4</v>
      </c>
      <c r="AL812" s="36">
        <v>0</v>
      </c>
      <c r="AM812" s="50">
        <v>0</v>
      </c>
      <c r="AN812" s="36">
        <v>0</v>
      </c>
      <c r="AO812" s="36">
        <v>0</v>
      </c>
      <c r="AP812" s="36">
        <v>0</v>
      </c>
      <c r="AQ812" s="36">
        <v>0</v>
      </c>
      <c r="AR812" s="50">
        <v>0</v>
      </c>
      <c r="AS812" s="36">
        <v>0</v>
      </c>
      <c r="AT812" s="36">
        <v>0</v>
      </c>
      <c r="AU812" s="36">
        <v>0</v>
      </c>
      <c r="AV812" s="36">
        <v>0</v>
      </c>
      <c r="AW812">
        <v>0</v>
      </c>
      <c r="AX812">
        <v>0</v>
      </c>
    </row>
    <row r="813" spans="1:50" x14ac:dyDescent="0.25">
      <c r="A813" s="36"/>
      <c r="B813" t="s">
        <v>119</v>
      </c>
      <c r="C813" s="36" t="str">
        <f>'Status Thresholds'!B804</f>
        <v>Volvidon</v>
      </c>
      <c r="E813" s="36" t="str">
        <f t="shared" si="27"/>
        <v>Volvidon</v>
      </c>
      <c r="F813" s="36" t="str">
        <f>IFERROR(VLOOKUP($E813,'Status Thresholds'!$E:$AS,1,FALSE),"")</f>
        <v/>
      </c>
      <c r="G813" t="s">
        <v>12</v>
      </c>
      <c r="H813" s="55" t="str">
        <f t="shared" si="28"/>
        <v>VolvidonCrag 2</v>
      </c>
      <c r="I813" s="50">
        <v>1</v>
      </c>
      <c r="J813" s="36">
        <v>0</v>
      </c>
      <c r="K813" s="36">
        <v>2</v>
      </c>
      <c r="L813" s="36">
        <v>3</v>
      </c>
      <c r="M813" s="36">
        <v>0</v>
      </c>
      <c r="N813" s="50">
        <v>0</v>
      </c>
      <c r="O813" s="36">
        <v>0</v>
      </c>
      <c r="P813" s="36">
        <v>0</v>
      </c>
      <c r="Q813" s="36">
        <v>0</v>
      </c>
      <c r="R813" s="36">
        <v>0</v>
      </c>
      <c r="S813" s="50">
        <v>0</v>
      </c>
      <c r="T813" s="36">
        <v>0</v>
      </c>
      <c r="U813" s="36">
        <v>0</v>
      </c>
      <c r="V813" s="36">
        <v>0</v>
      </c>
      <c r="W813" s="36">
        <v>0</v>
      </c>
      <c r="X813" s="50">
        <v>0</v>
      </c>
      <c r="Y813" s="36">
        <v>0</v>
      </c>
      <c r="Z813" s="36">
        <v>0</v>
      </c>
      <c r="AA813" s="36">
        <v>0</v>
      </c>
      <c r="AB813" s="36">
        <v>0</v>
      </c>
      <c r="AC813" s="50">
        <v>1</v>
      </c>
      <c r="AD813" s="36">
        <v>2</v>
      </c>
      <c r="AE813" s="36">
        <v>3</v>
      </c>
      <c r="AF813" s="36">
        <v>1</v>
      </c>
      <c r="AG813" s="36">
        <v>0</v>
      </c>
      <c r="AH813" s="50">
        <v>1</v>
      </c>
      <c r="AI813" s="36">
        <v>2</v>
      </c>
      <c r="AJ813" s="36">
        <v>3</v>
      </c>
      <c r="AK813" s="36">
        <v>1</v>
      </c>
      <c r="AL813" s="36">
        <v>0</v>
      </c>
      <c r="AM813" s="50">
        <v>0</v>
      </c>
      <c r="AN813" s="36">
        <v>0</v>
      </c>
      <c r="AO813" s="36">
        <v>0</v>
      </c>
      <c r="AP813" s="36">
        <v>0</v>
      </c>
      <c r="AQ813" s="36">
        <v>0</v>
      </c>
      <c r="AR813" s="50">
        <v>0</v>
      </c>
      <c r="AS813" s="36">
        <v>0</v>
      </c>
      <c r="AT813" s="36">
        <v>0</v>
      </c>
      <c r="AU813" s="36">
        <v>0</v>
      </c>
      <c r="AV813" s="36">
        <v>0</v>
      </c>
      <c r="AW813">
        <v>0</v>
      </c>
      <c r="AX813">
        <v>0</v>
      </c>
    </row>
    <row r="814" spans="1:50" x14ac:dyDescent="0.25">
      <c r="A814" s="36"/>
      <c r="B814" t="s">
        <v>119</v>
      </c>
      <c r="C814" s="36" t="str">
        <f>'Status Thresholds'!B805</f>
        <v>Volvidon</v>
      </c>
      <c r="E814" s="36" t="str">
        <f t="shared" si="27"/>
        <v>Volvidon</v>
      </c>
      <c r="F814" s="36" t="str">
        <f>IFERROR(VLOOKUP($E814,'Status Thresholds'!$E:$AS,1,FALSE),"")</f>
        <v/>
      </c>
      <c r="G814" t="s">
        <v>11</v>
      </c>
      <c r="H814" s="55" t="str">
        <f t="shared" si="28"/>
        <v>VolvidonCrag 1</v>
      </c>
      <c r="I814" s="50">
        <v>2</v>
      </c>
      <c r="J814" s="36">
        <v>2</v>
      </c>
      <c r="K814" s="36">
        <v>6</v>
      </c>
      <c r="L814" s="36">
        <v>8</v>
      </c>
      <c r="M814" s="36">
        <v>0</v>
      </c>
      <c r="N814" s="50">
        <v>0</v>
      </c>
      <c r="O814" s="36">
        <v>0</v>
      </c>
      <c r="P814" s="36">
        <v>0</v>
      </c>
      <c r="Q814" s="36">
        <v>0</v>
      </c>
      <c r="R814" s="36">
        <v>0</v>
      </c>
      <c r="S814" s="50">
        <v>0</v>
      </c>
      <c r="T814" s="36">
        <v>0</v>
      </c>
      <c r="U814" s="36">
        <v>0</v>
      </c>
      <c r="V814" s="36">
        <v>0</v>
      </c>
      <c r="W814" s="36">
        <v>0</v>
      </c>
      <c r="X814" s="50">
        <v>0</v>
      </c>
      <c r="Y814" s="36">
        <v>0</v>
      </c>
      <c r="Z814" s="36">
        <v>0</v>
      </c>
      <c r="AA814" s="36">
        <v>0</v>
      </c>
      <c r="AB814" s="36">
        <v>0</v>
      </c>
      <c r="AC814" s="50">
        <v>4</v>
      </c>
      <c r="AD814" s="36">
        <v>8</v>
      </c>
      <c r="AE814" s="36">
        <v>7</v>
      </c>
      <c r="AF814" s="36">
        <v>7</v>
      </c>
      <c r="AG814" s="36">
        <v>0</v>
      </c>
      <c r="AH814" s="50">
        <v>4</v>
      </c>
      <c r="AI814" s="36">
        <v>8</v>
      </c>
      <c r="AJ814" s="36">
        <v>7</v>
      </c>
      <c r="AK814" s="36">
        <v>7</v>
      </c>
      <c r="AL814" s="36">
        <v>0</v>
      </c>
      <c r="AM814" s="50">
        <v>0</v>
      </c>
      <c r="AN814" s="36">
        <v>0</v>
      </c>
      <c r="AO814" s="36">
        <v>0</v>
      </c>
      <c r="AP814" s="36">
        <v>0</v>
      </c>
      <c r="AQ814" s="36">
        <v>0</v>
      </c>
      <c r="AR814" s="50">
        <v>0</v>
      </c>
      <c r="AS814" s="36">
        <v>0</v>
      </c>
      <c r="AT814" s="36">
        <v>0</v>
      </c>
      <c r="AU814" s="36">
        <v>0</v>
      </c>
      <c r="AV814" s="36">
        <v>1</v>
      </c>
      <c r="AW814">
        <v>0</v>
      </c>
      <c r="AX814">
        <v>0</v>
      </c>
    </row>
    <row r="815" spans="1:50" x14ac:dyDescent="0.25">
      <c r="A815" s="36"/>
      <c r="B815" t="s">
        <v>121</v>
      </c>
      <c r="C815" s="36" t="str">
        <f>'Status Thresholds'!B806</f>
        <v>Yian  Garuga</v>
      </c>
      <c r="D815" t="s">
        <v>14</v>
      </c>
      <c r="E815" s="36" t="str">
        <f t="shared" si="27"/>
        <v>Yian  GarugaKO</v>
      </c>
      <c r="F815" s="36" t="str">
        <f>IFERROR(VLOOKUP($E815,'Status Thresholds'!$E:$AS,1,FALSE),"")</f>
        <v>Yian  GarugaKO</v>
      </c>
      <c r="H815" s="55" t="str">
        <f t="shared" si="28"/>
        <v>Yian  GarugaKO</v>
      </c>
      <c r="I815" s="50">
        <f>VLOOKUP($F815,'Status Thresholds'!$E:$AS,2,FALSE)</f>
        <v>195</v>
      </c>
      <c r="J815" s="36">
        <f>VLOOKUP($F815,'Status Thresholds'!$E:$AS,3,FALSE)</f>
        <v>364</v>
      </c>
      <c r="K815" s="36">
        <f>VLOOKUP($F815,'Status Thresholds'!$E:$AS,4,FALSE)</f>
        <v>533</v>
      </c>
      <c r="L815" s="36">
        <f>VLOOKUP($F815,'Status Thresholds'!$E:$AS,5,FALSE)</f>
        <v>702</v>
      </c>
      <c r="M815" s="36">
        <f>VLOOKUP($F815,'Status Thresholds'!$E:$AS,6,FALSE)</f>
        <v>0</v>
      </c>
      <c r="N815" s="50">
        <f>VLOOKUP($F815,'Status Thresholds'!$E:$AS,7,FALSE)</f>
        <v>195</v>
      </c>
      <c r="O815" s="36">
        <f>VLOOKUP($F815,'Status Thresholds'!$E:$AS,8,FALSE)</f>
        <v>364</v>
      </c>
      <c r="P815" s="36">
        <f>VLOOKUP($F815,'Status Thresholds'!$E:$AS,9,FALSE)</f>
        <v>533</v>
      </c>
      <c r="Q815" s="36">
        <f>VLOOKUP($F815,'Status Thresholds'!$E:$AS,10,FALSE)</f>
        <v>702</v>
      </c>
      <c r="R815" s="36">
        <f>VLOOKUP($F815,'Status Thresholds'!$E:$AS,11,FALSE)</f>
        <v>0</v>
      </c>
      <c r="S815" s="50">
        <f>VLOOKUP($F815,'Status Thresholds'!$E:$AS,12,FALSE)</f>
        <v>195</v>
      </c>
      <c r="T815" s="36">
        <f>VLOOKUP($F815,'Status Thresholds'!$E:$AS,13,FALSE)</f>
        <v>364</v>
      </c>
      <c r="U815" s="36">
        <f>VLOOKUP($F815,'Status Thresholds'!$E:$AS,14,FALSE)</f>
        <v>533</v>
      </c>
      <c r="V815" s="36">
        <f>VLOOKUP($F815,'Status Thresholds'!$E:$AS,15,FALSE)</f>
        <v>702</v>
      </c>
      <c r="W815" s="36">
        <f>VLOOKUP($F815,'Status Thresholds'!$E:$AS,16,FALSE)</f>
        <v>0</v>
      </c>
      <c r="X815" s="50">
        <f>VLOOKUP($F815,'Status Thresholds'!$E:$AS,17,FALSE)</f>
        <v>0</v>
      </c>
      <c r="Y815" s="36">
        <f>VLOOKUP($F815,'Status Thresholds'!$E:$AS,18,FALSE)</f>
        <v>0</v>
      </c>
      <c r="Z815" s="36">
        <f>VLOOKUP($F815,'Status Thresholds'!$E:$AS,19,FALSE)</f>
        <v>0</v>
      </c>
      <c r="AA815" s="36">
        <f>VLOOKUP($F815,'Status Thresholds'!$E:$AS,20,FALSE)</f>
        <v>0</v>
      </c>
      <c r="AB815" s="36">
        <f>VLOOKUP($F815,'Status Thresholds'!$E:$AS,21,FALSE)</f>
        <v>0</v>
      </c>
      <c r="AC815" s="50">
        <f>VLOOKUP($F815,'Status Thresholds'!$E:$AS,22,FALSE)</f>
        <v>225</v>
      </c>
      <c r="AD815" s="36">
        <f>VLOOKUP($F815,'Status Thresholds'!$E:$AS,23,FALSE)</f>
        <v>420</v>
      </c>
      <c r="AE815" s="36">
        <f>VLOOKUP($F815,'Status Thresholds'!$E:$AS,24,FALSE)</f>
        <v>615</v>
      </c>
      <c r="AF815" s="36">
        <f>VLOOKUP($F815,'Status Thresholds'!$E:$AS,25,FALSE)</f>
        <v>810</v>
      </c>
      <c r="AG815" s="36">
        <f>VLOOKUP($F815,'Status Thresholds'!$E:$AS,26,FALSE)</f>
        <v>0</v>
      </c>
      <c r="AH815" s="50">
        <f>VLOOKUP($F815,'Status Thresholds'!$E:$AS,27,FALSE)</f>
        <v>225</v>
      </c>
      <c r="AI815" s="36">
        <f>VLOOKUP($F815,'Status Thresholds'!$E:$AS,28,FALSE)</f>
        <v>420</v>
      </c>
      <c r="AJ815" s="36">
        <f>VLOOKUP($F815,'Status Thresholds'!$E:$AS,29,FALSE)</f>
        <v>615</v>
      </c>
      <c r="AK815" s="36">
        <f>VLOOKUP($F815,'Status Thresholds'!$E:$AS,30,FALSE)</f>
        <v>810</v>
      </c>
      <c r="AL815" s="36">
        <f>VLOOKUP($F815,'Status Thresholds'!$E:$AS,31,FALSE)</f>
        <v>0</v>
      </c>
      <c r="AM815" s="50">
        <f>VLOOKUP($F815,'Status Thresholds'!$E:$AS,32,FALSE)</f>
        <v>300</v>
      </c>
      <c r="AN815" s="36">
        <f>VLOOKUP($F815,'Status Thresholds'!$E:$AS,33,FALSE)</f>
        <v>560</v>
      </c>
      <c r="AO815" s="36">
        <f>VLOOKUP($F815,'Status Thresholds'!$E:$AS,34,FALSE)</f>
        <v>820</v>
      </c>
      <c r="AP815" s="36">
        <f>VLOOKUP($F815,'Status Thresholds'!$E:$AS,35,FALSE)</f>
        <v>1080</v>
      </c>
      <c r="AQ815" s="36">
        <f>VLOOKUP($F815,'Status Thresholds'!$E:$AS,36,FALSE)</f>
        <v>0</v>
      </c>
      <c r="AR815" s="50">
        <f>VLOOKUP($F815,'Status Thresholds'!$E:$AS,37,FALSE)</f>
        <v>0</v>
      </c>
      <c r="AS815" s="36">
        <f>VLOOKUP($F815,'Status Thresholds'!$E:$AS,38,FALSE)</f>
        <v>0</v>
      </c>
      <c r="AT815" s="36">
        <f>VLOOKUP($F815,'Status Thresholds'!$E:$AS,39,FALSE)</f>
        <v>0</v>
      </c>
      <c r="AU815" s="36">
        <f>VLOOKUP($F815,'Status Thresholds'!$E:$AS,40,FALSE)</f>
        <v>0</v>
      </c>
      <c r="AV815" s="36">
        <f>VLOOKUP($F815,'Status Thresholds'!$E:$AS,41,FALSE)</f>
        <v>10</v>
      </c>
      <c r="AW815">
        <v>0</v>
      </c>
      <c r="AX815">
        <v>0</v>
      </c>
    </row>
    <row r="816" spans="1:50" x14ac:dyDescent="0.25">
      <c r="A816" s="36"/>
      <c r="B816" t="s">
        <v>120</v>
      </c>
      <c r="C816" s="36" t="str">
        <f>'Status Thresholds'!B807</f>
        <v>Yian  Garuga</v>
      </c>
      <c r="E816" s="36" t="str">
        <f t="shared" si="27"/>
        <v>Yian  Garuga</v>
      </c>
      <c r="F816" s="36" t="str">
        <f>IFERROR(VLOOKUP($E816,'Status Thresholds'!$E:$AS,1,FALSE),"")</f>
        <v/>
      </c>
      <c r="G816" t="s">
        <v>21</v>
      </c>
      <c r="H816" s="55" t="str">
        <f t="shared" si="28"/>
        <v>Yian  GarugaTriblast</v>
      </c>
      <c r="I816" s="50">
        <v>1</v>
      </c>
      <c r="J816" s="36">
        <v>2</v>
      </c>
      <c r="K816" s="36">
        <v>2</v>
      </c>
      <c r="L816" s="36">
        <v>2</v>
      </c>
      <c r="M816" s="36">
        <v>0</v>
      </c>
      <c r="N816" s="50">
        <v>1</v>
      </c>
      <c r="O816" s="36">
        <v>2</v>
      </c>
      <c r="P816" s="36">
        <v>2</v>
      </c>
      <c r="Q816" s="36">
        <v>2</v>
      </c>
      <c r="R816" s="36">
        <v>0</v>
      </c>
      <c r="S816" s="50">
        <v>1</v>
      </c>
      <c r="T816" s="36">
        <v>2</v>
      </c>
      <c r="U816" s="36">
        <v>2</v>
      </c>
      <c r="V816" s="36">
        <v>2</v>
      </c>
      <c r="W816" s="36">
        <v>0</v>
      </c>
      <c r="X816" s="50">
        <v>0</v>
      </c>
      <c r="Y816" s="36">
        <v>0</v>
      </c>
      <c r="Z816" s="36">
        <v>0</v>
      </c>
      <c r="AA816" s="36">
        <v>0</v>
      </c>
      <c r="AB816" s="36">
        <v>0</v>
      </c>
      <c r="AC816" s="50">
        <v>2</v>
      </c>
      <c r="AD816" s="36">
        <v>2</v>
      </c>
      <c r="AE816" s="36">
        <v>2</v>
      </c>
      <c r="AF816" s="36">
        <v>2</v>
      </c>
      <c r="AG816" s="36">
        <v>0</v>
      </c>
      <c r="AH816" s="50">
        <v>2</v>
      </c>
      <c r="AI816" s="36">
        <v>2</v>
      </c>
      <c r="AJ816" s="36">
        <v>2</v>
      </c>
      <c r="AK816" s="36">
        <v>2</v>
      </c>
      <c r="AL816" s="36">
        <v>0</v>
      </c>
      <c r="AM816" s="50">
        <v>2</v>
      </c>
      <c r="AN816" s="36">
        <v>2</v>
      </c>
      <c r="AO816" s="36">
        <v>2</v>
      </c>
      <c r="AP816" s="36">
        <v>2</v>
      </c>
      <c r="AQ816" s="36">
        <v>0</v>
      </c>
      <c r="AR816" s="50">
        <v>0</v>
      </c>
      <c r="AS816" s="36">
        <v>0</v>
      </c>
      <c r="AT816" s="36">
        <v>0</v>
      </c>
      <c r="AU816" s="36">
        <v>0</v>
      </c>
      <c r="AV816" s="36">
        <v>0</v>
      </c>
      <c r="AW816">
        <v>0</v>
      </c>
    </row>
    <row r="817" spans="1:50" x14ac:dyDescent="0.25">
      <c r="A817" s="36"/>
      <c r="B817" t="s">
        <v>120</v>
      </c>
      <c r="C817" s="36" t="str">
        <f>'Status Thresholds'!B808</f>
        <v>Yian  Garuga</v>
      </c>
      <c r="E817" s="36" t="str">
        <f t="shared" si="27"/>
        <v>Yian  Garuga</v>
      </c>
      <c r="F817" s="36" t="str">
        <f>IFERROR(VLOOKUP($E817,'Status Thresholds'!$E:$AS,1,FALSE),"")</f>
        <v/>
      </c>
      <c r="G817" t="s">
        <v>13</v>
      </c>
      <c r="H817" s="55" t="str">
        <f t="shared" si="28"/>
        <v>Yian  GarugaCrag 3</v>
      </c>
      <c r="I817" s="50">
        <v>0</v>
      </c>
      <c r="J817" s="36">
        <v>2</v>
      </c>
      <c r="K817" s="36">
        <v>3</v>
      </c>
      <c r="L817" s="36">
        <v>4</v>
      </c>
      <c r="M817" s="36">
        <v>0</v>
      </c>
      <c r="N817" s="50">
        <v>0</v>
      </c>
      <c r="O817" s="36">
        <v>2</v>
      </c>
      <c r="P817" s="36">
        <v>3</v>
      </c>
      <c r="Q817" s="36">
        <v>4</v>
      </c>
      <c r="R817" s="36">
        <v>0</v>
      </c>
      <c r="S817" s="50">
        <v>0</v>
      </c>
      <c r="T817" s="36">
        <v>2</v>
      </c>
      <c r="U817" s="36">
        <v>3</v>
      </c>
      <c r="V817" s="36">
        <v>4</v>
      </c>
      <c r="W817" s="36">
        <v>0</v>
      </c>
      <c r="X817" s="50">
        <v>0</v>
      </c>
      <c r="Y817" s="36">
        <v>0</v>
      </c>
      <c r="Z817" s="36">
        <v>0</v>
      </c>
      <c r="AA817" s="36">
        <v>0</v>
      </c>
      <c r="AB817" s="36">
        <v>0</v>
      </c>
      <c r="AC817" s="50">
        <v>0</v>
      </c>
      <c r="AD817" s="36">
        <v>4</v>
      </c>
      <c r="AE817" s="36">
        <v>4</v>
      </c>
      <c r="AF817" s="36">
        <v>4</v>
      </c>
      <c r="AG817" s="36">
        <v>0</v>
      </c>
      <c r="AH817" s="50">
        <v>0</v>
      </c>
      <c r="AI817" s="36">
        <v>4</v>
      </c>
      <c r="AJ817" s="36">
        <v>4</v>
      </c>
      <c r="AK817" s="36">
        <v>4</v>
      </c>
      <c r="AL817" s="36">
        <v>0</v>
      </c>
      <c r="AM817" s="50">
        <v>3</v>
      </c>
      <c r="AN817" s="36">
        <v>3</v>
      </c>
      <c r="AO817" s="36">
        <v>4</v>
      </c>
      <c r="AP817" s="36">
        <v>4</v>
      </c>
      <c r="AQ817" s="36">
        <v>0</v>
      </c>
      <c r="AR817" s="50">
        <v>0</v>
      </c>
      <c r="AS817" s="36">
        <v>0</v>
      </c>
      <c r="AT817" s="36">
        <v>0</v>
      </c>
      <c r="AU817" s="36">
        <v>0</v>
      </c>
      <c r="AV817" s="36">
        <v>0</v>
      </c>
      <c r="AW817">
        <v>0</v>
      </c>
      <c r="AX817">
        <v>0</v>
      </c>
    </row>
    <row r="818" spans="1:50" x14ac:dyDescent="0.25">
      <c r="A818" s="36"/>
      <c r="B818" t="s">
        <v>120</v>
      </c>
      <c r="C818" s="36" t="str">
        <f>'Status Thresholds'!B809</f>
        <v>Yian  Garuga</v>
      </c>
      <c r="E818" s="36" t="str">
        <f t="shared" si="27"/>
        <v>Yian  Garuga</v>
      </c>
      <c r="F818" s="36" t="str">
        <f>IFERROR(VLOOKUP($E818,'Status Thresholds'!$E:$AS,1,FALSE),"")</f>
        <v/>
      </c>
      <c r="G818" t="s">
        <v>12</v>
      </c>
      <c r="H818" s="55" t="str">
        <f t="shared" si="28"/>
        <v>Yian  GarugaCrag 2</v>
      </c>
      <c r="I818" s="50">
        <v>4</v>
      </c>
      <c r="J818" s="36">
        <v>2</v>
      </c>
      <c r="K818" s="36">
        <v>3</v>
      </c>
      <c r="L818" s="36">
        <v>4</v>
      </c>
      <c r="M818" s="36">
        <v>0</v>
      </c>
      <c r="N818" s="50">
        <v>4</v>
      </c>
      <c r="O818" s="36">
        <v>2</v>
      </c>
      <c r="P818" s="36">
        <v>3</v>
      </c>
      <c r="Q818" s="36">
        <v>4</v>
      </c>
      <c r="R818" s="36">
        <v>0</v>
      </c>
      <c r="S818" s="50">
        <v>4</v>
      </c>
      <c r="T818" s="36">
        <v>2</v>
      </c>
      <c r="U818" s="36">
        <v>3</v>
      </c>
      <c r="V818" s="36">
        <v>4</v>
      </c>
      <c r="W818" s="36">
        <v>0</v>
      </c>
      <c r="X818" s="50">
        <v>0</v>
      </c>
      <c r="Y818" s="36">
        <v>0</v>
      </c>
      <c r="Z818" s="36">
        <v>0</v>
      </c>
      <c r="AA818" s="36">
        <v>0</v>
      </c>
      <c r="AB818" s="36">
        <v>0</v>
      </c>
      <c r="AC818" s="50">
        <v>0</v>
      </c>
      <c r="AD818" s="36">
        <v>2</v>
      </c>
      <c r="AE818" s="36">
        <v>4</v>
      </c>
      <c r="AF818" s="36">
        <v>4</v>
      </c>
      <c r="AG818" s="36">
        <v>0</v>
      </c>
      <c r="AH818" s="50">
        <v>0</v>
      </c>
      <c r="AI818" s="36">
        <v>2</v>
      </c>
      <c r="AJ818" s="36">
        <v>4</v>
      </c>
      <c r="AK818" s="36">
        <v>4</v>
      </c>
      <c r="AL818" s="36">
        <v>0</v>
      </c>
      <c r="AM818" s="50">
        <v>1</v>
      </c>
      <c r="AN818" s="36">
        <v>3</v>
      </c>
      <c r="AO818" s="36">
        <v>4</v>
      </c>
      <c r="AP818" s="36">
        <v>4</v>
      </c>
      <c r="AQ818" s="36">
        <v>0</v>
      </c>
      <c r="AR818" s="50">
        <v>0</v>
      </c>
      <c r="AS818" s="36">
        <v>0</v>
      </c>
      <c r="AT818" s="36">
        <v>0</v>
      </c>
      <c r="AU818" s="36">
        <v>0</v>
      </c>
      <c r="AV818" s="36">
        <v>0</v>
      </c>
      <c r="AW818">
        <v>0</v>
      </c>
      <c r="AX818">
        <v>0</v>
      </c>
    </row>
    <row r="819" spans="1:50" x14ac:dyDescent="0.25">
      <c r="A819" s="36"/>
      <c r="B819" t="s">
        <v>120</v>
      </c>
      <c r="C819" s="36" t="str">
        <f>'Status Thresholds'!B810</f>
        <v>Yian  Garuga</v>
      </c>
      <c r="E819" s="36" t="str">
        <f t="shared" si="27"/>
        <v>Yian  Garuga</v>
      </c>
      <c r="F819" s="36" t="str">
        <f>IFERROR(VLOOKUP($E819,'Status Thresholds'!$E:$AS,1,FALSE),"")</f>
        <v/>
      </c>
      <c r="G819" t="s">
        <v>11</v>
      </c>
      <c r="H819" s="55" t="str">
        <f t="shared" si="28"/>
        <v>Yian  GarugaCrag 1</v>
      </c>
      <c r="I819" s="50">
        <v>0</v>
      </c>
      <c r="J819" s="36">
        <v>3</v>
      </c>
      <c r="K819" s="36">
        <v>7</v>
      </c>
      <c r="L819" s="36">
        <v>8</v>
      </c>
      <c r="M819" s="36">
        <v>0</v>
      </c>
      <c r="N819" s="50">
        <v>0</v>
      </c>
      <c r="O819" s="36">
        <v>3</v>
      </c>
      <c r="P819" s="36">
        <v>7</v>
      </c>
      <c r="Q819" s="36">
        <v>8</v>
      </c>
      <c r="R819" s="36">
        <v>0</v>
      </c>
      <c r="S819" s="50">
        <v>0</v>
      </c>
      <c r="T819" s="36">
        <v>3</v>
      </c>
      <c r="U819" s="36">
        <v>7</v>
      </c>
      <c r="V819" s="36">
        <v>8</v>
      </c>
      <c r="W819" s="36">
        <v>0</v>
      </c>
      <c r="X819" s="50">
        <v>0</v>
      </c>
      <c r="Y819" s="36">
        <v>0</v>
      </c>
      <c r="Z819" s="36">
        <v>0</v>
      </c>
      <c r="AA819" s="36">
        <v>0</v>
      </c>
      <c r="AB819" s="36">
        <v>0</v>
      </c>
      <c r="AC819" s="50">
        <v>3</v>
      </c>
      <c r="AD819" s="36">
        <v>2</v>
      </c>
      <c r="AE819" s="36">
        <v>8</v>
      </c>
      <c r="AF819" s="36">
        <v>8</v>
      </c>
      <c r="AG819" s="36">
        <v>0</v>
      </c>
      <c r="AH819" s="50">
        <v>3</v>
      </c>
      <c r="AI819" s="36">
        <v>2</v>
      </c>
      <c r="AJ819" s="36">
        <v>8</v>
      </c>
      <c r="AK819" s="36">
        <v>8</v>
      </c>
      <c r="AL819" s="36">
        <v>0</v>
      </c>
      <c r="AM819" s="50">
        <v>0</v>
      </c>
      <c r="AN819" s="36">
        <v>8</v>
      </c>
      <c r="AO819" s="36">
        <v>8</v>
      </c>
      <c r="AP819" s="36">
        <v>8</v>
      </c>
      <c r="AQ819" s="36">
        <v>0</v>
      </c>
      <c r="AR819" s="50">
        <v>0</v>
      </c>
      <c r="AS819" s="36">
        <v>0</v>
      </c>
      <c r="AT819" s="36">
        <v>0</v>
      </c>
      <c r="AU819" s="36">
        <v>0</v>
      </c>
      <c r="AV819" s="36">
        <v>1</v>
      </c>
      <c r="AW819">
        <v>0</v>
      </c>
      <c r="AX819">
        <v>0</v>
      </c>
    </row>
    <row r="820" spans="1:50" x14ac:dyDescent="0.25">
      <c r="A820" s="36"/>
      <c r="B820" t="s">
        <v>119</v>
      </c>
      <c r="C820" s="36" t="str">
        <f>'Status Thresholds'!B811</f>
        <v>Yian  Garuga</v>
      </c>
      <c r="E820" s="36" t="str">
        <f t="shared" si="27"/>
        <v>Yian  Garuga</v>
      </c>
      <c r="F820" s="36" t="str">
        <f>IFERROR(VLOOKUP($E820,'Status Thresholds'!$E:$AS,1,FALSE),"")</f>
        <v/>
      </c>
      <c r="G820" t="s">
        <v>21</v>
      </c>
      <c r="H820" s="55" t="str">
        <f t="shared" si="28"/>
        <v>Yian  GarugaTriblast</v>
      </c>
      <c r="I820" s="50">
        <v>2</v>
      </c>
      <c r="J820" s="36">
        <v>1</v>
      </c>
      <c r="K820" s="36">
        <v>2</v>
      </c>
      <c r="L820" s="36">
        <v>2</v>
      </c>
      <c r="M820" s="36">
        <v>0</v>
      </c>
      <c r="N820" s="50">
        <v>2</v>
      </c>
      <c r="O820" s="36">
        <v>1</v>
      </c>
      <c r="P820" s="36">
        <v>2</v>
      </c>
      <c r="Q820" s="36">
        <v>2</v>
      </c>
      <c r="R820" s="36">
        <v>0</v>
      </c>
      <c r="S820" s="50">
        <v>2</v>
      </c>
      <c r="T820" s="36">
        <v>1</v>
      </c>
      <c r="U820" s="36">
        <v>2</v>
      </c>
      <c r="V820" s="36">
        <v>2</v>
      </c>
      <c r="W820" s="36">
        <v>0</v>
      </c>
      <c r="X820" s="50">
        <v>0</v>
      </c>
      <c r="Y820" s="36">
        <v>0</v>
      </c>
      <c r="Z820" s="36">
        <v>0</v>
      </c>
      <c r="AA820" s="36">
        <v>0</v>
      </c>
      <c r="AB820" s="36">
        <v>0</v>
      </c>
      <c r="AC820" s="50">
        <v>0</v>
      </c>
      <c r="AD820" s="36">
        <v>0</v>
      </c>
      <c r="AE820" s="36">
        <v>2</v>
      </c>
      <c r="AF820" s="36">
        <v>2</v>
      </c>
      <c r="AG820" s="36">
        <v>0</v>
      </c>
      <c r="AH820" s="50">
        <v>0</v>
      </c>
      <c r="AI820" s="36">
        <v>0</v>
      </c>
      <c r="AJ820" s="36">
        <v>2</v>
      </c>
      <c r="AK820" s="36">
        <v>2</v>
      </c>
      <c r="AL820" s="36">
        <v>0</v>
      </c>
      <c r="AM820" s="50">
        <v>1</v>
      </c>
      <c r="AN820" s="36">
        <v>2</v>
      </c>
      <c r="AO820" s="36">
        <v>2</v>
      </c>
      <c r="AP820" s="36">
        <v>2</v>
      </c>
      <c r="AQ820" s="36">
        <v>0</v>
      </c>
      <c r="AR820" s="50">
        <v>0</v>
      </c>
      <c r="AS820" s="36">
        <v>0</v>
      </c>
      <c r="AT820" s="36">
        <v>0</v>
      </c>
      <c r="AU820" s="36">
        <v>0</v>
      </c>
      <c r="AV820" s="36">
        <v>0</v>
      </c>
      <c r="AW820">
        <v>0</v>
      </c>
      <c r="AX820">
        <v>0</v>
      </c>
    </row>
    <row r="821" spans="1:50" x14ac:dyDescent="0.25">
      <c r="A821" s="36"/>
      <c r="B821" t="s">
        <v>119</v>
      </c>
      <c r="C821" s="36" t="str">
        <f>'Status Thresholds'!B812</f>
        <v>Yian  Garuga</v>
      </c>
      <c r="E821" s="36" t="str">
        <f t="shared" si="27"/>
        <v>Yian  Garuga</v>
      </c>
      <c r="F821" s="36" t="str">
        <f>IFERROR(VLOOKUP($E821,'Status Thresholds'!$E:$AS,1,FALSE),"")</f>
        <v/>
      </c>
      <c r="G821" t="s">
        <v>13</v>
      </c>
      <c r="H821" s="55" t="str">
        <f t="shared" si="28"/>
        <v>Yian  GarugaCrag 3</v>
      </c>
      <c r="I821" s="50">
        <v>0</v>
      </c>
      <c r="J821" s="36">
        <v>2</v>
      </c>
      <c r="K821" s="36">
        <v>4</v>
      </c>
      <c r="L821" s="36">
        <v>4</v>
      </c>
      <c r="M821" s="36">
        <v>0</v>
      </c>
      <c r="N821" s="50">
        <v>0</v>
      </c>
      <c r="O821" s="36">
        <v>2</v>
      </c>
      <c r="P821" s="36">
        <v>4</v>
      </c>
      <c r="Q821" s="36">
        <v>4</v>
      </c>
      <c r="R821" s="36">
        <v>0</v>
      </c>
      <c r="S821" s="50">
        <v>0</v>
      </c>
      <c r="T821" s="36">
        <v>2</v>
      </c>
      <c r="U821" s="36">
        <v>4</v>
      </c>
      <c r="V821" s="36">
        <v>4</v>
      </c>
      <c r="W821" s="36">
        <v>0</v>
      </c>
      <c r="X821" s="50">
        <v>0</v>
      </c>
      <c r="Y821" s="36">
        <v>0</v>
      </c>
      <c r="Z821" s="36">
        <v>0</v>
      </c>
      <c r="AA821" s="36">
        <v>0</v>
      </c>
      <c r="AB821" s="36">
        <v>0</v>
      </c>
      <c r="AC821" s="50">
        <v>3</v>
      </c>
      <c r="AD821" s="36">
        <v>3</v>
      </c>
      <c r="AE821" s="36">
        <v>3</v>
      </c>
      <c r="AF821" s="36">
        <v>4</v>
      </c>
      <c r="AG821" s="36">
        <v>0</v>
      </c>
      <c r="AH821" s="50">
        <v>3</v>
      </c>
      <c r="AI821" s="36">
        <v>3</v>
      </c>
      <c r="AJ821" s="36">
        <v>3</v>
      </c>
      <c r="AK821" s="36">
        <v>4</v>
      </c>
      <c r="AL821" s="36">
        <v>0</v>
      </c>
      <c r="AM821" s="50">
        <v>3</v>
      </c>
      <c r="AN821" s="36">
        <v>4</v>
      </c>
      <c r="AO821" s="36">
        <v>4</v>
      </c>
      <c r="AP821" s="36">
        <v>4</v>
      </c>
      <c r="AQ821" s="36">
        <v>0</v>
      </c>
      <c r="AR821" s="50">
        <v>0</v>
      </c>
      <c r="AS821" s="36">
        <v>0</v>
      </c>
      <c r="AT821" s="36">
        <v>0</v>
      </c>
      <c r="AU821" s="36">
        <v>0</v>
      </c>
      <c r="AV821" s="36">
        <v>0</v>
      </c>
      <c r="AW821">
        <v>0</v>
      </c>
      <c r="AX821">
        <v>0</v>
      </c>
    </row>
    <row r="822" spans="1:50" x14ac:dyDescent="0.25">
      <c r="A822" s="36"/>
      <c r="B822" t="s">
        <v>119</v>
      </c>
      <c r="C822" s="36" t="str">
        <f>'Status Thresholds'!B813</f>
        <v>Yian  Garuga</v>
      </c>
      <c r="E822" s="36" t="str">
        <f t="shared" si="27"/>
        <v>Yian  Garuga</v>
      </c>
      <c r="F822" s="36" t="str">
        <f>IFERROR(VLOOKUP($E822,'Status Thresholds'!$E:$AS,1,FALSE),"")</f>
        <v/>
      </c>
      <c r="G822" t="s">
        <v>12</v>
      </c>
      <c r="H822" s="55" t="str">
        <f t="shared" si="28"/>
        <v>Yian  GarugaCrag 2</v>
      </c>
      <c r="I822" s="50">
        <v>1</v>
      </c>
      <c r="J822" s="36">
        <v>1</v>
      </c>
      <c r="K822" s="36">
        <v>1</v>
      </c>
      <c r="L822" s="36">
        <v>4</v>
      </c>
      <c r="M822" s="36">
        <v>0</v>
      </c>
      <c r="N822" s="50">
        <v>1</v>
      </c>
      <c r="O822" s="36">
        <v>1</v>
      </c>
      <c r="P822" s="36">
        <v>1</v>
      </c>
      <c r="Q822" s="36">
        <v>4</v>
      </c>
      <c r="R822" s="36">
        <v>0</v>
      </c>
      <c r="S822" s="50">
        <v>1</v>
      </c>
      <c r="T822" s="36">
        <v>1</v>
      </c>
      <c r="U822" s="36">
        <v>1</v>
      </c>
      <c r="V822" s="36">
        <v>4</v>
      </c>
      <c r="W822" s="36">
        <v>0</v>
      </c>
      <c r="X822" s="50">
        <v>0</v>
      </c>
      <c r="Y822" s="36">
        <v>0</v>
      </c>
      <c r="Z822" s="36">
        <v>0</v>
      </c>
      <c r="AA822" s="36">
        <v>0</v>
      </c>
      <c r="AB822" s="36">
        <v>0</v>
      </c>
      <c r="AC822" s="50">
        <v>2</v>
      </c>
      <c r="AD822" s="36">
        <v>3</v>
      </c>
      <c r="AE822" s="36">
        <v>4</v>
      </c>
      <c r="AF822" s="36">
        <v>4</v>
      </c>
      <c r="AG822" s="36">
        <v>0</v>
      </c>
      <c r="AH822" s="50">
        <v>2</v>
      </c>
      <c r="AI822" s="36">
        <v>3</v>
      </c>
      <c r="AJ822" s="36">
        <v>4</v>
      </c>
      <c r="AK822" s="36">
        <v>4</v>
      </c>
      <c r="AL822" s="36">
        <v>0</v>
      </c>
      <c r="AM822" s="50">
        <v>1</v>
      </c>
      <c r="AN822" s="36">
        <v>1</v>
      </c>
      <c r="AO822" s="36">
        <v>4</v>
      </c>
      <c r="AP822" s="36">
        <v>4</v>
      </c>
      <c r="AQ822" s="36">
        <v>0</v>
      </c>
      <c r="AR822" s="50">
        <v>0</v>
      </c>
      <c r="AS822" s="36">
        <v>0</v>
      </c>
      <c r="AT822" s="36">
        <v>0</v>
      </c>
      <c r="AU822" s="36">
        <v>0</v>
      </c>
      <c r="AV822" s="36">
        <v>0</v>
      </c>
      <c r="AW822">
        <v>0</v>
      </c>
      <c r="AX822">
        <v>0</v>
      </c>
    </row>
    <row r="823" spans="1:50" x14ac:dyDescent="0.25">
      <c r="A823" s="36"/>
      <c r="B823" t="s">
        <v>119</v>
      </c>
      <c r="C823" s="36" t="str">
        <f>'Status Thresholds'!B814</f>
        <v>Yian  Garuga</v>
      </c>
      <c r="E823" s="36" t="str">
        <f t="shared" si="27"/>
        <v>Yian  Garuga</v>
      </c>
      <c r="F823" s="36" t="str">
        <f>IFERROR(VLOOKUP($E823,'Status Thresholds'!$E:$AS,1,FALSE),"")</f>
        <v/>
      </c>
      <c r="G823" t="s">
        <v>11</v>
      </c>
      <c r="H823" s="55" t="str">
        <f t="shared" si="28"/>
        <v>Yian  GarugaCrag 1</v>
      </c>
      <c r="I823" s="50">
        <v>0</v>
      </c>
      <c r="J823" s="36">
        <v>6</v>
      </c>
      <c r="K823" s="36">
        <v>6</v>
      </c>
      <c r="L823" s="36">
        <v>8</v>
      </c>
      <c r="M823" s="36">
        <v>0</v>
      </c>
      <c r="N823" s="50">
        <v>0</v>
      </c>
      <c r="O823" s="36">
        <v>6</v>
      </c>
      <c r="P823" s="36">
        <v>6</v>
      </c>
      <c r="Q823" s="36">
        <v>8</v>
      </c>
      <c r="R823" s="36">
        <v>0</v>
      </c>
      <c r="S823" s="50">
        <v>0</v>
      </c>
      <c r="T823" s="36">
        <v>6</v>
      </c>
      <c r="U823" s="36">
        <v>6</v>
      </c>
      <c r="V823" s="36">
        <v>8</v>
      </c>
      <c r="W823" s="36">
        <v>0</v>
      </c>
      <c r="X823" s="50">
        <v>0</v>
      </c>
      <c r="Y823" s="36">
        <v>0</v>
      </c>
      <c r="Z823" s="36">
        <v>0</v>
      </c>
      <c r="AA823" s="36">
        <v>0</v>
      </c>
      <c r="AB823" s="36">
        <v>0</v>
      </c>
      <c r="AC823" s="50">
        <v>1</v>
      </c>
      <c r="AD823" s="36">
        <v>7</v>
      </c>
      <c r="AE823" s="36">
        <v>7</v>
      </c>
      <c r="AF823" s="36">
        <v>8</v>
      </c>
      <c r="AG823" s="36">
        <v>0</v>
      </c>
      <c r="AH823" s="50">
        <v>1</v>
      </c>
      <c r="AI823" s="36">
        <v>7</v>
      </c>
      <c r="AJ823" s="36">
        <v>7</v>
      </c>
      <c r="AK823" s="36">
        <v>8</v>
      </c>
      <c r="AL823" s="36">
        <v>0</v>
      </c>
      <c r="AM823" s="50">
        <v>2</v>
      </c>
      <c r="AN823" s="36">
        <v>7</v>
      </c>
      <c r="AO823" s="36">
        <v>8</v>
      </c>
      <c r="AP823" s="36">
        <v>8</v>
      </c>
      <c r="AQ823" s="36">
        <v>0</v>
      </c>
      <c r="AR823" s="50">
        <v>0</v>
      </c>
      <c r="AS823" s="36">
        <v>0</v>
      </c>
      <c r="AT823" s="36">
        <v>0</v>
      </c>
      <c r="AU823" s="36">
        <v>0</v>
      </c>
      <c r="AV823" s="36">
        <v>1</v>
      </c>
      <c r="AW823">
        <v>0</v>
      </c>
      <c r="AX823">
        <v>0</v>
      </c>
    </row>
    <row r="824" spans="1:50" x14ac:dyDescent="0.25">
      <c r="A824" s="36"/>
      <c r="B824" t="s">
        <v>121</v>
      </c>
      <c r="C824" s="36" t="str">
        <f>'Status Thresholds'!B815</f>
        <v>Yian Kut-ku</v>
      </c>
      <c r="D824" t="s">
        <v>14</v>
      </c>
      <c r="E824" s="36" t="str">
        <f t="shared" si="27"/>
        <v>Yian Kut-kuKO</v>
      </c>
      <c r="F824" s="36" t="str">
        <f>IFERROR(VLOOKUP($E824,'Status Thresholds'!$E:$AS,1,FALSE),"")</f>
        <v>Yian Kut-kuKO</v>
      </c>
      <c r="H824" s="55" t="str">
        <f t="shared" si="28"/>
        <v>Yian Kut-kuKO</v>
      </c>
      <c r="I824" s="50">
        <f>VLOOKUP($F824,'Status Thresholds'!$E:$AS,2,FALSE)</f>
        <v>156</v>
      </c>
      <c r="J824" s="36">
        <f>VLOOKUP($F824,'Status Thresholds'!$E:$AS,3,FALSE)</f>
        <v>286</v>
      </c>
      <c r="K824" s="36">
        <f>VLOOKUP($F824,'Status Thresholds'!$E:$AS,4,FALSE)</f>
        <v>416</v>
      </c>
      <c r="L824" s="36">
        <f>VLOOKUP($F824,'Status Thresholds'!$E:$AS,5,FALSE)</f>
        <v>546</v>
      </c>
      <c r="M824" s="36">
        <f>VLOOKUP($F824,'Status Thresholds'!$E:$AS,6,FALSE)</f>
        <v>0</v>
      </c>
      <c r="N824" s="50">
        <f>VLOOKUP($F824,'Status Thresholds'!$E:$AS,7,FALSE)</f>
        <v>0</v>
      </c>
      <c r="O824" s="36">
        <f>VLOOKUP($F824,'Status Thresholds'!$E:$AS,8,FALSE)</f>
        <v>0</v>
      </c>
      <c r="P824" s="36">
        <f>VLOOKUP($F824,'Status Thresholds'!$E:$AS,9,FALSE)</f>
        <v>0</v>
      </c>
      <c r="Q824" s="36">
        <f>VLOOKUP($F824,'Status Thresholds'!$E:$AS,10,FALSE)</f>
        <v>0</v>
      </c>
      <c r="R824" s="36">
        <f>VLOOKUP($F824,'Status Thresholds'!$E:$AS,11,FALSE)</f>
        <v>0</v>
      </c>
      <c r="S824" s="50">
        <f>VLOOKUP($F824,'Status Thresholds'!$E:$AS,12,FALSE)</f>
        <v>156</v>
      </c>
      <c r="T824" s="36">
        <f>VLOOKUP($F824,'Status Thresholds'!$E:$AS,13,FALSE)</f>
        <v>286</v>
      </c>
      <c r="U824" s="36">
        <f>VLOOKUP($F824,'Status Thresholds'!$E:$AS,14,FALSE)</f>
        <v>416</v>
      </c>
      <c r="V824" s="36">
        <f>VLOOKUP($F824,'Status Thresholds'!$E:$AS,15,FALSE)</f>
        <v>546</v>
      </c>
      <c r="W824" s="36">
        <f>VLOOKUP($F824,'Status Thresholds'!$E:$AS,16,FALSE)</f>
        <v>0</v>
      </c>
      <c r="X824" s="50">
        <f>VLOOKUP($F824,'Status Thresholds'!$E:$AS,17,FALSE)</f>
        <v>156</v>
      </c>
      <c r="Y824" s="36">
        <f>VLOOKUP($F824,'Status Thresholds'!$E:$AS,18,FALSE)</f>
        <v>286</v>
      </c>
      <c r="Z824" s="36">
        <f>VLOOKUP($F824,'Status Thresholds'!$E:$AS,19,FALSE)</f>
        <v>416</v>
      </c>
      <c r="AA824" s="36">
        <f>VLOOKUP($F824,'Status Thresholds'!$E:$AS,20,FALSE)</f>
        <v>546</v>
      </c>
      <c r="AB824" s="36">
        <f>VLOOKUP($F824,'Status Thresholds'!$E:$AS,21,FALSE)</f>
        <v>0</v>
      </c>
      <c r="AC824" s="50">
        <f>VLOOKUP($F824,'Status Thresholds'!$E:$AS,22,FALSE)</f>
        <v>168</v>
      </c>
      <c r="AD824" s="36">
        <f>VLOOKUP($F824,'Status Thresholds'!$E:$AS,23,FALSE)</f>
        <v>308</v>
      </c>
      <c r="AE824" s="36">
        <f>VLOOKUP($F824,'Status Thresholds'!$E:$AS,24,FALSE)</f>
        <v>448</v>
      </c>
      <c r="AF824" s="36">
        <f>VLOOKUP($F824,'Status Thresholds'!$E:$AS,25,FALSE)</f>
        <v>588</v>
      </c>
      <c r="AG824" s="36">
        <f>VLOOKUP($F824,'Status Thresholds'!$E:$AS,26,FALSE)</f>
        <v>0</v>
      </c>
      <c r="AH824" s="50">
        <f>VLOOKUP($F824,'Status Thresholds'!$E:$AS,27,FALSE)</f>
        <v>0</v>
      </c>
      <c r="AI824" s="36">
        <f>VLOOKUP($F824,'Status Thresholds'!$E:$AS,28,FALSE)</f>
        <v>0</v>
      </c>
      <c r="AJ824" s="36">
        <f>VLOOKUP($F824,'Status Thresholds'!$E:$AS,29,FALSE)</f>
        <v>0</v>
      </c>
      <c r="AK824" s="36">
        <f>VLOOKUP($F824,'Status Thresholds'!$E:$AS,30,FALSE)</f>
        <v>0</v>
      </c>
      <c r="AL824" s="36">
        <f>VLOOKUP($F824,'Status Thresholds'!$E:$AS,31,FALSE)</f>
        <v>0</v>
      </c>
      <c r="AM824" s="50">
        <f>VLOOKUP($F824,'Status Thresholds'!$E:$AS,32,FALSE)</f>
        <v>192</v>
      </c>
      <c r="AN824" s="36">
        <f>VLOOKUP($F824,'Status Thresholds'!$E:$AS,33,FALSE)</f>
        <v>0</v>
      </c>
      <c r="AO824" s="36">
        <f>VLOOKUP($F824,'Status Thresholds'!$E:$AS,34,FALSE)</f>
        <v>0</v>
      </c>
      <c r="AP824" s="36">
        <f>VLOOKUP($F824,'Status Thresholds'!$E:$AS,35,FALSE)</f>
        <v>0</v>
      </c>
      <c r="AQ824" s="36">
        <f>VLOOKUP($F824,'Status Thresholds'!$E:$AS,36,FALSE)</f>
        <v>0</v>
      </c>
      <c r="AR824" s="50">
        <f>VLOOKUP($F824,'Status Thresholds'!$E:$AS,37,FALSE)</f>
        <v>0</v>
      </c>
      <c r="AS824" s="36">
        <f>VLOOKUP($F824,'Status Thresholds'!$E:$AS,38,FALSE)</f>
        <v>0</v>
      </c>
      <c r="AT824" s="36">
        <f>VLOOKUP($F824,'Status Thresholds'!$E:$AS,39,FALSE)</f>
        <v>0</v>
      </c>
      <c r="AU824" s="36">
        <f>VLOOKUP($F824,'Status Thresholds'!$E:$AS,40,FALSE)</f>
        <v>0</v>
      </c>
      <c r="AV824" s="36">
        <f>VLOOKUP($F824,'Status Thresholds'!$E:$AS,41,FALSE)</f>
        <v>10</v>
      </c>
      <c r="AW824">
        <v>0</v>
      </c>
      <c r="AX824">
        <v>0</v>
      </c>
    </row>
    <row r="825" spans="1:50" x14ac:dyDescent="0.25">
      <c r="A825" s="36"/>
      <c r="B825" t="s">
        <v>120</v>
      </c>
      <c r="C825" s="36" t="str">
        <f>'Status Thresholds'!B816</f>
        <v>Yian Kut-ku</v>
      </c>
      <c r="E825" s="36" t="str">
        <f t="shared" si="27"/>
        <v>Yian Kut-ku</v>
      </c>
      <c r="F825" s="36" t="str">
        <f>IFERROR(VLOOKUP($E825,'Status Thresholds'!$E:$AS,1,FALSE),"")</f>
        <v/>
      </c>
      <c r="G825" t="s">
        <v>21</v>
      </c>
      <c r="H825" s="55" t="str">
        <f t="shared" si="28"/>
        <v>Yian Kut-kuTriblast</v>
      </c>
      <c r="I825" s="50">
        <v>0</v>
      </c>
      <c r="J825" s="36">
        <v>0</v>
      </c>
      <c r="K825" s="36">
        <v>2</v>
      </c>
      <c r="L825" s="36">
        <v>2</v>
      </c>
      <c r="M825" s="36">
        <v>0</v>
      </c>
      <c r="N825" s="50">
        <v>0</v>
      </c>
      <c r="O825" s="36">
        <v>0</v>
      </c>
      <c r="P825" s="36">
        <v>0</v>
      </c>
      <c r="Q825" s="36">
        <v>0</v>
      </c>
      <c r="R825" s="36">
        <v>0</v>
      </c>
      <c r="S825" s="50">
        <v>0</v>
      </c>
      <c r="T825" s="36">
        <v>0</v>
      </c>
      <c r="U825" s="36">
        <v>2</v>
      </c>
      <c r="V825" s="36">
        <v>2</v>
      </c>
      <c r="W825" s="36">
        <v>0</v>
      </c>
      <c r="X825" s="50">
        <v>0</v>
      </c>
      <c r="Y825" s="36">
        <v>0</v>
      </c>
      <c r="Z825" s="36">
        <v>2</v>
      </c>
      <c r="AA825" s="36">
        <v>2</v>
      </c>
      <c r="AB825" s="36">
        <v>0</v>
      </c>
      <c r="AC825" s="50">
        <v>0</v>
      </c>
      <c r="AD825" s="36">
        <v>0</v>
      </c>
      <c r="AE825" s="36">
        <v>2</v>
      </c>
      <c r="AF825" s="36">
        <v>2</v>
      </c>
      <c r="AG825" s="36">
        <v>0</v>
      </c>
      <c r="AH825" s="50">
        <v>0</v>
      </c>
      <c r="AI825" s="36">
        <v>0</v>
      </c>
      <c r="AJ825" s="36">
        <v>0</v>
      </c>
      <c r="AK825" s="36">
        <v>0</v>
      </c>
      <c r="AL825" s="36">
        <v>0</v>
      </c>
      <c r="AM825" s="50">
        <v>0</v>
      </c>
      <c r="AN825" s="36">
        <v>0</v>
      </c>
      <c r="AO825" s="36">
        <v>0</v>
      </c>
      <c r="AP825" s="36">
        <v>0</v>
      </c>
      <c r="AQ825" s="36">
        <v>0</v>
      </c>
      <c r="AR825" s="50">
        <v>0</v>
      </c>
      <c r="AS825" s="36">
        <v>0</v>
      </c>
      <c r="AT825" s="36">
        <v>0</v>
      </c>
      <c r="AU825" s="36">
        <v>0</v>
      </c>
      <c r="AV825" s="36">
        <v>0</v>
      </c>
      <c r="AW825">
        <v>0</v>
      </c>
    </row>
    <row r="826" spans="1:50" x14ac:dyDescent="0.25">
      <c r="A826" s="36"/>
      <c r="B826" t="s">
        <v>120</v>
      </c>
      <c r="C826" s="36" t="str">
        <f>'Status Thresholds'!B817</f>
        <v>Yian Kut-ku</v>
      </c>
      <c r="E826" s="36" t="str">
        <f t="shared" si="27"/>
        <v>Yian Kut-ku</v>
      </c>
      <c r="F826" s="36" t="str">
        <f>IFERROR(VLOOKUP($E826,'Status Thresholds'!$E:$AS,1,FALSE),"")</f>
        <v/>
      </c>
      <c r="G826" t="s">
        <v>13</v>
      </c>
      <c r="H826" s="55" t="str">
        <f t="shared" si="28"/>
        <v>Yian Kut-kuCrag 3</v>
      </c>
      <c r="I826" s="50">
        <v>4</v>
      </c>
      <c r="J826" s="36">
        <v>4</v>
      </c>
      <c r="K826" s="36">
        <v>0</v>
      </c>
      <c r="L826" s="36">
        <v>4</v>
      </c>
      <c r="M826" s="36">
        <v>0</v>
      </c>
      <c r="N826" s="50">
        <v>0</v>
      </c>
      <c r="O826" s="36">
        <v>0</v>
      </c>
      <c r="P826" s="36">
        <v>0</v>
      </c>
      <c r="Q826" s="36">
        <v>0</v>
      </c>
      <c r="R826" s="36">
        <v>0</v>
      </c>
      <c r="S826" s="50">
        <v>4</v>
      </c>
      <c r="T826" s="36">
        <v>4</v>
      </c>
      <c r="U826" s="36">
        <v>0</v>
      </c>
      <c r="V826" s="36">
        <v>4</v>
      </c>
      <c r="W826" s="36">
        <v>0</v>
      </c>
      <c r="X826" s="50">
        <v>4</v>
      </c>
      <c r="Y826" s="36">
        <v>4</v>
      </c>
      <c r="Z826" s="36">
        <v>0</v>
      </c>
      <c r="AA826" s="36">
        <v>4</v>
      </c>
      <c r="AB826" s="36">
        <v>0</v>
      </c>
      <c r="AC826" s="50">
        <v>3</v>
      </c>
      <c r="AD826" s="36">
        <v>4</v>
      </c>
      <c r="AE826" s="36">
        <v>4</v>
      </c>
      <c r="AF826" s="36">
        <v>3</v>
      </c>
      <c r="AG826" s="36">
        <v>0</v>
      </c>
      <c r="AH826" s="50">
        <v>0</v>
      </c>
      <c r="AI826" s="36">
        <v>0</v>
      </c>
      <c r="AJ826" s="36">
        <v>0</v>
      </c>
      <c r="AK826" s="36">
        <v>0</v>
      </c>
      <c r="AL826" s="36">
        <v>0</v>
      </c>
      <c r="AM826" s="50">
        <v>3</v>
      </c>
      <c r="AN826" s="36">
        <v>0</v>
      </c>
      <c r="AO826" s="36">
        <v>0</v>
      </c>
      <c r="AP826" s="36">
        <v>0</v>
      </c>
      <c r="AQ826" s="36">
        <v>0</v>
      </c>
      <c r="AR826" s="50">
        <v>0</v>
      </c>
      <c r="AS826" s="36">
        <v>0</v>
      </c>
      <c r="AT826" s="36">
        <v>0</v>
      </c>
      <c r="AU826" s="36">
        <v>0</v>
      </c>
      <c r="AV826" s="36">
        <v>0</v>
      </c>
      <c r="AW826">
        <v>0</v>
      </c>
      <c r="AX826">
        <v>0</v>
      </c>
    </row>
    <row r="827" spans="1:50" x14ac:dyDescent="0.25">
      <c r="A827" s="36"/>
      <c r="B827" t="s">
        <v>120</v>
      </c>
      <c r="C827" s="36" t="str">
        <f>'Status Thresholds'!B818</f>
        <v>Yian Kut-ku</v>
      </c>
      <c r="E827" s="36" t="str">
        <f t="shared" si="27"/>
        <v>Yian Kut-ku</v>
      </c>
      <c r="F827" s="36" t="str">
        <f>IFERROR(VLOOKUP($E827,'Status Thresholds'!$E:$AS,1,FALSE),"")</f>
        <v/>
      </c>
      <c r="G827" t="s">
        <v>12</v>
      </c>
      <c r="H827" s="55" t="str">
        <f t="shared" si="28"/>
        <v>Yian Kut-kuCrag 2</v>
      </c>
      <c r="I827" s="50">
        <v>0</v>
      </c>
      <c r="J827" s="36">
        <v>1</v>
      </c>
      <c r="K827" s="36">
        <v>4</v>
      </c>
      <c r="L827" s="36">
        <v>3</v>
      </c>
      <c r="M827" s="36">
        <v>0</v>
      </c>
      <c r="N827" s="50">
        <v>0</v>
      </c>
      <c r="O827" s="36">
        <v>0</v>
      </c>
      <c r="P827" s="36">
        <v>0</v>
      </c>
      <c r="Q827" s="36">
        <v>0</v>
      </c>
      <c r="R827" s="36">
        <v>0</v>
      </c>
      <c r="S827" s="50">
        <v>0</v>
      </c>
      <c r="T827" s="36">
        <v>1</v>
      </c>
      <c r="U827" s="36">
        <v>4</v>
      </c>
      <c r="V827" s="36">
        <v>3</v>
      </c>
      <c r="W827" s="36">
        <v>0</v>
      </c>
      <c r="X827" s="50">
        <v>0</v>
      </c>
      <c r="Y827" s="36">
        <v>1</v>
      </c>
      <c r="Z827" s="36">
        <v>4</v>
      </c>
      <c r="AA827" s="36">
        <v>3</v>
      </c>
      <c r="AB827" s="36">
        <v>0</v>
      </c>
      <c r="AC827" s="50">
        <v>0</v>
      </c>
      <c r="AD827" s="36">
        <v>0</v>
      </c>
      <c r="AE827" s="36">
        <v>3</v>
      </c>
      <c r="AF827" s="36">
        <v>4</v>
      </c>
      <c r="AG827" s="36">
        <v>0</v>
      </c>
      <c r="AH827" s="50">
        <v>0</v>
      </c>
      <c r="AI827" s="36">
        <v>0</v>
      </c>
      <c r="AJ827" s="36">
        <v>0</v>
      </c>
      <c r="AK827" s="36">
        <v>0</v>
      </c>
      <c r="AL827" s="36">
        <v>0</v>
      </c>
      <c r="AM827" s="50">
        <v>0</v>
      </c>
      <c r="AN827" s="36">
        <v>0</v>
      </c>
      <c r="AO827" s="36">
        <v>0</v>
      </c>
      <c r="AP827" s="36">
        <v>0</v>
      </c>
      <c r="AQ827" s="36">
        <v>0</v>
      </c>
      <c r="AR827" s="50">
        <v>0</v>
      </c>
      <c r="AS827" s="36">
        <v>0</v>
      </c>
      <c r="AT827" s="36">
        <v>0</v>
      </c>
      <c r="AU827" s="36">
        <v>0</v>
      </c>
      <c r="AV827" s="36">
        <v>0</v>
      </c>
      <c r="AW827">
        <v>0</v>
      </c>
      <c r="AX827">
        <v>0</v>
      </c>
    </row>
    <row r="828" spans="1:50" x14ac:dyDescent="0.25">
      <c r="A828" s="36"/>
      <c r="B828" t="s">
        <v>120</v>
      </c>
      <c r="C828" s="36" t="str">
        <f>'Status Thresholds'!B819</f>
        <v>Yian Kut-ku</v>
      </c>
      <c r="E828" s="36" t="str">
        <f t="shared" si="27"/>
        <v>Yian Kut-ku</v>
      </c>
      <c r="F828" s="36" t="str">
        <f>IFERROR(VLOOKUP($E828,'Status Thresholds'!$E:$AS,1,FALSE),"")</f>
        <v/>
      </c>
      <c r="G828" t="s">
        <v>11</v>
      </c>
      <c r="H828" s="55" t="str">
        <f t="shared" si="28"/>
        <v>Yian Kut-kuCrag 1</v>
      </c>
      <c r="I828" s="50">
        <v>0</v>
      </c>
      <c r="J828" s="36">
        <v>4</v>
      </c>
      <c r="K828" s="36">
        <v>6</v>
      </c>
      <c r="L828" s="36">
        <v>6</v>
      </c>
      <c r="M828" s="36">
        <v>0</v>
      </c>
      <c r="N828" s="50">
        <v>0</v>
      </c>
      <c r="O828" s="36">
        <v>0</v>
      </c>
      <c r="P828" s="36">
        <v>0</v>
      </c>
      <c r="Q828" s="36">
        <v>0</v>
      </c>
      <c r="R828" s="36">
        <v>0</v>
      </c>
      <c r="S828" s="50">
        <v>0</v>
      </c>
      <c r="T828" s="36">
        <v>4</v>
      </c>
      <c r="U828" s="36">
        <v>6</v>
      </c>
      <c r="V828" s="36">
        <v>6</v>
      </c>
      <c r="W828" s="36">
        <v>0</v>
      </c>
      <c r="X828" s="50">
        <v>0</v>
      </c>
      <c r="Y828" s="36">
        <v>4</v>
      </c>
      <c r="Z828" s="36">
        <v>6</v>
      </c>
      <c r="AA828" s="36">
        <v>6</v>
      </c>
      <c r="AB828" s="36">
        <v>0</v>
      </c>
      <c r="AC828" s="50">
        <v>2</v>
      </c>
      <c r="AD828" s="36">
        <v>6</v>
      </c>
      <c r="AE828" s="36">
        <v>2</v>
      </c>
      <c r="AF828" s="36">
        <v>8</v>
      </c>
      <c r="AG828" s="36">
        <v>0</v>
      </c>
      <c r="AH828" s="50">
        <v>0</v>
      </c>
      <c r="AI828" s="36">
        <v>0</v>
      </c>
      <c r="AJ828" s="36">
        <v>0</v>
      </c>
      <c r="AK828" s="36">
        <v>0</v>
      </c>
      <c r="AL828" s="36">
        <v>0</v>
      </c>
      <c r="AM828" s="50">
        <v>3</v>
      </c>
      <c r="AN828" s="36">
        <v>0</v>
      </c>
      <c r="AO828" s="36">
        <v>0</v>
      </c>
      <c r="AP828" s="36">
        <v>0</v>
      </c>
      <c r="AQ828" s="36">
        <v>0</v>
      </c>
      <c r="AR828" s="50">
        <v>0</v>
      </c>
      <c r="AS828" s="36">
        <v>0</v>
      </c>
      <c r="AT828" s="36">
        <v>0</v>
      </c>
      <c r="AU828" s="36">
        <v>0</v>
      </c>
      <c r="AV828" s="36">
        <v>1</v>
      </c>
      <c r="AW828">
        <v>0</v>
      </c>
      <c r="AX828">
        <v>0</v>
      </c>
    </row>
    <row r="829" spans="1:50" x14ac:dyDescent="0.25">
      <c r="A829" s="36"/>
      <c r="B829" t="s">
        <v>119</v>
      </c>
      <c r="C829" s="36" t="str">
        <f>'Status Thresholds'!B820</f>
        <v>Yian Kut-ku</v>
      </c>
      <c r="E829" s="36" t="str">
        <f t="shared" si="27"/>
        <v>Yian Kut-ku</v>
      </c>
      <c r="F829" s="36" t="str">
        <f>IFERROR(VLOOKUP($E829,'Status Thresholds'!$E:$AS,1,FALSE),"")</f>
        <v/>
      </c>
      <c r="G829" t="s">
        <v>21</v>
      </c>
      <c r="H829" s="55" t="str">
        <f t="shared" si="28"/>
        <v>Yian Kut-kuTriblast</v>
      </c>
      <c r="I829" s="50">
        <v>0</v>
      </c>
      <c r="J829" s="36">
        <v>1</v>
      </c>
      <c r="K829" s="36">
        <v>1</v>
      </c>
      <c r="L829" s="36">
        <v>2</v>
      </c>
      <c r="M829" s="36">
        <v>0</v>
      </c>
      <c r="N829" s="50">
        <v>0</v>
      </c>
      <c r="O829" s="36">
        <v>0</v>
      </c>
      <c r="P829" s="36">
        <v>0</v>
      </c>
      <c r="Q829" s="36">
        <v>0</v>
      </c>
      <c r="R829" s="36">
        <v>0</v>
      </c>
      <c r="S829" s="50">
        <v>0</v>
      </c>
      <c r="T829" s="36">
        <v>1</v>
      </c>
      <c r="U829" s="36">
        <v>1</v>
      </c>
      <c r="V829" s="36">
        <v>2</v>
      </c>
      <c r="W829" s="36">
        <v>0</v>
      </c>
      <c r="X829" s="50">
        <v>0</v>
      </c>
      <c r="Y829" s="36">
        <v>1</v>
      </c>
      <c r="Z829" s="36">
        <v>1</v>
      </c>
      <c r="AA829" s="36">
        <v>2</v>
      </c>
      <c r="AB829" s="36">
        <v>0</v>
      </c>
      <c r="AC829" s="50">
        <v>1</v>
      </c>
      <c r="AD829" s="36">
        <v>0</v>
      </c>
      <c r="AE829" s="36">
        <v>2</v>
      </c>
      <c r="AF829" s="36">
        <v>2</v>
      </c>
      <c r="AG829" s="36">
        <v>0</v>
      </c>
      <c r="AH829" s="50">
        <v>0</v>
      </c>
      <c r="AI829" s="36">
        <v>0</v>
      </c>
      <c r="AJ829" s="36">
        <v>0</v>
      </c>
      <c r="AK829" s="36">
        <v>0</v>
      </c>
      <c r="AL829" s="36">
        <v>0</v>
      </c>
      <c r="AM829" s="50">
        <v>0</v>
      </c>
      <c r="AN829" s="36">
        <v>0</v>
      </c>
      <c r="AO829" s="36">
        <v>0</v>
      </c>
      <c r="AP829" s="36">
        <v>0</v>
      </c>
      <c r="AQ829" s="36">
        <v>0</v>
      </c>
      <c r="AR829" s="50">
        <v>0</v>
      </c>
      <c r="AS829" s="36">
        <v>0</v>
      </c>
      <c r="AT829" s="36">
        <v>0</v>
      </c>
      <c r="AU829" s="36">
        <v>0</v>
      </c>
      <c r="AV829" s="36">
        <v>0</v>
      </c>
      <c r="AW829">
        <v>0</v>
      </c>
      <c r="AX829">
        <v>0</v>
      </c>
    </row>
    <row r="830" spans="1:50" x14ac:dyDescent="0.25">
      <c r="A830" s="36"/>
      <c r="B830" t="s">
        <v>119</v>
      </c>
      <c r="C830" s="36" t="str">
        <f>'Status Thresholds'!B821</f>
        <v>Yian Kut-ku</v>
      </c>
      <c r="E830" s="36" t="str">
        <f t="shared" si="27"/>
        <v>Yian Kut-ku</v>
      </c>
      <c r="F830" s="36" t="str">
        <f>IFERROR(VLOOKUP($E830,'Status Thresholds'!$E:$AS,1,FALSE),"")</f>
        <v/>
      </c>
      <c r="G830" t="s">
        <v>13</v>
      </c>
      <c r="H830" s="55" t="str">
        <f t="shared" si="28"/>
        <v>Yian Kut-kuCrag 3</v>
      </c>
      <c r="I830" s="50">
        <v>1</v>
      </c>
      <c r="J830" s="36">
        <v>1</v>
      </c>
      <c r="K830" s="36">
        <v>4</v>
      </c>
      <c r="L830" s="36">
        <v>3</v>
      </c>
      <c r="M830" s="36">
        <v>0</v>
      </c>
      <c r="N830" s="50">
        <v>0</v>
      </c>
      <c r="O830" s="36">
        <v>0</v>
      </c>
      <c r="P830" s="36">
        <v>0</v>
      </c>
      <c r="Q830" s="36">
        <v>0</v>
      </c>
      <c r="R830" s="36">
        <v>0</v>
      </c>
      <c r="S830" s="50">
        <v>1</v>
      </c>
      <c r="T830" s="36">
        <v>1</v>
      </c>
      <c r="U830" s="36">
        <v>4</v>
      </c>
      <c r="V830" s="36">
        <v>3</v>
      </c>
      <c r="W830" s="36">
        <v>0</v>
      </c>
      <c r="X830" s="50">
        <v>1</v>
      </c>
      <c r="Y830" s="36">
        <v>1</v>
      </c>
      <c r="Z830" s="36">
        <v>4</v>
      </c>
      <c r="AA830" s="36">
        <v>3</v>
      </c>
      <c r="AB830" s="36">
        <v>0</v>
      </c>
      <c r="AC830" s="50">
        <v>0</v>
      </c>
      <c r="AD830" s="36">
        <v>4</v>
      </c>
      <c r="AE830" s="36">
        <v>0</v>
      </c>
      <c r="AF830" s="36">
        <v>3</v>
      </c>
      <c r="AG830" s="36">
        <v>0</v>
      </c>
      <c r="AH830" s="50">
        <v>0</v>
      </c>
      <c r="AI830" s="36">
        <v>0</v>
      </c>
      <c r="AJ830" s="36">
        <v>0</v>
      </c>
      <c r="AK830" s="36">
        <v>0</v>
      </c>
      <c r="AL830" s="36">
        <v>0</v>
      </c>
      <c r="AM830" s="50">
        <v>3</v>
      </c>
      <c r="AN830" s="36">
        <v>0</v>
      </c>
      <c r="AO830" s="36">
        <v>0</v>
      </c>
      <c r="AP830" s="36">
        <v>0</v>
      </c>
      <c r="AQ830" s="36">
        <v>0</v>
      </c>
      <c r="AR830" s="50">
        <v>0</v>
      </c>
      <c r="AS830" s="36">
        <v>0</v>
      </c>
      <c r="AT830" s="36">
        <v>0</v>
      </c>
      <c r="AU830" s="36">
        <v>0</v>
      </c>
      <c r="AV830" s="36">
        <v>0</v>
      </c>
      <c r="AW830">
        <v>0</v>
      </c>
      <c r="AX830">
        <v>0</v>
      </c>
    </row>
    <row r="831" spans="1:50" x14ac:dyDescent="0.25">
      <c r="A831" s="36"/>
      <c r="B831" t="s">
        <v>119</v>
      </c>
      <c r="C831" s="36" t="str">
        <f>'Status Thresholds'!B822</f>
        <v>Yian Kut-ku</v>
      </c>
      <c r="E831" s="36" t="str">
        <f t="shared" si="27"/>
        <v>Yian Kut-ku</v>
      </c>
      <c r="F831" s="36" t="str">
        <f>IFERROR(VLOOKUP($E831,'Status Thresholds'!$E:$AS,1,FALSE),"")</f>
        <v/>
      </c>
      <c r="G831" t="s">
        <v>12</v>
      </c>
      <c r="H831" s="55" t="str">
        <f t="shared" si="28"/>
        <v>Yian Kut-kuCrag 2</v>
      </c>
      <c r="I831" s="50">
        <v>1</v>
      </c>
      <c r="J831" s="36">
        <v>0</v>
      </c>
      <c r="K831" s="36">
        <v>4</v>
      </c>
      <c r="L831" s="36">
        <v>2</v>
      </c>
      <c r="M831" s="36">
        <v>0</v>
      </c>
      <c r="N831" s="50">
        <v>0</v>
      </c>
      <c r="O831" s="36">
        <v>0</v>
      </c>
      <c r="P831" s="36">
        <v>0</v>
      </c>
      <c r="Q831" s="36">
        <v>0</v>
      </c>
      <c r="R831" s="36">
        <v>0</v>
      </c>
      <c r="S831" s="50">
        <v>1</v>
      </c>
      <c r="T831" s="36">
        <v>0</v>
      </c>
      <c r="U831" s="36">
        <v>4</v>
      </c>
      <c r="V831" s="36">
        <v>2</v>
      </c>
      <c r="W831" s="36">
        <v>0</v>
      </c>
      <c r="X831" s="50">
        <v>1</v>
      </c>
      <c r="Y831" s="36">
        <v>0</v>
      </c>
      <c r="Z831" s="36">
        <v>4</v>
      </c>
      <c r="AA831" s="36">
        <v>2</v>
      </c>
      <c r="AB831" s="36">
        <v>0</v>
      </c>
      <c r="AC831" s="50">
        <v>1</v>
      </c>
      <c r="AD831" s="36">
        <v>4</v>
      </c>
      <c r="AE831" s="36">
        <v>3</v>
      </c>
      <c r="AF831" s="36">
        <v>4</v>
      </c>
      <c r="AG831" s="36">
        <v>0</v>
      </c>
      <c r="AH831" s="50">
        <v>0</v>
      </c>
      <c r="AI831" s="36">
        <v>0</v>
      </c>
      <c r="AJ831" s="36">
        <v>0</v>
      </c>
      <c r="AK831" s="36">
        <v>0</v>
      </c>
      <c r="AL831" s="36">
        <v>0</v>
      </c>
      <c r="AM831" s="50">
        <v>1</v>
      </c>
      <c r="AN831" s="36">
        <v>0</v>
      </c>
      <c r="AO831" s="36">
        <v>0</v>
      </c>
      <c r="AP831" s="36">
        <v>0</v>
      </c>
      <c r="AQ831" s="36">
        <v>0</v>
      </c>
      <c r="AR831" s="50">
        <v>0</v>
      </c>
      <c r="AS831" s="36">
        <v>0</v>
      </c>
      <c r="AT831" s="36">
        <v>0</v>
      </c>
      <c r="AU831" s="36">
        <v>0</v>
      </c>
      <c r="AV831" s="36">
        <v>0</v>
      </c>
      <c r="AW831">
        <v>0</v>
      </c>
      <c r="AX831">
        <v>0</v>
      </c>
    </row>
    <row r="832" spans="1:50" x14ac:dyDescent="0.25">
      <c r="A832" s="36"/>
      <c r="B832" t="s">
        <v>119</v>
      </c>
      <c r="C832" s="36" t="str">
        <f>'Status Thresholds'!B823</f>
        <v>Yian Kut-ku</v>
      </c>
      <c r="E832" s="36" t="str">
        <f t="shared" si="27"/>
        <v>Yian Kut-ku</v>
      </c>
      <c r="F832" s="36" t="str">
        <f>IFERROR(VLOOKUP($E832,'Status Thresholds'!$E:$AS,1,FALSE),"")</f>
        <v/>
      </c>
      <c r="G832" t="s">
        <v>11</v>
      </c>
      <c r="H832" s="55" t="str">
        <f t="shared" si="28"/>
        <v>Yian Kut-kuCrag 1</v>
      </c>
      <c r="I832" s="50">
        <v>3</v>
      </c>
      <c r="J832" s="36">
        <v>6</v>
      </c>
      <c r="K832" s="36">
        <v>1</v>
      </c>
      <c r="L832" s="36">
        <v>7</v>
      </c>
      <c r="M832" s="36">
        <v>0</v>
      </c>
      <c r="N832" s="50">
        <v>0</v>
      </c>
      <c r="O832" s="36">
        <v>0</v>
      </c>
      <c r="P832" s="36">
        <v>0</v>
      </c>
      <c r="Q832" s="36">
        <v>0</v>
      </c>
      <c r="R832" s="36">
        <v>0</v>
      </c>
      <c r="S832" s="50">
        <v>3</v>
      </c>
      <c r="T832" s="36">
        <v>6</v>
      </c>
      <c r="U832" s="36">
        <v>1</v>
      </c>
      <c r="V832" s="36">
        <v>7</v>
      </c>
      <c r="W832" s="36">
        <v>0</v>
      </c>
      <c r="X832" s="50">
        <v>3</v>
      </c>
      <c r="Y832" s="36">
        <v>6</v>
      </c>
      <c r="Z832" s="36">
        <v>1</v>
      </c>
      <c r="AA832" s="36">
        <v>7</v>
      </c>
      <c r="AB832" s="36">
        <v>0</v>
      </c>
      <c r="AC832" s="50">
        <v>2</v>
      </c>
      <c r="AD832" s="36">
        <v>0</v>
      </c>
      <c r="AE832" s="36">
        <v>7</v>
      </c>
      <c r="AF832" s="36">
        <v>6</v>
      </c>
      <c r="AG832" s="36">
        <v>0</v>
      </c>
      <c r="AH832" s="50">
        <v>0</v>
      </c>
      <c r="AI832" s="36">
        <v>0</v>
      </c>
      <c r="AJ832" s="36">
        <v>0</v>
      </c>
      <c r="AK832" s="36">
        <v>0</v>
      </c>
      <c r="AL832" s="36">
        <v>0</v>
      </c>
      <c r="AM832" s="50">
        <v>1</v>
      </c>
      <c r="AN832" s="36">
        <v>0</v>
      </c>
      <c r="AO832" s="36">
        <v>0</v>
      </c>
      <c r="AP832" s="36">
        <v>0</v>
      </c>
      <c r="AQ832" s="36">
        <v>0</v>
      </c>
      <c r="AR832" s="50">
        <v>0</v>
      </c>
      <c r="AS832" s="36">
        <v>0</v>
      </c>
      <c r="AT832" s="36">
        <v>0</v>
      </c>
      <c r="AU832" s="36">
        <v>0</v>
      </c>
      <c r="AV832" s="36">
        <v>1</v>
      </c>
      <c r="AW832">
        <v>0</v>
      </c>
      <c r="AX832">
        <v>0</v>
      </c>
    </row>
    <row r="833" spans="1:50" x14ac:dyDescent="0.25">
      <c r="A833" s="36"/>
      <c r="B833" t="s">
        <v>121</v>
      </c>
      <c r="C833" s="36" t="str">
        <f>'Status Thresholds'!B824</f>
        <v>Zamtrios</v>
      </c>
      <c r="D833" t="s">
        <v>14</v>
      </c>
      <c r="E833" s="36" t="str">
        <f t="shared" si="27"/>
        <v>ZamtriosKO</v>
      </c>
      <c r="F833" s="36" t="str">
        <f>IFERROR(VLOOKUP($E833,'Status Thresholds'!$E:$AS,1,FALSE),"")</f>
        <v>ZamtriosKO</v>
      </c>
      <c r="H833" s="55" t="str">
        <f t="shared" si="28"/>
        <v>ZamtriosKO</v>
      </c>
      <c r="I833" s="50">
        <f>VLOOKUP($F833,'Status Thresholds'!$E:$AS,2,FALSE)</f>
        <v>260</v>
      </c>
      <c r="J833" s="36">
        <f>VLOOKUP($F833,'Status Thresholds'!$E:$AS,3,FALSE)</f>
        <v>390</v>
      </c>
      <c r="K833" s="36">
        <f>VLOOKUP($F833,'Status Thresholds'!$E:$AS,4,FALSE)</f>
        <v>520</v>
      </c>
      <c r="L833" s="36">
        <f>VLOOKUP($F833,'Status Thresholds'!$E:$AS,5,FALSE)</f>
        <v>650</v>
      </c>
      <c r="M833" s="36">
        <f>VLOOKUP($F833,'Status Thresholds'!$E:$AS,6,FALSE)</f>
        <v>0</v>
      </c>
      <c r="N833" s="50">
        <f>VLOOKUP($F833,'Status Thresholds'!$E:$AS,7,FALSE)</f>
        <v>260</v>
      </c>
      <c r="O833" s="36">
        <f>VLOOKUP($F833,'Status Thresholds'!$E:$AS,8,FALSE)</f>
        <v>390</v>
      </c>
      <c r="P833" s="36">
        <f>VLOOKUP($F833,'Status Thresholds'!$E:$AS,9,FALSE)</f>
        <v>520</v>
      </c>
      <c r="Q833" s="36">
        <f>VLOOKUP($F833,'Status Thresholds'!$E:$AS,10,FALSE)</f>
        <v>650</v>
      </c>
      <c r="R833" s="36">
        <f>VLOOKUP($F833,'Status Thresholds'!$E:$AS,11,FALSE)</f>
        <v>0</v>
      </c>
      <c r="S833" s="50">
        <f>VLOOKUP($F833,'Status Thresholds'!$E:$AS,12,FALSE)</f>
        <v>260</v>
      </c>
      <c r="T833" s="36">
        <f>VLOOKUP($F833,'Status Thresholds'!$E:$AS,13,FALSE)</f>
        <v>390</v>
      </c>
      <c r="U833" s="36">
        <f>VLOOKUP($F833,'Status Thresholds'!$E:$AS,14,FALSE)</f>
        <v>520</v>
      </c>
      <c r="V833" s="36">
        <f>VLOOKUP($F833,'Status Thresholds'!$E:$AS,15,FALSE)</f>
        <v>650</v>
      </c>
      <c r="W833" s="36">
        <f>VLOOKUP($F833,'Status Thresholds'!$E:$AS,16,FALSE)</f>
        <v>0</v>
      </c>
      <c r="X833" s="50">
        <f>VLOOKUP($F833,'Status Thresholds'!$E:$AS,17,FALSE)</f>
        <v>0</v>
      </c>
      <c r="Y833" s="36">
        <f>VLOOKUP($F833,'Status Thresholds'!$E:$AS,18,FALSE)</f>
        <v>0</v>
      </c>
      <c r="Z833" s="36">
        <f>VLOOKUP($F833,'Status Thresholds'!$E:$AS,19,FALSE)</f>
        <v>0</v>
      </c>
      <c r="AA833" s="36">
        <f>VLOOKUP($F833,'Status Thresholds'!$E:$AS,20,FALSE)</f>
        <v>0</v>
      </c>
      <c r="AB833" s="36">
        <f>VLOOKUP($F833,'Status Thresholds'!$E:$AS,21,FALSE)</f>
        <v>0</v>
      </c>
      <c r="AC833" s="50">
        <f>VLOOKUP($F833,'Status Thresholds'!$E:$AS,22,FALSE)</f>
        <v>280</v>
      </c>
      <c r="AD833" s="36">
        <f>VLOOKUP($F833,'Status Thresholds'!$E:$AS,23,FALSE)</f>
        <v>420</v>
      </c>
      <c r="AE833" s="36">
        <f>VLOOKUP($F833,'Status Thresholds'!$E:$AS,24,FALSE)</f>
        <v>560</v>
      </c>
      <c r="AF833" s="36">
        <f>VLOOKUP($F833,'Status Thresholds'!$E:$AS,25,FALSE)</f>
        <v>700</v>
      </c>
      <c r="AG833" s="36">
        <f>VLOOKUP($F833,'Status Thresholds'!$E:$AS,26,FALSE)</f>
        <v>0</v>
      </c>
      <c r="AH833" s="50">
        <f>VLOOKUP($F833,'Status Thresholds'!$E:$AS,27,FALSE)</f>
        <v>0</v>
      </c>
      <c r="AI833" s="36">
        <f>VLOOKUP($F833,'Status Thresholds'!$E:$AS,28,FALSE)</f>
        <v>0</v>
      </c>
      <c r="AJ833" s="36">
        <f>VLOOKUP($F833,'Status Thresholds'!$E:$AS,29,FALSE)</f>
        <v>0</v>
      </c>
      <c r="AK833" s="36">
        <f>VLOOKUP($F833,'Status Thresholds'!$E:$AS,30,FALSE)</f>
        <v>0</v>
      </c>
      <c r="AL833" s="36">
        <f>VLOOKUP($F833,'Status Thresholds'!$E:$AS,31,FALSE)</f>
        <v>0</v>
      </c>
      <c r="AM833" s="50">
        <f>VLOOKUP($F833,'Status Thresholds'!$E:$AS,32,FALSE)</f>
        <v>400</v>
      </c>
      <c r="AN833" s="36">
        <f>VLOOKUP($F833,'Status Thresholds'!$E:$AS,33,FALSE)</f>
        <v>600</v>
      </c>
      <c r="AO833" s="36">
        <f>VLOOKUP($F833,'Status Thresholds'!$E:$AS,34,FALSE)</f>
        <v>800</v>
      </c>
      <c r="AP833" s="36">
        <f>VLOOKUP($F833,'Status Thresholds'!$E:$AS,35,FALSE)</f>
        <v>1000</v>
      </c>
      <c r="AQ833" s="36">
        <f>VLOOKUP($F833,'Status Thresholds'!$E:$AS,36,FALSE)</f>
        <v>0</v>
      </c>
      <c r="AR833" s="50">
        <f>VLOOKUP($F833,'Status Thresholds'!$E:$AS,37,FALSE)</f>
        <v>0</v>
      </c>
      <c r="AS833" s="36">
        <f>VLOOKUP($F833,'Status Thresholds'!$E:$AS,38,FALSE)</f>
        <v>0</v>
      </c>
      <c r="AT833" s="36">
        <f>VLOOKUP($F833,'Status Thresholds'!$E:$AS,39,FALSE)</f>
        <v>0</v>
      </c>
      <c r="AU833" s="36">
        <f>VLOOKUP($F833,'Status Thresholds'!$E:$AS,40,FALSE)</f>
        <v>0</v>
      </c>
      <c r="AV833" s="36">
        <f>VLOOKUP($F833,'Status Thresholds'!$E:$AS,41,FALSE)</f>
        <v>10</v>
      </c>
      <c r="AW833">
        <v>0</v>
      </c>
      <c r="AX833">
        <v>0</v>
      </c>
    </row>
    <row r="834" spans="1:50" x14ac:dyDescent="0.25">
      <c r="A834" s="36"/>
      <c r="B834" t="s">
        <v>120</v>
      </c>
      <c r="C834" s="36" t="str">
        <f>'Status Thresholds'!B825</f>
        <v>Zamtrios</v>
      </c>
      <c r="E834" s="36" t="str">
        <f t="shared" si="27"/>
        <v>Zamtrios</v>
      </c>
      <c r="F834" s="36" t="str">
        <f>IFERROR(VLOOKUP($E834,'Status Thresholds'!$E:$AS,1,FALSE),"")</f>
        <v/>
      </c>
      <c r="G834" t="s">
        <v>21</v>
      </c>
      <c r="H834" s="55" t="str">
        <f t="shared" si="28"/>
        <v>ZamtriosTriblast</v>
      </c>
      <c r="I834" s="50">
        <v>2</v>
      </c>
      <c r="J834" s="36">
        <v>2</v>
      </c>
      <c r="K834" s="36">
        <v>2</v>
      </c>
      <c r="L834" s="36">
        <v>2</v>
      </c>
      <c r="M834" s="36">
        <v>0</v>
      </c>
      <c r="N834" s="50">
        <v>2</v>
      </c>
      <c r="O834" s="36">
        <v>2</v>
      </c>
      <c r="P834" s="36">
        <v>2</v>
      </c>
      <c r="Q834" s="36">
        <v>2</v>
      </c>
      <c r="R834" s="36">
        <v>0</v>
      </c>
      <c r="S834" s="50">
        <v>2</v>
      </c>
      <c r="T834" s="36">
        <v>2</v>
      </c>
      <c r="U834" s="36">
        <v>2</v>
      </c>
      <c r="V834" s="36">
        <v>2</v>
      </c>
      <c r="W834" s="36">
        <v>0</v>
      </c>
      <c r="X834" s="50">
        <v>0</v>
      </c>
      <c r="Y834" s="36">
        <v>0</v>
      </c>
      <c r="Z834" s="36">
        <v>0</v>
      </c>
      <c r="AA834" s="36">
        <v>0</v>
      </c>
      <c r="AB834" s="36">
        <v>0</v>
      </c>
      <c r="AC834" s="50">
        <v>2</v>
      </c>
      <c r="AD834" s="36">
        <v>2</v>
      </c>
      <c r="AE834" s="36">
        <v>2</v>
      </c>
      <c r="AF834" s="36">
        <v>2</v>
      </c>
      <c r="AG834" s="36">
        <v>0</v>
      </c>
      <c r="AH834" s="50">
        <v>0</v>
      </c>
      <c r="AI834" s="36">
        <v>0</v>
      </c>
      <c r="AJ834" s="36">
        <v>0</v>
      </c>
      <c r="AK834" s="36">
        <v>0</v>
      </c>
      <c r="AL834" s="36">
        <v>0</v>
      </c>
      <c r="AM834" s="50">
        <v>2</v>
      </c>
      <c r="AN834" s="36">
        <v>2</v>
      </c>
      <c r="AO834" s="36">
        <v>2</v>
      </c>
      <c r="AP834" s="36">
        <v>2</v>
      </c>
      <c r="AQ834" s="36">
        <v>0</v>
      </c>
      <c r="AR834" s="50">
        <v>0</v>
      </c>
      <c r="AS834" s="36">
        <v>0</v>
      </c>
      <c r="AT834" s="36">
        <v>0</v>
      </c>
      <c r="AU834" s="36">
        <v>0</v>
      </c>
      <c r="AV834" s="36">
        <v>0</v>
      </c>
      <c r="AW834">
        <v>0</v>
      </c>
    </row>
    <row r="835" spans="1:50" x14ac:dyDescent="0.25">
      <c r="A835" s="36"/>
      <c r="B835" t="s">
        <v>120</v>
      </c>
      <c r="C835" s="36" t="str">
        <f>'Status Thresholds'!B826</f>
        <v>Zamtrios</v>
      </c>
      <c r="E835" s="36" t="str">
        <f t="shared" si="27"/>
        <v>Zamtrios</v>
      </c>
      <c r="F835" s="36" t="str">
        <f>IFERROR(VLOOKUP($E835,'Status Thresholds'!$E:$AS,1,FALSE),"")</f>
        <v/>
      </c>
      <c r="G835" t="s">
        <v>13</v>
      </c>
      <c r="H835" s="55" t="str">
        <f t="shared" si="28"/>
        <v>ZamtriosCrag 3</v>
      </c>
      <c r="I835" s="50">
        <v>2</v>
      </c>
      <c r="J835" s="36">
        <v>4</v>
      </c>
      <c r="K835" s="36">
        <v>2</v>
      </c>
      <c r="L835" s="36">
        <v>4</v>
      </c>
      <c r="M835" s="36">
        <v>0</v>
      </c>
      <c r="N835" s="50">
        <v>2</v>
      </c>
      <c r="O835" s="36">
        <v>4</v>
      </c>
      <c r="P835" s="36">
        <v>2</v>
      </c>
      <c r="Q835" s="36">
        <v>4</v>
      </c>
      <c r="R835" s="36">
        <v>0</v>
      </c>
      <c r="S835" s="50">
        <v>2</v>
      </c>
      <c r="T835" s="36">
        <v>4</v>
      </c>
      <c r="U835" s="36">
        <v>2</v>
      </c>
      <c r="V835" s="36">
        <v>4</v>
      </c>
      <c r="W835" s="36">
        <v>0</v>
      </c>
      <c r="X835" s="50">
        <v>0</v>
      </c>
      <c r="Y835" s="36">
        <v>0</v>
      </c>
      <c r="Z835" s="36">
        <v>0</v>
      </c>
      <c r="AA835" s="36">
        <v>0</v>
      </c>
      <c r="AB835" s="36">
        <v>0</v>
      </c>
      <c r="AC835" s="50">
        <v>2</v>
      </c>
      <c r="AD835" s="36">
        <v>4</v>
      </c>
      <c r="AE835" s="36">
        <v>3</v>
      </c>
      <c r="AF835" s="36">
        <v>4</v>
      </c>
      <c r="AG835" s="36">
        <v>0</v>
      </c>
      <c r="AH835" s="50">
        <v>0</v>
      </c>
      <c r="AI835" s="36">
        <v>0</v>
      </c>
      <c r="AJ835" s="36">
        <v>0</v>
      </c>
      <c r="AK835" s="36">
        <v>0</v>
      </c>
      <c r="AL835" s="36">
        <v>0</v>
      </c>
      <c r="AM835" s="50">
        <v>4</v>
      </c>
      <c r="AN835" s="36">
        <v>4</v>
      </c>
      <c r="AO835" s="36">
        <v>4</v>
      </c>
      <c r="AP835" s="36">
        <v>4</v>
      </c>
      <c r="AQ835" s="36">
        <v>0</v>
      </c>
      <c r="AR835" s="50">
        <v>0</v>
      </c>
      <c r="AS835" s="36">
        <v>0</v>
      </c>
      <c r="AT835" s="36">
        <v>0</v>
      </c>
      <c r="AU835" s="36">
        <v>0</v>
      </c>
      <c r="AV835" s="36">
        <v>0</v>
      </c>
      <c r="AW835">
        <v>0</v>
      </c>
      <c r="AX835">
        <v>0</v>
      </c>
    </row>
    <row r="836" spans="1:50" x14ac:dyDescent="0.25">
      <c r="A836" s="36"/>
      <c r="B836" t="s">
        <v>120</v>
      </c>
      <c r="C836" s="36" t="str">
        <f>'Status Thresholds'!B827</f>
        <v>Zamtrios</v>
      </c>
      <c r="E836" s="36" t="str">
        <f t="shared" si="27"/>
        <v>Zamtrios</v>
      </c>
      <c r="F836" s="36" t="str">
        <f>IFERROR(VLOOKUP($E836,'Status Thresholds'!$E:$AS,1,FALSE),"")</f>
        <v/>
      </c>
      <c r="G836" t="s">
        <v>12</v>
      </c>
      <c r="H836" s="55" t="str">
        <f t="shared" si="28"/>
        <v>ZamtriosCrag 2</v>
      </c>
      <c r="I836" s="50">
        <v>1</v>
      </c>
      <c r="J836" s="36">
        <v>1</v>
      </c>
      <c r="K836" s="36">
        <v>3</v>
      </c>
      <c r="L836" s="36">
        <v>4</v>
      </c>
      <c r="M836" s="36">
        <v>0</v>
      </c>
      <c r="N836" s="50">
        <v>1</v>
      </c>
      <c r="O836" s="36">
        <v>1</v>
      </c>
      <c r="P836" s="36">
        <v>3</v>
      </c>
      <c r="Q836" s="36">
        <v>4</v>
      </c>
      <c r="R836" s="36">
        <v>0</v>
      </c>
      <c r="S836" s="50">
        <v>1</v>
      </c>
      <c r="T836" s="36">
        <v>1</v>
      </c>
      <c r="U836" s="36">
        <v>3</v>
      </c>
      <c r="V836" s="36">
        <v>4</v>
      </c>
      <c r="W836" s="36">
        <v>0</v>
      </c>
      <c r="X836" s="50">
        <v>0</v>
      </c>
      <c r="Y836" s="36">
        <v>0</v>
      </c>
      <c r="Z836" s="36">
        <v>0</v>
      </c>
      <c r="AA836" s="36">
        <v>0</v>
      </c>
      <c r="AB836" s="36">
        <v>0</v>
      </c>
      <c r="AC836" s="50">
        <v>0</v>
      </c>
      <c r="AD836" s="36">
        <v>2</v>
      </c>
      <c r="AE836" s="36">
        <v>3</v>
      </c>
      <c r="AF836" s="36">
        <v>4</v>
      </c>
      <c r="AG836" s="36">
        <v>0</v>
      </c>
      <c r="AH836" s="50">
        <v>0</v>
      </c>
      <c r="AI836" s="36">
        <v>0</v>
      </c>
      <c r="AJ836" s="36">
        <v>0</v>
      </c>
      <c r="AK836" s="36">
        <v>0</v>
      </c>
      <c r="AL836" s="36">
        <v>0</v>
      </c>
      <c r="AM836" s="50">
        <v>3</v>
      </c>
      <c r="AN836" s="36">
        <v>3</v>
      </c>
      <c r="AO836" s="36">
        <v>4</v>
      </c>
      <c r="AP836" s="36">
        <v>4</v>
      </c>
      <c r="AQ836" s="36">
        <v>0</v>
      </c>
      <c r="AR836" s="50">
        <v>0</v>
      </c>
      <c r="AS836" s="36">
        <v>0</v>
      </c>
      <c r="AT836" s="36">
        <v>0</v>
      </c>
      <c r="AU836" s="36">
        <v>0</v>
      </c>
      <c r="AV836" s="36">
        <v>0</v>
      </c>
      <c r="AW836">
        <v>0</v>
      </c>
      <c r="AX836">
        <v>0</v>
      </c>
    </row>
    <row r="837" spans="1:50" x14ac:dyDescent="0.25">
      <c r="A837" s="36"/>
      <c r="B837" t="s">
        <v>120</v>
      </c>
      <c r="C837" s="36" t="str">
        <f>'Status Thresholds'!B828</f>
        <v>Zamtrios</v>
      </c>
      <c r="E837" s="36" t="str">
        <f t="shared" si="27"/>
        <v>Zamtrios</v>
      </c>
      <c r="F837" s="36" t="str">
        <f>IFERROR(VLOOKUP($E837,'Status Thresholds'!$E:$AS,1,FALSE),"")</f>
        <v/>
      </c>
      <c r="G837" t="s">
        <v>11</v>
      </c>
      <c r="H837" s="55" t="str">
        <f t="shared" si="28"/>
        <v>ZamtriosCrag 1</v>
      </c>
      <c r="I837" s="50">
        <v>0</v>
      </c>
      <c r="J837" s="36">
        <v>2</v>
      </c>
      <c r="K837" s="36">
        <v>8</v>
      </c>
      <c r="L837" s="36">
        <v>8</v>
      </c>
      <c r="M837" s="36">
        <v>0</v>
      </c>
      <c r="N837" s="50">
        <v>0</v>
      </c>
      <c r="O837" s="36">
        <v>2</v>
      </c>
      <c r="P837" s="36">
        <v>8</v>
      </c>
      <c r="Q837" s="36">
        <v>8</v>
      </c>
      <c r="R837" s="36">
        <v>0</v>
      </c>
      <c r="S837" s="50">
        <v>0</v>
      </c>
      <c r="T837" s="36">
        <v>2</v>
      </c>
      <c r="U837" s="36">
        <v>8</v>
      </c>
      <c r="V837" s="36">
        <v>8</v>
      </c>
      <c r="W837" s="36">
        <v>0</v>
      </c>
      <c r="X837" s="50">
        <v>0</v>
      </c>
      <c r="Y837" s="36">
        <v>0</v>
      </c>
      <c r="Z837" s="36">
        <v>0</v>
      </c>
      <c r="AA837" s="36">
        <v>0</v>
      </c>
      <c r="AB837" s="36">
        <v>0</v>
      </c>
      <c r="AC837" s="50">
        <v>2</v>
      </c>
      <c r="AD837" s="36">
        <v>2</v>
      </c>
      <c r="AE837" s="36">
        <v>8</v>
      </c>
      <c r="AF837" s="36">
        <v>8</v>
      </c>
      <c r="AG837" s="36">
        <v>0</v>
      </c>
      <c r="AH837" s="50">
        <v>0</v>
      </c>
      <c r="AI837" s="36">
        <v>0</v>
      </c>
      <c r="AJ837" s="36">
        <v>0</v>
      </c>
      <c r="AK837" s="36">
        <v>0</v>
      </c>
      <c r="AL837" s="36">
        <v>0</v>
      </c>
      <c r="AM837" s="50">
        <v>0</v>
      </c>
      <c r="AN837" s="36">
        <v>8</v>
      </c>
      <c r="AO837" s="36">
        <v>8</v>
      </c>
      <c r="AP837" s="36">
        <v>8</v>
      </c>
      <c r="AQ837" s="36">
        <v>0</v>
      </c>
      <c r="AR837" s="50">
        <v>0</v>
      </c>
      <c r="AS837" s="36">
        <v>0</v>
      </c>
      <c r="AT837" s="36">
        <v>0</v>
      </c>
      <c r="AU837" s="36">
        <v>0</v>
      </c>
      <c r="AV837" s="36">
        <v>1</v>
      </c>
      <c r="AW837">
        <v>0</v>
      </c>
      <c r="AX837">
        <v>0</v>
      </c>
    </row>
    <row r="838" spans="1:50" x14ac:dyDescent="0.25">
      <c r="A838" s="36"/>
      <c r="B838" t="s">
        <v>119</v>
      </c>
      <c r="C838" s="36" t="str">
        <f>'Status Thresholds'!B829</f>
        <v>Zamtrios</v>
      </c>
      <c r="E838" s="36" t="str">
        <f t="shared" ref="E838:E850" si="29">C838&amp;D838</f>
        <v>Zamtrios</v>
      </c>
      <c r="F838" s="36" t="str">
        <f>IFERROR(VLOOKUP($E838,'Status Thresholds'!$E:$AS,1,FALSE),"")</f>
        <v/>
      </c>
      <c r="G838" t="s">
        <v>21</v>
      </c>
      <c r="H838" s="55" t="str">
        <f t="shared" ref="H838:H850" si="30">E838&amp;G838</f>
        <v>ZamtriosTriblast</v>
      </c>
      <c r="I838" s="50">
        <v>2</v>
      </c>
      <c r="J838" s="36">
        <v>2</v>
      </c>
      <c r="K838" s="36">
        <v>2</v>
      </c>
      <c r="L838" s="36">
        <v>2</v>
      </c>
      <c r="M838" s="36">
        <v>0</v>
      </c>
      <c r="N838" s="50">
        <v>2</v>
      </c>
      <c r="O838" s="36">
        <v>2</v>
      </c>
      <c r="P838" s="36">
        <v>2</v>
      </c>
      <c r="Q838" s="36">
        <v>2</v>
      </c>
      <c r="R838" s="36">
        <v>0</v>
      </c>
      <c r="S838" s="50">
        <v>2</v>
      </c>
      <c r="T838" s="36">
        <v>2</v>
      </c>
      <c r="U838" s="36">
        <v>2</v>
      </c>
      <c r="V838" s="36">
        <v>2</v>
      </c>
      <c r="W838" s="36">
        <v>0</v>
      </c>
      <c r="X838" s="50">
        <v>0</v>
      </c>
      <c r="Y838" s="36">
        <v>0</v>
      </c>
      <c r="Z838" s="36">
        <v>0</v>
      </c>
      <c r="AA838" s="36">
        <v>0</v>
      </c>
      <c r="AB838" s="36">
        <v>0</v>
      </c>
      <c r="AC838" s="50">
        <v>0</v>
      </c>
      <c r="AD838" s="36">
        <v>0</v>
      </c>
      <c r="AE838" s="36">
        <v>2</v>
      </c>
      <c r="AF838" s="36">
        <v>2</v>
      </c>
      <c r="AG838" s="36">
        <v>0</v>
      </c>
      <c r="AH838" s="50">
        <v>0</v>
      </c>
      <c r="AI838" s="36">
        <v>0</v>
      </c>
      <c r="AJ838" s="36">
        <v>0</v>
      </c>
      <c r="AK838" s="36">
        <v>0</v>
      </c>
      <c r="AL838" s="36">
        <v>0</v>
      </c>
      <c r="AM838" s="50">
        <v>2</v>
      </c>
      <c r="AN838" s="36">
        <v>2</v>
      </c>
      <c r="AO838" s="36">
        <v>2</v>
      </c>
      <c r="AP838" s="36">
        <v>2</v>
      </c>
      <c r="AQ838" s="36">
        <v>0</v>
      </c>
      <c r="AR838" s="50">
        <v>0</v>
      </c>
      <c r="AS838" s="36">
        <v>0</v>
      </c>
      <c r="AT838" s="36">
        <v>0</v>
      </c>
      <c r="AU838" s="36">
        <v>0</v>
      </c>
      <c r="AV838" s="36">
        <v>0</v>
      </c>
      <c r="AW838">
        <v>0</v>
      </c>
      <c r="AX838">
        <v>0</v>
      </c>
    </row>
    <row r="839" spans="1:50" x14ac:dyDescent="0.25">
      <c r="A839" s="36"/>
      <c r="B839" t="s">
        <v>119</v>
      </c>
      <c r="C839" s="36" t="str">
        <f>'Status Thresholds'!B830</f>
        <v>Zamtrios</v>
      </c>
      <c r="E839" s="36" t="str">
        <f t="shared" si="29"/>
        <v>Zamtrios</v>
      </c>
      <c r="F839" s="36" t="str">
        <f>IFERROR(VLOOKUP($E839,'Status Thresholds'!$E:$AS,1,FALSE),"")</f>
        <v/>
      </c>
      <c r="G839" t="s">
        <v>13</v>
      </c>
      <c r="H839" s="55" t="str">
        <f t="shared" si="30"/>
        <v>ZamtriosCrag 3</v>
      </c>
      <c r="I839" s="50">
        <v>1</v>
      </c>
      <c r="J839" s="36">
        <v>0</v>
      </c>
      <c r="K839" s="36">
        <v>1</v>
      </c>
      <c r="L839" s="36">
        <v>4</v>
      </c>
      <c r="M839" s="36">
        <v>0</v>
      </c>
      <c r="N839" s="50">
        <v>1</v>
      </c>
      <c r="O839" s="36">
        <v>0</v>
      </c>
      <c r="P839" s="36">
        <v>1</v>
      </c>
      <c r="Q839" s="36">
        <v>4</v>
      </c>
      <c r="R839" s="36">
        <v>0</v>
      </c>
      <c r="S839" s="50">
        <v>1</v>
      </c>
      <c r="T839" s="36">
        <v>0</v>
      </c>
      <c r="U839" s="36">
        <v>1</v>
      </c>
      <c r="V839" s="36">
        <v>4</v>
      </c>
      <c r="W839" s="36">
        <v>0</v>
      </c>
      <c r="X839" s="50">
        <v>0</v>
      </c>
      <c r="Y839" s="36">
        <v>0</v>
      </c>
      <c r="Z839" s="36">
        <v>0</v>
      </c>
      <c r="AA839" s="36">
        <v>0</v>
      </c>
      <c r="AB839" s="36">
        <v>0</v>
      </c>
      <c r="AC839" s="50">
        <v>0</v>
      </c>
      <c r="AD839" s="36">
        <v>3</v>
      </c>
      <c r="AE839" s="36">
        <v>4</v>
      </c>
      <c r="AF839" s="36">
        <v>4</v>
      </c>
      <c r="AG839" s="36">
        <v>0</v>
      </c>
      <c r="AH839" s="50">
        <v>0</v>
      </c>
      <c r="AI839" s="36">
        <v>0</v>
      </c>
      <c r="AJ839" s="36">
        <v>0</v>
      </c>
      <c r="AK839" s="36">
        <v>0</v>
      </c>
      <c r="AL839" s="36">
        <v>0</v>
      </c>
      <c r="AM839" s="50">
        <v>1</v>
      </c>
      <c r="AN839" s="36">
        <v>4</v>
      </c>
      <c r="AO839" s="36">
        <v>4</v>
      </c>
      <c r="AP839" s="36">
        <v>4</v>
      </c>
      <c r="AQ839" s="36">
        <v>0</v>
      </c>
      <c r="AR839" s="50">
        <v>0</v>
      </c>
      <c r="AS839" s="36">
        <v>0</v>
      </c>
      <c r="AT839" s="36">
        <v>0</v>
      </c>
      <c r="AU839" s="36">
        <v>0</v>
      </c>
      <c r="AV839" s="36">
        <v>0</v>
      </c>
      <c r="AW839">
        <v>0</v>
      </c>
      <c r="AX839">
        <v>0</v>
      </c>
    </row>
    <row r="840" spans="1:50" x14ac:dyDescent="0.25">
      <c r="A840" s="36"/>
      <c r="B840" t="s">
        <v>119</v>
      </c>
      <c r="C840" s="36" t="str">
        <f>'Status Thresholds'!B831</f>
        <v>Zamtrios</v>
      </c>
      <c r="E840" s="36" t="str">
        <f t="shared" si="29"/>
        <v>Zamtrios</v>
      </c>
      <c r="F840" s="36" t="str">
        <f>IFERROR(VLOOKUP($E840,'Status Thresholds'!$E:$AS,1,FALSE),"")</f>
        <v/>
      </c>
      <c r="G840" t="s">
        <v>12</v>
      </c>
      <c r="H840" s="55" t="str">
        <f t="shared" si="30"/>
        <v>ZamtriosCrag 2</v>
      </c>
      <c r="I840" s="50">
        <v>0</v>
      </c>
      <c r="J840" s="36">
        <v>2</v>
      </c>
      <c r="K840" s="36">
        <v>3</v>
      </c>
      <c r="L840" s="36">
        <v>3</v>
      </c>
      <c r="M840" s="36">
        <v>0</v>
      </c>
      <c r="N840" s="50">
        <v>0</v>
      </c>
      <c r="O840" s="36">
        <v>2</v>
      </c>
      <c r="P840" s="36">
        <v>3</v>
      </c>
      <c r="Q840" s="36">
        <v>3</v>
      </c>
      <c r="R840" s="36">
        <v>0</v>
      </c>
      <c r="S840" s="50">
        <v>0</v>
      </c>
      <c r="T840" s="36">
        <v>2</v>
      </c>
      <c r="U840" s="36">
        <v>3</v>
      </c>
      <c r="V840" s="36">
        <v>3</v>
      </c>
      <c r="W840" s="36">
        <v>0</v>
      </c>
      <c r="X840" s="50">
        <v>0</v>
      </c>
      <c r="Y840" s="36">
        <v>0</v>
      </c>
      <c r="Z840" s="36">
        <v>0</v>
      </c>
      <c r="AA840" s="36">
        <v>0</v>
      </c>
      <c r="AB840" s="36">
        <v>0</v>
      </c>
      <c r="AC840" s="50">
        <v>2</v>
      </c>
      <c r="AD840" s="36">
        <v>3</v>
      </c>
      <c r="AE840" s="36">
        <v>1</v>
      </c>
      <c r="AF840" s="36">
        <v>4</v>
      </c>
      <c r="AG840" s="36">
        <v>0</v>
      </c>
      <c r="AH840" s="50">
        <v>0</v>
      </c>
      <c r="AI840" s="36">
        <v>0</v>
      </c>
      <c r="AJ840" s="36">
        <v>0</v>
      </c>
      <c r="AK840" s="36">
        <v>0</v>
      </c>
      <c r="AL840" s="36">
        <v>0</v>
      </c>
      <c r="AM840" s="50">
        <v>1</v>
      </c>
      <c r="AN840" s="36">
        <v>4</v>
      </c>
      <c r="AO840" s="36">
        <v>4</v>
      </c>
      <c r="AP840" s="36">
        <v>4</v>
      </c>
      <c r="AQ840" s="36">
        <v>0</v>
      </c>
      <c r="AR840" s="50">
        <v>0</v>
      </c>
      <c r="AS840" s="36">
        <v>0</v>
      </c>
      <c r="AT840" s="36">
        <v>0</v>
      </c>
      <c r="AU840" s="36">
        <v>0</v>
      </c>
      <c r="AV840" s="36">
        <v>0</v>
      </c>
      <c r="AW840">
        <v>0</v>
      </c>
      <c r="AX840">
        <v>0</v>
      </c>
    </row>
    <row r="841" spans="1:50" x14ac:dyDescent="0.25">
      <c r="A841" s="36"/>
      <c r="B841" t="s">
        <v>119</v>
      </c>
      <c r="C841" s="36" t="str">
        <f>'Status Thresholds'!B832</f>
        <v>Zamtrios</v>
      </c>
      <c r="E841" s="36" t="str">
        <f t="shared" si="29"/>
        <v>Zamtrios</v>
      </c>
      <c r="F841" s="36" t="str">
        <f>IFERROR(VLOOKUP($E841,'Status Thresholds'!$E:$AS,1,FALSE),"")</f>
        <v/>
      </c>
      <c r="G841" t="s">
        <v>11</v>
      </c>
      <c r="H841" s="55" t="str">
        <f t="shared" si="30"/>
        <v>ZamtriosCrag 1</v>
      </c>
      <c r="I841" s="50">
        <v>2</v>
      </c>
      <c r="J841" s="36">
        <v>6</v>
      </c>
      <c r="K841" s="36">
        <v>8</v>
      </c>
      <c r="L841" s="36">
        <v>8</v>
      </c>
      <c r="M841" s="36">
        <v>0</v>
      </c>
      <c r="N841" s="50">
        <v>2</v>
      </c>
      <c r="O841" s="36">
        <v>6</v>
      </c>
      <c r="P841" s="36">
        <v>8</v>
      </c>
      <c r="Q841" s="36">
        <v>8</v>
      </c>
      <c r="R841" s="36">
        <v>0</v>
      </c>
      <c r="S841" s="50">
        <v>2</v>
      </c>
      <c r="T841" s="36">
        <v>6</v>
      </c>
      <c r="U841" s="36">
        <v>8</v>
      </c>
      <c r="V841" s="36">
        <v>8</v>
      </c>
      <c r="W841" s="36">
        <v>0</v>
      </c>
      <c r="X841" s="50">
        <v>0</v>
      </c>
      <c r="Y841" s="36">
        <v>0</v>
      </c>
      <c r="Z841" s="36">
        <v>0</v>
      </c>
      <c r="AA841" s="36">
        <v>0</v>
      </c>
      <c r="AB841" s="36">
        <v>0</v>
      </c>
      <c r="AC841" s="50">
        <v>8</v>
      </c>
      <c r="AD841" s="36">
        <v>7</v>
      </c>
      <c r="AE841" s="36">
        <v>7</v>
      </c>
      <c r="AF841" s="36">
        <v>8</v>
      </c>
      <c r="AG841" s="36">
        <v>0</v>
      </c>
      <c r="AH841" s="50">
        <v>0</v>
      </c>
      <c r="AI841" s="36">
        <v>0</v>
      </c>
      <c r="AJ841" s="36">
        <v>0</v>
      </c>
      <c r="AK841" s="36">
        <v>0</v>
      </c>
      <c r="AL841" s="36">
        <v>0</v>
      </c>
      <c r="AM841" s="50">
        <v>6</v>
      </c>
      <c r="AN841" s="36">
        <v>5</v>
      </c>
      <c r="AO841" s="36">
        <v>8</v>
      </c>
      <c r="AP841" s="36">
        <v>8</v>
      </c>
      <c r="AQ841" s="36">
        <v>0</v>
      </c>
      <c r="AR841" s="50">
        <v>0</v>
      </c>
      <c r="AS841" s="36">
        <v>0</v>
      </c>
      <c r="AT841" s="36">
        <v>0</v>
      </c>
      <c r="AU841" s="36">
        <v>0</v>
      </c>
      <c r="AV841" s="36">
        <v>1</v>
      </c>
      <c r="AW841">
        <v>0</v>
      </c>
      <c r="AX841">
        <v>0</v>
      </c>
    </row>
    <row r="842" spans="1:50" x14ac:dyDescent="0.25">
      <c r="A842" s="36"/>
      <c r="B842" t="s">
        <v>121</v>
      </c>
      <c r="C842" s="36" t="str">
        <f>'Status Thresholds'!B833</f>
        <v>Zinogre</v>
      </c>
      <c r="D842" t="s">
        <v>14</v>
      </c>
      <c r="E842" s="36" t="str">
        <f t="shared" si="29"/>
        <v>ZinogreKO</v>
      </c>
      <c r="F842" s="36" t="str">
        <f>IFERROR(VLOOKUP($E842,'Status Thresholds'!$E:$AS,1,FALSE),"")</f>
        <v>ZinogreKO</v>
      </c>
      <c r="H842" s="55" t="str">
        <f t="shared" si="30"/>
        <v>ZinogreKO</v>
      </c>
      <c r="I842" s="50">
        <f>VLOOKUP($F842,'Status Thresholds'!$E:$AS,2,FALSE)</f>
        <v>195</v>
      </c>
      <c r="J842" s="36">
        <f>VLOOKUP($F842,'Status Thresholds'!$E:$AS,3,FALSE)</f>
        <v>390</v>
      </c>
      <c r="K842" s="36">
        <f>VLOOKUP($F842,'Status Thresholds'!$E:$AS,4,FALSE)</f>
        <v>585</v>
      </c>
      <c r="L842" s="36">
        <f>VLOOKUP($F842,'Status Thresholds'!$E:$AS,5,FALSE)</f>
        <v>780</v>
      </c>
      <c r="M842" s="36">
        <f>VLOOKUP($F842,'Status Thresholds'!$E:$AS,6,FALSE)</f>
        <v>0</v>
      </c>
      <c r="N842" s="50">
        <f>VLOOKUP($F842,'Status Thresholds'!$E:$AS,7,FALSE)</f>
        <v>195</v>
      </c>
      <c r="O842" s="36">
        <f>VLOOKUP($F842,'Status Thresholds'!$E:$AS,8,FALSE)</f>
        <v>390</v>
      </c>
      <c r="P842" s="36">
        <f>VLOOKUP($F842,'Status Thresholds'!$E:$AS,9,FALSE)</f>
        <v>585</v>
      </c>
      <c r="Q842" s="36">
        <f>VLOOKUP($F842,'Status Thresholds'!$E:$AS,10,FALSE)</f>
        <v>780</v>
      </c>
      <c r="R842" s="36">
        <f>VLOOKUP($F842,'Status Thresholds'!$E:$AS,11,FALSE)</f>
        <v>0</v>
      </c>
      <c r="S842" s="50">
        <f>VLOOKUP($F842,'Status Thresholds'!$E:$AS,12,FALSE)</f>
        <v>210</v>
      </c>
      <c r="T842" s="36">
        <f>VLOOKUP($F842,'Status Thresholds'!$E:$AS,13,FALSE)</f>
        <v>420</v>
      </c>
      <c r="U842" s="36">
        <f>VLOOKUP($F842,'Status Thresholds'!$E:$AS,14,FALSE)</f>
        <v>630</v>
      </c>
      <c r="V842" s="36">
        <f>VLOOKUP($F842,'Status Thresholds'!$E:$AS,15,FALSE)</f>
        <v>840</v>
      </c>
      <c r="W842" s="36">
        <f>VLOOKUP($F842,'Status Thresholds'!$E:$AS,16,FALSE)</f>
        <v>0</v>
      </c>
      <c r="X842" s="50">
        <f>VLOOKUP($F842,'Status Thresholds'!$E:$AS,17,FALSE)</f>
        <v>0</v>
      </c>
      <c r="Y842" s="36">
        <f>VLOOKUP($F842,'Status Thresholds'!$E:$AS,18,FALSE)</f>
        <v>0</v>
      </c>
      <c r="Z842" s="36">
        <f>VLOOKUP($F842,'Status Thresholds'!$E:$AS,19,FALSE)</f>
        <v>0</v>
      </c>
      <c r="AA842" s="36">
        <f>VLOOKUP($F842,'Status Thresholds'!$E:$AS,20,FALSE)</f>
        <v>0</v>
      </c>
      <c r="AB842" s="36">
        <f>VLOOKUP($F842,'Status Thresholds'!$E:$AS,21,FALSE)</f>
        <v>0</v>
      </c>
      <c r="AC842" s="50">
        <f>VLOOKUP($F842,'Status Thresholds'!$E:$AS,22,FALSE)</f>
        <v>225</v>
      </c>
      <c r="AD842" s="36">
        <f>VLOOKUP($F842,'Status Thresholds'!$E:$AS,23,FALSE)</f>
        <v>450</v>
      </c>
      <c r="AE842" s="36">
        <f>VLOOKUP($F842,'Status Thresholds'!$E:$AS,24,FALSE)</f>
        <v>675</v>
      </c>
      <c r="AF842" s="36">
        <f>VLOOKUP($F842,'Status Thresholds'!$E:$AS,25,FALSE)</f>
        <v>900</v>
      </c>
      <c r="AG842" s="36">
        <f>VLOOKUP($F842,'Status Thresholds'!$E:$AS,26,FALSE)</f>
        <v>0</v>
      </c>
      <c r="AH842" s="50">
        <f>VLOOKUP($F842,'Status Thresholds'!$E:$AS,27,FALSE)</f>
        <v>0</v>
      </c>
      <c r="AI842" s="36">
        <f>VLOOKUP($F842,'Status Thresholds'!$E:$AS,28,FALSE)</f>
        <v>0</v>
      </c>
      <c r="AJ842" s="36">
        <f>VLOOKUP($F842,'Status Thresholds'!$E:$AS,29,FALSE)</f>
        <v>0</v>
      </c>
      <c r="AK842" s="36">
        <f>VLOOKUP($F842,'Status Thresholds'!$E:$AS,30,FALSE)</f>
        <v>0</v>
      </c>
      <c r="AL842" s="36">
        <f>VLOOKUP($F842,'Status Thresholds'!$E:$AS,31,FALSE)</f>
        <v>0</v>
      </c>
      <c r="AM842" s="50">
        <f>VLOOKUP($F842,'Status Thresholds'!$E:$AS,32,FALSE)</f>
        <v>300</v>
      </c>
      <c r="AN842" s="36">
        <f>VLOOKUP($F842,'Status Thresholds'!$E:$AS,33,FALSE)</f>
        <v>600</v>
      </c>
      <c r="AO842" s="36">
        <f>VLOOKUP($F842,'Status Thresholds'!$E:$AS,34,FALSE)</f>
        <v>900</v>
      </c>
      <c r="AP842" s="36">
        <f>VLOOKUP($F842,'Status Thresholds'!$E:$AS,35,FALSE)</f>
        <v>1200</v>
      </c>
      <c r="AQ842" s="36">
        <f>VLOOKUP($F842,'Status Thresholds'!$E:$AS,36,FALSE)</f>
        <v>0</v>
      </c>
      <c r="AR842" s="50">
        <f>VLOOKUP($F842,'Status Thresholds'!$E:$AS,37,FALSE)</f>
        <v>0</v>
      </c>
      <c r="AS842" s="36">
        <f>VLOOKUP($F842,'Status Thresholds'!$E:$AS,38,FALSE)</f>
        <v>0</v>
      </c>
      <c r="AT842" s="36">
        <f>VLOOKUP($F842,'Status Thresholds'!$E:$AS,39,FALSE)</f>
        <v>0</v>
      </c>
      <c r="AU842" s="36">
        <f>VLOOKUP($F842,'Status Thresholds'!$E:$AS,40,FALSE)</f>
        <v>0</v>
      </c>
      <c r="AV842" s="36">
        <f>VLOOKUP($F842,'Status Thresholds'!$E:$AS,41,FALSE)</f>
        <v>10</v>
      </c>
      <c r="AW842">
        <v>0</v>
      </c>
      <c r="AX842">
        <v>0</v>
      </c>
    </row>
    <row r="843" spans="1:50" x14ac:dyDescent="0.25">
      <c r="A843" s="36"/>
      <c r="B843" t="s">
        <v>120</v>
      </c>
      <c r="C843" s="36" t="str">
        <f>'Status Thresholds'!B834</f>
        <v>Zinogre</v>
      </c>
      <c r="E843" s="36" t="str">
        <f t="shared" si="29"/>
        <v>Zinogre</v>
      </c>
      <c r="F843" s="36" t="str">
        <f>IFERROR(VLOOKUP($E843,'Status Thresholds'!$E:$AS,1,FALSE),"")</f>
        <v/>
      </c>
      <c r="G843" t="s">
        <v>21</v>
      </c>
      <c r="H843" s="55" t="str">
        <f t="shared" si="30"/>
        <v>ZinogreTriblast</v>
      </c>
      <c r="I843" s="50">
        <v>1</v>
      </c>
      <c r="J843" s="36">
        <v>2</v>
      </c>
      <c r="K843" s="36">
        <v>2</v>
      </c>
      <c r="L843" s="36">
        <v>2</v>
      </c>
      <c r="M843" s="36">
        <v>0</v>
      </c>
      <c r="N843" s="50">
        <v>1</v>
      </c>
      <c r="O843" s="36">
        <v>2</v>
      </c>
      <c r="P843" s="36">
        <v>2</v>
      </c>
      <c r="Q843" s="36">
        <v>2</v>
      </c>
      <c r="R843" s="36">
        <v>0</v>
      </c>
      <c r="S843" s="50">
        <v>2</v>
      </c>
      <c r="T843" s="36">
        <v>2</v>
      </c>
      <c r="U843" s="36">
        <v>2</v>
      </c>
      <c r="V843" s="36">
        <v>2</v>
      </c>
      <c r="W843" s="36">
        <v>0</v>
      </c>
      <c r="X843" s="50">
        <v>0</v>
      </c>
      <c r="Y843" s="36">
        <v>0</v>
      </c>
      <c r="Z843" s="36">
        <v>0</v>
      </c>
      <c r="AA843" s="36">
        <v>0</v>
      </c>
      <c r="AB843" s="36">
        <v>0</v>
      </c>
      <c r="AC843" s="50">
        <v>2</v>
      </c>
      <c r="AD843" s="36">
        <v>0</v>
      </c>
      <c r="AE843" s="36">
        <v>2</v>
      </c>
      <c r="AF843" s="36">
        <v>2</v>
      </c>
      <c r="AG843" s="36">
        <v>0</v>
      </c>
      <c r="AH843" s="50">
        <v>0</v>
      </c>
      <c r="AI843" s="36">
        <v>0</v>
      </c>
      <c r="AJ843" s="36">
        <v>0</v>
      </c>
      <c r="AK843" s="36">
        <v>0</v>
      </c>
      <c r="AL843" s="36">
        <v>0</v>
      </c>
      <c r="AM843" s="50">
        <v>2</v>
      </c>
      <c r="AN843" s="36">
        <v>2</v>
      </c>
      <c r="AO843" s="36">
        <v>2</v>
      </c>
      <c r="AP843" s="36">
        <v>2</v>
      </c>
      <c r="AQ843" s="36">
        <v>0</v>
      </c>
      <c r="AR843" s="50">
        <v>0</v>
      </c>
      <c r="AS843" s="36">
        <v>0</v>
      </c>
      <c r="AT843" s="36">
        <v>0</v>
      </c>
      <c r="AU843" s="36">
        <v>0</v>
      </c>
      <c r="AV843" s="36">
        <v>0</v>
      </c>
      <c r="AW843">
        <v>0</v>
      </c>
    </row>
    <row r="844" spans="1:50" x14ac:dyDescent="0.25">
      <c r="A844" s="36"/>
      <c r="B844" t="s">
        <v>120</v>
      </c>
      <c r="C844" s="36" t="str">
        <f>'Status Thresholds'!B835</f>
        <v>Zinogre</v>
      </c>
      <c r="E844" s="36" t="str">
        <f t="shared" si="29"/>
        <v>Zinogre</v>
      </c>
      <c r="F844" s="36" t="str">
        <f>IFERROR(VLOOKUP($E844,'Status Thresholds'!$E:$AS,1,FALSE),"")</f>
        <v/>
      </c>
      <c r="G844" t="s">
        <v>13</v>
      </c>
      <c r="H844" s="55" t="str">
        <f t="shared" si="30"/>
        <v>ZinogreCrag 3</v>
      </c>
      <c r="I844" s="50">
        <v>0</v>
      </c>
      <c r="J844" s="36">
        <v>4</v>
      </c>
      <c r="K844" s="36">
        <v>3</v>
      </c>
      <c r="L844" s="36">
        <v>4</v>
      </c>
      <c r="M844" s="36">
        <v>0</v>
      </c>
      <c r="N844" s="50">
        <v>0</v>
      </c>
      <c r="O844" s="36">
        <v>4</v>
      </c>
      <c r="P844" s="36">
        <v>3</v>
      </c>
      <c r="Q844" s="36">
        <v>4</v>
      </c>
      <c r="R844" s="36">
        <v>0</v>
      </c>
      <c r="S844" s="50">
        <v>0</v>
      </c>
      <c r="T844" s="36">
        <v>4</v>
      </c>
      <c r="U844" s="36">
        <v>4</v>
      </c>
      <c r="V844" s="36">
        <v>4</v>
      </c>
      <c r="W844" s="36">
        <v>0</v>
      </c>
      <c r="X844" s="50">
        <v>0</v>
      </c>
      <c r="Y844" s="36">
        <v>0</v>
      </c>
      <c r="Z844" s="36">
        <v>0</v>
      </c>
      <c r="AA844" s="36">
        <v>0</v>
      </c>
      <c r="AB844" s="36">
        <v>0</v>
      </c>
      <c r="AC844" s="50">
        <v>0</v>
      </c>
      <c r="AD844" s="36">
        <v>4</v>
      </c>
      <c r="AE844" s="36">
        <v>4</v>
      </c>
      <c r="AF844" s="36">
        <v>4</v>
      </c>
      <c r="AG844" s="36">
        <v>0</v>
      </c>
      <c r="AH844" s="50">
        <v>0</v>
      </c>
      <c r="AI844" s="36">
        <v>0</v>
      </c>
      <c r="AJ844" s="36">
        <v>0</v>
      </c>
      <c r="AK844" s="36">
        <v>0</v>
      </c>
      <c r="AL844" s="36">
        <v>0</v>
      </c>
      <c r="AM844" s="50">
        <v>3</v>
      </c>
      <c r="AN844" s="36">
        <v>4</v>
      </c>
      <c r="AO844" s="36">
        <v>4</v>
      </c>
      <c r="AP844" s="36">
        <v>4</v>
      </c>
      <c r="AQ844" s="36">
        <v>0</v>
      </c>
      <c r="AR844" s="50">
        <v>0</v>
      </c>
      <c r="AS844" s="36">
        <v>0</v>
      </c>
      <c r="AT844" s="36">
        <v>0</v>
      </c>
      <c r="AU844" s="36">
        <v>0</v>
      </c>
      <c r="AV844" s="36">
        <v>0</v>
      </c>
      <c r="AW844">
        <v>0</v>
      </c>
      <c r="AX844">
        <v>0</v>
      </c>
    </row>
    <row r="845" spans="1:50" x14ac:dyDescent="0.25">
      <c r="A845" s="36"/>
      <c r="B845" t="s">
        <v>120</v>
      </c>
      <c r="C845" s="36" t="str">
        <f>'Status Thresholds'!B836</f>
        <v>Zinogre</v>
      </c>
      <c r="E845" s="36" t="str">
        <f t="shared" si="29"/>
        <v>Zinogre</v>
      </c>
      <c r="F845" s="36" t="str">
        <f>IFERROR(VLOOKUP($E845,'Status Thresholds'!$E:$AS,1,FALSE),"")</f>
        <v/>
      </c>
      <c r="G845" t="s">
        <v>12</v>
      </c>
      <c r="H845" s="55" t="str">
        <f t="shared" si="30"/>
        <v>ZinogreCrag 2</v>
      </c>
      <c r="I845" s="50">
        <v>4</v>
      </c>
      <c r="J845" s="36">
        <v>1</v>
      </c>
      <c r="K845" s="36">
        <v>4</v>
      </c>
      <c r="L845" s="36">
        <v>4</v>
      </c>
      <c r="M845" s="36">
        <v>0</v>
      </c>
      <c r="N845" s="50">
        <v>4</v>
      </c>
      <c r="O845" s="36">
        <v>1</v>
      </c>
      <c r="P845" s="36">
        <v>4</v>
      </c>
      <c r="Q845" s="36">
        <v>4</v>
      </c>
      <c r="R845" s="36">
        <v>0</v>
      </c>
      <c r="S845" s="50">
        <v>2</v>
      </c>
      <c r="T845" s="36">
        <v>2</v>
      </c>
      <c r="U845" s="36">
        <v>4</v>
      </c>
      <c r="V845" s="36">
        <v>4</v>
      </c>
      <c r="W845" s="36">
        <v>0</v>
      </c>
      <c r="X845" s="50">
        <v>0</v>
      </c>
      <c r="Y845" s="36">
        <v>0</v>
      </c>
      <c r="Z845" s="36">
        <v>0</v>
      </c>
      <c r="AA845" s="36">
        <v>0</v>
      </c>
      <c r="AB845" s="36">
        <v>0</v>
      </c>
      <c r="AC845" s="50">
        <v>0</v>
      </c>
      <c r="AD845" s="36">
        <v>3</v>
      </c>
      <c r="AE845" s="36">
        <v>4</v>
      </c>
      <c r="AF845" s="36">
        <v>4</v>
      </c>
      <c r="AG845" s="36">
        <v>0</v>
      </c>
      <c r="AH845" s="50">
        <v>0</v>
      </c>
      <c r="AI845" s="36">
        <v>0</v>
      </c>
      <c r="AJ845" s="36">
        <v>0</v>
      </c>
      <c r="AK845" s="36">
        <v>0</v>
      </c>
      <c r="AL845" s="36">
        <v>0</v>
      </c>
      <c r="AM845" s="50">
        <v>1</v>
      </c>
      <c r="AN845" s="36">
        <v>3</v>
      </c>
      <c r="AO845" s="36">
        <v>4</v>
      </c>
      <c r="AP845" s="36">
        <v>4</v>
      </c>
      <c r="AQ845" s="36">
        <v>0</v>
      </c>
      <c r="AR845" s="50">
        <v>0</v>
      </c>
      <c r="AS845" s="36">
        <v>0</v>
      </c>
      <c r="AT845" s="36">
        <v>0</v>
      </c>
      <c r="AU845" s="36">
        <v>0</v>
      </c>
      <c r="AV845" s="36">
        <v>0</v>
      </c>
      <c r="AW845">
        <v>0</v>
      </c>
      <c r="AX845">
        <v>0</v>
      </c>
    </row>
    <row r="846" spans="1:50" x14ac:dyDescent="0.25">
      <c r="A846" s="36"/>
      <c r="B846" t="s">
        <v>120</v>
      </c>
      <c r="C846" s="36" t="str">
        <f>'Status Thresholds'!B837</f>
        <v>Zinogre</v>
      </c>
      <c r="E846" s="36" t="str">
        <f t="shared" si="29"/>
        <v>Zinogre</v>
      </c>
      <c r="F846" s="36" t="str">
        <f>IFERROR(VLOOKUP($E846,'Status Thresholds'!$E:$AS,1,FALSE),"")</f>
        <v/>
      </c>
      <c r="G846" t="s">
        <v>11</v>
      </c>
      <c r="H846" s="55" t="str">
        <f t="shared" si="30"/>
        <v>ZinogreCrag 1</v>
      </c>
      <c r="I846" s="50">
        <v>0</v>
      </c>
      <c r="J846" s="36">
        <v>2</v>
      </c>
      <c r="K846" s="36">
        <v>8</v>
      </c>
      <c r="L846" s="36">
        <v>8</v>
      </c>
      <c r="M846" s="36">
        <v>0</v>
      </c>
      <c r="N846" s="50">
        <v>0</v>
      </c>
      <c r="O846" s="36">
        <v>2</v>
      </c>
      <c r="P846" s="36">
        <v>8</v>
      </c>
      <c r="Q846" s="36">
        <v>8</v>
      </c>
      <c r="R846" s="36">
        <v>0</v>
      </c>
      <c r="S846" s="50">
        <v>0</v>
      </c>
      <c r="T846" s="36">
        <v>2</v>
      </c>
      <c r="U846" s="36">
        <v>8</v>
      </c>
      <c r="V846" s="36">
        <v>8</v>
      </c>
      <c r="W846" s="36">
        <v>0</v>
      </c>
      <c r="X846" s="50">
        <v>0</v>
      </c>
      <c r="Y846" s="36">
        <v>0</v>
      </c>
      <c r="Z846" s="36">
        <v>0</v>
      </c>
      <c r="AA846" s="36">
        <v>0</v>
      </c>
      <c r="AB846" s="36">
        <v>0</v>
      </c>
      <c r="AC846" s="50">
        <v>3</v>
      </c>
      <c r="AD846" s="36">
        <v>8</v>
      </c>
      <c r="AE846" s="36">
        <v>8</v>
      </c>
      <c r="AF846" s="36">
        <v>8</v>
      </c>
      <c r="AG846" s="36">
        <v>0</v>
      </c>
      <c r="AH846" s="50">
        <v>0</v>
      </c>
      <c r="AI846" s="36">
        <v>0</v>
      </c>
      <c r="AJ846" s="36">
        <v>0</v>
      </c>
      <c r="AK846" s="36">
        <v>0</v>
      </c>
      <c r="AL846" s="36">
        <v>0</v>
      </c>
      <c r="AM846" s="50">
        <v>0</v>
      </c>
      <c r="AN846" s="36">
        <v>8</v>
      </c>
      <c r="AO846" s="36">
        <v>8</v>
      </c>
      <c r="AP846" s="36">
        <v>8</v>
      </c>
      <c r="AQ846" s="36">
        <v>0</v>
      </c>
      <c r="AR846" s="50">
        <v>0</v>
      </c>
      <c r="AS846" s="36">
        <v>0</v>
      </c>
      <c r="AT846" s="36">
        <v>0</v>
      </c>
      <c r="AU846" s="36">
        <v>0</v>
      </c>
      <c r="AV846" s="36">
        <v>1</v>
      </c>
      <c r="AW846">
        <v>0</v>
      </c>
      <c r="AX846">
        <v>0</v>
      </c>
    </row>
    <row r="847" spans="1:50" x14ac:dyDescent="0.25">
      <c r="A847" s="36"/>
      <c r="B847" t="s">
        <v>119</v>
      </c>
      <c r="C847" s="36" t="str">
        <f>'Status Thresholds'!B838</f>
        <v>Zinogre</v>
      </c>
      <c r="E847" s="36" t="str">
        <f t="shared" si="29"/>
        <v>Zinogre</v>
      </c>
      <c r="F847" s="36" t="str">
        <f>IFERROR(VLOOKUP($E847,'Status Thresholds'!$E:$AS,1,FALSE),"")</f>
        <v/>
      </c>
      <c r="G847" t="s">
        <v>21</v>
      </c>
      <c r="H847" s="55" t="str">
        <f t="shared" si="30"/>
        <v>ZinogreTriblast</v>
      </c>
      <c r="I847" s="50">
        <v>2</v>
      </c>
      <c r="J847" s="36">
        <v>2</v>
      </c>
      <c r="K847" s="36">
        <v>2</v>
      </c>
      <c r="L847" s="36">
        <v>2</v>
      </c>
      <c r="M847" s="36">
        <v>0</v>
      </c>
      <c r="N847" s="50">
        <v>2</v>
      </c>
      <c r="O847" s="36">
        <v>2</v>
      </c>
      <c r="P847" s="36">
        <v>2</v>
      </c>
      <c r="Q847" s="36">
        <v>2</v>
      </c>
      <c r="R847" s="36">
        <v>0</v>
      </c>
      <c r="S847" s="50">
        <v>0</v>
      </c>
      <c r="T847" s="36">
        <v>0</v>
      </c>
      <c r="U847" s="36">
        <v>2</v>
      </c>
      <c r="V847" s="36">
        <v>2</v>
      </c>
      <c r="W847" s="36">
        <v>0</v>
      </c>
      <c r="X847" s="50">
        <v>0</v>
      </c>
      <c r="Y847" s="36">
        <v>0</v>
      </c>
      <c r="Z847" s="36">
        <v>0</v>
      </c>
      <c r="AA847" s="36">
        <v>0</v>
      </c>
      <c r="AB847" s="36">
        <v>0</v>
      </c>
      <c r="AC847" s="50">
        <v>0</v>
      </c>
      <c r="AD847" s="36">
        <v>2</v>
      </c>
      <c r="AE847" s="36">
        <v>2</v>
      </c>
      <c r="AF847" s="36">
        <v>2</v>
      </c>
      <c r="AG847" s="36">
        <v>0</v>
      </c>
      <c r="AH847" s="50">
        <v>0</v>
      </c>
      <c r="AI847" s="36">
        <v>0</v>
      </c>
      <c r="AJ847" s="36">
        <v>0</v>
      </c>
      <c r="AK847" s="36">
        <v>0</v>
      </c>
      <c r="AL847" s="36">
        <v>0</v>
      </c>
      <c r="AM847" s="50">
        <v>1</v>
      </c>
      <c r="AN847" s="36">
        <v>2</v>
      </c>
      <c r="AO847" s="36">
        <v>2</v>
      </c>
      <c r="AP847" s="36">
        <v>2</v>
      </c>
      <c r="AQ847" s="36">
        <v>0</v>
      </c>
      <c r="AR847" s="50">
        <v>0</v>
      </c>
      <c r="AS847" s="36">
        <v>0</v>
      </c>
      <c r="AT847" s="36">
        <v>0</v>
      </c>
      <c r="AU847" s="36">
        <v>0</v>
      </c>
      <c r="AV847" s="36">
        <v>0</v>
      </c>
      <c r="AW847">
        <v>0</v>
      </c>
      <c r="AX847">
        <v>0</v>
      </c>
    </row>
    <row r="848" spans="1:50" x14ac:dyDescent="0.25">
      <c r="A848" s="36"/>
      <c r="B848" t="s">
        <v>119</v>
      </c>
      <c r="C848" s="36" t="str">
        <f>'Status Thresholds'!B839</f>
        <v>Zinogre</v>
      </c>
      <c r="E848" s="36" t="str">
        <f t="shared" si="29"/>
        <v>Zinogre</v>
      </c>
      <c r="F848" s="36" t="str">
        <f>IFERROR(VLOOKUP($E848,'Status Thresholds'!$E:$AS,1,FALSE),"")</f>
        <v/>
      </c>
      <c r="G848" t="s">
        <v>13</v>
      </c>
      <c r="H848" s="55" t="str">
        <f t="shared" si="30"/>
        <v>ZinogreCrag 3</v>
      </c>
      <c r="I848" s="50">
        <v>0</v>
      </c>
      <c r="J848" s="36">
        <v>0</v>
      </c>
      <c r="K848" s="36">
        <v>4</v>
      </c>
      <c r="L848" s="36">
        <v>4</v>
      </c>
      <c r="M848" s="36">
        <v>0</v>
      </c>
      <c r="N848" s="50">
        <v>0</v>
      </c>
      <c r="O848" s="36">
        <v>0</v>
      </c>
      <c r="P848" s="36">
        <v>4</v>
      </c>
      <c r="Q848" s="36">
        <v>4</v>
      </c>
      <c r="R848" s="36">
        <v>0</v>
      </c>
      <c r="S848" s="50">
        <v>1</v>
      </c>
      <c r="T848" s="36">
        <v>3</v>
      </c>
      <c r="U848" s="36">
        <v>4</v>
      </c>
      <c r="V848" s="36">
        <v>4</v>
      </c>
      <c r="W848" s="36">
        <v>0</v>
      </c>
      <c r="X848" s="50">
        <v>0</v>
      </c>
      <c r="Y848" s="36">
        <v>0</v>
      </c>
      <c r="Z848" s="36">
        <v>0</v>
      </c>
      <c r="AA848" s="36">
        <v>0</v>
      </c>
      <c r="AB848" s="36">
        <v>0</v>
      </c>
      <c r="AC848" s="50">
        <v>3</v>
      </c>
      <c r="AD848" s="36">
        <v>0</v>
      </c>
      <c r="AE848" s="36">
        <v>4</v>
      </c>
      <c r="AF848" s="36">
        <v>4</v>
      </c>
      <c r="AG848" s="36">
        <v>0</v>
      </c>
      <c r="AH848" s="50">
        <v>0</v>
      </c>
      <c r="AI848" s="36">
        <v>0</v>
      </c>
      <c r="AJ848" s="36">
        <v>0</v>
      </c>
      <c r="AK848" s="36">
        <v>0</v>
      </c>
      <c r="AL848" s="36">
        <v>0</v>
      </c>
      <c r="AM848" s="50">
        <v>3</v>
      </c>
      <c r="AN848" s="36">
        <v>4</v>
      </c>
      <c r="AO848" s="36">
        <v>4</v>
      </c>
      <c r="AP848" s="36">
        <v>4</v>
      </c>
      <c r="AQ848" s="36">
        <v>0</v>
      </c>
      <c r="AR848" s="50">
        <v>0</v>
      </c>
      <c r="AS848" s="36">
        <v>0</v>
      </c>
      <c r="AT848" s="36">
        <v>0</v>
      </c>
      <c r="AU848" s="36">
        <v>0</v>
      </c>
      <c r="AV848" s="36">
        <v>0</v>
      </c>
      <c r="AW848">
        <v>0</v>
      </c>
      <c r="AX848">
        <v>0</v>
      </c>
    </row>
    <row r="849" spans="1:50" x14ac:dyDescent="0.25">
      <c r="A849" s="36"/>
      <c r="B849" t="s">
        <v>119</v>
      </c>
      <c r="C849" s="36" t="str">
        <f>'Status Thresholds'!B840</f>
        <v>Zinogre</v>
      </c>
      <c r="E849" s="36" t="str">
        <f t="shared" si="29"/>
        <v>Zinogre</v>
      </c>
      <c r="F849" s="36" t="str">
        <f>IFERROR(VLOOKUP($E849,'Status Thresholds'!$E:$AS,1,FALSE),"")</f>
        <v/>
      </c>
      <c r="G849" t="s">
        <v>12</v>
      </c>
      <c r="H849" s="55" t="str">
        <f t="shared" si="30"/>
        <v>ZinogreCrag 2</v>
      </c>
      <c r="I849" s="50">
        <v>1</v>
      </c>
      <c r="J849" s="36">
        <v>2</v>
      </c>
      <c r="K849" s="36">
        <v>1</v>
      </c>
      <c r="L849" s="36">
        <v>4</v>
      </c>
      <c r="M849" s="36">
        <v>0</v>
      </c>
      <c r="N849" s="50">
        <v>1</v>
      </c>
      <c r="O849" s="36">
        <v>2</v>
      </c>
      <c r="P849" s="36">
        <v>1</v>
      </c>
      <c r="Q849" s="36">
        <v>4</v>
      </c>
      <c r="R849" s="36">
        <v>0</v>
      </c>
      <c r="S849" s="50">
        <v>1</v>
      </c>
      <c r="T849" s="36">
        <v>3</v>
      </c>
      <c r="U849" s="36">
        <v>4</v>
      </c>
      <c r="V849" s="36">
        <v>4</v>
      </c>
      <c r="W849" s="36">
        <v>0</v>
      </c>
      <c r="X849" s="50">
        <v>0</v>
      </c>
      <c r="Y849" s="36">
        <v>0</v>
      </c>
      <c r="Z849" s="36">
        <v>0</v>
      </c>
      <c r="AA849" s="36">
        <v>0</v>
      </c>
      <c r="AB849" s="36">
        <v>0</v>
      </c>
      <c r="AC849" s="50">
        <v>2</v>
      </c>
      <c r="AD849" s="36">
        <v>3</v>
      </c>
      <c r="AE849" s="36">
        <v>4</v>
      </c>
      <c r="AF849" s="36">
        <v>4</v>
      </c>
      <c r="AG849" s="36">
        <v>0</v>
      </c>
      <c r="AH849" s="50">
        <v>0</v>
      </c>
      <c r="AI849" s="36">
        <v>0</v>
      </c>
      <c r="AJ849" s="36">
        <v>0</v>
      </c>
      <c r="AK849" s="36">
        <v>0</v>
      </c>
      <c r="AL849" s="36">
        <v>0</v>
      </c>
      <c r="AM849" s="50">
        <v>1</v>
      </c>
      <c r="AN849" s="36">
        <v>4</v>
      </c>
      <c r="AO849" s="36">
        <v>4</v>
      </c>
      <c r="AP849" s="36">
        <v>4</v>
      </c>
      <c r="AQ849" s="36">
        <v>0</v>
      </c>
      <c r="AR849" s="50">
        <v>0</v>
      </c>
      <c r="AS849" s="36">
        <v>0</v>
      </c>
      <c r="AT849" s="36">
        <v>0</v>
      </c>
      <c r="AU849" s="36">
        <v>0</v>
      </c>
      <c r="AV849" s="36">
        <v>0</v>
      </c>
      <c r="AW849">
        <v>0</v>
      </c>
      <c r="AX849">
        <v>0</v>
      </c>
    </row>
    <row r="850" spans="1:50" x14ac:dyDescent="0.25">
      <c r="A850" s="36"/>
      <c r="B850" t="s">
        <v>119</v>
      </c>
      <c r="C850" s="36" t="str">
        <f>'Status Thresholds'!B841</f>
        <v>Zinogre</v>
      </c>
      <c r="E850" s="36" t="str">
        <f t="shared" si="29"/>
        <v>Zinogre</v>
      </c>
      <c r="F850" s="36" t="str">
        <f>IFERROR(VLOOKUP($E850,'Status Thresholds'!$E:$AS,1,FALSE),"")</f>
        <v/>
      </c>
      <c r="G850" t="s">
        <v>11</v>
      </c>
      <c r="H850" s="55" t="str">
        <f t="shared" si="30"/>
        <v>ZinogreCrag 1</v>
      </c>
      <c r="I850" s="50">
        <v>0</v>
      </c>
      <c r="J850" s="36">
        <v>6</v>
      </c>
      <c r="K850" s="36">
        <v>8</v>
      </c>
      <c r="L850" s="36">
        <v>8</v>
      </c>
      <c r="M850" s="36">
        <v>0</v>
      </c>
      <c r="N850" s="50">
        <v>0</v>
      </c>
      <c r="O850" s="36">
        <v>6</v>
      </c>
      <c r="P850" s="36">
        <v>8</v>
      </c>
      <c r="Q850" s="36">
        <v>8</v>
      </c>
      <c r="R850" s="36">
        <v>0</v>
      </c>
      <c r="S850" s="50">
        <v>5</v>
      </c>
      <c r="T850" s="36">
        <v>7</v>
      </c>
      <c r="U850" s="36">
        <v>6</v>
      </c>
      <c r="V850" s="36">
        <v>8</v>
      </c>
      <c r="W850" s="36">
        <v>0</v>
      </c>
      <c r="X850" s="50">
        <v>0</v>
      </c>
      <c r="Y850" s="36">
        <v>0</v>
      </c>
      <c r="Z850" s="36">
        <v>0</v>
      </c>
      <c r="AA850" s="36">
        <v>0</v>
      </c>
      <c r="AB850" s="36">
        <v>0</v>
      </c>
      <c r="AC850" s="50">
        <v>1</v>
      </c>
      <c r="AD850" s="36">
        <v>7</v>
      </c>
      <c r="AE850" s="36">
        <v>8</v>
      </c>
      <c r="AF850" s="36">
        <v>8</v>
      </c>
      <c r="AG850" s="36">
        <v>0</v>
      </c>
      <c r="AH850" s="50">
        <v>0</v>
      </c>
      <c r="AI850" s="36">
        <v>0</v>
      </c>
      <c r="AJ850" s="36">
        <v>0</v>
      </c>
      <c r="AK850" s="36">
        <v>0</v>
      </c>
      <c r="AL850" s="36">
        <v>0</v>
      </c>
      <c r="AM850" s="50">
        <v>2</v>
      </c>
      <c r="AN850" s="36">
        <v>5</v>
      </c>
      <c r="AO850" s="36">
        <v>8</v>
      </c>
      <c r="AP850" s="36">
        <v>8</v>
      </c>
      <c r="AQ850" s="36">
        <v>0</v>
      </c>
      <c r="AR850" s="50">
        <v>0</v>
      </c>
      <c r="AS850" s="36">
        <v>0</v>
      </c>
      <c r="AT850" s="36">
        <v>0</v>
      </c>
      <c r="AU850" s="36">
        <v>0</v>
      </c>
      <c r="AV850" s="36">
        <v>1</v>
      </c>
      <c r="AW850">
        <v>0</v>
      </c>
      <c r="AX850">
        <v>0</v>
      </c>
    </row>
    <row r="851" spans="1:50" x14ac:dyDescent="0.25">
      <c r="C851" s="36"/>
      <c r="E851" s="36"/>
      <c r="F851" s="36"/>
      <c r="H851" s="55"/>
      <c r="I851" s="50" t="e">
        <f>VLOOKUP($F851,'Status Thresholds'!$E:$AS,2,FALSE)</f>
        <v>#N/A</v>
      </c>
      <c r="J851" s="36" t="e">
        <f>VLOOKUP($F851,'Status Thresholds'!$E:$AS,3,FALSE)</f>
        <v>#N/A</v>
      </c>
      <c r="K851" s="36" t="e">
        <f>VLOOKUP($F851,'Status Thresholds'!$E:$AS,4,FALSE)</f>
        <v>#N/A</v>
      </c>
      <c r="L851" s="36" t="e">
        <f>VLOOKUP($F851,'Status Thresholds'!$E:$AS,5,FALSE)</f>
        <v>#N/A</v>
      </c>
      <c r="M851" s="36" t="e">
        <f>VLOOKUP($F851,'Status Thresholds'!$E:$AS,6,FALSE)</f>
        <v>#N/A</v>
      </c>
      <c r="N851" s="50" t="e">
        <f>VLOOKUP($F851,'Status Thresholds'!$E:$AS,7,FALSE)</f>
        <v>#N/A</v>
      </c>
      <c r="O851" s="36" t="e">
        <f>VLOOKUP($F851,'Status Thresholds'!$E:$AS,8,FALSE)</f>
        <v>#N/A</v>
      </c>
      <c r="P851" s="36" t="e">
        <f>VLOOKUP($F851,'Status Thresholds'!$E:$AS,9,FALSE)</f>
        <v>#N/A</v>
      </c>
      <c r="Q851" s="36" t="e">
        <f>VLOOKUP($F851,'Status Thresholds'!$E:$AS,10,FALSE)</f>
        <v>#N/A</v>
      </c>
      <c r="R851" s="36" t="e">
        <f>VLOOKUP($F851,'Status Thresholds'!$E:$AS,11,FALSE)</f>
        <v>#N/A</v>
      </c>
      <c r="S851" s="50" t="e">
        <f>VLOOKUP($F851,'Status Thresholds'!$E:$AS,12,FALSE)</f>
        <v>#N/A</v>
      </c>
      <c r="T851" s="36" t="e">
        <f>VLOOKUP($F851,'Status Thresholds'!$E:$AS,13,FALSE)</f>
        <v>#N/A</v>
      </c>
      <c r="U851" s="36" t="e">
        <f>VLOOKUP($F851,'Status Thresholds'!$E:$AS,14,FALSE)</f>
        <v>#N/A</v>
      </c>
      <c r="V851" s="36" t="e">
        <f>VLOOKUP($F851,'Status Thresholds'!$E:$AS,15,FALSE)</f>
        <v>#N/A</v>
      </c>
      <c r="W851" s="36" t="e">
        <f>VLOOKUP($F851,'Status Thresholds'!$E:$AS,16,FALSE)</f>
        <v>#N/A</v>
      </c>
      <c r="X851" s="50" t="e">
        <f>VLOOKUP($F851,'Status Thresholds'!$E:$AS,17,FALSE)</f>
        <v>#N/A</v>
      </c>
      <c r="Y851" s="36" t="e">
        <f>VLOOKUP($F851,'Status Thresholds'!$E:$AS,18,FALSE)</f>
        <v>#N/A</v>
      </c>
      <c r="Z851" s="36" t="e">
        <f>VLOOKUP($F851,'Status Thresholds'!$E:$AS,19,FALSE)</f>
        <v>#N/A</v>
      </c>
      <c r="AA851" s="36" t="e">
        <f>VLOOKUP($F851,'Status Thresholds'!$E:$AS,20,FALSE)</f>
        <v>#N/A</v>
      </c>
      <c r="AB851" s="36" t="e">
        <f>VLOOKUP($F851,'Status Thresholds'!$E:$AS,21,FALSE)</f>
        <v>#N/A</v>
      </c>
      <c r="AC851" s="50" t="e">
        <f>VLOOKUP($F851,'Status Thresholds'!$E:$AS,22,FALSE)</f>
        <v>#N/A</v>
      </c>
      <c r="AD851" s="36" t="e">
        <f>VLOOKUP($F851,'Status Thresholds'!$E:$AS,23,FALSE)</f>
        <v>#N/A</v>
      </c>
      <c r="AE851" s="36" t="e">
        <f>VLOOKUP($F851,'Status Thresholds'!$E:$AS,24,FALSE)</f>
        <v>#N/A</v>
      </c>
      <c r="AF851" s="36" t="e">
        <f>VLOOKUP($F851,'Status Thresholds'!$E:$AS,25,FALSE)</f>
        <v>#N/A</v>
      </c>
      <c r="AG851" s="36" t="e">
        <f>VLOOKUP($F851,'Status Thresholds'!$E:$AS,26,FALSE)</f>
        <v>#N/A</v>
      </c>
      <c r="AH851" s="50" t="e">
        <f>VLOOKUP($F851,'Status Thresholds'!$E:$AS,27,FALSE)</f>
        <v>#N/A</v>
      </c>
      <c r="AI851" s="36" t="e">
        <f>VLOOKUP($F851,'Status Thresholds'!$E:$AS,28,FALSE)</f>
        <v>#N/A</v>
      </c>
      <c r="AJ851" s="36" t="e">
        <f>VLOOKUP($F851,'Status Thresholds'!$E:$AS,29,FALSE)</f>
        <v>#N/A</v>
      </c>
      <c r="AK851" s="36" t="e">
        <f>VLOOKUP($F851,'Status Thresholds'!$E:$AS,30,FALSE)</f>
        <v>#N/A</v>
      </c>
      <c r="AL851" s="36" t="e">
        <f>VLOOKUP($F851,'Status Thresholds'!$E:$AS,31,FALSE)</f>
        <v>#N/A</v>
      </c>
      <c r="AM851" s="50" t="e">
        <f>VLOOKUP($F851,'Status Thresholds'!$E:$AS,32,FALSE)</f>
        <v>#N/A</v>
      </c>
      <c r="AN851" s="36" t="e">
        <f>VLOOKUP($F851,'Status Thresholds'!$E:$AS,33,FALSE)</f>
        <v>#N/A</v>
      </c>
      <c r="AO851" s="36" t="e">
        <f>VLOOKUP($F851,'Status Thresholds'!$E:$AS,34,FALSE)</f>
        <v>#N/A</v>
      </c>
      <c r="AP851" s="36" t="e">
        <f>VLOOKUP($F851,'Status Thresholds'!$E:$AS,35,FALSE)</f>
        <v>#N/A</v>
      </c>
      <c r="AQ851" s="36" t="e">
        <f>VLOOKUP($F851,'Status Thresholds'!$E:$AS,36,FALSE)</f>
        <v>#N/A</v>
      </c>
      <c r="AR851" s="50" t="e">
        <f>VLOOKUP($F851,'Status Thresholds'!$E:$AS,37,FALSE)</f>
        <v>#N/A</v>
      </c>
      <c r="AS851" s="36" t="e">
        <f>VLOOKUP($F851,'Status Thresholds'!$E:$AS,38,FALSE)</f>
        <v>#N/A</v>
      </c>
      <c r="AT851" s="36" t="e">
        <f>VLOOKUP($F851,'Status Thresholds'!$E:$AS,39,FALSE)</f>
        <v>#N/A</v>
      </c>
      <c r="AU851" s="36" t="e">
        <f>VLOOKUP($F851,'Status Thresholds'!$E:$AS,40,FALSE)</f>
        <v>#N/A</v>
      </c>
      <c r="AV851" s="36" t="e">
        <f>VLOOKUP($F851,'Status Thresholds'!$E:$AS,41,FALSE)</f>
        <v>#N/A</v>
      </c>
      <c r="AW851">
        <v>0</v>
      </c>
      <c r="AX851">
        <v>0</v>
      </c>
    </row>
    <row r="852" spans="1:50" x14ac:dyDescent="0.25">
      <c r="C852" s="36"/>
      <c r="E852" s="36"/>
      <c r="F852" s="36"/>
      <c r="H852" s="55"/>
      <c r="I852" s="50"/>
      <c r="J852" s="36"/>
      <c r="K852" s="36"/>
      <c r="L852" s="36"/>
      <c r="M852" s="36"/>
      <c r="N852" s="50"/>
      <c r="O852" s="36"/>
      <c r="P852" s="36"/>
      <c r="Q852" s="36"/>
      <c r="R852" s="36"/>
      <c r="S852" s="50"/>
      <c r="T852" s="36"/>
      <c r="U852" s="36"/>
      <c r="V852" s="36"/>
      <c r="W852" s="36"/>
      <c r="X852" s="50"/>
      <c r="Y852" s="36"/>
      <c r="Z852" s="36"/>
      <c r="AA852" s="36"/>
      <c r="AB852" s="36"/>
      <c r="AC852" s="50"/>
      <c r="AD852" s="36"/>
      <c r="AE852" s="36"/>
      <c r="AF852" s="36"/>
      <c r="AG852" s="36"/>
      <c r="AH852" s="50"/>
      <c r="AI852" s="36"/>
      <c r="AJ852" s="36"/>
      <c r="AK852" s="36"/>
      <c r="AL852" s="36"/>
      <c r="AM852" s="50"/>
      <c r="AN852" s="36"/>
      <c r="AO852" s="36"/>
      <c r="AP852" s="36"/>
      <c r="AQ852" s="36"/>
      <c r="AR852" s="50"/>
      <c r="AS852" s="36"/>
      <c r="AT852" s="36"/>
      <c r="AU852" s="36"/>
      <c r="AV852" s="36"/>
    </row>
    <row r="853" spans="1:50" x14ac:dyDescent="0.25">
      <c r="C853" s="36"/>
      <c r="E853" s="36"/>
      <c r="F853" s="36"/>
      <c r="H853" s="55"/>
      <c r="I853" s="50"/>
      <c r="J853" s="36"/>
      <c r="K853" s="36"/>
      <c r="L853" s="36"/>
      <c r="M853" s="36"/>
      <c r="N853" s="50"/>
      <c r="O853" s="36"/>
      <c r="P853" s="36"/>
      <c r="Q853" s="36"/>
      <c r="R853" s="36"/>
      <c r="S853" s="50"/>
      <c r="T853" s="36"/>
      <c r="U853" s="36"/>
      <c r="V853" s="36"/>
      <c r="W853" s="36"/>
      <c r="X853" s="50"/>
      <c r="Y853" s="36"/>
      <c r="Z853" s="36"/>
      <c r="AA853" s="36"/>
      <c r="AB853" s="36"/>
      <c r="AC853" s="50"/>
      <c r="AD853" s="36"/>
      <c r="AE853" s="36"/>
      <c r="AF853" s="36"/>
      <c r="AG853" s="36"/>
      <c r="AH853" s="50"/>
      <c r="AI853" s="36"/>
      <c r="AJ853" s="36"/>
      <c r="AK853" s="36"/>
      <c r="AL853" s="36"/>
      <c r="AM853" s="50"/>
      <c r="AN853" s="36"/>
      <c r="AO853" s="36"/>
      <c r="AP853" s="36"/>
      <c r="AQ853" s="36"/>
      <c r="AR853" s="50"/>
      <c r="AS853" s="36"/>
      <c r="AT853" s="36"/>
      <c r="AU853" s="36"/>
      <c r="AV853" s="36"/>
    </row>
    <row r="854" spans="1:50" x14ac:dyDescent="0.25">
      <c r="C854" s="36"/>
      <c r="E854" s="36"/>
      <c r="F854" s="36"/>
      <c r="H854" s="55"/>
    </row>
    <row r="855" spans="1:50" x14ac:dyDescent="0.25">
      <c r="C855" s="36"/>
      <c r="E855" s="36"/>
      <c r="F855" s="36"/>
      <c r="H855" s="55"/>
    </row>
    <row r="856" spans="1:50" x14ac:dyDescent="0.25">
      <c r="C856" s="36"/>
      <c r="E856" s="36"/>
      <c r="F856" s="36"/>
      <c r="H856" s="55"/>
    </row>
    <row r="857" spans="1:50" x14ac:dyDescent="0.25">
      <c r="C857" s="36"/>
      <c r="E857" s="36"/>
      <c r="F857" s="36"/>
      <c r="H857" s="55"/>
    </row>
    <row r="858" spans="1:50" x14ac:dyDescent="0.25">
      <c r="C858" s="36"/>
      <c r="E858" s="36"/>
      <c r="F858" s="36"/>
      <c r="H858" s="55"/>
    </row>
    <row r="859" spans="1:50" x14ac:dyDescent="0.25">
      <c r="C859" s="36"/>
      <c r="E859" s="36"/>
      <c r="F859" s="36"/>
      <c r="H859" s="55"/>
    </row>
    <row r="860" spans="1:50" x14ac:dyDescent="0.25">
      <c r="C860" s="36"/>
      <c r="E860" s="36"/>
      <c r="F860" s="36"/>
      <c r="H860" s="55"/>
    </row>
    <row r="861" spans="1:50" x14ac:dyDescent="0.25">
      <c r="C861" s="36"/>
      <c r="E861" s="36"/>
      <c r="F861" s="36"/>
      <c r="H861" s="55"/>
    </row>
    <row r="862" spans="1:50" x14ac:dyDescent="0.25">
      <c r="C862" s="36"/>
      <c r="E862" s="36"/>
      <c r="F862" s="36"/>
      <c r="H862" s="55"/>
    </row>
  </sheetData>
  <mergeCells count="2">
    <mergeCell ref="AZ4:BC4"/>
    <mergeCell ref="BC14:BD1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KOCalc">
                <anchor moveWithCells="1" sizeWithCells="1">
                  <from>
                    <xdr:col>0</xdr:col>
                    <xdr:colOff>95250</xdr:colOff>
                    <xdr:row>1</xdr:row>
                    <xdr:rowOff>47625</xdr:rowOff>
                  </from>
                  <to>
                    <xdr:col>2</xdr:col>
                    <xdr:colOff>314325</xdr:colOff>
                    <xdr:row>2</xdr:row>
                    <xdr:rowOff>133350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 Me</vt:lpstr>
      <vt:lpstr>Status Descriptions</vt:lpstr>
      <vt:lpstr>Blade Master</vt:lpstr>
      <vt:lpstr>Gunner</vt:lpstr>
      <vt:lpstr>Status Thresholds</vt:lpstr>
      <vt:lpstr>Shots and Status</vt:lpstr>
      <vt:lpstr>Mount Calc</vt:lpstr>
      <vt:lpstr>KO Calc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PanzHunter</dc:creator>
  <cp:lastModifiedBy>PanzHunter</cp:lastModifiedBy>
  <dcterms:created xsi:type="dcterms:W3CDTF">2020-06-01T00:28:07Z</dcterms:created>
  <dcterms:modified xsi:type="dcterms:W3CDTF">2022-01-19T02:28:43Z</dcterms:modified>
</cp:coreProperties>
</file>